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15.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showInkAnnotation="0" backupFile="1" saveExternalLinkValues="0" codeName="ThisWorkbook"/>
  <mc:AlternateContent xmlns:mc="http://schemas.openxmlformats.org/markup-compatibility/2006">
    <mc:Choice Requires="x15">
      <x15ac:absPath xmlns:x15ac="http://schemas.microsoft.com/office/spreadsheetml/2010/11/ac" url="D:\Reporting\Module Budgétaire\2026\"/>
    </mc:Choice>
  </mc:AlternateContent>
  <xr:revisionPtr revIDLastSave="0" documentId="13_ncr:1_{C488E562-0969-4AC4-837B-EBB0BBE22A17}" xr6:coauthVersionLast="47" xr6:coauthVersionMax="47" xr10:uidLastSave="{00000000-0000-0000-0000-000000000000}"/>
  <bookViews>
    <workbookView showSheetTabs="0" xWindow="-120" yWindow="-120" windowWidth="22380" windowHeight="10605" tabRatio="792" xr2:uid="{00000000-000D-0000-FFFF-FFFF00000000}"/>
  </bookViews>
  <sheets>
    <sheet name="Page d'accueil" sheetId="26" r:id="rId1"/>
    <sheet name="TotalGeneral" sheetId="47" r:id="rId2"/>
    <sheet name="Total" sheetId="6" r:id="rId3"/>
    <sheet name="Total X-1" sheetId="41" r:id="rId4"/>
    <sheet name="Total_Code" sheetId="25" r:id="rId5"/>
    <sheet name="Total_Code X-1" sheetId="40" r:id="rId6"/>
    <sheet name="ParaN" sheetId="38" r:id="rId7"/>
    <sheet name="Ops" sheetId="3" r:id="rId8"/>
    <sheet name="Calog" sheetId="7" r:id="rId9"/>
    <sheet name="ExtrFiltre" sheetId="24" r:id="rId10"/>
    <sheet name="OpsCalog" sheetId="8" r:id="rId11"/>
    <sheet name="Formules" sheetId="19" r:id="rId12"/>
    <sheet name="FormAide" sheetId="10" r:id="rId13"/>
    <sheet name="DepPersExport" sheetId="35" r:id="rId14"/>
    <sheet name="Tutelle1" sheetId="43" r:id="rId15"/>
    <sheet name="Tutelle2" sheetId="44" r:id="rId16"/>
    <sheet name="Tutelle_UitgKrediet" sheetId="48" r:id="rId17"/>
    <sheet name="X_SuiviImport" sheetId="50" r:id="rId18"/>
    <sheet name="&lt;X_SuiviImport" sheetId="49" r:id="rId19"/>
    <sheet name="Eléments barémiques" sheetId="21" r:id="rId20"/>
    <sheet name="Sheet1" sheetId="51" state="hidden" r:id="rId21"/>
    <sheet name="Suppléments" sheetId="23" r:id="rId22"/>
    <sheet name="BarNego19" sheetId="52" r:id="rId23"/>
    <sheet name="BarR" sheetId="39" r:id="rId24"/>
    <sheet name="BarC" sheetId="37" r:id="rId25"/>
    <sheet name="BarO" sheetId="36" r:id="rId26"/>
    <sheet name="Zone" sheetId="33" r:id="rId27"/>
    <sheet name="LCD" sheetId="46" r:id="rId28"/>
    <sheet name="CodesTHEMIS" sheetId="34" r:id="rId29"/>
    <sheet name="BXL" sheetId="32" state="hidden" r:id="rId30"/>
    <sheet name="MenuGeg" sheetId="27" state="hidden" r:id="rId31"/>
  </sheets>
  <functionGroups builtInGroupCount="19"/>
  <definedNames>
    <definedName name="_afa2010">ParaN!$B$27</definedName>
    <definedName name="_xlnm._FilterDatabase" localSheetId="8" hidden="1">Calog!$14:$16</definedName>
    <definedName name="_xlnm._FilterDatabase" localSheetId="13" hidden="1">DepPersExport!$H$9:$I$9</definedName>
    <definedName name="_xlnm._FilterDatabase" localSheetId="19" hidden="1">'Eléments barémiques'!$A$3:$R$3</definedName>
    <definedName name="_xlnm._FilterDatabase" localSheetId="9" hidden="1">ExtrFiltre!$A$18:$B$18</definedName>
    <definedName name="_xlnm._FilterDatabase" localSheetId="11" hidden="1">Formules!#REF!</definedName>
    <definedName name="_xlnm._FilterDatabase" localSheetId="27" hidden="1">LCD!$A$1:$D$588</definedName>
    <definedName name="_xlnm._FilterDatabase" localSheetId="7" hidden="1">Ops!$16:$17</definedName>
    <definedName name="_xlnm._FilterDatabase" localSheetId="21" hidden="1">Suppléments!$A$5:$CB$5</definedName>
    <definedName name="_xlnm._FilterDatabase" localSheetId="4" hidden="1">Total_Code!$A$14:$BV$15</definedName>
    <definedName name="_xlnm._FilterDatabase" localSheetId="5" hidden="1">'Total_Code X-1'!$A$14:$BT$15</definedName>
    <definedName name="_xlnm._FilterDatabase" localSheetId="14" hidden="1">Tutelle1!$A$15:$I$15</definedName>
    <definedName name="_xlnm._FilterDatabase" localSheetId="15" hidden="1">Tutelle2!$B$29:$J$29</definedName>
    <definedName name="_xlnm._FilterDatabase" localSheetId="26" hidden="1">Zone!$A$1:$R$205</definedName>
    <definedName name="A_T1">ParaN!$K$116</definedName>
    <definedName name="A_T2">ParaN!$K$121</definedName>
    <definedName name="ACS">Total_Code!$A$21</definedName>
    <definedName name="AFA_Max">ParaN!$D$28</definedName>
    <definedName name="AFA_Min">ParaN!$C$28</definedName>
    <definedName name="AFApct2">ParaN!$B$28</definedName>
    <definedName name="ALGTOT">Tutelle1!$A$133:$G$133</definedName>
    <definedName name="AnBud">ParaN!$B$1</definedName>
    <definedName name="AnCrimCiv">ParaN!$J$34:$N$37</definedName>
    <definedName name="ANNEE">ParaN!$C$1</definedName>
    <definedName name="AnnéeImposé">BarNego19!$B$68</definedName>
    <definedName name="APPROF">ParaN!$J$54:$N$54</definedName>
    <definedName name="ArbO_Arbeid">ParaN!$B$44</definedName>
    <definedName name="ArbO_Bed">ParaN!$C$44</definedName>
    <definedName name="ArbO_Ops">ParaN!$D$44</definedName>
    <definedName name="ARREST">Ops!$E$12</definedName>
    <definedName name="BarNego18Ops">BarNego19!$A$9:$BR$59</definedName>
    <definedName name="BIL">Zone!$I$1</definedName>
    <definedName name="BILAutre">ParaN!$J$55:$N$58</definedName>
    <definedName name="BilCalGR">ParaN!$J$61:$N$64</definedName>
    <definedName name="BilCalKln">ParaN!$J$65:$N$68</definedName>
    <definedName name="BILGR">Zone!$A$1:$F$244</definedName>
    <definedName name="BILN">ParaN!$J$50:$N$53</definedName>
    <definedName name="bilzon">Calog!$CR$10</definedName>
    <definedName name="BT_CRPct">Ops!$CD$14</definedName>
    <definedName name="bxl">ParaN!$J$42:$N$48</definedName>
    <definedName name="Bxl_N">BXL!$E$4:$H$77</definedName>
    <definedName name="BXL_YN">Zone!$J$1</definedName>
    <definedName name="BxlCiv">ParaN!$Q$42:$U$47</definedName>
    <definedName name="CalogEQP">Calog!$U$4</definedName>
    <definedName name="CheckATAOPCT">ParaN!$A$49</definedName>
    <definedName name="CheckLoaded">'Page d''accueil'!$A$33</definedName>
    <definedName name="ChPatBdr">ParaN!$B$37:$F$41</definedName>
    <definedName name="ChRepasCheck">ParaN!$I$132</definedName>
    <definedName name="CJ">ParaN!$J$6</definedName>
    <definedName name="CK">ParaN!$J$5</definedName>
    <definedName name="Cnt_FiltC">Calog!$F$8</definedName>
    <definedName name="Cnt_FiltO">Ops!$F$8</definedName>
    <definedName name="Comp">ParaN!$J$69:$N$71</definedName>
    <definedName name="CompOPensPat">Total_Code!$AJ$14</definedName>
    <definedName name="CompOPensPat_X_1">'Total_Code X-1'!$AI$14</definedName>
    <definedName name="Compot_ctl4">BarC!$B$1:$IV$59</definedName>
    <definedName name="Copernic">ParaN!$C$18</definedName>
    <definedName name="CopieExtrFilt">ExtrFiltre!$B$1:$B$102</definedName>
    <definedName name="CS_FIX">ParaN!$C$54</definedName>
    <definedName name="CT">ParaN!$K$107</definedName>
    <definedName name="Ctl_ALGTOT">Tutelle2!$D$57:$J$62</definedName>
    <definedName name="Ctl_Bil">Calog!$CQ$10</definedName>
    <definedName name="Ctl_FiltC">Calog!$D$8</definedName>
    <definedName name="Ctl_FiltO">Ops!$D$8</definedName>
    <definedName name="Ctl_PlafTrim">ParaN!$E$13</definedName>
    <definedName name="CtlFC_C">Calog!$G$6</definedName>
    <definedName name="CtlFC_O">Ops!$G$6</definedName>
    <definedName name="CtlPrest">Ops!$B$12</definedName>
    <definedName name="CtlPrest2">Formules!$GH$16</definedName>
    <definedName name="DA">ParaN!$J$2</definedName>
    <definedName name="DatPensCalog">ParaN!$A$65:$C$68</definedName>
    <definedName name="DatPensOps">ParaN!$A$61:$C$64</definedName>
    <definedName name="DatStop19Toel">ParaN!$F$6</definedName>
    <definedName name="DB">ParaN!$J$3</definedName>
    <definedName name="Deduc99">Ops!$AW$15</definedName>
    <definedName name="DZ">Calog!$K$13</definedName>
    <definedName name="E_A">ParaN!$AT$1:$AU$13</definedName>
    <definedName name="EchuAnti">ParaN!$AT$1:$AU$13</definedName>
    <definedName name="EcoAPE">Total_Code!$B$20</definedName>
    <definedName name="EcoAPE_F">Total_Code!$A$20:$BV$20</definedName>
    <definedName name="EcoAPEX1">'Total_Code X-1'!$B$20</definedName>
    <definedName name="EcoAPEX1_F">'Total_Code X-1'!$A$20:$BT$20</definedName>
    <definedName name="EcoCal">Total_Code!$B$14</definedName>
    <definedName name="EcoCal_F">Total_Code!$A$14:$BV$14</definedName>
    <definedName name="EcoCalX1">'Total_Code X-1'!$B$14</definedName>
    <definedName name="EcoCalX1_F">'Total_Code X-1'!$A$14:$BT$14</definedName>
    <definedName name="EcoOps">Total_Code!$B$8</definedName>
    <definedName name="EcoOps_F">Total_Code!$A$8:$BV$8</definedName>
    <definedName name="EcoOpsx1">'Total_Code X-1'!$B$8</definedName>
    <definedName name="EcoOpsX1_F">'Total_Code X-1'!$A$8:$BT$8</definedName>
    <definedName name="EJT_Max">ParaN!$D$28</definedName>
    <definedName name="EJT_Min">ParaN!$C$28</definedName>
    <definedName name="EjtAfaFix">ParaN!$C$24</definedName>
    <definedName name="EjtAfaPat">ParaN!$C$25</definedName>
    <definedName name="EnqDec">ParaN!$M$74</definedName>
    <definedName name="EnqJDec">ParaN!$M$106</definedName>
    <definedName name="EnqJNab">ParaN!$N$106</definedName>
    <definedName name="EnqJVoor">ParaN!$L$106</definedName>
    <definedName name="EnqNab">ParaN!$N$74</definedName>
    <definedName name="EnqVoor">ParaN!$L$74</definedName>
    <definedName name="Ens_Ond">ParaN!$J$102:$N$105</definedName>
    <definedName name="ex">Formules!$42:$42</definedName>
    <definedName name="ExpAPE1">DepPersExport!$A$39:$I$55</definedName>
    <definedName name="ExpBPRCS">DepPersExport!$A$56:$I$63</definedName>
    <definedName name="ExpBRP">DepPersExport!$A$68:$I$71</definedName>
    <definedName name="ExpCal1">DepPersExport!$A$21:$I$38</definedName>
    <definedName name="ExpOps1">DepPersExport!$A$2:$I$20</definedName>
    <definedName name="ExpOpsNavap">DepPersExport!$A$74:$I$82</definedName>
    <definedName name="F_C_OMax">Ops!$G$3</definedName>
    <definedName name="F_C_OMin">Ops!$G$2</definedName>
    <definedName name="F_Calog_ln10">Formules!$10:$10</definedName>
    <definedName name="F_CALog2_start">Calog!$U$15</definedName>
    <definedName name="F_CalogOrig">Formules!$U$10:$DD$10</definedName>
    <definedName name="F_CalogTotCod">Formules!$A$31:$BX$31</definedName>
    <definedName name="F_CalogTotCodx1">Formules!$A$40:$BW$40</definedName>
    <definedName name="F_EcoCal">Total_Code!$14:$14</definedName>
    <definedName name="F_EcoOps">Total_Code!$8:$8</definedName>
    <definedName name="F_GECOTotCod">Formules!$A$34:$BX$34</definedName>
    <definedName name="F_GECOTotCodx1">Formules!$A$42:$BW$42</definedName>
    <definedName name="F_Ops_ln18">Formules!$20:$20</definedName>
    <definedName name="F_Ops_Orig">Formules!$U$20:$DW$20</definedName>
    <definedName name="F_OPS2_Copie">Formules!$U$20:$DW$20</definedName>
    <definedName name="F_Ops2_Start">Ops!$U$17</definedName>
    <definedName name="F_OpsTotCod">Formules!$A$28:$BX$28</definedName>
    <definedName name="F_OpsTotCodx1">Formules!$A$38:$BW$38</definedName>
    <definedName name="FIETS">ParaN!$E$106:$F$111</definedName>
    <definedName name="Filter">Ops!$A$16:$GU$16</definedName>
    <definedName name="FilterC">Calog!$A$14:$FW$14</definedName>
    <definedName name="FiltOCResult">OpsCalog!$B$1:$D$102</definedName>
    <definedName name="Form13CALogNab">Formules!$AW$11:$BC$11</definedName>
    <definedName name="Form13OpsNab">Formules!$AW$21:$BC$21</definedName>
    <definedName name="FormCalog_AllinX">Formules!$AW$13:$FT$13</definedName>
    <definedName name="FormCalog13PlusECA">Formules!$AW$12:$EK$12</definedName>
    <definedName name="FormCalog2009">Formules!$AW$10:$FT$10</definedName>
    <definedName name="FormCalogWH">Formules!$AW$10:$BC$10</definedName>
    <definedName name="FormOps_AllinX">Formules!$AW$23:$GR$23</definedName>
    <definedName name="FormOps13PlusECA">Formules!$AW$22:$FI$22</definedName>
    <definedName name="FormOps2009">Formules!$AW$20:$GR$20</definedName>
    <definedName name="FormOpsFix13">Formules!$CS$22:$DZ$22</definedName>
    <definedName name="FormOpsWH">Formules!$AW$20:$BC$20</definedName>
    <definedName name="FormRefPer">ParaN!$B$10:$D$10</definedName>
    <definedName name="FormuleRef1">ParaN!$I$10:$L$10</definedName>
    <definedName name="FormuleRef2">ParaN!$I$12:$L$12</definedName>
    <definedName name="FormuleRef3">ParaN!$I$14:$L$14</definedName>
    <definedName name="full">Ops!$U$9</definedName>
    <definedName name="FunctCodCtl_C">Total_Code!$C$14</definedName>
    <definedName name="FunctCodCtl_G">Total_Code!$C$20</definedName>
    <definedName name="FunctCodCtl_O">Total_Code!$C$8</definedName>
    <definedName name="FunctCodCtl2_C">Total_Code!$C$18</definedName>
    <definedName name="FunctCodCtl2_G">Total_Code!$C$25</definedName>
    <definedName name="FunctCodCtl2_O">Total_Code!$C$12</definedName>
    <definedName name="GesCoAantal">Calog!$U$2</definedName>
    <definedName name="HonNab">ParaN!$N$76</definedName>
    <definedName name="HonVoor">ParaN!$L$76</definedName>
    <definedName name="HrPct">Ops!$BR$14</definedName>
    <definedName name="HS_FR">ParaN!$C$31:$E$34</definedName>
    <definedName name="IMI_N">ParaN!$J$95:$N$97</definedName>
    <definedName name="ImportAccessX">X_SuiviImport!$H$9:$K$52</definedName>
    <definedName name="ImportAccessX_1">'&lt;X_SuiviImport'!$H$9:$K$52</definedName>
    <definedName name="IN_AccessX">X_SuiviImport!$G$8</definedName>
    <definedName name="IN_AccessX_1">'&lt;X_SuiviImport'!$H$8</definedName>
    <definedName name="IndbasePPB_CGL">ParaN!$D$13</definedName>
    <definedName name="IndDiff">ParaN!$C$6</definedName>
    <definedName name="IndDiffDec">ParaN!$D$6</definedName>
    <definedName name="IndDiffNab">ParaN!$E$6</definedName>
    <definedName name="IndexFix">ParaN!$E$1</definedName>
    <definedName name="IndKmDec">ParaN!$M$108</definedName>
    <definedName name="IndKmN">ParaN!$N$108</definedName>
    <definedName name="IndR20">ParaN!$AB$2</definedName>
    <definedName name="IndR21">ParaN!$AB$3</definedName>
    <definedName name="IndR22">ParaN!$AB$4</definedName>
    <definedName name="IndR23">ParaN!$AB$5</definedName>
    <definedName name="IndR24">ParaN!$AB$6</definedName>
    <definedName name="IndR25">ParaN!$AB$7</definedName>
    <definedName name="IndR26">ParaN!$AB$8</definedName>
    <definedName name="IndR27">ParaN!$AB$9</definedName>
    <definedName name="IndR28">ParaN!$AB$10</definedName>
    <definedName name="IndR29">ParaN!$AB$11</definedName>
    <definedName name="IndR30">ParaN!$AB$12</definedName>
    <definedName name="IndR31">ParaN!$AB$13</definedName>
    <definedName name="IndR32">ParaN!$Y$2</definedName>
    <definedName name="IndR33">ParaN!$Y$3</definedName>
    <definedName name="IndR34">ParaN!$Y$4</definedName>
    <definedName name="IndR35">ParaN!$Y$5</definedName>
    <definedName name="IndR36">ParaN!$Y$6</definedName>
    <definedName name="IndR37">ParaN!$Y$7</definedName>
    <definedName name="IndR38">ParaN!$Y$8</definedName>
    <definedName name="IndR39">ParaN!$Y$9</definedName>
    <definedName name="IndR40">ParaN!$Y$10</definedName>
    <definedName name="IndR41">ParaN!$Y$11</definedName>
    <definedName name="IndR42">ParaN!$Y$12</definedName>
    <definedName name="IndR43">ParaN!$Y$13</definedName>
    <definedName name="IndRef">ParaN!$C$10</definedName>
    <definedName name="IndT">ParaN!$C$5</definedName>
    <definedName name="IndT_N">ParaN!$E$5</definedName>
    <definedName name="IndT_N1">ParaN!$D$5</definedName>
    <definedName name="IndW">ParaN!$C$4</definedName>
    <definedName name="IndW_N">ParaN!$E$4</definedName>
    <definedName name="IndW_N1">ParaN!$D$4</definedName>
    <definedName name="Info_MTC">Ops!$GT$9:$GU$9</definedName>
    <definedName name="InputCalog">Calog!$D$15</definedName>
    <definedName name="InputOps">Ops!$D$17</definedName>
    <definedName name="InstrDec">ParaN!$M$105</definedName>
    <definedName name="InstrNab">ParaN!$N$105</definedName>
    <definedName name="InstrVoor">ParaN!$L$105</definedName>
    <definedName name="IP_D">ParaN!$AJ$17</definedName>
    <definedName name="IP_D2">ParaN!$AK$17</definedName>
    <definedName name="JE">ParaN!$K$106</definedName>
    <definedName name="LinesCalog">Calog!$G$8</definedName>
    <definedName name="M_T1">ParaN!$K$115</definedName>
    <definedName name="M_T2">ParaN!$K$120</definedName>
    <definedName name="Man_2">Zone!$A$2:$S$227</definedName>
    <definedName name="Mandat">ParaN!$J$18:$R$22</definedName>
    <definedName name="MandatZPZ">Ops!$BM$14</definedName>
    <definedName name="MaxOps">Ops!$A$7</definedName>
    <definedName name="MC_Nbr">ParaN!$M$132</definedName>
    <definedName name="MDAnCr">ParaN!$J$31:$N$33</definedName>
    <definedName name="MentDec">ParaN!$M$101</definedName>
    <definedName name="MentNab">ParaN!$N$101</definedName>
    <definedName name="MentVoor">ParaN!$L$101</definedName>
    <definedName name="MntAnCR">ParaN!$N$132</definedName>
    <definedName name="Moto">ParaN!$J$24:$N$26</definedName>
    <definedName name="Moto_T">ParaN!$J$27:$N$29</definedName>
    <definedName name="MPL">TotalGeneral!$A$3</definedName>
    <definedName name="MTC_Patr">ParaN!$L$132</definedName>
    <definedName name="MTC_Price">ParaN!$J$132</definedName>
    <definedName name="MTC_QPP">ParaN!$K$132</definedName>
    <definedName name="N_T1">ParaN!$K$117</definedName>
    <definedName name="N_T2">ParaN!$K$122</definedName>
    <definedName name="NabTransitX">ParaN!$D$20</definedName>
    <definedName name="NeutrNego">ParaN!$F$1</definedName>
    <definedName name="New_2019">ParaN!$K$125</definedName>
    <definedName name="Noct1Pct">Ops!$BX$14</definedName>
    <definedName name="Noct2Pct">Ops!$CA$14</definedName>
    <definedName name="NonDec">ParaN!$M$76</definedName>
    <definedName name="NonDefC">Calog!$DK$12</definedName>
    <definedName name="NonDefO">Ops!$DY$12</definedName>
    <definedName name="NutM">ParaN!$AB$58:$AD$60</definedName>
    <definedName name="O_T1">ParaN!$K$114</definedName>
    <definedName name="O_T2">ParaN!$K$119</definedName>
    <definedName name="OpsEQP">Ops!$U$4</definedName>
    <definedName name="OpsFilter">ExtrFiltre!$B$1:$B$103</definedName>
    <definedName name="PatPensX_1">ParaN!$F$37</definedName>
    <definedName name="PatrATAO">ParaN!$E$44</definedName>
    <definedName name="PatrLast">ParaN!$A$70:$B$75</definedName>
    <definedName name="PctRepas">ParaN!$G$152</definedName>
    <definedName name="PctSvSocDst">ParaN!$C$51</definedName>
    <definedName name="PctVarAFA">ParaN!$C$26</definedName>
    <definedName name="PensC4_5">ParaN!$C$41</definedName>
    <definedName name="PensCtr">ParaN!$C$38</definedName>
    <definedName name="PensGesco">ParaN!$C$39</definedName>
    <definedName name="PensStat">ParaN!$C$37</definedName>
    <definedName name="Pl_pat">ParaN!$C$13</definedName>
    <definedName name="PlafondTrimCGL">ParaN!$B$13</definedName>
    <definedName name="Plak_BarElem">'Eléments barémiques'!$B$3</definedName>
    <definedName name="Plak_BudSupll">Suppléments!$A$5</definedName>
    <definedName name="Prest_supl">ParaN!$J$110:$O$111</definedName>
    <definedName name="_xlnm.Print_Area" localSheetId="8">Calog!$A$1:$FF$40</definedName>
    <definedName name="_xlnm.Print_Area" localSheetId="12">FormAide!$1:$1048576</definedName>
    <definedName name="_xlnm.Print_Area" localSheetId="7">Ops!$A$1:$FU$24</definedName>
    <definedName name="_xlnm.Print_Area" localSheetId="2">Total!$A$1:$G$67</definedName>
    <definedName name="_xlnm.Print_Area" localSheetId="3">'Total X-1'!$A$1:$G$64</definedName>
    <definedName name="_xlnm.Print_Area" localSheetId="4">Total_Code!$A$1:$BU$30</definedName>
    <definedName name="_xlnm.Print_Area" localSheetId="1">TotalGeneral!$A$1:$H$67</definedName>
    <definedName name="_xlnm.Print_Area" localSheetId="16">Tutelle_UitgKrediet!$A$1:$J$94</definedName>
    <definedName name="_xlnm.Print_Area" localSheetId="14">Tutelle1!$A$1:$J$140</definedName>
    <definedName name="_xlnm.Print_Titles" localSheetId="8">Calog!$H:$H,Calog!$9:$14</definedName>
    <definedName name="_xlnm.Print_Titles" localSheetId="13">DepPersExport!$1:$1</definedName>
    <definedName name="_xlnm.Print_Titles" localSheetId="12">FormAide!$1:$1</definedName>
    <definedName name="_xlnm.Print_Titles" localSheetId="7">Ops!$H:$H,Ops!$10:$13</definedName>
    <definedName name="_xlnm.Print_Titles" localSheetId="4">Total_Code!$E:$E,Total_Code!$1:$4</definedName>
    <definedName name="_xlnm.Print_Titles" localSheetId="5">'Total_Code X-1'!$A:$E,'Total_Code X-1'!$1:$4</definedName>
    <definedName name="_xlnm.Print_Titles" localSheetId="1">TotalGeneral!$A:$B</definedName>
    <definedName name="_xlnm.Print_Titles" localSheetId="14">Tutelle1!$1:$1</definedName>
    <definedName name="_xlnm.Print_Titles" localSheetId="26">Zone!$1:$1</definedName>
    <definedName name="Prox">ParaN!$T$78</definedName>
    <definedName name="PV_COPs">ParaN!$B$17:$E$20</definedName>
    <definedName name="PVG_Ops">ParaN!$B$17:$D$20</definedName>
    <definedName name="SecrFix">ParaN!$D$54</definedName>
    <definedName name="StCtr">ParaN!$AR$2:$AS$13</definedName>
    <definedName name="SubSocCalog">Calog!$FB$14</definedName>
    <definedName name="SubSocOPs">Ops!$FZ$15</definedName>
    <definedName name="SubSocToelBase">Zone!$R$1:$S$225</definedName>
    <definedName name="T_Calog">Calog!$C$15:$FR$399</definedName>
    <definedName name="T_DirAnti">ParaN!$L$93</definedName>
    <definedName name="T_DirDec">ParaN!$M$93</definedName>
    <definedName name="T_DirPost">ParaN!$N$93</definedName>
    <definedName name="T_Econ">FormAide!$C$5:$L$63</definedName>
    <definedName name="T_EconC">FormAide!$B$35:$L$40</definedName>
    <definedName name="T_Ops">Ops!$C$17:$GP$2498</definedName>
    <definedName name="Tab_CO">ParaN!$J$85:$L$88</definedName>
    <definedName name="Tab_Dir">ParaN!$J$89:$N$92</definedName>
    <definedName name="TabBarCalog">BarC!$9:$56</definedName>
    <definedName name="TabBarOps">BarO!$9:$59</definedName>
    <definedName name="Tb1_M">ParaN!$L$115</definedName>
    <definedName name="Tb1_N">ParaN!$L$117</definedName>
    <definedName name="Tb1_OPD">ParaN!$L$114</definedName>
    <definedName name="Tb2_M">ParaN!$L$120</definedName>
    <definedName name="Tb2_N">ParaN!$L$122</definedName>
    <definedName name="Tb2_OPD">ParaN!$L$119</definedName>
    <definedName name="TbIndN">ParaN!$AA$17:$AM$34</definedName>
    <definedName name="Tbl_PatrAmi">ParaN!$AA$20:$AG$34</definedName>
    <definedName name="TblZone">Zone!$A$1:$D$244</definedName>
    <definedName name="TenDec">ParaN!$M$77</definedName>
    <definedName name="TenMDec">ParaN!$M$81</definedName>
    <definedName name="TenMNab">ParaN!$N$81</definedName>
    <definedName name="TenMVoor">ParaN!$L$81</definedName>
    <definedName name="TenNab">ParaN!$N$77</definedName>
    <definedName name="TenVoor">ParaN!$L$77</definedName>
    <definedName name="TfDec">ParaN!$M$75</definedName>
    <definedName name="TfNab">ParaN!$N$75</definedName>
    <definedName name="TFVoor">ParaN!$L$75</definedName>
    <definedName name="TitFilt">ExtrFiltre!$B$2</definedName>
    <definedName name="TotCodX1">'Total_Code X-1'!$A$1</definedName>
    <definedName name="Tut1APE">Tutelle1!$A$105:$I$122</definedName>
    <definedName name="Tut1Cal4_5">Tutelle1!$A$86:$I$103</definedName>
    <definedName name="Tut1CalCtr">Tutelle1!$A$68:$I$85</definedName>
    <definedName name="Tut1NAPAP">Tutelle1!$A$21:$I$29</definedName>
    <definedName name="Tut1OpsCtr">Tutelle1!$A$30:$I$48</definedName>
    <definedName name="Tut1Rows">Tutelle_UitgKrediet!$N$10</definedName>
    <definedName name="Tut2APE">Tutelle2!$A$25:$J$32</definedName>
    <definedName name="Tut2NAPAP">Tutelle2!$A$11:$K$16</definedName>
    <definedName name="Tut2Rows">Tutelle_UitgKrediet!$N$52</definedName>
    <definedName name="Tut4_5">Tutelle1!$A$86</definedName>
    <definedName name="TutAPE">Tutelle1!$A$105</definedName>
    <definedName name="TutBRP_CS">Tutelle1!$A$124</definedName>
    <definedName name="TutCalCtr">Tutelle1!$A$68</definedName>
    <definedName name="TutCalStat">Tutelle1!$A$50</definedName>
    <definedName name="TutOpsCtr">Tutelle1!$A$30</definedName>
    <definedName name="TutOpsNAPP">Tutelle1!$A$21</definedName>
    <definedName name="TutOpsStat">Tutelle1!$A$2</definedName>
    <definedName name="TutTri1">Tutelle_UitgKrediet!$A$12:$O$50</definedName>
    <definedName name="TutTri2">Tutelle_UitgKrediet!$A$54:$O$92</definedName>
    <definedName name="TVDec">ParaN!$M$78</definedName>
    <definedName name="TVNab">ParaN!$N$78</definedName>
    <definedName name="TVVoor">ParaN!$L$78</definedName>
    <definedName name="TYDec">ParaN!$M$79</definedName>
    <definedName name="TYNab">ParaN!$N$79</definedName>
    <definedName name="TYVoor">ParaN!$L$79</definedName>
    <definedName name="TZVoor">ParaN!$L$80</definedName>
    <definedName name="UM">ParaN!$L$49</definedName>
    <definedName name="UMdec">ParaN!$M$49</definedName>
    <definedName name="umNab">ParaN!$N$49</definedName>
    <definedName name="UtilO">ParaN!$AB$64:$AD$66</definedName>
    <definedName name="UtilS">ParaN!$AB$61:$AD$63</definedName>
    <definedName name="VVSG_UVC">ParaN!$AN$18</definedName>
    <definedName name="WEPct">Ops!$BU$14</definedName>
    <definedName name="ZIV_geco">ParaN!$D$39</definedName>
    <definedName name="ZIVC4_5">ParaN!$D$41</definedName>
    <definedName name="ZIVContr">ParaN!$D$38</definedName>
    <definedName name="ZIVGesco">ParaN!$D$39</definedName>
    <definedName name="ZIVStat">ParaN!$D$37</definedName>
    <definedName name="ZK_LCD">LCD!$A$1:$B$899</definedName>
    <definedName name="Zk_PrestAll">Suppléments!$A:$CB</definedName>
    <definedName name="ZkBarCalog">BarC!$1:$8</definedName>
    <definedName name="ZkBarOps">BarO!$1:$8</definedName>
    <definedName name="ZkBarOpsPS">BarO!$1:$8</definedName>
    <definedName name="ZkC">BarC!$B$1:$IV$8</definedName>
    <definedName name="ZkCCdvu">BarC!$B$2:$IV$8</definedName>
    <definedName name="ZkO">BarO!$B$1:$IZ$8</definedName>
    <definedName name="ZkOCdvu">BarO!$B$2:$IY$8</definedName>
    <definedName name="ZoneNr">'Page d''accueil'!$C$7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Y15" i="7" l="1"/>
  <c r="FX15" i="7"/>
  <c r="AB34" i="38" l="1"/>
  <c r="AB33" i="38"/>
  <c r="Y13" i="38"/>
  <c r="GV19" i="19" l="1"/>
  <c r="GW19" i="19"/>
  <c r="GW17" i="3"/>
  <c r="GV17" i="3"/>
  <c r="GV16" i="3"/>
  <c r="GW16" i="3"/>
  <c r="FY9" i="19" l="1"/>
  <c r="FX9" i="19"/>
  <c r="FY14" i="7"/>
  <c r="AP34" i="38" l="1"/>
  <c r="Y12" i="38"/>
  <c r="R213" i="33"/>
  <c r="R212" i="33"/>
  <c r="R211" i="33"/>
  <c r="IY8" i="36"/>
  <c r="IZ8" i="36" s="1"/>
  <c r="Y11" i="38" l="1"/>
  <c r="AD34" i="38" s="1"/>
  <c r="Y10" i="38"/>
  <c r="Y9" i="38"/>
  <c r="AC33" i="38" s="1"/>
  <c r="AF33" i="38" s="1"/>
  <c r="Y8" i="38"/>
  <c r="Y7" i="38"/>
  <c r="AB31" i="38" l="1"/>
  <c r="AD31" i="38" s="1"/>
  <c r="AB32" i="38"/>
  <c r="AD32" i="38" s="1"/>
  <c r="AC34" i="38"/>
  <c r="AE34" i="38" s="1"/>
  <c r="AF34" i="38"/>
  <c r="AC32" i="38"/>
  <c r="AD33" i="38"/>
  <c r="AE33" i="38"/>
  <c r="D8" i="3"/>
  <c r="D1" i="3"/>
  <c r="AC31" i="38" l="1"/>
  <c r="AF31" i="38" s="1"/>
  <c r="AE31" i="38"/>
  <c r="AF32" i="38"/>
  <c r="AE32" i="38"/>
  <c r="AB11" i="38"/>
  <c r="AB12" i="38"/>
  <c r="AB38" i="38" s="1"/>
  <c r="AC38" i="38" s="1"/>
  <c r="AB13" i="38"/>
  <c r="AD38" i="38" l="1"/>
  <c r="AB37" i="38" l="1"/>
  <c r="AD37" i="38" s="1"/>
  <c r="AB36" i="38"/>
  <c r="AC37" i="38" l="1"/>
  <c r="I139" i="38"/>
  <c r="L150" i="38"/>
  <c r="K150" i="38"/>
  <c r="L132" i="38"/>
  <c r="I138" i="38" s="1"/>
  <c r="K132" i="38"/>
  <c r="GS20" i="19"/>
  <c r="GU19" i="19"/>
  <c r="GT19" i="19"/>
  <c r="FU10" i="19"/>
  <c r="FW9" i="19"/>
  <c r="FV9" i="19"/>
  <c r="FU15" i="7"/>
  <c r="GS1" i="3"/>
  <c r="GS17" i="3" l="1"/>
  <c r="EZ16" i="3" l="1"/>
  <c r="C17" i="3"/>
  <c r="A17" i="3" s="1"/>
  <c r="FW14" i="7"/>
  <c r="FV14" i="7"/>
  <c r="FU8" i="7"/>
  <c r="FU6" i="7"/>
  <c r="FU5" i="7"/>
  <c r="FU3" i="7"/>
  <c r="FU2" i="7"/>
  <c r="FU1" i="7"/>
  <c r="FW11" i="7"/>
  <c r="FV11" i="7"/>
  <c r="GS3" i="3"/>
  <c r="GU16" i="3"/>
  <c r="GT16" i="3"/>
  <c r="GU11" i="3"/>
  <c r="GT11" i="3"/>
  <c r="F164" i="43"/>
  <c r="J131" i="38"/>
  <c r="GS5" i="3" l="1"/>
  <c r="GS6" i="3"/>
  <c r="GS8" i="3"/>
  <c r="GS2" i="3"/>
  <c r="I137" i="38" l="1"/>
  <c r="O138" i="38"/>
  <c r="O137" i="38"/>
  <c r="U2" i="7"/>
  <c r="L135" i="38" s="1"/>
  <c r="L136" i="38" s="1"/>
  <c r="AB10" i="38" l="1"/>
  <c r="AB27" i="38" l="1"/>
  <c r="AD27" i="38" s="1"/>
  <c r="C10" i="38"/>
  <c r="J10" i="38"/>
  <c r="J12" i="38"/>
  <c r="J14" i="38"/>
  <c r="AB41" i="38"/>
  <c r="AB47" i="38"/>
  <c r="AB46" i="38"/>
  <c r="AC46" i="38" s="1"/>
  <c r="AB45" i="38"/>
  <c r="AB42" i="38"/>
  <c r="AB43" i="38"/>
  <c r="AB44" i="38"/>
  <c r="AC27" i="38"/>
  <c r="AC36" i="38" l="1"/>
  <c r="AD36" i="38"/>
  <c r="AD46" i="38"/>
  <c r="A77" i="32"/>
  <c r="A76" i="32"/>
  <c r="A75" i="32"/>
  <c r="A74" i="32"/>
  <c r="A73" i="32"/>
  <c r="A72" i="32"/>
  <c r="A71" i="32"/>
  <c r="A70" i="32"/>
  <c r="A69" i="32"/>
  <c r="A68" i="32"/>
  <c r="A67" i="32"/>
  <c r="B66" i="32"/>
  <c r="C74" i="32" s="1"/>
  <c r="A66" i="32"/>
  <c r="A65" i="32"/>
  <c r="A64" i="32"/>
  <c r="A63" i="32"/>
  <c r="A62" i="32"/>
  <c r="A61" i="32"/>
  <c r="A60" i="32"/>
  <c r="A59" i="32"/>
  <c r="A58" i="32"/>
  <c r="A57" i="32"/>
  <c r="A56" i="32"/>
  <c r="A55" i="32"/>
  <c r="B54" i="32"/>
  <c r="C64" i="32" s="1"/>
  <c r="A54" i="32"/>
  <c r="A53" i="32"/>
  <c r="A52" i="32"/>
  <c r="A51" i="32"/>
  <c r="A50" i="32"/>
  <c r="A49" i="32"/>
  <c r="A48" i="32"/>
  <c r="A47" i="32"/>
  <c r="A46" i="32"/>
  <c r="A45" i="32"/>
  <c r="A44" i="32"/>
  <c r="A43" i="32"/>
  <c r="B42" i="32"/>
  <c r="C53" i="32" s="1"/>
  <c r="A42" i="32"/>
  <c r="A41" i="32"/>
  <c r="A40" i="32"/>
  <c r="A39" i="32"/>
  <c r="A38" i="32"/>
  <c r="A37" i="32"/>
  <c r="A36" i="32"/>
  <c r="A35" i="32"/>
  <c r="A34" i="32"/>
  <c r="A33" i="32"/>
  <c r="A32" i="32"/>
  <c r="A31" i="32"/>
  <c r="B30" i="32"/>
  <c r="C41" i="32" s="1"/>
  <c r="A30" i="32"/>
  <c r="A29" i="32"/>
  <c r="A28" i="32"/>
  <c r="A27" i="32"/>
  <c r="A26" i="32"/>
  <c r="A25" i="32"/>
  <c r="A24" i="32"/>
  <c r="A23" i="32"/>
  <c r="A22" i="32"/>
  <c r="A21" i="32"/>
  <c r="A20" i="32"/>
  <c r="A19" i="32"/>
  <c r="B18" i="32"/>
  <c r="C28" i="32" s="1"/>
  <c r="A18" i="32"/>
  <c r="B6" i="32"/>
  <c r="C10" i="32" s="1"/>
  <c r="E2" i="32"/>
  <c r="Q222" i="33"/>
  <c r="P222" i="33"/>
  <c r="O222" i="33"/>
  <c r="N222" i="33"/>
  <c r="M222" i="33"/>
  <c r="L222" i="33"/>
  <c r="K222" i="33"/>
  <c r="G222" i="33"/>
  <c r="F222" i="33"/>
  <c r="E222" i="33"/>
  <c r="D222" i="33"/>
  <c r="C222" i="33"/>
  <c r="B222" i="33"/>
  <c r="A222" i="33"/>
  <c r="A4" i="25" s="1"/>
  <c r="S217" i="33"/>
  <c r="R217" i="33"/>
  <c r="R210" i="33"/>
  <c r="R209" i="33"/>
  <c r="R208" i="33"/>
  <c r="R207" i="33"/>
  <c r="S206" i="33"/>
  <c r="R206" i="33"/>
  <c r="R205" i="33"/>
  <c r="S204" i="33"/>
  <c r="R204" i="33"/>
  <c r="S203" i="33"/>
  <c r="R203" i="33"/>
  <c r="S202" i="33"/>
  <c r="R202" i="33"/>
  <c r="S201" i="33"/>
  <c r="R201" i="33"/>
  <c r="R222" i="33" s="1"/>
  <c r="S200" i="33"/>
  <c r="R200" i="33"/>
  <c r="S199" i="33"/>
  <c r="S205" i="33" s="1"/>
  <c r="R199" i="33"/>
  <c r="S198" i="33"/>
  <c r="R198" i="33"/>
  <c r="J1" i="33"/>
  <c r="DH22" i="19" s="1"/>
  <c r="DI22" i="19" s="1"/>
  <c r="AP62" i="36"/>
  <c r="Y61" i="36"/>
  <c r="IZ59" i="36"/>
  <c r="IZ58" i="36"/>
  <c r="IZ57" i="36"/>
  <c r="IZ56" i="36"/>
  <c r="IZ55" i="36"/>
  <c r="IZ54" i="36"/>
  <c r="IZ53" i="36"/>
  <c r="IZ52" i="36"/>
  <c r="IZ51" i="36"/>
  <c r="IZ50" i="36"/>
  <c r="IZ49" i="36"/>
  <c r="IZ48" i="36"/>
  <c r="IZ47" i="36"/>
  <c r="IZ46" i="36"/>
  <c r="IZ45" i="36"/>
  <c r="IZ44" i="36"/>
  <c r="IZ43" i="36"/>
  <c r="IZ42" i="36"/>
  <c r="IZ41" i="36"/>
  <c r="IZ40" i="36"/>
  <c r="IZ39" i="36"/>
  <c r="IZ38" i="36"/>
  <c r="IZ37" i="36"/>
  <c r="IZ36" i="36"/>
  <c r="IZ35" i="36"/>
  <c r="IZ34" i="36"/>
  <c r="IZ33" i="36"/>
  <c r="IZ32" i="36"/>
  <c r="IZ31" i="36"/>
  <c r="IZ30" i="36"/>
  <c r="IZ29" i="36"/>
  <c r="IZ28" i="36"/>
  <c r="IZ27" i="36"/>
  <c r="IZ26" i="36"/>
  <c r="IZ25" i="36"/>
  <c r="IZ24" i="36"/>
  <c r="IZ23" i="36"/>
  <c r="IZ22" i="36"/>
  <c r="IZ21" i="36"/>
  <c r="IZ20" i="36"/>
  <c r="IZ19" i="36"/>
  <c r="IZ18" i="36"/>
  <c r="IZ17" i="36"/>
  <c r="IZ16" i="36"/>
  <c r="IZ15" i="36"/>
  <c r="IZ14" i="36"/>
  <c r="IZ13" i="36"/>
  <c r="IZ12" i="36"/>
  <c r="IZ11" i="36"/>
  <c r="IZ10" i="36"/>
  <c r="IZ9" i="36"/>
  <c r="AD8" i="36"/>
  <c r="AE8" i="36" s="1"/>
  <c r="AF8" i="36" s="1"/>
  <c r="AG8" i="36" s="1"/>
  <c r="AH8" i="36" s="1"/>
  <c r="AI8" i="36" s="1"/>
  <c r="AJ8" i="36" s="1"/>
  <c r="AK8" i="36" s="1"/>
  <c r="AL8" i="36" s="1"/>
  <c r="AM8" i="36" s="1"/>
  <c r="AN8" i="36" s="1"/>
  <c r="AO8" i="36" s="1"/>
  <c r="AP8" i="36" s="1"/>
  <c r="AQ8" i="36" s="1"/>
  <c r="AR8" i="36" s="1"/>
  <c r="AS8" i="36" s="1"/>
  <c r="AT8" i="36" s="1"/>
  <c r="AU8" i="36" s="1"/>
  <c r="AV8" i="36" s="1"/>
  <c r="AW8" i="36" s="1"/>
  <c r="AX8" i="36" s="1"/>
  <c r="AY8" i="36" s="1"/>
  <c r="AZ8" i="36" s="1"/>
  <c r="BA8" i="36" s="1"/>
  <c r="BB8" i="36" s="1"/>
  <c r="BC8" i="36" s="1"/>
  <c r="BD8" i="36" s="1"/>
  <c r="BE8" i="36" s="1"/>
  <c r="BF8" i="36" s="1"/>
  <c r="BG8" i="36" s="1"/>
  <c r="BH8" i="36" s="1"/>
  <c r="BI8" i="36" s="1"/>
  <c r="BJ8" i="36" s="1"/>
  <c r="BK8" i="36" s="1"/>
  <c r="BL8" i="36" s="1"/>
  <c r="BM8" i="36" s="1"/>
  <c r="BN8" i="36" s="1"/>
  <c r="BO8" i="36" s="1"/>
  <c r="BP8" i="36" s="1"/>
  <c r="BQ8" i="36" s="1"/>
  <c r="BR8" i="36" s="1"/>
  <c r="BS8" i="36" s="1"/>
  <c r="BT8" i="36" s="1"/>
  <c r="BU8" i="36" s="1"/>
  <c r="BV8" i="36" s="1"/>
  <c r="BW8" i="36" s="1"/>
  <c r="BX8" i="36" s="1"/>
  <c r="BY8" i="36" s="1"/>
  <c r="BZ8" i="36" s="1"/>
  <c r="CA8" i="36" s="1"/>
  <c r="CB8" i="36" s="1"/>
  <c r="CC8" i="36" s="1"/>
  <c r="CD8" i="36" s="1"/>
  <c r="CE8" i="36" s="1"/>
  <c r="CF8" i="36" s="1"/>
  <c r="CG8" i="36" s="1"/>
  <c r="CH8" i="36" s="1"/>
  <c r="CI8" i="36" s="1"/>
  <c r="CJ8" i="36" s="1"/>
  <c r="CK8" i="36" s="1"/>
  <c r="CL8" i="36" s="1"/>
  <c r="CM8" i="36" s="1"/>
  <c r="CN8" i="36" s="1"/>
  <c r="CO8" i="36" s="1"/>
  <c r="CP8" i="36" s="1"/>
  <c r="CQ8" i="36" s="1"/>
  <c r="CR8" i="36" s="1"/>
  <c r="CS8" i="36" s="1"/>
  <c r="CT8" i="36" s="1"/>
  <c r="CU8" i="36" s="1"/>
  <c r="CV8" i="36" s="1"/>
  <c r="CW8" i="36" s="1"/>
  <c r="CX8" i="36" s="1"/>
  <c r="CY8" i="36" s="1"/>
  <c r="CZ8" i="36" s="1"/>
  <c r="DA8" i="36" s="1"/>
  <c r="DB8" i="36" s="1"/>
  <c r="DC8" i="36" s="1"/>
  <c r="DD8" i="36" s="1"/>
  <c r="DE8" i="36" s="1"/>
  <c r="DF8" i="36" s="1"/>
  <c r="DG8" i="36" s="1"/>
  <c r="DH8" i="36" s="1"/>
  <c r="DI8" i="36" s="1"/>
  <c r="DJ8" i="36" s="1"/>
  <c r="DK8" i="36" s="1"/>
  <c r="DL8" i="36" s="1"/>
  <c r="DM8" i="36" s="1"/>
  <c r="DN8" i="36" s="1"/>
  <c r="DO8" i="36" s="1"/>
  <c r="DP8" i="36" s="1"/>
  <c r="DQ8" i="36" s="1"/>
  <c r="DR8" i="36" s="1"/>
  <c r="DS8" i="36" s="1"/>
  <c r="DT8" i="36" s="1"/>
  <c r="DU8" i="36" s="1"/>
  <c r="DV8" i="36" s="1"/>
  <c r="DW8" i="36" s="1"/>
  <c r="DX8" i="36" s="1"/>
  <c r="DY8" i="36" s="1"/>
  <c r="DZ8" i="36" s="1"/>
  <c r="EA8" i="36" s="1"/>
  <c r="EB8" i="36" s="1"/>
  <c r="EC8" i="36" s="1"/>
  <c r="ED8" i="36" s="1"/>
  <c r="EE8" i="36" s="1"/>
  <c r="EF8" i="36" s="1"/>
  <c r="EG8" i="36" s="1"/>
  <c r="EH8" i="36" s="1"/>
  <c r="EI8" i="36" s="1"/>
  <c r="EJ8" i="36" s="1"/>
  <c r="EK8" i="36" s="1"/>
  <c r="EL8" i="36" s="1"/>
  <c r="EM8" i="36" s="1"/>
  <c r="EN8" i="36" s="1"/>
  <c r="EO8" i="36" s="1"/>
  <c r="EP8" i="36" s="1"/>
  <c r="EQ8" i="36" s="1"/>
  <c r="ER8" i="36" s="1"/>
  <c r="ES8" i="36" s="1"/>
  <c r="ET8" i="36" s="1"/>
  <c r="EU8" i="36" s="1"/>
  <c r="EV8" i="36" s="1"/>
  <c r="EW8" i="36" s="1"/>
  <c r="EX8" i="36" s="1"/>
  <c r="EY8" i="36" s="1"/>
  <c r="EZ8" i="36" s="1"/>
  <c r="FA8" i="36" s="1"/>
  <c r="FB8" i="36" s="1"/>
  <c r="FC8" i="36" s="1"/>
  <c r="FD8" i="36" s="1"/>
  <c r="FE8" i="36" s="1"/>
  <c r="FF8" i="36" s="1"/>
  <c r="FG8" i="36" s="1"/>
  <c r="FH8" i="36" s="1"/>
  <c r="FI8" i="36" s="1"/>
  <c r="FJ8" i="36" s="1"/>
  <c r="FK8" i="36" s="1"/>
  <c r="FL8" i="36" s="1"/>
  <c r="FM8" i="36" s="1"/>
  <c r="FN8" i="36" s="1"/>
  <c r="FO8" i="36" s="1"/>
  <c r="FP8" i="36" s="1"/>
  <c r="FQ8" i="36" s="1"/>
  <c r="FR8" i="36" s="1"/>
  <c r="FS8" i="36" s="1"/>
  <c r="FT8" i="36" s="1"/>
  <c r="FU8" i="36" s="1"/>
  <c r="FV8" i="36" s="1"/>
  <c r="FW8" i="36" s="1"/>
  <c r="FX8" i="36" s="1"/>
  <c r="FY8" i="36" s="1"/>
  <c r="FZ8" i="36" s="1"/>
  <c r="GA8" i="36" s="1"/>
  <c r="GB8" i="36" s="1"/>
  <c r="GC8" i="36" s="1"/>
  <c r="GD8" i="36" s="1"/>
  <c r="GE8" i="36" s="1"/>
  <c r="GF8" i="36" s="1"/>
  <c r="GG8" i="36" s="1"/>
  <c r="GH8" i="36" s="1"/>
  <c r="GI8" i="36" s="1"/>
  <c r="GJ8" i="36" s="1"/>
  <c r="GK8" i="36" s="1"/>
  <c r="GL8" i="36" s="1"/>
  <c r="GM8" i="36" s="1"/>
  <c r="GN8" i="36" s="1"/>
  <c r="GO8" i="36" s="1"/>
  <c r="GP8" i="36" s="1"/>
  <c r="GQ8" i="36" s="1"/>
  <c r="GR8" i="36" s="1"/>
  <c r="GS8" i="36" s="1"/>
  <c r="GT8" i="36" s="1"/>
  <c r="GU8" i="36" s="1"/>
  <c r="GV8" i="36" s="1"/>
  <c r="GW8" i="36" s="1"/>
  <c r="GX8" i="36" s="1"/>
  <c r="GY8" i="36" s="1"/>
  <c r="GZ8" i="36" s="1"/>
  <c r="HA8" i="36" s="1"/>
  <c r="HB8" i="36" s="1"/>
  <c r="HC8" i="36" s="1"/>
  <c r="HD8" i="36" s="1"/>
  <c r="HE8" i="36" s="1"/>
  <c r="HF8" i="36" s="1"/>
  <c r="HG8" i="36" s="1"/>
  <c r="HH8" i="36" s="1"/>
  <c r="HI8" i="36" s="1"/>
  <c r="HJ8" i="36" s="1"/>
  <c r="HK8" i="36" s="1"/>
  <c r="HL8" i="36" s="1"/>
  <c r="HM8" i="36" s="1"/>
  <c r="HN8" i="36" s="1"/>
  <c r="HO8" i="36" s="1"/>
  <c r="HP8" i="36" s="1"/>
  <c r="HQ8" i="36" s="1"/>
  <c r="HR8" i="36" s="1"/>
  <c r="HS8" i="36" s="1"/>
  <c r="HT8" i="36" s="1"/>
  <c r="HU8" i="36" s="1"/>
  <c r="HV8" i="36" s="1"/>
  <c r="HW8" i="36" s="1"/>
  <c r="HX8" i="36" s="1"/>
  <c r="HY8" i="36" s="1"/>
  <c r="HZ8" i="36" s="1"/>
  <c r="IA8" i="36" s="1"/>
  <c r="IB8" i="36" s="1"/>
  <c r="IC8" i="36" s="1"/>
  <c r="ID8" i="36" s="1"/>
  <c r="IE8" i="36" s="1"/>
  <c r="IF8" i="36" s="1"/>
  <c r="IG8" i="36" s="1"/>
  <c r="IH8" i="36" s="1"/>
  <c r="II8" i="36" s="1"/>
  <c r="IJ8" i="36" s="1"/>
  <c r="IK8" i="36" s="1"/>
  <c r="IL8" i="36" s="1"/>
  <c r="IM8" i="36" s="1"/>
  <c r="IN8" i="36" s="1"/>
  <c r="IO8" i="36" s="1"/>
  <c r="IP8" i="36" s="1"/>
  <c r="IQ8" i="36" s="1"/>
  <c r="IR8" i="36" s="1"/>
  <c r="IS8" i="36" s="1"/>
  <c r="IT8" i="36" s="1"/>
  <c r="D8" i="36"/>
  <c r="E8" i="36" s="1"/>
  <c r="F8" i="36" s="1"/>
  <c r="G8" i="36" s="1"/>
  <c r="H8" i="36" s="1"/>
  <c r="I8" i="36" s="1"/>
  <c r="J8" i="36" s="1"/>
  <c r="K8" i="36" s="1"/>
  <c r="L8" i="36" s="1"/>
  <c r="M8" i="36" s="1"/>
  <c r="N8" i="36" s="1"/>
  <c r="O8" i="36" s="1"/>
  <c r="P8" i="36" s="1"/>
  <c r="Q8" i="36" s="1"/>
  <c r="R8" i="36" s="1"/>
  <c r="S8" i="36" s="1"/>
  <c r="T8" i="36" s="1"/>
  <c r="U8" i="36" s="1"/>
  <c r="V8" i="36" s="1"/>
  <c r="W8" i="36" s="1"/>
  <c r="X8" i="36" s="1"/>
  <c r="Y8" i="36" s="1"/>
  <c r="Z8" i="36" s="1"/>
  <c r="AA8" i="36" s="1"/>
  <c r="AB8" i="36" s="1"/>
  <c r="C8" i="36"/>
  <c r="C8" i="37"/>
  <c r="D8" i="37" s="1"/>
  <c r="E8" i="37" s="1"/>
  <c r="F8" i="37" s="1"/>
  <c r="G8" i="37" s="1"/>
  <c r="H8" i="37" s="1"/>
  <c r="I8" i="37" s="1"/>
  <c r="J8" i="37" s="1"/>
  <c r="K8" i="37" s="1"/>
  <c r="L8" i="37" s="1"/>
  <c r="M8" i="37" s="1"/>
  <c r="N8" i="37" s="1"/>
  <c r="O8" i="37" s="1"/>
  <c r="P8" i="37" s="1"/>
  <c r="Q8" i="37" s="1"/>
  <c r="R8" i="37" s="1"/>
  <c r="S8" i="37" s="1"/>
  <c r="T8" i="37" s="1"/>
  <c r="U8" i="37" s="1"/>
  <c r="V8" i="37" s="1"/>
  <c r="W8" i="37" s="1"/>
  <c r="X8" i="37" s="1"/>
  <c r="Y8" i="37" s="1"/>
  <c r="Z8" i="37" s="1"/>
  <c r="AA8" i="37" s="1"/>
  <c r="AB8" i="37" s="1"/>
  <c r="AC8" i="37" s="1"/>
  <c r="AD8" i="37" s="1"/>
  <c r="AE8" i="37" s="1"/>
  <c r="AF8" i="37" s="1"/>
  <c r="AG8" i="37" s="1"/>
  <c r="AH8" i="37" s="1"/>
  <c r="AI8" i="37" s="1"/>
  <c r="AJ8" i="37" s="1"/>
  <c r="AK8" i="37" s="1"/>
  <c r="AL8" i="37" s="1"/>
  <c r="AM8" i="37" s="1"/>
  <c r="AN8" i="37" s="1"/>
  <c r="AO8" i="37" s="1"/>
  <c r="AP8" i="37" s="1"/>
  <c r="AQ8" i="37" s="1"/>
  <c r="AR8" i="37" s="1"/>
  <c r="AS8" i="37" s="1"/>
  <c r="AT8" i="37" s="1"/>
  <c r="AU8" i="37" s="1"/>
  <c r="AV8" i="37" s="1"/>
  <c r="AW8" i="37" s="1"/>
  <c r="AX8" i="37" s="1"/>
  <c r="AY8" i="37" s="1"/>
  <c r="AZ8" i="37" s="1"/>
  <c r="BA8" i="37" s="1"/>
  <c r="BB8" i="37" s="1"/>
  <c r="BC8" i="37" s="1"/>
  <c r="BD8" i="37" s="1"/>
  <c r="BE8" i="37" s="1"/>
  <c r="BF8" i="37" s="1"/>
  <c r="BG8" i="37" s="1"/>
  <c r="BH8" i="37" s="1"/>
  <c r="BI8" i="37" s="1"/>
  <c r="BJ8" i="37" s="1"/>
  <c r="BK8" i="37" s="1"/>
  <c r="BL8" i="37" s="1"/>
  <c r="BM8" i="37" s="1"/>
  <c r="BN8" i="37" s="1"/>
  <c r="BO8" i="37" s="1"/>
  <c r="BP8" i="37" s="1"/>
  <c r="BQ8" i="37" s="1"/>
  <c r="BR8" i="37" s="1"/>
  <c r="BS8" i="37" s="1"/>
  <c r="BT8" i="37" s="1"/>
  <c r="BU8" i="37" s="1"/>
  <c r="BV8" i="37" s="1"/>
  <c r="BW8" i="37" s="1"/>
  <c r="BX8" i="37" s="1"/>
  <c r="BY8" i="37" s="1"/>
  <c r="BZ8" i="37" s="1"/>
  <c r="CA8" i="37" s="1"/>
  <c r="CB8" i="37" s="1"/>
  <c r="CC8" i="37" s="1"/>
  <c r="CD8" i="37" s="1"/>
  <c r="CE8" i="37" s="1"/>
  <c r="CF8" i="37" s="1"/>
  <c r="CG8" i="37" s="1"/>
  <c r="CH8" i="37" s="1"/>
  <c r="CI8" i="37" s="1"/>
  <c r="CJ8" i="37" s="1"/>
  <c r="CK8" i="37" s="1"/>
  <c r="CL8" i="37" s="1"/>
  <c r="CM8" i="37" s="1"/>
  <c r="CN8" i="37" s="1"/>
  <c r="CO8" i="37" s="1"/>
  <c r="CP8" i="37" s="1"/>
  <c r="CQ8" i="37" s="1"/>
  <c r="CR8" i="37" s="1"/>
  <c r="CS8" i="37" s="1"/>
  <c r="CT8" i="37" s="1"/>
  <c r="CU8" i="37" s="1"/>
  <c r="CV8" i="37" s="1"/>
  <c r="CW8" i="37" s="1"/>
  <c r="CX8" i="37" s="1"/>
  <c r="CY8" i="37" s="1"/>
  <c r="CZ8" i="37" s="1"/>
  <c r="DA8" i="37" s="1"/>
  <c r="DB8" i="37" s="1"/>
  <c r="DC8" i="37" s="1"/>
  <c r="DD8" i="37" s="1"/>
  <c r="DE8" i="37" s="1"/>
  <c r="DF8" i="37" s="1"/>
  <c r="DG8" i="37" s="1"/>
  <c r="DH8" i="37" s="1"/>
  <c r="DI8" i="37" s="1"/>
  <c r="DJ8" i="37" s="1"/>
  <c r="DK8" i="37" s="1"/>
  <c r="DL8" i="37" s="1"/>
  <c r="DM8" i="37" s="1"/>
  <c r="DN8" i="37" s="1"/>
  <c r="DO8" i="37" s="1"/>
  <c r="DP8" i="37" s="1"/>
  <c r="DQ8" i="37" s="1"/>
  <c r="DR8" i="37" s="1"/>
  <c r="DS8" i="37" s="1"/>
  <c r="DT8" i="37" s="1"/>
  <c r="DU8" i="37" s="1"/>
  <c r="DV8" i="37" s="1"/>
  <c r="DW8" i="37" s="1"/>
  <c r="DX8" i="37" s="1"/>
  <c r="DY8" i="37" s="1"/>
  <c r="DZ8" i="37" s="1"/>
  <c r="EA8" i="37" s="1"/>
  <c r="EB8" i="37" s="1"/>
  <c r="EC8" i="37" s="1"/>
  <c r="ED8" i="37" s="1"/>
  <c r="EE8" i="37" s="1"/>
  <c r="EF8" i="37" s="1"/>
  <c r="EG8" i="37" s="1"/>
  <c r="EH8" i="37" s="1"/>
  <c r="EI8" i="37" s="1"/>
  <c r="EJ8" i="37" s="1"/>
  <c r="EK8" i="37" s="1"/>
  <c r="EL8" i="37" s="1"/>
  <c r="EM8" i="37" s="1"/>
  <c r="EN8" i="37" s="1"/>
  <c r="EO8" i="37" s="1"/>
  <c r="EP8" i="37" s="1"/>
  <c r="EQ8" i="37" s="1"/>
  <c r="ER8" i="37" s="1"/>
  <c r="ES8" i="37" s="1"/>
  <c r="ET8" i="37" s="1"/>
  <c r="EU8" i="37" s="1"/>
  <c r="EV8" i="37" s="1"/>
  <c r="EW8" i="37" s="1"/>
  <c r="EX8" i="37" s="1"/>
  <c r="EY8" i="37" s="1"/>
  <c r="EZ8" i="37" s="1"/>
  <c r="FA8" i="37" s="1"/>
  <c r="FB8" i="37" s="1"/>
  <c r="FC8" i="37" s="1"/>
  <c r="FD8" i="37" s="1"/>
  <c r="FE8" i="37" s="1"/>
  <c r="FF8" i="37" s="1"/>
  <c r="FG8" i="37" s="1"/>
  <c r="FH8" i="37" s="1"/>
  <c r="FI8" i="37" s="1"/>
  <c r="FJ8" i="37" s="1"/>
  <c r="FK8" i="37" s="1"/>
  <c r="FL8" i="37" s="1"/>
  <c r="FM8" i="37" s="1"/>
  <c r="FN8" i="37" s="1"/>
  <c r="FO8" i="37" s="1"/>
  <c r="FP8" i="37" s="1"/>
  <c r="FQ8" i="37" s="1"/>
  <c r="FR8" i="37" s="1"/>
  <c r="FS8" i="37" s="1"/>
  <c r="FT8" i="37" s="1"/>
  <c r="FU8" i="37" s="1"/>
  <c r="FV8" i="37" s="1"/>
  <c r="FW8" i="37" s="1"/>
  <c r="FX8" i="37" s="1"/>
  <c r="FY8" i="37" s="1"/>
  <c r="FZ8" i="37" s="1"/>
  <c r="GA8" i="37" s="1"/>
  <c r="GB8" i="37" s="1"/>
  <c r="GC8" i="37" s="1"/>
  <c r="GD8" i="37" s="1"/>
  <c r="GE8" i="37" s="1"/>
  <c r="GF8" i="37" s="1"/>
  <c r="GG8" i="37" s="1"/>
  <c r="GH8" i="37" s="1"/>
  <c r="GI8" i="37" s="1"/>
  <c r="GJ8" i="37" s="1"/>
  <c r="GK8" i="37" s="1"/>
  <c r="GL8" i="37" s="1"/>
  <c r="GM8" i="37" s="1"/>
  <c r="GN8" i="37" s="1"/>
  <c r="GO8" i="37" s="1"/>
  <c r="GP8" i="37" s="1"/>
  <c r="GQ8" i="37" s="1"/>
  <c r="GR8" i="37" s="1"/>
  <c r="GS8" i="37" s="1"/>
  <c r="GT8" i="37" s="1"/>
  <c r="GU8" i="37" s="1"/>
  <c r="GV8" i="37" s="1"/>
  <c r="GW8" i="37" s="1"/>
  <c r="GX8" i="37" s="1"/>
  <c r="GY8" i="37" s="1"/>
  <c r="GZ8" i="37" s="1"/>
  <c r="HA8" i="37" s="1"/>
  <c r="HB8" i="37" s="1"/>
  <c r="HC8" i="37" s="1"/>
  <c r="HD8" i="37" s="1"/>
  <c r="HE8" i="37" s="1"/>
  <c r="HF8" i="37" s="1"/>
  <c r="HG8" i="37" s="1"/>
  <c r="HH8" i="37" s="1"/>
  <c r="HI8" i="37" s="1"/>
  <c r="HJ8" i="37" s="1"/>
  <c r="HK8" i="37" s="1"/>
  <c r="HL8" i="37" s="1"/>
  <c r="HM8" i="37" s="1"/>
  <c r="HN8" i="37" s="1"/>
  <c r="HO8" i="37" s="1"/>
  <c r="HP8" i="37" s="1"/>
  <c r="HQ8" i="37" s="1"/>
  <c r="HR8" i="37" s="1"/>
  <c r="HS8" i="37" s="1"/>
  <c r="HT8" i="37" s="1"/>
  <c r="HU8" i="37" s="1"/>
  <c r="HV8" i="37" s="1"/>
  <c r="HW8" i="37" s="1"/>
  <c r="HX8" i="37" s="1"/>
  <c r="HY8" i="37" s="1"/>
  <c r="HZ8" i="37" s="1"/>
  <c r="IA8" i="37" s="1"/>
  <c r="IB8" i="37" s="1"/>
  <c r="IC8" i="37" s="1"/>
  <c r="ID8" i="37" s="1"/>
  <c r="IE8" i="37" s="1"/>
  <c r="IF8" i="37" s="1"/>
  <c r="IG8" i="37" s="1"/>
  <c r="IH8" i="37" s="1"/>
  <c r="II8" i="37" s="1"/>
  <c r="IJ8" i="37" s="1"/>
  <c r="IK8" i="37" s="1"/>
  <c r="IL8" i="37" s="1"/>
  <c r="IM8" i="37" s="1"/>
  <c r="IN8" i="37" s="1"/>
  <c r="IO8" i="37" s="1"/>
  <c r="IP8" i="37" s="1"/>
  <c r="IQ8" i="37" s="1"/>
  <c r="IR8" i="37" s="1"/>
  <c r="IS8" i="37" s="1"/>
  <c r="IT8" i="37" s="1"/>
  <c r="IU8" i="37" s="1"/>
  <c r="IV8" i="37" s="1"/>
  <c r="CA8" i="39"/>
  <c r="BZ8" i="39"/>
  <c r="BY8" i="39"/>
  <c r="BX8" i="39"/>
  <c r="BW8" i="39"/>
  <c r="BV8" i="39"/>
  <c r="BU8" i="39"/>
  <c r="BT8" i="39"/>
  <c r="BS8" i="39"/>
  <c r="BR8" i="39"/>
  <c r="BQ8" i="39"/>
  <c r="BP8" i="39"/>
  <c r="BO8" i="39"/>
  <c r="BN8" i="39"/>
  <c r="BM8" i="39"/>
  <c r="BL8" i="39"/>
  <c r="BK8" i="39"/>
  <c r="BJ8" i="39"/>
  <c r="BI8" i="39"/>
  <c r="BH8" i="39"/>
  <c r="BG8" i="39"/>
  <c r="BF8" i="39"/>
  <c r="BE8" i="39"/>
  <c r="BD8" i="39"/>
  <c r="BC8" i="39"/>
  <c r="BB8" i="39"/>
  <c r="BA8" i="39"/>
  <c r="AZ8" i="39"/>
  <c r="AY8" i="39"/>
  <c r="AX8" i="39"/>
  <c r="AW8" i="39"/>
  <c r="AV8" i="39"/>
  <c r="AU8" i="39"/>
  <c r="AT8" i="39"/>
  <c r="AS8" i="39"/>
  <c r="AR8" i="39"/>
  <c r="AQ8" i="39"/>
  <c r="AP8" i="39"/>
  <c r="AO8" i="39"/>
  <c r="AN8" i="39"/>
  <c r="AM8" i="39"/>
  <c r="AL8" i="39"/>
  <c r="AK8" i="39"/>
  <c r="AJ8" i="39"/>
  <c r="AI8" i="39"/>
  <c r="AH8" i="39"/>
  <c r="AG8" i="39"/>
  <c r="AF8" i="39"/>
  <c r="AE8" i="39"/>
  <c r="AD8" i="39"/>
  <c r="AC8" i="39"/>
  <c r="AB8" i="39"/>
  <c r="AA8" i="39"/>
  <c r="Z8" i="39"/>
  <c r="Y8" i="39"/>
  <c r="X8" i="39"/>
  <c r="W8" i="39"/>
  <c r="V8" i="39"/>
  <c r="U8" i="39"/>
  <c r="T8" i="39"/>
  <c r="S8" i="39"/>
  <c r="R8" i="39"/>
  <c r="Q8" i="39"/>
  <c r="P8" i="39"/>
  <c r="O8" i="39"/>
  <c r="N8" i="39"/>
  <c r="M8" i="39"/>
  <c r="L8" i="39"/>
  <c r="K8" i="39"/>
  <c r="J8" i="39"/>
  <c r="I8" i="39"/>
  <c r="H8" i="39"/>
  <c r="G8" i="39"/>
  <c r="F8" i="39"/>
  <c r="E8" i="39"/>
  <c r="D8" i="39"/>
  <c r="C8" i="39"/>
  <c r="B8" i="39"/>
  <c r="E71" i="52"/>
  <c r="D71" i="52"/>
  <c r="Q69" i="52"/>
  <c r="P69" i="52"/>
  <c r="O69" i="52"/>
  <c r="N69" i="52"/>
  <c r="M69" i="52"/>
  <c r="L69" i="52"/>
  <c r="K69" i="52"/>
  <c r="J69" i="52"/>
  <c r="I69" i="52"/>
  <c r="H69" i="52"/>
  <c r="G69" i="52"/>
  <c r="F69" i="52"/>
  <c r="D69" i="52"/>
  <c r="C69" i="52"/>
  <c r="B68" i="52"/>
  <c r="N70" i="52" s="1"/>
  <c r="BY7" i="37" s="1"/>
  <c r="A68" i="52"/>
  <c r="BE64" i="52"/>
  <c r="BR59" i="52"/>
  <c r="BQ59" i="52"/>
  <c r="BN59" i="52"/>
  <c r="BM59" i="52"/>
  <c r="BJ59" i="52"/>
  <c r="BI59" i="52"/>
  <c r="BF59" i="52"/>
  <c r="BE59" i="52"/>
  <c r="BB59" i="52"/>
  <c r="BA59" i="52"/>
  <c r="AX59" i="52"/>
  <c r="AW59" i="52"/>
  <c r="AT59" i="52"/>
  <c r="AS59" i="52"/>
  <c r="AP59" i="52"/>
  <c r="AO59" i="52"/>
  <c r="AK59" i="52"/>
  <c r="AG59" i="52"/>
  <c r="AC59" i="52"/>
  <c r="Y59" i="52"/>
  <c r="U59" i="52"/>
  <c r="T59" i="52"/>
  <c r="S59" i="52"/>
  <c r="R59" i="52"/>
  <c r="N59" i="52"/>
  <c r="M59" i="52"/>
  <c r="K59" i="52"/>
  <c r="G59" i="52"/>
  <c r="C59" i="52"/>
  <c r="BR58" i="52"/>
  <c r="BQ58" i="52"/>
  <c r="BN58" i="52"/>
  <c r="BM58" i="52"/>
  <c r="BJ58" i="52"/>
  <c r="BI58" i="52"/>
  <c r="BF58" i="52"/>
  <c r="BE58" i="52"/>
  <c r="BB58" i="52"/>
  <c r="BA58" i="52"/>
  <c r="AX58" i="52"/>
  <c r="AW58" i="52"/>
  <c r="AT58" i="52"/>
  <c r="AS58" i="52"/>
  <c r="AP58" i="52"/>
  <c r="AO58" i="52"/>
  <c r="AK58" i="52"/>
  <c r="AG58" i="52"/>
  <c r="AC58" i="52"/>
  <c r="Y58" i="52"/>
  <c r="U58" i="52"/>
  <c r="T58" i="52"/>
  <c r="S58" i="52"/>
  <c r="R58" i="52"/>
  <c r="N58" i="52"/>
  <c r="M58" i="52"/>
  <c r="K58" i="52"/>
  <c r="G58" i="52"/>
  <c r="C58" i="52"/>
  <c r="BR57" i="52"/>
  <c r="BQ57" i="52"/>
  <c r="BN57" i="52"/>
  <c r="BM57" i="52"/>
  <c r="BJ57" i="52"/>
  <c r="BI57" i="52"/>
  <c r="BF57" i="52"/>
  <c r="BE57" i="52"/>
  <c r="BB57" i="52"/>
  <c r="BA57" i="52"/>
  <c r="AX57" i="52"/>
  <c r="AW57" i="52"/>
  <c r="AT57" i="52"/>
  <c r="AS57" i="52"/>
  <c r="AP57" i="52"/>
  <c r="AO57" i="52"/>
  <c r="AK57" i="52"/>
  <c r="AG57" i="52"/>
  <c r="AC57" i="52"/>
  <c r="Y57" i="52"/>
  <c r="U57" i="52"/>
  <c r="T57" i="52"/>
  <c r="S57" i="52"/>
  <c r="R57" i="52"/>
  <c r="N57" i="52"/>
  <c r="M57" i="52"/>
  <c r="K57" i="52"/>
  <c r="G57" i="52"/>
  <c r="C57" i="52"/>
  <c r="BR56" i="52"/>
  <c r="BQ56" i="52"/>
  <c r="BN56" i="52"/>
  <c r="BM56" i="52"/>
  <c r="BJ56" i="52"/>
  <c r="BI56" i="52"/>
  <c r="BF56" i="52"/>
  <c r="BE56" i="52"/>
  <c r="BB56" i="52"/>
  <c r="BA56" i="52"/>
  <c r="AX56" i="52"/>
  <c r="AW56" i="52"/>
  <c r="AT56" i="52"/>
  <c r="AS56" i="52"/>
  <c r="AP56" i="52"/>
  <c r="AO56" i="52"/>
  <c r="AK56" i="52"/>
  <c r="AG56" i="52"/>
  <c r="AC56" i="52"/>
  <c r="Y56" i="52"/>
  <c r="U56" i="52"/>
  <c r="T56" i="52"/>
  <c r="S56" i="52"/>
  <c r="R56" i="52"/>
  <c r="N56" i="52"/>
  <c r="M56" i="52"/>
  <c r="K56" i="52"/>
  <c r="G56" i="52"/>
  <c r="C56" i="52"/>
  <c r="BR55" i="52"/>
  <c r="BQ55" i="52"/>
  <c r="BN55" i="52"/>
  <c r="BM55" i="52"/>
  <c r="BJ55" i="52"/>
  <c r="BI55" i="52"/>
  <c r="BF55" i="52"/>
  <c r="BE55" i="52"/>
  <c r="BB55" i="52"/>
  <c r="BA55" i="52"/>
  <c r="AX55" i="52"/>
  <c r="AW55" i="52"/>
  <c r="AT55" i="52"/>
  <c r="AS55" i="52"/>
  <c r="AP55" i="52"/>
  <c r="AO55" i="52"/>
  <c r="AK55" i="52"/>
  <c r="AG55" i="52"/>
  <c r="AC55" i="52"/>
  <c r="Y55" i="52"/>
  <c r="U55" i="52"/>
  <c r="T55" i="52"/>
  <c r="S55" i="52"/>
  <c r="R55" i="52"/>
  <c r="N55" i="52"/>
  <c r="M55" i="52"/>
  <c r="K55" i="52"/>
  <c r="G55" i="52"/>
  <c r="C55" i="52"/>
  <c r="BR54" i="52"/>
  <c r="BQ54" i="52"/>
  <c r="BN54" i="52"/>
  <c r="BM54" i="52"/>
  <c r="BJ54" i="52"/>
  <c r="BI54" i="52"/>
  <c r="BF54" i="52"/>
  <c r="BE54" i="52"/>
  <c r="BB54" i="52"/>
  <c r="BA54" i="52"/>
  <c r="AX54" i="52"/>
  <c r="AW54" i="52"/>
  <c r="AT54" i="52"/>
  <c r="AS54" i="52"/>
  <c r="AP54" i="52"/>
  <c r="AO54" i="52"/>
  <c r="AK54" i="52"/>
  <c r="AG54" i="52"/>
  <c r="AC54" i="52"/>
  <c r="Y54" i="52"/>
  <c r="U54" i="52"/>
  <c r="T54" i="52"/>
  <c r="S54" i="52"/>
  <c r="R54" i="52"/>
  <c r="N54" i="52"/>
  <c r="M54" i="52"/>
  <c r="K54" i="52"/>
  <c r="G54" i="52"/>
  <c r="C54" i="52"/>
  <c r="BR53" i="52"/>
  <c r="BQ53" i="52"/>
  <c r="BN53" i="52"/>
  <c r="BM53" i="52"/>
  <c r="BJ53" i="52"/>
  <c r="BI53" i="52"/>
  <c r="BF53" i="52"/>
  <c r="BE53" i="52"/>
  <c r="BB53" i="52"/>
  <c r="BA53" i="52"/>
  <c r="AX53" i="52"/>
  <c r="AW53" i="52"/>
  <c r="AT53" i="52"/>
  <c r="AS53" i="52"/>
  <c r="AP53" i="52"/>
  <c r="AO53" i="52"/>
  <c r="AK53" i="52"/>
  <c r="AG53" i="52"/>
  <c r="AC53" i="52"/>
  <c r="Y53" i="52"/>
  <c r="U53" i="52"/>
  <c r="T53" i="52"/>
  <c r="S53" i="52"/>
  <c r="R53" i="52"/>
  <c r="N53" i="52"/>
  <c r="M53" i="52"/>
  <c r="K53" i="52"/>
  <c r="G53" i="52"/>
  <c r="C53" i="52"/>
  <c r="BR52" i="52"/>
  <c r="BQ52" i="52"/>
  <c r="BN52" i="52"/>
  <c r="BM52" i="52"/>
  <c r="BJ52" i="52"/>
  <c r="BI52" i="52"/>
  <c r="BF52" i="52"/>
  <c r="BE52" i="52"/>
  <c r="BB52" i="52"/>
  <c r="BA52" i="52"/>
  <c r="AX52" i="52"/>
  <c r="AW52" i="52"/>
  <c r="AT52" i="52"/>
  <c r="AS52" i="52"/>
  <c r="AP52" i="52"/>
  <c r="AO52" i="52"/>
  <c r="AK52" i="52"/>
  <c r="AG52" i="52"/>
  <c r="AC52" i="52"/>
  <c r="Y52" i="52"/>
  <c r="U52" i="52"/>
  <c r="T52" i="52"/>
  <c r="S52" i="52"/>
  <c r="R52" i="52"/>
  <c r="N52" i="52"/>
  <c r="M52" i="52"/>
  <c r="K52" i="52"/>
  <c r="G52" i="52"/>
  <c r="C52" i="52"/>
  <c r="BR51" i="52"/>
  <c r="BQ51" i="52"/>
  <c r="BN51" i="52"/>
  <c r="BM51" i="52"/>
  <c r="BJ51" i="52"/>
  <c r="BI51" i="52"/>
  <c r="BF51" i="52"/>
  <c r="BE51" i="52"/>
  <c r="BB51" i="52"/>
  <c r="BA51" i="52"/>
  <c r="AX51" i="52"/>
  <c r="AW51" i="52"/>
  <c r="AT51" i="52"/>
  <c r="AS51" i="52"/>
  <c r="AP51" i="52"/>
  <c r="AO51" i="52"/>
  <c r="AK51" i="52"/>
  <c r="AG51" i="52"/>
  <c r="AC51" i="52"/>
  <c r="Y51" i="52"/>
  <c r="U51" i="52"/>
  <c r="T51" i="52"/>
  <c r="S51" i="52"/>
  <c r="R51" i="52"/>
  <c r="N51" i="52"/>
  <c r="M51" i="52"/>
  <c r="K51" i="52"/>
  <c r="G51" i="52"/>
  <c r="C51" i="52"/>
  <c r="BR50" i="52"/>
  <c r="BQ50" i="52"/>
  <c r="BN50" i="52"/>
  <c r="BM50" i="52"/>
  <c r="BJ50" i="52"/>
  <c r="BI50" i="52"/>
  <c r="BF50" i="52"/>
  <c r="BE50" i="52"/>
  <c r="BB50" i="52"/>
  <c r="BA50" i="52"/>
  <c r="AX50" i="52"/>
  <c r="AW50" i="52"/>
  <c r="AT50" i="52"/>
  <c r="AS50" i="52"/>
  <c r="AP50" i="52"/>
  <c r="AO50" i="52"/>
  <c r="AK50" i="52"/>
  <c r="AG50" i="52"/>
  <c r="AC50" i="52"/>
  <c r="Y50" i="52"/>
  <c r="U50" i="52"/>
  <c r="T50" i="52"/>
  <c r="S50" i="52"/>
  <c r="R50" i="52"/>
  <c r="N50" i="52"/>
  <c r="M50" i="52"/>
  <c r="K50" i="52"/>
  <c r="G50" i="52"/>
  <c r="C50" i="52"/>
  <c r="BR49" i="52"/>
  <c r="BQ49" i="52"/>
  <c r="BN49" i="52"/>
  <c r="BM49" i="52"/>
  <c r="BJ49" i="52"/>
  <c r="BI49" i="52"/>
  <c r="BF49" i="52"/>
  <c r="BE49" i="52"/>
  <c r="BB49" i="52"/>
  <c r="BA49" i="52"/>
  <c r="AX49" i="52"/>
  <c r="AW49" i="52"/>
  <c r="AT49" i="52"/>
  <c r="AS49" i="52"/>
  <c r="AP49" i="52"/>
  <c r="AO49" i="52"/>
  <c r="AK49" i="52"/>
  <c r="AG49" i="52"/>
  <c r="AC49" i="52"/>
  <c r="Y49" i="52"/>
  <c r="U49" i="52"/>
  <c r="T49" i="52"/>
  <c r="S49" i="52"/>
  <c r="R49" i="52"/>
  <c r="N49" i="52"/>
  <c r="M49" i="52"/>
  <c r="K49" i="52"/>
  <c r="G49" i="52"/>
  <c r="C49" i="52"/>
  <c r="BR48" i="52"/>
  <c r="BQ48" i="52"/>
  <c r="BN48" i="52"/>
  <c r="BM48" i="52"/>
  <c r="BJ48" i="52"/>
  <c r="BI48" i="52"/>
  <c r="BF48" i="52"/>
  <c r="BE48" i="52"/>
  <c r="BB48" i="52"/>
  <c r="BA48" i="52"/>
  <c r="AX48" i="52"/>
  <c r="AW48" i="52"/>
  <c r="AT48" i="52"/>
  <c r="AS48" i="52"/>
  <c r="AP48" i="52"/>
  <c r="AO48" i="52"/>
  <c r="AK48" i="52"/>
  <c r="AG48" i="52"/>
  <c r="AC48" i="52"/>
  <c r="Y48" i="52"/>
  <c r="U48" i="52"/>
  <c r="T48" i="52"/>
  <c r="S48" i="52"/>
  <c r="R48" i="52"/>
  <c r="N48" i="52"/>
  <c r="M48" i="52"/>
  <c r="K48" i="52"/>
  <c r="G48" i="52"/>
  <c r="C48" i="52"/>
  <c r="BR47" i="52"/>
  <c r="BQ47" i="52"/>
  <c r="BN47" i="52"/>
  <c r="BM47" i="52"/>
  <c r="BJ47" i="52"/>
  <c r="BI47" i="52"/>
  <c r="BF47" i="52"/>
  <c r="BE47" i="52"/>
  <c r="BB47" i="52"/>
  <c r="BA47" i="52"/>
  <c r="AX47" i="52"/>
  <c r="AW47" i="52"/>
  <c r="AT47" i="52"/>
  <c r="AS47" i="52"/>
  <c r="AP47" i="52"/>
  <c r="AO47" i="52"/>
  <c r="AK47" i="52"/>
  <c r="AG47" i="52"/>
  <c r="AC47" i="52"/>
  <c r="Y47" i="52"/>
  <c r="U47" i="52"/>
  <c r="T47" i="52"/>
  <c r="S47" i="52"/>
  <c r="R47" i="52"/>
  <c r="N47" i="52"/>
  <c r="M47" i="52"/>
  <c r="K47" i="52"/>
  <c r="G47" i="52"/>
  <c r="C47" i="52"/>
  <c r="BR46" i="52"/>
  <c r="BQ46" i="52"/>
  <c r="BN46" i="52"/>
  <c r="BM46" i="52"/>
  <c r="BJ46" i="52"/>
  <c r="BI46" i="52"/>
  <c r="BF46" i="52"/>
  <c r="BE46" i="52"/>
  <c r="BB46" i="52"/>
  <c r="BA46" i="52"/>
  <c r="AX46" i="52"/>
  <c r="AW46" i="52"/>
  <c r="AT46" i="52"/>
  <c r="AS46" i="52"/>
  <c r="AP46" i="52"/>
  <c r="AO46" i="52"/>
  <c r="AK46" i="52"/>
  <c r="AG46" i="52"/>
  <c r="AC46" i="52"/>
  <c r="Y46" i="52"/>
  <c r="U46" i="52"/>
  <c r="T46" i="52"/>
  <c r="S46" i="52"/>
  <c r="R46" i="52"/>
  <c r="N46" i="52"/>
  <c r="M46" i="52"/>
  <c r="K46" i="52"/>
  <c r="G46" i="52"/>
  <c r="C46" i="52"/>
  <c r="BR45" i="52"/>
  <c r="BQ45" i="52"/>
  <c r="BN45" i="52"/>
  <c r="BM45" i="52"/>
  <c r="BJ45" i="52"/>
  <c r="BI45" i="52"/>
  <c r="BF45" i="52"/>
  <c r="BE45" i="52"/>
  <c r="BB45" i="52"/>
  <c r="BA45" i="52"/>
  <c r="AX45" i="52"/>
  <c r="AW45" i="52"/>
  <c r="AT45" i="52"/>
  <c r="AS45" i="52"/>
  <c r="AP45" i="52"/>
  <c r="AO45" i="52"/>
  <c r="AK45" i="52"/>
  <c r="AG45" i="52"/>
  <c r="AC45" i="52"/>
  <c r="Y45" i="52"/>
  <c r="U45" i="52"/>
  <c r="T45" i="52"/>
  <c r="S45" i="52"/>
  <c r="R45" i="52"/>
  <c r="N45" i="52"/>
  <c r="M45" i="52"/>
  <c r="K45" i="52"/>
  <c r="G45" i="52"/>
  <c r="C45" i="52"/>
  <c r="BR44" i="52"/>
  <c r="BQ44" i="52"/>
  <c r="BN44" i="52"/>
  <c r="BM44" i="52"/>
  <c r="BJ44" i="52"/>
  <c r="BI44" i="52"/>
  <c r="BF44" i="52"/>
  <c r="BE44" i="52"/>
  <c r="BB44" i="52"/>
  <c r="BA44" i="52"/>
  <c r="AX44" i="52"/>
  <c r="AW44" i="52"/>
  <c r="AT44" i="52"/>
  <c r="AS44" i="52"/>
  <c r="AP44" i="52"/>
  <c r="AO44" i="52"/>
  <c r="AK44" i="52"/>
  <c r="AG44" i="52"/>
  <c r="AC44" i="52"/>
  <c r="Y44" i="52"/>
  <c r="U44" i="52"/>
  <c r="T44" i="52"/>
  <c r="S44" i="52"/>
  <c r="R44" i="52"/>
  <c r="N44" i="52"/>
  <c r="M44" i="52"/>
  <c r="K44" i="52"/>
  <c r="G44" i="52"/>
  <c r="C44" i="52"/>
  <c r="BR43" i="52"/>
  <c r="BQ43" i="52"/>
  <c r="BN43" i="52"/>
  <c r="BM43" i="52"/>
  <c r="BJ43" i="52"/>
  <c r="BI43" i="52"/>
  <c r="BF43" i="52"/>
  <c r="BE43" i="52"/>
  <c r="BB43" i="52"/>
  <c r="BA43" i="52"/>
  <c r="AX43" i="52"/>
  <c r="AW43" i="52"/>
  <c r="AT43" i="52"/>
  <c r="AS43" i="52"/>
  <c r="AP43" i="52"/>
  <c r="AO43" i="52"/>
  <c r="AK43" i="52"/>
  <c r="AG43" i="52"/>
  <c r="AC43" i="52"/>
  <c r="Y43" i="52"/>
  <c r="U43" i="52"/>
  <c r="T43" i="52"/>
  <c r="S43" i="52"/>
  <c r="R43" i="52"/>
  <c r="N43" i="52"/>
  <c r="M43" i="52"/>
  <c r="K43" i="52"/>
  <c r="G43" i="52"/>
  <c r="C43" i="52"/>
  <c r="BR42" i="52"/>
  <c r="BQ42" i="52"/>
  <c r="BN42" i="52"/>
  <c r="BM42" i="52"/>
  <c r="BJ42" i="52"/>
  <c r="BI42" i="52"/>
  <c r="BF42" i="52"/>
  <c r="BE42" i="52"/>
  <c r="BB42" i="52"/>
  <c r="BA42" i="52"/>
  <c r="AX42" i="52"/>
  <c r="AW42" i="52"/>
  <c r="AT42" i="52"/>
  <c r="AS42" i="52"/>
  <c r="AP42" i="52"/>
  <c r="AO42" i="52"/>
  <c r="AK42" i="52"/>
  <c r="AG42" i="52"/>
  <c r="AC42" i="52"/>
  <c r="Y42" i="52"/>
  <c r="U42" i="52"/>
  <c r="T42" i="52"/>
  <c r="S42" i="52"/>
  <c r="R42" i="52"/>
  <c r="N42" i="52"/>
  <c r="M42" i="52"/>
  <c r="K42" i="52"/>
  <c r="G42" i="52"/>
  <c r="C42" i="52"/>
  <c r="BR41" i="52"/>
  <c r="BQ41" i="52"/>
  <c r="BN41" i="52"/>
  <c r="BM41" i="52"/>
  <c r="BJ41" i="52"/>
  <c r="BI41" i="52"/>
  <c r="BF41" i="52"/>
  <c r="BE41" i="52"/>
  <c r="BB41" i="52"/>
  <c r="BA41" i="52"/>
  <c r="AX41" i="52"/>
  <c r="AW41" i="52"/>
  <c r="AT41" i="52"/>
  <c r="AS41" i="52"/>
  <c r="AP41" i="52"/>
  <c r="AO41" i="52"/>
  <c r="AK41" i="52"/>
  <c r="AG41" i="52"/>
  <c r="AC41" i="52"/>
  <c r="Y41" i="52"/>
  <c r="U41" i="52"/>
  <c r="T41" i="52"/>
  <c r="S41" i="52"/>
  <c r="R41" i="52"/>
  <c r="N41" i="52"/>
  <c r="M41" i="52"/>
  <c r="K41" i="52"/>
  <c r="G41" i="52"/>
  <c r="C41" i="52"/>
  <c r="BR40" i="52"/>
  <c r="BQ40" i="52"/>
  <c r="BN40" i="52"/>
  <c r="BM40" i="52"/>
  <c r="BJ40" i="52"/>
  <c r="BI40" i="52"/>
  <c r="BF40" i="52"/>
  <c r="BE40" i="52"/>
  <c r="BB40" i="52"/>
  <c r="BA40" i="52"/>
  <c r="AX40" i="52"/>
  <c r="AW40" i="52"/>
  <c r="AT40" i="52"/>
  <c r="AS40" i="52"/>
  <c r="AP40" i="52"/>
  <c r="AO40" i="52"/>
  <c r="AK40" i="52"/>
  <c r="AG40" i="52"/>
  <c r="AC40" i="52"/>
  <c r="Y40" i="52"/>
  <c r="U40" i="52"/>
  <c r="T40" i="52"/>
  <c r="S40" i="52"/>
  <c r="R40" i="52"/>
  <c r="N40" i="52"/>
  <c r="M40" i="52"/>
  <c r="K40" i="52"/>
  <c r="G40" i="52"/>
  <c r="C40" i="52"/>
  <c r="BR39" i="52"/>
  <c r="BQ39" i="52"/>
  <c r="BN39" i="52"/>
  <c r="BM39" i="52"/>
  <c r="BJ39" i="52"/>
  <c r="BI39" i="52"/>
  <c r="BF39" i="52"/>
  <c r="BE39" i="52"/>
  <c r="BB39" i="52"/>
  <c r="BA39" i="52"/>
  <c r="AX39" i="52"/>
  <c r="AW39" i="52"/>
  <c r="AT39" i="52"/>
  <c r="AS39" i="52"/>
  <c r="AP39" i="52"/>
  <c r="AO39" i="52"/>
  <c r="AK39" i="52"/>
  <c r="AG39" i="52"/>
  <c r="AC39" i="52"/>
  <c r="Y39" i="52"/>
  <c r="U39" i="52"/>
  <c r="T39" i="52"/>
  <c r="S39" i="52"/>
  <c r="R39" i="52"/>
  <c r="N39" i="52"/>
  <c r="M39" i="52"/>
  <c r="K39" i="52"/>
  <c r="G39" i="52"/>
  <c r="C39" i="52"/>
  <c r="BQ38" i="52"/>
  <c r="BM38" i="52"/>
  <c r="BI38" i="52"/>
  <c r="BE38" i="52"/>
  <c r="BA38" i="52"/>
  <c r="AW38" i="52"/>
  <c r="AS38" i="52"/>
  <c r="AO38" i="52"/>
  <c r="AK38" i="52"/>
  <c r="AG38" i="52"/>
  <c r="AC38" i="52"/>
  <c r="Y38" i="52"/>
  <c r="U38" i="52"/>
  <c r="T38" i="52"/>
  <c r="S38" i="52"/>
  <c r="R38" i="52"/>
  <c r="N38" i="52"/>
  <c r="M38" i="52"/>
  <c r="K38" i="52"/>
  <c r="G38" i="52"/>
  <c r="C38" i="52"/>
  <c r="BQ37" i="52"/>
  <c r="BM37" i="52"/>
  <c r="BI37" i="52"/>
  <c r="BE37" i="52"/>
  <c r="BA37" i="52"/>
  <c r="AW37" i="52"/>
  <c r="AS37" i="52"/>
  <c r="AO37" i="52"/>
  <c r="AK37" i="52"/>
  <c r="AG37" i="52"/>
  <c r="AC37" i="52"/>
  <c r="Y37" i="52"/>
  <c r="U37" i="52"/>
  <c r="T37" i="52"/>
  <c r="S37" i="52"/>
  <c r="R37" i="52"/>
  <c r="N37" i="52"/>
  <c r="M37" i="52"/>
  <c r="K37" i="52"/>
  <c r="G37" i="52"/>
  <c r="C37" i="52"/>
  <c r="BQ36" i="52"/>
  <c r="BM36" i="52"/>
  <c r="BI36" i="52"/>
  <c r="BE36" i="52"/>
  <c r="BA36" i="52"/>
  <c r="AW36" i="52"/>
  <c r="AS36" i="52"/>
  <c r="AO36" i="52"/>
  <c r="AK36" i="52"/>
  <c r="AG36" i="52"/>
  <c r="AC36" i="52"/>
  <c r="Y36" i="52"/>
  <c r="U36" i="52"/>
  <c r="T36" i="52"/>
  <c r="S36" i="52"/>
  <c r="R36" i="52"/>
  <c r="N36" i="52"/>
  <c r="M36" i="52"/>
  <c r="K36" i="52"/>
  <c r="G36" i="52"/>
  <c r="C36" i="52"/>
  <c r="BQ35" i="52"/>
  <c r="BM35" i="52"/>
  <c r="BI35" i="52"/>
  <c r="BE35" i="52"/>
  <c r="BA35" i="52"/>
  <c r="AW35" i="52"/>
  <c r="AS35" i="52"/>
  <c r="AO35" i="52"/>
  <c r="AK35" i="52"/>
  <c r="AG35" i="52"/>
  <c r="AC35" i="52"/>
  <c r="Y35" i="52"/>
  <c r="U35" i="52"/>
  <c r="T35" i="52"/>
  <c r="S35" i="52"/>
  <c r="R35" i="52"/>
  <c r="N35" i="52"/>
  <c r="M35" i="52"/>
  <c r="K35" i="52"/>
  <c r="G35" i="52"/>
  <c r="C35" i="52"/>
  <c r="BQ34" i="52"/>
  <c r="BM34" i="52"/>
  <c r="BI34" i="52"/>
  <c r="BE34" i="52"/>
  <c r="BA34" i="52"/>
  <c r="AW34" i="52"/>
  <c r="AS34" i="52"/>
  <c r="AO34" i="52"/>
  <c r="AK34" i="52"/>
  <c r="AG34" i="52"/>
  <c r="AC34" i="52"/>
  <c r="Y34" i="52"/>
  <c r="U34" i="52"/>
  <c r="T34" i="52"/>
  <c r="S34" i="52"/>
  <c r="R34" i="52"/>
  <c r="N34" i="52"/>
  <c r="M34" i="52"/>
  <c r="K34" i="52"/>
  <c r="G34" i="52"/>
  <c r="C34" i="52"/>
  <c r="BQ33" i="52"/>
  <c r="BM33" i="52"/>
  <c r="BI33" i="52"/>
  <c r="BE33" i="52"/>
  <c r="BA33" i="52"/>
  <c r="AW33" i="52"/>
  <c r="AS33" i="52"/>
  <c r="AO33" i="52"/>
  <c r="AK33" i="52"/>
  <c r="AG33" i="52"/>
  <c r="AC33" i="52"/>
  <c r="Y33" i="52"/>
  <c r="U33" i="52"/>
  <c r="T33" i="52"/>
  <c r="S33" i="52"/>
  <c r="R33" i="52"/>
  <c r="N33" i="52"/>
  <c r="M33" i="52"/>
  <c r="K33" i="52"/>
  <c r="G33" i="52"/>
  <c r="C33" i="52"/>
  <c r="BQ32" i="52"/>
  <c r="BM32" i="52"/>
  <c r="BI32" i="52"/>
  <c r="BE32" i="52"/>
  <c r="BA32" i="52"/>
  <c r="AW32" i="52"/>
  <c r="AS32" i="52"/>
  <c r="AO32" i="52"/>
  <c r="AK32" i="52"/>
  <c r="AG32" i="52"/>
  <c r="AC32" i="52"/>
  <c r="Y32" i="52"/>
  <c r="U32" i="52"/>
  <c r="T32" i="52"/>
  <c r="S32" i="52"/>
  <c r="R32" i="52"/>
  <c r="N32" i="52"/>
  <c r="M32" i="52"/>
  <c r="K32" i="52"/>
  <c r="G32" i="52"/>
  <c r="C32" i="52"/>
  <c r="BQ31" i="52"/>
  <c r="BM31" i="52"/>
  <c r="BI31" i="52"/>
  <c r="BE31" i="52"/>
  <c r="BA31" i="52"/>
  <c r="AW31" i="52"/>
  <c r="AS31" i="52"/>
  <c r="AO31" i="52"/>
  <c r="AK31" i="52"/>
  <c r="AG31" i="52"/>
  <c r="AC31" i="52"/>
  <c r="Y31" i="52"/>
  <c r="U31" i="52"/>
  <c r="T31" i="52"/>
  <c r="S31" i="52"/>
  <c r="R31" i="52"/>
  <c r="N31" i="52"/>
  <c r="M31" i="52"/>
  <c r="K31" i="52"/>
  <c r="G31" i="52"/>
  <c r="C31" i="52"/>
  <c r="BQ30" i="52"/>
  <c r="BM30" i="52"/>
  <c r="BI30" i="52"/>
  <c r="BE30" i="52"/>
  <c r="BA30" i="52"/>
  <c r="AW30" i="52"/>
  <c r="AS30" i="52"/>
  <c r="AO30" i="52"/>
  <c r="AK30" i="52"/>
  <c r="AG30" i="52"/>
  <c r="AC30" i="52"/>
  <c r="Y30" i="52"/>
  <c r="U30" i="52"/>
  <c r="T30" i="52"/>
  <c r="S30" i="52"/>
  <c r="R30" i="52"/>
  <c r="N30" i="52"/>
  <c r="M30" i="52"/>
  <c r="K30" i="52"/>
  <c r="G30" i="52"/>
  <c r="C30" i="52"/>
  <c r="BQ29" i="52"/>
  <c r="BM29" i="52"/>
  <c r="BI29" i="52"/>
  <c r="BE29" i="52"/>
  <c r="BA29" i="52"/>
  <c r="AW29" i="52"/>
  <c r="AS29" i="52"/>
  <c r="AO29" i="52"/>
  <c r="AK29" i="52"/>
  <c r="AG29" i="52"/>
  <c r="AC29" i="52"/>
  <c r="Y29" i="52"/>
  <c r="U29" i="52"/>
  <c r="T29" i="52"/>
  <c r="S29" i="52"/>
  <c r="R29" i="52"/>
  <c r="N29" i="52"/>
  <c r="M29" i="52"/>
  <c r="K29" i="52"/>
  <c r="G29" i="52"/>
  <c r="C29" i="52"/>
  <c r="BQ28" i="52"/>
  <c r="BM28" i="52"/>
  <c r="BI28" i="52"/>
  <c r="BE28" i="52"/>
  <c r="BA28" i="52"/>
  <c r="AW28" i="52"/>
  <c r="AS28" i="52"/>
  <c r="AO28" i="52"/>
  <c r="AK28" i="52"/>
  <c r="AG28" i="52"/>
  <c r="AC28" i="52"/>
  <c r="Y28" i="52"/>
  <c r="U28" i="52"/>
  <c r="T28" i="52"/>
  <c r="S28" i="52"/>
  <c r="R28" i="52"/>
  <c r="N28" i="52"/>
  <c r="M28" i="52"/>
  <c r="K28" i="52"/>
  <c r="G28" i="52"/>
  <c r="C28" i="52"/>
  <c r="BQ27" i="52"/>
  <c r="BM27" i="52"/>
  <c r="BI27" i="52"/>
  <c r="BE27" i="52"/>
  <c r="BA27" i="52"/>
  <c r="AW27" i="52"/>
  <c r="AS27" i="52"/>
  <c r="AO27" i="52"/>
  <c r="AK27" i="52"/>
  <c r="AG27" i="52"/>
  <c r="AC27" i="52"/>
  <c r="Y27" i="52"/>
  <c r="U27" i="52"/>
  <c r="T27" i="52"/>
  <c r="S27" i="52"/>
  <c r="R27" i="52"/>
  <c r="N27" i="52"/>
  <c r="M27" i="52"/>
  <c r="K27" i="52"/>
  <c r="G27" i="52"/>
  <c r="C27" i="52"/>
  <c r="BQ26" i="52"/>
  <c r="BM26" i="52"/>
  <c r="BI26" i="52"/>
  <c r="BE26" i="52"/>
  <c r="BA26" i="52"/>
  <c r="AW26" i="52"/>
  <c r="AS26" i="52"/>
  <c r="AO26" i="52"/>
  <c r="AK26" i="52"/>
  <c r="AG26" i="52"/>
  <c r="AC26" i="52"/>
  <c r="Y26" i="52"/>
  <c r="U26" i="52"/>
  <c r="T26" i="52"/>
  <c r="S26" i="52"/>
  <c r="R26" i="52"/>
  <c r="N26" i="52"/>
  <c r="M26" i="52"/>
  <c r="K26" i="52"/>
  <c r="G26" i="52"/>
  <c r="C26" i="52"/>
  <c r="BQ25" i="52"/>
  <c r="BM25" i="52"/>
  <c r="BI25" i="52"/>
  <c r="BE25" i="52"/>
  <c r="BA25" i="52"/>
  <c r="AW25" i="52"/>
  <c r="AS25" i="52"/>
  <c r="AO25" i="52"/>
  <c r="AK25" i="52"/>
  <c r="AG25" i="52"/>
  <c r="AC25" i="52"/>
  <c r="Y25" i="52"/>
  <c r="U25" i="52"/>
  <c r="T25" i="52"/>
  <c r="S25" i="52"/>
  <c r="R25" i="52"/>
  <c r="N25" i="52"/>
  <c r="M25" i="52"/>
  <c r="K25" i="52"/>
  <c r="G25" i="52"/>
  <c r="C25" i="52"/>
  <c r="BQ24" i="52"/>
  <c r="BM24" i="52"/>
  <c r="BI24" i="52"/>
  <c r="BE24" i="52"/>
  <c r="BA24" i="52"/>
  <c r="AW24" i="52"/>
  <c r="AS24" i="52"/>
  <c r="AO24" i="52"/>
  <c r="AK24" i="52"/>
  <c r="AG24" i="52"/>
  <c r="AC24" i="52"/>
  <c r="Y24" i="52"/>
  <c r="U24" i="52"/>
  <c r="T24" i="52"/>
  <c r="S24" i="52"/>
  <c r="R24" i="52"/>
  <c r="N24" i="52"/>
  <c r="M24" i="52"/>
  <c r="K24" i="52"/>
  <c r="G24" i="52"/>
  <c r="C24" i="52"/>
  <c r="BQ23" i="52"/>
  <c r="BM23" i="52"/>
  <c r="BI23" i="52"/>
  <c r="BE23" i="52"/>
  <c r="BA23" i="52"/>
  <c r="AW23" i="52"/>
  <c r="AS23" i="52"/>
  <c r="AO23" i="52"/>
  <c r="AK23" i="52"/>
  <c r="AG23" i="52"/>
  <c r="AC23" i="52"/>
  <c r="Y23" i="52"/>
  <c r="U23" i="52"/>
  <c r="T23" i="52"/>
  <c r="S23" i="52"/>
  <c r="R23" i="52"/>
  <c r="N23" i="52"/>
  <c r="M23" i="52"/>
  <c r="K23" i="52"/>
  <c r="G23" i="52"/>
  <c r="C23" i="52"/>
  <c r="BQ22" i="52"/>
  <c r="BM22" i="52"/>
  <c r="BI22" i="52"/>
  <c r="BE22" i="52"/>
  <c r="BA22" i="52"/>
  <c r="AW22" i="52"/>
  <c r="AS22" i="52"/>
  <c r="AO22" i="52"/>
  <c r="AK22" i="52"/>
  <c r="AG22" i="52"/>
  <c r="AC22" i="52"/>
  <c r="Y22" i="52"/>
  <c r="U22" i="52"/>
  <c r="T22" i="52"/>
  <c r="S22" i="52"/>
  <c r="R22" i="52"/>
  <c r="N22" i="52"/>
  <c r="M22" i="52"/>
  <c r="K22" i="52"/>
  <c r="G22" i="52"/>
  <c r="C22" i="52"/>
  <c r="BQ21" i="52"/>
  <c r="BM21" i="52"/>
  <c r="BI21" i="52"/>
  <c r="BE21" i="52"/>
  <c r="BA21" i="52"/>
  <c r="AW21" i="52"/>
  <c r="AS21" i="52"/>
  <c r="AO21" i="52"/>
  <c r="AK21" i="52"/>
  <c r="AG21" i="52"/>
  <c r="AC21" i="52"/>
  <c r="Y21" i="52"/>
  <c r="U21" i="52"/>
  <c r="T21" i="52"/>
  <c r="S21" i="52"/>
  <c r="R21" i="52"/>
  <c r="N21" i="52"/>
  <c r="M21" i="52"/>
  <c r="K21" i="52"/>
  <c r="G21" i="52"/>
  <c r="C21" i="52"/>
  <c r="BQ20" i="52"/>
  <c r="BM20" i="52"/>
  <c r="BI20" i="52"/>
  <c r="BE20" i="52"/>
  <c r="BA20" i="52"/>
  <c r="AW20" i="52"/>
  <c r="AS20" i="52"/>
  <c r="AO20" i="52"/>
  <c r="AK20" i="52"/>
  <c r="AG20" i="52"/>
  <c r="AC20" i="52"/>
  <c r="Y20" i="52"/>
  <c r="U20" i="52"/>
  <c r="T20" i="52"/>
  <c r="S20" i="52"/>
  <c r="R20" i="52"/>
  <c r="N20" i="52"/>
  <c r="M20" i="52"/>
  <c r="K20" i="52"/>
  <c r="G20" i="52"/>
  <c r="C20" i="52"/>
  <c r="BQ19" i="52"/>
  <c r="BM19" i="52"/>
  <c r="BI19" i="52"/>
  <c r="BE19" i="52"/>
  <c r="BA19" i="52"/>
  <c r="AW19" i="52"/>
  <c r="AS19" i="52"/>
  <c r="AO19" i="52"/>
  <c r="AK19" i="52"/>
  <c r="AG19" i="52"/>
  <c r="AC19" i="52"/>
  <c r="Y19" i="52"/>
  <c r="U19" i="52"/>
  <c r="T19" i="52"/>
  <c r="S19" i="52"/>
  <c r="R19" i="52"/>
  <c r="N19" i="52"/>
  <c r="M19" i="52"/>
  <c r="K19" i="52"/>
  <c r="G19" i="52"/>
  <c r="C19" i="52"/>
  <c r="BQ18" i="52"/>
  <c r="BM18" i="52"/>
  <c r="BI18" i="52"/>
  <c r="BE18" i="52"/>
  <c r="BA18" i="52"/>
  <c r="AW18" i="52"/>
  <c r="AS18" i="52"/>
  <c r="AO18" i="52"/>
  <c r="AK18" i="52"/>
  <c r="AG18" i="52"/>
  <c r="AC18" i="52"/>
  <c r="Y18" i="52"/>
  <c r="U18" i="52"/>
  <c r="T18" i="52"/>
  <c r="S18" i="52"/>
  <c r="R18" i="52"/>
  <c r="N18" i="52"/>
  <c r="M18" i="52"/>
  <c r="K18" i="52"/>
  <c r="G18" i="52"/>
  <c r="C18" i="52"/>
  <c r="BQ17" i="52"/>
  <c r="BM17" i="52"/>
  <c r="BI17" i="52"/>
  <c r="BE17" i="52"/>
  <c r="BA17" i="52"/>
  <c r="AW17" i="52"/>
  <c r="AS17" i="52"/>
  <c r="AO17" i="52"/>
  <c r="AK17" i="52"/>
  <c r="AG17" i="52"/>
  <c r="AC17" i="52"/>
  <c r="Y17" i="52"/>
  <c r="U17" i="52"/>
  <c r="T17" i="52"/>
  <c r="S17" i="52"/>
  <c r="R17" i="52"/>
  <c r="N17" i="52"/>
  <c r="M17" i="52"/>
  <c r="K17" i="52"/>
  <c r="G17" i="52"/>
  <c r="C17" i="52"/>
  <c r="BQ16" i="52"/>
  <c r="BM16" i="52"/>
  <c r="BI16" i="52"/>
  <c r="BE16" i="52"/>
  <c r="BA16" i="52"/>
  <c r="AW16" i="52"/>
  <c r="AS16" i="52"/>
  <c r="AO16" i="52"/>
  <c r="AK16" i="52"/>
  <c r="AG16" i="52"/>
  <c r="AC16" i="52"/>
  <c r="Y16" i="52"/>
  <c r="U16" i="52"/>
  <c r="T16" i="52"/>
  <c r="S16" i="52"/>
  <c r="R16" i="52"/>
  <c r="N16" i="52"/>
  <c r="M16" i="52"/>
  <c r="K16" i="52"/>
  <c r="G16" i="52"/>
  <c r="C16" i="52"/>
  <c r="BQ15" i="52"/>
  <c r="BM15" i="52"/>
  <c r="BI15" i="52"/>
  <c r="BE15" i="52"/>
  <c r="BA15" i="52"/>
  <c r="AW15" i="52"/>
  <c r="AS15" i="52"/>
  <c r="AO15" i="52"/>
  <c r="AK15" i="52"/>
  <c r="AG15" i="52"/>
  <c r="AC15" i="52"/>
  <c r="Y15" i="52"/>
  <c r="U15" i="52"/>
  <c r="T15" i="52"/>
  <c r="S15" i="52"/>
  <c r="R15" i="52"/>
  <c r="N15" i="52"/>
  <c r="M15" i="52"/>
  <c r="K15" i="52"/>
  <c r="G15" i="52"/>
  <c r="C15" i="52"/>
  <c r="BQ14" i="52"/>
  <c r="BM14" i="52"/>
  <c r="BI14" i="52"/>
  <c r="BE14" i="52"/>
  <c r="BA14" i="52"/>
  <c r="AW14" i="52"/>
  <c r="AS14" i="52"/>
  <c r="AO14" i="52"/>
  <c r="AK14" i="52"/>
  <c r="AG14" i="52"/>
  <c r="AC14" i="52"/>
  <c r="Y14" i="52"/>
  <c r="U14" i="52"/>
  <c r="T14" i="52"/>
  <c r="S14" i="52"/>
  <c r="R14" i="52"/>
  <c r="N14" i="52"/>
  <c r="M14" i="52"/>
  <c r="K14" i="52"/>
  <c r="G14" i="52"/>
  <c r="C14" i="52"/>
  <c r="BQ13" i="52"/>
  <c r="BM13" i="52"/>
  <c r="BI13" i="52"/>
  <c r="BE13" i="52"/>
  <c r="BA13" i="52"/>
  <c r="AW13" i="52"/>
  <c r="AS13" i="52"/>
  <c r="AO13" i="52"/>
  <c r="AK13" i="52"/>
  <c r="AG13" i="52"/>
  <c r="AC13" i="52"/>
  <c r="Y13" i="52"/>
  <c r="U13" i="52"/>
  <c r="T13" i="52"/>
  <c r="S13" i="52"/>
  <c r="R13" i="52"/>
  <c r="N13" i="52"/>
  <c r="M13" i="52"/>
  <c r="K13" i="52"/>
  <c r="G13" i="52"/>
  <c r="C13" i="52"/>
  <c r="BQ12" i="52"/>
  <c r="BM12" i="52"/>
  <c r="BI12" i="52"/>
  <c r="BE12" i="52"/>
  <c r="BA12" i="52"/>
  <c r="AW12" i="52"/>
  <c r="AS12" i="52"/>
  <c r="AO12" i="52"/>
  <c r="AK12" i="52"/>
  <c r="AG12" i="52"/>
  <c r="AC12" i="52"/>
  <c r="Y12" i="52"/>
  <c r="U12" i="52"/>
  <c r="T12" i="52"/>
  <c r="S12" i="52"/>
  <c r="R12" i="52"/>
  <c r="N12" i="52"/>
  <c r="M12" i="52"/>
  <c r="K12" i="52"/>
  <c r="G12" i="52"/>
  <c r="C12" i="52"/>
  <c r="BQ11" i="52"/>
  <c r="BM11" i="52"/>
  <c r="BI11" i="52"/>
  <c r="BE11" i="52"/>
  <c r="BA11" i="52"/>
  <c r="AW11" i="52"/>
  <c r="AS11" i="52"/>
  <c r="AO11" i="52"/>
  <c r="AK11" i="52"/>
  <c r="AG11" i="52"/>
  <c r="AC11" i="52"/>
  <c r="Y11" i="52"/>
  <c r="U11" i="52"/>
  <c r="T11" i="52"/>
  <c r="S11" i="52"/>
  <c r="R11" i="52"/>
  <c r="N11" i="52"/>
  <c r="M11" i="52"/>
  <c r="K11" i="52"/>
  <c r="G11" i="52"/>
  <c r="C11" i="52"/>
  <c r="BQ10" i="52"/>
  <c r="BM10" i="52"/>
  <c r="BI10" i="52"/>
  <c r="BE10" i="52"/>
  <c r="BA10" i="52"/>
  <c r="AW10" i="52"/>
  <c r="AS10" i="52"/>
  <c r="AO10" i="52"/>
  <c r="AK10" i="52"/>
  <c r="AG10" i="52"/>
  <c r="AC10" i="52"/>
  <c r="Y10" i="52"/>
  <c r="U10" i="52"/>
  <c r="T10" i="52"/>
  <c r="S10" i="52"/>
  <c r="R10" i="52"/>
  <c r="N10" i="52"/>
  <c r="M10" i="52"/>
  <c r="K10" i="52"/>
  <c r="G10" i="52"/>
  <c r="C10" i="52"/>
  <c r="BQ9" i="52"/>
  <c r="BM9" i="52"/>
  <c r="BI9" i="52"/>
  <c r="BE9" i="52"/>
  <c r="BA9" i="52"/>
  <c r="AW9" i="52"/>
  <c r="AS9" i="52"/>
  <c r="AO9" i="52"/>
  <c r="AK9" i="52"/>
  <c r="AG9" i="52"/>
  <c r="AC9" i="52"/>
  <c r="Y9" i="52"/>
  <c r="U9" i="52"/>
  <c r="T9" i="52"/>
  <c r="S9" i="52"/>
  <c r="R9" i="52"/>
  <c r="N9" i="52"/>
  <c r="M9" i="52"/>
  <c r="K9" i="52"/>
  <c r="G9" i="52"/>
  <c r="C9" i="52"/>
  <c r="BR7" i="52"/>
  <c r="BN7" i="52"/>
  <c r="BJ7" i="52"/>
  <c r="BF7" i="52"/>
  <c r="BB7" i="52"/>
  <c r="AX7" i="52"/>
  <c r="BQ6" i="52"/>
  <c r="BM6" i="52"/>
  <c r="BI6" i="52"/>
  <c r="BE6" i="52"/>
  <c r="BA6" i="52"/>
  <c r="AW6" i="52"/>
  <c r="AS6" i="52"/>
  <c r="AO6" i="52"/>
  <c r="AK6" i="52"/>
  <c r="AG6" i="52"/>
  <c r="AC6" i="52"/>
  <c r="Y6" i="52"/>
  <c r="BP4" i="52"/>
  <c r="BL4" i="52"/>
  <c r="BH4" i="52"/>
  <c r="BD4" i="52"/>
  <c r="AZ4" i="52"/>
  <c r="AV4" i="52"/>
  <c r="AR4" i="52"/>
  <c r="AN4" i="52"/>
  <c r="X4" i="52"/>
  <c r="BR3" i="52"/>
  <c r="BQ3" i="52"/>
  <c r="BP3" i="52"/>
  <c r="BO3" i="52"/>
  <c r="BN3" i="52"/>
  <c r="BM3" i="52"/>
  <c r="BL3" i="52"/>
  <c r="BK3" i="52"/>
  <c r="BJ3" i="52"/>
  <c r="BI3" i="52"/>
  <c r="BH3" i="52"/>
  <c r="BG3" i="52"/>
  <c r="BF3" i="52"/>
  <c r="BE3" i="52"/>
  <c r="BD3" i="52"/>
  <c r="BC3" i="52"/>
  <c r="BB3" i="52"/>
  <c r="BA3" i="52"/>
  <c r="AZ3" i="52"/>
  <c r="AY3" i="52"/>
  <c r="AX3" i="52"/>
  <c r="AW3" i="52"/>
  <c r="AV3" i="52"/>
  <c r="AU3" i="52"/>
  <c r="AT3" i="52"/>
  <c r="AS3" i="52"/>
  <c r="AR3" i="52"/>
  <c r="AQ3" i="52"/>
  <c r="AP3" i="52"/>
  <c r="AO3" i="52"/>
  <c r="AN3" i="52"/>
  <c r="AM3" i="52"/>
  <c r="AL3" i="52"/>
  <c r="AK3" i="52"/>
  <c r="AJ3" i="52"/>
  <c r="AI3" i="52"/>
  <c r="AH3" i="52"/>
  <c r="AG3" i="52"/>
  <c r="AF3" i="52"/>
  <c r="AE3" i="52"/>
  <c r="AD3" i="52"/>
  <c r="AC3" i="52"/>
  <c r="AB3" i="52"/>
  <c r="AA3" i="52"/>
  <c r="Z3" i="52"/>
  <c r="Y3" i="52"/>
  <c r="X3" i="52"/>
  <c r="W3" i="52"/>
  <c r="V3" i="52"/>
  <c r="U3" i="52"/>
  <c r="T3" i="52"/>
  <c r="S3" i="52"/>
  <c r="R3" i="52"/>
  <c r="Q3" i="52"/>
  <c r="P3" i="52"/>
  <c r="O3" i="52"/>
  <c r="N3" i="52"/>
  <c r="M3" i="52"/>
  <c r="L3" i="52"/>
  <c r="K3" i="52"/>
  <c r="J3" i="52"/>
  <c r="I3" i="52"/>
  <c r="H3" i="52"/>
  <c r="G3" i="52"/>
  <c r="F3" i="52"/>
  <c r="E3" i="52"/>
  <c r="D3" i="52"/>
  <c r="C3" i="52"/>
  <c r="B3" i="52"/>
  <c r="BQ1" i="52"/>
  <c r="BP1" i="52"/>
  <c r="BM1" i="52"/>
  <c r="BL1" i="52"/>
  <c r="BI1" i="52"/>
  <c r="BH1" i="52"/>
  <c r="BE1" i="52"/>
  <c r="BD1" i="52"/>
  <c r="BA1" i="52"/>
  <c r="AZ1" i="52"/>
  <c r="AW1" i="52"/>
  <c r="AV1" i="52"/>
  <c r="AS1" i="52"/>
  <c r="AR1" i="52"/>
  <c r="AO1" i="52"/>
  <c r="AK1" i="52"/>
  <c r="AG1" i="52"/>
  <c r="AC1" i="52"/>
  <c r="Y1" i="52"/>
  <c r="U1" i="52"/>
  <c r="T1" i="52"/>
  <c r="S1" i="52"/>
  <c r="R1" i="52"/>
  <c r="AU5" i="23"/>
  <c r="D47" i="49"/>
  <c r="B47" i="49"/>
  <c r="A47" i="49"/>
  <c r="D46" i="49"/>
  <c r="B46" i="49"/>
  <c r="A46" i="49"/>
  <c r="D45" i="49"/>
  <c r="B45" i="49"/>
  <c r="A45" i="49"/>
  <c r="D44" i="49"/>
  <c r="B44" i="49"/>
  <c r="A44" i="49"/>
  <c r="D43" i="49"/>
  <c r="B43" i="49"/>
  <c r="A43" i="49"/>
  <c r="D42" i="49"/>
  <c r="B42" i="49"/>
  <c r="A42" i="49"/>
  <c r="D41" i="49"/>
  <c r="B41" i="49"/>
  <c r="A41" i="49"/>
  <c r="D40" i="49"/>
  <c r="B40" i="49"/>
  <c r="A40" i="49"/>
  <c r="D39" i="49"/>
  <c r="B39" i="49"/>
  <c r="A39" i="49"/>
  <c r="D38" i="49"/>
  <c r="B38" i="49"/>
  <c r="A38" i="49"/>
  <c r="D37" i="49"/>
  <c r="B37" i="49"/>
  <c r="A37" i="49"/>
  <c r="D36" i="49"/>
  <c r="B36" i="49"/>
  <c r="A36" i="49"/>
  <c r="D35" i="49"/>
  <c r="B35" i="49"/>
  <c r="A35" i="49"/>
  <c r="D34" i="49"/>
  <c r="B34" i="49"/>
  <c r="A34" i="49"/>
  <c r="D33" i="49"/>
  <c r="B33" i="49"/>
  <c r="A33" i="49"/>
  <c r="D32" i="49"/>
  <c r="B32" i="49"/>
  <c r="A32" i="49"/>
  <c r="D31" i="49"/>
  <c r="B31" i="49"/>
  <c r="A31" i="49"/>
  <c r="D30" i="49"/>
  <c r="B30" i="49"/>
  <c r="A30" i="49"/>
  <c r="D29" i="49"/>
  <c r="B29" i="49"/>
  <c r="A29" i="49"/>
  <c r="D28" i="49"/>
  <c r="B28" i="49"/>
  <c r="A28" i="49"/>
  <c r="D27" i="49"/>
  <c r="B27" i="49"/>
  <c r="A27" i="49"/>
  <c r="D26" i="49"/>
  <c r="B26" i="49"/>
  <c r="A26" i="49"/>
  <c r="D25" i="49"/>
  <c r="B25" i="49"/>
  <c r="A25" i="49"/>
  <c r="D24" i="49"/>
  <c r="B24" i="49"/>
  <c r="A24" i="49"/>
  <c r="D23" i="49"/>
  <c r="B23" i="49"/>
  <c r="A23" i="49"/>
  <c r="D22" i="49"/>
  <c r="B22" i="49"/>
  <c r="A22" i="49"/>
  <c r="D21" i="49"/>
  <c r="B21" i="49"/>
  <c r="A21" i="49"/>
  <c r="D20" i="49"/>
  <c r="B20" i="49"/>
  <c r="A20" i="49"/>
  <c r="D19" i="49"/>
  <c r="B19" i="49"/>
  <c r="A19" i="49"/>
  <c r="D18" i="49"/>
  <c r="B18" i="49"/>
  <c r="A18" i="49"/>
  <c r="D17" i="49"/>
  <c r="B17" i="49"/>
  <c r="A17" i="49"/>
  <c r="D16" i="49"/>
  <c r="B16" i="49"/>
  <c r="A16" i="49"/>
  <c r="D15" i="49"/>
  <c r="B15" i="49"/>
  <c r="A15" i="49"/>
  <c r="D14" i="49"/>
  <c r="B14" i="49"/>
  <c r="A14" i="49"/>
  <c r="D13" i="49"/>
  <c r="B13" i="49"/>
  <c r="A13" i="49"/>
  <c r="D12" i="49"/>
  <c r="B12" i="49"/>
  <c r="A12" i="49"/>
  <c r="D11" i="49"/>
  <c r="B11" i="49"/>
  <c r="A11" i="49"/>
  <c r="D10" i="49"/>
  <c r="B10" i="49"/>
  <c r="A10" i="49"/>
  <c r="D9" i="49"/>
  <c r="B9" i="49"/>
  <c r="A9" i="49"/>
  <c r="D6" i="49"/>
  <c r="E3" i="49"/>
  <c r="A2" i="49"/>
  <c r="D1" i="49"/>
  <c r="E1" i="49" s="1"/>
  <c r="G49" i="50"/>
  <c r="G47" i="50"/>
  <c r="D47" i="50"/>
  <c r="B47" i="50"/>
  <c r="A47" i="50"/>
  <c r="G46" i="50"/>
  <c r="D46" i="50"/>
  <c r="B46" i="50"/>
  <c r="A46" i="50"/>
  <c r="G45" i="50"/>
  <c r="D45" i="50"/>
  <c r="B45" i="50"/>
  <c r="A45" i="50"/>
  <c r="G44" i="50"/>
  <c r="D44" i="50"/>
  <c r="B44" i="50"/>
  <c r="A44" i="50"/>
  <c r="G43" i="50"/>
  <c r="D43" i="50"/>
  <c r="B43" i="50"/>
  <c r="A43" i="50"/>
  <c r="G42" i="50"/>
  <c r="D42" i="50"/>
  <c r="B42" i="50"/>
  <c r="A42" i="50"/>
  <c r="G41" i="50"/>
  <c r="D41" i="50"/>
  <c r="B41" i="50"/>
  <c r="A41" i="50"/>
  <c r="G40" i="50"/>
  <c r="D40" i="50"/>
  <c r="B40" i="50"/>
  <c r="A40" i="50"/>
  <c r="G39" i="50"/>
  <c r="D39" i="50"/>
  <c r="B39" i="50"/>
  <c r="A39" i="50"/>
  <c r="G38" i="50"/>
  <c r="D38" i="50"/>
  <c r="B38" i="50"/>
  <c r="A38" i="50"/>
  <c r="G37" i="50"/>
  <c r="D37" i="50"/>
  <c r="B37" i="50"/>
  <c r="A37" i="50"/>
  <c r="G36" i="50"/>
  <c r="D36" i="50"/>
  <c r="B36" i="50"/>
  <c r="A36" i="50"/>
  <c r="G35" i="50"/>
  <c r="D35" i="50"/>
  <c r="B35" i="50"/>
  <c r="A35" i="50"/>
  <c r="G34" i="50"/>
  <c r="D34" i="50"/>
  <c r="B34" i="50"/>
  <c r="A34" i="50"/>
  <c r="G33" i="50"/>
  <c r="D33" i="50"/>
  <c r="B33" i="50"/>
  <c r="A33" i="50"/>
  <c r="G32" i="50"/>
  <c r="D32" i="50"/>
  <c r="B32" i="50"/>
  <c r="A32" i="50"/>
  <c r="G31" i="50"/>
  <c r="D31" i="50"/>
  <c r="B31" i="50"/>
  <c r="A31" i="50"/>
  <c r="G30" i="50"/>
  <c r="D30" i="50"/>
  <c r="B30" i="50"/>
  <c r="A30" i="50"/>
  <c r="G29" i="50"/>
  <c r="D29" i="50"/>
  <c r="B29" i="50"/>
  <c r="A29" i="50"/>
  <c r="G28" i="50"/>
  <c r="D28" i="50"/>
  <c r="B28" i="50"/>
  <c r="A28" i="50"/>
  <c r="G27" i="50"/>
  <c r="D27" i="50"/>
  <c r="B27" i="50"/>
  <c r="A27" i="50"/>
  <c r="G26" i="50"/>
  <c r="D26" i="50"/>
  <c r="B26" i="50"/>
  <c r="A26" i="50"/>
  <c r="G25" i="50"/>
  <c r="D25" i="50"/>
  <c r="B25" i="50"/>
  <c r="A25" i="50"/>
  <c r="G24" i="50"/>
  <c r="D24" i="50"/>
  <c r="B24" i="50"/>
  <c r="A24" i="50"/>
  <c r="G23" i="50"/>
  <c r="D23" i="50"/>
  <c r="B23" i="50"/>
  <c r="A23" i="50"/>
  <c r="G22" i="50"/>
  <c r="D22" i="50"/>
  <c r="B22" i="50"/>
  <c r="A22" i="50"/>
  <c r="G21" i="50"/>
  <c r="D21" i="50"/>
  <c r="B21" i="50"/>
  <c r="A21" i="50"/>
  <c r="G20" i="50"/>
  <c r="D20" i="50"/>
  <c r="B20" i="50"/>
  <c r="A20" i="50"/>
  <c r="G19" i="50"/>
  <c r="D19" i="50"/>
  <c r="B19" i="50"/>
  <c r="A19" i="50"/>
  <c r="G18" i="50"/>
  <c r="D18" i="50"/>
  <c r="B18" i="50"/>
  <c r="A18" i="50"/>
  <c r="G17" i="50"/>
  <c r="D17" i="50"/>
  <c r="B17" i="50"/>
  <c r="A17" i="50"/>
  <c r="G16" i="50"/>
  <c r="D16" i="50"/>
  <c r="B16" i="50"/>
  <c r="A16" i="50"/>
  <c r="G15" i="50"/>
  <c r="D15" i="50"/>
  <c r="B15" i="50"/>
  <c r="A15" i="50"/>
  <c r="G14" i="50"/>
  <c r="D14" i="50"/>
  <c r="B14" i="50"/>
  <c r="A14" i="50"/>
  <c r="G13" i="50"/>
  <c r="D13" i="50"/>
  <c r="B13" i="50"/>
  <c r="A13" i="50"/>
  <c r="G12" i="50"/>
  <c r="D12" i="50"/>
  <c r="B12" i="50"/>
  <c r="A12" i="50"/>
  <c r="G11" i="50"/>
  <c r="D11" i="50"/>
  <c r="B11" i="50"/>
  <c r="A11" i="50"/>
  <c r="G10" i="50"/>
  <c r="D10" i="50"/>
  <c r="B10" i="50"/>
  <c r="A10" i="50"/>
  <c r="G9" i="50"/>
  <c r="D9" i="50"/>
  <c r="B9" i="50"/>
  <c r="A9" i="50"/>
  <c r="D6" i="50"/>
  <c r="A2" i="50"/>
  <c r="D1" i="50"/>
  <c r="E1" i="50" s="1"/>
  <c r="C94" i="48"/>
  <c r="B94" i="48"/>
  <c r="C93" i="48"/>
  <c r="B93" i="48"/>
  <c r="A92" i="48"/>
  <c r="A91" i="48"/>
  <c r="A90" i="48"/>
  <c r="A89" i="48"/>
  <c r="A88" i="48"/>
  <c r="A87" i="48"/>
  <c r="A86" i="48"/>
  <c r="A85" i="48"/>
  <c r="A84" i="48"/>
  <c r="A83" i="48"/>
  <c r="A82" i="48"/>
  <c r="A81" i="48"/>
  <c r="A80" i="48"/>
  <c r="A79" i="48"/>
  <c r="A78" i="48"/>
  <c r="A77" i="48"/>
  <c r="A76" i="48"/>
  <c r="A75" i="48"/>
  <c r="A74" i="48"/>
  <c r="A73" i="48"/>
  <c r="A72" i="48"/>
  <c r="A71" i="48"/>
  <c r="A70" i="48"/>
  <c r="A69" i="48"/>
  <c r="A68" i="48"/>
  <c r="A67" i="48"/>
  <c r="A66" i="48"/>
  <c r="A65" i="48"/>
  <c r="A64" i="48"/>
  <c r="A63" i="48"/>
  <c r="A62" i="48"/>
  <c r="A61" i="48"/>
  <c r="A60" i="48"/>
  <c r="A59" i="48"/>
  <c r="F58" i="48"/>
  <c r="A58" i="48"/>
  <c r="A57" i="48"/>
  <c r="F56" i="48"/>
  <c r="A56" i="48"/>
  <c r="A55" i="48"/>
  <c r="A54" i="48"/>
  <c r="I53" i="48"/>
  <c r="H53" i="48"/>
  <c r="G53" i="48"/>
  <c r="E52" i="48"/>
  <c r="A50" i="48"/>
  <c r="A49" i="48"/>
  <c r="A48" i="48"/>
  <c r="A47" i="48"/>
  <c r="A46" i="48"/>
  <c r="A45" i="48"/>
  <c r="A44" i="48"/>
  <c r="A43" i="48"/>
  <c r="A42" i="48"/>
  <c r="A41" i="48"/>
  <c r="A40" i="48"/>
  <c r="A39" i="48"/>
  <c r="A38" i="48"/>
  <c r="A37" i="48"/>
  <c r="A36" i="48"/>
  <c r="A35" i="48"/>
  <c r="A34" i="48"/>
  <c r="A33" i="48"/>
  <c r="A32" i="48"/>
  <c r="A31" i="48"/>
  <c r="A30" i="48"/>
  <c r="A29" i="48"/>
  <c r="A28" i="48"/>
  <c r="A27" i="48"/>
  <c r="A26" i="48"/>
  <c r="A25" i="48"/>
  <c r="A24" i="48"/>
  <c r="A23" i="48"/>
  <c r="A22" i="48"/>
  <c r="A21" i="48"/>
  <c r="A20" i="48"/>
  <c r="A19" i="48"/>
  <c r="A18" i="48"/>
  <c r="A17" i="48"/>
  <c r="F16" i="48"/>
  <c r="A16" i="48"/>
  <c r="A15" i="48"/>
  <c r="F14" i="48"/>
  <c r="A14" i="48"/>
  <c r="A13" i="48"/>
  <c r="A12" i="48"/>
  <c r="I11" i="48"/>
  <c r="H11" i="48"/>
  <c r="G11" i="48"/>
  <c r="E10" i="48"/>
  <c r="A1" i="48"/>
  <c r="J65" i="44"/>
  <c r="I65" i="44"/>
  <c r="F60" i="44"/>
  <c r="D55" i="44"/>
  <c r="B55" i="44"/>
  <c r="D54" i="44"/>
  <c r="D53" i="44"/>
  <c r="D52" i="44"/>
  <c r="D51" i="44"/>
  <c r="B51" i="44"/>
  <c r="D50" i="44"/>
  <c r="D49" i="44"/>
  <c r="D48" i="44"/>
  <c r="H45" i="44"/>
  <c r="H42" i="48" s="1"/>
  <c r="G45" i="44"/>
  <c r="I84" i="48" s="1"/>
  <c r="H44" i="44"/>
  <c r="H41" i="48" s="1"/>
  <c r="G44" i="44"/>
  <c r="I83" i="48" s="1"/>
  <c r="H43" i="44"/>
  <c r="H40" i="48" s="1"/>
  <c r="G43" i="44"/>
  <c r="I82" i="48" s="1"/>
  <c r="H42" i="44"/>
  <c r="H39" i="48" s="1"/>
  <c r="G42" i="44"/>
  <c r="I81" i="48" s="1"/>
  <c r="H39" i="44"/>
  <c r="H25" i="48" s="1"/>
  <c r="G39" i="44"/>
  <c r="I67" i="48" s="1"/>
  <c r="H38" i="44"/>
  <c r="H24" i="48" s="1"/>
  <c r="G38" i="44"/>
  <c r="I66" i="48" s="1"/>
  <c r="H37" i="44"/>
  <c r="H23" i="48" s="1"/>
  <c r="G37" i="44"/>
  <c r="I65" i="48" s="1"/>
  <c r="H36" i="44"/>
  <c r="G36" i="44"/>
  <c r="H35" i="44"/>
  <c r="H21" i="48" s="1"/>
  <c r="G35" i="44"/>
  <c r="I63" i="48" s="1"/>
  <c r="H32" i="44"/>
  <c r="H38" i="48" s="1"/>
  <c r="G32" i="44"/>
  <c r="I80" i="48" s="1"/>
  <c r="C32" i="44"/>
  <c r="H31" i="44"/>
  <c r="H35" i="48" s="1"/>
  <c r="G31" i="44"/>
  <c r="I77" i="48" s="1"/>
  <c r="C31" i="44"/>
  <c r="H30" i="44"/>
  <c r="H33" i="48" s="1"/>
  <c r="G30" i="44"/>
  <c r="I75" i="48" s="1"/>
  <c r="C30" i="44"/>
  <c r="H29" i="44"/>
  <c r="H31" i="48" s="1"/>
  <c r="G29" i="44"/>
  <c r="I73" i="48" s="1"/>
  <c r="C29" i="44"/>
  <c r="H28" i="44"/>
  <c r="H29" i="48" s="1"/>
  <c r="G28" i="44"/>
  <c r="I71" i="48" s="1"/>
  <c r="C28" i="44"/>
  <c r="H27" i="44"/>
  <c r="H27" i="48" s="1"/>
  <c r="G27" i="44"/>
  <c r="I69" i="48" s="1"/>
  <c r="C27" i="44"/>
  <c r="D27" i="44" s="1"/>
  <c r="B27" i="44"/>
  <c r="B28" i="44" s="1"/>
  <c r="B29" i="44" s="1"/>
  <c r="H24" i="44"/>
  <c r="H37" i="48" s="1"/>
  <c r="G24" i="44"/>
  <c r="I79" i="48" s="1"/>
  <c r="C24" i="44"/>
  <c r="H23" i="44"/>
  <c r="H34" i="48" s="1"/>
  <c r="G23" i="44"/>
  <c r="I76" i="48" s="1"/>
  <c r="C23" i="44"/>
  <c r="H22" i="44"/>
  <c r="H36" i="48" s="1"/>
  <c r="G22" i="44"/>
  <c r="I78" i="48" s="1"/>
  <c r="C22" i="44"/>
  <c r="H21" i="44"/>
  <c r="H32" i="48" s="1"/>
  <c r="G21" i="44"/>
  <c r="I74" i="48" s="1"/>
  <c r="C21" i="44"/>
  <c r="H20" i="44"/>
  <c r="H30" i="48" s="1"/>
  <c r="G20" i="44"/>
  <c r="I72" i="48" s="1"/>
  <c r="C20" i="44"/>
  <c r="H19" i="44"/>
  <c r="H28" i="48" s="1"/>
  <c r="G19" i="44"/>
  <c r="I70" i="48" s="1"/>
  <c r="C19" i="44"/>
  <c r="H18" i="44"/>
  <c r="H26" i="48" s="1"/>
  <c r="G18" i="44"/>
  <c r="I68" i="48" s="1"/>
  <c r="C18" i="44"/>
  <c r="B18" i="44"/>
  <c r="B23" i="44" s="1"/>
  <c r="D23" i="44" s="1"/>
  <c r="H15" i="44"/>
  <c r="G15" i="44"/>
  <c r="C15" i="44"/>
  <c r="B15" i="44"/>
  <c r="D15" i="44" s="1"/>
  <c r="H14" i="44"/>
  <c r="G14" i="44"/>
  <c r="C14" i="44"/>
  <c r="B14" i="44"/>
  <c r="H13" i="44"/>
  <c r="H16" i="48" s="1"/>
  <c r="G13" i="44"/>
  <c r="I58" i="48" s="1"/>
  <c r="C13" i="44"/>
  <c r="B13" i="44"/>
  <c r="D13" i="44" s="1"/>
  <c r="H12" i="44"/>
  <c r="H14" i="48" s="1"/>
  <c r="G12" i="44"/>
  <c r="C12" i="44"/>
  <c r="B12" i="44"/>
  <c r="H9" i="44"/>
  <c r="H20" i="48" s="1"/>
  <c r="G9" i="44"/>
  <c r="I62" i="48" s="1"/>
  <c r="C9" i="44"/>
  <c r="H8" i="44"/>
  <c r="H18" i="48" s="1"/>
  <c r="G8" i="44"/>
  <c r="I60" i="48" s="1"/>
  <c r="C8" i="44"/>
  <c r="H7" i="44"/>
  <c r="H19" i="48" s="1"/>
  <c r="G7" i="44"/>
  <c r="I61" i="48" s="1"/>
  <c r="C7" i="44"/>
  <c r="H6" i="44"/>
  <c r="H17" i="48" s="1"/>
  <c r="G6" i="44"/>
  <c r="C6" i="44"/>
  <c r="H5" i="44"/>
  <c r="H15" i="48" s="1"/>
  <c r="G5" i="44"/>
  <c r="I57" i="48" s="1"/>
  <c r="C5" i="44"/>
  <c r="H4" i="44"/>
  <c r="H13" i="48" s="1"/>
  <c r="G4" i="44"/>
  <c r="I55" i="48" s="1"/>
  <c r="C4" i="44"/>
  <c r="H3" i="44"/>
  <c r="G3" i="44"/>
  <c r="D3" i="44"/>
  <c r="C3" i="44"/>
  <c r="B3" i="44"/>
  <c r="B9" i="44" s="1"/>
  <c r="J1" i="44"/>
  <c r="D62" i="44" s="1"/>
  <c r="I1" i="44"/>
  <c r="D61" i="44" s="1"/>
  <c r="H1" i="44"/>
  <c r="G1" i="44"/>
  <c r="I136" i="43"/>
  <c r="E136" i="43"/>
  <c r="I133" i="43"/>
  <c r="H133" i="43"/>
  <c r="G133" i="43"/>
  <c r="F133" i="43"/>
  <c r="I122" i="43"/>
  <c r="H122" i="43"/>
  <c r="G122" i="43"/>
  <c r="F122" i="43"/>
  <c r="I104" i="43"/>
  <c r="H104" i="43"/>
  <c r="G104" i="43"/>
  <c r="F104" i="43"/>
  <c r="I49" i="43"/>
  <c r="H49" i="43"/>
  <c r="G49" i="43"/>
  <c r="F49" i="43"/>
  <c r="G1" i="43"/>
  <c r="F1" i="43"/>
  <c r="C80" i="35"/>
  <c r="B80" i="35"/>
  <c r="C79" i="35"/>
  <c r="B79" i="35"/>
  <c r="C78" i="35"/>
  <c r="C77" i="35"/>
  <c r="B77" i="35"/>
  <c r="C76" i="35"/>
  <c r="C75" i="35"/>
  <c r="E64" i="35"/>
  <c r="C63" i="35"/>
  <c r="C62" i="35"/>
  <c r="C61" i="35"/>
  <c r="C60" i="35"/>
  <c r="C59" i="35"/>
  <c r="C58" i="35"/>
  <c r="C57" i="35"/>
  <c r="C56" i="35"/>
  <c r="B54" i="35"/>
  <c r="B53" i="35"/>
  <c r="B52" i="35"/>
  <c r="B51" i="35"/>
  <c r="B50" i="35"/>
  <c r="B48" i="35"/>
  <c r="B47" i="35"/>
  <c r="B46" i="35"/>
  <c r="B45" i="35"/>
  <c r="B44" i="35"/>
  <c r="B43" i="35"/>
  <c r="B42" i="35"/>
  <c r="B41" i="35"/>
  <c r="B40" i="35"/>
  <c r="B37" i="35"/>
  <c r="B36" i="35"/>
  <c r="B35" i="35"/>
  <c r="B34" i="35"/>
  <c r="B33" i="35"/>
  <c r="B32" i="35"/>
  <c r="B31" i="35"/>
  <c r="B30" i="35"/>
  <c r="B29" i="35"/>
  <c r="B27" i="35"/>
  <c r="B26" i="35"/>
  <c r="B25" i="35"/>
  <c r="B24" i="35"/>
  <c r="B23" i="35"/>
  <c r="B22" i="35"/>
  <c r="B19" i="35"/>
  <c r="B18" i="35"/>
  <c r="B17" i="35"/>
  <c r="B16" i="35"/>
  <c r="B15" i="35"/>
  <c r="B14" i="35"/>
  <c r="B13" i="35"/>
  <c r="B12" i="35"/>
  <c r="B11" i="35"/>
  <c r="B10" i="35"/>
  <c r="B9" i="35"/>
  <c r="B8" i="35"/>
  <c r="B7" i="35"/>
  <c r="B6" i="35"/>
  <c r="B5" i="35"/>
  <c r="B4" i="35"/>
  <c r="B3" i="35"/>
  <c r="G1" i="35"/>
  <c r="F1" i="35"/>
  <c r="L69" i="10"/>
  <c r="K69" i="10"/>
  <c r="J69" i="10"/>
  <c r="I69" i="10"/>
  <c r="H69" i="10"/>
  <c r="G69" i="10"/>
  <c r="F69" i="10"/>
  <c r="B68" i="10"/>
  <c r="A68" i="10"/>
  <c r="B67" i="10"/>
  <c r="A67" i="10"/>
  <c r="B66" i="10"/>
  <c r="A66" i="10"/>
  <c r="B65" i="10"/>
  <c r="A65" i="10"/>
  <c r="Q63" i="10"/>
  <c r="L63" i="10"/>
  <c r="K63" i="10"/>
  <c r="K62" i="10"/>
  <c r="B62" i="10"/>
  <c r="A62" i="10"/>
  <c r="Q60" i="10"/>
  <c r="L60" i="10"/>
  <c r="K60" i="10"/>
  <c r="D60" i="10"/>
  <c r="BA4" i="40" s="1"/>
  <c r="B60" i="10"/>
  <c r="A60" i="10"/>
  <c r="Q59" i="10"/>
  <c r="L59" i="10"/>
  <c r="K59" i="10"/>
  <c r="B59" i="10"/>
  <c r="A59" i="10"/>
  <c r="Q58" i="10"/>
  <c r="L58" i="10"/>
  <c r="K58" i="10"/>
  <c r="B58" i="10"/>
  <c r="A58" i="10"/>
  <c r="Q57" i="10"/>
  <c r="L57" i="10"/>
  <c r="K57" i="10"/>
  <c r="B57" i="10"/>
  <c r="Q56" i="10"/>
  <c r="L56" i="10"/>
  <c r="K56" i="10"/>
  <c r="B56" i="10"/>
  <c r="A56" i="10"/>
  <c r="Q55" i="10"/>
  <c r="L55" i="10"/>
  <c r="K55" i="10"/>
  <c r="H55" i="10"/>
  <c r="G55" i="10"/>
  <c r="B55" i="10"/>
  <c r="A55" i="10"/>
  <c r="L54" i="10"/>
  <c r="K54" i="10"/>
  <c r="H54" i="10"/>
  <c r="G54" i="10"/>
  <c r="B54" i="10"/>
  <c r="A54" i="10"/>
  <c r="Q53" i="10"/>
  <c r="L53" i="10"/>
  <c r="K53" i="10"/>
  <c r="H53" i="10"/>
  <c r="G53" i="10"/>
  <c r="B53" i="10"/>
  <c r="A53" i="10"/>
  <c r="Q52" i="10"/>
  <c r="L52" i="10"/>
  <c r="K52" i="10"/>
  <c r="H52" i="10"/>
  <c r="G52" i="10"/>
  <c r="B52" i="10"/>
  <c r="A52" i="10"/>
  <c r="Q51" i="10"/>
  <c r="L51" i="10"/>
  <c r="K51" i="10"/>
  <c r="H51" i="10"/>
  <c r="G51" i="10"/>
  <c r="Q50" i="10"/>
  <c r="L50" i="10"/>
  <c r="K50" i="10"/>
  <c r="H50" i="10"/>
  <c r="G50" i="10"/>
  <c r="B50" i="10"/>
  <c r="A50" i="10"/>
  <c r="Q49" i="10"/>
  <c r="L49" i="10"/>
  <c r="K49" i="10"/>
  <c r="H49" i="10"/>
  <c r="G49" i="10"/>
  <c r="B49" i="10"/>
  <c r="A49" i="10"/>
  <c r="Q48" i="10"/>
  <c r="L48" i="10"/>
  <c r="K48" i="10"/>
  <c r="H48" i="10"/>
  <c r="G48" i="10"/>
  <c r="B48" i="10"/>
  <c r="A48" i="10"/>
  <c r="Q47" i="10"/>
  <c r="L47" i="10"/>
  <c r="K47" i="10"/>
  <c r="Q46" i="10"/>
  <c r="L46" i="10"/>
  <c r="K46" i="10"/>
  <c r="H46" i="10"/>
  <c r="G46" i="10"/>
  <c r="Q45" i="10"/>
  <c r="L45" i="10"/>
  <c r="K45" i="10"/>
  <c r="H45" i="10"/>
  <c r="G45" i="10"/>
  <c r="Q44" i="10"/>
  <c r="L44" i="10"/>
  <c r="K44" i="10"/>
  <c r="H44" i="10"/>
  <c r="G44" i="10"/>
  <c r="B44" i="10"/>
  <c r="A44" i="10"/>
  <c r="Q43" i="10"/>
  <c r="L43" i="10"/>
  <c r="K43" i="10"/>
  <c r="H43" i="10"/>
  <c r="G43" i="10"/>
  <c r="Q42" i="10"/>
  <c r="L42" i="10"/>
  <c r="K42" i="10"/>
  <c r="Q41" i="10"/>
  <c r="L41" i="10"/>
  <c r="K41" i="10"/>
  <c r="H41" i="10"/>
  <c r="G41" i="10"/>
  <c r="B41" i="10"/>
  <c r="Q40" i="10"/>
  <c r="L40" i="10"/>
  <c r="K40" i="10"/>
  <c r="C40" i="10"/>
  <c r="Q39" i="10"/>
  <c r="L39" i="10"/>
  <c r="K39" i="10"/>
  <c r="C39" i="10"/>
  <c r="A39" i="10"/>
  <c r="Q38" i="10"/>
  <c r="L38" i="10"/>
  <c r="K38" i="10"/>
  <c r="L37" i="10"/>
  <c r="K37" i="10"/>
  <c r="H37" i="10"/>
  <c r="G37" i="10"/>
  <c r="C37" i="10"/>
  <c r="Q36" i="10"/>
  <c r="L36" i="10"/>
  <c r="K36" i="10"/>
  <c r="C36" i="10"/>
  <c r="Q35" i="10"/>
  <c r="L35" i="10"/>
  <c r="K35" i="10"/>
  <c r="C35" i="10"/>
  <c r="Q34" i="10"/>
  <c r="L34" i="10"/>
  <c r="K34" i="10"/>
  <c r="H34" i="10"/>
  <c r="G34" i="10"/>
  <c r="F34" i="10"/>
  <c r="B34" i="10"/>
  <c r="A34" i="10"/>
  <c r="Q33" i="10"/>
  <c r="L33" i="10"/>
  <c r="K33" i="10"/>
  <c r="H33" i="10"/>
  <c r="G33" i="10"/>
  <c r="B33" i="10"/>
  <c r="A33" i="10"/>
  <c r="Q32" i="10"/>
  <c r="L32" i="10"/>
  <c r="K32" i="10"/>
  <c r="H32" i="10"/>
  <c r="G32" i="10"/>
  <c r="F32" i="10"/>
  <c r="Q31" i="10"/>
  <c r="L31" i="10"/>
  <c r="K31" i="10"/>
  <c r="H31" i="10"/>
  <c r="G31" i="10"/>
  <c r="F31" i="10"/>
  <c r="B31" i="10"/>
  <c r="A31" i="10"/>
  <c r="Q30" i="10"/>
  <c r="L30" i="10"/>
  <c r="K30" i="10"/>
  <c r="H30" i="10"/>
  <c r="G30" i="10"/>
  <c r="F30" i="10"/>
  <c r="Q29" i="10"/>
  <c r="L29" i="10"/>
  <c r="K29" i="10"/>
  <c r="H29" i="10"/>
  <c r="G29" i="10"/>
  <c r="F29" i="10"/>
  <c r="Q28" i="10"/>
  <c r="L28" i="10"/>
  <c r="K28" i="10"/>
  <c r="H28" i="10"/>
  <c r="G28" i="10"/>
  <c r="F28" i="10"/>
  <c r="B28" i="10"/>
  <c r="A28" i="10"/>
  <c r="Q27" i="10"/>
  <c r="L27" i="10"/>
  <c r="K27" i="10"/>
  <c r="H27" i="10"/>
  <c r="G27" i="10"/>
  <c r="F27" i="10"/>
  <c r="Q26" i="10"/>
  <c r="L26" i="10"/>
  <c r="K26" i="10"/>
  <c r="H26" i="10"/>
  <c r="G26" i="10"/>
  <c r="F26" i="10"/>
  <c r="Q25" i="10"/>
  <c r="L25" i="10"/>
  <c r="K25" i="10"/>
  <c r="Q24" i="10"/>
  <c r="L24" i="10"/>
  <c r="K24" i="10"/>
  <c r="H24" i="10"/>
  <c r="G24" i="10"/>
  <c r="F24" i="10"/>
  <c r="B24" i="10"/>
  <c r="A24" i="10"/>
  <c r="Q23" i="10"/>
  <c r="L23" i="10"/>
  <c r="K23" i="10"/>
  <c r="H23" i="10"/>
  <c r="G23" i="10"/>
  <c r="F23" i="10"/>
  <c r="Q22" i="10"/>
  <c r="L22" i="10"/>
  <c r="K22" i="10"/>
  <c r="H22" i="10"/>
  <c r="G22" i="10"/>
  <c r="F22" i="10"/>
  <c r="Q21" i="10"/>
  <c r="L21" i="10"/>
  <c r="K21" i="10"/>
  <c r="H21" i="10"/>
  <c r="G21" i="10"/>
  <c r="F21" i="10"/>
  <c r="Q20" i="10"/>
  <c r="L20" i="10"/>
  <c r="K20" i="10"/>
  <c r="H20" i="10"/>
  <c r="G20" i="10"/>
  <c r="F20" i="10"/>
  <c r="B20" i="10"/>
  <c r="A20" i="10"/>
  <c r="Q19" i="10"/>
  <c r="L19" i="10"/>
  <c r="K19" i="10"/>
  <c r="H19" i="10"/>
  <c r="G19" i="10"/>
  <c r="F19" i="10"/>
  <c r="B19" i="10"/>
  <c r="A19" i="10"/>
  <c r="Q18" i="10"/>
  <c r="L18" i="10"/>
  <c r="K18" i="10"/>
  <c r="H18" i="10"/>
  <c r="G18" i="10"/>
  <c r="B18" i="10"/>
  <c r="A18" i="10"/>
  <c r="Q17" i="10"/>
  <c r="L17" i="10"/>
  <c r="K17" i="10"/>
  <c r="H17" i="10"/>
  <c r="G17" i="10"/>
  <c r="B17" i="10"/>
  <c r="A17" i="10"/>
  <c r="Q16" i="10"/>
  <c r="L16" i="10"/>
  <c r="K16" i="10"/>
  <c r="H16" i="10"/>
  <c r="G16" i="10"/>
  <c r="B16" i="10"/>
  <c r="A16" i="10"/>
  <c r="Q15" i="10"/>
  <c r="L15" i="10"/>
  <c r="K15" i="10"/>
  <c r="Q13" i="10"/>
  <c r="K13" i="10"/>
  <c r="H13" i="10"/>
  <c r="G13" i="10"/>
  <c r="B13" i="10"/>
  <c r="A13" i="10"/>
  <c r="Q12" i="10"/>
  <c r="K12" i="10"/>
  <c r="G12" i="10"/>
  <c r="B12" i="10"/>
  <c r="A12" i="10"/>
  <c r="Q11" i="10"/>
  <c r="L11" i="10"/>
  <c r="K11" i="10"/>
  <c r="H11" i="10"/>
  <c r="G11" i="10"/>
  <c r="B11" i="10"/>
  <c r="A11" i="10"/>
  <c r="Q10" i="10"/>
  <c r="L10" i="10"/>
  <c r="K10" i="10"/>
  <c r="H10" i="10"/>
  <c r="G10" i="10"/>
  <c r="B10" i="10"/>
  <c r="A10" i="10"/>
  <c r="Q9" i="10"/>
  <c r="L9" i="10"/>
  <c r="K9" i="10"/>
  <c r="H9" i="10"/>
  <c r="G9" i="10"/>
  <c r="B9" i="10"/>
  <c r="A9" i="10"/>
  <c r="Q8" i="10"/>
  <c r="L8" i="10"/>
  <c r="K8" i="10"/>
  <c r="H8" i="10"/>
  <c r="G8" i="10"/>
  <c r="L6" i="10"/>
  <c r="K6" i="10"/>
  <c r="H6" i="10"/>
  <c r="G6" i="10"/>
  <c r="B6" i="10"/>
  <c r="A6" i="10"/>
  <c r="Q5" i="10"/>
  <c r="L5" i="10"/>
  <c r="K5" i="10"/>
  <c r="H5" i="10"/>
  <c r="G5" i="10"/>
  <c r="B5" i="10"/>
  <c r="A5" i="10"/>
  <c r="L4" i="10"/>
  <c r="K4" i="10"/>
  <c r="H4" i="10"/>
  <c r="G4" i="10"/>
  <c r="A38" i="19"/>
  <c r="AX38" i="19" s="1"/>
  <c r="BJ38" i="19" s="1"/>
  <c r="A28" i="19"/>
  <c r="BA28" i="19" s="1"/>
  <c r="BN28" i="19" s="1"/>
  <c r="GR23" i="19"/>
  <c r="CS23" i="19" s="1"/>
  <c r="DE23" i="19" s="1"/>
  <c r="GQ23" i="19"/>
  <c r="GP23" i="19"/>
  <c r="GL23" i="19"/>
  <c r="GK23" i="19"/>
  <c r="GH23" i="19"/>
  <c r="GE23" i="19"/>
  <c r="CP23" i="19" s="1"/>
  <c r="GC23" i="19"/>
  <c r="GA23" i="19"/>
  <c r="FN23" i="19" s="1"/>
  <c r="FW23" i="19"/>
  <c r="FZ18" i="19" s="1"/>
  <c r="FL23" i="19"/>
  <c r="ED23" i="19"/>
  <c r="EF23" i="19" s="1"/>
  <c r="EA23" i="19"/>
  <c r="BM23" i="19"/>
  <c r="BO23" i="19" s="1"/>
  <c r="FI22" i="19"/>
  <c r="FH22" i="19"/>
  <c r="FD22" i="19"/>
  <c r="FE22" i="19" s="1"/>
  <c r="EX22" i="19"/>
  <c r="EZ22" i="19" s="1"/>
  <c r="EU22" i="19"/>
  <c r="ER22" i="19"/>
  <c r="ET22" i="19" s="1"/>
  <c r="EO22" i="19"/>
  <c r="EP22" i="19" s="1"/>
  <c r="EL22" i="19"/>
  <c r="EN22" i="19" s="1"/>
  <c r="EI22" i="19"/>
  <c r="EJ22" i="19" s="1"/>
  <c r="ED22" i="19"/>
  <c r="EF22" i="19" s="1"/>
  <c r="EB22" i="19"/>
  <c r="EA22" i="19"/>
  <c r="DX22" i="19"/>
  <c r="DY22" i="19" s="1"/>
  <c r="DU22" i="19"/>
  <c r="DW22" i="19" s="1"/>
  <c r="DR22" i="19"/>
  <c r="DS22" i="19" s="1"/>
  <c r="DO22" i="19"/>
  <c r="DQ22" i="19" s="1"/>
  <c r="DK22" i="19"/>
  <c r="DB22" i="19"/>
  <c r="DD22" i="19" s="1"/>
  <c r="CY22" i="19"/>
  <c r="CZ22" i="19" s="1"/>
  <c r="CV22" i="19"/>
  <c r="CS22" i="19"/>
  <c r="DE22" i="19" s="1"/>
  <c r="CP22" i="19"/>
  <c r="CM22" i="19"/>
  <c r="CN22" i="19" s="1"/>
  <c r="CJ22" i="19"/>
  <c r="CL22" i="19" s="1"/>
  <c r="CG22" i="19"/>
  <c r="CI22" i="19" s="1"/>
  <c r="CD22" i="19"/>
  <c r="CE22" i="19" s="1"/>
  <c r="CA22" i="19"/>
  <c r="CC22" i="19" s="1"/>
  <c r="BX22" i="19"/>
  <c r="BY22" i="19" s="1"/>
  <c r="BU22" i="19"/>
  <c r="BW22" i="19" s="1"/>
  <c r="BR22" i="19"/>
  <c r="BT22" i="19" s="1"/>
  <c r="BM22" i="19"/>
  <c r="BO22" i="19" s="1"/>
  <c r="BE22" i="19"/>
  <c r="BG22" i="19" s="1"/>
  <c r="AY22" i="19"/>
  <c r="BA22" i="19" s="1"/>
  <c r="AY21" i="19"/>
  <c r="AZ21" i="19" s="1"/>
  <c r="GR20" i="19"/>
  <c r="GL20" i="19"/>
  <c r="GK20" i="19"/>
  <c r="GH20" i="19"/>
  <c r="GE20" i="19"/>
  <c r="GG20" i="19" s="1"/>
  <c r="GI20" i="19" s="1"/>
  <c r="FI20" i="19"/>
  <c r="FH20" i="19"/>
  <c r="BM20" i="19"/>
  <c r="AD20" i="19"/>
  <c r="AC20" i="19"/>
  <c r="AB20" i="19"/>
  <c r="AE20" i="19" s="1"/>
  <c r="AE17" i="19" s="1"/>
  <c r="AA20" i="19"/>
  <c r="X20" i="19"/>
  <c r="GQ20" i="19" s="1"/>
  <c r="V20" i="19"/>
  <c r="T20" i="19"/>
  <c r="Y20" i="19" s="1"/>
  <c r="C20" i="19"/>
  <c r="A20" i="19" s="1"/>
  <c r="GD19" i="19"/>
  <c r="GC19" i="19"/>
  <c r="GB19" i="19"/>
  <c r="GA19" i="19"/>
  <c r="FZ19" i="19"/>
  <c r="FY19" i="19"/>
  <c r="FX19" i="19"/>
  <c r="FW19" i="19"/>
  <c r="FU19" i="19"/>
  <c r="FT19" i="19"/>
  <c r="FS19" i="19"/>
  <c r="FR19" i="19"/>
  <c r="FQ19" i="19"/>
  <c r="FP19" i="19"/>
  <c r="FO19" i="19"/>
  <c r="FN19" i="19"/>
  <c r="FM19" i="19"/>
  <c r="FL19" i="19"/>
  <c r="FK19" i="19"/>
  <c r="FJ19" i="19"/>
  <c r="FI19" i="19"/>
  <c r="FH19" i="19"/>
  <c r="FF19" i="19"/>
  <c r="FE19" i="19"/>
  <c r="FC19" i="19"/>
  <c r="FB19" i="19"/>
  <c r="EZ19" i="19"/>
  <c r="EY19" i="19"/>
  <c r="EW19" i="19"/>
  <c r="EV19" i="19"/>
  <c r="ET19" i="19"/>
  <c r="ES19" i="19"/>
  <c r="EQ19" i="19"/>
  <c r="EP19" i="19"/>
  <c r="EN19" i="19"/>
  <c r="EM19" i="19"/>
  <c r="EK19" i="19"/>
  <c r="EJ19" i="19"/>
  <c r="EF19" i="19"/>
  <c r="EH19" i="19" s="1"/>
  <c r="EE19" i="19"/>
  <c r="EG19" i="19" s="1"/>
  <c r="EC19" i="19"/>
  <c r="EB19" i="19"/>
  <c r="DZ19" i="19"/>
  <c r="DY19" i="19"/>
  <c r="DT19" i="19"/>
  <c r="DS19" i="19"/>
  <c r="DQ19" i="19"/>
  <c r="DP19" i="19"/>
  <c r="DM19" i="19"/>
  <c r="DL19" i="19"/>
  <c r="DJ19" i="19"/>
  <c r="DI19" i="19"/>
  <c r="DG19" i="19"/>
  <c r="DF19" i="19"/>
  <c r="DD19" i="19"/>
  <c r="DC19" i="19"/>
  <c r="DA19" i="19"/>
  <c r="CZ19" i="19"/>
  <c r="CX19" i="19"/>
  <c r="CW19" i="19"/>
  <c r="CU19" i="19"/>
  <c r="CT19" i="19"/>
  <c r="CR19" i="19"/>
  <c r="CQ19" i="19"/>
  <c r="CO19" i="19"/>
  <c r="CN19" i="19"/>
  <c r="CL19" i="19"/>
  <c r="CK19" i="19"/>
  <c r="CI19" i="19"/>
  <c r="CH19" i="19"/>
  <c r="CF19" i="19"/>
  <c r="CE19" i="19"/>
  <c r="CC19" i="19"/>
  <c r="CB19" i="19"/>
  <c r="BZ19" i="19"/>
  <c r="BY19" i="19"/>
  <c r="BW19" i="19"/>
  <c r="BV19" i="19"/>
  <c r="BT19" i="19"/>
  <c r="BS19" i="19"/>
  <c r="BQ19" i="19"/>
  <c r="BP19" i="19"/>
  <c r="BO19" i="19"/>
  <c r="BN19" i="19"/>
  <c r="BK19" i="19"/>
  <c r="BI19" i="19"/>
  <c r="BG19" i="19"/>
  <c r="BF19" i="19"/>
  <c r="BH19" i="19" s="1"/>
  <c r="BJ19" i="19" s="1"/>
  <c r="BC19" i="19"/>
  <c r="BB19" i="19"/>
  <c r="BA19" i="19"/>
  <c r="AZ19" i="19"/>
  <c r="AX19" i="19"/>
  <c r="AW19" i="19"/>
  <c r="FT13" i="19"/>
  <c r="FS13" i="19"/>
  <c r="FR13" i="19"/>
  <c r="FN13" i="19"/>
  <c r="FM13" i="19"/>
  <c r="FL13" i="19"/>
  <c r="FK13" i="19"/>
  <c r="FG13" i="19"/>
  <c r="FE13" i="19"/>
  <c r="FC13" i="19"/>
  <c r="EP13" i="19" s="1"/>
  <c r="EN13" i="19"/>
  <c r="DW13" i="19"/>
  <c r="DY13" i="19" s="1"/>
  <c r="DH13" i="19"/>
  <c r="DB13" i="19"/>
  <c r="CS13" i="19"/>
  <c r="CU13" i="19" s="1"/>
  <c r="EF12" i="19"/>
  <c r="EH12" i="19" s="1"/>
  <c r="EC12" i="19"/>
  <c r="DZ12" i="19"/>
  <c r="EA12" i="19" s="1"/>
  <c r="DW12" i="19"/>
  <c r="DX12" i="19" s="1"/>
  <c r="DT12" i="19"/>
  <c r="DV12" i="19" s="1"/>
  <c r="DQ12" i="19"/>
  <c r="DR12" i="19" s="1"/>
  <c r="DN12" i="19"/>
  <c r="DP12" i="19" s="1"/>
  <c r="DK12" i="19"/>
  <c r="DH12" i="19"/>
  <c r="DJ12" i="19" s="1"/>
  <c r="DE12" i="19"/>
  <c r="DG12" i="19" s="1"/>
  <c r="DB12" i="19"/>
  <c r="CY12" i="19" s="1"/>
  <c r="CV12" i="19"/>
  <c r="CX12" i="19" s="1"/>
  <c r="CW12" i="19" s="1"/>
  <c r="CS12" i="19"/>
  <c r="CT12" i="19" s="1"/>
  <c r="CP12" i="19"/>
  <c r="CR12" i="19" s="1"/>
  <c r="CM12" i="19"/>
  <c r="CJ12" i="19"/>
  <c r="CL12" i="19" s="1"/>
  <c r="CG12" i="19"/>
  <c r="CI12" i="19" s="1"/>
  <c r="CD12" i="19"/>
  <c r="CE12" i="19" s="1"/>
  <c r="CA12" i="19"/>
  <c r="CB12" i="19" s="1"/>
  <c r="BX12" i="19"/>
  <c r="BZ12" i="19" s="1"/>
  <c r="BU12" i="19"/>
  <c r="BV12" i="19" s="1"/>
  <c r="BR12" i="19"/>
  <c r="BT12" i="19" s="1"/>
  <c r="BE12" i="19"/>
  <c r="AY12" i="19"/>
  <c r="AY11" i="19"/>
  <c r="FT10" i="19"/>
  <c r="FN10" i="19"/>
  <c r="FM10" i="19"/>
  <c r="FL10" i="19"/>
  <c r="FG10" i="19"/>
  <c r="DW10" i="19"/>
  <c r="DY10" i="19" s="1"/>
  <c r="DH10" i="19"/>
  <c r="CS10" i="19"/>
  <c r="CU10" i="19" s="1"/>
  <c r="AD10" i="19"/>
  <c r="AC10" i="19"/>
  <c r="AA10" i="19"/>
  <c r="X10" i="19"/>
  <c r="DB10" i="19" s="1"/>
  <c r="V10" i="19"/>
  <c r="A10" i="19" s="1"/>
  <c r="T10" i="19"/>
  <c r="FK10" i="19" s="1"/>
  <c r="C10" i="19"/>
  <c r="FI9" i="19"/>
  <c r="FF9" i="19"/>
  <c r="FD9" i="19"/>
  <c r="FC9" i="19"/>
  <c r="FB9" i="19"/>
  <c r="FA9" i="19"/>
  <c r="EZ9" i="19"/>
  <c r="EY9" i="19"/>
  <c r="EW9" i="19"/>
  <c r="EV9" i="19"/>
  <c r="EU9" i="19"/>
  <c r="ET9" i="19"/>
  <c r="ES9" i="19"/>
  <c r="ER9" i="19"/>
  <c r="EQ9" i="19"/>
  <c r="EP9" i="19"/>
  <c r="EO9" i="19"/>
  <c r="EN9" i="19"/>
  <c r="EM9" i="19"/>
  <c r="EL9" i="19"/>
  <c r="EK9" i="19"/>
  <c r="EJ9" i="19"/>
  <c r="EH9" i="19"/>
  <c r="EG9" i="19"/>
  <c r="EE9" i="19"/>
  <c r="ED9" i="19"/>
  <c r="EB9" i="19"/>
  <c r="EA9" i="19"/>
  <c r="DY9" i="19"/>
  <c r="DX9" i="19"/>
  <c r="DV9" i="19"/>
  <c r="DU9" i="19"/>
  <c r="DS9" i="19"/>
  <c r="DR9" i="19"/>
  <c r="DP9" i="19"/>
  <c r="DO9" i="19"/>
  <c r="DM9" i="19"/>
  <c r="DL9" i="19"/>
  <c r="DJ9" i="19"/>
  <c r="DI9" i="19"/>
  <c r="DG9" i="19"/>
  <c r="DF9" i="19"/>
  <c r="DA9" i="19"/>
  <c r="CZ9" i="19"/>
  <c r="CX9" i="19"/>
  <c r="CW9" i="19"/>
  <c r="CU9" i="19"/>
  <c r="CT9" i="19"/>
  <c r="CR9" i="19"/>
  <c r="CQ9" i="19"/>
  <c r="CO9" i="19"/>
  <c r="CN9" i="19"/>
  <c r="CL9" i="19"/>
  <c r="CK9" i="19"/>
  <c r="CI9" i="19"/>
  <c r="CH9" i="19"/>
  <c r="CF9" i="19"/>
  <c r="CE9" i="19"/>
  <c r="CC9" i="19"/>
  <c r="CB9" i="19"/>
  <c r="BZ9" i="19"/>
  <c r="BY9" i="19"/>
  <c r="BW9" i="19"/>
  <c r="BV9" i="19"/>
  <c r="BT9" i="19"/>
  <c r="BS9" i="19"/>
  <c r="BQ9" i="19"/>
  <c r="BP9" i="19"/>
  <c r="BK9" i="19"/>
  <c r="BJ9" i="19" s="1"/>
  <c r="BI9" i="19"/>
  <c r="BH9" i="19" s="1"/>
  <c r="BG9" i="19"/>
  <c r="BF9" i="19"/>
  <c r="BC9" i="19"/>
  <c r="BB9" i="19"/>
  <c r="BA9" i="19"/>
  <c r="AZ9" i="19"/>
  <c r="AX9" i="19"/>
  <c r="AW9" i="19"/>
  <c r="D95" i="8"/>
  <c r="D79" i="8"/>
  <c r="A54" i="8"/>
  <c r="A52" i="8"/>
  <c r="A51" i="8"/>
  <c r="A50" i="8"/>
  <c r="A49" i="8"/>
  <c r="A48" i="8"/>
  <c r="A47" i="8"/>
  <c r="A35" i="8"/>
  <c r="A34" i="8"/>
  <c r="A30" i="8"/>
  <c r="C2" i="8"/>
  <c r="B2" i="8"/>
  <c r="B95" i="24"/>
  <c r="B94" i="24"/>
  <c r="B93" i="24"/>
  <c r="B92" i="24"/>
  <c r="B91" i="24"/>
  <c r="B90" i="24"/>
  <c r="B87" i="24"/>
  <c r="B79" i="24"/>
  <c r="B71" i="24"/>
  <c r="A54" i="24"/>
  <c r="A52" i="24"/>
  <c r="A51" i="24"/>
  <c r="A50" i="24"/>
  <c r="A49" i="24"/>
  <c r="A48" i="24"/>
  <c r="A47" i="24"/>
  <c r="A35" i="24"/>
  <c r="A34" i="24"/>
  <c r="A30" i="24"/>
  <c r="A29" i="24"/>
  <c r="B1" i="24"/>
  <c r="DB199" i="7"/>
  <c r="DD199" i="7" s="1"/>
  <c r="DB198" i="7"/>
  <c r="DD198" i="7" s="1"/>
  <c r="DB197" i="7"/>
  <c r="DD197" i="7" s="1"/>
  <c r="DB196" i="7"/>
  <c r="DD196" i="7" s="1"/>
  <c r="DB195" i="7"/>
  <c r="DD195" i="7" s="1"/>
  <c r="DB194" i="7"/>
  <c r="DD194" i="7" s="1"/>
  <c r="DB193" i="7"/>
  <c r="DD193" i="7" s="1"/>
  <c r="DB192" i="7"/>
  <c r="DD192" i="7" s="1"/>
  <c r="DB191" i="7"/>
  <c r="DD191" i="7" s="1"/>
  <c r="DB190" i="7"/>
  <c r="DD190" i="7" s="1"/>
  <c r="DB189" i="7"/>
  <c r="DD189" i="7" s="1"/>
  <c r="DB188" i="7"/>
  <c r="DD188" i="7" s="1"/>
  <c r="DB187" i="7"/>
  <c r="DD187" i="7" s="1"/>
  <c r="DB186" i="7"/>
  <c r="DD186" i="7" s="1"/>
  <c r="DB185" i="7"/>
  <c r="DD185" i="7" s="1"/>
  <c r="DB184" i="7"/>
  <c r="DD184" i="7" s="1"/>
  <c r="DB183" i="7"/>
  <c r="DD183" i="7" s="1"/>
  <c r="DB182" i="7"/>
  <c r="DD182" i="7" s="1"/>
  <c r="DB181" i="7"/>
  <c r="DD181" i="7" s="1"/>
  <c r="DB180" i="7"/>
  <c r="DD180" i="7" s="1"/>
  <c r="DB179" i="7"/>
  <c r="DD179" i="7" s="1"/>
  <c r="DB178" i="7"/>
  <c r="DD178" i="7" s="1"/>
  <c r="DB177" i="7"/>
  <c r="DD177" i="7" s="1"/>
  <c r="DB176" i="7"/>
  <c r="DD176" i="7" s="1"/>
  <c r="DB175" i="7"/>
  <c r="DD175" i="7" s="1"/>
  <c r="DB174" i="7"/>
  <c r="DD174" i="7" s="1"/>
  <c r="DB173" i="7"/>
  <c r="DD173" i="7" s="1"/>
  <c r="DB172" i="7"/>
  <c r="DD172" i="7" s="1"/>
  <c r="DB171" i="7"/>
  <c r="DD171" i="7" s="1"/>
  <c r="DB170" i="7"/>
  <c r="DD170" i="7" s="1"/>
  <c r="DB169" i="7"/>
  <c r="DD169" i="7" s="1"/>
  <c r="DB168" i="7"/>
  <c r="DD168" i="7" s="1"/>
  <c r="DB167" i="7"/>
  <c r="DD167" i="7" s="1"/>
  <c r="DB166" i="7"/>
  <c r="DD166" i="7" s="1"/>
  <c r="DB165" i="7"/>
  <c r="DD165" i="7" s="1"/>
  <c r="DB164" i="7"/>
  <c r="DD164" i="7" s="1"/>
  <c r="DB163" i="7"/>
  <c r="DD163" i="7" s="1"/>
  <c r="DB162" i="7"/>
  <c r="DD162" i="7" s="1"/>
  <c r="DB161" i="7"/>
  <c r="DD161" i="7" s="1"/>
  <c r="DB160" i="7"/>
  <c r="DD160" i="7" s="1"/>
  <c r="DB159" i="7"/>
  <c r="DD159" i="7" s="1"/>
  <c r="DB158" i="7"/>
  <c r="DD158" i="7" s="1"/>
  <c r="DB157" i="7"/>
  <c r="DD157" i="7" s="1"/>
  <c r="DB156" i="7"/>
  <c r="DD156" i="7" s="1"/>
  <c r="DB155" i="7"/>
  <c r="DD155" i="7" s="1"/>
  <c r="DB154" i="7"/>
  <c r="DD154" i="7" s="1"/>
  <c r="DB153" i="7"/>
  <c r="DD153" i="7" s="1"/>
  <c r="DB152" i="7"/>
  <c r="DD152" i="7" s="1"/>
  <c r="DB151" i="7"/>
  <c r="DD151" i="7" s="1"/>
  <c r="DB150" i="7"/>
  <c r="DD150" i="7" s="1"/>
  <c r="DB149" i="7"/>
  <c r="DD149" i="7" s="1"/>
  <c r="DB148" i="7"/>
  <c r="DD148" i="7" s="1"/>
  <c r="DB147" i="7"/>
  <c r="DD147" i="7" s="1"/>
  <c r="DB146" i="7"/>
  <c r="DD146" i="7" s="1"/>
  <c r="DB145" i="7"/>
  <c r="DD145" i="7" s="1"/>
  <c r="DB144" i="7"/>
  <c r="DD144" i="7" s="1"/>
  <c r="DB143" i="7"/>
  <c r="DD143" i="7" s="1"/>
  <c r="DB142" i="7"/>
  <c r="DD142" i="7" s="1"/>
  <c r="DB141" i="7"/>
  <c r="DD141" i="7" s="1"/>
  <c r="DB140" i="7"/>
  <c r="DD140" i="7" s="1"/>
  <c r="DB139" i="7"/>
  <c r="DD139" i="7" s="1"/>
  <c r="DB138" i="7"/>
  <c r="DD138" i="7" s="1"/>
  <c r="DB137" i="7"/>
  <c r="DD137" i="7" s="1"/>
  <c r="DB136" i="7"/>
  <c r="DD136" i="7" s="1"/>
  <c r="DB135" i="7"/>
  <c r="DD135" i="7" s="1"/>
  <c r="DB134" i="7"/>
  <c r="DD134" i="7" s="1"/>
  <c r="DB133" i="7"/>
  <c r="DD133" i="7" s="1"/>
  <c r="DB132" i="7"/>
  <c r="DD132" i="7" s="1"/>
  <c r="DB131" i="7"/>
  <c r="DD131" i="7" s="1"/>
  <c r="DB130" i="7"/>
  <c r="DD130" i="7" s="1"/>
  <c r="DB129" i="7"/>
  <c r="DD129" i="7" s="1"/>
  <c r="DB128" i="7"/>
  <c r="DD128" i="7" s="1"/>
  <c r="DB127" i="7"/>
  <c r="DD127" i="7" s="1"/>
  <c r="DB126" i="7"/>
  <c r="DD126" i="7" s="1"/>
  <c r="DB125" i="7"/>
  <c r="DD125" i="7" s="1"/>
  <c r="DB124" i="7"/>
  <c r="DD124" i="7" s="1"/>
  <c r="DB123" i="7"/>
  <c r="DD123" i="7" s="1"/>
  <c r="DB122" i="7"/>
  <c r="DD122" i="7" s="1"/>
  <c r="DB121" i="7"/>
  <c r="DD121" i="7" s="1"/>
  <c r="DB120" i="7"/>
  <c r="DD120" i="7" s="1"/>
  <c r="DB119" i="7"/>
  <c r="DD119" i="7" s="1"/>
  <c r="DB118" i="7"/>
  <c r="DD118" i="7" s="1"/>
  <c r="DB117" i="7"/>
  <c r="DD117" i="7" s="1"/>
  <c r="DB116" i="7"/>
  <c r="DD116" i="7" s="1"/>
  <c r="DB115" i="7"/>
  <c r="DD115" i="7" s="1"/>
  <c r="DB114" i="7"/>
  <c r="DD114" i="7" s="1"/>
  <c r="DB113" i="7"/>
  <c r="DD113" i="7" s="1"/>
  <c r="DB112" i="7"/>
  <c r="DD112" i="7" s="1"/>
  <c r="DB111" i="7"/>
  <c r="DD111" i="7" s="1"/>
  <c r="DB110" i="7"/>
  <c r="DD110" i="7" s="1"/>
  <c r="DB109" i="7"/>
  <c r="DD109" i="7" s="1"/>
  <c r="DB108" i="7"/>
  <c r="DD108" i="7" s="1"/>
  <c r="DB107" i="7"/>
  <c r="DD107" i="7" s="1"/>
  <c r="DB106" i="7"/>
  <c r="DD106" i="7" s="1"/>
  <c r="DB105" i="7"/>
  <c r="DD105" i="7" s="1"/>
  <c r="DB104" i="7"/>
  <c r="DD104" i="7" s="1"/>
  <c r="DB103" i="7"/>
  <c r="DD103" i="7" s="1"/>
  <c r="DB102" i="7"/>
  <c r="DD102" i="7" s="1"/>
  <c r="DB101" i="7"/>
  <c r="DD101" i="7" s="1"/>
  <c r="DB100" i="7"/>
  <c r="DD100" i="7" s="1"/>
  <c r="DB99" i="7"/>
  <c r="DD99" i="7" s="1"/>
  <c r="DB98" i="7"/>
  <c r="DD98" i="7" s="1"/>
  <c r="DB97" i="7"/>
  <c r="DD97" i="7" s="1"/>
  <c r="DB96" i="7"/>
  <c r="DD96" i="7" s="1"/>
  <c r="DB95" i="7"/>
  <c r="DD95" i="7" s="1"/>
  <c r="DB94" i="7"/>
  <c r="DD94" i="7" s="1"/>
  <c r="DB93" i="7"/>
  <c r="DD93" i="7" s="1"/>
  <c r="DB92" i="7"/>
  <c r="DD92" i="7" s="1"/>
  <c r="DB91" i="7"/>
  <c r="DD91" i="7" s="1"/>
  <c r="DB90" i="7"/>
  <c r="DD90" i="7" s="1"/>
  <c r="DB89" i="7"/>
  <c r="DD89" i="7" s="1"/>
  <c r="DB88" i="7"/>
  <c r="DD88" i="7" s="1"/>
  <c r="DB87" i="7"/>
  <c r="DD87" i="7" s="1"/>
  <c r="DB86" i="7"/>
  <c r="DD86" i="7" s="1"/>
  <c r="DB85" i="7"/>
  <c r="DD85" i="7" s="1"/>
  <c r="DB84" i="7"/>
  <c r="DD84" i="7" s="1"/>
  <c r="DB83" i="7"/>
  <c r="DD83" i="7" s="1"/>
  <c r="DB82" i="7"/>
  <c r="DD82" i="7" s="1"/>
  <c r="DB81" i="7"/>
  <c r="DD81" i="7" s="1"/>
  <c r="DB80" i="7"/>
  <c r="DD80" i="7" s="1"/>
  <c r="DB79" i="7"/>
  <c r="DD79" i="7" s="1"/>
  <c r="DB78" i="7"/>
  <c r="DD78" i="7" s="1"/>
  <c r="DB77" i="7"/>
  <c r="DD77" i="7" s="1"/>
  <c r="DB76" i="7"/>
  <c r="DD76" i="7" s="1"/>
  <c r="DB75" i="7"/>
  <c r="DD75" i="7" s="1"/>
  <c r="DB74" i="7"/>
  <c r="DD74" i="7" s="1"/>
  <c r="DB73" i="7"/>
  <c r="DD73" i="7" s="1"/>
  <c r="DB72" i="7"/>
  <c r="DD72" i="7" s="1"/>
  <c r="DB71" i="7"/>
  <c r="DD71" i="7" s="1"/>
  <c r="DB70" i="7"/>
  <c r="DD70" i="7" s="1"/>
  <c r="DB69" i="7"/>
  <c r="DD69" i="7" s="1"/>
  <c r="DB68" i="7"/>
  <c r="DD68" i="7" s="1"/>
  <c r="DB67" i="7"/>
  <c r="DD67" i="7" s="1"/>
  <c r="DB66" i="7"/>
  <c r="DD66" i="7" s="1"/>
  <c r="DB65" i="7"/>
  <c r="DD65" i="7" s="1"/>
  <c r="DB64" i="7"/>
  <c r="DD64" i="7" s="1"/>
  <c r="DB63" i="7"/>
  <c r="DD63" i="7" s="1"/>
  <c r="DB62" i="7"/>
  <c r="DD62" i="7" s="1"/>
  <c r="DB61" i="7"/>
  <c r="DD61" i="7" s="1"/>
  <c r="DB60" i="7"/>
  <c r="DD60" i="7" s="1"/>
  <c r="DB59" i="7"/>
  <c r="DD59" i="7" s="1"/>
  <c r="DB58" i="7"/>
  <c r="DD58" i="7" s="1"/>
  <c r="DB57" i="7"/>
  <c r="DD57" i="7" s="1"/>
  <c r="DB56" i="7"/>
  <c r="DD56" i="7" s="1"/>
  <c r="DB55" i="7"/>
  <c r="DD55" i="7" s="1"/>
  <c r="DB54" i="7"/>
  <c r="DD54" i="7" s="1"/>
  <c r="DB53" i="7"/>
  <c r="DD53" i="7" s="1"/>
  <c r="DB52" i="7"/>
  <c r="DD52" i="7" s="1"/>
  <c r="DB51" i="7"/>
  <c r="DD51" i="7" s="1"/>
  <c r="DB50" i="7"/>
  <c r="DD50" i="7" s="1"/>
  <c r="T16" i="7"/>
  <c r="FT15" i="7"/>
  <c r="FN15" i="7"/>
  <c r="FM15" i="7"/>
  <c r="FL15" i="7"/>
  <c r="FG15" i="7"/>
  <c r="DW15" i="7"/>
  <c r="DY15" i="7" s="1"/>
  <c r="DY8" i="7" s="1"/>
  <c r="DH15" i="7"/>
  <c r="DH5" i="7" s="1"/>
  <c r="CS15" i="7"/>
  <c r="CS11" i="7" s="1"/>
  <c r="AD15" i="7"/>
  <c r="AC15" i="7"/>
  <c r="AA15" i="7"/>
  <c r="X15" i="7"/>
  <c r="FS15" i="7" s="1"/>
  <c r="V15" i="7"/>
  <c r="T15" i="7"/>
  <c r="C15" i="7"/>
  <c r="FI14" i="7"/>
  <c r="FF14" i="7"/>
  <c r="FD14" i="7"/>
  <c r="FC14" i="7"/>
  <c r="FB14" i="7"/>
  <c r="FA14" i="7"/>
  <c r="EZ14" i="7"/>
  <c r="EY14" i="7"/>
  <c r="EW14" i="7"/>
  <c r="EV14" i="7"/>
  <c r="EU14" i="7"/>
  <c r="ET14" i="7"/>
  <c r="ES14" i="7"/>
  <c r="ER14" i="7"/>
  <c r="EQ14" i="7"/>
  <c r="EP14" i="7"/>
  <c r="EO14" i="7"/>
  <c r="EN14" i="7"/>
  <c r="EM14" i="7"/>
  <c r="EL14" i="7"/>
  <c r="EK14" i="7"/>
  <c r="EJ14" i="7"/>
  <c r="EH14" i="7"/>
  <c r="EG14" i="7"/>
  <c r="EE14" i="7"/>
  <c r="ED14" i="7"/>
  <c r="EB14" i="7"/>
  <c r="EA14" i="7"/>
  <c r="DY14" i="7"/>
  <c r="DX14" i="7"/>
  <c r="DV14" i="7"/>
  <c r="DU14" i="7"/>
  <c r="DS14" i="7"/>
  <c r="DR14" i="7"/>
  <c r="DP14" i="7"/>
  <c r="DO14" i="7"/>
  <c r="DM14" i="7"/>
  <c r="DL14" i="7"/>
  <c r="DJ14" i="7"/>
  <c r="DI14" i="7"/>
  <c r="DG14" i="7"/>
  <c r="DF14" i="7"/>
  <c r="DD14" i="7"/>
  <c r="DC14" i="7"/>
  <c r="DA14" i="7"/>
  <c r="CZ14" i="7"/>
  <c r="CX14" i="7"/>
  <c r="CW14" i="7"/>
  <c r="CU14" i="7"/>
  <c r="CT14" i="7"/>
  <c r="CR14" i="7"/>
  <c r="CQ14" i="7"/>
  <c r="CO14" i="7"/>
  <c r="CN14" i="7"/>
  <c r="CL14" i="7"/>
  <c r="CK14" i="7"/>
  <c r="CI14" i="7"/>
  <c r="CH14" i="7"/>
  <c r="CF14" i="7"/>
  <c r="CE14" i="7"/>
  <c r="CC14" i="7"/>
  <c r="CB14" i="7"/>
  <c r="BZ14" i="7"/>
  <c r="BY14" i="7"/>
  <c r="BW14" i="7"/>
  <c r="BV14" i="7"/>
  <c r="BT14" i="7"/>
  <c r="BS14" i="7"/>
  <c r="BQ14" i="7"/>
  <c r="BP14" i="7"/>
  <c r="BK14" i="7"/>
  <c r="BJ14" i="7" s="1"/>
  <c r="BI14" i="7"/>
  <c r="BH14" i="7" s="1"/>
  <c r="BG14" i="7"/>
  <c r="BF14" i="7"/>
  <c r="BC14" i="7"/>
  <c r="BB14" i="7"/>
  <c r="BA14" i="7"/>
  <c r="AZ14" i="7"/>
  <c r="AX14" i="7"/>
  <c r="AW14" i="7"/>
  <c r="ET12" i="7"/>
  <c r="ER12" i="7"/>
  <c r="EP12" i="7"/>
  <c r="EN12" i="7"/>
  <c r="EL12" i="7"/>
  <c r="EI12" i="7"/>
  <c r="EF12" i="7"/>
  <c r="EC12" i="7"/>
  <c r="DZ12" i="7"/>
  <c r="DW12" i="7"/>
  <c r="DT12" i="7"/>
  <c r="DQ12" i="7"/>
  <c r="DN12" i="7"/>
  <c r="DH12" i="7"/>
  <c r="DE12" i="7"/>
  <c r="CY12" i="7"/>
  <c r="CV12" i="7"/>
  <c r="CS12" i="7"/>
  <c r="CP12" i="7"/>
  <c r="CM12" i="7"/>
  <c r="CJ12" i="7"/>
  <c r="CG12" i="7"/>
  <c r="CD12" i="7"/>
  <c r="CA12" i="7"/>
  <c r="BX12" i="7"/>
  <c r="BU12" i="7"/>
  <c r="BR12" i="7"/>
  <c r="BJ12" i="7"/>
  <c r="BH12" i="7"/>
  <c r="BF12" i="7"/>
  <c r="BB12" i="7"/>
  <c r="AW12" i="7"/>
  <c r="K12" i="7"/>
  <c r="FA11" i="7"/>
  <c r="EP11" i="7"/>
  <c r="EN11" i="7"/>
  <c r="EL11" i="7"/>
  <c r="EI11" i="7"/>
  <c r="DK11" i="7"/>
  <c r="EX10" i="7"/>
  <c r="ER10" i="7"/>
  <c r="BI10" i="7"/>
  <c r="BE10" i="7"/>
  <c r="AX10" i="7"/>
  <c r="AW10" i="7"/>
  <c r="H10" i="7"/>
  <c r="CQ9" i="7"/>
  <c r="CM9" i="7"/>
  <c r="CG9" i="7"/>
  <c r="CD9" i="7"/>
  <c r="BX9" i="7"/>
  <c r="CA9" i="7" s="1"/>
  <c r="BU9" i="7"/>
  <c r="BR9" i="7"/>
  <c r="EK8" i="7"/>
  <c r="EJ8" i="7"/>
  <c r="EI8" i="7"/>
  <c r="DI8" i="7"/>
  <c r="DF8" i="7"/>
  <c r="BJ8" i="7"/>
  <c r="BH8" i="7"/>
  <c r="F8" i="7"/>
  <c r="EK6" i="7"/>
  <c r="EJ6" i="7"/>
  <c r="EI6" i="7"/>
  <c r="DI6" i="7"/>
  <c r="DF6" i="7"/>
  <c r="BJ6" i="7"/>
  <c r="BH6" i="7"/>
  <c r="EK5" i="7"/>
  <c r="EJ5" i="7"/>
  <c r="EI5" i="7"/>
  <c r="DI5" i="7"/>
  <c r="DF5" i="7"/>
  <c r="BJ5" i="7"/>
  <c r="BH5" i="7"/>
  <c r="B4" i="7"/>
  <c r="EK3" i="7"/>
  <c r="EJ3" i="7"/>
  <c r="C54" i="8" s="1"/>
  <c r="EI3" i="7"/>
  <c r="DI3" i="7"/>
  <c r="DF3" i="7"/>
  <c r="BJ3" i="7"/>
  <c r="BH3" i="7"/>
  <c r="G3" i="7"/>
  <c r="B3" i="7"/>
  <c r="EK2" i="7"/>
  <c r="EJ2" i="7"/>
  <c r="EI2" i="7"/>
  <c r="DI2" i="7"/>
  <c r="DF2" i="7"/>
  <c r="BJ2" i="7"/>
  <c r="BH2" i="7"/>
  <c r="G2" i="7"/>
  <c r="G5" i="7" s="1"/>
  <c r="B2" i="7"/>
  <c r="EK1" i="7"/>
  <c r="EJ1" i="7"/>
  <c r="EI1" i="7"/>
  <c r="DI1" i="7"/>
  <c r="DF1" i="7"/>
  <c r="BJ1" i="7"/>
  <c r="BH1" i="7"/>
  <c r="F1" i="7"/>
  <c r="B1" i="7"/>
  <c r="GR17" i="3"/>
  <c r="GR14" i="3" s="1"/>
  <c r="GL17" i="3"/>
  <c r="GK17" i="3"/>
  <c r="GH17" i="3"/>
  <c r="GE17" i="3"/>
  <c r="BM17" i="3"/>
  <c r="AD17" i="3"/>
  <c r="AC17" i="3"/>
  <c r="AB17" i="3"/>
  <c r="AE17" i="3" s="1"/>
  <c r="AE14" i="3" s="1"/>
  <c r="AA17" i="3"/>
  <c r="X17" i="3"/>
  <c r="GQ17" i="3" s="1"/>
  <c r="V17" i="3"/>
  <c r="T17" i="3"/>
  <c r="GD16" i="3"/>
  <c r="GC16" i="3"/>
  <c r="GB16" i="3"/>
  <c r="GA16" i="3"/>
  <c r="FZ16" i="3"/>
  <c r="FY16" i="3"/>
  <c r="FX16" i="3"/>
  <c r="FW16" i="3"/>
  <c r="FU16" i="3"/>
  <c r="FT16" i="3"/>
  <c r="FS16" i="3"/>
  <c r="FR16" i="3"/>
  <c r="FQ16" i="3"/>
  <c r="FP16" i="3"/>
  <c r="FO16" i="3"/>
  <c r="FN16" i="3"/>
  <c r="FM16" i="3"/>
  <c r="FL16" i="3"/>
  <c r="FK16" i="3"/>
  <c r="FJ16" i="3"/>
  <c r="FI16" i="3"/>
  <c r="FH16" i="3"/>
  <c r="FF16" i="3"/>
  <c r="FE16" i="3"/>
  <c r="FC16" i="3"/>
  <c r="FB16" i="3"/>
  <c r="EY16" i="3"/>
  <c r="EW16" i="3"/>
  <c r="EV16" i="3"/>
  <c r="ET16" i="3"/>
  <c r="ES16" i="3"/>
  <c r="EQ16" i="3"/>
  <c r="EP16" i="3"/>
  <c r="EN16" i="3"/>
  <c r="EM16" i="3"/>
  <c r="EK16" i="3"/>
  <c r="EJ16" i="3"/>
  <c r="EF16" i="3"/>
  <c r="EH16" i="3" s="1"/>
  <c r="EE16" i="3"/>
  <c r="EG16" i="3" s="1"/>
  <c r="EC16" i="3"/>
  <c r="EB16" i="3"/>
  <c r="DZ16" i="3"/>
  <c r="DY16" i="3"/>
  <c r="DW16" i="3"/>
  <c r="DV16" i="3"/>
  <c r="DT16" i="3"/>
  <c r="DS16" i="3"/>
  <c r="DQ16" i="3"/>
  <c r="DP16" i="3"/>
  <c r="DM16" i="3"/>
  <c r="DL16" i="3"/>
  <c r="DJ16" i="3"/>
  <c r="DI16" i="3"/>
  <c r="DG16" i="3"/>
  <c r="DF16" i="3"/>
  <c r="DD16" i="3"/>
  <c r="DC16" i="3"/>
  <c r="DA16" i="3"/>
  <c r="CZ16" i="3"/>
  <c r="CX16" i="3"/>
  <c r="CW16" i="3"/>
  <c r="CU16" i="3"/>
  <c r="CT16" i="3"/>
  <c r="CR16" i="3"/>
  <c r="CQ16" i="3"/>
  <c r="CO16" i="3"/>
  <c r="CN16" i="3"/>
  <c r="CL16" i="3"/>
  <c r="CK16" i="3"/>
  <c r="CI16" i="3"/>
  <c r="CH16" i="3"/>
  <c r="CF16" i="3"/>
  <c r="CE16" i="3"/>
  <c r="CC16" i="3"/>
  <c r="CB16" i="3"/>
  <c r="BZ16" i="3"/>
  <c r="BY16" i="3"/>
  <c r="BW16" i="3"/>
  <c r="BV16" i="3"/>
  <c r="BT16" i="3"/>
  <c r="BS16" i="3"/>
  <c r="BQ16" i="3"/>
  <c r="BP16" i="3"/>
  <c r="BO16" i="3"/>
  <c r="FK18" i="19" s="1"/>
  <c r="BN16" i="3"/>
  <c r="FJ18" i="19" s="1"/>
  <c r="BK16" i="3"/>
  <c r="BI16" i="3"/>
  <c r="BG16" i="3"/>
  <c r="BF16" i="3"/>
  <c r="BH16" i="3" s="1"/>
  <c r="BJ16" i="3" s="1"/>
  <c r="BC16" i="3"/>
  <c r="BB16" i="3"/>
  <c r="BA16" i="3"/>
  <c r="AZ16" i="3"/>
  <c r="AX16" i="3"/>
  <c r="AW16" i="3"/>
  <c r="T16" i="3"/>
  <c r="W15" i="3"/>
  <c r="W14" i="3"/>
  <c r="FR12" i="3"/>
  <c r="FP12" i="3"/>
  <c r="FN12" i="3"/>
  <c r="FL12" i="3"/>
  <c r="FJ12" i="3"/>
  <c r="FH12" i="3"/>
  <c r="FA12" i="3"/>
  <c r="EX12" i="3"/>
  <c r="EU12" i="3"/>
  <c r="ER12" i="3"/>
  <c r="EO12" i="3"/>
  <c r="EL12" i="3"/>
  <c r="EJ12" i="3"/>
  <c r="EG12" i="3"/>
  <c r="ED12" i="3"/>
  <c r="EA12" i="3"/>
  <c r="DZ12" i="3"/>
  <c r="DY12" i="3"/>
  <c r="DR12" i="3"/>
  <c r="DO12" i="3"/>
  <c r="DK12" i="3"/>
  <c r="DH12" i="3"/>
  <c r="DE12" i="3"/>
  <c r="DB12" i="3"/>
  <c r="CY12" i="3"/>
  <c r="CV12" i="3"/>
  <c r="CS12" i="3"/>
  <c r="CP12" i="3"/>
  <c r="CM12" i="3"/>
  <c r="CJ12" i="3"/>
  <c r="CG12" i="3"/>
  <c r="CD12" i="3"/>
  <c r="CA12" i="3"/>
  <c r="BX12" i="3"/>
  <c r="BU12" i="3"/>
  <c r="BR12" i="3"/>
  <c r="BM12" i="3"/>
  <c r="BK12" i="3"/>
  <c r="BJ12" i="3"/>
  <c r="BI12" i="3"/>
  <c r="BH12" i="3"/>
  <c r="BE12" i="3"/>
  <c r="BB12" i="3"/>
  <c r="BA12" i="3"/>
  <c r="AW12" i="3"/>
  <c r="K12" i="3"/>
  <c r="B12" i="3"/>
  <c r="FY11" i="3"/>
  <c r="FN11" i="3"/>
  <c r="FL11" i="3"/>
  <c r="FJ11" i="3"/>
  <c r="FH11" i="3"/>
  <c r="FG11" i="3"/>
  <c r="DX11" i="3"/>
  <c r="FV10" i="3"/>
  <c r="FP10" i="3"/>
  <c r="AX10" i="3"/>
  <c r="AW10" i="3"/>
  <c r="H10" i="3"/>
  <c r="EM9" i="3"/>
  <c r="EJ9" i="3"/>
  <c r="EG9" i="3"/>
  <c r="ED9" i="3"/>
  <c r="EA9" i="3"/>
  <c r="DR9" i="3"/>
  <c r="DO9" i="3"/>
  <c r="DI9" i="3"/>
  <c r="DE9" i="3"/>
  <c r="CZ9" i="3"/>
  <c r="CS9" i="3"/>
  <c r="BX9" i="3"/>
  <c r="CA9" i="3" s="1"/>
  <c r="BU9" i="3"/>
  <c r="BR9" i="3"/>
  <c r="T9" i="3"/>
  <c r="FI8" i="3"/>
  <c r="FH8" i="3"/>
  <c r="FG8" i="3"/>
  <c r="BJ8" i="3"/>
  <c r="BH8" i="3"/>
  <c r="F8" i="3"/>
  <c r="A105" i="24"/>
  <c r="FI6" i="3"/>
  <c r="FH6" i="3"/>
  <c r="FG6" i="3"/>
  <c r="BJ6" i="3"/>
  <c r="BH6" i="3"/>
  <c r="FI5" i="3"/>
  <c r="FH5" i="3"/>
  <c r="FG5" i="3"/>
  <c r="BJ5" i="3"/>
  <c r="BH5" i="3"/>
  <c r="FI3" i="3"/>
  <c r="FH3" i="3"/>
  <c r="B54" i="8" s="1"/>
  <c r="FG3" i="3"/>
  <c r="BJ3" i="3"/>
  <c r="BH3" i="3"/>
  <c r="G3" i="3"/>
  <c r="B3" i="3"/>
  <c r="B11" i="44" s="1"/>
  <c r="FI2" i="3"/>
  <c r="FH2" i="3"/>
  <c r="FG2" i="3"/>
  <c r="BJ2" i="3"/>
  <c r="BH2" i="3"/>
  <c r="G2" i="3"/>
  <c r="B2" i="3"/>
  <c r="FI1" i="3"/>
  <c r="FH1" i="3"/>
  <c r="FG1" i="3"/>
  <c r="BJ1" i="3"/>
  <c r="BH1" i="3"/>
  <c r="F38" i="41" s="1"/>
  <c r="F1" i="3"/>
  <c r="B2" i="44"/>
  <c r="B1" i="3"/>
  <c r="I153" i="38"/>
  <c r="H153" i="38"/>
  <c r="I152" i="38"/>
  <c r="H152" i="38"/>
  <c r="I151" i="38"/>
  <c r="H151" i="38"/>
  <c r="G151" i="38"/>
  <c r="I150" i="38"/>
  <c r="H150" i="38"/>
  <c r="M132" i="38"/>
  <c r="G131" i="38"/>
  <c r="I132" i="38"/>
  <c r="B48" i="6" s="1"/>
  <c r="H132" i="38"/>
  <c r="N131" i="38"/>
  <c r="M131" i="38"/>
  <c r="K111" i="38"/>
  <c r="N108" i="38"/>
  <c r="M108" i="38"/>
  <c r="K108" i="38"/>
  <c r="K105" i="38"/>
  <c r="E105" i="38"/>
  <c r="K78" i="38"/>
  <c r="K77" i="38"/>
  <c r="K76" i="38"/>
  <c r="K75" i="38"/>
  <c r="K74" i="38"/>
  <c r="B74" i="38"/>
  <c r="B73" i="38"/>
  <c r="B72" i="38"/>
  <c r="B71" i="38"/>
  <c r="B70" i="38"/>
  <c r="E38" i="35" s="1"/>
  <c r="T68" i="38"/>
  <c r="T67" i="38"/>
  <c r="T66" i="38"/>
  <c r="T65" i="38"/>
  <c r="K65" i="38"/>
  <c r="K64" i="38"/>
  <c r="K68" i="38" s="1"/>
  <c r="K63" i="38"/>
  <c r="K67" i="38" s="1"/>
  <c r="K62" i="38"/>
  <c r="K66" i="38" s="1"/>
  <c r="K61" i="38"/>
  <c r="S60" i="38"/>
  <c r="K60" i="38" s="1"/>
  <c r="S59" i="38"/>
  <c r="K59" i="38" s="1"/>
  <c r="D59" i="38"/>
  <c r="D57" i="38"/>
  <c r="R20" i="38" s="1"/>
  <c r="D56" i="38"/>
  <c r="D55" i="38"/>
  <c r="R18" i="38" s="1"/>
  <c r="T54" i="38"/>
  <c r="K54" i="38"/>
  <c r="T53" i="38"/>
  <c r="K58" i="38" s="1"/>
  <c r="AC61" i="38" s="1"/>
  <c r="AC63" i="38" s="1"/>
  <c r="K53" i="38"/>
  <c r="T52" i="38"/>
  <c r="K57" i="38" s="1"/>
  <c r="AC64" i="38" s="1"/>
  <c r="AC65" i="38" s="1"/>
  <c r="AB66" i="38" s="1"/>
  <c r="K52" i="38"/>
  <c r="T51" i="38"/>
  <c r="K56" i="38" s="1"/>
  <c r="AC58" i="38" s="1"/>
  <c r="AC59" i="38" s="1"/>
  <c r="AB60" i="38" s="1"/>
  <c r="K51" i="38"/>
  <c r="T50" i="38"/>
  <c r="K55" i="38" s="1"/>
  <c r="AC55" i="38" s="1"/>
  <c r="AC57" i="38" s="1"/>
  <c r="K50" i="38"/>
  <c r="K49" i="38"/>
  <c r="A49" i="38"/>
  <c r="C48" i="38"/>
  <c r="A48" i="38" s="1"/>
  <c r="B47" i="38"/>
  <c r="AA50" i="38"/>
  <c r="AD47" i="38"/>
  <c r="AD45" i="38"/>
  <c r="F43" i="38"/>
  <c r="AD44" i="38"/>
  <c r="AC44" i="38"/>
  <c r="AD43" i="38"/>
  <c r="AC43" i="38"/>
  <c r="H41" i="38"/>
  <c r="AM40" i="38"/>
  <c r="AD42" i="38"/>
  <c r="AC42" i="38"/>
  <c r="AL39" i="38"/>
  <c r="AD41" i="38"/>
  <c r="AC41" i="38"/>
  <c r="E38" i="38"/>
  <c r="R37" i="38"/>
  <c r="H37" i="38"/>
  <c r="D37" i="38"/>
  <c r="K36" i="38"/>
  <c r="K35" i="38"/>
  <c r="K34" i="38"/>
  <c r="K33" i="38"/>
  <c r="AP32" i="38"/>
  <c r="K32" i="38"/>
  <c r="D32" i="38"/>
  <c r="E31" i="38" s="1"/>
  <c r="K31" i="38"/>
  <c r="AP30" i="38"/>
  <c r="K30" i="38"/>
  <c r="K29" i="38"/>
  <c r="AL28" i="38"/>
  <c r="AP28" i="38" s="1"/>
  <c r="C4" i="38"/>
  <c r="K28" i="38"/>
  <c r="AM27" i="38"/>
  <c r="K27" i="38"/>
  <c r="AK26" i="38"/>
  <c r="AK27" i="38" s="1"/>
  <c r="K26" i="38"/>
  <c r="AP25" i="38"/>
  <c r="AK25" i="38"/>
  <c r="K25" i="38"/>
  <c r="AP24" i="38"/>
  <c r="K24" i="38"/>
  <c r="AL23" i="38"/>
  <c r="AK23" i="38" s="1"/>
  <c r="AG23" i="38"/>
  <c r="AG50" i="38" s="1"/>
  <c r="K23" i="38"/>
  <c r="AN22" i="38"/>
  <c r="AL22" i="38" s="1"/>
  <c r="AK22" i="38" s="1"/>
  <c r="R22" i="38"/>
  <c r="Q22" i="38"/>
  <c r="K22" i="38"/>
  <c r="AN21" i="38"/>
  <c r="AL21" i="38" s="1"/>
  <c r="AK21" i="38" s="1"/>
  <c r="R21" i="38"/>
  <c r="Q21" i="38"/>
  <c r="K21" i="38"/>
  <c r="AN20" i="38"/>
  <c r="AL20" i="38" s="1"/>
  <c r="AK20" i="38" s="1"/>
  <c r="Q20" i="38"/>
  <c r="K20" i="38"/>
  <c r="R19" i="38"/>
  <c r="Q19" i="38"/>
  <c r="K19" i="38"/>
  <c r="A19" i="38"/>
  <c r="Q18" i="38"/>
  <c r="K18" i="38"/>
  <c r="AN11" i="38"/>
  <c r="AN10" i="38"/>
  <c r="AN9" i="38"/>
  <c r="AB9" i="38"/>
  <c r="AB26" i="38" s="1"/>
  <c r="AN8" i="38"/>
  <c r="AB8" i="38"/>
  <c r="AN7" i="38"/>
  <c r="AB7" i="38"/>
  <c r="AC23" i="38" s="1"/>
  <c r="M7" i="38"/>
  <c r="AN6" i="38"/>
  <c r="AB6" i="38"/>
  <c r="AD22" i="38" s="1"/>
  <c r="Y6" i="38"/>
  <c r="AB30" i="38" s="1"/>
  <c r="J6" i="38"/>
  <c r="M6" i="38" s="1"/>
  <c r="F6" i="38"/>
  <c r="AN5" i="38"/>
  <c r="AB5" i="38"/>
  <c r="Y5" i="38"/>
  <c r="J5" i="38"/>
  <c r="M5" i="38" s="1"/>
  <c r="C5" i="38"/>
  <c r="L117" i="38" s="1"/>
  <c r="AN4" i="38"/>
  <c r="AB4" i="38"/>
  <c r="Y4" i="38"/>
  <c r="M4" i="38"/>
  <c r="AN3" i="38"/>
  <c r="AB3" i="38"/>
  <c r="Y3" i="38"/>
  <c r="M3" i="38"/>
  <c r="AN2" i="38"/>
  <c r="AB2" i="38"/>
  <c r="Y2" i="38"/>
  <c r="M2" i="38"/>
  <c r="E2" i="38"/>
  <c r="D2" i="38"/>
  <c r="C2" i="38"/>
  <c r="AK1" i="38"/>
  <c r="AL1" i="38" s="1"/>
  <c r="M1" i="38"/>
  <c r="D1" i="38"/>
  <c r="B1" i="38"/>
  <c r="AB10" i="19" s="1"/>
  <c r="AE10" i="19" s="1"/>
  <c r="AR26" i="40"/>
  <c r="AQ26" i="40"/>
  <c r="AP26" i="40"/>
  <c r="AN26" i="40"/>
  <c r="A25" i="40"/>
  <c r="BS24" i="40"/>
  <c r="AI25" i="40"/>
  <c r="D37" i="41" s="1"/>
  <c r="E37" i="41" s="1"/>
  <c r="BT21" i="40"/>
  <c r="BQ21" i="40"/>
  <c r="BP21" i="40"/>
  <c r="BO21" i="40"/>
  <c r="BN21" i="40"/>
  <c r="BM21" i="40"/>
  <c r="BL21" i="40"/>
  <c r="BH21" i="40"/>
  <c r="BA21" i="40"/>
  <c r="AZ21" i="40"/>
  <c r="AY21" i="40"/>
  <c r="AW21" i="40"/>
  <c r="AV21" i="40"/>
  <c r="AU21" i="40"/>
  <c r="AT21" i="40"/>
  <c r="AS21" i="40"/>
  <c r="AR21" i="40"/>
  <c r="AQ21" i="40"/>
  <c r="AP21" i="40"/>
  <c r="AO21" i="40"/>
  <c r="AN21" i="40"/>
  <c r="AM21" i="40"/>
  <c r="AL21" i="40"/>
  <c r="AK21" i="40"/>
  <c r="AH21" i="40"/>
  <c r="AG21" i="40"/>
  <c r="AF21" i="40"/>
  <c r="AE21" i="40"/>
  <c r="AD21" i="40"/>
  <c r="AC21" i="40"/>
  <c r="AB21" i="40"/>
  <c r="AA21" i="40"/>
  <c r="Z21" i="40"/>
  <c r="Y21" i="40"/>
  <c r="V21" i="40"/>
  <c r="U21" i="40"/>
  <c r="T21" i="40"/>
  <c r="S21" i="40"/>
  <c r="R21" i="40"/>
  <c r="Q21" i="40"/>
  <c r="P21" i="40"/>
  <c r="O21" i="40"/>
  <c r="N21" i="40"/>
  <c r="M21" i="40"/>
  <c r="L21" i="40"/>
  <c r="K21" i="40"/>
  <c r="J21" i="40"/>
  <c r="I21" i="40"/>
  <c r="H21" i="40"/>
  <c r="F21" i="40"/>
  <c r="BP20" i="40"/>
  <c r="BJ20" i="40"/>
  <c r="B20" i="40"/>
  <c r="A18" i="40"/>
  <c r="D19" i="40" s="1"/>
  <c r="BS17" i="40"/>
  <c r="E15" i="40"/>
  <c r="B14" i="40"/>
  <c r="B13" i="40"/>
  <c r="E9" i="40"/>
  <c r="C9" i="40"/>
  <c r="A9" i="40"/>
  <c r="B8" i="40"/>
  <c r="BT4" i="40"/>
  <c r="BQ4" i="40"/>
  <c r="BP4" i="40"/>
  <c r="BO4" i="40"/>
  <c r="BN4" i="40"/>
  <c r="BM4" i="40"/>
  <c r="BL4" i="40"/>
  <c r="BK4" i="40"/>
  <c r="BJ4" i="40"/>
  <c r="BI4" i="40"/>
  <c r="BG4" i="40"/>
  <c r="BD4" i="40"/>
  <c r="AZ4" i="40"/>
  <c r="AY4" i="40"/>
  <c r="AX4" i="40"/>
  <c r="AW4" i="40"/>
  <c r="AV4" i="40"/>
  <c r="AU4" i="40"/>
  <c r="AT4" i="40"/>
  <c r="AS4" i="40"/>
  <c r="AR4" i="40"/>
  <c r="AQ4" i="40"/>
  <c r="AP4" i="40"/>
  <c r="AO4" i="40"/>
  <c r="AN4" i="40"/>
  <c r="AM4" i="40"/>
  <c r="AL4" i="40"/>
  <c r="AK4" i="40"/>
  <c r="AJ4" i="40"/>
  <c r="AI4" i="40"/>
  <c r="AH4" i="40"/>
  <c r="AG4" i="40"/>
  <c r="AF4" i="40"/>
  <c r="AE4" i="40"/>
  <c r="AD4" i="40"/>
  <c r="AC4" i="40"/>
  <c r="AB4" i="40"/>
  <c r="AA4" i="40"/>
  <c r="Z4" i="40"/>
  <c r="X4" i="40"/>
  <c r="W4" i="40"/>
  <c r="V4" i="40"/>
  <c r="U4" i="40"/>
  <c r="T4" i="40"/>
  <c r="S4" i="40"/>
  <c r="R4" i="40"/>
  <c r="Q4" i="40"/>
  <c r="P4" i="40"/>
  <c r="O4" i="40"/>
  <c r="N4" i="40"/>
  <c r="M4" i="40"/>
  <c r="L4" i="40"/>
  <c r="K4" i="40"/>
  <c r="J4" i="40"/>
  <c r="I4" i="40"/>
  <c r="H4" i="40"/>
  <c r="G4" i="40"/>
  <c r="F4" i="40"/>
  <c r="BT3" i="40"/>
  <c r="BA3" i="40"/>
  <c r="AZ3" i="40"/>
  <c r="AY3" i="40"/>
  <c r="AX3" i="40"/>
  <c r="AW3" i="40"/>
  <c r="AV3" i="40"/>
  <c r="AV15" i="40" s="1"/>
  <c r="AV18" i="40" s="1"/>
  <c r="AV26" i="40" s="1"/>
  <c r="AU3" i="40"/>
  <c r="AT3" i="40"/>
  <c r="AS3" i="40"/>
  <c r="AR3" i="40"/>
  <c r="AQ3" i="40"/>
  <c r="AP3" i="40"/>
  <c r="AO3" i="40"/>
  <c r="AN3" i="40"/>
  <c r="AM3" i="40"/>
  <c r="AL3" i="40"/>
  <c r="AK3" i="40"/>
  <c r="AJ3" i="40"/>
  <c r="AI3" i="40"/>
  <c r="AH3" i="40"/>
  <c r="AG3" i="40"/>
  <c r="AF3" i="40"/>
  <c r="AE3" i="40"/>
  <c r="AD3" i="40"/>
  <c r="AC3" i="40"/>
  <c r="AB3" i="40"/>
  <c r="AA3" i="40"/>
  <c r="Z3" i="40"/>
  <c r="X3" i="40"/>
  <c r="W3" i="40"/>
  <c r="V3" i="40"/>
  <c r="U3" i="40"/>
  <c r="T3" i="40"/>
  <c r="S3" i="40"/>
  <c r="R3" i="40"/>
  <c r="Q3" i="40"/>
  <c r="P3" i="40"/>
  <c r="O3" i="40"/>
  <c r="N3" i="40"/>
  <c r="M3" i="40"/>
  <c r="L3" i="40"/>
  <c r="K3" i="40"/>
  <c r="J3" i="40"/>
  <c r="I3" i="40"/>
  <c r="H3" i="40"/>
  <c r="G3" i="40"/>
  <c r="F3" i="40"/>
  <c r="BT2" i="40"/>
  <c r="BA2" i="40"/>
  <c r="AZ2" i="40"/>
  <c r="AY2" i="40"/>
  <c r="AX2" i="40"/>
  <c r="AW2" i="40"/>
  <c r="AV2" i="40"/>
  <c r="AV9" i="40" s="1"/>
  <c r="AV12" i="40" s="1"/>
  <c r="AV27" i="40" s="1"/>
  <c r="AU2" i="40"/>
  <c r="AT2" i="40"/>
  <c r="AS2" i="40"/>
  <c r="AR2" i="40"/>
  <c r="AQ2" i="40"/>
  <c r="AP2" i="40"/>
  <c r="AO2" i="40"/>
  <c r="AN2" i="40"/>
  <c r="AM2" i="40"/>
  <c r="AL2" i="40"/>
  <c r="AK2" i="40"/>
  <c r="AJ2" i="40"/>
  <c r="AJ9" i="40" s="1"/>
  <c r="AJ8" i="40" s="1"/>
  <c r="G78" i="35" s="1"/>
  <c r="AH2" i="40"/>
  <c r="AG2" i="40"/>
  <c r="AF2" i="40"/>
  <c r="AE2" i="40"/>
  <c r="AD2" i="40"/>
  <c r="AC2" i="40"/>
  <c r="AB2" i="40"/>
  <c r="AA2" i="40"/>
  <c r="Z2" i="40"/>
  <c r="X2" i="40"/>
  <c r="W2" i="40"/>
  <c r="V2" i="40"/>
  <c r="U2" i="40"/>
  <c r="T2" i="40"/>
  <c r="S2" i="40"/>
  <c r="R2" i="40"/>
  <c r="Q2" i="40"/>
  <c r="P2" i="40"/>
  <c r="O2" i="40"/>
  <c r="N2" i="40"/>
  <c r="M2" i="40"/>
  <c r="L2" i="40"/>
  <c r="K2" i="40"/>
  <c r="K9" i="40" s="1"/>
  <c r="K12" i="40" s="1"/>
  <c r="K27" i="40" s="1"/>
  <c r="J2" i="40"/>
  <c r="I2" i="40"/>
  <c r="H2" i="40"/>
  <c r="G2" i="40"/>
  <c r="F2" i="40"/>
  <c r="BT1" i="40"/>
  <c r="BR1" i="40"/>
  <c r="BQ1" i="40"/>
  <c r="BP1" i="40"/>
  <c r="BO1" i="40"/>
  <c r="BN1" i="40"/>
  <c r="BM1" i="40"/>
  <c r="BL1" i="40"/>
  <c r="BK1" i="40"/>
  <c r="BJ1" i="40"/>
  <c r="BI1" i="40"/>
  <c r="BH1" i="40"/>
  <c r="BG1" i="40"/>
  <c r="BF1" i="40"/>
  <c r="BE1" i="40"/>
  <c r="BD1" i="40"/>
  <c r="BC1" i="40"/>
  <c r="BA1" i="40"/>
  <c r="AZ1" i="40"/>
  <c r="AY1" i="40"/>
  <c r="AX1" i="40"/>
  <c r="AW1" i="40"/>
  <c r="AV1" i="40"/>
  <c r="AT1" i="40"/>
  <c r="AS1" i="40"/>
  <c r="AR1" i="40"/>
  <c r="AQ1" i="40"/>
  <c r="AP1" i="40"/>
  <c r="AO1" i="40"/>
  <c r="AN1" i="40"/>
  <c r="AM1" i="40"/>
  <c r="AL1" i="40"/>
  <c r="AK1" i="40"/>
  <c r="AI1" i="40"/>
  <c r="AH1" i="40"/>
  <c r="AG1" i="40"/>
  <c r="AF1" i="40"/>
  <c r="AE1" i="40"/>
  <c r="AD1" i="40"/>
  <c r="AC1" i="40"/>
  <c r="AB1" i="40"/>
  <c r="AA1" i="40"/>
  <c r="Z1" i="40"/>
  <c r="Y1" i="40"/>
  <c r="Y3" i="40" s="1"/>
  <c r="X1" i="40"/>
  <c r="W1" i="40"/>
  <c r="V1" i="40"/>
  <c r="U1" i="40"/>
  <c r="T1" i="40"/>
  <c r="S1" i="40"/>
  <c r="R1" i="40"/>
  <c r="Q1" i="40"/>
  <c r="P1" i="40"/>
  <c r="O1" i="40"/>
  <c r="N1" i="40"/>
  <c r="M1" i="40"/>
  <c r="L1" i="40"/>
  <c r="K1" i="40"/>
  <c r="J1" i="40"/>
  <c r="I1" i="40"/>
  <c r="H1" i="40"/>
  <c r="F1" i="40"/>
  <c r="A1" i="40"/>
  <c r="T28" i="25"/>
  <c r="R28" i="25"/>
  <c r="Q28" i="25"/>
  <c r="N28" i="25"/>
  <c r="X27" i="25"/>
  <c r="W27" i="25"/>
  <c r="M27" i="25"/>
  <c r="AS26" i="25"/>
  <c r="AR26" i="25"/>
  <c r="AQ26" i="25"/>
  <c r="AO26" i="25"/>
  <c r="AH26" i="25"/>
  <c r="AG26" i="25"/>
  <c r="AF26" i="25"/>
  <c r="T26" i="25"/>
  <c r="R26" i="25"/>
  <c r="Q26" i="25"/>
  <c r="O26" i="25"/>
  <c r="N26" i="25"/>
  <c r="AS25" i="25"/>
  <c r="AR25" i="25"/>
  <c r="AQ25" i="25"/>
  <c r="AO25" i="25"/>
  <c r="AH25" i="25"/>
  <c r="AG25" i="25"/>
  <c r="AF25" i="25"/>
  <c r="X25" i="25"/>
  <c r="W25" i="25"/>
  <c r="O25" i="25"/>
  <c r="O28" i="25" s="1"/>
  <c r="N25" i="25"/>
  <c r="A25" i="25"/>
  <c r="A21" i="25" s="1"/>
  <c r="BU24" i="25"/>
  <c r="BR21" i="25"/>
  <c r="BP21" i="25"/>
  <c r="BO21" i="25"/>
  <c r="BN21" i="25"/>
  <c r="BM21" i="25"/>
  <c r="BL21" i="25"/>
  <c r="BK21" i="25"/>
  <c r="BJ21" i="25"/>
  <c r="BI21" i="25"/>
  <c r="BH21" i="25"/>
  <c r="BB21" i="25"/>
  <c r="BA21" i="25"/>
  <c r="AZ21" i="25"/>
  <c r="AX21" i="25"/>
  <c r="AW21" i="25"/>
  <c r="AV21" i="25"/>
  <c r="AU21" i="25"/>
  <c r="AT21" i="25"/>
  <c r="AS21" i="25"/>
  <c r="AR21" i="25"/>
  <c r="AQ21" i="25"/>
  <c r="AP21" i="25"/>
  <c r="AO21" i="25"/>
  <c r="AN21" i="25"/>
  <c r="AM21" i="25"/>
  <c r="AL21" i="25"/>
  <c r="AK21" i="25"/>
  <c r="AI21" i="25"/>
  <c r="AH21" i="25"/>
  <c r="AG21" i="25"/>
  <c r="AF21" i="25"/>
  <c r="AE21" i="25"/>
  <c r="AD21" i="25"/>
  <c r="AC21" i="25"/>
  <c r="AB21" i="25"/>
  <c r="AA21" i="25"/>
  <c r="Z21" i="25"/>
  <c r="V21" i="25"/>
  <c r="U21" i="25"/>
  <c r="S21" i="25"/>
  <c r="P21" i="25"/>
  <c r="M21" i="25"/>
  <c r="L21" i="25"/>
  <c r="K21" i="25"/>
  <c r="J21" i="25"/>
  <c r="I21" i="25"/>
  <c r="G21" i="25"/>
  <c r="F21" i="25"/>
  <c r="BK20" i="25"/>
  <c r="AH18" i="25"/>
  <c r="AG18" i="25"/>
  <c r="AF18" i="25"/>
  <c r="A18" i="25"/>
  <c r="BU17" i="25"/>
  <c r="E15" i="25"/>
  <c r="C13" i="25"/>
  <c r="E9" i="25"/>
  <c r="C9" i="25"/>
  <c r="C8" i="25" s="1"/>
  <c r="A9" i="25"/>
  <c r="F7" i="25"/>
  <c r="F6" i="25"/>
  <c r="BV4" i="25"/>
  <c r="BR4" i="25"/>
  <c r="BQ4" i="25"/>
  <c r="BP4" i="25"/>
  <c r="BO4" i="25"/>
  <c r="BN4" i="25"/>
  <c r="BM4" i="25"/>
  <c r="BL4" i="25"/>
  <c r="BK4" i="25"/>
  <c r="BJ4" i="25"/>
  <c r="BI4" i="25"/>
  <c r="BH4" i="25"/>
  <c r="BE4" i="25"/>
  <c r="BA4" i="25"/>
  <c r="AZ4" i="25"/>
  <c r="AY4" i="25"/>
  <c r="AX4" i="25"/>
  <c r="AV4" i="25"/>
  <c r="AU4" i="25"/>
  <c r="AT4" i="25"/>
  <c r="AS4" i="25"/>
  <c r="AR4" i="25"/>
  <c r="AQ4" i="25"/>
  <c r="AP4" i="25"/>
  <c r="AO4" i="25"/>
  <c r="AN4" i="25"/>
  <c r="AM4" i="25"/>
  <c r="AL4" i="25"/>
  <c r="AK4" i="25"/>
  <c r="AJ4" i="25"/>
  <c r="AI4" i="25"/>
  <c r="AH4" i="25"/>
  <c r="AG4" i="25"/>
  <c r="AF4" i="25"/>
  <c r="AE4" i="25"/>
  <c r="AD4" i="25"/>
  <c r="AC4" i="25"/>
  <c r="AB4" i="25"/>
  <c r="AA4" i="25"/>
  <c r="Z4" i="25"/>
  <c r="Y4" i="25"/>
  <c r="X4" i="25"/>
  <c r="W4" i="25"/>
  <c r="V4" i="25"/>
  <c r="U4" i="25"/>
  <c r="T4" i="25"/>
  <c r="S4" i="25"/>
  <c r="R4" i="25"/>
  <c r="Q4" i="25"/>
  <c r="P4" i="25"/>
  <c r="O4" i="25"/>
  <c r="N4" i="25"/>
  <c r="M4" i="25"/>
  <c r="L4" i="25"/>
  <c r="K4" i="25"/>
  <c r="J4" i="25"/>
  <c r="I4" i="25"/>
  <c r="H4" i="25"/>
  <c r="G4" i="25"/>
  <c r="F4" i="25"/>
  <c r="BV3" i="25"/>
  <c r="BT3" i="25"/>
  <c r="BB3" i="25"/>
  <c r="BA3" i="25"/>
  <c r="AZ3" i="25"/>
  <c r="AY3" i="25"/>
  <c r="AX3" i="25"/>
  <c r="AV3" i="25"/>
  <c r="AU3" i="25"/>
  <c r="AT3" i="25"/>
  <c r="AS3" i="25"/>
  <c r="AR3" i="25"/>
  <c r="AQ3" i="25"/>
  <c r="AP3" i="25"/>
  <c r="AO3" i="25"/>
  <c r="AN3" i="25"/>
  <c r="AM3" i="25"/>
  <c r="AL3" i="25"/>
  <c r="AK3" i="25"/>
  <c r="AJ3" i="25"/>
  <c r="AI3" i="25"/>
  <c r="AH3" i="25"/>
  <c r="AG3" i="25"/>
  <c r="AF3" i="25"/>
  <c r="AE3" i="25"/>
  <c r="AD3" i="25"/>
  <c r="AC3" i="25"/>
  <c r="AB3" i="25"/>
  <c r="AA3" i="25"/>
  <c r="Z3" i="25"/>
  <c r="Y3" i="25"/>
  <c r="X3" i="25"/>
  <c r="W3" i="25"/>
  <c r="V3" i="25"/>
  <c r="U3" i="25"/>
  <c r="T3" i="25"/>
  <c r="S3" i="25"/>
  <c r="R3" i="25"/>
  <c r="Q3" i="25"/>
  <c r="P3" i="25"/>
  <c r="O3" i="25"/>
  <c r="N3" i="25"/>
  <c r="M3" i="25"/>
  <c r="L3" i="25"/>
  <c r="K3" i="25"/>
  <c r="J3" i="25"/>
  <c r="I3" i="25"/>
  <c r="H3" i="25"/>
  <c r="G3" i="25"/>
  <c r="F3" i="25"/>
  <c r="BV2" i="25"/>
  <c r="BT2" i="25"/>
  <c r="BB2" i="25"/>
  <c r="BA2" i="25"/>
  <c r="AZ2" i="25"/>
  <c r="AY2" i="25"/>
  <c r="AX2" i="25"/>
  <c r="AV2" i="25"/>
  <c r="AU2" i="25"/>
  <c r="AT2" i="25"/>
  <c r="AS2" i="25"/>
  <c r="AR2" i="25"/>
  <c r="AQ2" i="25"/>
  <c r="AP2" i="25"/>
  <c r="AO2" i="25"/>
  <c r="AN2" i="25"/>
  <c r="AM2" i="25"/>
  <c r="AL2" i="25"/>
  <c r="AK2" i="25"/>
  <c r="AI2" i="25"/>
  <c r="AH2" i="25"/>
  <c r="AG2" i="25"/>
  <c r="AF2" i="25"/>
  <c r="AE2" i="25"/>
  <c r="AD2" i="25"/>
  <c r="AC2" i="25"/>
  <c r="AB2" i="25"/>
  <c r="AA2" i="25"/>
  <c r="Z2" i="25"/>
  <c r="Y2" i="25"/>
  <c r="V2" i="25"/>
  <c r="U2" i="25"/>
  <c r="T2" i="25"/>
  <c r="S2" i="25"/>
  <c r="R2" i="25"/>
  <c r="Q2" i="25"/>
  <c r="P2" i="25"/>
  <c r="O2" i="25"/>
  <c r="N2" i="25"/>
  <c r="L2" i="25"/>
  <c r="K2" i="25"/>
  <c r="J2" i="25"/>
  <c r="I2" i="25"/>
  <c r="H2" i="25"/>
  <c r="G2" i="25"/>
  <c r="F2" i="25"/>
  <c r="BT1" i="25"/>
  <c r="BS1" i="25"/>
  <c r="BR1" i="25"/>
  <c r="BQ1" i="25"/>
  <c r="BP1" i="25"/>
  <c r="BO1" i="25"/>
  <c r="BN1" i="25"/>
  <c r="BM1" i="25"/>
  <c r="BL1" i="25"/>
  <c r="BK1" i="25"/>
  <c r="BJ1" i="25"/>
  <c r="BI1" i="25"/>
  <c r="BH1" i="25"/>
  <c r="BG1" i="25"/>
  <c r="BF1" i="25"/>
  <c r="BE1" i="25"/>
  <c r="BD1" i="25"/>
  <c r="BB1" i="25"/>
  <c r="BA1" i="25"/>
  <c r="AZ1" i="25"/>
  <c r="AY1" i="25"/>
  <c r="AX1" i="25"/>
  <c r="AW1" i="25"/>
  <c r="AW2" i="25" s="1"/>
  <c r="AW9" i="25" s="1"/>
  <c r="AW12" i="25" s="1"/>
  <c r="AW27" i="25" s="1"/>
  <c r="I51" i="6" s="1"/>
  <c r="AU1" i="25"/>
  <c r="AT1" i="25"/>
  <c r="AS1" i="25"/>
  <c r="AR1" i="25"/>
  <c r="AQ1" i="25"/>
  <c r="AP1" i="25"/>
  <c r="AO1" i="25"/>
  <c r="AN1" i="25"/>
  <c r="AM1" i="25"/>
  <c r="AL1" i="25"/>
  <c r="AK1" i="25"/>
  <c r="AJ1" i="25"/>
  <c r="AI1" i="25"/>
  <c r="AH1" i="25"/>
  <c r="AG1" i="25"/>
  <c r="AF1" i="25"/>
  <c r="AE1" i="25"/>
  <c r="AD1" i="25"/>
  <c r="AC1" i="25"/>
  <c r="AB1" i="25"/>
  <c r="AA1" i="25"/>
  <c r="Z1" i="25"/>
  <c r="Y1" i="25"/>
  <c r="X1" i="25"/>
  <c r="W1" i="25"/>
  <c r="V1" i="25"/>
  <c r="U1" i="25"/>
  <c r="T1" i="25"/>
  <c r="S1" i="25"/>
  <c r="R1" i="25"/>
  <c r="Q1" i="25"/>
  <c r="P1" i="25"/>
  <c r="O1" i="25"/>
  <c r="N1" i="25"/>
  <c r="M1" i="25"/>
  <c r="L1" i="25"/>
  <c r="K1" i="25"/>
  <c r="J1" i="25"/>
  <c r="I1" i="25"/>
  <c r="H1" i="25"/>
  <c r="F1" i="25"/>
  <c r="A1" i="25"/>
  <c r="B57" i="41"/>
  <c r="A57" i="41"/>
  <c r="B56" i="41"/>
  <c r="A56" i="41"/>
  <c r="B55" i="41"/>
  <c r="A55" i="41"/>
  <c r="D54" i="41"/>
  <c r="B54" i="41"/>
  <c r="A54" i="41"/>
  <c r="B53" i="41"/>
  <c r="A53" i="41"/>
  <c r="F51" i="41"/>
  <c r="B51" i="41"/>
  <c r="A51" i="41"/>
  <c r="H47" i="41"/>
  <c r="B47" i="41"/>
  <c r="A47" i="41"/>
  <c r="H46" i="41"/>
  <c r="B46" i="41"/>
  <c r="A46" i="41"/>
  <c r="H45" i="41"/>
  <c r="B45" i="41"/>
  <c r="A45" i="41"/>
  <c r="B44" i="41"/>
  <c r="A44" i="41"/>
  <c r="H43" i="41"/>
  <c r="B43" i="41"/>
  <c r="A43" i="41"/>
  <c r="B41" i="41"/>
  <c r="A41" i="41"/>
  <c r="B40" i="41"/>
  <c r="A40" i="41"/>
  <c r="F39" i="41"/>
  <c r="G39" i="41" s="1"/>
  <c r="B38" i="41"/>
  <c r="A38" i="41"/>
  <c r="B37" i="41"/>
  <c r="A37" i="41"/>
  <c r="B36" i="41"/>
  <c r="A36" i="41"/>
  <c r="H35" i="41"/>
  <c r="B35" i="41"/>
  <c r="A35" i="41"/>
  <c r="H34" i="41"/>
  <c r="B34" i="41"/>
  <c r="A34" i="41"/>
  <c r="H33" i="41"/>
  <c r="B33" i="41"/>
  <c r="A33" i="41"/>
  <c r="B32" i="41"/>
  <c r="A32" i="41"/>
  <c r="B31" i="41"/>
  <c r="A31" i="41"/>
  <c r="B30" i="41"/>
  <c r="A30" i="41"/>
  <c r="B29" i="41"/>
  <c r="A29" i="41"/>
  <c r="B28" i="41"/>
  <c r="A28" i="41"/>
  <c r="B27" i="41"/>
  <c r="A27" i="41"/>
  <c r="B26" i="41"/>
  <c r="I25" i="41"/>
  <c r="D25" i="41"/>
  <c r="B25" i="41"/>
  <c r="A25" i="41"/>
  <c r="I24" i="41"/>
  <c r="B24" i="41"/>
  <c r="A24" i="41"/>
  <c r="B23" i="41"/>
  <c r="A23" i="41"/>
  <c r="B22" i="41"/>
  <c r="A22" i="41"/>
  <c r="H21" i="41"/>
  <c r="B21" i="41"/>
  <c r="A21" i="41"/>
  <c r="B20" i="41"/>
  <c r="A20" i="41"/>
  <c r="H19" i="41"/>
  <c r="B19" i="41"/>
  <c r="A19" i="41"/>
  <c r="H18" i="41"/>
  <c r="B18" i="41"/>
  <c r="A18" i="41"/>
  <c r="D17" i="41"/>
  <c r="B17" i="41"/>
  <c r="A17" i="41"/>
  <c r="H16" i="41"/>
  <c r="A16" i="41"/>
  <c r="H15" i="41"/>
  <c r="A15" i="41"/>
  <c r="B14" i="41"/>
  <c r="A14" i="41"/>
  <c r="B12" i="41"/>
  <c r="A12" i="41"/>
  <c r="A11" i="41"/>
  <c r="H10" i="41"/>
  <c r="A10" i="41"/>
  <c r="H9" i="41"/>
  <c r="A9" i="41"/>
  <c r="F7" i="41"/>
  <c r="F13" i="41" s="1"/>
  <c r="F6" i="41"/>
  <c r="G6" i="41" s="1"/>
  <c r="A5" i="41"/>
  <c r="F3" i="41"/>
  <c r="D3" i="41"/>
  <c r="B2" i="41"/>
  <c r="B57" i="6"/>
  <c r="A57" i="6"/>
  <c r="B56" i="6"/>
  <c r="A56" i="6"/>
  <c r="B55" i="6"/>
  <c r="A55" i="6"/>
  <c r="D54" i="6"/>
  <c r="B54" i="6"/>
  <c r="A54" i="6"/>
  <c r="B53" i="6"/>
  <c r="A53" i="6"/>
  <c r="B52" i="6"/>
  <c r="F51" i="6"/>
  <c r="B51" i="6"/>
  <c r="H47" i="6"/>
  <c r="B47" i="6"/>
  <c r="A47" i="6"/>
  <c r="H46" i="6"/>
  <c r="B46" i="6"/>
  <c r="A46" i="6"/>
  <c r="H45" i="6"/>
  <c r="B45" i="6"/>
  <c r="A45" i="6"/>
  <c r="B44" i="6"/>
  <c r="A44" i="6"/>
  <c r="H43" i="6"/>
  <c r="B43" i="6"/>
  <c r="A43" i="6"/>
  <c r="B41" i="6"/>
  <c r="A41" i="6"/>
  <c r="B40" i="6"/>
  <c r="A40" i="6"/>
  <c r="F39" i="6"/>
  <c r="H39" i="6" s="1"/>
  <c r="B38" i="6"/>
  <c r="A38" i="6"/>
  <c r="I37" i="6"/>
  <c r="B37" i="6"/>
  <c r="A37" i="6"/>
  <c r="B36" i="6"/>
  <c r="A36" i="6"/>
  <c r="H35" i="6"/>
  <c r="B35" i="6"/>
  <c r="A35" i="6"/>
  <c r="H34" i="6"/>
  <c r="B34" i="6"/>
  <c r="A34" i="6"/>
  <c r="H33" i="6"/>
  <c r="B33" i="6"/>
  <c r="A33" i="6"/>
  <c r="B32" i="6"/>
  <c r="A32" i="6"/>
  <c r="B31" i="6"/>
  <c r="A31" i="6"/>
  <c r="B30" i="6"/>
  <c r="A30" i="6"/>
  <c r="B29" i="6"/>
  <c r="A29" i="6"/>
  <c r="B28" i="6"/>
  <c r="A28" i="6"/>
  <c r="B27" i="6"/>
  <c r="A27" i="6"/>
  <c r="B26" i="6"/>
  <c r="I25" i="6"/>
  <c r="D25" i="6"/>
  <c r="B25" i="6"/>
  <c r="A25" i="6"/>
  <c r="I24" i="6"/>
  <c r="D24" i="6"/>
  <c r="B24" i="6"/>
  <c r="A24" i="6"/>
  <c r="B23" i="6"/>
  <c r="A23" i="6"/>
  <c r="B22" i="6"/>
  <c r="A22" i="6"/>
  <c r="H21" i="6"/>
  <c r="B21" i="6"/>
  <c r="A21" i="6"/>
  <c r="B20" i="6"/>
  <c r="A20" i="6"/>
  <c r="H19" i="6"/>
  <c r="B19" i="6"/>
  <c r="A19" i="6"/>
  <c r="H18" i="6"/>
  <c r="B18" i="6"/>
  <c r="A18" i="6"/>
  <c r="B17" i="6"/>
  <c r="A17" i="6"/>
  <c r="H16" i="6"/>
  <c r="B16" i="6"/>
  <c r="A16" i="6"/>
  <c r="H15" i="6"/>
  <c r="B15" i="6"/>
  <c r="A15" i="6"/>
  <c r="I14" i="6"/>
  <c r="B14" i="6"/>
  <c r="A14" i="6"/>
  <c r="B12" i="6"/>
  <c r="A12" i="6"/>
  <c r="A11" i="6"/>
  <c r="H10" i="6"/>
  <c r="A10" i="6"/>
  <c r="H9" i="6"/>
  <c r="A9" i="6"/>
  <c r="A8" i="6"/>
  <c r="F7" i="6"/>
  <c r="G7" i="6" s="1"/>
  <c r="F6" i="6"/>
  <c r="H6" i="6" s="1"/>
  <c r="A5" i="6"/>
  <c r="D3" i="6"/>
  <c r="B2" i="6"/>
  <c r="C71" i="47"/>
  <c r="F66" i="47"/>
  <c r="B61" i="47"/>
  <c r="B60" i="47"/>
  <c r="A60" i="47"/>
  <c r="C59" i="47"/>
  <c r="B59" i="47"/>
  <c r="A59" i="47"/>
  <c r="B58" i="47"/>
  <c r="A58" i="47"/>
  <c r="D57" i="47"/>
  <c r="B57" i="47"/>
  <c r="A57" i="47"/>
  <c r="B56" i="47"/>
  <c r="A56" i="47"/>
  <c r="C55" i="47"/>
  <c r="B55" i="47"/>
  <c r="B54" i="47"/>
  <c r="B53" i="47"/>
  <c r="B52" i="47"/>
  <c r="E49" i="47"/>
  <c r="D49" i="47"/>
  <c r="B49" i="47"/>
  <c r="A49" i="47"/>
  <c r="E48" i="47"/>
  <c r="D48" i="47"/>
  <c r="B48" i="47"/>
  <c r="A48" i="47"/>
  <c r="E47" i="47"/>
  <c r="D47" i="47"/>
  <c r="B47" i="47"/>
  <c r="A47" i="47"/>
  <c r="B46" i="47"/>
  <c r="A46" i="47"/>
  <c r="E45" i="47"/>
  <c r="D45" i="47"/>
  <c r="B45" i="47"/>
  <c r="A45" i="47"/>
  <c r="C43" i="47"/>
  <c r="B43" i="47"/>
  <c r="A43" i="47"/>
  <c r="C42" i="47"/>
  <c r="B42" i="47"/>
  <c r="A42" i="47"/>
  <c r="B40" i="47"/>
  <c r="A40" i="47"/>
  <c r="C39" i="47"/>
  <c r="F38" i="47"/>
  <c r="B38" i="47"/>
  <c r="A38" i="47"/>
  <c r="B37" i="47"/>
  <c r="A37" i="47"/>
  <c r="E36" i="47"/>
  <c r="D36" i="47"/>
  <c r="B36" i="47"/>
  <c r="A36" i="47"/>
  <c r="E35" i="47"/>
  <c r="D35" i="47"/>
  <c r="B35" i="47"/>
  <c r="A35" i="47"/>
  <c r="E34" i="47"/>
  <c r="D34" i="47"/>
  <c r="B34" i="47"/>
  <c r="A34" i="47"/>
  <c r="B33" i="47"/>
  <c r="A33" i="47"/>
  <c r="B32" i="47"/>
  <c r="A32" i="47"/>
  <c r="B31" i="47"/>
  <c r="A31" i="47"/>
  <c r="B30" i="47"/>
  <c r="A30" i="47"/>
  <c r="B29" i="47"/>
  <c r="A29" i="47"/>
  <c r="C27" i="47"/>
  <c r="B27" i="47"/>
  <c r="A27" i="47"/>
  <c r="B26" i="47"/>
  <c r="F25" i="47"/>
  <c r="D25" i="47"/>
  <c r="B25" i="47"/>
  <c r="A25" i="47"/>
  <c r="F24" i="47"/>
  <c r="D24" i="47"/>
  <c r="B24" i="47"/>
  <c r="A24" i="47"/>
  <c r="B23" i="47"/>
  <c r="A23" i="47"/>
  <c r="B22" i="47"/>
  <c r="A22" i="47"/>
  <c r="E21" i="47"/>
  <c r="D21" i="47"/>
  <c r="B21" i="47"/>
  <c r="A21" i="47"/>
  <c r="B20" i="47"/>
  <c r="A20" i="47"/>
  <c r="E19" i="47"/>
  <c r="D19" i="47"/>
  <c r="B19" i="47"/>
  <c r="A19" i="47"/>
  <c r="E18" i="47"/>
  <c r="D18" i="47"/>
  <c r="B18" i="47"/>
  <c r="A18" i="47"/>
  <c r="B17" i="47"/>
  <c r="A17" i="47"/>
  <c r="E16" i="47"/>
  <c r="D16" i="47"/>
  <c r="B16" i="47"/>
  <c r="A16" i="47"/>
  <c r="E15" i="47"/>
  <c r="D15" i="47"/>
  <c r="B15" i="47"/>
  <c r="A15" i="47"/>
  <c r="B14" i="47"/>
  <c r="A14" i="47"/>
  <c r="B12" i="47"/>
  <c r="A12" i="47"/>
  <c r="A11" i="47"/>
  <c r="E10" i="47"/>
  <c r="D10" i="47"/>
  <c r="A10" i="47"/>
  <c r="F9" i="47"/>
  <c r="E9" i="47"/>
  <c r="D9" i="47"/>
  <c r="A9" i="47"/>
  <c r="A5" i="47"/>
  <c r="D3" i="47"/>
  <c r="B28" i="47" s="1"/>
  <c r="B2" i="47"/>
  <c r="B4" i="26"/>
  <c r="Z38" i="19" l="1"/>
  <c r="AH38" i="19"/>
  <c r="AQ38" i="19"/>
  <c r="AY38" i="19"/>
  <c r="BK38" i="19" s="1"/>
  <c r="CH12" i="19"/>
  <c r="G38" i="19"/>
  <c r="P38" i="19"/>
  <c r="B28" i="19"/>
  <c r="K28" i="19"/>
  <c r="T28" i="19"/>
  <c r="AD28" i="19"/>
  <c r="AM28" i="19"/>
  <c r="AU28" i="19"/>
  <c r="BT28" i="19"/>
  <c r="H38" i="19"/>
  <c r="Q38" i="19"/>
  <c r="AA38" i="19"/>
  <c r="AJ38" i="19"/>
  <c r="BH38" i="19" s="1"/>
  <c r="AR38" i="19"/>
  <c r="AZ38" i="19"/>
  <c r="BM38" i="19" s="1"/>
  <c r="S28" i="19"/>
  <c r="AC28" i="19"/>
  <c r="AL28" i="19"/>
  <c r="AT28" i="19"/>
  <c r="C28" i="19"/>
  <c r="L28" i="19"/>
  <c r="U28" i="19"/>
  <c r="AE28" i="19"/>
  <c r="AN28" i="19"/>
  <c r="BP28" i="19" s="1"/>
  <c r="AV28" i="19"/>
  <c r="BV28" i="19"/>
  <c r="I38" i="19"/>
  <c r="BD38" i="19" s="1"/>
  <c r="R38" i="19"/>
  <c r="AB38" i="19"/>
  <c r="AK38" i="19"/>
  <c r="AS38" i="19"/>
  <c r="BA38" i="19"/>
  <c r="BN38" i="19" s="1"/>
  <c r="E28" i="19"/>
  <c r="N28" i="19"/>
  <c r="V28" i="19"/>
  <c r="AF28" i="19"/>
  <c r="AO28" i="19"/>
  <c r="BQ28" i="19" s="1"/>
  <c r="AW28" i="19"/>
  <c r="J38" i="19"/>
  <c r="S38" i="19"/>
  <c r="AC38" i="19"/>
  <c r="AL38" i="19"/>
  <c r="BL38" i="19" s="1"/>
  <c r="AT38" i="19"/>
  <c r="BT38" i="19"/>
  <c r="BB28" i="19"/>
  <c r="BO28" i="19" s="1"/>
  <c r="F28" i="19"/>
  <c r="O28" i="19"/>
  <c r="Y28" i="19"/>
  <c r="AG28" i="19"/>
  <c r="AP28" i="19"/>
  <c r="BR28" i="19" s="1"/>
  <c r="AX28" i="19"/>
  <c r="BJ28" i="19" s="1"/>
  <c r="B38" i="19"/>
  <c r="K38" i="19"/>
  <c r="BF38" i="19" s="1"/>
  <c r="T38" i="19"/>
  <c r="AD38" i="19"/>
  <c r="AM38" i="19"/>
  <c r="BO38" i="19" s="1"/>
  <c r="AU38" i="19"/>
  <c r="J28" i="19"/>
  <c r="G28" i="19"/>
  <c r="P28" i="19"/>
  <c r="Z28" i="19"/>
  <c r="AH28" i="19"/>
  <c r="AQ28" i="19"/>
  <c r="AY28" i="19"/>
  <c r="BK28" i="19" s="1"/>
  <c r="C38" i="19"/>
  <c r="M38" i="19"/>
  <c r="U38" i="19"/>
  <c r="AE38" i="19"/>
  <c r="AN38" i="19"/>
  <c r="BP38" i="19" s="1"/>
  <c r="AV38" i="19"/>
  <c r="H28" i="19"/>
  <c r="Q28" i="19"/>
  <c r="AA28" i="19"/>
  <c r="AI28" i="19"/>
  <c r="AR28" i="19"/>
  <c r="AZ28" i="19"/>
  <c r="BL28" i="19" s="1"/>
  <c r="E38" i="19"/>
  <c r="N38" i="19"/>
  <c r="X38" i="19"/>
  <c r="AF38" i="19"/>
  <c r="AO38" i="19"/>
  <c r="BQ38" i="19" s="1"/>
  <c r="AW38" i="19"/>
  <c r="BI38" i="19" s="1"/>
  <c r="I28" i="19"/>
  <c r="BE28" i="19" s="1"/>
  <c r="R28" i="19"/>
  <c r="AB28" i="19"/>
  <c r="AK28" i="19"/>
  <c r="BI28" i="19" s="1"/>
  <c r="AS28" i="19"/>
  <c r="F38" i="19"/>
  <c r="O38" i="19"/>
  <c r="Y38" i="19"/>
  <c r="AG38" i="19"/>
  <c r="AP38" i="19"/>
  <c r="BT22" i="40"/>
  <c r="AS22" i="40"/>
  <c r="AC22" i="40"/>
  <c r="L22" i="40"/>
  <c r="L25" i="40" s="1"/>
  <c r="D14" i="41" s="1"/>
  <c r="E14" i="41" s="1"/>
  <c r="B22" i="40"/>
  <c r="AV22" i="25"/>
  <c r="AJ22" i="25"/>
  <c r="V22" i="25"/>
  <c r="I22" i="25"/>
  <c r="BE22" i="25" s="1"/>
  <c r="U22" i="25"/>
  <c r="Z22" i="40"/>
  <c r="P22" i="25"/>
  <c r="BA22" i="40"/>
  <c r="BN22" i="40" s="1"/>
  <c r="AO22" i="40"/>
  <c r="BQ22" i="40" s="1"/>
  <c r="AB22" i="40"/>
  <c r="K22" i="40"/>
  <c r="BF22" i="40" s="1"/>
  <c r="BF25" i="40" s="1"/>
  <c r="BV22" i="25"/>
  <c r="AU22" i="25"/>
  <c r="AI22" i="25"/>
  <c r="G22" i="25"/>
  <c r="BB22" i="25"/>
  <c r="BO22" i="25" s="1"/>
  <c r="AP22" i="25"/>
  <c r="BR22" i="25" s="1"/>
  <c r="E22" i="25"/>
  <c r="BC22" i="25" s="1"/>
  <c r="AZ22" i="40"/>
  <c r="BM22" i="40" s="1"/>
  <c r="AM22" i="40"/>
  <c r="BO22" i="40" s="1"/>
  <c r="AA22" i="40"/>
  <c r="J22" i="40"/>
  <c r="BT22" i="25"/>
  <c r="AT22" i="25"/>
  <c r="AE22" i="25"/>
  <c r="S22" i="25"/>
  <c r="F22" i="25"/>
  <c r="I22" i="40"/>
  <c r="BD22" i="40" s="1"/>
  <c r="AY22" i="40"/>
  <c r="BK22" i="40" s="1"/>
  <c r="AW22" i="40"/>
  <c r="BI22" i="40" s="1"/>
  <c r="AK22" i="40"/>
  <c r="Y22" i="40"/>
  <c r="G22" i="40"/>
  <c r="BA22" i="25"/>
  <c r="BN22" i="25" s="1"/>
  <c r="AN22" i="25"/>
  <c r="BP22" i="25" s="1"/>
  <c r="AC22" i="25"/>
  <c r="M22" i="25"/>
  <c r="C22" i="25"/>
  <c r="C20" i="25" s="1"/>
  <c r="C25" i="25" s="1"/>
  <c r="AB22" i="25"/>
  <c r="B22" i="25"/>
  <c r="E20" i="25" s="1"/>
  <c r="AA22" i="25"/>
  <c r="AV22" i="40"/>
  <c r="AV25" i="40" s="1"/>
  <c r="D51" i="41" s="1"/>
  <c r="E51" i="41" s="1"/>
  <c r="AJ22" i="40"/>
  <c r="BH22" i="40" s="1"/>
  <c r="BH25" i="40" s="1"/>
  <c r="U22" i="40"/>
  <c r="F22" i="40"/>
  <c r="AZ22" i="25"/>
  <c r="BL22" i="25" s="1"/>
  <c r="AM22" i="25"/>
  <c r="L22" i="25"/>
  <c r="AL22" i="25"/>
  <c r="K22" i="25"/>
  <c r="AU22" i="40"/>
  <c r="AH22" i="40"/>
  <c r="T22" i="40"/>
  <c r="E22" i="40"/>
  <c r="AX22" i="25"/>
  <c r="BJ22" i="25" s="1"/>
  <c r="AT22" i="40"/>
  <c r="AD22" i="40"/>
  <c r="R22" i="40"/>
  <c r="C22" i="40"/>
  <c r="AW22" i="25"/>
  <c r="AK22" i="25"/>
  <c r="BI22" i="25" s="1"/>
  <c r="Z22" i="25"/>
  <c r="J22" i="25"/>
  <c r="AL22" i="40"/>
  <c r="AD22" i="25"/>
  <c r="C15" i="25"/>
  <c r="C14" i="25" s="1"/>
  <c r="C18" i="25" s="1"/>
  <c r="C15" i="40"/>
  <c r="D54" i="8"/>
  <c r="B54" i="24" s="1"/>
  <c r="D8" i="7"/>
  <c r="F31" i="19"/>
  <c r="S31" i="19"/>
  <c r="AB31" i="19"/>
  <c r="AM31" i="19"/>
  <c r="AY31" i="19"/>
  <c r="BK31" i="19" s="1"/>
  <c r="E34" i="19"/>
  <c r="BC34" i="19" s="1"/>
  <c r="P34" i="19"/>
  <c r="AD34" i="19"/>
  <c r="AP34" i="19"/>
  <c r="BR34" i="19" s="1"/>
  <c r="BB34" i="19"/>
  <c r="BO34" i="19" s="1"/>
  <c r="G40" i="19"/>
  <c r="U40" i="19"/>
  <c r="AC40" i="19"/>
  <c r="AO40" i="19"/>
  <c r="BQ40" i="19" s="1"/>
  <c r="AZ40" i="19"/>
  <c r="BM40" i="19" s="1"/>
  <c r="I42" i="19"/>
  <c r="BD42" i="19" s="1"/>
  <c r="Z42" i="19"/>
  <c r="AL42" i="19"/>
  <c r="AY42" i="19"/>
  <c r="BK42" i="19" s="1"/>
  <c r="G31" i="19"/>
  <c r="U31" i="19"/>
  <c r="AC31" i="19"/>
  <c r="AN31" i="19"/>
  <c r="BP31" i="19" s="1"/>
  <c r="AZ31" i="19"/>
  <c r="BL31" i="19" s="1"/>
  <c r="F34" i="19"/>
  <c r="S34" i="19"/>
  <c r="AE34" i="19"/>
  <c r="AT34" i="19"/>
  <c r="BT34" i="19"/>
  <c r="I40" i="19"/>
  <c r="BD40" i="19" s="1"/>
  <c r="V40" i="19"/>
  <c r="AD40" i="19"/>
  <c r="AS40" i="19"/>
  <c r="BA40" i="19"/>
  <c r="BN40" i="19" s="1"/>
  <c r="J42" i="19"/>
  <c r="AA42" i="19"/>
  <c r="AM42" i="19"/>
  <c r="BO42" i="19" s="1"/>
  <c r="AZ42" i="19"/>
  <c r="BM42" i="19" s="1"/>
  <c r="L15" i="40"/>
  <c r="L18" i="40" s="1"/>
  <c r="L26" i="40" s="1"/>
  <c r="I31" i="19"/>
  <c r="BE31" i="19" s="1"/>
  <c r="V31" i="19"/>
  <c r="AD31" i="19"/>
  <c r="AP31" i="19"/>
  <c r="BR31" i="19" s="1"/>
  <c r="BA31" i="19"/>
  <c r="BN31" i="19" s="1"/>
  <c r="G34" i="19"/>
  <c r="U34" i="19"/>
  <c r="AI34" i="19"/>
  <c r="AU34" i="19"/>
  <c r="BV34" i="19"/>
  <c r="J40" i="19"/>
  <c r="W40" i="19"/>
  <c r="AH40" i="19"/>
  <c r="AT40" i="19"/>
  <c r="BT40" i="19"/>
  <c r="K42" i="19"/>
  <c r="BF42" i="19" s="1"/>
  <c r="AB42" i="19"/>
  <c r="AO42" i="19"/>
  <c r="BQ42" i="19" s="1"/>
  <c r="BA42" i="19"/>
  <c r="BN42" i="19" s="1"/>
  <c r="AI15" i="40"/>
  <c r="AI18" i="40" s="1"/>
  <c r="AI26" i="40" s="1"/>
  <c r="AI28" i="40" s="1"/>
  <c r="AI29" i="40" s="1"/>
  <c r="J31" i="19"/>
  <c r="W31" i="19"/>
  <c r="AE31" i="19"/>
  <c r="AT31" i="19"/>
  <c r="BB31" i="19"/>
  <c r="BO31" i="19" s="1"/>
  <c r="I34" i="19"/>
  <c r="BE34" i="19" s="1"/>
  <c r="V34" i="19"/>
  <c r="AJ34" i="19"/>
  <c r="AV34" i="19"/>
  <c r="K40" i="19"/>
  <c r="BF40" i="19" s="1"/>
  <c r="X40" i="19"/>
  <c r="AI40" i="19"/>
  <c r="AU40" i="19"/>
  <c r="B42" i="19"/>
  <c r="L42" i="19"/>
  <c r="AC42" i="19"/>
  <c r="AS42" i="19"/>
  <c r="BT42" i="19"/>
  <c r="K31" i="19"/>
  <c r="X31" i="19"/>
  <c r="AI31" i="19"/>
  <c r="AU31" i="19"/>
  <c r="BT31" i="19"/>
  <c r="J34" i="19"/>
  <c r="Z34" i="19"/>
  <c r="AK34" i="19"/>
  <c r="BI34" i="19" s="1"/>
  <c r="AW34" i="19"/>
  <c r="B40" i="19"/>
  <c r="L40" i="19"/>
  <c r="Y40" i="19"/>
  <c r="AJ40" i="19"/>
  <c r="BH40" i="19" s="1"/>
  <c r="AV40" i="19"/>
  <c r="C42" i="19"/>
  <c r="R42" i="19"/>
  <c r="AD42" i="19"/>
  <c r="AT42" i="19"/>
  <c r="K15" i="40"/>
  <c r="AJ15" i="40"/>
  <c r="BH15" i="40" s="1"/>
  <c r="BH14" i="40" s="1"/>
  <c r="G29" i="35" s="1"/>
  <c r="D1" i="7"/>
  <c r="BJ7" i="7" s="1"/>
  <c r="B31" i="19"/>
  <c r="L31" i="19"/>
  <c r="Y31" i="19"/>
  <c r="AJ31" i="19"/>
  <c r="AV31" i="19"/>
  <c r="BV31" i="19"/>
  <c r="K34" i="19"/>
  <c r="AA34" i="19"/>
  <c r="AL34" i="19"/>
  <c r="AX34" i="19"/>
  <c r="BJ34" i="19" s="1"/>
  <c r="C40" i="19"/>
  <c r="O40" i="19"/>
  <c r="Z40" i="19"/>
  <c r="AK40" i="19"/>
  <c r="AW40" i="19"/>
  <c r="BI40" i="19" s="1"/>
  <c r="E42" i="19"/>
  <c r="T42" i="19"/>
  <c r="AH42" i="19"/>
  <c r="AU42" i="19"/>
  <c r="C31" i="19"/>
  <c r="M31" i="19"/>
  <c r="Z31" i="19"/>
  <c r="AK31" i="19"/>
  <c r="BI31" i="19" s="1"/>
  <c r="AW31" i="19"/>
  <c r="B34" i="19"/>
  <c r="L34" i="19"/>
  <c r="BG34" i="19" s="1"/>
  <c r="AB34" i="19"/>
  <c r="AM34" i="19"/>
  <c r="AZ34" i="19"/>
  <c r="BL34" i="19" s="1"/>
  <c r="E40" i="19"/>
  <c r="R40" i="19"/>
  <c r="AA40" i="19"/>
  <c r="AL40" i="19"/>
  <c r="AX40" i="19"/>
  <c r="BJ40" i="19" s="1"/>
  <c r="F42" i="19"/>
  <c r="BB42" i="19" s="1"/>
  <c r="U42" i="19"/>
  <c r="AJ42" i="19"/>
  <c r="BH42" i="19" s="1"/>
  <c r="AV42" i="19"/>
  <c r="E31" i="19"/>
  <c r="BC31" i="19" s="1"/>
  <c r="P31" i="19"/>
  <c r="AA31" i="19"/>
  <c r="AL31" i="19"/>
  <c r="BM31" i="19" s="1"/>
  <c r="AX31" i="19"/>
  <c r="BJ31" i="19" s="1"/>
  <c r="C34" i="19"/>
  <c r="M34" i="19"/>
  <c r="AC34" i="19"/>
  <c r="AN34" i="19"/>
  <c r="BP34" i="19" s="1"/>
  <c r="BA34" i="19"/>
  <c r="BN34" i="19" s="1"/>
  <c r="F40" i="19"/>
  <c r="BB40" i="19" s="1"/>
  <c r="T40" i="19"/>
  <c r="AB40" i="19"/>
  <c r="AM40" i="19"/>
  <c r="BO40" i="19" s="1"/>
  <c r="AY40" i="19"/>
  <c r="BK40" i="19" s="1"/>
  <c r="G42" i="19"/>
  <c r="Y42" i="19"/>
  <c r="AK42" i="19"/>
  <c r="BL42" i="19" s="1"/>
  <c r="AW42" i="19"/>
  <c r="BI42" i="19" s="1"/>
  <c r="S222" i="33"/>
  <c r="J222" i="33"/>
  <c r="IU8" i="36"/>
  <c r="IV8" i="36" s="1"/>
  <c r="IW8" i="36" s="1"/>
  <c r="IX8" i="36" s="1"/>
  <c r="F37" i="38"/>
  <c r="AE27" i="38"/>
  <c r="AB29" i="38"/>
  <c r="AC29" i="38" s="1"/>
  <c r="AF29" i="38" s="1"/>
  <c r="AD24" i="38"/>
  <c r="AC21" i="38"/>
  <c r="AF21" i="38" s="1"/>
  <c r="AB40" i="38"/>
  <c r="AB39" i="38"/>
  <c r="AB28" i="38"/>
  <c r="AE23" i="38"/>
  <c r="D33" i="38"/>
  <c r="E32" i="38" s="1"/>
  <c r="E33" i="38" s="1"/>
  <c r="AD29" i="38"/>
  <c r="AC20" i="38"/>
  <c r="AF20" i="38" s="1"/>
  <c r="E2" i="35"/>
  <c r="AC22" i="38"/>
  <c r="AD30" i="38"/>
  <c r="AC30" i="38"/>
  <c r="B12" i="26"/>
  <c r="A4" i="40"/>
  <c r="BM17" i="19"/>
  <c r="B1" i="41"/>
  <c r="BM15" i="3"/>
  <c r="BO15" i="3" s="1"/>
  <c r="B1" i="6"/>
  <c r="E12" i="3"/>
  <c r="W10" i="19" s="1"/>
  <c r="CQ10" i="7"/>
  <c r="B14" i="26"/>
  <c r="BM18" i="19"/>
  <c r="I1" i="33"/>
  <c r="I222" i="33" s="1"/>
  <c r="G152" i="38"/>
  <c r="B48" i="41"/>
  <c r="FD17" i="3"/>
  <c r="EX17" i="3"/>
  <c r="Q138" i="38"/>
  <c r="Q137" i="38"/>
  <c r="GU17" i="19"/>
  <c r="GU18" i="19"/>
  <c r="GT18" i="19"/>
  <c r="GT17" i="19"/>
  <c r="P137" i="38"/>
  <c r="GT15" i="3"/>
  <c r="GT14" i="3"/>
  <c r="GU15" i="3"/>
  <c r="P138" i="38"/>
  <c r="GU14" i="3"/>
  <c r="DZ15" i="7"/>
  <c r="EB15" i="7" s="1"/>
  <c r="EB8" i="7" s="1"/>
  <c r="EF15" i="7"/>
  <c r="EH15" i="7" s="1"/>
  <c r="AV25" i="25" s="1"/>
  <c r="D50" i="6" s="1"/>
  <c r="EX20" i="19"/>
  <c r="FD20" i="19"/>
  <c r="FA20" i="19"/>
  <c r="GT20" i="19"/>
  <c r="GU20" i="19"/>
  <c r="DK13" i="19"/>
  <c r="EC13" i="19"/>
  <c r="EE13" i="19" s="1"/>
  <c r="EF13" i="19"/>
  <c r="EH13" i="19" s="1"/>
  <c r="DZ13" i="19"/>
  <c r="EB13" i="19" s="1"/>
  <c r="CV10" i="19"/>
  <c r="CX10" i="19" s="1"/>
  <c r="CW10" i="19" s="1"/>
  <c r="EC10" i="19"/>
  <c r="EF10" i="19"/>
  <c r="DZ10" i="19"/>
  <c r="EL23" i="19"/>
  <c r="EN23" i="19" s="1"/>
  <c r="FD23" i="19"/>
  <c r="FF23" i="19" s="1"/>
  <c r="FA23" i="19"/>
  <c r="FC23" i="19" s="1"/>
  <c r="EX23" i="19"/>
  <c r="EZ23" i="19" s="1"/>
  <c r="D19" i="25"/>
  <c r="B39" i="47"/>
  <c r="E39" i="35"/>
  <c r="G4" i="7"/>
  <c r="G6" i="7" s="1"/>
  <c r="B26" i="44"/>
  <c r="D2" i="8"/>
  <c r="G5" i="3"/>
  <c r="AB20" i="38"/>
  <c r="AB21" i="38"/>
  <c r="AB22" i="38"/>
  <c r="AD23" i="38"/>
  <c r="E20" i="35"/>
  <c r="E21" i="35"/>
  <c r="E55" i="35"/>
  <c r="AD20" i="38"/>
  <c r="AD21" i="38"/>
  <c r="AB25" i="38"/>
  <c r="AD25" i="38" s="1"/>
  <c r="AF27" i="38"/>
  <c r="T37" i="38"/>
  <c r="AN39" i="38"/>
  <c r="A15" i="7"/>
  <c r="AB24" i="38"/>
  <c r="AM49" i="38"/>
  <c r="AB23" i="38"/>
  <c r="AC24" i="38"/>
  <c r="Y4" i="40"/>
  <c r="BM14" i="3"/>
  <c r="BO14" i="3" s="1"/>
  <c r="H6" i="25" s="1"/>
  <c r="BC6" i="25" s="1"/>
  <c r="A3" i="47"/>
  <c r="A3" i="3"/>
  <c r="G4" i="3"/>
  <c r="G6" i="3" s="1"/>
  <c r="GT17" i="3"/>
  <c r="GU17" i="3"/>
  <c r="E74" i="35"/>
  <c r="F53" i="47"/>
  <c r="Y2" i="40"/>
  <c r="BS2" i="40" s="1"/>
  <c r="B13" i="38"/>
  <c r="E13" i="38" s="1"/>
  <c r="G8" i="3"/>
  <c r="B3" i="8"/>
  <c r="AY7" i="3"/>
  <c r="BH7" i="3"/>
  <c r="B4" i="8"/>
  <c r="BJ7" i="3"/>
  <c r="A12" i="40"/>
  <c r="E13" i="40" s="1"/>
  <c r="DV7" i="3"/>
  <c r="A12" i="25"/>
  <c r="E13" i="25" s="1"/>
  <c r="A33" i="26"/>
  <c r="F3" i="6"/>
  <c r="DW7" i="3"/>
  <c r="N135" i="38"/>
  <c r="DX7" i="3"/>
  <c r="F41" i="47"/>
  <c r="G41" i="47" s="1"/>
  <c r="G7" i="41"/>
  <c r="AW3" i="25"/>
  <c r="AW25" i="25" s="1"/>
  <c r="D51" i="6" s="1"/>
  <c r="E51" i="6" s="1"/>
  <c r="G39" i="6"/>
  <c r="A53" i="47"/>
  <c r="AW4" i="25"/>
  <c r="A51" i="6"/>
  <c r="I51" i="41"/>
  <c r="G6" i="6"/>
  <c r="J9" i="44"/>
  <c r="F6" i="47"/>
  <c r="G6" i="47" s="1"/>
  <c r="I9" i="44"/>
  <c r="D9" i="44"/>
  <c r="D12" i="44"/>
  <c r="N132" i="38"/>
  <c r="B9" i="25"/>
  <c r="B5" i="25" s="1"/>
  <c r="FA17" i="3"/>
  <c r="L139" i="38"/>
  <c r="L137" i="38"/>
  <c r="L138" i="38"/>
  <c r="FJ15" i="7"/>
  <c r="EC15" i="7"/>
  <c r="EC2" i="7" s="1"/>
  <c r="F7" i="47"/>
  <c r="G7" i="47" s="1"/>
  <c r="H7" i="6"/>
  <c r="I64" i="48"/>
  <c r="I39" i="44"/>
  <c r="D14" i="44"/>
  <c r="H22" i="48"/>
  <c r="J39" i="44"/>
  <c r="I15" i="44"/>
  <c r="B4" i="44"/>
  <c r="B36" i="44" s="1"/>
  <c r="D36" i="44" s="1"/>
  <c r="I59" i="48"/>
  <c r="N59" i="48" s="1"/>
  <c r="C14" i="49"/>
  <c r="E14" i="49" s="1"/>
  <c r="N17" i="48"/>
  <c r="N62" i="48"/>
  <c r="C17" i="50"/>
  <c r="E17" i="50" s="1"/>
  <c r="C23" i="49"/>
  <c r="E23" i="49" s="1"/>
  <c r="N26" i="48"/>
  <c r="C29" i="50"/>
  <c r="E29" i="50" s="1"/>
  <c r="N74" i="48"/>
  <c r="C24" i="49"/>
  <c r="E24" i="49" s="1"/>
  <c r="N27" i="48"/>
  <c r="C35" i="49"/>
  <c r="E35" i="49" s="1"/>
  <c r="N38" i="48"/>
  <c r="N24" i="48"/>
  <c r="C21" i="49"/>
  <c r="E21" i="49" s="1"/>
  <c r="N40" i="48"/>
  <c r="C37" i="49"/>
  <c r="E37" i="49" s="1"/>
  <c r="N55" i="48"/>
  <c r="C10" i="50"/>
  <c r="E10" i="50" s="1"/>
  <c r="N20" i="48"/>
  <c r="C17" i="49"/>
  <c r="E17" i="49" s="1"/>
  <c r="N32" i="48"/>
  <c r="C29" i="49"/>
  <c r="E29" i="49" s="1"/>
  <c r="N79" i="48"/>
  <c r="C34" i="50"/>
  <c r="E34" i="50" s="1"/>
  <c r="B30" i="44"/>
  <c r="D29" i="44"/>
  <c r="N75" i="48"/>
  <c r="C30" i="50"/>
  <c r="E30" i="50" s="1"/>
  <c r="N63" i="48"/>
  <c r="C18" i="50"/>
  <c r="E18" i="50" s="1"/>
  <c r="N67" i="48"/>
  <c r="C22" i="50"/>
  <c r="E22" i="50" s="1"/>
  <c r="N83" i="48"/>
  <c r="C38" i="50"/>
  <c r="E38" i="50" s="1"/>
  <c r="C10" i="49"/>
  <c r="E10" i="49" s="1"/>
  <c r="N13" i="48"/>
  <c r="C16" i="50"/>
  <c r="E16" i="50" s="1"/>
  <c r="N61" i="48"/>
  <c r="C13" i="50"/>
  <c r="E13" i="50" s="1"/>
  <c r="N58" i="48"/>
  <c r="N70" i="48"/>
  <c r="C25" i="50"/>
  <c r="E25" i="50" s="1"/>
  <c r="C34" i="49"/>
  <c r="E34" i="49" s="1"/>
  <c r="N37" i="48"/>
  <c r="C30" i="49"/>
  <c r="E30" i="49" s="1"/>
  <c r="N33" i="48"/>
  <c r="C18" i="49"/>
  <c r="E18" i="49" s="1"/>
  <c r="N21" i="48"/>
  <c r="C22" i="49"/>
  <c r="E22" i="49" s="1"/>
  <c r="N25" i="48"/>
  <c r="C38" i="49"/>
  <c r="E38" i="49" s="1"/>
  <c r="N41" i="48"/>
  <c r="C16" i="49"/>
  <c r="E16" i="49" s="1"/>
  <c r="N19" i="48"/>
  <c r="N16" i="48"/>
  <c r="C13" i="49"/>
  <c r="E13" i="49" s="1"/>
  <c r="N28" i="48"/>
  <c r="C25" i="49"/>
  <c r="E25" i="49" s="1"/>
  <c r="N78" i="48"/>
  <c r="C33" i="50"/>
  <c r="E33" i="50" s="1"/>
  <c r="N71" i="48"/>
  <c r="C26" i="50"/>
  <c r="E26" i="50" s="1"/>
  <c r="C19" i="50"/>
  <c r="E19" i="50" s="1"/>
  <c r="N64" i="48"/>
  <c r="C39" i="50"/>
  <c r="E39" i="50" s="1"/>
  <c r="N84" i="48"/>
  <c r="N57" i="48"/>
  <c r="C12" i="50"/>
  <c r="E12" i="50" s="1"/>
  <c r="N36" i="48"/>
  <c r="C33" i="49"/>
  <c r="E33" i="49" s="1"/>
  <c r="C26" i="49"/>
  <c r="E26" i="49" s="1"/>
  <c r="N29" i="48"/>
  <c r="C32" i="50"/>
  <c r="E32" i="50" s="1"/>
  <c r="N77" i="48"/>
  <c r="C19" i="49"/>
  <c r="E19" i="49" s="1"/>
  <c r="N22" i="48"/>
  <c r="C39" i="49"/>
  <c r="E39" i="49" s="1"/>
  <c r="N42" i="48"/>
  <c r="N15" i="48"/>
  <c r="C12" i="49"/>
  <c r="E12" i="49" s="1"/>
  <c r="C15" i="50"/>
  <c r="E15" i="50" s="1"/>
  <c r="N60" i="48"/>
  <c r="C27" i="50"/>
  <c r="E27" i="50" s="1"/>
  <c r="N72" i="48"/>
  <c r="C32" i="49"/>
  <c r="E32" i="49" s="1"/>
  <c r="N35" i="48"/>
  <c r="N65" i="48"/>
  <c r="C20" i="50"/>
  <c r="E20" i="50" s="1"/>
  <c r="N81" i="48"/>
  <c r="C36" i="50"/>
  <c r="E36" i="50" s="1"/>
  <c r="C15" i="49"/>
  <c r="E15" i="49" s="1"/>
  <c r="N18" i="48"/>
  <c r="C11" i="49"/>
  <c r="E11" i="49" s="1"/>
  <c r="N14" i="48"/>
  <c r="C27" i="49"/>
  <c r="E27" i="49" s="1"/>
  <c r="N30" i="48"/>
  <c r="C31" i="50"/>
  <c r="E31" i="50" s="1"/>
  <c r="N76" i="48"/>
  <c r="N73" i="48"/>
  <c r="C28" i="50"/>
  <c r="E28" i="50" s="1"/>
  <c r="N23" i="48"/>
  <c r="C20" i="49"/>
  <c r="E20" i="49" s="1"/>
  <c r="N39" i="48"/>
  <c r="C36" i="49"/>
  <c r="E36" i="49" s="1"/>
  <c r="C23" i="50"/>
  <c r="E23" i="50" s="1"/>
  <c r="N68" i="48"/>
  <c r="C31" i="49"/>
  <c r="E31" i="49" s="1"/>
  <c r="N34" i="48"/>
  <c r="C24" i="50"/>
  <c r="E24" i="50" s="1"/>
  <c r="N69" i="48"/>
  <c r="N31" i="48"/>
  <c r="C28" i="49"/>
  <c r="E28" i="49" s="1"/>
  <c r="C35" i="50"/>
  <c r="E35" i="50" s="1"/>
  <c r="N80" i="48"/>
  <c r="C21" i="50"/>
  <c r="E21" i="50" s="1"/>
  <c r="N66" i="48"/>
  <c r="C37" i="50"/>
  <c r="E37" i="50" s="1"/>
  <c r="N82" i="48"/>
  <c r="D4" i="44"/>
  <c r="B6" i="44"/>
  <c r="D18" i="44"/>
  <c r="B20" i="44"/>
  <c r="D20" i="44" s="1"/>
  <c r="H12" i="48"/>
  <c r="I24" i="44"/>
  <c r="B8" i="44"/>
  <c r="D8" i="44" s="1"/>
  <c r="B22" i="44"/>
  <c r="D22" i="44" s="1"/>
  <c r="J24" i="44"/>
  <c r="I32" i="44"/>
  <c r="B42" i="44"/>
  <c r="I45" i="44"/>
  <c r="I56" i="48"/>
  <c r="B5" i="44"/>
  <c r="B19" i="44"/>
  <c r="D19" i="44" s="1"/>
  <c r="D28" i="44"/>
  <c r="J32" i="44"/>
  <c r="J45" i="44"/>
  <c r="I54" i="48"/>
  <c r="J15" i="44"/>
  <c r="B24" i="44"/>
  <c r="D24" i="44" s="1"/>
  <c r="B35" i="44"/>
  <c r="D35" i="44" s="1"/>
  <c r="B7" i="44"/>
  <c r="B21" i="44"/>
  <c r="D21" i="44" s="1"/>
  <c r="I13" i="41"/>
  <c r="DH3" i="7"/>
  <c r="DU17" i="3"/>
  <c r="DW17" i="3" s="1"/>
  <c r="DW2" i="3" s="1"/>
  <c r="EI20" i="19"/>
  <c r="EK20" i="19" s="1"/>
  <c r="CP13" i="19"/>
  <c r="CR13" i="19" s="1"/>
  <c r="AC66" i="38"/>
  <c r="DW5" i="7"/>
  <c r="BE13" i="19"/>
  <c r="BG13" i="19" s="1"/>
  <c r="B9" i="40"/>
  <c r="C26" i="32"/>
  <c r="AP33" i="38"/>
  <c r="AY15" i="7"/>
  <c r="DH6" i="7"/>
  <c r="DH7" i="7" s="1"/>
  <c r="DH2" i="7"/>
  <c r="CY13" i="19"/>
  <c r="DA13" i="19" s="1"/>
  <c r="B50" i="47"/>
  <c r="FZ17" i="19"/>
  <c r="CU15" i="7"/>
  <c r="CU1" i="7" s="1"/>
  <c r="BS12" i="19"/>
  <c r="BW12" i="19"/>
  <c r="GD18" i="19"/>
  <c r="DA22" i="19"/>
  <c r="C18" i="32"/>
  <c r="C25" i="32"/>
  <c r="AP29" i="38"/>
  <c r="DG23" i="19"/>
  <c r="DR17" i="3"/>
  <c r="DR14" i="3" s="1"/>
  <c r="DW3" i="7"/>
  <c r="DH8" i="7"/>
  <c r="C21" i="32"/>
  <c r="DO12" i="19"/>
  <c r="BR13" i="19"/>
  <c r="BT13" i="19" s="1"/>
  <c r="DH1" i="7"/>
  <c r="FI13" i="19"/>
  <c r="C29" i="32"/>
  <c r="AB65" i="38"/>
  <c r="DT13" i="19"/>
  <c r="DV13" i="19" s="1"/>
  <c r="DR23" i="19"/>
  <c r="DT23" i="19" s="1"/>
  <c r="ET11" i="7"/>
  <c r="DK15" i="7"/>
  <c r="DK1" i="7" s="1"/>
  <c r="AL10" i="19"/>
  <c r="B15" i="40"/>
  <c r="BR10" i="19"/>
  <c r="BT10" i="19" s="1"/>
  <c r="GD17" i="19"/>
  <c r="C16" i="32"/>
  <c r="B15" i="25"/>
  <c r="E14" i="25" s="1"/>
  <c r="E3" i="47" s="1"/>
  <c r="CD13" i="19"/>
  <c r="CF13" i="19" s="1"/>
  <c r="DN22" i="19"/>
  <c r="C22" i="32"/>
  <c r="BB4" i="25"/>
  <c r="DF22" i="19"/>
  <c r="C71" i="32"/>
  <c r="CG15" i="7"/>
  <c r="CG5" i="7" s="1"/>
  <c r="GR18" i="19"/>
  <c r="FY23" i="19"/>
  <c r="GB17" i="19" s="1"/>
  <c r="BR17" i="3"/>
  <c r="BR2" i="3" s="1"/>
  <c r="CF12" i="19"/>
  <c r="BE20" i="19"/>
  <c r="U20" i="19" s="1"/>
  <c r="DJ22" i="19"/>
  <c r="DM22" i="19" s="1"/>
  <c r="C67" i="32"/>
  <c r="C76" i="32"/>
  <c r="DW1" i="7"/>
  <c r="DS12" i="19"/>
  <c r="BX13" i="19"/>
  <c r="BZ13" i="19" s="1"/>
  <c r="C19" i="32"/>
  <c r="C23" i="32"/>
  <c r="C27" i="32"/>
  <c r="C72" i="32"/>
  <c r="C68" i="32"/>
  <c r="C77" i="32"/>
  <c r="CD20" i="19"/>
  <c r="CF20" i="19" s="1"/>
  <c r="GR15" i="3"/>
  <c r="GG17" i="3"/>
  <c r="GI17" i="3" s="1"/>
  <c r="CY20" i="19"/>
  <c r="DA20" i="19" s="1"/>
  <c r="BZ22" i="19"/>
  <c r="C20" i="32"/>
  <c r="C24" i="32"/>
  <c r="C73" i="32"/>
  <c r="ER23" i="19"/>
  <c r="ET23" i="19" s="1"/>
  <c r="C69" i="32"/>
  <c r="DW2" i="7"/>
  <c r="CA15" i="7"/>
  <c r="CB15" i="7" s="1"/>
  <c r="AC25" i="40" s="1"/>
  <c r="D31" i="41" s="1"/>
  <c r="CJ13" i="19"/>
  <c r="CL13" i="19" s="1"/>
  <c r="ES22" i="19"/>
  <c r="CD23" i="19"/>
  <c r="CF23" i="19" s="1"/>
  <c r="C75" i="32"/>
  <c r="AE21" i="38"/>
  <c r="K130" i="38"/>
  <c r="GF17" i="3"/>
  <c r="CM13" i="19"/>
  <c r="CO13" i="19" s="1"/>
  <c r="DQ13" i="19"/>
  <c r="DS13" i="19" s="1"/>
  <c r="GR17" i="19"/>
  <c r="DH20" i="19"/>
  <c r="DJ20" i="19" s="1"/>
  <c r="DB20" i="19"/>
  <c r="DB17" i="19" s="1"/>
  <c r="EL20" i="19"/>
  <c r="EN20" i="19" s="1"/>
  <c r="BN22" i="19"/>
  <c r="CO22" i="19"/>
  <c r="DT22" i="19"/>
  <c r="EK22" i="19"/>
  <c r="FF22" i="19"/>
  <c r="FJ23" i="19"/>
  <c r="C8" i="32"/>
  <c r="BX20" i="19"/>
  <c r="BZ20" i="19" s="1"/>
  <c r="DK20" i="19"/>
  <c r="ER20" i="19"/>
  <c r="CF22" i="19"/>
  <c r="C12" i="32"/>
  <c r="DO17" i="3"/>
  <c r="DO14" i="3" s="1"/>
  <c r="CY17" i="3"/>
  <c r="DA17" i="3" s="1"/>
  <c r="P9" i="25" s="1"/>
  <c r="P12" i="25" s="1"/>
  <c r="P27" i="25" s="1"/>
  <c r="CC12" i="19"/>
  <c r="CK12" i="19"/>
  <c r="BU13" i="19"/>
  <c r="BW13" i="19" s="1"/>
  <c r="CV13" i="19"/>
  <c r="CX13" i="19" s="1"/>
  <c r="CW13" i="19" s="1"/>
  <c r="EY13" i="19" s="1"/>
  <c r="EL13" i="19" s="1"/>
  <c r="ER13" i="19" s="1"/>
  <c r="FJ13" i="19"/>
  <c r="DO20" i="19"/>
  <c r="DQ20" i="19" s="1"/>
  <c r="EU20" i="19"/>
  <c r="CH22" i="19"/>
  <c r="CX22" i="19"/>
  <c r="FR23" i="19"/>
  <c r="BU2" i="25"/>
  <c r="BS3" i="40"/>
  <c r="CG20" i="19"/>
  <c r="CI20" i="19" s="1"/>
  <c r="DX20" i="19"/>
  <c r="DZ20" i="19" s="1"/>
  <c r="EL17" i="3"/>
  <c r="DY12" i="19"/>
  <c r="CA13" i="19"/>
  <c r="CC13" i="19" s="1"/>
  <c r="DE13" i="19"/>
  <c r="DG13" i="19" s="1"/>
  <c r="CP20" i="19"/>
  <c r="CR20" i="19" s="1"/>
  <c r="EA20" i="19"/>
  <c r="EC20" i="19" s="1"/>
  <c r="AZ22" i="19"/>
  <c r="BR23" i="19"/>
  <c r="BT23" i="19" s="1"/>
  <c r="C66" i="32"/>
  <c r="C70" i="32"/>
  <c r="AP31" i="38"/>
  <c r="BU15" i="7"/>
  <c r="BU8" i="7" s="1"/>
  <c r="DQ15" i="7"/>
  <c r="DS15" i="7" s="1"/>
  <c r="CA10" i="19"/>
  <c r="CC10" i="19" s="1"/>
  <c r="CQ12" i="19"/>
  <c r="CG13" i="19"/>
  <c r="CI13" i="19" s="1"/>
  <c r="DN13" i="19"/>
  <c r="DP13" i="19" s="1"/>
  <c r="EH22" i="19"/>
  <c r="AF22" i="38"/>
  <c r="AE22" i="38"/>
  <c r="AW15" i="25"/>
  <c r="AW18" i="25" s="1"/>
  <c r="AW26" i="25" s="1"/>
  <c r="AF23" i="38"/>
  <c r="AC25" i="38"/>
  <c r="AK28" i="38"/>
  <c r="AB62" i="38"/>
  <c r="AJ25" i="38"/>
  <c r="AJ26" i="38" s="1"/>
  <c r="AJ27" i="38" s="1"/>
  <c r="AI25" i="38"/>
  <c r="AI26" i="38" s="1"/>
  <c r="AH25" i="38"/>
  <c r="AH26" i="38" s="1"/>
  <c r="AH32" i="38" s="1"/>
  <c r="AH33" i="38" s="1"/>
  <c r="AH34" i="38" s="1"/>
  <c r="AB56" i="38"/>
  <c r="AC62" i="38"/>
  <c r="AB63" i="38" s="1"/>
  <c r="AC56" i="38"/>
  <c r="AB57" i="38" s="1"/>
  <c r="BO17" i="3"/>
  <c r="BO8" i="3" s="1"/>
  <c r="CG17" i="3"/>
  <c r="EA17" i="3"/>
  <c r="EC17" i="3" s="1"/>
  <c r="EC8" i="3" s="1"/>
  <c r="EU17" i="3"/>
  <c r="DW6" i="7"/>
  <c r="DW7" i="7" s="1"/>
  <c r="CD15" i="7"/>
  <c r="CM15" i="7"/>
  <c r="DE15" i="7"/>
  <c r="DG15" i="7" s="1"/>
  <c r="DG1" i="7" s="1"/>
  <c r="CU12" i="19"/>
  <c r="CA17" i="3"/>
  <c r="CS17" i="3"/>
  <c r="ED17" i="3"/>
  <c r="EF17" i="3" s="1"/>
  <c r="EF6" i="3" s="1"/>
  <c r="EF7" i="3" s="1"/>
  <c r="EO17" i="3"/>
  <c r="BE15" i="7"/>
  <c r="BX15" i="7"/>
  <c r="CP15" i="7"/>
  <c r="DT15" i="7"/>
  <c r="DT10" i="19"/>
  <c r="CP10" i="19"/>
  <c r="CR10" i="19" s="1"/>
  <c r="BX10" i="19"/>
  <c r="BE10" i="19"/>
  <c r="AY10" i="19"/>
  <c r="DE10" i="19"/>
  <c r="DG10" i="19" s="1"/>
  <c r="CM10" i="19"/>
  <c r="CO10" i="19" s="1"/>
  <c r="CD10" i="19"/>
  <c r="FJ10" i="19"/>
  <c r="DK10" i="19"/>
  <c r="CG10" i="19"/>
  <c r="CZ12" i="19"/>
  <c r="DA12" i="19"/>
  <c r="AY17" i="3"/>
  <c r="CJ17" i="3"/>
  <c r="CL17" i="3" s="1"/>
  <c r="CV17" i="3"/>
  <c r="DH17" i="3"/>
  <c r="DN10" i="19"/>
  <c r="FH10" i="19"/>
  <c r="BG12" i="19"/>
  <c r="BF12" i="19"/>
  <c r="BU17" i="3"/>
  <c r="CM17" i="3"/>
  <c r="BR15" i="7"/>
  <c r="DN15" i="7"/>
  <c r="FH15" i="7"/>
  <c r="CJ10" i="19"/>
  <c r="CL10" i="19" s="1"/>
  <c r="FI10" i="19"/>
  <c r="CO12" i="19"/>
  <c r="CN12" i="19"/>
  <c r="BE17" i="3"/>
  <c r="CD17" i="3"/>
  <c r="DK17" i="3"/>
  <c r="EI17" i="3"/>
  <c r="ER17" i="3"/>
  <c r="FI15" i="7"/>
  <c r="BU10" i="19"/>
  <c r="DX17" i="3"/>
  <c r="DW8" i="7"/>
  <c r="CJ15" i="7"/>
  <c r="CL15" i="7" s="1"/>
  <c r="P25" i="25" s="1"/>
  <c r="CV15" i="7"/>
  <c r="CX15" i="7" s="1"/>
  <c r="CX6" i="7" s="1"/>
  <c r="CX7" i="7" s="1"/>
  <c r="DQ10" i="19"/>
  <c r="BX17" i="3"/>
  <c r="CP17" i="3"/>
  <c r="DB17" i="3"/>
  <c r="AI20" i="19"/>
  <c r="AO20" i="19" s="1"/>
  <c r="AK20" i="19"/>
  <c r="FH13" i="19"/>
  <c r="BU20" i="19"/>
  <c r="CM20" i="19"/>
  <c r="DU20" i="19"/>
  <c r="DW20" i="19" s="1"/>
  <c r="EH20" i="19"/>
  <c r="BA21" i="19"/>
  <c r="DZ22" i="19"/>
  <c r="EQ22" i="19"/>
  <c r="CA23" i="19"/>
  <c r="CC23" i="19" s="1"/>
  <c r="CM23" i="19"/>
  <c r="CO23" i="19" s="1"/>
  <c r="DB23" i="19"/>
  <c r="DD23" i="19" s="1"/>
  <c r="DO23" i="19"/>
  <c r="EO23" i="19"/>
  <c r="EQ23" i="19" s="1"/>
  <c r="C13" i="32"/>
  <c r="C55" i="32"/>
  <c r="C57" i="32"/>
  <c r="C59" i="32"/>
  <c r="C61" i="32"/>
  <c r="C63" i="32"/>
  <c r="C65" i="32"/>
  <c r="DL22" i="19"/>
  <c r="DD13" i="19"/>
  <c r="C11" i="32"/>
  <c r="C30" i="32"/>
  <c r="C32" i="32"/>
  <c r="C34" i="32"/>
  <c r="C36" i="32"/>
  <c r="C38" i="32"/>
  <c r="C40" i="32"/>
  <c r="BS22" i="19"/>
  <c r="DC22" i="19"/>
  <c r="GF23" i="19"/>
  <c r="C6" i="32"/>
  <c r="C14" i="32"/>
  <c r="C42" i="32"/>
  <c r="C44" i="32"/>
  <c r="C46" i="32"/>
  <c r="C48" i="32"/>
  <c r="C50" i="32"/>
  <c r="C52" i="32"/>
  <c r="BO20" i="19"/>
  <c r="CB22" i="19"/>
  <c r="DV22" i="19"/>
  <c r="EE22" i="19"/>
  <c r="EM22" i="19"/>
  <c r="AY23" i="19"/>
  <c r="BA23" i="19" s="1"/>
  <c r="AX23" i="19" s="1"/>
  <c r="BU23" i="19"/>
  <c r="BW23" i="19" s="1"/>
  <c r="CG23" i="19"/>
  <c r="CI23" i="19" s="1"/>
  <c r="CV23" i="19"/>
  <c r="CX23" i="19" s="1"/>
  <c r="DH23" i="19"/>
  <c r="DJ23" i="19" s="1"/>
  <c r="DU23" i="19"/>
  <c r="DW23" i="19" s="1"/>
  <c r="EI23" i="19"/>
  <c r="EU23" i="19"/>
  <c r="GG23" i="19"/>
  <c r="GI23" i="19" s="1"/>
  <c r="G70" i="52"/>
  <c r="AW7" i="37" s="1"/>
  <c r="C9" i="32"/>
  <c r="C17" i="32"/>
  <c r="C54" i="32"/>
  <c r="C56" i="32"/>
  <c r="C58" i="32"/>
  <c r="C60" i="32"/>
  <c r="C62" i="32"/>
  <c r="BY12" i="19"/>
  <c r="DU12" i="19"/>
  <c r="EG12" i="19"/>
  <c r="DJ13" i="19"/>
  <c r="BR20" i="19"/>
  <c r="DR20" i="19"/>
  <c r="BF22" i="19"/>
  <c r="CK22" i="19"/>
  <c r="CW22" i="19"/>
  <c r="O70" i="52"/>
  <c r="BR7" i="37" s="1"/>
  <c r="DJ10" i="19"/>
  <c r="AY13" i="19"/>
  <c r="CA20" i="19"/>
  <c r="CS20" i="19"/>
  <c r="DE20" i="19" s="1"/>
  <c r="DG20" i="19" s="1"/>
  <c r="ED20" i="19"/>
  <c r="EF20" i="19" s="1"/>
  <c r="EO20" i="19"/>
  <c r="GF20" i="19"/>
  <c r="BV22" i="19"/>
  <c r="DP22" i="19"/>
  <c r="EG22" i="19"/>
  <c r="FA22" i="19"/>
  <c r="BE23" i="19"/>
  <c r="BG23" i="19" s="1"/>
  <c r="BX23" i="19"/>
  <c r="BZ23" i="19" s="1"/>
  <c r="CJ23" i="19"/>
  <c r="CL23" i="19" s="1"/>
  <c r="CY23" i="19"/>
  <c r="DA23" i="19" s="1"/>
  <c r="DK23" i="19"/>
  <c r="DX23" i="19"/>
  <c r="DZ23" i="19" s="1"/>
  <c r="C7" i="32"/>
  <c r="C15" i="32"/>
  <c r="C31" i="32"/>
  <c r="C33" i="32"/>
  <c r="C35" i="32"/>
  <c r="C37" i="32"/>
  <c r="C39" i="32"/>
  <c r="AY20" i="19"/>
  <c r="BA20" i="19" s="1"/>
  <c r="CJ20" i="19"/>
  <c r="CL20" i="19" s="1"/>
  <c r="CV20" i="19"/>
  <c r="CX20" i="19" s="1"/>
  <c r="DG22" i="19"/>
  <c r="C43" i="32"/>
  <c r="C45" i="32"/>
  <c r="C47" i="32"/>
  <c r="C49" i="32"/>
  <c r="C51" i="32"/>
  <c r="EY22" i="19"/>
  <c r="DY5" i="7"/>
  <c r="DY3" i="7"/>
  <c r="E48" i="38"/>
  <c r="DY1" i="7"/>
  <c r="D28" i="38"/>
  <c r="DY2" i="7"/>
  <c r="AP15" i="25"/>
  <c r="AP18" i="25" s="1"/>
  <c r="AP26" i="25" s="1"/>
  <c r="L77" i="38"/>
  <c r="EC23" i="19" s="1"/>
  <c r="AC26" i="38"/>
  <c r="C28" i="38"/>
  <c r="BL22" i="19" s="1"/>
  <c r="AC45" i="38"/>
  <c r="AD26" i="38"/>
  <c r="AC47" i="38"/>
  <c r="L108" i="38"/>
  <c r="Y15" i="7"/>
  <c r="FK15" i="7"/>
  <c r="DJ15" i="7" s="1"/>
  <c r="AL15" i="7"/>
  <c r="M12" i="3"/>
  <c r="K15" i="3"/>
  <c r="EE12" i="19"/>
  <c r="ED12" i="19"/>
  <c r="DD10" i="19"/>
  <c r="CY10" i="19"/>
  <c r="DA10" i="19" s="1"/>
  <c r="Y17" i="3"/>
  <c r="AL17" i="3"/>
  <c r="AL14" i="3" s="1"/>
  <c r="AB15" i="7"/>
  <c r="AE15" i="7" s="1"/>
  <c r="DB15" i="7"/>
  <c r="AL20" i="19"/>
  <c r="AL17" i="19" s="1"/>
  <c r="H70" i="52"/>
  <c r="AU7" i="37" s="1"/>
  <c r="P70" i="52"/>
  <c r="BJ7" i="37" s="1"/>
  <c r="Y10" i="19"/>
  <c r="FR10" i="19"/>
  <c r="I70" i="52"/>
  <c r="AS7" i="37" s="1"/>
  <c r="Q70" i="52"/>
  <c r="BB7" i="37" s="1"/>
  <c r="FS10" i="19"/>
  <c r="B70" i="52"/>
  <c r="AR7" i="36" s="1"/>
  <c r="J70" i="52"/>
  <c r="CA7" i="37" s="1"/>
  <c r="C70" i="52"/>
  <c r="AQ7" i="36" s="1"/>
  <c r="K70" i="52"/>
  <c r="BV7" i="37" s="1"/>
  <c r="GP17" i="3"/>
  <c r="Z20" i="19"/>
  <c r="D70" i="52"/>
  <c r="AD7" i="36" s="1"/>
  <c r="L70" i="52"/>
  <c r="BN7" i="37" s="1"/>
  <c r="FR15" i="7"/>
  <c r="GP20" i="19"/>
  <c r="E70" i="52"/>
  <c r="Z7" i="36" s="1"/>
  <c r="M70" i="52"/>
  <c r="BF7" i="37" s="1"/>
  <c r="F70" i="52"/>
  <c r="AY7" i="37" s="1"/>
  <c r="AC60" i="38"/>
  <c r="AB59" i="38"/>
  <c r="L45" i="38"/>
  <c r="L99" i="38"/>
  <c r="L114" i="38"/>
  <c r="L43" i="38"/>
  <c r="DY6" i="7"/>
  <c r="DY7" i="7" s="1"/>
  <c r="L61" i="38"/>
  <c r="L64" i="38"/>
  <c r="BM28" i="19"/>
  <c r="S46" i="38"/>
  <c r="L79" i="38"/>
  <c r="BG28" i="19"/>
  <c r="D41" i="38"/>
  <c r="AL43" i="38"/>
  <c r="AL49" i="38" s="1"/>
  <c r="S43" i="38"/>
  <c r="L50" i="38"/>
  <c r="L85" i="38"/>
  <c r="L47" i="38"/>
  <c r="L24" i="38"/>
  <c r="L51" i="38"/>
  <c r="L55" i="38"/>
  <c r="L69" i="38"/>
  <c r="L48" i="38"/>
  <c r="L57" i="38"/>
  <c r="I14" i="41"/>
  <c r="K8" i="40"/>
  <c r="G76" i="35" s="1"/>
  <c r="L111" i="38"/>
  <c r="L71" i="38"/>
  <c r="L110" i="38"/>
  <c r="L92" i="38"/>
  <c r="L66" i="38"/>
  <c r="L44" i="38"/>
  <c r="L35" i="38"/>
  <c r="L90" i="38"/>
  <c r="L75" i="38"/>
  <c r="L62" i="38"/>
  <c r="L60" i="38"/>
  <c r="L56" i="38"/>
  <c r="S47" i="38"/>
  <c r="L27" i="38"/>
  <c r="L21" i="38"/>
  <c r="L81" i="38"/>
  <c r="L54" i="38"/>
  <c r="S42" i="38"/>
  <c r="L36" i="38"/>
  <c r="L33" i="38"/>
  <c r="L20" i="38"/>
  <c r="L46" i="38"/>
  <c r="C6" i="38"/>
  <c r="A3" i="35"/>
  <c r="C8" i="40"/>
  <c r="C12" i="25"/>
  <c r="G14" i="41"/>
  <c r="G37" i="41"/>
  <c r="BF9" i="40"/>
  <c r="K18" i="40"/>
  <c r="K26" i="40" s="1"/>
  <c r="BF15" i="40"/>
  <c r="AJ12" i="40"/>
  <c r="AJ27" i="40" s="1"/>
  <c r="BH9" i="40"/>
  <c r="L28" i="40"/>
  <c r="L29" i="40" s="1"/>
  <c r="L101" i="38"/>
  <c r="L116" i="38"/>
  <c r="L96" i="38"/>
  <c r="L102" i="38"/>
  <c r="L106" i="38"/>
  <c r="L119" i="38"/>
  <c r="L103" i="38"/>
  <c r="L95" i="38"/>
  <c r="L115" i="38"/>
  <c r="L100" i="38"/>
  <c r="E5" i="38"/>
  <c r="E6" i="38" s="1"/>
  <c r="L121" i="38"/>
  <c r="L107" i="38"/>
  <c r="L97" i="38"/>
  <c r="D5" i="38"/>
  <c r="L122" i="38"/>
  <c r="L98" i="38"/>
  <c r="L104" i="38"/>
  <c r="L120" i="38"/>
  <c r="L93" i="38"/>
  <c r="L67" i="38"/>
  <c r="L74" i="38"/>
  <c r="L76" i="38"/>
  <c r="L78" i="38"/>
  <c r="L89" i="38"/>
  <c r="F2" i="32"/>
  <c r="BD12" i="19"/>
  <c r="BI12" i="19" s="1"/>
  <c r="BD22" i="19"/>
  <c r="BD13" i="19"/>
  <c r="BQ23" i="19"/>
  <c r="BD23" i="19"/>
  <c r="BC13" i="19"/>
  <c r="FI23" i="19"/>
  <c r="BC23" i="19"/>
  <c r="BQ13" i="19"/>
  <c r="L19" i="38"/>
  <c r="L23" i="38"/>
  <c r="L26" i="38"/>
  <c r="L32" i="38"/>
  <c r="S44" i="38"/>
  <c r="L53" i="38"/>
  <c r="L59" i="38"/>
  <c r="L68" i="38"/>
  <c r="L70" i="38"/>
  <c r="L86" i="38"/>
  <c r="D4" i="38"/>
  <c r="AW21" i="19" s="1"/>
  <c r="BB21" i="19" s="1"/>
  <c r="L18" i="38"/>
  <c r="L29" i="38"/>
  <c r="L42" i="38"/>
  <c r="S45" i="38"/>
  <c r="A46" i="38"/>
  <c r="L52" i="38"/>
  <c r="L58" i="38"/>
  <c r="L63" i="38"/>
  <c r="L65" i="38"/>
  <c r="L80" i="38"/>
  <c r="L87" i="38"/>
  <c r="L91" i="38"/>
  <c r="E4" i="38"/>
  <c r="AX22" i="19" s="1"/>
  <c r="L22" i="38"/>
  <c r="L25" i="38"/>
  <c r="L28" i="38"/>
  <c r="L31" i="38"/>
  <c r="L34" i="38"/>
  <c r="L49" i="38"/>
  <c r="L88" i="38"/>
  <c r="L105" i="38"/>
  <c r="EB12" i="19"/>
  <c r="BC28" i="19"/>
  <c r="BB38" i="19"/>
  <c r="AI14" i="40" l="1"/>
  <c r="G28" i="35" s="1"/>
  <c r="BM34" i="19"/>
  <c r="BH34" i="19"/>
  <c r="BD34" i="19"/>
  <c r="BS34" i="19" s="1"/>
  <c r="BF31" i="19"/>
  <c r="BG38" i="19"/>
  <c r="BF28" i="19"/>
  <c r="BH28" i="19"/>
  <c r="C14" i="40"/>
  <c r="A22" i="35"/>
  <c r="BD31" i="19"/>
  <c r="BS31" i="19" s="1"/>
  <c r="BE38" i="19"/>
  <c r="BD28" i="19"/>
  <c r="BS28" i="19" s="1"/>
  <c r="BU28" i="19" s="1"/>
  <c r="BC38" i="19"/>
  <c r="BR38" i="19" s="1"/>
  <c r="BU34" i="19"/>
  <c r="BU31" i="19"/>
  <c r="BE40" i="19"/>
  <c r="BG42" i="19"/>
  <c r="BG31" i="19"/>
  <c r="BH31" i="19"/>
  <c r="BE42" i="19"/>
  <c r="BG40" i="19"/>
  <c r="BC40" i="19"/>
  <c r="BR40" i="19" s="1"/>
  <c r="BS40" i="19" s="1"/>
  <c r="BF34" i="19"/>
  <c r="BL40" i="19"/>
  <c r="C20" i="40"/>
  <c r="BM22" i="25"/>
  <c r="A40" i="35"/>
  <c r="C40" i="35" s="1"/>
  <c r="AJ18" i="40"/>
  <c r="AJ26" i="40" s="1"/>
  <c r="AP25" i="25"/>
  <c r="D44" i="6" s="1"/>
  <c r="E44" i="6" s="1"/>
  <c r="BC42" i="19"/>
  <c r="BR42" i="19" s="1"/>
  <c r="BS42" i="19" s="1"/>
  <c r="BH18" i="40"/>
  <c r="BH26" i="40" s="1"/>
  <c r="BH28" i="40" s="1"/>
  <c r="U18" i="19"/>
  <c r="C4" i="8"/>
  <c r="A104" i="24"/>
  <c r="A106" i="24" s="1"/>
  <c r="BB22" i="40"/>
  <c r="BC22" i="40"/>
  <c r="BR22" i="40" s="1"/>
  <c r="BF22" i="25"/>
  <c r="BD22" i="25"/>
  <c r="BS22" i="25" s="1"/>
  <c r="BU22" i="25" s="1"/>
  <c r="B17" i="44"/>
  <c r="BE22" i="40"/>
  <c r="M135" i="38"/>
  <c r="B19" i="40"/>
  <c r="E19" i="40" s="1"/>
  <c r="C3" i="8"/>
  <c r="D3" i="8" s="1"/>
  <c r="E3" i="41"/>
  <c r="G3" i="41" s="1"/>
  <c r="DM7" i="7"/>
  <c r="DL7" i="7"/>
  <c r="DF7" i="7"/>
  <c r="EK7" i="7"/>
  <c r="BH7" i="7"/>
  <c r="C19" i="25"/>
  <c r="BH22" i="25"/>
  <c r="G8" i="7"/>
  <c r="E3" i="6"/>
  <c r="G3" i="6" s="1"/>
  <c r="BG22" i="25"/>
  <c r="EJ7" i="7"/>
  <c r="BL22" i="40"/>
  <c r="EI7" i="7"/>
  <c r="D4" i="8"/>
  <c r="B4" i="24" s="1"/>
  <c r="E19" i="25"/>
  <c r="BG22" i="40"/>
  <c r="DI7" i="7"/>
  <c r="AE20" i="38"/>
  <c r="A1" i="47"/>
  <c r="FK17" i="19"/>
  <c r="FK15" i="3"/>
  <c r="AX7" i="25" s="1"/>
  <c r="BJ7" i="25" s="1"/>
  <c r="F61" i="35" s="1"/>
  <c r="G53" i="44" s="1"/>
  <c r="I90" i="48" s="1"/>
  <c r="N90" i="48" s="1"/>
  <c r="BN15" i="3"/>
  <c r="FJ17" i="19" s="1"/>
  <c r="W20" i="19"/>
  <c r="CZ20" i="19" s="1"/>
  <c r="W17" i="3"/>
  <c r="AF17" i="3" s="1"/>
  <c r="W15" i="7"/>
  <c r="DX15" i="7" s="1"/>
  <c r="AI30" i="38"/>
  <c r="AI32" i="38" s="1"/>
  <c r="AI33" i="38" s="1"/>
  <c r="AI34" i="38" s="1"/>
  <c r="AJ28" i="38"/>
  <c r="AJ29" i="38" s="1"/>
  <c r="AJ30" i="38" s="1"/>
  <c r="AJ31" i="38" s="1"/>
  <c r="AJ32" i="38" s="1"/>
  <c r="AJ33" i="38" s="1"/>
  <c r="AJ34" i="38" s="1"/>
  <c r="AE29" i="38"/>
  <c r="GU1" i="3"/>
  <c r="GT1" i="3"/>
  <c r="AF30" i="38"/>
  <c r="AE30" i="38"/>
  <c r="AD28" i="38"/>
  <c r="AC28" i="38"/>
  <c r="AF28" i="38" s="1"/>
  <c r="AC39" i="38"/>
  <c r="AD39" i="38"/>
  <c r="AB50" i="38"/>
  <c r="AD40" i="38"/>
  <c r="AC40" i="38"/>
  <c r="P139" i="38"/>
  <c r="BO17" i="19"/>
  <c r="FS17" i="19" s="1"/>
  <c r="BN17" i="19"/>
  <c r="FR17" i="19" s="1"/>
  <c r="BN18" i="19"/>
  <c r="FR18" i="19" s="1"/>
  <c r="BO18" i="19"/>
  <c r="FS18" i="19" s="1"/>
  <c r="E1" i="43"/>
  <c r="B1" i="44"/>
  <c r="H7" i="25"/>
  <c r="BF7" i="25" s="1"/>
  <c r="F60" i="35" s="1"/>
  <c r="G52" i="44" s="1"/>
  <c r="I89" i="48" s="1"/>
  <c r="C44" i="50" s="1"/>
  <c r="E44" i="50" s="1"/>
  <c r="FK14" i="3"/>
  <c r="FK9" i="3" s="1"/>
  <c r="C53" i="6" s="1"/>
  <c r="FS15" i="3"/>
  <c r="BB7" i="25" s="1"/>
  <c r="BO7" i="25" s="1"/>
  <c r="F62" i="35" s="1"/>
  <c r="G54" i="44" s="1"/>
  <c r="I91" i="48" s="1"/>
  <c r="C46" i="50" s="1"/>
  <c r="E46" i="50" s="1"/>
  <c r="DW1" i="3"/>
  <c r="F26" i="6" s="1"/>
  <c r="BF6" i="25"/>
  <c r="BS6" i="25" s="1"/>
  <c r="BS5" i="25" s="1"/>
  <c r="BU5" i="25" s="1"/>
  <c r="H5" i="25"/>
  <c r="BO9" i="3"/>
  <c r="C9" i="6" s="1"/>
  <c r="C58" i="6" s="1"/>
  <c r="FJ15" i="3"/>
  <c r="AW7" i="40" s="1"/>
  <c r="BI7" i="40" s="1"/>
  <c r="G61" i="35" s="1"/>
  <c r="H53" i="44" s="1"/>
  <c r="H48" i="48" s="1"/>
  <c r="N48" i="48" s="1"/>
  <c r="FS14" i="3"/>
  <c r="FS9" i="3" s="1"/>
  <c r="C57" i="6" s="1"/>
  <c r="G57" i="6" s="1"/>
  <c r="DW3" i="3"/>
  <c r="Y9" i="25"/>
  <c r="Y12" i="25" s="1"/>
  <c r="Y27" i="25" s="1"/>
  <c r="DW8" i="3"/>
  <c r="DU5" i="3"/>
  <c r="DU3" i="3"/>
  <c r="DU2" i="3"/>
  <c r="DU1" i="3"/>
  <c r="EM20" i="19"/>
  <c r="EB10" i="19"/>
  <c r="EA10" i="19"/>
  <c r="EH10" i="19"/>
  <c r="EG10" i="19"/>
  <c r="ED10" i="19"/>
  <c r="EE10" i="19"/>
  <c r="FC20" i="19"/>
  <c r="FB20" i="19"/>
  <c r="FF20" i="19"/>
  <c r="FE20" i="19"/>
  <c r="EZ20" i="19"/>
  <c r="EY20" i="19"/>
  <c r="G51" i="41"/>
  <c r="E8" i="25"/>
  <c r="F3" i="47" s="1"/>
  <c r="DK3" i="7"/>
  <c r="EX6" i="3"/>
  <c r="EZ17" i="3"/>
  <c r="EZ5" i="3" s="1"/>
  <c r="Q139" i="38"/>
  <c r="DK6" i="7"/>
  <c r="C13" i="38"/>
  <c r="DU8" i="3"/>
  <c r="B88" i="8"/>
  <c r="BN14" i="3"/>
  <c r="BU3" i="25"/>
  <c r="GU8" i="3"/>
  <c r="GU2" i="3"/>
  <c r="GU3" i="3"/>
  <c r="GU5" i="3"/>
  <c r="GU6" i="3"/>
  <c r="GU7" i="3" s="1"/>
  <c r="GT8" i="3"/>
  <c r="GT3" i="3"/>
  <c r="GT2" i="3"/>
  <c r="GT6" i="3"/>
  <c r="GT7" i="3" s="1"/>
  <c r="GT5" i="3"/>
  <c r="C14" i="50"/>
  <c r="E14" i="50" s="1"/>
  <c r="DT17" i="3"/>
  <c r="DT8" i="3" s="1"/>
  <c r="BT17" i="3"/>
  <c r="BT1" i="3" s="1"/>
  <c r="F28" i="6" s="1"/>
  <c r="AJ20" i="19"/>
  <c r="AQ20" i="19" s="1"/>
  <c r="K25" i="40"/>
  <c r="D13" i="41" s="1"/>
  <c r="AV28" i="40"/>
  <c r="H50" i="41" s="1"/>
  <c r="E53" i="47"/>
  <c r="EH5" i="7"/>
  <c r="BF20" i="40"/>
  <c r="B56" i="44"/>
  <c r="D7" i="44"/>
  <c r="B39" i="44"/>
  <c r="D39" i="44" s="1"/>
  <c r="C11" i="50"/>
  <c r="E11" i="50" s="1"/>
  <c r="N56" i="48"/>
  <c r="C9" i="49"/>
  <c r="E9" i="49" s="1"/>
  <c r="N12" i="48"/>
  <c r="D5" i="44"/>
  <c r="B37" i="44"/>
  <c r="D37" i="44" s="1"/>
  <c r="N54" i="48"/>
  <c r="C9" i="50"/>
  <c r="E9" i="50" s="1"/>
  <c r="B45" i="44"/>
  <c r="D45" i="44" s="1"/>
  <c r="B43" i="44"/>
  <c r="D43" i="44" s="1"/>
  <c r="D42" i="44"/>
  <c r="B44" i="44"/>
  <c r="D44" i="44" s="1"/>
  <c r="D6" i="44"/>
  <c r="B38" i="44"/>
  <c r="D38" i="44" s="1"/>
  <c r="D30" i="44"/>
  <c r="B31" i="44"/>
  <c r="DZ2" i="7"/>
  <c r="BS17" i="3"/>
  <c r="BS1" i="3" s="1"/>
  <c r="F28" i="41" s="1"/>
  <c r="DS17" i="3"/>
  <c r="DS3" i="3" s="1"/>
  <c r="BR8" i="3"/>
  <c r="BR3" i="3"/>
  <c r="B80" i="8" s="1"/>
  <c r="D80" i="8" s="1"/>
  <c r="B80" i="24" s="1"/>
  <c r="EF5" i="7"/>
  <c r="DU6" i="3"/>
  <c r="EB5" i="7"/>
  <c r="BI22" i="19"/>
  <c r="D53" i="47"/>
  <c r="EX3" i="3"/>
  <c r="EX1" i="3"/>
  <c r="EX8" i="3"/>
  <c r="EF3" i="7"/>
  <c r="EH3" i="7"/>
  <c r="EH8" i="7"/>
  <c r="EH2" i="7"/>
  <c r="EG15" i="7"/>
  <c r="EG8" i="7" s="1"/>
  <c r="EH1" i="7"/>
  <c r="E50" i="6" s="1"/>
  <c r="AV15" i="25"/>
  <c r="AV18" i="25" s="1"/>
  <c r="AV26" i="25" s="1"/>
  <c r="AV28" i="25" s="1"/>
  <c r="DK2" i="7"/>
  <c r="EX5" i="3"/>
  <c r="EF1" i="7"/>
  <c r="EF2" i="7"/>
  <c r="DZ6" i="7"/>
  <c r="DZ7" i="7" s="1"/>
  <c r="EB3" i="7"/>
  <c r="DZ1" i="7"/>
  <c r="DQ2" i="7"/>
  <c r="EA15" i="7"/>
  <c r="AS25" i="40" s="1"/>
  <c r="BY20" i="19"/>
  <c r="CH15" i="7"/>
  <c r="CH8" i="7" s="1"/>
  <c r="DZ5" i="7"/>
  <c r="DN17" i="3"/>
  <c r="DP10" i="3" s="1"/>
  <c r="EC8" i="7"/>
  <c r="CK17" i="3"/>
  <c r="CK8" i="3" s="1"/>
  <c r="DQ8" i="7"/>
  <c r="DA8" i="3"/>
  <c r="EH6" i="7"/>
  <c r="EH7" i="7" s="1"/>
  <c r="CA8" i="7"/>
  <c r="BW15" i="7"/>
  <c r="BW5" i="7" s="1"/>
  <c r="BV15" i="7"/>
  <c r="CQ20" i="19"/>
  <c r="DR15" i="7"/>
  <c r="DR5" i="7" s="1"/>
  <c r="CA6" i="7"/>
  <c r="CA7" i="7" s="1"/>
  <c r="CU6" i="7"/>
  <c r="CU7" i="7" s="1"/>
  <c r="EC5" i="7"/>
  <c r="V15" i="25"/>
  <c r="V18" i="25" s="1"/>
  <c r="V26" i="25" s="1"/>
  <c r="V25" i="25"/>
  <c r="EC6" i="7"/>
  <c r="EC7" i="7" s="1"/>
  <c r="DK8" i="7"/>
  <c r="EE15" i="7"/>
  <c r="EE8" i="7" s="1"/>
  <c r="EF6" i="7"/>
  <c r="EF7" i="7" s="1"/>
  <c r="CU8" i="7"/>
  <c r="EC3" i="7"/>
  <c r="CE20" i="19"/>
  <c r="EC1" i="7"/>
  <c r="CU5" i="7"/>
  <c r="ED15" i="7"/>
  <c r="ED6" i="7" s="1"/>
  <c r="ED7" i="7" s="1"/>
  <c r="EW23" i="19"/>
  <c r="CU2" i="7"/>
  <c r="CU3" i="7"/>
  <c r="CK20" i="19"/>
  <c r="BG20" i="19"/>
  <c r="EF8" i="7"/>
  <c r="CH20" i="19"/>
  <c r="AM20" i="19"/>
  <c r="AN20" i="19" s="1"/>
  <c r="BS10" i="19"/>
  <c r="DQ17" i="3"/>
  <c r="DQ3" i="3" s="1"/>
  <c r="U17" i="19"/>
  <c r="EB6" i="7"/>
  <c r="EB7" i="7" s="1"/>
  <c r="EB1" i="7"/>
  <c r="DZ8" i="7"/>
  <c r="CB8" i="7"/>
  <c r="H9" i="25"/>
  <c r="H12" i="25" s="1"/>
  <c r="H27" i="25" s="1"/>
  <c r="H29" i="25" s="1"/>
  <c r="BO6" i="3"/>
  <c r="BO7" i="3" s="1"/>
  <c r="BO5" i="3"/>
  <c r="DG3" i="7"/>
  <c r="C13" i="8" s="1"/>
  <c r="D13" i="8" s="1"/>
  <c r="B13" i="24" s="1"/>
  <c r="BO3" i="3"/>
  <c r="BO2" i="3"/>
  <c r="BO1" i="3"/>
  <c r="F10" i="6" s="1"/>
  <c r="G10" i="6" s="1"/>
  <c r="M15" i="25"/>
  <c r="M18" i="25" s="1"/>
  <c r="M26" i="25" s="1"/>
  <c r="DG8" i="7"/>
  <c r="CL6" i="7"/>
  <c r="CL7" i="7" s="1"/>
  <c r="DG2" i="7"/>
  <c r="DG5" i="7"/>
  <c r="CL8" i="7"/>
  <c r="EF8" i="3"/>
  <c r="CX5" i="7"/>
  <c r="EF2" i="3"/>
  <c r="CW15" i="7"/>
  <c r="V15" i="40" s="1"/>
  <c r="V18" i="40" s="1"/>
  <c r="V26" i="40" s="1"/>
  <c r="V28" i="40" s="1"/>
  <c r="V29" i="40" s="1"/>
  <c r="EC1" i="3"/>
  <c r="F43" i="6" s="1"/>
  <c r="G43" i="6" s="1"/>
  <c r="EC6" i="3"/>
  <c r="EC7" i="3" s="1"/>
  <c r="CL1" i="7"/>
  <c r="EF1" i="3"/>
  <c r="F44" i="6" s="1"/>
  <c r="CG8" i="7"/>
  <c r="CB10" i="19"/>
  <c r="CI15" i="7"/>
  <c r="E4" i="25"/>
  <c r="G3" i="47" s="1"/>
  <c r="CG2" i="7"/>
  <c r="D77" i="32"/>
  <c r="E77" i="32" s="1"/>
  <c r="CG1" i="7"/>
  <c r="GB18" i="19"/>
  <c r="D29" i="32"/>
  <c r="E29" i="32" s="1"/>
  <c r="CG6" i="7"/>
  <c r="CG7" i="7" s="1"/>
  <c r="CG3" i="7"/>
  <c r="D26" i="32"/>
  <c r="E26" i="32" s="1"/>
  <c r="DD20" i="19"/>
  <c r="D76" i="32"/>
  <c r="E76" i="32" s="1"/>
  <c r="BL12" i="19"/>
  <c r="BH20" i="40"/>
  <c r="G46" i="35" s="1"/>
  <c r="CX2" i="7"/>
  <c r="CX8" i="7"/>
  <c r="CU22" i="19"/>
  <c r="FD13" i="19"/>
  <c r="EQ13" i="19" s="1"/>
  <c r="ET13" i="19"/>
  <c r="EV13" i="19" s="1"/>
  <c r="AJ25" i="40"/>
  <c r="AJ28" i="40" s="1"/>
  <c r="AJ29" i="40" s="1"/>
  <c r="FA13" i="19"/>
  <c r="AW28" i="25"/>
  <c r="AW29" i="25" s="1"/>
  <c r="AT15" i="25"/>
  <c r="AT18" i="25" s="1"/>
  <c r="AT26" i="25" s="1"/>
  <c r="FF13" i="19"/>
  <c r="AO9" i="25"/>
  <c r="AO12" i="25" s="1"/>
  <c r="AO27" i="25" s="1"/>
  <c r="AO29" i="25" s="1"/>
  <c r="AJ17" i="38"/>
  <c r="CT22" i="19"/>
  <c r="EF5" i="3"/>
  <c r="AP9" i="25"/>
  <c r="BR9" i="25" s="1"/>
  <c r="EC3" i="3"/>
  <c r="EC2" i="3"/>
  <c r="EC5" i="3"/>
  <c r="EF3" i="3"/>
  <c r="D28" i="32"/>
  <c r="E28" i="32" s="1"/>
  <c r="CB2" i="7"/>
  <c r="DA5" i="3"/>
  <c r="CU20" i="19"/>
  <c r="CB5" i="7"/>
  <c r="D18" i="32"/>
  <c r="E18" i="32" s="1"/>
  <c r="D73" i="32"/>
  <c r="E73" i="32" s="1"/>
  <c r="DZ3" i="7"/>
  <c r="EB2" i="7"/>
  <c r="DA2" i="3"/>
  <c r="CB3" i="7"/>
  <c r="CB1" i="7"/>
  <c r="E31" i="41" s="1"/>
  <c r="BU2" i="7"/>
  <c r="DA6" i="3"/>
  <c r="DA7" i="3" s="1"/>
  <c r="CB6" i="7"/>
  <c r="CB7" i="7" s="1"/>
  <c r="AT25" i="25"/>
  <c r="CC15" i="7"/>
  <c r="CA3" i="7"/>
  <c r="C83" i="8" s="1"/>
  <c r="CA5" i="7"/>
  <c r="C99" i="8" s="1"/>
  <c r="CA1" i="7"/>
  <c r="CA2" i="7"/>
  <c r="AC15" i="40"/>
  <c r="AC18" i="40" s="1"/>
  <c r="AC26" i="40" s="1"/>
  <c r="AC28" i="40" s="1"/>
  <c r="BS10" i="3"/>
  <c r="DM20" i="19"/>
  <c r="BR5" i="3"/>
  <c r="B96" i="8" s="1"/>
  <c r="BR1" i="3"/>
  <c r="AM25" i="25"/>
  <c r="D41" i="6" s="1"/>
  <c r="DS5" i="7"/>
  <c r="DS1" i="7"/>
  <c r="DS2" i="7"/>
  <c r="DS8" i="7"/>
  <c r="DS6" i="7"/>
  <c r="DS7" i="7" s="1"/>
  <c r="DS3" i="7"/>
  <c r="D52" i="32"/>
  <c r="E52" i="32" s="1"/>
  <c r="D40" i="32"/>
  <c r="E40" i="32" s="1"/>
  <c r="DO17" i="19"/>
  <c r="DN20" i="19"/>
  <c r="ET20" i="19"/>
  <c r="ES20" i="19"/>
  <c r="DA3" i="3"/>
  <c r="DA1" i="3"/>
  <c r="F17" i="6" s="1"/>
  <c r="I17" i="6" s="1"/>
  <c r="D55" i="32"/>
  <c r="E55" i="32" s="1"/>
  <c r="D75" i="32"/>
  <c r="E75" i="32" s="1"/>
  <c r="D62" i="32"/>
  <c r="E62" i="32" s="1"/>
  <c r="D74" i="32"/>
  <c r="E74" i="32" s="1"/>
  <c r="EM17" i="3"/>
  <c r="EN17" i="3"/>
  <c r="D69" i="32"/>
  <c r="E69" i="32" s="1"/>
  <c r="DQ6" i="7"/>
  <c r="DQ7" i="7" s="1"/>
  <c r="DQ3" i="7"/>
  <c r="DQ1" i="7"/>
  <c r="DQ5" i="7"/>
  <c r="D58" i="32"/>
  <c r="E58" i="32" s="1"/>
  <c r="D67" i="32"/>
  <c r="E67" i="32" s="1"/>
  <c r="BU6" i="7"/>
  <c r="BU7" i="7" s="1"/>
  <c r="BU1" i="7"/>
  <c r="BU5" i="7"/>
  <c r="C97" i="8" s="1"/>
  <c r="BU3" i="7"/>
  <c r="C81" i="8" s="1"/>
  <c r="D65" i="32"/>
  <c r="E65" i="32" s="1"/>
  <c r="DM23" i="19"/>
  <c r="D37" i="32"/>
  <c r="E37" i="32" s="1"/>
  <c r="D17" i="6"/>
  <c r="D17" i="47" s="1"/>
  <c r="D42" i="32"/>
  <c r="E42" i="32" s="1"/>
  <c r="D59" i="32"/>
  <c r="E59" i="32" s="1"/>
  <c r="D22" i="32"/>
  <c r="E22" i="32" s="1"/>
  <c r="D66" i="32"/>
  <c r="E66" i="32" s="1"/>
  <c r="GJ23" i="19"/>
  <c r="FP23" i="19" s="1"/>
  <c r="FT23" i="19" s="1"/>
  <c r="FW17" i="19" s="1"/>
  <c r="BG17" i="3"/>
  <c r="BE10" i="3"/>
  <c r="U17" i="3"/>
  <c r="DP15" i="7"/>
  <c r="DO15" i="7"/>
  <c r="DN6" i="7"/>
  <c r="DN7" i="7" s="1"/>
  <c r="DN5" i="7"/>
  <c r="DN2" i="7"/>
  <c r="DN8" i="7"/>
  <c r="DN3" i="7"/>
  <c r="DN1" i="7"/>
  <c r="CO17" i="3"/>
  <c r="CN17" i="3"/>
  <c r="CM8" i="3"/>
  <c r="CM6" i="3"/>
  <c r="CM7" i="3" s="1"/>
  <c r="CM3" i="3"/>
  <c r="CM1" i="3"/>
  <c r="DP10" i="19"/>
  <c r="DO10" i="19"/>
  <c r="D27" i="32"/>
  <c r="E27" i="32" s="1"/>
  <c r="DU10" i="19"/>
  <c r="DV10" i="19"/>
  <c r="FC17" i="3"/>
  <c r="FB17" i="3"/>
  <c r="FA5" i="3"/>
  <c r="FA3" i="3"/>
  <c r="FA1" i="3"/>
  <c r="FA2" i="3"/>
  <c r="FA6" i="3"/>
  <c r="FA8" i="3"/>
  <c r="D35" i="32"/>
  <c r="E35" i="32" s="1"/>
  <c r="FC22" i="19"/>
  <c r="FB22" i="19"/>
  <c r="D20" i="32"/>
  <c r="E20" i="32" s="1"/>
  <c r="D57" i="32"/>
  <c r="E57" i="32" s="1"/>
  <c r="D24" i="32"/>
  <c r="E24" i="32" s="1"/>
  <c r="DB14" i="3"/>
  <c r="DD17" i="3"/>
  <c r="BW10" i="19"/>
  <c r="BV10" i="19"/>
  <c r="BW17" i="3"/>
  <c r="BV17" i="3"/>
  <c r="BU3" i="3"/>
  <c r="B81" i="8" s="1"/>
  <c r="D81" i="8" s="1"/>
  <c r="B81" i="24" s="1"/>
  <c r="BU2" i="3"/>
  <c r="BU8" i="3"/>
  <c r="BU5" i="3"/>
  <c r="B97" i="8" s="1"/>
  <c r="BU1" i="3"/>
  <c r="EQ17" i="3"/>
  <c r="EP17" i="3"/>
  <c r="EO6" i="3"/>
  <c r="EO7" i="3" s="1"/>
  <c r="EO5" i="3"/>
  <c r="EO8" i="3"/>
  <c r="EO3" i="3"/>
  <c r="EO1" i="3"/>
  <c r="EO2" i="3"/>
  <c r="D31" i="32"/>
  <c r="E31" i="32" s="1"/>
  <c r="CB20" i="19"/>
  <c r="CC20" i="19"/>
  <c r="D51" i="32"/>
  <c r="E51" i="32" s="1"/>
  <c r="CQ17" i="3"/>
  <c r="CP5" i="3"/>
  <c r="CP2" i="3"/>
  <c r="CP1" i="3"/>
  <c r="CR17" i="3"/>
  <c r="CP8" i="3"/>
  <c r="CP6" i="3"/>
  <c r="CP3" i="3"/>
  <c r="BR8" i="7"/>
  <c r="BT15" i="7"/>
  <c r="BR2" i="7"/>
  <c r="BR1" i="7"/>
  <c r="BS15" i="7"/>
  <c r="BR3" i="7"/>
  <c r="BR5" i="7"/>
  <c r="C96" i="8" s="1"/>
  <c r="BR6" i="7"/>
  <c r="BR7" i="7" s="1"/>
  <c r="DT6" i="7"/>
  <c r="DT7" i="7" s="1"/>
  <c r="DT2" i="7"/>
  <c r="DT3" i="7"/>
  <c r="DT8" i="7"/>
  <c r="DV15" i="7"/>
  <c r="DT1" i="7"/>
  <c r="DU15" i="7"/>
  <c r="DT5" i="7"/>
  <c r="D23" i="32"/>
  <c r="E23" i="32" s="1"/>
  <c r="DT20" i="19"/>
  <c r="DS20" i="19"/>
  <c r="DR17" i="19"/>
  <c r="D53" i="32"/>
  <c r="E53" i="32" s="1"/>
  <c r="D49" i="32"/>
  <c r="E49" i="32" s="1"/>
  <c r="D38" i="32"/>
  <c r="E38" i="32" s="1"/>
  <c r="BX8" i="3"/>
  <c r="BY17" i="3"/>
  <c r="BZ17" i="3"/>
  <c r="BX3" i="3"/>
  <c r="B82" i="8" s="1"/>
  <c r="D82" i="8" s="1"/>
  <c r="B82" i="24" s="1"/>
  <c r="BX2" i="3"/>
  <c r="BX5" i="3"/>
  <c r="B98" i="8" s="1"/>
  <c r="BX1" i="3"/>
  <c r="DZ17" i="3"/>
  <c r="DX1" i="3"/>
  <c r="DX2" i="3"/>
  <c r="DX5" i="3"/>
  <c r="DX3" i="3"/>
  <c r="FF17" i="3"/>
  <c r="FE17" i="3"/>
  <c r="FD8" i="3"/>
  <c r="FD6" i="3"/>
  <c r="FD1" i="3"/>
  <c r="FD5" i="3"/>
  <c r="FD3" i="3"/>
  <c r="FD2" i="3"/>
  <c r="D36" i="32"/>
  <c r="E36" i="32" s="1"/>
  <c r="DH8" i="3"/>
  <c r="DJ17" i="3"/>
  <c r="DH5" i="3"/>
  <c r="DH3" i="3"/>
  <c r="DH6" i="3"/>
  <c r="DH7" i="3" s="1"/>
  <c r="DH2" i="3"/>
  <c r="DH1" i="3"/>
  <c r="CI10" i="19"/>
  <c r="CH10" i="19"/>
  <c r="CP11" i="7"/>
  <c r="CR15" i="7"/>
  <c r="C37" i="38"/>
  <c r="AE28" i="38"/>
  <c r="AK39" i="38"/>
  <c r="AK49" i="38" s="1"/>
  <c r="Q37" i="38"/>
  <c r="P15" i="25"/>
  <c r="P18" i="25" s="1"/>
  <c r="P26" i="25" s="1"/>
  <c r="D60" i="32"/>
  <c r="E60" i="32" s="1"/>
  <c r="D50" i="32"/>
  <c r="E50" i="32" s="1"/>
  <c r="D71" i="32"/>
  <c r="E71" i="32" s="1"/>
  <c r="D25" i="32"/>
  <c r="E25" i="32" s="1"/>
  <c r="D47" i="32"/>
  <c r="E47" i="32" s="1"/>
  <c r="DN23" i="19"/>
  <c r="DQ23" i="19"/>
  <c r="D34" i="32"/>
  <c r="E34" i="32" s="1"/>
  <c r="DS10" i="19"/>
  <c r="DR10" i="19"/>
  <c r="ET17" i="3"/>
  <c r="ES17" i="3"/>
  <c r="ER5" i="3"/>
  <c r="ER8" i="3"/>
  <c r="ER3" i="3"/>
  <c r="ER6" i="3"/>
  <c r="ER7" i="3" s="1"/>
  <c r="ER1" i="3"/>
  <c r="ER2" i="3"/>
  <c r="D32" i="32"/>
  <c r="E32" i="32" s="1"/>
  <c r="CX17" i="3"/>
  <c r="CW10" i="3"/>
  <c r="BX3" i="7"/>
  <c r="C82" i="8" s="1"/>
  <c r="BZ15" i="7"/>
  <c r="BX5" i="7"/>
  <c r="C98" i="8" s="1"/>
  <c r="BY15" i="7"/>
  <c r="BX6" i="7"/>
  <c r="BX7" i="7" s="1"/>
  <c r="BX8" i="7"/>
  <c r="BX2" i="7"/>
  <c r="BX1" i="7"/>
  <c r="DG6" i="7"/>
  <c r="DG7" i="7" s="1"/>
  <c r="M25" i="25"/>
  <c r="D14" i="6" s="1"/>
  <c r="D14" i="47" s="1"/>
  <c r="EU6" i="3"/>
  <c r="EU8" i="3"/>
  <c r="EU5" i="3"/>
  <c r="EU3" i="3"/>
  <c r="EU1" i="3"/>
  <c r="EU2" i="3"/>
  <c r="D48" i="32"/>
  <c r="E48" i="32" s="1"/>
  <c r="EK23" i="19"/>
  <c r="EH23" i="19"/>
  <c r="CU23" i="19" s="1"/>
  <c r="D15" i="32"/>
  <c r="E15" i="32" s="1"/>
  <c r="D7" i="32"/>
  <c r="E7" i="32" s="1"/>
  <c r="D12" i="32"/>
  <c r="E12" i="32" s="1"/>
  <c r="D17" i="32"/>
  <c r="E17" i="32" s="1"/>
  <c r="D9" i="32"/>
  <c r="E9" i="32" s="1"/>
  <c r="D14" i="32"/>
  <c r="E14" i="32" s="1"/>
  <c r="D6" i="32"/>
  <c r="E6" i="32" s="1"/>
  <c r="E4" i="32" s="1"/>
  <c r="D11" i="32"/>
  <c r="E11" i="32" s="1"/>
  <c r="D16" i="32"/>
  <c r="E16" i="32" s="1"/>
  <c r="D8" i="32"/>
  <c r="E8" i="32" s="1"/>
  <c r="D13" i="32"/>
  <c r="E13" i="32" s="1"/>
  <c r="D10" i="32"/>
  <c r="E10" i="32" s="1"/>
  <c r="D45" i="32"/>
  <c r="E45" i="32" s="1"/>
  <c r="D72" i="32"/>
  <c r="E72" i="32" s="1"/>
  <c r="D30" i="32"/>
  <c r="E30" i="32" s="1"/>
  <c r="CX1" i="7"/>
  <c r="E24" i="6" s="1"/>
  <c r="G24" i="6" s="1"/>
  <c r="CX3" i="7"/>
  <c r="W15" i="25"/>
  <c r="W18" i="25" s="1"/>
  <c r="EK17" i="3"/>
  <c r="EG10" i="3"/>
  <c r="EI1" i="3"/>
  <c r="EI5" i="3"/>
  <c r="B102" i="8" s="1"/>
  <c r="D102" i="8" s="1"/>
  <c r="B102" i="24" s="1"/>
  <c r="EI6" i="3"/>
  <c r="EI7" i="3" s="1"/>
  <c r="EI8" i="3"/>
  <c r="EI3" i="3"/>
  <c r="B86" i="8" s="1"/>
  <c r="D86" i="8" s="1"/>
  <c r="B86" i="24" s="1"/>
  <c r="CJ5" i="3"/>
  <c r="B101" i="8" s="1"/>
  <c r="D101" i="8" s="1"/>
  <c r="B101" i="24" s="1"/>
  <c r="CJ8" i="3"/>
  <c r="CJ3" i="3"/>
  <c r="B85" i="8" s="1"/>
  <c r="D85" i="8" s="1"/>
  <c r="B85" i="24" s="1"/>
  <c r="CJ2" i="3"/>
  <c r="CJ1" i="3"/>
  <c r="U10" i="19"/>
  <c r="FV10" i="19" s="1"/>
  <c r="FW10" i="19" s="1"/>
  <c r="BG10" i="19"/>
  <c r="BG15" i="7"/>
  <c r="U15" i="7"/>
  <c r="CT10" i="3"/>
  <c r="DE17" i="3"/>
  <c r="EY17" i="3"/>
  <c r="EX2" i="3"/>
  <c r="CM6" i="7"/>
  <c r="CM7" i="7" s="1"/>
  <c r="CM2" i="7"/>
  <c r="CM8" i="7"/>
  <c r="CM3" i="7"/>
  <c r="CM1" i="7"/>
  <c r="CO15" i="7"/>
  <c r="CM5" i="7"/>
  <c r="AF25" i="38"/>
  <c r="AE25" i="38"/>
  <c r="AM15" i="25"/>
  <c r="AM18" i="25" s="1"/>
  <c r="AM26" i="25" s="1"/>
  <c r="D56" i="32"/>
  <c r="E56" i="32" s="1"/>
  <c r="D46" i="32"/>
  <c r="E46" i="32" s="1"/>
  <c r="BT20" i="19"/>
  <c r="BS20" i="19"/>
  <c r="GJ20" i="19"/>
  <c r="D63" i="32"/>
  <c r="E63" i="32" s="1"/>
  <c r="D43" i="32"/>
  <c r="E43" i="32" s="1"/>
  <c r="D70" i="32"/>
  <c r="E70" i="32" s="1"/>
  <c r="CO20" i="19"/>
  <c r="CN20" i="19"/>
  <c r="D21" i="32"/>
  <c r="E21" i="32" s="1"/>
  <c r="CL5" i="7"/>
  <c r="CL2" i="7"/>
  <c r="CL3" i="7"/>
  <c r="BA17" i="3"/>
  <c r="AY5" i="3"/>
  <c r="AY1" i="3"/>
  <c r="AY3" i="3"/>
  <c r="AY2" i="3"/>
  <c r="BY10" i="19"/>
  <c r="BZ10" i="19"/>
  <c r="CC17" i="3"/>
  <c r="CB17" i="3"/>
  <c r="CA5" i="3"/>
  <c r="B99" i="8" s="1"/>
  <c r="CA8" i="3"/>
  <c r="CA1" i="3"/>
  <c r="CA3" i="3"/>
  <c r="B83" i="8" s="1"/>
  <c r="D83" i="8" s="1"/>
  <c r="B83" i="24" s="1"/>
  <c r="CA2" i="3"/>
  <c r="D19" i="32"/>
  <c r="E19" i="32" s="1"/>
  <c r="CD5" i="7"/>
  <c r="C100" i="8" s="1"/>
  <c r="CD6" i="7"/>
  <c r="CD7" i="7" s="1"/>
  <c r="CD8" i="7"/>
  <c r="CD2" i="7"/>
  <c r="CF15" i="7"/>
  <c r="CD1" i="7"/>
  <c r="CE15" i="7"/>
  <c r="CD3" i="7"/>
  <c r="C84" i="8" s="1"/>
  <c r="CI17" i="3"/>
  <c r="CG8" i="3"/>
  <c r="CG5" i="3"/>
  <c r="CG1" i="3"/>
  <c r="CG3" i="3"/>
  <c r="CG2" i="3"/>
  <c r="CH17" i="3"/>
  <c r="EH17" i="3"/>
  <c r="D54" i="32"/>
  <c r="E54" i="32" s="1"/>
  <c r="D44" i="32"/>
  <c r="E44" i="32" s="1"/>
  <c r="EP20" i="19"/>
  <c r="EQ20" i="19"/>
  <c r="D61" i="32"/>
  <c r="E61" i="32" s="1"/>
  <c r="D41" i="32"/>
  <c r="E41" i="32" s="1"/>
  <c r="D68" i="32"/>
  <c r="E68" i="32" s="1"/>
  <c r="BW20" i="19"/>
  <c r="BV20" i="19"/>
  <c r="D33" i="32"/>
  <c r="E33" i="32" s="1"/>
  <c r="CF17" i="3"/>
  <c r="CE17" i="3"/>
  <c r="CD5" i="3"/>
  <c r="B100" i="8" s="1"/>
  <c r="CD8" i="3"/>
  <c r="CD1" i="3"/>
  <c r="CD3" i="3"/>
  <c r="B84" i="8" s="1"/>
  <c r="D84" i="8" s="1"/>
  <c r="B84" i="24" s="1"/>
  <c r="CD2" i="3"/>
  <c r="D64" i="32"/>
  <c r="E64" i="32" s="1"/>
  <c r="CF10" i="19"/>
  <c r="CE10" i="19"/>
  <c r="D39" i="32"/>
  <c r="E39" i="32" s="1"/>
  <c r="GJ17" i="3"/>
  <c r="E24" i="38"/>
  <c r="D24" i="38" s="1"/>
  <c r="AF26" i="38"/>
  <c r="AE26" i="38"/>
  <c r="BF10" i="19"/>
  <c r="DM10" i="19"/>
  <c r="DC10" i="19"/>
  <c r="CT10" i="19"/>
  <c r="DL10" i="19"/>
  <c r="CK10" i="19"/>
  <c r="BA10" i="19"/>
  <c r="CZ10" i="19"/>
  <c r="CQ10" i="19"/>
  <c r="AZ10" i="19"/>
  <c r="DX10" i="19"/>
  <c r="AF10" i="19"/>
  <c r="CN10" i="19"/>
  <c r="DF20" i="19"/>
  <c r="EE20" i="19"/>
  <c r="BF20" i="19"/>
  <c r="DI20" i="19"/>
  <c r="DL20" i="19" s="1"/>
  <c r="CL8" i="3"/>
  <c r="AG9" i="25"/>
  <c r="CL6" i="3"/>
  <c r="CL7" i="3" s="1"/>
  <c r="CL5" i="3"/>
  <c r="CL2" i="3"/>
  <c r="CL1" i="3"/>
  <c r="F34" i="6" s="1"/>
  <c r="CL3" i="3"/>
  <c r="DJ8" i="7"/>
  <c r="DJ6" i="7"/>
  <c r="DJ7" i="7" s="1"/>
  <c r="DJ5" i="7"/>
  <c r="DJ1" i="7"/>
  <c r="DJ3" i="7"/>
  <c r="C14" i="8" s="1"/>
  <c r="D14" i="8" s="1"/>
  <c r="B14" i="24" s="1"/>
  <c r="DJ2" i="7"/>
  <c r="AJ15" i="25"/>
  <c r="AI17" i="3"/>
  <c r="AK17" i="3"/>
  <c r="Z17" i="3"/>
  <c r="AI15" i="7"/>
  <c r="Z15" i="7"/>
  <c r="AK15" i="7"/>
  <c r="AK10" i="19"/>
  <c r="AI10" i="19"/>
  <c r="Z10" i="19"/>
  <c r="CY15" i="7"/>
  <c r="DA15" i="7" s="1"/>
  <c r="DD15" i="7"/>
  <c r="BA13" i="19"/>
  <c r="AX13" i="19" s="1"/>
  <c r="DM13" i="19"/>
  <c r="EW22" i="19"/>
  <c r="BS38" i="19"/>
  <c r="C45" i="50"/>
  <c r="E45" i="50" s="1"/>
  <c r="AS15" i="40"/>
  <c r="AS18" i="40" s="1"/>
  <c r="AS26" i="40" s="1"/>
  <c r="G51" i="6"/>
  <c r="L130" i="38"/>
  <c r="CR23" i="19"/>
  <c r="GB23" i="19" s="1"/>
  <c r="CR22" i="19"/>
  <c r="A19" i="35"/>
  <c r="C19" i="35" s="1"/>
  <c r="A13" i="35"/>
  <c r="C13" i="35" s="1"/>
  <c r="A6" i="35"/>
  <c r="C6" i="35" s="1"/>
  <c r="A20" i="35"/>
  <c r="A14" i="35"/>
  <c r="C14" i="35" s="1"/>
  <c r="A2" i="35"/>
  <c r="A17" i="35"/>
  <c r="C17" i="35" s="1"/>
  <c r="A9" i="35"/>
  <c r="C9" i="35" s="1"/>
  <c r="A4" i="35"/>
  <c r="C4" i="35" s="1"/>
  <c r="A10" i="35"/>
  <c r="C10" i="35" s="1"/>
  <c r="A7" i="35"/>
  <c r="C7" i="35" s="1"/>
  <c r="A15" i="35"/>
  <c r="C15" i="35" s="1"/>
  <c r="A18" i="35"/>
  <c r="C18" i="35" s="1"/>
  <c r="A5" i="35"/>
  <c r="C5" i="35" s="1"/>
  <c r="C3" i="35"/>
  <c r="A11" i="35"/>
  <c r="C11" i="35" s="1"/>
  <c r="A8" i="35"/>
  <c r="C8" i="35" s="1"/>
  <c r="A16" i="35"/>
  <c r="C16" i="35" s="1"/>
  <c r="A12" i="35"/>
  <c r="C12" i="35" s="1"/>
  <c r="FM23" i="19"/>
  <c r="H37" i="41"/>
  <c r="G2" i="32"/>
  <c r="G3" i="32" s="1"/>
  <c r="AW22" i="19"/>
  <c r="BB22" i="19" s="1"/>
  <c r="M115" i="38"/>
  <c r="M100" i="38"/>
  <c r="M91" i="38"/>
  <c r="M80" i="38"/>
  <c r="M65" i="38"/>
  <c r="M63" i="38"/>
  <c r="M58" i="38"/>
  <c r="M52" i="38"/>
  <c r="T45" i="38"/>
  <c r="M42" i="38"/>
  <c r="M29" i="38"/>
  <c r="M18" i="38"/>
  <c r="M121" i="38"/>
  <c r="M107" i="38"/>
  <c r="M97" i="38"/>
  <c r="M70" i="38"/>
  <c r="M68" i="38"/>
  <c r="M59" i="38"/>
  <c r="M53" i="38"/>
  <c r="T44" i="38"/>
  <c r="M32" i="38"/>
  <c r="M26" i="38"/>
  <c r="M23" i="38"/>
  <c r="M19" i="38"/>
  <c r="M117" i="38"/>
  <c r="M110" i="38"/>
  <c r="M102" i="38"/>
  <c r="M93" i="38"/>
  <c r="M77" i="38"/>
  <c r="M75" i="38"/>
  <c r="M60" i="38"/>
  <c r="M54" i="38"/>
  <c r="T46" i="38"/>
  <c r="M24" i="38"/>
  <c r="M119" i="38"/>
  <c r="M105" i="38"/>
  <c r="M103" i="38"/>
  <c r="M95" i="38"/>
  <c r="M114" i="38"/>
  <c r="M99" i="38"/>
  <c r="M61" i="38"/>
  <c r="M44" i="38"/>
  <c r="T42" i="38"/>
  <c r="M27" i="38"/>
  <c r="M25" i="38"/>
  <c r="M120" i="38"/>
  <c r="M104" i="38"/>
  <c r="M74" i="38"/>
  <c r="M56" i="38"/>
  <c r="M43" i="38"/>
  <c r="M33" i="38"/>
  <c r="M92" i="38"/>
  <c r="M81" i="38"/>
  <c r="M67" i="38"/>
  <c r="M62" i="38"/>
  <c r="M57" i="38"/>
  <c r="M45" i="38"/>
  <c r="M31" i="38"/>
  <c r="M22" i="38"/>
  <c r="M111" i="38"/>
  <c r="M106" i="38"/>
  <c r="M98" i="38"/>
  <c r="M64" i="38"/>
  <c r="M51" i="38"/>
  <c r="M49" i="38"/>
  <c r="T47" i="38"/>
  <c r="M46" i="38"/>
  <c r="M35" i="38"/>
  <c r="M90" i="38"/>
  <c r="M79" i="38"/>
  <c r="M76" i="38"/>
  <c r="M69" i="38"/>
  <c r="M28" i="38"/>
  <c r="M20" i="38"/>
  <c r="M96" i="38"/>
  <c r="M66" i="38"/>
  <c r="M36" i="38"/>
  <c r="M116" i="38"/>
  <c r="M101" i="38"/>
  <c r="M47" i="38"/>
  <c r="T43" i="38"/>
  <c r="M122" i="38"/>
  <c r="M89" i="38"/>
  <c r="M78" i="38"/>
  <c r="M71" i="38"/>
  <c r="M55" i="38"/>
  <c r="M50" i="38"/>
  <c r="M48" i="38"/>
  <c r="M34" i="38"/>
  <c r="M21" i="38"/>
  <c r="BP22" i="19"/>
  <c r="BP12" i="19"/>
  <c r="D6" i="38"/>
  <c r="BH12" i="40"/>
  <c r="BH27" i="40" s="1"/>
  <c r="BH8" i="40"/>
  <c r="G10" i="35" s="1"/>
  <c r="BI23" i="19"/>
  <c r="GO23" i="19"/>
  <c r="F22" i="32"/>
  <c r="F43" i="32"/>
  <c r="F25" i="32"/>
  <c r="F62" i="32"/>
  <c r="F46" i="32"/>
  <c r="F10" i="32"/>
  <c r="I38" i="41"/>
  <c r="BF12" i="40"/>
  <c r="BF27" i="40" s="1"/>
  <c r="BF8" i="40"/>
  <c r="G7" i="35" s="1"/>
  <c r="BF18" i="40"/>
  <c r="BF26" i="40" s="1"/>
  <c r="BF28" i="40" s="1"/>
  <c r="BF14" i="40"/>
  <c r="G25" i="35" s="1"/>
  <c r="H2" i="32"/>
  <c r="H3" i="32" s="1"/>
  <c r="BQ22" i="19"/>
  <c r="AX21" i="19"/>
  <c r="BQ12" i="19"/>
  <c r="BC11" i="19"/>
  <c r="BC12" i="19"/>
  <c r="BC21" i="19"/>
  <c r="BC22" i="19"/>
  <c r="N121" i="38"/>
  <c r="N107" i="38"/>
  <c r="N97" i="38"/>
  <c r="N70" i="38"/>
  <c r="N68" i="38"/>
  <c r="N59" i="38"/>
  <c r="N53" i="38"/>
  <c r="U44" i="38"/>
  <c r="N32" i="38"/>
  <c r="N26" i="38"/>
  <c r="N23" i="38"/>
  <c r="N19" i="38"/>
  <c r="N117" i="38"/>
  <c r="N110" i="38"/>
  <c r="N102" i="38"/>
  <c r="N93" i="38"/>
  <c r="N77" i="38"/>
  <c r="EC22" i="19" s="1"/>
  <c r="N75" i="38"/>
  <c r="N60" i="38"/>
  <c r="N54" i="38"/>
  <c r="U46" i="38"/>
  <c r="N24" i="38"/>
  <c r="N114" i="38"/>
  <c r="N99" i="38"/>
  <c r="N90" i="38"/>
  <c r="N79" i="38"/>
  <c r="N66" i="38"/>
  <c r="N55" i="38"/>
  <c r="N50" i="38"/>
  <c r="U47" i="38"/>
  <c r="N45" i="38"/>
  <c r="U43" i="38"/>
  <c r="N35" i="38"/>
  <c r="N33" i="38"/>
  <c r="N20" i="38"/>
  <c r="N122" i="38"/>
  <c r="N115" i="38"/>
  <c r="N100" i="38"/>
  <c r="N91" i="38"/>
  <c r="N80" i="38"/>
  <c r="N65" i="38"/>
  <c r="N63" i="38"/>
  <c r="N120" i="38"/>
  <c r="N104" i="38"/>
  <c r="N74" i="38"/>
  <c r="N56" i="38"/>
  <c r="N43" i="38"/>
  <c r="N92" i="38"/>
  <c r="N81" i="38"/>
  <c r="N67" i="38"/>
  <c r="N62" i="38"/>
  <c r="N57" i="38"/>
  <c r="U45" i="38"/>
  <c r="N31" i="38"/>
  <c r="N22" i="38"/>
  <c r="N111" i="38"/>
  <c r="N106" i="38"/>
  <c r="N98" i="38"/>
  <c r="N64" i="38"/>
  <c r="N51" i="38"/>
  <c r="N49" i="38"/>
  <c r="N46" i="38"/>
  <c r="N42" i="38"/>
  <c r="N119" i="38"/>
  <c r="N103" i="38"/>
  <c r="N76" i="38"/>
  <c r="N69" i="38"/>
  <c r="N28" i="38"/>
  <c r="N96" i="38"/>
  <c r="N37" i="38"/>
  <c r="N36" i="38"/>
  <c r="N116" i="38"/>
  <c r="N105" i="38"/>
  <c r="N101" i="38"/>
  <c r="CM24" i="19" s="1"/>
  <c r="N47" i="38"/>
  <c r="N18" i="38"/>
  <c r="N89" i="38"/>
  <c r="N78" i="38"/>
  <c r="N71" i="38"/>
  <c r="N58" i="38"/>
  <c r="N52" i="38"/>
  <c r="N48" i="38"/>
  <c r="N34" i="38"/>
  <c r="N21" i="38"/>
  <c r="N95" i="38"/>
  <c r="N61" i="38"/>
  <c r="N44" i="38"/>
  <c r="U42" i="38"/>
  <c r="N29" i="38"/>
  <c r="N27" i="38"/>
  <c r="N25" i="38"/>
  <c r="BI13" i="19"/>
  <c r="FQ13" i="19"/>
  <c r="EW20" i="19"/>
  <c r="EW18" i="19"/>
  <c r="BA11" i="19"/>
  <c r="AX11" i="19" s="1"/>
  <c r="BA12" i="19"/>
  <c r="AX12" i="19" s="1"/>
  <c r="DM12" i="19"/>
  <c r="EW17" i="19"/>
  <c r="EW15" i="3"/>
  <c r="EW14" i="3"/>
  <c r="EW17" i="3"/>
  <c r="A41" i="35"/>
  <c r="A29" i="35"/>
  <c r="C29" i="35" s="1"/>
  <c r="A34" i="35"/>
  <c r="C34" i="35" s="1"/>
  <c r="A24" i="35"/>
  <c r="C24" i="35" s="1"/>
  <c r="C22" i="35"/>
  <c r="A37" i="35"/>
  <c r="C37" i="35" s="1"/>
  <c r="A38" i="35"/>
  <c r="A30" i="35"/>
  <c r="C30" i="35" s="1"/>
  <c r="A27" i="35"/>
  <c r="C27" i="35" s="1"/>
  <c r="A35" i="35"/>
  <c r="C35" i="35" s="1"/>
  <c r="A31" i="35"/>
  <c r="C31" i="35" s="1"/>
  <c r="A25" i="35"/>
  <c r="C25" i="35" s="1"/>
  <c r="A32" i="35"/>
  <c r="C32" i="35" s="1"/>
  <c r="A21" i="35"/>
  <c r="A33" i="35"/>
  <c r="C33" i="35" s="1"/>
  <c r="A23" i="35"/>
  <c r="C23" i="35" s="1"/>
  <c r="A36" i="35"/>
  <c r="C36" i="35" s="1"/>
  <c r="A26" i="35"/>
  <c r="C26" i="35" s="1"/>
  <c r="A137" i="43"/>
  <c r="A136" i="43"/>
  <c r="F56" i="35" l="1"/>
  <c r="G48" i="44" s="1"/>
  <c r="I85" i="48" s="1"/>
  <c r="BD15" i="7"/>
  <c r="U4" i="3"/>
  <c r="N136" i="38" s="1"/>
  <c r="N138" i="38" s="1"/>
  <c r="BD17" i="3"/>
  <c r="AX17" i="3"/>
  <c r="FU18" i="19"/>
  <c r="A39" i="35"/>
  <c r="EO13" i="19"/>
  <c r="AP28" i="25"/>
  <c r="H44" i="6" s="1"/>
  <c r="G44" i="6"/>
  <c r="D88" i="8"/>
  <c r="B88" i="24" s="1"/>
  <c r="B3" i="24"/>
  <c r="BS22" i="40"/>
  <c r="C88" i="8"/>
  <c r="DM15" i="7"/>
  <c r="DM8" i="7" s="1"/>
  <c r="EB20" i="19"/>
  <c r="AD50" i="38"/>
  <c r="EJ20" i="19"/>
  <c r="F6" i="32"/>
  <c r="CW20" i="19"/>
  <c r="AZ20" i="19"/>
  <c r="AW20" i="19" s="1"/>
  <c r="H7" i="40"/>
  <c r="BC7" i="40" s="1"/>
  <c r="G60" i="35" s="1"/>
  <c r="H52" i="44" s="1"/>
  <c r="H47" i="48" s="1"/>
  <c r="N47" i="48" s="1"/>
  <c r="DC20" i="19"/>
  <c r="DP20" i="19"/>
  <c r="AF20" i="19"/>
  <c r="AS20" i="19" s="1"/>
  <c r="AR20" i="19" s="1"/>
  <c r="DY20" i="19"/>
  <c r="DV20" i="19"/>
  <c r="EG20" i="19"/>
  <c r="CT20" i="19"/>
  <c r="BN20" i="19"/>
  <c r="CW17" i="3"/>
  <c r="CW2" i="3" s="1"/>
  <c r="DI17" i="3"/>
  <c r="DI6" i="3" s="1"/>
  <c r="DI7" i="3" s="1"/>
  <c r="AX6" i="25"/>
  <c r="BJ6" i="25" s="1"/>
  <c r="FR15" i="3"/>
  <c r="BA7" i="40" s="1"/>
  <c r="BN7" i="40" s="1"/>
  <c r="G62" i="35" s="1"/>
  <c r="H54" i="44" s="1"/>
  <c r="H49" i="48" s="1"/>
  <c r="C46" i="49" s="1"/>
  <c r="E46" i="49" s="1"/>
  <c r="E25" i="38"/>
  <c r="D25" i="38" s="1"/>
  <c r="N91" i="48"/>
  <c r="DV17" i="3"/>
  <c r="DV3" i="3" s="1"/>
  <c r="CZ17" i="3"/>
  <c r="CZ5" i="3" s="1"/>
  <c r="AZ17" i="3"/>
  <c r="AZ5" i="3" s="1"/>
  <c r="BN17" i="3"/>
  <c r="BN1" i="3" s="1"/>
  <c r="F10" i="41" s="1"/>
  <c r="BF17" i="3"/>
  <c r="BF2" i="3" s="1"/>
  <c r="EE17" i="3"/>
  <c r="EE8" i="3" s="1"/>
  <c r="EB17" i="3"/>
  <c r="EB6" i="3" s="1"/>
  <c r="EB7" i="3" s="1"/>
  <c r="DP17" i="3"/>
  <c r="DP6" i="3" s="1"/>
  <c r="DP7" i="3" s="1"/>
  <c r="EJ17" i="3"/>
  <c r="EJ1" i="3" s="1"/>
  <c r="F46" i="41" s="1"/>
  <c r="DY17" i="3"/>
  <c r="Y9" i="40" s="1"/>
  <c r="Y12" i="40" s="1"/>
  <c r="Y27" i="40" s="1"/>
  <c r="DF17" i="3"/>
  <c r="DF2" i="3" s="1"/>
  <c r="DC17" i="3"/>
  <c r="DC1" i="3" s="1"/>
  <c r="F18" i="41" s="1"/>
  <c r="EG17" i="3"/>
  <c r="EG3" i="3" s="1"/>
  <c r="FU17" i="19"/>
  <c r="DL15" i="7"/>
  <c r="DL1" i="7" s="1"/>
  <c r="AZ15" i="7"/>
  <c r="AW15" i="7" s="1"/>
  <c r="AW5" i="7" s="1"/>
  <c r="CT15" i="7"/>
  <c r="CT3" i="7" s="1"/>
  <c r="C25" i="8" s="1"/>
  <c r="CQ15" i="7"/>
  <c r="CQ2" i="7" s="1"/>
  <c r="DC15" i="7"/>
  <c r="DC5" i="7" s="1"/>
  <c r="BF15" i="7"/>
  <c r="BF3" i="7" s="1"/>
  <c r="AF15" i="7"/>
  <c r="AG15" i="7" s="1"/>
  <c r="BA15" i="7"/>
  <c r="BA8" i="7" s="1"/>
  <c r="CN15" i="7"/>
  <c r="CN3" i="7" s="1"/>
  <c r="CK15" i="7"/>
  <c r="CK6" i="7" s="1"/>
  <c r="CK7" i="7" s="1"/>
  <c r="F60" i="32"/>
  <c r="F47" i="32"/>
  <c r="F65" i="32"/>
  <c r="F66" i="32" s="1"/>
  <c r="F67" i="32" s="1"/>
  <c r="F68" i="32" s="1"/>
  <c r="F69" i="32" s="1"/>
  <c r="F70" i="32" s="1"/>
  <c r="F71" i="32" s="1"/>
  <c r="F72" i="32" s="1"/>
  <c r="F73" i="32" s="1"/>
  <c r="F74" i="32" s="1"/>
  <c r="F75" i="32" s="1"/>
  <c r="F76" i="32" s="1"/>
  <c r="F77" i="32" s="1"/>
  <c r="F9" i="32"/>
  <c r="F19" i="32"/>
  <c r="C45" i="49"/>
  <c r="E45" i="49" s="1"/>
  <c r="BC7" i="25"/>
  <c r="N89" i="48"/>
  <c r="BS7" i="25"/>
  <c r="BF5" i="25"/>
  <c r="I9" i="6" s="1"/>
  <c r="C44" i="49"/>
  <c r="E44" i="49" s="1"/>
  <c r="AJ50" i="38"/>
  <c r="U9" i="40"/>
  <c r="U12" i="40" s="1"/>
  <c r="U27" i="40" s="1"/>
  <c r="H30" i="25"/>
  <c r="CK6" i="3"/>
  <c r="CK7" i="3" s="1"/>
  <c r="CH5" i="7"/>
  <c r="CH6" i="7"/>
  <c r="CH7" i="7" s="1"/>
  <c r="G9" i="6"/>
  <c r="I26" i="6"/>
  <c r="K28" i="40"/>
  <c r="K29" i="40" s="1"/>
  <c r="BB6" i="25"/>
  <c r="BB5" i="25" s="1"/>
  <c r="V9" i="25"/>
  <c r="V12" i="25" s="1"/>
  <c r="V27" i="25" s="1"/>
  <c r="DT1" i="3"/>
  <c r="F23" i="6" s="1"/>
  <c r="DT5" i="3"/>
  <c r="F55" i="32"/>
  <c r="DO10" i="3"/>
  <c r="F8" i="32"/>
  <c r="AC50" i="38"/>
  <c r="BT2" i="3"/>
  <c r="DT6" i="3"/>
  <c r="DT7" i="3" s="1"/>
  <c r="DT2" i="3"/>
  <c r="DT3" i="3"/>
  <c r="B26" i="8" s="1"/>
  <c r="F28" i="32"/>
  <c r="EA2" i="7"/>
  <c r="U4" i="7"/>
  <c r="M136" i="38" s="1"/>
  <c r="M138" i="38" s="1"/>
  <c r="K138" i="38" s="1"/>
  <c r="FV15" i="7"/>
  <c r="AA9" i="25"/>
  <c r="AA12" i="25" s="1"/>
  <c r="AA27" i="25" s="1"/>
  <c r="I28" i="6" s="1"/>
  <c r="BT5" i="3"/>
  <c r="BT3" i="3"/>
  <c r="BT8" i="3"/>
  <c r="BT6" i="3"/>
  <c r="BT7" i="3" s="1"/>
  <c r="F29" i="47"/>
  <c r="F39" i="47" s="1"/>
  <c r="G64" i="47"/>
  <c r="G63" i="47"/>
  <c r="G60" i="6"/>
  <c r="F61" i="44" s="1"/>
  <c r="G61" i="6"/>
  <c r="FJ14" i="3"/>
  <c r="FR14" i="3"/>
  <c r="BN9" i="3"/>
  <c r="C9" i="41" s="1"/>
  <c r="H6" i="40"/>
  <c r="EA5" i="7"/>
  <c r="F36" i="32"/>
  <c r="AV29" i="40"/>
  <c r="H51" i="41"/>
  <c r="F14" i="32"/>
  <c r="F7" i="32"/>
  <c r="G53" i="47"/>
  <c r="AT9" i="25"/>
  <c r="AT12" i="25" s="1"/>
  <c r="AT27" i="25" s="1"/>
  <c r="EZ1" i="3"/>
  <c r="F48" i="6" s="1"/>
  <c r="BS5" i="3"/>
  <c r="EG3" i="7"/>
  <c r="C53" i="8" s="1"/>
  <c r="Z9" i="40"/>
  <c r="Z12" i="40" s="1"/>
  <c r="Z27" i="40" s="1"/>
  <c r="BS2" i="3"/>
  <c r="BS8" i="3"/>
  <c r="BS3" i="3"/>
  <c r="BS6" i="3"/>
  <c r="BS7" i="3" s="1"/>
  <c r="EG2" i="7"/>
  <c r="DS2" i="3"/>
  <c r="DS1" i="3"/>
  <c r="F23" i="41" s="1"/>
  <c r="DS5" i="3"/>
  <c r="EG5" i="7"/>
  <c r="AU15" i="40"/>
  <c r="AU18" i="40" s="1"/>
  <c r="AU26" i="40" s="1"/>
  <c r="DS8" i="3"/>
  <c r="EG1" i="7"/>
  <c r="EG6" i="7"/>
  <c r="EG7" i="7" s="1"/>
  <c r="DS6" i="3"/>
  <c r="DS7" i="3" s="1"/>
  <c r="AU25" i="40"/>
  <c r="D50" i="41" s="1"/>
  <c r="D52" i="47" s="1"/>
  <c r="CK3" i="3"/>
  <c r="B43" i="8" s="1"/>
  <c r="D43" i="8" s="1"/>
  <c r="B43" i="24" s="1"/>
  <c r="CW3" i="7"/>
  <c r="C27" i="8" s="1"/>
  <c r="D27" i="8" s="1"/>
  <c r="B27" i="24" s="1"/>
  <c r="N137" i="38"/>
  <c r="N139" i="38" s="1"/>
  <c r="EE5" i="7"/>
  <c r="B32" i="44"/>
  <c r="D32" i="44" s="1"/>
  <c r="D31" i="44"/>
  <c r="H51" i="6"/>
  <c r="EZ8" i="3"/>
  <c r="EZ2" i="3"/>
  <c r="EZ3" i="3"/>
  <c r="EZ6" i="3"/>
  <c r="EZ7" i="3" s="1"/>
  <c r="AH15" i="40"/>
  <c r="AH18" i="40" s="1"/>
  <c r="AH26" i="40" s="1"/>
  <c r="CH1" i="7"/>
  <c r="AT25" i="40"/>
  <c r="D49" i="41" s="1"/>
  <c r="AH25" i="40"/>
  <c r="D36" i="41" s="1"/>
  <c r="ED2" i="7"/>
  <c r="ED5" i="7"/>
  <c r="CH2" i="7"/>
  <c r="CH3" i="7"/>
  <c r="ED1" i="7"/>
  <c r="ED3" i="7"/>
  <c r="EA3" i="7"/>
  <c r="C51" i="8" s="1"/>
  <c r="EA1" i="7"/>
  <c r="EA6" i="7"/>
  <c r="EA7" i="7" s="1"/>
  <c r="EA8" i="7"/>
  <c r="F27" i="32"/>
  <c r="F49" i="32"/>
  <c r="BW1" i="7"/>
  <c r="BW3" i="7"/>
  <c r="BW6" i="7"/>
  <c r="BW7" i="7" s="1"/>
  <c r="BW8" i="7"/>
  <c r="CK1" i="3"/>
  <c r="F34" i="41" s="1"/>
  <c r="G34" i="41" s="1"/>
  <c r="CK2" i="3"/>
  <c r="AF9" i="40"/>
  <c r="AF12" i="40" s="1"/>
  <c r="AF27" i="40" s="1"/>
  <c r="AF29" i="40" s="1"/>
  <c r="CK5" i="3"/>
  <c r="F18" i="32"/>
  <c r="BW2" i="7"/>
  <c r="V28" i="25"/>
  <c r="DR1" i="7"/>
  <c r="DR3" i="7"/>
  <c r="C48" i="8" s="1"/>
  <c r="DQ2" i="3"/>
  <c r="DQ5" i="3"/>
  <c r="AB25" i="25"/>
  <c r="D29" i="6" s="1"/>
  <c r="AB15" i="25"/>
  <c r="AB18" i="25" s="1"/>
  <c r="AB26" i="25" s="1"/>
  <c r="D23" i="6"/>
  <c r="E23" i="6" s="1"/>
  <c r="AL15" i="40"/>
  <c r="AL18" i="40" s="1"/>
  <c r="AL26" i="40" s="1"/>
  <c r="DR8" i="7"/>
  <c r="DR6" i="7"/>
  <c r="DR7" i="7" s="1"/>
  <c r="DR2" i="7"/>
  <c r="AL25" i="40"/>
  <c r="D41" i="41" s="1"/>
  <c r="BV8" i="7"/>
  <c r="BV6" i="7"/>
  <c r="BV7" i="7" s="1"/>
  <c r="BV2" i="7"/>
  <c r="BV5" i="7"/>
  <c r="F39" i="32"/>
  <c r="F17" i="32"/>
  <c r="F12" i="32"/>
  <c r="AA25" i="40"/>
  <c r="D29" i="41" s="1"/>
  <c r="BV3" i="7"/>
  <c r="F63" i="32"/>
  <c r="F42" i="32"/>
  <c r="F61" i="32"/>
  <c r="BV1" i="7"/>
  <c r="F13" i="32"/>
  <c r="F58" i="32"/>
  <c r="AA15" i="40"/>
  <c r="AA18" i="40" s="1"/>
  <c r="AA26" i="40" s="1"/>
  <c r="F34" i="32"/>
  <c r="DQ1" i="3"/>
  <c r="F22" i="6" s="1"/>
  <c r="DQ6" i="3"/>
  <c r="DQ7" i="3" s="1"/>
  <c r="DQ8" i="3"/>
  <c r="U9" i="25"/>
  <c r="U12" i="25" s="1"/>
  <c r="U27" i="25" s="1"/>
  <c r="F15" i="32"/>
  <c r="EE3" i="7"/>
  <c r="AT15" i="40"/>
  <c r="AT18" i="40" s="1"/>
  <c r="AT26" i="40" s="1"/>
  <c r="EE1" i="7"/>
  <c r="F45" i="32"/>
  <c r="F29" i="32"/>
  <c r="F37" i="32"/>
  <c r="F53" i="32"/>
  <c r="F48" i="32"/>
  <c r="AU25" i="25"/>
  <c r="ED8" i="7"/>
  <c r="EE6" i="7"/>
  <c r="EE7" i="7" s="1"/>
  <c r="F24" i="32"/>
  <c r="AU15" i="25"/>
  <c r="AU18" i="25" s="1"/>
  <c r="AU26" i="25" s="1"/>
  <c r="D99" i="8"/>
  <c r="B99" i="24" s="1"/>
  <c r="F41" i="32"/>
  <c r="F30" i="32"/>
  <c r="F50" i="32"/>
  <c r="EE2" i="7"/>
  <c r="F38" i="32"/>
  <c r="F51" i="32"/>
  <c r="F64" i="32"/>
  <c r="F57" i="32"/>
  <c r="D96" i="8"/>
  <c r="B96" i="24" s="1"/>
  <c r="F16" i="32"/>
  <c r="F33" i="32"/>
  <c r="H31" i="41"/>
  <c r="BH29" i="40"/>
  <c r="CW6" i="7"/>
  <c r="CW7" i="7" s="1"/>
  <c r="BQ9" i="25"/>
  <c r="BQ8" i="25" s="1"/>
  <c r="F18" i="35" s="1"/>
  <c r="CW5" i="7"/>
  <c r="CW1" i="7"/>
  <c r="E24" i="41" s="1"/>
  <c r="G24" i="41" s="1"/>
  <c r="CW8" i="7"/>
  <c r="CW2" i="7"/>
  <c r="H50" i="6"/>
  <c r="D38" i="41"/>
  <c r="E38" i="41" s="1"/>
  <c r="H38" i="41" s="1"/>
  <c r="I10" i="6"/>
  <c r="H8" i="25"/>
  <c r="F4" i="35" s="1"/>
  <c r="FW18" i="19"/>
  <c r="F20" i="32"/>
  <c r="F26" i="32"/>
  <c r="F35" i="32"/>
  <c r="CI8" i="7"/>
  <c r="AI15" i="25"/>
  <c r="AI18" i="25" s="1"/>
  <c r="AI26" i="25" s="1"/>
  <c r="CI3" i="7"/>
  <c r="CI6" i="7"/>
  <c r="CI7" i="7" s="1"/>
  <c r="AI25" i="25"/>
  <c r="CI1" i="7"/>
  <c r="CI2" i="7"/>
  <c r="CI5" i="7"/>
  <c r="BU7" i="3"/>
  <c r="F32" i="32"/>
  <c r="F21" i="32"/>
  <c r="F52" i="32"/>
  <c r="FX20" i="19"/>
  <c r="I43" i="6"/>
  <c r="GD23" i="19"/>
  <c r="FE10" i="19"/>
  <c r="FE15" i="7"/>
  <c r="FE12" i="7" s="1"/>
  <c r="C59" i="8" s="1"/>
  <c r="E41" i="6"/>
  <c r="AP12" i="25"/>
  <c r="AP27" i="25" s="1"/>
  <c r="I44" i="6" s="1"/>
  <c r="BR8" i="25"/>
  <c r="F19" i="35" s="1"/>
  <c r="BR12" i="25"/>
  <c r="BR27" i="25" s="1"/>
  <c r="GD20" i="19"/>
  <c r="FX23" i="19"/>
  <c r="FS23" i="19" s="1"/>
  <c r="E17" i="6"/>
  <c r="G17" i="6" s="1"/>
  <c r="CC5" i="7"/>
  <c r="CC8" i="7"/>
  <c r="AD25" i="25"/>
  <c r="CC1" i="7"/>
  <c r="CC2" i="7"/>
  <c r="AD15" i="25"/>
  <c r="AD18" i="25" s="1"/>
  <c r="AD26" i="25" s="1"/>
  <c r="CC3" i="7"/>
  <c r="C40" i="8" s="1"/>
  <c r="CC6" i="7"/>
  <c r="CC7" i="7" s="1"/>
  <c r="BR7" i="3"/>
  <c r="AT28" i="25"/>
  <c r="D48" i="6"/>
  <c r="E48" i="6" s="1"/>
  <c r="F11" i="32"/>
  <c r="F56" i="32"/>
  <c r="F54" i="32"/>
  <c r="F44" i="32"/>
  <c r="F59" i="32"/>
  <c r="M28" i="25"/>
  <c r="M29" i="25" s="1"/>
  <c r="D100" i="8"/>
  <c r="B100" i="24" s="1"/>
  <c r="EN5" i="3"/>
  <c r="EN1" i="3"/>
  <c r="F47" i="6" s="1"/>
  <c r="EN8" i="3"/>
  <c r="EN6" i="3"/>
  <c r="EN7" i="3" s="1"/>
  <c r="EN2" i="3"/>
  <c r="AS9" i="25"/>
  <c r="AS12" i="25" s="1"/>
  <c r="AS27" i="25" s="1"/>
  <c r="AS29" i="25" s="1"/>
  <c r="EN3" i="3"/>
  <c r="GA20" i="19"/>
  <c r="FN20" i="19" s="1"/>
  <c r="EM2" i="3"/>
  <c r="EM1" i="3"/>
  <c r="F47" i="41" s="1"/>
  <c r="EM8" i="3"/>
  <c r="EM3" i="3"/>
  <c r="EM6" i="3"/>
  <c r="EM7" i="3" s="1"/>
  <c r="EM5" i="3"/>
  <c r="AR9" i="40"/>
  <c r="AR12" i="40" s="1"/>
  <c r="AR27" i="40" s="1"/>
  <c r="AR29" i="40" s="1"/>
  <c r="F23" i="32"/>
  <c r="F31" i="32"/>
  <c r="E14" i="6"/>
  <c r="E14" i="47" s="1"/>
  <c r="G14" i="47" s="1"/>
  <c r="F40" i="32"/>
  <c r="BX7" i="3"/>
  <c r="FD15" i="7"/>
  <c r="FD1" i="7" s="1"/>
  <c r="D97" i="8"/>
  <c r="B97" i="24" s="1"/>
  <c r="CA7" i="3"/>
  <c r="EY3" i="3"/>
  <c r="AS9" i="40"/>
  <c r="AS12" i="40" s="1"/>
  <c r="AS27" i="40" s="1"/>
  <c r="EY6" i="3"/>
  <c r="EY7" i="3" s="1"/>
  <c r="EY8" i="3"/>
  <c r="EY1" i="3"/>
  <c r="F48" i="41" s="1"/>
  <c r="EY5" i="3"/>
  <c r="EY2" i="3"/>
  <c r="BZ6" i="3"/>
  <c r="BZ7" i="3" s="1"/>
  <c r="BZ3" i="3"/>
  <c r="BZ1" i="3"/>
  <c r="F30" i="6" s="1"/>
  <c r="BZ5" i="3"/>
  <c r="BZ2" i="3"/>
  <c r="BZ8" i="3"/>
  <c r="AC9" i="25"/>
  <c r="AC12" i="25" s="1"/>
  <c r="AC27" i="25" s="1"/>
  <c r="DU8" i="7"/>
  <c r="DU2" i="7"/>
  <c r="AM15" i="40"/>
  <c r="DU1" i="7"/>
  <c r="DU3" i="7"/>
  <c r="DU6" i="7"/>
  <c r="DU7" i="7" s="1"/>
  <c r="DU5" i="7"/>
  <c r="DD5" i="3"/>
  <c r="DD1" i="3"/>
  <c r="F18" i="6" s="1"/>
  <c r="DD3" i="3"/>
  <c r="Q9" i="25"/>
  <c r="Q12" i="25" s="1"/>
  <c r="Q27" i="25" s="1"/>
  <c r="Q29" i="25" s="1"/>
  <c r="DD2" i="3"/>
  <c r="DD8" i="3"/>
  <c r="DD6" i="3"/>
  <c r="DD7" i="3" s="1"/>
  <c r="BG8" i="3"/>
  <c r="J9" i="25"/>
  <c r="J12" i="25" s="1"/>
  <c r="J27" i="25" s="1"/>
  <c r="BG6" i="3"/>
  <c r="BG7" i="3" s="1"/>
  <c r="BG1" i="3"/>
  <c r="F12" i="6" s="1"/>
  <c r="BG3" i="3"/>
  <c r="BG5" i="3"/>
  <c r="BG2" i="3"/>
  <c r="CQ11" i="7"/>
  <c r="S15" i="25"/>
  <c r="S18" i="25" s="1"/>
  <c r="S26" i="25" s="1"/>
  <c r="S25" i="25"/>
  <c r="CO8" i="7"/>
  <c r="CO2" i="7"/>
  <c r="CO1" i="7"/>
  <c r="CO3" i="7"/>
  <c r="CO5" i="7"/>
  <c r="CO6" i="7"/>
  <c r="CO7" i="7" s="1"/>
  <c r="DF10" i="3"/>
  <c r="DE5" i="3"/>
  <c r="DG17" i="3"/>
  <c r="CX5" i="3"/>
  <c r="CX2" i="3"/>
  <c r="CX1" i="3"/>
  <c r="F16" i="6" s="1"/>
  <c r="CX3" i="3"/>
  <c r="CT17" i="3"/>
  <c r="O9" i="25"/>
  <c r="O12" i="25" s="1"/>
  <c r="O27" i="25" s="1"/>
  <c r="O29" i="25" s="1"/>
  <c r="CU17" i="3"/>
  <c r="CX6" i="3"/>
  <c r="CX7" i="3" s="1"/>
  <c r="CX8" i="3"/>
  <c r="ES8" i="3"/>
  <c r="AL9" i="40"/>
  <c r="AL12" i="40" s="1"/>
  <c r="AL27" i="40" s="1"/>
  <c r="ES2" i="3"/>
  <c r="ES3" i="3"/>
  <c r="B48" i="8" s="1"/>
  <c r="D48" i="8" s="1"/>
  <c r="B48" i="24" s="1"/>
  <c r="ES5" i="3"/>
  <c r="ES6" i="3"/>
  <c r="ES7" i="3" s="1"/>
  <c r="ES1" i="3"/>
  <c r="F41" i="41" s="1"/>
  <c r="BY6" i="3"/>
  <c r="BY7" i="3" s="1"/>
  <c r="BY5" i="3"/>
  <c r="BY3" i="3"/>
  <c r="BY8" i="3"/>
  <c r="BY2" i="3"/>
  <c r="BY1" i="3"/>
  <c r="F30" i="41" s="1"/>
  <c r="AB9" i="40"/>
  <c r="AB12" i="40" s="1"/>
  <c r="AB27" i="40" s="1"/>
  <c r="C80" i="8"/>
  <c r="BS10" i="7"/>
  <c r="FB8" i="3"/>
  <c r="FB1" i="3"/>
  <c r="F49" i="41" s="1"/>
  <c r="FB3" i="3"/>
  <c r="FB6" i="3"/>
  <c r="FB7" i="3" s="1"/>
  <c r="AT9" i="40"/>
  <c r="AT12" i="40" s="1"/>
  <c r="AT27" i="40" s="1"/>
  <c r="FB5" i="3"/>
  <c r="FB2" i="3"/>
  <c r="CD7" i="3"/>
  <c r="CG7" i="3"/>
  <c r="CB1" i="3"/>
  <c r="F31" i="41" s="1"/>
  <c r="CB8" i="3"/>
  <c r="CB2" i="3"/>
  <c r="CB6" i="3"/>
  <c r="CB7" i="3" s="1"/>
  <c r="CB5" i="3"/>
  <c r="AC9" i="40"/>
  <c r="AC12" i="40" s="1"/>
  <c r="AC27" i="40" s="1"/>
  <c r="AC29" i="40" s="1"/>
  <c r="CB3" i="3"/>
  <c r="BA8" i="3"/>
  <c r="BA5" i="3"/>
  <c r="BA6" i="3"/>
  <c r="BA7" i="3" s="1"/>
  <c r="BA1" i="3"/>
  <c r="BA3" i="3"/>
  <c r="BA2" i="3"/>
  <c r="G9" i="25"/>
  <c r="G12" i="25" s="1"/>
  <c r="EK6" i="3"/>
  <c r="EK7" i="3" s="1"/>
  <c r="EK2" i="3"/>
  <c r="EK8" i="3"/>
  <c r="EK1" i="3"/>
  <c r="F46" i="6" s="1"/>
  <c r="AR9" i="25"/>
  <c r="AR12" i="25" s="1"/>
  <c r="AR27" i="25" s="1"/>
  <c r="AR29" i="25" s="1"/>
  <c r="EK3" i="3"/>
  <c r="EK5" i="3"/>
  <c r="BY1" i="7"/>
  <c r="BY6" i="7"/>
  <c r="BY7" i="7" s="1"/>
  <c r="BY3" i="7"/>
  <c r="BY2" i="7"/>
  <c r="BY5" i="7"/>
  <c r="AB25" i="40"/>
  <c r="BY8" i="7"/>
  <c r="AB15" i="40"/>
  <c r="AB18" i="40" s="1"/>
  <c r="AB26" i="40" s="1"/>
  <c r="ET8" i="3"/>
  <c r="ET1" i="3"/>
  <c r="F41" i="6" s="1"/>
  <c r="ET3" i="3"/>
  <c r="AM9" i="25"/>
  <c r="AM12" i="25" s="1"/>
  <c r="AM27" i="25" s="1"/>
  <c r="ET6" i="3"/>
  <c r="ET7" i="3" s="1"/>
  <c r="ET2" i="3"/>
  <c r="ET5" i="3"/>
  <c r="DV6" i="7"/>
  <c r="DV7" i="7" s="1"/>
  <c r="DV2" i="7"/>
  <c r="AN15" i="25"/>
  <c r="DV1" i="7"/>
  <c r="DV5" i="7"/>
  <c r="DV3" i="7"/>
  <c r="DV8" i="7"/>
  <c r="BS6" i="7"/>
  <c r="BS7" i="7" s="1"/>
  <c r="BS2" i="7"/>
  <c r="BS1" i="7"/>
  <c r="FC15" i="7"/>
  <c r="BS5" i="7"/>
  <c r="BS3" i="7"/>
  <c r="BS8" i="7"/>
  <c r="Z15" i="40"/>
  <c r="CR3" i="3"/>
  <c r="CR1" i="3"/>
  <c r="F36" i="6" s="1"/>
  <c r="AI9" i="25"/>
  <c r="AI12" i="25" s="1"/>
  <c r="AI27" i="25" s="1"/>
  <c r="CR2" i="3"/>
  <c r="CR8" i="3"/>
  <c r="CR5" i="3"/>
  <c r="CR6" i="3"/>
  <c r="CR7" i="3" s="1"/>
  <c r="FC8" i="3"/>
  <c r="FC3" i="3"/>
  <c r="FC2" i="3"/>
  <c r="FC1" i="3"/>
  <c r="F49" i="6" s="1"/>
  <c r="AU9" i="25"/>
  <c r="AU12" i="25" s="1"/>
  <c r="AU27" i="25" s="1"/>
  <c r="FC5" i="3"/>
  <c r="FC6" i="3"/>
  <c r="FC7" i="3" s="1"/>
  <c r="CI5" i="3"/>
  <c r="CI6" i="3"/>
  <c r="CI7" i="3" s="1"/>
  <c r="CI8" i="3"/>
  <c r="CI1" i="3"/>
  <c r="F33" i="6" s="1"/>
  <c r="CI3" i="3"/>
  <c r="CI2" i="3"/>
  <c r="AF9" i="25"/>
  <c r="AF12" i="25" s="1"/>
  <c r="AF27" i="25" s="1"/>
  <c r="AF29" i="25" s="1"/>
  <c r="CC8" i="3"/>
  <c r="CC5" i="3"/>
  <c r="CC1" i="3"/>
  <c r="F31" i="6" s="1"/>
  <c r="AD9" i="25"/>
  <c r="AD12" i="25" s="1"/>
  <c r="AD27" i="25" s="1"/>
  <c r="CC2" i="3"/>
  <c r="CC6" i="3"/>
  <c r="CC7" i="3" s="1"/>
  <c r="CC3" i="3"/>
  <c r="GB17" i="3"/>
  <c r="U7" i="7"/>
  <c r="U6" i="7"/>
  <c r="U8" i="7"/>
  <c r="W26" i="25"/>
  <c r="W28" i="25"/>
  <c r="CR6" i="7"/>
  <c r="CR7" i="7" s="1"/>
  <c r="CR8" i="7"/>
  <c r="CR5" i="7"/>
  <c r="U15" i="25"/>
  <c r="U18" i="25" s="1"/>
  <c r="U26" i="25" s="1"/>
  <c r="U25" i="25"/>
  <c r="CR1" i="7"/>
  <c r="CR2" i="7"/>
  <c r="CR3" i="7"/>
  <c r="DZ2" i="3"/>
  <c r="Z9" i="25"/>
  <c r="Z12" i="25" s="1"/>
  <c r="Z27" i="25" s="1"/>
  <c r="DZ5" i="3"/>
  <c r="DZ3" i="3"/>
  <c r="DZ1" i="3"/>
  <c r="F27" i="6" s="1"/>
  <c r="DZ8" i="3"/>
  <c r="DZ6" i="3"/>
  <c r="DZ7" i="3" s="1"/>
  <c r="P28" i="25"/>
  <c r="CE8" i="3"/>
  <c r="CE2" i="3"/>
  <c r="CE3" i="3"/>
  <c r="CE6" i="3"/>
  <c r="CE7" i="3" s="1"/>
  <c r="CE5" i="3"/>
  <c r="AD9" i="40"/>
  <c r="AD12" i="40" s="1"/>
  <c r="AD27" i="40" s="1"/>
  <c r="CE1" i="3"/>
  <c r="F32" i="41" s="1"/>
  <c r="AQ9" i="25"/>
  <c r="AQ12" i="25" s="1"/>
  <c r="AQ27" i="25" s="1"/>
  <c r="AQ29" i="25" s="1"/>
  <c r="EH2" i="3"/>
  <c r="EH8" i="3"/>
  <c r="EH6" i="3"/>
  <c r="EH7" i="3" s="1"/>
  <c r="EH5" i="3"/>
  <c r="EH3" i="3"/>
  <c r="EH1" i="3"/>
  <c r="F45" i="6" s="1"/>
  <c r="BG8" i="7"/>
  <c r="BG1" i="7"/>
  <c r="BG5" i="7"/>
  <c r="BG6" i="7"/>
  <c r="BG7" i="7" s="1"/>
  <c r="BG3" i="7"/>
  <c r="J15" i="25"/>
  <c r="J18" i="25" s="1"/>
  <c r="J26" i="25" s="1"/>
  <c r="J25" i="25"/>
  <c r="BG2" i="7"/>
  <c r="BZ8" i="7"/>
  <c r="BZ2" i="7"/>
  <c r="AC25" i="25"/>
  <c r="BZ6" i="7"/>
  <c r="BZ7" i="7" s="1"/>
  <c r="BZ3" i="7"/>
  <c r="BZ5" i="7"/>
  <c r="AC15" i="25"/>
  <c r="AC18" i="25" s="1"/>
  <c r="AC26" i="25" s="1"/>
  <c r="BZ1" i="7"/>
  <c r="DM17" i="3"/>
  <c r="DJ5" i="3"/>
  <c r="DJ3" i="3"/>
  <c r="DJ2" i="3"/>
  <c r="DJ1" i="3"/>
  <c r="F20" i="6" s="1"/>
  <c r="DJ8" i="3"/>
  <c r="S9" i="25"/>
  <c r="S12" i="25" s="1"/>
  <c r="S27" i="25" s="1"/>
  <c r="DJ6" i="3"/>
  <c r="DJ7" i="3" s="1"/>
  <c r="BV5" i="3"/>
  <c r="BV1" i="3"/>
  <c r="F29" i="41" s="1"/>
  <c r="BV6" i="3"/>
  <c r="BV7" i="3" s="1"/>
  <c r="BV8" i="3"/>
  <c r="BV2" i="3"/>
  <c r="BV3" i="3"/>
  <c r="GA17" i="3"/>
  <c r="AA9" i="40"/>
  <c r="AA12" i="40" s="1"/>
  <c r="AA27" i="40" s="1"/>
  <c r="CN8" i="3"/>
  <c r="CN2" i="3"/>
  <c r="AG9" i="40"/>
  <c r="AG12" i="40" s="1"/>
  <c r="AG27" i="40" s="1"/>
  <c r="AG29" i="40" s="1"/>
  <c r="CN1" i="3"/>
  <c r="F35" i="41" s="1"/>
  <c r="CN6" i="3"/>
  <c r="CN7" i="3" s="1"/>
  <c r="CN3" i="3"/>
  <c r="CN5" i="3"/>
  <c r="DO1" i="7"/>
  <c r="DO5" i="7"/>
  <c r="DO2" i="7"/>
  <c r="DO3" i="7"/>
  <c r="AK15" i="40"/>
  <c r="DO6" i="7"/>
  <c r="DO7" i="7" s="1"/>
  <c r="DO8" i="7"/>
  <c r="AE50" i="38"/>
  <c r="CF1" i="3"/>
  <c r="F32" i="6" s="1"/>
  <c r="CF5" i="3"/>
  <c r="CF2" i="3"/>
  <c r="AE9" i="25"/>
  <c r="AE12" i="25" s="1"/>
  <c r="AE27" i="25" s="1"/>
  <c r="CF6" i="3"/>
  <c r="CF7" i="3" s="1"/>
  <c r="CF3" i="3"/>
  <c r="CF8" i="3"/>
  <c r="CH8" i="3"/>
  <c r="CH1" i="3"/>
  <c r="F33" i="41" s="1"/>
  <c r="CH5" i="3"/>
  <c r="CH6" i="3"/>
  <c r="CH7" i="3" s="1"/>
  <c r="AE9" i="40"/>
  <c r="AE12" i="40" s="1"/>
  <c r="AE27" i="40" s="1"/>
  <c r="AE29" i="40" s="1"/>
  <c r="CH3" i="3"/>
  <c r="CH2" i="3"/>
  <c r="AD15" i="40"/>
  <c r="AD18" i="40" s="1"/>
  <c r="AD26" i="40" s="1"/>
  <c r="CE3" i="7"/>
  <c r="CE1" i="7"/>
  <c r="CE6" i="7"/>
  <c r="CE7" i="7" s="1"/>
  <c r="AD25" i="40"/>
  <c r="CE8" i="7"/>
  <c r="CE5" i="7"/>
  <c r="CE2" i="7"/>
  <c r="FE5" i="3"/>
  <c r="FE6" i="3"/>
  <c r="FE7" i="3" s="1"/>
  <c r="FE8" i="3"/>
  <c r="FE1" i="3"/>
  <c r="F50" i="41" s="1"/>
  <c r="FE3" i="3"/>
  <c r="FE2" i="3"/>
  <c r="AU9" i="40"/>
  <c r="AU12" i="40" s="1"/>
  <c r="AU27" i="40" s="1"/>
  <c r="D98" i="8"/>
  <c r="B98" i="24" s="1"/>
  <c r="AA15" i="25"/>
  <c r="AA18" i="25" s="1"/>
  <c r="AA26" i="25" s="1"/>
  <c r="AA25" i="25"/>
  <c r="BT5" i="7"/>
  <c r="BT8" i="7"/>
  <c r="BT6" i="7"/>
  <c r="BT7" i="7" s="1"/>
  <c r="BT1" i="7"/>
  <c r="BT3" i="7"/>
  <c r="BT2" i="7"/>
  <c r="EP6" i="3"/>
  <c r="EP7" i="3" s="1"/>
  <c r="EP5" i="3"/>
  <c r="EP1" i="3"/>
  <c r="F40" i="41" s="1"/>
  <c r="EP2" i="3"/>
  <c r="AK9" i="40"/>
  <c r="EP3" i="3"/>
  <c r="B47" i="8" s="1"/>
  <c r="EP8" i="3"/>
  <c r="BW8" i="3"/>
  <c r="BW2" i="3"/>
  <c r="BW1" i="3"/>
  <c r="F29" i="6" s="1"/>
  <c r="BW3" i="3"/>
  <c r="BW5" i="3"/>
  <c r="BW6" i="3"/>
  <c r="BW7" i="3" s="1"/>
  <c r="AB9" i="25"/>
  <c r="AB12" i="25" s="1"/>
  <c r="AB27" i="25" s="1"/>
  <c r="CO8" i="3"/>
  <c r="CO2" i="3"/>
  <c r="AH9" i="25"/>
  <c r="AH12" i="25" s="1"/>
  <c r="AH27" i="25" s="1"/>
  <c r="AH29" i="25" s="1"/>
  <c r="CO1" i="3"/>
  <c r="F35" i="6" s="1"/>
  <c r="CO5" i="3"/>
  <c r="CO6" i="3"/>
  <c r="CO7" i="3" s="1"/>
  <c r="CO3" i="3"/>
  <c r="DP5" i="7"/>
  <c r="DP6" i="7"/>
  <c r="DP7" i="7" s="1"/>
  <c r="DP2" i="7"/>
  <c r="DP3" i="7"/>
  <c r="DP8" i="7"/>
  <c r="DP1" i="7"/>
  <c r="AL15" i="25"/>
  <c r="FF15" i="7"/>
  <c r="AM28" i="25"/>
  <c r="AF50" i="38"/>
  <c r="GB20" i="19"/>
  <c r="FF6" i="3"/>
  <c r="FF7" i="3" s="1"/>
  <c r="FF5" i="3"/>
  <c r="FF3" i="3"/>
  <c r="FF2" i="3"/>
  <c r="FF1" i="3"/>
  <c r="F50" i="6" s="1"/>
  <c r="FF8" i="3"/>
  <c r="AV9" i="25"/>
  <c r="AV12" i="25" s="1"/>
  <c r="AV27" i="25" s="1"/>
  <c r="AV29" i="25" s="1"/>
  <c r="CQ3" i="3"/>
  <c r="CQ5" i="3"/>
  <c r="CQ6" i="3"/>
  <c r="CQ7" i="3" s="1"/>
  <c r="AH9" i="40"/>
  <c r="AH12" i="40" s="1"/>
  <c r="AH27" i="40" s="1"/>
  <c r="CQ1" i="3"/>
  <c r="F36" i="41" s="1"/>
  <c r="CQ8" i="3"/>
  <c r="CQ2" i="3"/>
  <c r="EQ6" i="3"/>
  <c r="EQ7" i="3" s="1"/>
  <c r="EQ8" i="3"/>
  <c r="EQ5" i="3"/>
  <c r="EQ3" i="3"/>
  <c r="EQ1" i="3"/>
  <c r="F40" i="6" s="1"/>
  <c r="EQ2" i="3"/>
  <c r="AL9" i="25"/>
  <c r="FC10" i="19"/>
  <c r="EP10" i="19" s="1"/>
  <c r="U14" i="3"/>
  <c r="U15" i="3"/>
  <c r="U8" i="3"/>
  <c r="CF8" i="7"/>
  <c r="AE25" i="25"/>
  <c r="CF1" i="7"/>
  <c r="CF2" i="7"/>
  <c r="CF5" i="7"/>
  <c r="CF3" i="7"/>
  <c r="AE15" i="25"/>
  <c r="AE18" i="25" s="1"/>
  <c r="AE26" i="25" s="1"/>
  <c r="CF6" i="7"/>
  <c r="CF7" i="7" s="1"/>
  <c r="FD10" i="19"/>
  <c r="EQ10" i="19" s="1"/>
  <c r="FF10" i="19"/>
  <c r="AH50" i="38"/>
  <c r="C24" i="38"/>
  <c r="EZ13" i="19"/>
  <c r="EU13" i="19" s="1"/>
  <c r="AI50" i="38"/>
  <c r="C25" i="38"/>
  <c r="DA1" i="7"/>
  <c r="E25" i="6" s="1"/>
  <c r="DA2" i="7"/>
  <c r="X15" i="25"/>
  <c r="DA8" i="7"/>
  <c r="DA6" i="7"/>
  <c r="DA7" i="7" s="1"/>
  <c r="DA3" i="7"/>
  <c r="DA5" i="7"/>
  <c r="AP10" i="19"/>
  <c r="AG10" i="19"/>
  <c r="AQ62" i="36"/>
  <c r="U15" i="40"/>
  <c r="U18" i="40" s="1"/>
  <c r="U26" i="40" s="1"/>
  <c r="U25" i="40"/>
  <c r="G15" i="40"/>
  <c r="G18" i="40" s="1"/>
  <c r="G26" i="40" s="1"/>
  <c r="G25" i="40"/>
  <c r="AG17" i="3"/>
  <c r="AP17" i="3"/>
  <c r="AJ10" i="19"/>
  <c r="AQ10" i="19" s="1"/>
  <c r="AO10" i="19"/>
  <c r="AM10" i="19"/>
  <c r="X15" i="40"/>
  <c r="X18" i="40" s="1"/>
  <c r="X26" i="40" s="1"/>
  <c r="X28" i="40" s="1"/>
  <c r="T25" i="40"/>
  <c r="T15" i="40"/>
  <c r="T18" i="40" s="1"/>
  <c r="T26" i="40" s="1"/>
  <c r="AW10" i="19"/>
  <c r="EY10" i="19"/>
  <c r="Z15" i="25"/>
  <c r="Z18" i="25" s="1"/>
  <c r="Z26" i="25" s="1"/>
  <c r="CZ15" i="7"/>
  <c r="AZ6" i="3"/>
  <c r="AZ7" i="3" s="1"/>
  <c r="AG12" i="25"/>
  <c r="AG27" i="25" s="1"/>
  <c r="AG29" i="25" s="1"/>
  <c r="AO17" i="3"/>
  <c r="AM17" i="3"/>
  <c r="AJ17" i="3"/>
  <c r="AQ17" i="3" s="1"/>
  <c r="AR62" i="36"/>
  <c r="AJ18" i="25"/>
  <c r="AJ26" i="25" s="1"/>
  <c r="AJ14" i="25"/>
  <c r="F28" i="35" s="1"/>
  <c r="J15" i="40"/>
  <c r="J18" i="40" s="1"/>
  <c r="J26" i="40" s="1"/>
  <c r="J25" i="40"/>
  <c r="AG20" i="19"/>
  <c r="AU20" i="19" s="1"/>
  <c r="AP20" i="19"/>
  <c r="Y25" i="40"/>
  <c r="Y15" i="40"/>
  <c r="Y18" i="40" s="1"/>
  <c r="Y26" i="40" s="1"/>
  <c r="AO15" i="7"/>
  <c r="AM15" i="7"/>
  <c r="AJ15" i="7"/>
  <c r="AQ15" i="7" s="1"/>
  <c r="AJ25" i="25"/>
  <c r="AN17" i="19"/>
  <c r="EZ10" i="19"/>
  <c r="G25" i="25"/>
  <c r="D8" i="6" s="1"/>
  <c r="G15" i="25"/>
  <c r="G18" i="25" s="1"/>
  <c r="R15" i="40"/>
  <c r="R18" i="40" s="1"/>
  <c r="R26" i="40" s="1"/>
  <c r="DX8" i="7"/>
  <c r="DX2" i="7"/>
  <c r="AO15" i="40"/>
  <c r="DX5" i="7"/>
  <c r="DX6" i="7"/>
  <c r="DX7" i="7" s="1"/>
  <c r="DX3" i="7"/>
  <c r="C32" i="8" s="1"/>
  <c r="C36" i="8" s="1"/>
  <c r="DX1" i="7"/>
  <c r="BR15" i="25"/>
  <c r="DD3" i="7"/>
  <c r="DD1" i="7"/>
  <c r="E26" i="6" s="1"/>
  <c r="DD5" i="7"/>
  <c r="DD2" i="7"/>
  <c r="Y15" i="25"/>
  <c r="Y18" i="25" s="1"/>
  <c r="Y26" i="25" s="1"/>
  <c r="Y28" i="25" s="1"/>
  <c r="Y29" i="25" s="1"/>
  <c r="DD8" i="7"/>
  <c r="DD6" i="7"/>
  <c r="DD7" i="7" s="1"/>
  <c r="Z61" i="36"/>
  <c r="O15" i="40"/>
  <c r="F15" i="40"/>
  <c r="AD61" i="36"/>
  <c r="G34" i="6"/>
  <c r="BU6" i="25"/>
  <c r="G53" i="6"/>
  <c r="AS28" i="40"/>
  <c r="D48" i="41"/>
  <c r="EV17" i="19"/>
  <c r="FT17" i="19" s="1"/>
  <c r="EV20" i="19"/>
  <c r="EV18" i="19"/>
  <c r="FT18" i="19" s="1"/>
  <c r="AZ11" i="19"/>
  <c r="AW11" i="19" s="1"/>
  <c r="BB11" i="19" s="1"/>
  <c r="EV22" i="19"/>
  <c r="DL12" i="19"/>
  <c r="EV17" i="3"/>
  <c r="EV15" i="3"/>
  <c r="EV14" i="3"/>
  <c r="AZ12" i="19"/>
  <c r="AW12" i="19" s="1"/>
  <c r="BB12" i="19" s="1"/>
  <c r="M130" i="38"/>
  <c r="H59" i="32"/>
  <c r="H50" i="32"/>
  <c r="H42" i="32"/>
  <c r="H41" i="32"/>
  <c r="H33" i="32"/>
  <c r="H24" i="32"/>
  <c r="H16" i="32"/>
  <c r="H12" i="32"/>
  <c r="H8" i="32"/>
  <c r="H60" i="32"/>
  <c r="H51" i="32"/>
  <c r="H43" i="32"/>
  <c r="H34" i="32"/>
  <c r="H25" i="32"/>
  <c r="H61" i="32"/>
  <c r="H52" i="32"/>
  <c r="H44" i="32"/>
  <c r="H35" i="32"/>
  <c r="H26" i="32"/>
  <c r="H18" i="32"/>
  <c r="H17" i="32"/>
  <c r="H13" i="32"/>
  <c r="H9" i="32"/>
  <c r="H62" i="32"/>
  <c r="H54" i="32"/>
  <c r="H53" i="32"/>
  <c r="H45" i="32"/>
  <c r="H36" i="32"/>
  <c r="H27" i="32"/>
  <c r="H19" i="32"/>
  <c r="H63" i="32"/>
  <c r="H55" i="32"/>
  <c r="H46" i="32"/>
  <c r="H37" i="32"/>
  <c r="H28" i="32"/>
  <c r="H20" i="32"/>
  <c r="H14" i="32"/>
  <c r="H10" i="32"/>
  <c r="H6" i="32"/>
  <c r="H64" i="32"/>
  <c r="H56" i="32"/>
  <c r="H47" i="32"/>
  <c r="H38" i="32"/>
  <c r="H30" i="32"/>
  <c r="H29" i="32"/>
  <c r="H21" i="32"/>
  <c r="H65" i="32"/>
  <c r="H66" i="32" s="1"/>
  <c r="H67" i="32" s="1"/>
  <c r="H68" i="32" s="1"/>
  <c r="H69" i="32" s="1"/>
  <c r="H70" i="32" s="1"/>
  <c r="H71" i="32" s="1"/>
  <c r="H72" i="32" s="1"/>
  <c r="H73" i="32" s="1"/>
  <c r="H74" i="32" s="1"/>
  <c r="H75" i="32" s="1"/>
  <c r="H76" i="32" s="1"/>
  <c r="H77" i="32" s="1"/>
  <c r="H57" i="32"/>
  <c r="H48" i="32"/>
  <c r="H39" i="32"/>
  <c r="H31" i="32"/>
  <c r="H22" i="32"/>
  <c r="H15" i="32"/>
  <c r="H11" i="32"/>
  <c r="H7" i="32"/>
  <c r="H58" i="32"/>
  <c r="H49" i="32"/>
  <c r="H40" i="32"/>
  <c r="H32" i="32"/>
  <c r="H23" i="32"/>
  <c r="BF29" i="40"/>
  <c r="AN7" i="25"/>
  <c r="BP7" i="25" s="1"/>
  <c r="F63" i="35" s="1"/>
  <c r="G55" i="44" s="1"/>
  <c r="I92" i="48" s="1"/>
  <c r="FU15" i="3"/>
  <c r="N85" i="48"/>
  <c r="C40" i="50"/>
  <c r="A42" i="35"/>
  <c r="C41" i="35"/>
  <c r="GN23" i="19"/>
  <c r="BL23" i="19" s="1"/>
  <c r="FO23" i="19"/>
  <c r="EW8" i="3"/>
  <c r="EW6" i="3"/>
  <c r="EW5" i="3"/>
  <c r="EW3" i="3"/>
  <c r="EW2" i="3"/>
  <c r="EW1" i="3"/>
  <c r="F42" i="6" s="1"/>
  <c r="AN9" i="25"/>
  <c r="GD17" i="3"/>
  <c r="CL24" i="19"/>
  <c r="CQ22" i="19"/>
  <c r="G58" i="32"/>
  <c r="G49" i="32"/>
  <c r="G40" i="32"/>
  <c r="G32" i="32"/>
  <c r="G23" i="32"/>
  <c r="G59" i="32"/>
  <c r="G50" i="32"/>
  <c r="G42" i="32"/>
  <c r="G41" i="32"/>
  <c r="G33" i="32"/>
  <c r="G24" i="32"/>
  <c r="G16" i="32"/>
  <c r="G12" i="32"/>
  <c r="G8" i="32"/>
  <c r="G60" i="32"/>
  <c r="G51" i="32"/>
  <c r="G43" i="32"/>
  <c r="G34" i="32"/>
  <c r="G25" i="32"/>
  <c r="G61" i="32"/>
  <c r="G52" i="32"/>
  <c r="G44" i="32"/>
  <c r="G35" i="32"/>
  <c r="G26" i="32"/>
  <c r="G18" i="32"/>
  <c r="G17" i="32"/>
  <c r="G13" i="32"/>
  <c r="G9" i="32"/>
  <c r="G62" i="32"/>
  <c r="G54" i="32"/>
  <c r="G53" i="32"/>
  <c r="G45" i="32"/>
  <c r="G36" i="32"/>
  <c r="G27" i="32"/>
  <c r="G19" i="32"/>
  <c r="G63" i="32"/>
  <c r="G55" i="32"/>
  <c r="G46" i="32"/>
  <c r="G37" i="32"/>
  <c r="G28" i="32"/>
  <c r="G20" i="32"/>
  <c r="G14" i="32"/>
  <c r="G10" i="32"/>
  <c r="G6" i="32"/>
  <c r="G64" i="32"/>
  <c r="G56" i="32"/>
  <c r="G47" i="32"/>
  <c r="G38" i="32"/>
  <c r="G30" i="32"/>
  <c r="G29" i="32"/>
  <c r="G21" i="32"/>
  <c r="G65" i="32"/>
  <c r="G66" i="32" s="1"/>
  <c r="G67" i="32" s="1"/>
  <c r="G68" i="32" s="1"/>
  <c r="G69" i="32" s="1"/>
  <c r="G70" i="32" s="1"/>
  <c r="G71" i="32" s="1"/>
  <c r="G72" i="32" s="1"/>
  <c r="G73" i="32" s="1"/>
  <c r="G74" i="32" s="1"/>
  <c r="G75" i="32" s="1"/>
  <c r="G76" i="32" s="1"/>
  <c r="G77" i="32" s="1"/>
  <c r="G57" i="32"/>
  <c r="G48" i="32"/>
  <c r="G39" i="32"/>
  <c r="G31" i="32"/>
  <c r="G22" i="32"/>
  <c r="G15" i="32"/>
  <c r="G11" i="32"/>
  <c r="G7" i="32"/>
  <c r="EW9" i="3"/>
  <c r="C42" i="6" s="1"/>
  <c r="AN6" i="25"/>
  <c r="FU14" i="3"/>
  <c r="FU9" i="3" s="1"/>
  <c r="FP13" i="19"/>
  <c r="BL13" i="19" s="1"/>
  <c r="N130" i="38"/>
  <c r="E13" i="41"/>
  <c r="G13" i="41" s="1"/>
  <c r="F4" i="32"/>
  <c r="F5" i="32"/>
  <c r="CW5" i="3" l="1"/>
  <c r="DM1" i="7"/>
  <c r="CW1" i="3"/>
  <c r="F16" i="41" s="1"/>
  <c r="DF8" i="3"/>
  <c r="BB7" i="40"/>
  <c r="DC2" i="3"/>
  <c r="DI8" i="3"/>
  <c r="DI3" i="3"/>
  <c r="B23" i="8" s="1"/>
  <c r="BR7" i="40"/>
  <c r="DF3" i="3"/>
  <c r="CW3" i="3"/>
  <c r="B19" i="8" s="1"/>
  <c r="D19" i="8" s="1"/>
  <c r="B19" i="24" s="1"/>
  <c r="AZ3" i="3"/>
  <c r="DF1" i="3"/>
  <c r="F19" i="41" s="1"/>
  <c r="CW8" i="3"/>
  <c r="AW17" i="3"/>
  <c r="AW5" i="3" s="1"/>
  <c r="DM2" i="7"/>
  <c r="DC3" i="7"/>
  <c r="Q9" i="40"/>
  <c r="Q12" i="40" s="1"/>
  <c r="Q27" i="40" s="1"/>
  <c r="Q29" i="40" s="1"/>
  <c r="N9" i="40"/>
  <c r="N12" i="40" s="1"/>
  <c r="N27" i="40" s="1"/>
  <c r="N29" i="40" s="1"/>
  <c r="AZ2" i="3"/>
  <c r="DM3" i="7"/>
  <c r="DM5" i="7" s="1"/>
  <c r="DC1" i="7"/>
  <c r="C29" i="8" s="1"/>
  <c r="DF6" i="3"/>
  <c r="DF7" i="3" s="1"/>
  <c r="DF5" i="3"/>
  <c r="AZ1" i="3"/>
  <c r="DC2" i="7"/>
  <c r="CW6" i="3"/>
  <c r="CW7" i="3" s="1"/>
  <c r="G9" i="40"/>
  <c r="G12" i="40" s="1"/>
  <c r="G27" i="40" s="1"/>
  <c r="F8" i="41" s="1"/>
  <c r="DC6" i="7"/>
  <c r="DC7" i="7" s="1"/>
  <c r="AZ8" i="3"/>
  <c r="DC8" i="7"/>
  <c r="AX5" i="25"/>
  <c r="EG8" i="3"/>
  <c r="BF8" i="3"/>
  <c r="DI1" i="3"/>
  <c r="F20" i="41" s="1"/>
  <c r="F20" i="47" s="1"/>
  <c r="DI5" i="3"/>
  <c r="DL17" i="3"/>
  <c r="DI2" i="3"/>
  <c r="R9" i="40"/>
  <c r="R12" i="40" s="1"/>
  <c r="R27" i="40" s="1"/>
  <c r="BF8" i="7"/>
  <c r="BN6" i="3"/>
  <c r="BN7" i="3" s="1"/>
  <c r="FW20" i="19"/>
  <c r="FY20" i="19" s="1"/>
  <c r="EB2" i="3"/>
  <c r="CN6" i="7"/>
  <c r="CN7" i="7" s="1"/>
  <c r="EB1" i="3"/>
  <c r="F43" i="41" s="1"/>
  <c r="F45" i="47" s="1"/>
  <c r="G45" i="47" s="1"/>
  <c r="CN5" i="7"/>
  <c r="BO6" i="25"/>
  <c r="BO5" i="25" s="1"/>
  <c r="DL8" i="7"/>
  <c r="EB3" i="3"/>
  <c r="B33" i="8" s="1"/>
  <c r="D33" i="8" s="1"/>
  <c r="B33" i="24" s="1"/>
  <c r="DL2" i="7"/>
  <c r="EJ6" i="3"/>
  <c r="EJ7" i="3" s="1"/>
  <c r="CT1" i="7"/>
  <c r="DP2" i="3"/>
  <c r="CK1" i="7"/>
  <c r="E17" i="41" s="1"/>
  <c r="E17" i="47" s="1"/>
  <c r="G17" i="47" s="1"/>
  <c r="GC20" i="19"/>
  <c r="EB5" i="3"/>
  <c r="DL3" i="7"/>
  <c r="C30" i="8" s="1"/>
  <c r="CK5" i="7"/>
  <c r="DP5" i="3"/>
  <c r="DP1" i="3"/>
  <c r="F22" i="41" s="1"/>
  <c r="AZ8" i="7"/>
  <c r="AQ9" i="40"/>
  <c r="AQ12" i="40" s="1"/>
  <c r="AQ27" i="40" s="1"/>
  <c r="AQ29" i="40" s="1"/>
  <c r="CT5" i="7"/>
  <c r="EJ3" i="3"/>
  <c r="B50" i="8" s="1"/>
  <c r="D50" i="8" s="1"/>
  <c r="B50" i="24" s="1"/>
  <c r="DV1" i="3"/>
  <c r="B29" i="8" s="1"/>
  <c r="D29" i="8" s="1"/>
  <c r="B29" i="24" s="1"/>
  <c r="X9" i="40"/>
  <c r="X12" i="40" s="1"/>
  <c r="X27" i="40" s="1"/>
  <c r="X29" i="40" s="1"/>
  <c r="EJ5" i="3"/>
  <c r="EJ8" i="3"/>
  <c r="DV2" i="3"/>
  <c r="CT6" i="7"/>
  <c r="CT7" i="7" s="1"/>
  <c r="CT2" i="7"/>
  <c r="CT8" i="7"/>
  <c r="EJ2" i="3"/>
  <c r="AW3" i="7"/>
  <c r="AW2" i="7"/>
  <c r="AW8" i="7"/>
  <c r="CK3" i="7"/>
  <c r="C20" i="8" s="1"/>
  <c r="T9" i="40"/>
  <c r="T12" i="40" s="1"/>
  <c r="T27" i="40" s="1"/>
  <c r="AZ6" i="7"/>
  <c r="AZ7" i="7" s="1"/>
  <c r="CK2" i="7"/>
  <c r="DP3" i="3"/>
  <c r="B25" i="8" s="1"/>
  <c r="D25" i="8" s="1"/>
  <c r="B25" i="24" s="1"/>
  <c r="AW6" i="7"/>
  <c r="AW7" i="7" s="1"/>
  <c r="CK8" i="7"/>
  <c r="AZ3" i="7"/>
  <c r="BB15" i="7"/>
  <c r="BB1" i="7" s="1"/>
  <c r="AZ2" i="7"/>
  <c r="DP8" i="3"/>
  <c r="AW1" i="7"/>
  <c r="C6" i="8" s="1"/>
  <c r="AZ1" i="7"/>
  <c r="AZ5" i="7"/>
  <c r="CQ5" i="7"/>
  <c r="CZ3" i="3"/>
  <c r="B20" i="8" s="1"/>
  <c r="DY3" i="3"/>
  <c r="B30" i="8" s="1"/>
  <c r="CZ6" i="3"/>
  <c r="CZ7" i="3" s="1"/>
  <c r="CQ3" i="7"/>
  <c r="C26" i="8" s="1"/>
  <c r="D26" i="8" s="1"/>
  <c r="B26" i="24" s="1"/>
  <c r="DY6" i="3"/>
  <c r="DY7" i="3" s="1"/>
  <c r="CZ2" i="3"/>
  <c r="CQ1" i="7"/>
  <c r="DY5" i="3"/>
  <c r="CZ1" i="3"/>
  <c r="F17" i="41" s="1"/>
  <c r="CQ6" i="7"/>
  <c r="CQ7" i="7" s="1"/>
  <c r="DY2" i="3"/>
  <c r="CZ8" i="3"/>
  <c r="CQ8" i="7"/>
  <c r="DY8" i="3"/>
  <c r="DY1" i="3"/>
  <c r="F27" i="41" s="1"/>
  <c r="F27" i="47" s="1"/>
  <c r="O9" i="40"/>
  <c r="O12" i="40" s="1"/>
  <c r="O27" i="40" s="1"/>
  <c r="BN5" i="3"/>
  <c r="DC8" i="3"/>
  <c r="BN2" i="3"/>
  <c r="DC5" i="3"/>
  <c r="EN15" i="7"/>
  <c r="EN8" i="7" s="1"/>
  <c r="DC3" i="3"/>
  <c r="B21" i="8" s="1"/>
  <c r="D21" i="8" s="1"/>
  <c r="B21" i="24" s="1"/>
  <c r="P9" i="40"/>
  <c r="P12" i="40" s="1"/>
  <c r="P27" i="40" s="1"/>
  <c r="P29" i="40" s="1"/>
  <c r="DC6" i="3"/>
  <c r="DC7" i="3" s="1"/>
  <c r="BF2" i="7"/>
  <c r="N49" i="48"/>
  <c r="BF5" i="7"/>
  <c r="BN8" i="3"/>
  <c r="BF6" i="7"/>
  <c r="BF7" i="7" s="1"/>
  <c r="BF1" i="7"/>
  <c r="H9" i="40"/>
  <c r="H12" i="40" s="1"/>
  <c r="H27" i="40" s="1"/>
  <c r="H29" i="40" s="1"/>
  <c r="BN3" i="3"/>
  <c r="B9" i="8" s="1"/>
  <c r="D9" i="8" s="1"/>
  <c r="B9" i="24" s="1"/>
  <c r="BF1" i="3"/>
  <c r="F12" i="41" s="1"/>
  <c r="F12" i="47" s="1"/>
  <c r="BF3" i="3"/>
  <c r="B17" i="8" s="1"/>
  <c r="BF5" i="3"/>
  <c r="EG1" i="3"/>
  <c r="F45" i="41" s="1"/>
  <c r="G45" i="41" s="1"/>
  <c r="BF6" i="3"/>
  <c r="BF7" i="3" s="1"/>
  <c r="AP9" i="40"/>
  <c r="AP12" i="40" s="1"/>
  <c r="AP27" i="40" s="1"/>
  <c r="AP29" i="40" s="1"/>
  <c r="J9" i="40"/>
  <c r="J12" i="40" s="1"/>
  <c r="J27" i="40" s="1"/>
  <c r="EG2" i="3"/>
  <c r="EG5" i="3"/>
  <c r="EG6" i="3"/>
  <c r="EG7" i="3" s="1"/>
  <c r="EB8" i="3"/>
  <c r="CN2" i="7"/>
  <c r="AN9" i="40"/>
  <c r="BP9" i="40" s="1"/>
  <c r="CN8" i="7"/>
  <c r="CN1" i="7"/>
  <c r="BA2" i="7"/>
  <c r="EE5" i="3"/>
  <c r="EE1" i="3"/>
  <c r="F44" i="41" s="1"/>
  <c r="F46" i="47" s="1"/>
  <c r="EZ15" i="7"/>
  <c r="EZ1" i="7" s="1"/>
  <c r="EE6" i="3"/>
  <c r="EE7" i="3" s="1"/>
  <c r="AO9" i="40"/>
  <c r="BQ9" i="40" s="1"/>
  <c r="EE3" i="3"/>
  <c r="B32" i="8" s="1"/>
  <c r="D32" i="8" s="1"/>
  <c r="B32" i="24" s="1"/>
  <c r="BA1" i="7"/>
  <c r="BA6" i="7"/>
  <c r="BA7" i="7" s="1"/>
  <c r="EE2" i="3"/>
  <c r="BA3" i="7"/>
  <c r="BA5" i="7"/>
  <c r="AP15" i="7"/>
  <c r="BU7" i="25"/>
  <c r="BS7" i="40"/>
  <c r="I23" i="41"/>
  <c r="F23" i="47"/>
  <c r="I23" i="6"/>
  <c r="V29" i="25"/>
  <c r="M137" i="38"/>
  <c r="K137" i="38" s="1"/>
  <c r="B37" i="8"/>
  <c r="FW15" i="7"/>
  <c r="FV1" i="7"/>
  <c r="FV6" i="7"/>
  <c r="FV7" i="7" s="1"/>
  <c r="FV5" i="7"/>
  <c r="FV8" i="7"/>
  <c r="FV3" i="7"/>
  <c r="FV2" i="7"/>
  <c r="I48" i="6"/>
  <c r="F50" i="47"/>
  <c r="BB6" i="40"/>
  <c r="BB5" i="40" s="1"/>
  <c r="BC6" i="40"/>
  <c r="H5" i="40"/>
  <c r="C58" i="41"/>
  <c r="C9" i="47"/>
  <c r="G9" i="41"/>
  <c r="BA6" i="40"/>
  <c r="FR9" i="3"/>
  <c r="C57" i="41" s="1"/>
  <c r="FJ9" i="3"/>
  <c r="C53" i="41" s="1"/>
  <c r="AW6" i="40"/>
  <c r="AT29" i="25"/>
  <c r="E50" i="41"/>
  <c r="E52" i="47" s="1"/>
  <c r="AU28" i="40"/>
  <c r="AU29" i="40" s="1"/>
  <c r="E36" i="41"/>
  <c r="E49" i="41"/>
  <c r="E41" i="41"/>
  <c r="E43" i="47" s="1"/>
  <c r="AT28" i="40"/>
  <c r="AT29" i="40" s="1"/>
  <c r="C45" i="8"/>
  <c r="F35" i="47"/>
  <c r="G35" i="47" s="1"/>
  <c r="B51" i="8"/>
  <c r="D51" i="8" s="1"/>
  <c r="B51" i="24" s="1"/>
  <c r="H23" i="6"/>
  <c r="AH28" i="40"/>
  <c r="AH29" i="40" s="1"/>
  <c r="C52" i="8"/>
  <c r="E29" i="6"/>
  <c r="G29" i="6" s="1"/>
  <c r="H24" i="41"/>
  <c r="I34" i="41"/>
  <c r="D43" i="47"/>
  <c r="G23" i="6"/>
  <c r="C38" i="8"/>
  <c r="BQ12" i="25"/>
  <c r="BQ27" i="25" s="1"/>
  <c r="AB28" i="25"/>
  <c r="AL28" i="40"/>
  <c r="AL29" i="40" s="1"/>
  <c r="I22" i="6"/>
  <c r="AP29" i="25"/>
  <c r="G48" i="6"/>
  <c r="E24" i="47"/>
  <c r="G24" i="47" s="1"/>
  <c r="AA28" i="40"/>
  <c r="AA29" i="40" s="1"/>
  <c r="BR20" i="25"/>
  <c r="F54" i="35" s="1"/>
  <c r="G14" i="6"/>
  <c r="FW17" i="3"/>
  <c r="FW1" i="3" s="1"/>
  <c r="C17" i="8"/>
  <c r="B42" i="8"/>
  <c r="D42" i="8" s="1"/>
  <c r="B42" i="24" s="1"/>
  <c r="FE1" i="7"/>
  <c r="AM29" i="25"/>
  <c r="H48" i="6"/>
  <c r="B35" i="8"/>
  <c r="D35" i="8" s="1"/>
  <c r="B35" i="24" s="1"/>
  <c r="D36" i="6"/>
  <c r="AI28" i="25"/>
  <c r="AI29" i="25" s="1"/>
  <c r="C37" i="8"/>
  <c r="B39" i="8"/>
  <c r="FV18" i="19"/>
  <c r="FV17" i="19"/>
  <c r="GA17" i="19"/>
  <c r="GA18" i="19"/>
  <c r="AS29" i="40"/>
  <c r="H14" i="6"/>
  <c r="BH15" i="25"/>
  <c r="BH14" i="25" s="1"/>
  <c r="F27" i="35" s="1"/>
  <c r="H32" i="35" s="1"/>
  <c r="C41" i="8"/>
  <c r="I34" i="6"/>
  <c r="EQ15" i="7"/>
  <c r="EQ6" i="7" s="1"/>
  <c r="EQ7" i="7" s="1"/>
  <c r="D31" i="6"/>
  <c r="AD28" i="25"/>
  <c r="AD29" i="25" s="1"/>
  <c r="B34" i="8"/>
  <c r="D34" i="8" s="1"/>
  <c r="B34" i="24" s="1"/>
  <c r="B45" i="8"/>
  <c r="BH9" i="25"/>
  <c r="BH12" i="25" s="1"/>
  <c r="BH27" i="25" s="1"/>
  <c r="I41" i="41"/>
  <c r="C23" i="8"/>
  <c r="G47" i="41"/>
  <c r="I47" i="41"/>
  <c r="C47" i="8"/>
  <c r="FD12" i="7"/>
  <c r="G47" i="6"/>
  <c r="F49" i="47"/>
  <c r="G49" i="47" s="1"/>
  <c r="I47" i="6"/>
  <c r="FA10" i="19"/>
  <c r="FX17" i="3"/>
  <c r="FX15" i="3" s="1"/>
  <c r="I49" i="41"/>
  <c r="B52" i="8"/>
  <c r="I32" i="41"/>
  <c r="F42" i="47"/>
  <c r="AL25" i="25"/>
  <c r="AK12" i="40"/>
  <c r="AK27" i="40" s="1"/>
  <c r="I40" i="41" s="1"/>
  <c r="BL9" i="40"/>
  <c r="B44" i="8"/>
  <c r="D44" i="8" s="1"/>
  <c r="B44" i="24" s="1"/>
  <c r="B38" i="8"/>
  <c r="I27" i="6"/>
  <c r="D22" i="6"/>
  <c r="E22" i="6" s="1"/>
  <c r="G22" i="6" s="1"/>
  <c r="U28" i="25"/>
  <c r="U29" i="25" s="1"/>
  <c r="B40" i="8"/>
  <c r="D40" i="8" s="1"/>
  <c r="B40" i="24" s="1"/>
  <c r="G16" i="6"/>
  <c r="I16" i="6"/>
  <c r="AX6" i="3"/>
  <c r="AX7" i="3" s="1"/>
  <c r="AX2" i="3"/>
  <c r="AX8" i="3"/>
  <c r="F9" i="25"/>
  <c r="AX5" i="3"/>
  <c r="FM17" i="3"/>
  <c r="AX3" i="3"/>
  <c r="AX1" i="3"/>
  <c r="F5" i="6" s="1"/>
  <c r="AL18" i="25"/>
  <c r="AL26" i="25" s="1"/>
  <c r="BM15" i="25"/>
  <c r="AK18" i="40"/>
  <c r="AK26" i="40" s="1"/>
  <c r="BL15" i="40"/>
  <c r="I20" i="6"/>
  <c r="B41" i="8"/>
  <c r="BG9" i="40"/>
  <c r="Z18" i="40"/>
  <c r="Z26" i="40" s="1"/>
  <c r="BG15" i="40"/>
  <c r="G27" i="25"/>
  <c r="F8" i="6"/>
  <c r="C49" i="8"/>
  <c r="B53" i="8"/>
  <c r="D53" i="8" s="1"/>
  <c r="B53" i="24" s="1"/>
  <c r="AK25" i="40"/>
  <c r="G35" i="41"/>
  <c r="I35" i="41"/>
  <c r="GB14" i="3"/>
  <c r="GB15" i="3"/>
  <c r="FO17" i="3"/>
  <c r="GB1" i="3"/>
  <c r="I28" i="41"/>
  <c r="F31" i="47"/>
  <c r="I30" i="6"/>
  <c r="AE28" i="25"/>
  <c r="AE29" i="25" s="1"/>
  <c r="D32" i="6"/>
  <c r="FO20" i="19"/>
  <c r="I35" i="6"/>
  <c r="G35" i="6"/>
  <c r="F36" i="47"/>
  <c r="G36" i="47" s="1"/>
  <c r="F30" i="47"/>
  <c r="I29" i="6"/>
  <c r="I50" i="41"/>
  <c r="D32" i="41"/>
  <c r="AD28" i="40"/>
  <c r="AD29" i="40" s="1"/>
  <c r="D30" i="6"/>
  <c r="E30" i="6" s="1"/>
  <c r="AC28" i="25"/>
  <c r="AC29" i="25" s="1"/>
  <c r="D30" i="41"/>
  <c r="AB28" i="40"/>
  <c r="AB29" i="40" s="1"/>
  <c r="DG8" i="3"/>
  <c r="DG6" i="3"/>
  <c r="DG7" i="3" s="1"/>
  <c r="DG5" i="3"/>
  <c r="DG2" i="3"/>
  <c r="DG1" i="3"/>
  <c r="F19" i="6" s="1"/>
  <c r="F19" i="47" s="1"/>
  <c r="G19" i="47" s="1"/>
  <c r="DG3" i="3"/>
  <c r="B22" i="8" s="1"/>
  <c r="D22" i="8" s="1"/>
  <c r="B22" i="24" s="1"/>
  <c r="R9" i="25"/>
  <c r="R12" i="25" s="1"/>
  <c r="R27" i="25" s="1"/>
  <c r="R29" i="25" s="1"/>
  <c r="AM18" i="40"/>
  <c r="AM26" i="40" s="1"/>
  <c r="BO15" i="40"/>
  <c r="I29" i="41"/>
  <c r="AN25" i="25"/>
  <c r="G46" i="6"/>
  <c r="I46" i="6"/>
  <c r="N9" i="25"/>
  <c r="CU1" i="3"/>
  <c r="F15" i="6" s="1"/>
  <c r="CU6" i="3"/>
  <c r="CU7" i="3" s="1"/>
  <c r="CU5" i="3"/>
  <c r="CU2" i="3"/>
  <c r="CU8" i="3"/>
  <c r="CU3" i="3"/>
  <c r="D20" i="6"/>
  <c r="E20" i="6" s="1"/>
  <c r="S28" i="25"/>
  <c r="S29" i="25" s="1"/>
  <c r="I12" i="6"/>
  <c r="G18" i="6"/>
  <c r="I18" i="6"/>
  <c r="D28" i="6"/>
  <c r="E28" i="6" s="1"/>
  <c r="AA28" i="25"/>
  <c r="AA29" i="25" s="1"/>
  <c r="G33" i="41"/>
  <c r="I33" i="41"/>
  <c r="I32" i="6"/>
  <c r="F33" i="47"/>
  <c r="DM3" i="3"/>
  <c r="DM2" i="3"/>
  <c r="DM1" i="3"/>
  <c r="F21" i="6" s="1"/>
  <c r="DM5" i="3"/>
  <c r="DM8" i="3"/>
  <c r="T9" i="25"/>
  <c r="T12" i="25" s="1"/>
  <c r="T27" i="25" s="1"/>
  <c r="T29" i="25" s="1"/>
  <c r="DM6" i="3"/>
  <c r="DM7" i="3" s="1"/>
  <c r="P29" i="25"/>
  <c r="H17" i="6"/>
  <c r="W29" i="25"/>
  <c r="H24" i="6"/>
  <c r="I33" i="6"/>
  <c r="F34" i="47"/>
  <c r="G34" i="47" s="1"/>
  <c r="G33" i="6"/>
  <c r="FC12" i="7"/>
  <c r="EP15" i="7"/>
  <c r="FC1" i="7"/>
  <c r="I30" i="41"/>
  <c r="BH25" i="25"/>
  <c r="AL12" i="25"/>
  <c r="AL27" i="25" s="1"/>
  <c r="I40" i="6" s="1"/>
  <c r="BM9" i="25"/>
  <c r="I50" i="6"/>
  <c r="F52" i="47"/>
  <c r="G50" i="6"/>
  <c r="D30" i="47"/>
  <c r="E29" i="41"/>
  <c r="I45" i="6"/>
  <c r="G45" i="6"/>
  <c r="F51" i="47"/>
  <c r="I49" i="6"/>
  <c r="C39" i="8"/>
  <c r="I31" i="41"/>
  <c r="G31" i="41"/>
  <c r="CT1" i="3"/>
  <c r="F15" i="41" s="1"/>
  <c r="G15" i="41" s="1"/>
  <c r="CT2" i="3"/>
  <c r="CT8" i="3"/>
  <c r="M9" i="40"/>
  <c r="M12" i="40" s="1"/>
  <c r="M27" i="40" s="1"/>
  <c r="M29" i="40" s="1"/>
  <c r="CT6" i="3"/>
  <c r="CT7" i="3" s="1"/>
  <c r="CT5" i="3"/>
  <c r="CT3" i="3"/>
  <c r="AM25" i="40"/>
  <c r="H41" i="6"/>
  <c r="F37" i="47"/>
  <c r="I36" i="41"/>
  <c r="G36" i="41"/>
  <c r="FF12" i="7"/>
  <c r="FF1" i="7"/>
  <c r="B55" i="8"/>
  <c r="D55" i="8" s="1"/>
  <c r="B55" i="24" s="1"/>
  <c r="D47" i="8"/>
  <c r="B47" i="24" s="1"/>
  <c r="GA1" i="3"/>
  <c r="FN17" i="3"/>
  <c r="GA15" i="3"/>
  <c r="GA14" i="3"/>
  <c r="D12" i="6"/>
  <c r="E12" i="6" s="1"/>
  <c r="J28" i="25"/>
  <c r="J29" i="25" s="1"/>
  <c r="F32" i="47"/>
  <c r="I31" i="6"/>
  <c r="I36" i="6"/>
  <c r="Z25" i="40"/>
  <c r="AN18" i="25"/>
  <c r="AN26" i="25" s="1"/>
  <c r="BP15" i="25"/>
  <c r="I41" i="6"/>
  <c r="F43" i="47"/>
  <c r="I48" i="41"/>
  <c r="G41" i="6"/>
  <c r="FV23" i="19"/>
  <c r="FV20" i="19"/>
  <c r="EX10" i="19"/>
  <c r="FB10" i="19" s="1"/>
  <c r="EX13" i="19"/>
  <c r="EM13" i="19" s="1"/>
  <c r="ES13" i="19" s="1"/>
  <c r="EX15" i="7"/>
  <c r="FV17" i="3"/>
  <c r="BK13" i="19"/>
  <c r="BK12" i="19"/>
  <c r="BK23" i="19"/>
  <c r="BK17" i="3"/>
  <c r="BK10" i="19"/>
  <c r="BK20" i="19"/>
  <c r="BK22" i="19"/>
  <c r="BK15" i="7"/>
  <c r="Z25" i="25"/>
  <c r="BB20" i="19"/>
  <c r="FL20" i="19"/>
  <c r="G46" i="41"/>
  <c r="F48" i="47"/>
  <c r="G48" i="47" s="1"/>
  <c r="BR18" i="25"/>
  <c r="BR26" i="25" s="1"/>
  <c r="BR14" i="25"/>
  <c r="F37" i="35" s="1"/>
  <c r="D37" i="6"/>
  <c r="AJ28" i="25"/>
  <c r="AJ29" i="25" s="1"/>
  <c r="BB17" i="3"/>
  <c r="AW1" i="3"/>
  <c r="F18" i="40"/>
  <c r="F26" i="40" s="1"/>
  <c r="BB15" i="40"/>
  <c r="BB18" i="40" s="1"/>
  <c r="BB26" i="40" s="1"/>
  <c r="BC15" i="40"/>
  <c r="F15" i="25"/>
  <c r="D27" i="41"/>
  <c r="E27" i="41" s="1"/>
  <c r="Y28" i="40"/>
  <c r="Y29" i="40" s="1"/>
  <c r="AN17" i="3"/>
  <c r="AS17" i="3"/>
  <c r="AR17" i="3" s="1"/>
  <c r="AS10" i="19"/>
  <c r="AR10" i="19" s="1"/>
  <c r="AT10" i="19" s="1"/>
  <c r="AN10" i="19"/>
  <c r="AU10" i="19" s="1"/>
  <c r="AG14" i="3"/>
  <c r="AH17" i="3"/>
  <c r="F25" i="40"/>
  <c r="D5" i="41" s="1"/>
  <c r="BB25" i="40"/>
  <c r="G43" i="41"/>
  <c r="R25" i="40"/>
  <c r="G16" i="41"/>
  <c r="F16" i="47"/>
  <c r="G16" i="47" s="1"/>
  <c r="AX15" i="40"/>
  <c r="AO25" i="40"/>
  <c r="D49" i="6"/>
  <c r="AU28" i="25"/>
  <c r="AU29" i="25" s="1"/>
  <c r="AN15" i="7"/>
  <c r="AU15" i="7" s="1"/>
  <c r="AS15" i="7"/>
  <c r="AR15" i="7" s="1"/>
  <c r="AT20" i="19"/>
  <c r="AV20" i="19" s="1"/>
  <c r="D8" i="41"/>
  <c r="G8" i="41" s="1"/>
  <c r="G28" i="40"/>
  <c r="X18" i="25"/>
  <c r="BF15" i="25"/>
  <c r="I19" i="41"/>
  <c r="G19" i="41"/>
  <c r="AH20" i="19"/>
  <c r="AG17" i="19"/>
  <c r="DL6" i="3"/>
  <c r="DL7" i="3" s="1"/>
  <c r="DL2" i="3"/>
  <c r="DL3" i="3"/>
  <c r="S9" i="40"/>
  <c r="DL5" i="3"/>
  <c r="DL8" i="3"/>
  <c r="DL1" i="3"/>
  <c r="F21" i="41" s="1"/>
  <c r="D12" i="41"/>
  <c r="J28" i="40"/>
  <c r="C28" i="35"/>
  <c r="E28" i="35"/>
  <c r="G10" i="41"/>
  <c r="F10" i="47"/>
  <c r="G10" i="47" s="1"/>
  <c r="T28" i="40"/>
  <c r="D22" i="41"/>
  <c r="D23" i="41"/>
  <c r="U28" i="40"/>
  <c r="O18" i="40"/>
  <c r="O26" i="40" s="1"/>
  <c r="O28" i="40" s="1"/>
  <c r="AH15" i="7"/>
  <c r="E26" i="41"/>
  <c r="E26" i="47" s="1"/>
  <c r="G26" i="47" s="1"/>
  <c r="AH10" i="19"/>
  <c r="G25" i="6"/>
  <c r="I15" i="40"/>
  <c r="G26" i="25"/>
  <c r="G28" i="25" s="1"/>
  <c r="E8" i="6"/>
  <c r="G26" i="6"/>
  <c r="H26" i="6"/>
  <c r="G18" i="41"/>
  <c r="F18" i="47"/>
  <c r="G18" i="47" s="1"/>
  <c r="BQ15" i="40"/>
  <c r="AO18" i="40"/>
  <c r="AO26" i="40" s="1"/>
  <c r="G8" i="6"/>
  <c r="CZ8" i="7"/>
  <c r="CZ3" i="7"/>
  <c r="C28" i="8" s="1"/>
  <c r="D28" i="8" s="1"/>
  <c r="B28" i="24" s="1"/>
  <c r="CZ2" i="7"/>
  <c r="CZ6" i="7"/>
  <c r="CZ7" i="7" s="1"/>
  <c r="CZ5" i="7"/>
  <c r="CZ1" i="7"/>
  <c r="E25" i="41" s="1"/>
  <c r="W15" i="40"/>
  <c r="W18" i="40" s="1"/>
  <c r="W26" i="40" s="1"/>
  <c r="W28" i="40" s="1"/>
  <c r="W29" i="40" s="1"/>
  <c r="EY15" i="7"/>
  <c r="EN10" i="19"/>
  <c r="BB10" i="19"/>
  <c r="EL10" i="19"/>
  <c r="ET10" i="19"/>
  <c r="G41" i="41"/>
  <c r="BJ5" i="25"/>
  <c r="F57" i="35"/>
  <c r="G49" i="44" s="1"/>
  <c r="I86" i="48" s="1"/>
  <c r="D50" i="47"/>
  <c r="E48" i="41"/>
  <c r="G48" i="41" s="1"/>
  <c r="H14" i="41"/>
  <c r="H13" i="41"/>
  <c r="G38" i="41"/>
  <c r="G5" i="32"/>
  <c r="G4" i="32"/>
  <c r="E40" i="50"/>
  <c r="C47" i="50"/>
  <c r="E47" i="50" s="1"/>
  <c r="N92" i="48"/>
  <c r="H5" i="32"/>
  <c r="H4" i="32"/>
  <c r="C42" i="35"/>
  <c r="A43" i="35"/>
  <c r="EV9" i="3"/>
  <c r="C42" i="41" s="1"/>
  <c r="C44" i="47" s="1"/>
  <c r="AM6" i="40"/>
  <c r="FT14" i="3"/>
  <c r="FT9" i="3" s="1"/>
  <c r="D5" i="8" s="1"/>
  <c r="AM7" i="40"/>
  <c r="BO7" i="40" s="1"/>
  <c r="G63" i="35" s="1"/>
  <c r="H55" i="44" s="1"/>
  <c r="H50" i="48" s="1"/>
  <c r="FT15" i="3"/>
  <c r="GD15" i="3"/>
  <c r="GD14" i="3"/>
  <c r="GD1" i="3"/>
  <c r="GC17" i="3"/>
  <c r="EV8" i="3"/>
  <c r="EV6" i="3"/>
  <c r="EV5" i="3"/>
  <c r="EV1" i="3"/>
  <c r="F42" i="41" s="1"/>
  <c r="EV3" i="3"/>
  <c r="EV2" i="3"/>
  <c r="AM9" i="40"/>
  <c r="AN5" i="25"/>
  <c r="BP6" i="25"/>
  <c r="BP9" i="25"/>
  <c r="AN12" i="25"/>
  <c r="AN27" i="25" s="1"/>
  <c r="FR20" i="19" l="1"/>
  <c r="FJ20" i="19"/>
  <c r="G29" i="40"/>
  <c r="I16" i="41"/>
  <c r="I20" i="41"/>
  <c r="AW2" i="3"/>
  <c r="FL17" i="3"/>
  <c r="AW3" i="3"/>
  <c r="B8" i="8" s="1"/>
  <c r="B10" i="8" s="1"/>
  <c r="F9" i="40"/>
  <c r="AW6" i="3"/>
  <c r="AW7" i="3" s="1"/>
  <c r="AW8" i="3"/>
  <c r="G17" i="41"/>
  <c r="F58" i="35"/>
  <c r="G50" i="44" s="1"/>
  <c r="I87" i="48" s="1"/>
  <c r="I46" i="41"/>
  <c r="EN1" i="7"/>
  <c r="E54" i="41" s="1"/>
  <c r="GV20" i="19"/>
  <c r="GW20" i="19" s="1"/>
  <c r="AX20" i="19" s="1"/>
  <c r="E23" i="41"/>
  <c r="E23" i="47" s="1"/>
  <c r="DL5" i="7"/>
  <c r="I27" i="41"/>
  <c r="I22" i="41"/>
  <c r="F22" i="47"/>
  <c r="O29" i="40"/>
  <c r="EN2" i="7"/>
  <c r="EN5" i="7"/>
  <c r="F26" i="41"/>
  <c r="I26" i="41" s="1"/>
  <c r="D20" i="8"/>
  <c r="B20" i="24" s="1"/>
  <c r="BB2" i="7"/>
  <c r="BB6" i="7"/>
  <c r="BB7" i="7" s="1"/>
  <c r="F47" i="47"/>
  <c r="G47" i="47" s="1"/>
  <c r="EZ12" i="7"/>
  <c r="T29" i="40"/>
  <c r="BB3" i="7"/>
  <c r="EN3" i="7"/>
  <c r="BB5" i="7"/>
  <c r="BB8" i="7"/>
  <c r="EN6" i="7"/>
  <c r="EN7" i="7" s="1"/>
  <c r="AO12" i="40"/>
  <c r="AO27" i="40" s="1"/>
  <c r="I44" i="41" s="1"/>
  <c r="I45" i="41"/>
  <c r="H8" i="40"/>
  <c r="G4" i="35" s="1"/>
  <c r="J29" i="40"/>
  <c r="I18" i="41"/>
  <c r="E22" i="41"/>
  <c r="H22" i="41" s="1"/>
  <c r="I12" i="41"/>
  <c r="I17" i="41"/>
  <c r="F17" i="47"/>
  <c r="D37" i="8"/>
  <c r="B37" i="24" s="1"/>
  <c r="AN12" i="40"/>
  <c r="AN27" i="40" s="1"/>
  <c r="AN29" i="40" s="1"/>
  <c r="AT15" i="7"/>
  <c r="AV15" i="7" s="1"/>
  <c r="M139" i="38"/>
  <c r="K139" i="38" s="1"/>
  <c r="H30" i="40"/>
  <c r="FV4" i="7"/>
  <c r="FW2" i="7"/>
  <c r="FW8" i="7"/>
  <c r="FW6" i="7"/>
  <c r="FW7" i="7" s="1"/>
  <c r="FW1" i="7"/>
  <c r="FW3" i="7"/>
  <c r="FW4" i="7" s="1"/>
  <c r="FW5" i="7"/>
  <c r="H41" i="41"/>
  <c r="G50" i="41"/>
  <c r="G52" i="47"/>
  <c r="H36" i="41"/>
  <c r="C60" i="47"/>
  <c r="G60" i="47" s="1"/>
  <c r="G57" i="41"/>
  <c r="BN6" i="40"/>
  <c r="BA5" i="40"/>
  <c r="C61" i="47"/>
  <c r="C68" i="47" s="1"/>
  <c r="C69" i="47" s="1"/>
  <c r="C28" i="47"/>
  <c r="G9" i="47"/>
  <c r="BI6" i="40"/>
  <c r="AW5" i="40"/>
  <c r="BR6" i="40"/>
  <c r="BC5" i="40"/>
  <c r="I9" i="41" s="1"/>
  <c r="G56" i="35"/>
  <c r="H48" i="44" s="1"/>
  <c r="H43" i="48" s="1"/>
  <c r="N43" i="48" s="1"/>
  <c r="G53" i="41"/>
  <c r="C56" i="47"/>
  <c r="G56" i="47" s="1"/>
  <c r="H49" i="41"/>
  <c r="G49" i="41"/>
  <c r="D52" i="8"/>
  <c r="B52" i="24" s="1"/>
  <c r="D45" i="8"/>
  <c r="B45" i="24" s="1"/>
  <c r="E30" i="47"/>
  <c r="G30" i="47" s="1"/>
  <c r="FJ17" i="3"/>
  <c r="FJ1" i="3" s="1"/>
  <c r="F53" i="41" s="1"/>
  <c r="FR17" i="3"/>
  <c r="FR2" i="3" s="1"/>
  <c r="FW14" i="3"/>
  <c r="FW15" i="3"/>
  <c r="B56" i="8" s="1"/>
  <c r="FY17" i="3"/>
  <c r="FY15" i="3" s="1"/>
  <c r="AZ25" i="25"/>
  <c r="H29" i="6"/>
  <c r="EQ2" i="7"/>
  <c r="AB29" i="25"/>
  <c r="D30" i="8"/>
  <c r="B30" i="24" s="1"/>
  <c r="BR25" i="25"/>
  <c r="BR28" i="25" s="1"/>
  <c r="BR29" i="25" s="1"/>
  <c r="BH20" i="25"/>
  <c r="F45" i="35" s="1"/>
  <c r="H48" i="35" s="1"/>
  <c r="EQ5" i="7"/>
  <c r="D17" i="8"/>
  <c r="B17" i="24" s="1"/>
  <c r="C55" i="8"/>
  <c r="BH18" i="25"/>
  <c r="BH26" i="25" s="1"/>
  <c r="BH8" i="25"/>
  <c r="F9" i="35" s="1"/>
  <c r="H13" i="35" s="1"/>
  <c r="EQ8" i="7"/>
  <c r="F8" i="47"/>
  <c r="EQ1" i="7"/>
  <c r="B36" i="8"/>
  <c r="D36" i="8" s="1"/>
  <c r="B36" i="24" s="1"/>
  <c r="G43" i="47"/>
  <c r="D23" i="8"/>
  <c r="B23" i="24" s="1"/>
  <c r="D37" i="47"/>
  <c r="E36" i="6"/>
  <c r="B24" i="8"/>
  <c r="D24" i="8" s="1"/>
  <c r="B24" i="24" s="1"/>
  <c r="C46" i="8"/>
  <c r="EQ3" i="7"/>
  <c r="AZ15" i="25"/>
  <c r="BL15" i="25" s="1"/>
  <c r="FX1" i="3"/>
  <c r="C57" i="8"/>
  <c r="D41" i="8"/>
  <c r="B41" i="24" s="1"/>
  <c r="D32" i="47"/>
  <c r="E31" i="6"/>
  <c r="H12" i="6"/>
  <c r="AV10" i="19"/>
  <c r="B18" i="8"/>
  <c r="D18" i="8" s="1"/>
  <c r="B18" i="24" s="1"/>
  <c r="FX14" i="3"/>
  <c r="FP20" i="19"/>
  <c r="FT20" i="19" s="1"/>
  <c r="H29" i="41"/>
  <c r="BB28" i="40"/>
  <c r="FS17" i="3"/>
  <c r="FS1" i="3" s="1"/>
  <c r="F57" i="6" s="1"/>
  <c r="D40" i="6"/>
  <c r="AL28" i="25"/>
  <c r="AL29" i="25" s="1"/>
  <c r="G29" i="41"/>
  <c r="H28" i="6"/>
  <c r="G28" i="6"/>
  <c r="BP25" i="25"/>
  <c r="BP20" i="25"/>
  <c r="F53" i="35" s="1"/>
  <c r="I19" i="6"/>
  <c r="G19" i="6"/>
  <c r="G30" i="6"/>
  <c r="D31" i="47"/>
  <c r="H30" i="6"/>
  <c r="BL18" i="40"/>
  <c r="BL26" i="40" s="1"/>
  <c r="BL14" i="40"/>
  <c r="G33" i="35" s="1"/>
  <c r="D39" i="8"/>
  <c r="B39" i="24" s="1"/>
  <c r="BP14" i="25"/>
  <c r="F36" i="35" s="1"/>
  <c r="BP18" i="25"/>
  <c r="BP26" i="25" s="1"/>
  <c r="D42" i="6"/>
  <c r="AN28" i="25"/>
  <c r="AN29" i="25" s="1"/>
  <c r="AN30" i="25" s="1"/>
  <c r="BL25" i="40"/>
  <c r="BL20" i="40"/>
  <c r="G50" i="35" s="1"/>
  <c r="BD9" i="25"/>
  <c r="BC9" i="25"/>
  <c r="BC12" i="25" s="1"/>
  <c r="BC27" i="25" s="1"/>
  <c r="F12" i="25"/>
  <c r="F27" i="25" s="1"/>
  <c r="I5" i="6" s="1"/>
  <c r="BM20" i="25"/>
  <c r="F50" i="35" s="1"/>
  <c r="BM25" i="25"/>
  <c r="AM28" i="40"/>
  <c r="D42" i="41"/>
  <c r="D40" i="41"/>
  <c r="AK28" i="40"/>
  <c r="AK29" i="40" s="1"/>
  <c r="BG25" i="40"/>
  <c r="BG20" i="40"/>
  <c r="G45" i="35" s="1"/>
  <c r="I48" i="35" s="1"/>
  <c r="BO25" i="40"/>
  <c r="BO20" i="40"/>
  <c r="G53" i="35" s="1"/>
  <c r="BG14" i="40"/>
  <c r="G27" i="35" s="1"/>
  <c r="I32" i="35" s="1"/>
  <c r="BG18" i="40"/>
  <c r="BG26" i="40" s="1"/>
  <c r="BM18" i="25"/>
  <c r="BM26" i="25" s="1"/>
  <c r="BM14" i="25"/>
  <c r="F33" i="35" s="1"/>
  <c r="H22" i="6"/>
  <c r="FB15" i="7"/>
  <c r="FB1" i="7" s="1"/>
  <c r="E62" i="6" s="1"/>
  <c r="D28" i="41"/>
  <c r="Z28" i="40"/>
  <c r="Z29" i="40" s="1"/>
  <c r="G12" i="6"/>
  <c r="G15" i="6"/>
  <c r="F15" i="47"/>
  <c r="G15" i="47" s="1"/>
  <c r="BO18" i="40"/>
  <c r="BO26" i="40" s="1"/>
  <c r="BO14" i="40"/>
  <c r="G36" i="35" s="1"/>
  <c r="FO6" i="3"/>
  <c r="FO7" i="3" s="1"/>
  <c r="AZ9" i="25"/>
  <c r="FO2" i="3"/>
  <c r="FO5" i="3"/>
  <c r="FO3" i="3"/>
  <c r="FO8" i="3"/>
  <c r="FO1" i="3"/>
  <c r="F55" i="6" s="1"/>
  <c r="BM8" i="25"/>
  <c r="F14" i="35" s="1"/>
  <c r="BM12" i="25"/>
  <c r="BM27" i="25" s="1"/>
  <c r="BF9" i="25"/>
  <c r="N12" i="25"/>
  <c r="N27" i="25" s="1"/>
  <c r="N29" i="25" s="1"/>
  <c r="D33" i="47"/>
  <c r="BG12" i="40"/>
  <c r="BG27" i="40" s="1"/>
  <c r="BG8" i="40"/>
  <c r="G9" i="35" s="1"/>
  <c r="I13" i="35" s="1"/>
  <c r="D38" i="8"/>
  <c r="B38" i="24" s="1"/>
  <c r="B46" i="8"/>
  <c r="I10" i="41"/>
  <c r="B57" i="8"/>
  <c r="E32" i="41"/>
  <c r="G32" i="41" s="1"/>
  <c r="G20" i="6"/>
  <c r="H20" i="6"/>
  <c r="E30" i="41"/>
  <c r="G30" i="41" s="1"/>
  <c r="E32" i="6"/>
  <c r="H32" i="6" s="1"/>
  <c r="EP3" i="7"/>
  <c r="EP6" i="7"/>
  <c r="EP7" i="7" s="1"/>
  <c r="AY15" i="40"/>
  <c r="EP2" i="7"/>
  <c r="EP1" i="7"/>
  <c r="EP8" i="7"/>
  <c r="EP5" i="7"/>
  <c r="G29" i="25"/>
  <c r="I15" i="41"/>
  <c r="FN6" i="3"/>
  <c r="FN7" i="3" s="1"/>
  <c r="FN8" i="3"/>
  <c r="FN3" i="3"/>
  <c r="FN1" i="3"/>
  <c r="F55" i="41" s="1"/>
  <c r="FN5" i="3"/>
  <c r="AY9" i="40"/>
  <c r="FN2" i="3"/>
  <c r="G21" i="6"/>
  <c r="I21" i="6"/>
  <c r="FM8" i="3"/>
  <c r="FM6" i="3"/>
  <c r="FM7" i="3" s="1"/>
  <c r="FM2" i="3"/>
  <c r="FM5" i="3"/>
  <c r="FM3" i="3"/>
  <c r="FM1" i="3"/>
  <c r="F54" i="6" s="1"/>
  <c r="AY9" i="25"/>
  <c r="BL12" i="40"/>
  <c r="BL27" i="40" s="1"/>
  <c r="BL8" i="40"/>
  <c r="G14" i="35" s="1"/>
  <c r="ER10" i="19"/>
  <c r="EV10" i="19" s="1"/>
  <c r="EW13" i="19"/>
  <c r="FO13" i="19" s="1"/>
  <c r="FB13" i="19"/>
  <c r="BK1" i="3"/>
  <c r="BK3" i="3"/>
  <c r="BK5" i="3"/>
  <c r="K9" i="25"/>
  <c r="K12" i="25" s="1"/>
  <c r="K27" i="25" s="1"/>
  <c r="BK6" i="3"/>
  <c r="BK7" i="3" s="1"/>
  <c r="BK2" i="3"/>
  <c r="BK8" i="3"/>
  <c r="EX3" i="7"/>
  <c r="EX4" i="7" s="1"/>
  <c r="EX6" i="7"/>
  <c r="EX7" i="7" s="1"/>
  <c r="EX2" i="7"/>
  <c r="BT15" i="25"/>
  <c r="EX12" i="7"/>
  <c r="EX8" i="7"/>
  <c r="EX5" i="7"/>
  <c r="EX1" i="7"/>
  <c r="FV14" i="3"/>
  <c r="FV1" i="3"/>
  <c r="F52" i="6" s="1"/>
  <c r="FV3" i="3"/>
  <c r="FV15" i="3"/>
  <c r="FV2" i="3"/>
  <c r="FV8" i="3"/>
  <c r="BT9" i="25"/>
  <c r="FZ17" i="3"/>
  <c r="FV6" i="3"/>
  <c r="FV7" i="3" s="1"/>
  <c r="FK17" i="3"/>
  <c r="FV5" i="3"/>
  <c r="FZ20" i="19"/>
  <c r="FK20" i="19"/>
  <c r="K15" i="25"/>
  <c r="K18" i="25" s="1"/>
  <c r="K26" i="25" s="1"/>
  <c r="BK2" i="7"/>
  <c r="BK1" i="7"/>
  <c r="K25" i="25"/>
  <c r="BK6" i="7"/>
  <c r="BK7" i="7" s="1"/>
  <c r="BK8" i="7"/>
  <c r="BK5" i="7"/>
  <c r="BK3" i="7"/>
  <c r="FK23" i="19"/>
  <c r="FY17" i="19"/>
  <c r="FY18" i="19"/>
  <c r="FZ23" i="19"/>
  <c r="BC20" i="19"/>
  <c r="BQ20" i="19"/>
  <c r="BD20" i="19"/>
  <c r="BP20" i="19"/>
  <c r="G37" i="6"/>
  <c r="D38" i="47"/>
  <c r="E37" i="6"/>
  <c r="E38" i="47" s="1"/>
  <c r="BP8" i="40"/>
  <c r="G18" i="35" s="1"/>
  <c r="BP12" i="40"/>
  <c r="BP27" i="40" s="1"/>
  <c r="BP29" i="40" s="1"/>
  <c r="BQ12" i="40"/>
  <c r="BQ27" i="40" s="1"/>
  <c r="BQ8" i="40"/>
  <c r="G19" i="35" s="1"/>
  <c r="BC20" i="40"/>
  <c r="G40" i="35" s="1"/>
  <c r="BC25" i="40"/>
  <c r="BC18" i="40"/>
  <c r="BC26" i="40" s="1"/>
  <c r="BC14" i="40"/>
  <c r="G22" i="35" s="1"/>
  <c r="BR15" i="40"/>
  <c r="BQ14" i="40"/>
  <c r="G37" i="35" s="1"/>
  <c r="BQ18" i="40"/>
  <c r="BQ26" i="40" s="1"/>
  <c r="G26" i="41"/>
  <c r="H26" i="41"/>
  <c r="D58" i="41"/>
  <c r="G5" i="41"/>
  <c r="G58" i="41" s="1"/>
  <c r="BB2" i="3"/>
  <c r="I9" i="40"/>
  <c r="BB5" i="3"/>
  <c r="BB3" i="3"/>
  <c r="BB1" i="3"/>
  <c r="F11" i="41" s="1"/>
  <c r="BB8" i="3"/>
  <c r="BB6" i="3"/>
  <c r="BB7" i="3" s="1"/>
  <c r="G21" i="41"/>
  <c r="F21" i="47"/>
  <c r="G21" i="47" s="1"/>
  <c r="H17" i="41"/>
  <c r="H23" i="41"/>
  <c r="U29" i="40"/>
  <c r="S12" i="40"/>
  <c r="S27" i="40" s="1"/>
  <c r="S29" i="40" s="1"/>
  <c r="BE9" i="40"/>
  <c r="D51" i="47"/>
  <c r="E49" i="6"/>
  <c r="BJ15" i="40"/>
  <c r="AX18" i="40"/>
  <c r="AX26" i="40" s="1"/>
  <c r="AX28" i="40" s="1"/>
  <c r="H54" i="41" s="1"/>
  <c r="BE20" i="40"/>
  <c r="BE25" i="40"/>
  <c r="F28" i="40"/>
  <c r="FL8" i="3"/>
  <c r="AX9" i="40"/>
  <c r="FL6" i="3"/>
  <c r="FL7" i="3" s="1"/>
  <c r="FL1" i="3"/>
  <c r="F54" i="41" s="1"/>
  <c r="FL5" i="3"/>
  <c r="FL3" i="3"/>
  <c r="FL2" i="3"/>
  <c r="E5" i="41"/>
  <c r="E58" i="41" s="1"/>
  <c r="I25" i="40"/>
  <c r="G27" i="41"/>
  <c r="H27" i="41"/>
  <c r="EY12" i="7"/>
  <c r="C56" i="8" s="1"/>
  <c r="FA15" i="7"/>
  <c r="EY1" i="7"/>
  <c r="ET15" i="7"/>
  <c r="EL15" i="7"/>
  <c r="G23" i="41"/>
  <c r="D23" i="47"/>
  <c r="G23" i="47" s="1"/>
  <c r="BQ25" i="40"/>
  <c r="BQ20" i="40"/>
  <c r="G54" i="35" s="1"/>
  <c r="D20" i="41"/>
  <c r="R28" i="40"/>
  <c r="R29" i="40" s="1"/>
  <c r="F25" i="25"/>
  <c r="BB15" i="25"/>
  <c r="B6" i="8"/>
  <c r="D6" i="8" s="1"/>
  <c r="B6" i="24" s="1"/>
  <c r="F5" i="41"/>
  <c r="D22" i="47"/>
  <c r="G22" i="47" s="1"/>
  <c r="G22" i="41"/>
  <c r="BF18" i="25"/>
  <c r="BF26" i="25" s="1"/>
  <c r="BF14" i="25"/>
  <c r="F24" i="35" s="1"/>
  <c r="D44" i="41"/>
  <c r="AO28" i="40"/>
  <c r="BD15" i="25"/>
  <c r="F18" i="25"/>
  <c r="F26" i="25" s="1"/>
  <c r="BC15" i="25"/>
  <c r="BC18" i="25" s="1"/>
  <c r="AY15" i="25"/>
  <c r="AT17" i="3"/>
  <c r="H25" i="41"/>
  <c r="G25" i="41"/>
  <c r="I18" i="40"/>
  <c r="I26" i="40" s="1"/>
  <c r="BD15" i="40"/>
  <c r="X28" i="25"/>
  <c r="X26" i="25"/>
  <c r="G54" i="41"/>
  <c r="AU17" i="3"/>
  <c r="AN14" i="3"/>
  <c r="BC9" i="40"/>
  <c r="F12" i="40"/>
  <c r="F27" i="40" s="1"/>
  <c r="BB9" i="40"/>
  <c r="BB12" i="40" s="1"/>
  <c r="BB27" i="40" s="1"/>
  <c r="BF20" i="25"/>
  <c r="F42" i="35" s="1"/>
  <c r="BF25" i="25"/>
  <c r="D8" i="47"/>
  <c r="G8" i="47" s="1"/>
  <c r="E25" i="47"/>
  <c r="G25" i="47" s="1"/>
  <c r="BE15" i="40"/>
  <c r="D12" i="47"/>
  <c r="G12" i="47" s="1"/>
  <c r="E12" i="41"/>
  <c r="E12" i="47" s="1"/>
  <c r="G12" i="41"/>
  <c r="E8" i="41"/>
  <c r="E8" i="47" s="1"/>
  <c r="AX15" i="25"/>
  <c r="Z28" i="25"/>
  <c r="Z29" i="25" s="1"/>
  <c r="D27" i="6"/>
  <c r="N86" i="48"/>
  <c r="C41" i="50"/>
  <c r="E41" i="50" s="1"/>
  <c r="H48" i="41"/>
  <c r="E50" i="47"/>
  <c r="G50" i="47" s="1"/>
  <c r="N87" i="48"/>
  <c r="C42" i="50"/>
  <c r="E42" i="50" s="1"/>
  <c r="BO6" i="40"/>
  <c r="AM5" i="40"/>
  <c r="F59" i="35"/>
  <c r="BP5" i="25"/>
  <c r="GC15" i="3"/>
  <c r="B59" i="8" s="1"/>
  <c r="D59" i="8" s="1"/>
  <c r="B59" i="24" s="1"/>
  <c r="GC14" i="3"/>
  <c r="GC1" i="3"/>
  <c r="A44" i="35"/>
  <c r="C43" i="35"/>
  <c r="AM12" i="40"/>
  <c r="AM27" i="40" s="1"/>
  <c r="BO9" i="40"/>
  <c r="N50" i="48"/>
  <c r="C47" i="49"/>
  <c r="E47" i="49" s="1"/>
  <c r="BP12" i="25"/>
  <c r="BP27" i="25" s="1"/>
  <c r="BP8" i="25"/>
  <c r="F17" i="35" s="1"/>
  <c r="B49" i="8"/>
  <c r="D49" i="8" s="1"/>
  <c r="B49" i="24" s="1"/>
  <c r="I42" i="6"/>
  <c r="B5" i="24"/>
  <c r="F44" i="47"/>
  <c r="F54" i="47" s="1"/>
  <c r="FM20" i="19" l="1"/>
  <c r="FS20" i="19"/>
  <c r="BC10" i="19"/>
  <c r="FX10" i="19"/>
  <c r="FY10" i="19" s="1"/>
  <c r="AX10" i="19" s="1"/>
  <c r="AV5" i="7"/>
  <c r="AX15" i="7"/>
  <c r="F26" i="47"/>
  <c r="E22" i="47"/>
  <c r="I43" i="41"/>
  <c r="C40" i="49"/>
  <c r="AO29" i="40"/>
  <c r="FY1" i="3"/>
  <c r="F61" i="41" s="1"/>
  <c r="H62" i="44" s="1"/>
  <c r="FP17" i="3"/>
  <c r="AZ9" i="40" s="1"/>
  <c r="AW9" i="40"/>
  <c r="AW12" i="40" s="1"/>
  <c r="AW27" i="40" s="1"/>
  <c r="I53" i="41" s="1"/>
  <c r="FJ5" i="3"/>
  <c r="FJ2" i="3"/>
  <c r="FJ3" i="3"/>
  <c r="FJ6" i="3"/>
  <c r="FJ7" i="3" s="1"/>
  <c r="FJ8" i="3"/>
  <c r="BD10" i="19"/>
  <c r="BI10" i="19" s="1"/>
  <c r="K141" i="38"/>
  <c r="BD2" i="7"/>
  <c r="AV8" i="7"/>
  <c r="FU4" i="7"/>
  <c r="FR1" i="3"/>
  <c r="F57" i="41" s="1"/>
  <c r="F60" i="47" s="1"/>
  <c r="FR5" i="3"/>
  <c r="G58" i="35"/>
  <c r="H50" i="44" s="1"/>
  <c r="H45" i="48" s="1"/>
  <c r="BN5" i="40"/>
  <c r="BS6" i="40"/>
  <c r="BR5" i="40"/>
  <c r="BI5" i="40"/>
  <c r="G57" i="35"/>
  <c r="H49" i="44" s="1"/>
  <c r="H44" i="48" s="1"/>
  <c r="FR6" i="3"/>
  <c r="FR7" i="3" s="1"/>
  <c r="BA9" i="40"/>
  <c r="BA12" i="40" s="1"/>
  <c r="BA27" i="40" s="1"/>
  <c r="FR8" i="3"/>
  <c r="FR3" i="3"/>
  <c r="BL25" i="25"/>
  <c r="FY14" i="3"/>
  <c r="AV3" i="7"/>
  <c r="C7" i="8" s="1"/>
  <c r="BQ15" i="7"/>
  <c r="BQ3" i="7" s="1"/>
  <c r="BP15" i="7"/>
  <c r="BP5" i="7" s="1"/>
  <c r="AV2" i="7"/>
  <c r="BH28" i="25"/>
  <c r="BH29" i="25" s="1"/>
  <c r="BC15" i="7"/>
  <c r="AV1" i="7"/>
  <c r="AV6" i="7"/>
  <c r="AV7" i="7" s="1"/>
  <c r="D56" i="8"/>
  <c r="B56" i="24" s="1"/>
  <c r="D46" i="8"/>
  <c r="B46" i="24" s="1"/>
  <c r="C62" i="8"/>
  <c r="AM29" i="40"/>
  <c r="AM30" i="40" s="1"/>
  <c r="E37" i="47"/>
  <c r="G37" i="47" s="1"/>
  <c r="G36" i="6"/>
  <c r="F57" i="47"/>
  <c r="H36" i="6"/>
  <c r="BP10" i="19"/>
  <c r="BQ10" i="19"/>
  <c r="D57" i="8"/>
  <c r="B57" i="24" s="1"/>
  <c r="BB29" i="40"/>
  <c r="BB30" i="40" s="1"/>
  <c r="H30" i="41"/>
  <c r="AZ18" i="25"/>
  <c r="AZ26" i="25" s="1"/>
  <c r="B61" i="8"/>
  <c r="FS2" i="3"/>
  <c r="BF28" i="25"/>
  <c r="FS6" i="3"/>
  <c r="FS7" i="3" s="1"/>
  <c r="BB9" i="25"/>
  <c r="BB12" i="25" s="1"/>
  <c r="BB27" i="25" s="1"/>
  <c r="I57" i="6" s="1"/>
  <c r="E32" i="47"/>
  <c r="G32" i="47" s="1"/>
  <c r="G31" i="6"/>
  <c r="AV17" i="3"/>
  <c r="AV5" i="3" s="1"/>
  <c r="FB12" i="7"/>
  <c r="H31" i="6"/>
  <c r="BG28" i="40"/>
  <c r="BG29" i="40" s="1"/>
  <c r="FS8" i="3"/>
  <c r="FS3" i="3"/>
  <c r="BO28" i="40"/>
  <c r="FS5" i="3"/>
  <c r="D55" i="6"/>
  <c r="I15" i="6"/>
  <c r="BL28" i="40"/>
  <c r="BL29" i="40" s="1"/>
  <c r="BL18" i="25"/>
  <c r="BL26" i="25" s="1"/>
  <c r="BL14" i="25"/>
  <c r="F32" i="35" s="1"/>
  <c r="H32" i="41"/>
  <c r="B62" i="8"/>
  <c r="E28" i="41"/>
  <c r="E42" i="41"/>
  <c r="G42" i="41" s="1"/>
  <c r="AY25" i="40"/>
  <c r="F58" i="47"/>
  <c r="D29" i="47"/>
  <c r="D39" i="47" s="1"/>
  <c r="BM28" i="25"/>
  <c r="BM29" i="25" s="1"/>
  <c r="E42" i="6"/>
  <c r="G42" i="6" s="1"/>
  <c r="D44" i="47"/>
  <c r="BK9" i="25"/>
  <c r="AY12" i="25"/>
  <c r="AY27" i="25" s="1"/>
  <c r="I54" i="6" s="1"/>
  <c r="BK15" i="40"/>
  <c r="AY18" i="40"/>
  <c r="AY26" i="40" s="1"/>
  <c r="BK9" i="40"/>
  <c r="AY12" i="40"/>
  <c r="AY27" i="40" s="1"/>
  <c r="I55" i="41" s="1"/>
  <c r="E31" i="47"/>
  <c r="G31" i="47" s="1"/>
  <c r="G32" i="6"/>
  <c r="E33" i="47"/>
  <c r="G33" i="47" s="1"/>
  <c r="BF8" i="25"/>
  <c r="F6" i="35" s="1"/>
  <c r="BF12" i="25"/>
  <c r="BF27" i="25" s="1"/>
  <c r="BL9" i="25"/>
  <c r="AZ12" i="25"/>
  <c r="AZ27" i="25" s="1"/>
  <c r="E40" i="41"/>
  <c r="G40" i="41" s="1"/>
  <c r="BD12" i="25"/>
  <c r="BD27" i="25" s="1"/>
  <c r="BD8" i="25"/>
  <c r="BS9" i="25"/>
  <c r="BS12" i="25" s="1"/>
  <c r="BP28" i="25"/>
  <c r="BP29" i="25" s="1"/>
  <c r="BP30" i="25" s="1"/>
  <c r="D42" i="47"/>
  <c r="E40" i="6"/>
  <c r="G40" i="6" s="1"/>
  <c r="H37" i="6"/>
  <c r="K28" i="25"/>
  <c r="K29" i="25" s="1"/>
  <c r="BQ28" i="40"/>
  <c r="BQ29" i="40" s="1"/>
  <c r="BT12" i="25"/>
  <c r="BT8" i="25"/>
  <c r="BT20" i="25"/>
  <c r="F44" i="35" s="1"/>
  <c r="H45" i="35" s="1"/>
  <c r="BT25" i="25"/>
  <c r="D52" i="6" s="1"/>
  <c r="GC17" i="19"/>
  <c r="GC18" i="19"/>
  <c r="FK3" i="3"/>
  <c r="B60" i="8" s="1"/>
  <c r="FK2" i="3"/>
  <c r="FK1" i="3"/>
  <c r="F53" i="6" s="1"/>
  <c r="F56" i="47" s="1"/>
  <c r="AX9" i="25"/>
  <c r="FK5" i="3"/>
  <c r="FK8" i="3"/>
  <c r="FK6" i="3"/>
  <c r="FK7" i="3" s="1"/>
  <c r="F58" i="6"/>
  <c r="F55" i="47"/>
  <c r="BT18" i="25"/>
  <c r="BT14" i="25"/>
  <c r="F26" i="35" s="1"/>
  <c r="H27" i="35" s="1"/>
  <c r="FQ23" i="19"/>
  <c r="FU23" i="19" s="1"/>
  <c r="FZ14" i="3"/>
  <c r="FZ1" i="3"/>
  <c r="F62" i="6" s="1"/>
  <c r="H61" i="44" s="1"/>
  <c r="FZ15" i="3"/>
  <c r="B77" i="8" s="1"/>
  <c r="BB25" i="25"/>
  <c r="BD25" i="25"/>
  <c r="BD20" i="25"/>
  <c r="F40" i="35" s="1"/>
  <c r="H5" i="41"/>
  <c r="H12" i="41"/>
  <c r="F29" i="40"/>
  <c r="X29" i="25"/>
  <c r="H25" i="6"/>
  <c r="AY18" i="25"/>
  <c r="BK15" i="25"/>
  <c r="BB18" i="25"/>
  <c r="BB26" i="25" s="1"/>
  <c r="BO15" i="25"/>
  <c r="BC20" i="25"/>
  <c r="BC25" i="25"/>
  <c r="BC30" i="25" s="1"/>
  <c r="BC26" i="25"/>
  <c r="AX18" i="25"/>
  <c r="AX26" i="25" s="1"/>
  <c r="BJ15" i="25"/>
  <c r="BC12" i="40"/>
  <c r="BC27" i="40" s="1"/>
  <c r="BC8" i="40"/>
  <c r="BR9" i="40"/>
  <c r="BD18" i="40"/>
  <c r="BD26" i="40" s="1"/>
  <c r="BD14" i="40"/>
  <c r="G23" i="35" s="1"/>
  <c r="BD14" i="25"/>
  <c r="BD18" i="25"/>
  <c r="BD26" i="25" s="1"/>
  <c r="BS15" i="25"/>
  <c r="D5" i="6"/>
  <c r="F28" i="25"/>
  <c r="F29" i="25" s="1"/>
  <c r="G43" i="35"/>
  <c r="G42" i="35"/>
  <c r="I45" i="35" s="1"/>
  <c r="BR14" i="40"/>
  <c r="BR18" i="40"/>
  <c r="BI20" i="19"/>
  <c r="FQ20" i="19" s="1"/>
  <c r="GO20" i="19"/>
  <c r="GN20" i="19" s="1"/>
  <c r="BL20" i="19" s="1"/>
  <c r="G27" i="6"/>
  <c r="D27" i="47"/>
  <c r="G27" i="47" s="1"/>
  <c r="E27" i="6"/>
  <c r="E27" i="47" s="1"/>
  <c r="BE18" i="40"/>
  <c r="BE26" i="40" s="1"/>
  <c r="BE28" i="40" s="1"/>
  <c r="BE14" i="40"/>
  <c r="G24" i="35" s="1"/>
  <c r="I27" i="35" s="1"/>
  <c r="G61" i="44"/>
  <c r="I31" i="35"/>
  <c r="AX25" i="25"/>
  <c r="D46" i="47"/>
  <c r="G44" i="41"/>
  <c r="E44" i="41"/>
  <c r="G20" i="41"/>
  <c r="D20" i="47"/>
  <c r="G20" i="47" s="1"/>
  <c r="E20" i="41"/>
  <c r="E20" i="47" s="1"/>
  <c r="ER15" i="7"/>
  <c r="EV15" i="7" s="1"/>
  <c r="EL2" i="7"/>
  <c r="EL1" i="7"/>
  <c r="EL6" i="7"/>
  <c r="EL7" i="7" s="1"/>
  <c r="AW15" i="40"/>
  <c r="EL8" i="7"/>
  <c r="EL5" i="7"/>
  <c r="EL3" i="7"/>
  <c r="BJ18" i="40"/>
  <c r="BJ26" i="40" s="1"/>
  <c r="BJ28" i="40" s="1"/>
  <c r="BJ14" i="40"/>
  <c r="G31" i="35" s="1"/>
  <c r="I12" i="40"/>
  <c r="I27" i="40" s="1"/>
  <c r="I11" i="41" s="1"/>
  <c r="BD9" i="40"/>
  <c r="ET2" i="7"/>
  <c r="ET1" i="7"/>
  <c r="ET6" i="7"/>
  <c r="ET7" i="7" s="1"/>
  <c r="BA15" i="40"/>
  <c r="ET8" i="7"/>
  <c r="ET5" i="7"/>
  <c r="ET3" i="7"/>
  <c r="E51" i="47"/>
  <c r="G51" i="47" s="1"/>
  <c r="G49" i="6"/>
  <c r="H49" i="6"/>
  <c r="I21" i="41"/>
  <c r="BC28" i="40"/>
  <c r="F5" i="47"/>
  <c r="F28" i="47" s="1"/>
  <c r="F61" i="47" s="1"/>
  <c r="F58" i="41"/>
  <c r="I5" i="41"/>
  <c r="BD20" i="40"/>
  <c r="G41" i="35" s="1"/>
  <c r="BD25" i="40"/>
  <c r="AX12" i="40"/>
  <c r="AX27" i="40" s="1"/>
  <c r="BJ9" i="40"/>
  <c r="H7" i="48"/>
  <c r="J64" i="44"/>
  <c r="G66" i="35"/>
  <c r="FA1" i="7"/>
  <c r="E61" i="41" s="1"/>
  <c r="FA12" i="7"/>
  <c r="I28" i="40"/>
  <c r="D11" i="41"/>
  <c r="BE12" i="40"/>
  <c r="BE27" i="40" s="1"/>
  <c r="BE8" i="40"/>
  <c r="G6" i="35" s="1"/>
  <c r="I9" i="35" s="1"/>
  <c r="D59" i="41"/>
  <c r="D64" i="41"/>
  <c r="BR20" i="40"/>
  <c r="BR25" i="40"/>
  <c r="G38" i="47"/>
  <c r="I42" i="41"/>
  <c r="G51" i="44"/>
  <c r="H63" i="35"/>
  <c r="BO12" i="40"/>
  <c r="BO27" i="40" s="1"/>
  <c r="BO8" i="40"/>
  <c r="G17" i="35" s="1"/>
  <c r="A45" i="35"/>
  <c r="C44" i="35"/>
  <c r="E40" i="49"/>
  <c r="G59" i="35"/>
  <c r="BO5" i="40"/>
  <c r="EO10" i="19" l="1"/>
  <c r="EU10" i="19"/>
  <c r="EM10" i="19"/>
  <c r="AX6" i="7"/>
  <c r="AX7" i="7" s="1"/>
  <c r="AX2" i="7"/>
  <c r="AX1" i="7"/>
  <c r="E5" i="6" s="1"/>
  <c r="AX3" i="7"/>
  <c r="C8" i="8" s="1"/>
  <c r="EO15" i="7"/>
  <c r="EU15" i="7"/>
  <c r="AX5" i="7"/>
  <c r="EM15" i="7"/>
  <c r="AX8" i="7"/>
  <c r="BI9" i="40"/>
  <c r="FP1" i="3"/>
  <c r="F56" i="41" s="1"/>
  <c r="FP8" i="3"/>
  <c r="FP2" i="3"/>
  <c r="FP5" i="3"/>
  <c r="FP3" i="3"/>
  <c r="FQ15" i="7"/>
  <c r="FP15" i="7" s="1"/>
  <c r="BL15" i="7" s="1"/>
  <c r="BL6" i="7" s="1"/>
  <c r="BL7" i="7" s="1"/>
  <c r="FP6" i="3"/>
  <c r="FP7" i="3" s="1"/>
  <c r="FT17" i="3"/>
  <c r="BT9" i="40" s="1"/>
  <c r="FQ10" i="19"/>
  <c r="FP10" i="19" s="1"/>
  <c r="BL10" i="19" s="1"/>
  <c r="BD5" i="7"/>
  <c r="BD1" i="7"/>
  <c r="BD3" i="7"/>
  <c r="BD6" i="7"/>
  <c r="BD7" i="7" s="1"/>
  <c r="BI15" i="7"/>
  <c r="BI5" i="7" s="1"/>
  <c r="BD8" i="7"/>
  <c r="B64" i="8"/>
  <c r="I57" i="41"/>
  <c r="BQ5" i="7"/>
  <c r="C66" i="8" s="1"/>
  <c r="BQ8" i="7"/>
  <c r="BQ2" i="7"/>
  <c r="C41" i="49"/>
  <c r="E41" i="49" s="1"/>
  <c r="N44" i="48"/>
  <c r="BN9" i="40"/>
  <c r="BN12" i="40" s="1"/>
  <c r="BN27" i="40" s="1"/>
  <c r="BP1" i="7"/>
  <c r="BQ1" i="7"/>
  <c r="BP3" i="7"/>
  <c r="BL20" i="25"/>
  <c r="F48" i="35" s="1"/>
  <c r="BP2" i="7"/>
  <c r="BP8" i="7"/>
  <c r="BP7" i="7" s="1"/>
  <c r="BC2" i="7"/>
  <c r="BC1" i="7"/>
  <c r="BC6" i="7"/>
  <c r="BC7" i="7" s="1"/>
  <c r="BC5" i="7"/>
  <c r="I15" i="25"/>
  <c r="I18" i="25" s="1"/>
  <c r="I26" i="25" s="1"/>
  <c r="BC8" i="7"/>
  <c r="BC3" i="7"/>
  <c r="C16" i="8" s="1"/>
  <c r="C31" i="8" s="1"/>
  <c r="BO29" i="40"/>
  <c r="BO30" i="40" s="1"/>
  <c r="D62" i="8"/>
  <c r="B62" i="24" s="1"/>
  <c r="AV6" i="3"/>
  <c r="AV7" i="3" s="1"/>
  <c r="BO9" i="25"/>
  <c r="BO12" i="25" s="1"/>
  <c r="BO27" i="25" s="1"/>
  <c r="BD28" i="40"/>
  <c r="AZ28" i="25"/>
  <c r="AZ29" i="25" s="1"/>
  <c r="BF29" i="25"/>
  <c r="BF30" i="25" s="1"/>
  <c r="F65" i="47"/>
  <c r="BC17" i="3"/>
  <c r="BC8" i="3" s="1"/>
  <c r="BP17" i="3"/>
  <c r="BP8" i="3" s="1"/>
  <c r="AV8" i="3"/>
  <c r="I47" i="35"/>
  <c r="BD3" i="3"/>
  <c r="BQ17" i="3"/>
  <c r="BQ8" i="3" s="1"/>
  <c r="H42" i="41"/>
  <c r="AV1" i="3"/>
  <c r="AV2" i="3"/>
  <c r="AV3" i="3"/>
  <c r="B7" i="8" s="1"/>
  <c r="D7" i="8" s="1"/>
  <c r="B7" i="24" s="1"/>
  <c r="BL28" i="25"/>
  <c r="G55" i="6"/>
  <c r="E55" i="6"/>
  <c r="H42" i="6"/>
  <c r="FU20" i="19"/>
  <c r="GM20" i="19" s="1"/>
  <c r="BK14" i="40"/>
  <c r="G32" i="35" s="1"/>
  <c r="BK18" i="40"/>
  <c r="BK26" i="40" s="1"/>
  <c r="I55" i="6"/>
  <c r="BL8" i="25"/>
  <c r="F13" i="35" s="1"/>
  <c r="BL12" i="25"/>
  <c r="BL27" i="25" s="1"/>
  <c r="BK8" i="25"/>
  <c r="F12" i="35" s="1"/>
  <c r="BK12" i="25"/>
  <c r="BK27" i="25" s="1"/>
  <c r="G28" i="41"/>
  <c r="E29" i="47"/>
  <c r="B58" i="8"/>
  <c r="BS27" i="25"/>
  <c r="BU12" i="25"/>
  <c r="BK12" i="40"/>
  <c r="BK27" i="40" s="1"/>
  <c r="BK8" i="40"/>
  <c r="G13" i="35" s="1"/>
  <c r="H28" i="41"/>
  <c r="F75" i="35"/>
  <c r="F3" i="35"/>
  <c r="H12" i="35" s="1"/>
  <c r="BS8" i="25"/>
  <c r="BK20" i="40"/>
  <c r="G48" i="35" s="1"/>
  <c r="BK25" i="40"/>
  <c r="E42" i="47"/>
  <c r="G42" i="47" s="1"/>
  <c r="H40" i="41"/>
  <c r="AY28" i="40"/>
  <c r="AY29" i="40" s="1"/>
  <c r="D55" i="41"/>
  <c r="H40" i="6"/>
  <c r="E44" i="47"/>
  <c r="G44" i="47" s="1"/>
  <c r="G54" i="47" s="1"/>
  <c r="BU26" i="25"/>
  <c r="G62" i="6"/>
  <c r="I61" i="44" s="1"/>
  <c r="I29" i="40"/>
  <c r="FX17" i="19"/>
  <c r="FX18" i="19"/>
  <c r="GM23" i="19"/>
  <c r="H27" i="6"/>
  <c r="AX12" i="25"/>
  <c r="AX27" i="25" s="1"/>
  <c r="I53" i="6" s="1"/>
  <c r="BJ9" i="25"/>
  <c r="E52" i="6"/>
  <c r="E55" i="47" s="1"/>
  <c r="D55" i="47"/>
  <c r="BT26" i="25"/>
  <c r="BT28" i="25"/>
  <c r="H20" i="41"/>
  <c r="F8" i="35"/>
  <c r="F77" i="35"/>
  <c r="F68" i="47"/>
  <c r="F69" i="47" s="1"/>
  <c r="BT29" i="25"/>
  <c r="BT27" i="25"/>
  <c r="I52" i="6" s="1"/>
  <c r="AW18" i="40"/>
  <c r="AW26" i="40" s="1"/>
  <c r="BI15" i="40"/>
  <c r="BJ20" i="25"/>
  <c r="F47" i="35" s="1"/>
  <c r="BJ25" i="25"/>
  <c r="I30" i="35"/>
  <c r="F22" i="35"/>
  <c r="BS14" i="25"/>
  <c r="BU14" i="25" s="1"/>
  <c r="I25" i="25"/>
  <c r="BK14" i="25"/>
  <c r="F31" i="35" s="1"/>
  <c r="BK18" i="25"/>
  <c r="BK26" i="25" s="1"/>
  <c r="BK28" i="25" s="1"/>
  <c r="BS25" i="25"/>
  <c r="BS20" i="25"/>
  <c r="BS25" i="40"/>
  <c r="C77" i="8"/>
  <c r="D77" i="8" s="1"/>
  <c r="B77" i="24" s="1"/>
  <c r="C58" i="8"/>
  <c r="AW25" i="40"/>
  <c r="H44" i="41"/>
  <c r="E46" i="47"/>
  <c r="AY26" i="25"/>
  <c r="AY28" i="25"/>
  <c r="BD28" i="25"/>
  <c r="BD29" i="25" s="1"/>
  <c r="BB28" i="25"/>
  <c r="BB29" i="25" s="1"/>
  <c r="D57" i="6"/>
  <c r="E11" i="41"/>
  <c r="H11" i="41" s="1"/>
  <c r="G11" i="41"/>
  <c r="BD12" i="40"/>
  <c r="BD27" i="40" s="1"/>
  <c r="BD8" i="40"/>
  <c r="G5" i="35" s="1"/>
  <c r="E65" i="47"/>
  <c r="G61" i="41"/>
  <c r="G62" i="44"/>
  <c r="G46" i="47"/>
  <c r="D54" i="47"/>
  <c r="BR12" i="40"/>
  <c r="BR8" i="40"/>
  <c r="BO25" i="25"/>
  <c r="BO20" i="25"/>
  <c r="F52" i="35" s="1"/>
  <c r="AK15" i="25"/>
  <c r="BJ8" i="40"/>
  <c r="G12" i="35" s="1"/>
  <c r="BJ12" i="40"/>
  <c r="BJ27" i="40" s="1"/>
  <c r="BJ29" i="40" s="1"/>
  <c r="ER6" i="7"/>
  <c r="ER7" i="7" s="1"/>
  <c r="ER2" i="7"/>
  <c r="ER1" i="7"/>
  <c r="AZ15" i="40"/>
  <c r="ER3" i="7"/>
  <c r="ER8" i="7"/>
  <c r="ER5" i="7"/>
  <c r="G75" i="35"/>
  <c r="G3" i="35"/>
  <c r="BU25" i="25"/>
  <c r="BC28" i="25"/>
  <c r="BC29" i="25" s="1"/>
  <c r="I54" i="41"/>
  <c r="AX29" i="40"/>
  <c r="BA25" i="40"/>
  <c r="EV8" i="7"/>
  <c r="BT15" i="40"/>
  <c r="EV6" i="7"/>
  <c r="EV7" i="7" s="1"/>
  <c r="EV2" i="7"/>
  <c r="EV1" i="7"/>
  <c r="ET4" i="7" s="1"/>
  <c r="EV5" i="7"/>
  <c r="EV3" i="7"/>
  <c r="D58" i="6"/>
  <c r="D5" i="47"/>
  <c r="G5" i="6"/>
  <c r="G58" i="6" s="1"/>
  <c r="BC29" i="40"/>
  <c r="BC30" i="40" s="1"/>
  <c r="L15" i="25"/>
  <c r="BE29" i="40"/>
  <c r="BA18" i="40"/>
  <c r="BA26" i="40" s="1"/>
  <c r="BN15" i="40"/>
  <c r="BI8" i="40"/>
  <c r="BI12" i="40"/>
  <c r="BI27" i="40" s="1"/>
  <c r="AX28" i="25"/>
  <c r="D53" i="6"/>
  <c r="BS18" i="40"/>
  <c r="BR26" i="40"/>
  <c r="BS26" i="40" s="1"/>
  <c r="BU15" i="25"/>
  <c r="BS18" i="25"/>
  <c r="BJ18" i="25"/>
  <c r="BJ14" i="25"/>
  <c r="F30" i="35" s="1"/>
  <c r="BO18" i="25"/>
  <c r="BO26" i="25" s="1"/>
  <c r="BO14" i="25"/>
  <c r="F35" i="35" s="1"/>
  <c r="FT2" i="3"/>
  <c r="AZ12" i="40"/>
  <c r="AZ27" i="40" s="1"/>
  <c r="BM9" i="40"/>
  <c r="C45" i="35"/>
  <c r="A46" i="35"/>
  <c r="C42" i="49"/>
  <c r="N45" i="48"/>
  <c r="H51" i="44"/>
  <c r="I63" i="35"/>
  <c r="I88" i="48"/>
  <c r="I55" i="44"/>
  <c r="I57" i="44" s="1"/>
  <c r="ES10" i="19" l="1"/>
  <c r="EW10" i="19" s="1"/>
  <c r="FO10" i="19" s="1"/>
  <c r="BL1" i="7"/>
  <c r="BL3" i="7"/>
  <c r="EM1" i="7"/>
  <c r="EM2" i="7"/>
  <c r="EM5" i="7"/>
  <c r="EM3" i="7"/>
  <c r="C60" i="8" s="1"/>
  <c r="D60" i="8" s="1"/>
  <c r="B60" i="24" s="1"/>
  <c r="EM8" i="7"/>
  <c r="EM6" i="7"/>
  <c r="EM7" i="7" s="1"/>
  <c r="EU6" i="7"/>
  <c r="EU7" i="7" s="1"/>
  <c r="EU1" i="7"/>
  <c r="E57" i="6" s="1"/>
  <c r="H57" i="6" s="1"/>
  <c r="EU5" i="7"/>
  <c r="EU8" i="7"/>
  <c r="EU2" i="7"/>
  <c r="EU3" i="7"/>
  <c r="C64" i="8" s="1"/>
  <c r="D64" i="8" s="1"/>
  <c r="B64" i="24" s="1"/>
  <c r="EO8" i="7"/>
  <c r="EO2" i="7"/>
  <c r="EO6" i="7"/>
  <c r="EO7" i="7" s="1"/>
  <c r="EO3" i="7"/>
  <c r="C61" i="8" s="1"/>
  <c r="D61" i="8" s="1"/>
  <c r="B61" i="24" s="1"/>
  <c r="EO5" i="7"/>
  <c r="EO1" i="7"/>
  <c r="E54" i="6" s="1"/>
  <c r="C10" i="8"/>
  <c r="D10" i="8" s="1"/>
  <c r="B10" i="24" s="1"/>
  <c r="D8" i="8"/>
  <c r="B8" i="24" s="1"/>
  <c r="E53" i="6"/>
  <c r="H53" i="6" s="1"/>
  <c r="BL5" i="7"/>
  <c r="FT3" i="3"/>
  <c r="FT5" i="3"/>
  <c r="BL2" i="7"/>
  <c r="FT6" i="3"/>
  <c r="FT7" i="3" s="1"/>
  <c r="FT8" i="3"/>
  <c r="FT1" i="3"/>
  <c r="FP4" i="3" s="1"/>
  <c r="BL8" i="7"/>
  <c r="BI3" i="7"/>
  <c r="C11" i="8" s="1"/>
  <c r="ES15" i="7"/>
  <c r="ES1" i="7" s="1"/>
  <c r="BI2" i="7"/>
  <c r="BI8" i="7"/>
  <c r="BI1" i="7"/>
  <c r="BI6" i="7"/>
  <c r="BI7" i="7" s="1"/>
  <c r="BN8" i="40"/>
  <c r="G16" i="35" s="1"/>
  <c r="BQ7" i="7"/>
  <c r="BE15" i="25"/>
  <c r="BE18" i="25" s="1"/>
  <c r="BE26" i="25" s="1"/>
  <c r="BD29" i="40"/>
  <c r="BQ3" i="3"/>
  <c r="BQ1" i="3"/>
  <c r="BQ2" i="3"/>
  <c r="BQ5" i="3"/>
  <c r="BQ7" i="3" s="1"/>
  <c r="BP3" i="3"/>
  <c r="H55" i="6"/>
  <c r="BP1" i="3"/>
  <c r="BP5" i="3"/>
  <c r="BP7" i="3" s="1"/>
  <c r="BP2" i="3"/>
  <c r="BC3" i="3"/>
  <c r="B16" i="8" s="1"/>
  <c r="D16" i="8" s="1"/>
  <c r="B16" i="24" s="1"/>
  <c r="BO8" i="25"/>
  <c r="F80" i="35" s="1"/>
  <c r="H79" i="35"/>
  <c r="BC6" i="3"/>
  <c r="BC7" i="3" s="1"/>
  <c r="BC2" i="3"/>
  <c r="BC1" i="3"/>
  <c r="F11" i="6" s="1"/>
  <c r="F11" i="47" s="1"/>
  <c r="I9" i="25"/>
  <c r="BE9" i="25" s="1"/>
  <c r="BC5" i="3"/>
  <c r="E54" i="47"/>
  <c r="BD8" i="3"/>
  <c r="BD1" i="3"/>
  <c r="GO17" i="3"/>
  <c r="GN17" i="3" s="1"/>
  <c r="BL17" i="3" s="1"/>
  <c r="BL1" i="3" s="1"/>
  <c r="F13" i="6" s="1"/>
  <c r="F13" i="47" s="1"/>
  <c r="BI17" i="3"/>
  <c r="BI8" i="3" s="1"/>
  <c r="BD2" i="3"/>
  <c r="BD6" i="3"/>
  <c r="BD7" i="3" s="1"/>
  <c r="BD5" i="3"/>
  <c r="BK28" i="40"/>
  <c r="BK29" i="40" s="1"/>
  <c r="BL29" i="25"/>
  <c r="D58" i="8"/>
  <c r="B58" i="24" s="1"/>
  <c r="BK29" i="25"/>
  <c r="D58" i="47"/>
  <c r="G58" i="47" s="1"/>
  <c r="G55" i="41"/>
  <c r="E55" i="41"/>
  <c r="G29" i="47"/>
  <c r="G39" i="47" s="1"/>
  <c r="E39" i="47"/>
  <c r="AX29" i="25"/>
  <c r="AX30" i="25" s="1"/>
  <c r="H9" i="35"/>
  <c r="H11" i="35"/>
  <c r="BJ8" i="25"/>
  <c r="BJ12" i="25"/>
  <c r="BJ27" i="25" s="1"/>
  <c r="H52" i="6"/>
  <c r="E135" i="43"/>
  <c r="F66" i="35"/>
  <c r="I7" i="48"/>
  <c r="G63" i="6"/>
  <c r="G64" i="6" s="1"/>
  <c r="I64" i="44"/>
  <c r="D57" i="44" s="1"/>
  <c r="I135" i="43"/>
  <c r="E138" i="43" s="1"/>
  <c r="AZ18" i="40"/>
  <c r="AZ26" i="40" s="1"/>
  <c r="BM15" i="40"/>
  <c r="BA15" i="25"/>
  <c r="BS28" i="25"/>
  <c r="D28" i="47"/>
  <c r="D61" i="47" s="1"/>
  <c r="G5" i="47"/>
  <c r="G28" i="47" s="1"/>
  <c r="G61" i="47" s="1"/>
  <c r="BP4" i="7"/>
  <c r="AZ25" i="40"/>
  <c r="EL4" i="7"/>
  <c r="BR28" i="40"/>
  <c r="BS28" i="40" s="1"/>
  <c r="BJ26" i="25"/>
  <c r="G79" i="35"/>
  <c r="I82" i="35" s="1"/>
  <c r="G11" i="35"/>
  <c r="I19" i="35" s="1"/>
  <c r="D65" i="6"/>
  <c r="D59" i="6"/>
  <c r="BS15" i="40"/>
  <c r="BT14" i="40"/>
  <c r="BT18" i="40"/>
  <c r="BT26" i="40" s="1"/>
  <c r="BO28" i="25"/>
  <c r="BJ28" i="25"/>
  <c r="I79" i="35"/>
  <c r="I12" i="35"/>
  <c r="I11" i="35"/>
  <c r="AK18" i="25"/>
  <c r="AK26" i="25" s="1"/>
  <c r="BI15" i="25"/>
  <c r="D11" i="6"/>
  <c r="I28" i="25"/>
  <c r="H5" i="6"/>
  <c r="E58" i="6"/>
  <c r="E5" i="47"/>
  <c r="E28" i="47" s="1"/>
  <c r="E61" i="47" s="1"/>
  <c r="W5" i="6"/>
  <c r="L25" i="25"/>
  <c r="EV4" i="7"/>
  <c r="C12" i="8"/>
  <c r="D57" i="41"/>
  <c r="E57" i="41" s="1"/>
  <c r="BA28" i="40"/>
  <c r="BA29" i="40" s="1"/>
  <c r="BA30" i="40" s="1"/>
  <c r="AK25" i="25"/>
  <c r="G65" i="47"/>
  <c r="G62" i="41"/>
  <c r="J62" i="44"/>
  <c r="D58" i="44" s="1"/>
  <c r="D53" i="41"/>
  <c r="AW28" i="40"/>
  <c r="AW29" i="40" s="1"/>
  <c r="AW30" i="40" s="1"/>
  <c r="BE25" i="25"/>
  <c r="BE20" i="25"/>
  <c r="F41" i="35" s="1"/>
  <c r="H47" i="35" s="1"/>
  <c r="BI18" i="40"/>
  <c r="BI26" i="40" s="1"/>
  <c r="BI14" i="40"/>
  <c r="G30" i="35" s="1"/>
  <c r="BU18" i="25"/>
  <c r="BS26" i="25"/>
  <c r="BN18" i="40"/>
  <c r="BN26" i="40" s="1"/>
  <c r="BN14" i="40"/>
  <c r="G35" i="35" s="1"/>
  <c r="L18" i="25"/>
  <c r="L26" i="25" s="1"/>
  <c r="BG15" i="25"/>
  <c r="ER4" i="7"/>
  <c r="BU4" i="7"/>
  <c r="C91" i="8" s="1"/>
  <c r="BH4" i="7"/>
  <c r="DB4" i="7"/>
  <c r="CZ4" i="7"/>
  <c r="DH4" i="7"/>
  <c r="AW4" i="7"/>
  <c r="CE4" i="7"/>
  <c r="BX4" i="7"/>
  <c r="C92" i="8" s="1"/>
  <c r="CK4" i="7"/>
  <c r="BS4" i="7"/>
  <c r="DT4" i="7"/>
  <c r="CN4" i="7"/>
  <c r="AZ4" i="7"/>
  <c r="CQ4" i="7"/>
  <c r="BB4" i="7"/>
  <c r="DN4" i="7"/>
  <c r="CT4" i="7"/>
  <c r="DQ4" i="7"/>
  <c r="CG4" i="7"/>
  <c r="BV4" i="7"/>
  <c r="DL4" i="7"/>
  <c r="BR4" i="7"/>
  <c r="C90" i="8" s="1"/>
  <c r="ED4" i="7"/>
  <c r="CJ4" i="7"/>
  <c r="CP4" i="7"/>
  <c r="DF4" i="7"/>
  <c r="E64" i="41"/>
  <c r="DO4" i="7"/>
  <c r="AY4" i="7"/>
  <c r="CB4" i="7"/>
  <c r="BY4" i="7"/>
  <c r="DI4" i="7"/>
  <c r="DE4" i="7"/>
  <c r="DK4" i="7"/>
  <c r="EF4" i="7"/>
  <c r="DR4" i="7"/>
  <c r="CW4" i="7"/>
  <c r="CA4" i="7"/>
  <c r="C93" i="8" s="1"/>
  <c r="EP4" i="7"/>
  <c r="C69" i="8"/>
  <c r="BF4" i="7"/>
  <c r="BJ4" i="7"/>
  <c r="CH4" i="7"/>
  <c r="DX4" i="7"/>
  <c r="CD4" i="7"/>
  <c r="C94" i="8" s="1"/>
  <c r="CM4" i="7"/>
  <c r="CV4" i="7"/>
  <c r="CY4" i="7"/>
  <c r="CS4" i="7"/>
  <c r="DW4" i="7"/>
  <c r="EJ4" i="7"/>
  <c r="BR19" i="40"/>
  <c r="BS19" i="40" s="1"/>
  <c r="DC4" i="7"/>
  <c r="EG4" i="7"/>
  <c r="EC4" i="7"/>
  <c r="EA4" i="7"/>
  <c r="EI4" i="7"/>
  <c r="DU4" i="7"/>
  <c r="EN4" i="7"/>
  <c r="DZ4" i="7"/>
  <c r="BN25" i="40"/>
  <c r="BN20" i="40"/>
  <c r="G52" i="35" s="1"/>
  <c r="BR27" i="40"/>
  <c r="BS12" i="40"/>
  <c r="BS29" i="40"/>
  <c r="BI20" i="40"/>
  <c r="G47" i="35" s="1"/>
  <c r="BI25" i="40"/>
  <c r="BT20" i="40"/>
  <c r="BT25" i="40"/>
  <c r="H54" i="6"/>
  <c r="AY29" i="25"/>
  <c r="H30" i="35"/>
  <c r="H31" i="35"/>
  <c r="H46" i="48"/>
  <c r="J55" i="44"/>
  <c r="J58" i="44" s="1"/>
  <c r="BT12" i="40"/>
  <c r="BT27" i="40" s="1"/>
  <c r="BT8" i="40"/>
  <c r="BS9" i="40"/>
  <c r="A47" i="35"/>
  <c r="C46" i="35"/>
  <c r="N88" i="48"/>
  <c r="N52" i="48" s="1"/>
  <c r="C43" i="50"/>
  <c r="I9" i="48"/>
  <c r="I56" i="41"/>
  <c r="E42" i="49"/>
  <c r="BM12" i="40"/>
  <c r="BM27" i="40" s="1"/>
  <c r="BM8" i="40"/>
  <c r="G15" i="35" s="1"/>
  <c r="DE4" i="3" l="1"/>
  <c r="AW4" i="3"/>
  <c r="E57" i="47"/>
  <c r="G57" i="47" s="1"/>
  <c r="G54" i="6"/>
  <c r="DU4" i="3"/>
  <c r="CE4" i="3"/>
  <c r="BB4" i="3"/>
  <c r="EV4" i="3"/>
  <c r="CS4" i="3"/>
  <c r="H39" i="41"/>
  <c r="EJ4" i="3"/>
  <c r="B69" i="8"/>
  <c r="D69" i="8" s="1"/>
  <c r="B69" i="24" s="1"/>
  <c r="EY4" i="3"/>
  <c r="F64" i="41"/>
  <c r="EI4" i="3"/>
  <c r="CT4" i="3"/>
  <c r="DL4" i="3"/>
  <c r="DV4" i="3"/>
  <c r="ED4" i="3"/>
  <c r="DH4" i="3"/>
  <c r="BY4" i="3"/>
  <c r="BF4" i="3"/>
  <c r="EU4" i="3"/>
  <c r="CN4" i="3"/>
  <c r="BS4" i="3"/>
  <c r="EM4" i="3"/>
  <c r="DK4" i="3"/>
  <c r="DC4" i="3"/>
  <c r="CM4" i="3"/>
  <c r="CV4" i="3"/>
  <c r="H7" i="41"/>
  <c r="EB4" i="3"/>
  <c r="CG4" i="3"/>
  <c r="CK4" i="3"/>
  <c r="H6" i="41"/>
  <c r="FL4" i="3"/>
  <c r="CA4" i="3"/>
  <c r="EX4" i="3"/>
  <c r="FD4" i="3"/>
  <c r="CZ4" i="3"/>
  <c r="DP4" i="3"/>
  <c r="CY4" i="3"/>
  <c r="FE4" i="3"/>
  <c r="BJ4" i="3"/>
  <c r="FH4" i="3"/>
  <c r="GS4" i="3"/>
  <c r="A58" i="41"/>
  <c r="DS4" i="3"/>
  <c r="DR4" i="3"/>
  <c r="CQ4" i="3"/>
  <c r="EO4" i="3"/>
  <c r="FT4" i="3"/>
  <c r="FR4" i="3"/>
  <c r="EA4" i="3"/>
  <c r="DO4" i="3"/>
  <c r="FA4" i="3"/>
  <c r="BP4" i="3"/>
  <c r="GT4" i="3"/>
  <c r="FN4" i="3"/>
  <c r="DY4" i="3"/>
  <c r="DI4" i="3"/>
  <c r="DX4" i="3"/>
  <c r="BU4" i="3"/>
  <c r="B91" i="8" s="1"/>
  <c r="DB4" i="3"/>
  <c r="ER4" i="3"/>
  <c r="FJ4" i="3"/>
  <c r="CJ4" i="3"/>
  <c r="CW4" i="3"/>
  <c r="BN4" i="3"/>
  <c r="ES4" i="3"/>
  <c r="BX4" i="3"/>
  <c r="B93" i="8" s="1"/>
  <c r="BR4" i="3"/>
  <c r="B90" i="8" s="1"/>
  <c r="DF4" i="3"/>
  <c r="BV4" i="3"/>
  <c r="AZ4" i="3"/>
  <c r="EP4" i="3"/>
  <c r="CH4" i="3"/>
  <c r="CD4" i="3"/>
  <c r="B94" i="8" s="1"/>
  <c r="EG4" i="3"/>
  <c r="EE4" i="3"/>
  <c r="FB4" i="3"/>
  <c r="EL4" i="3"/>
  <c r="CP4" i="3"/>
  <c r="CB4" i="3"/>
  <c r="FG4" i="3"/>
  <c r="BH4" i="3"/>
  <c r="ES3" i="7"/>
  <c r="C63" i="8" s="1"/>
  <c r="C65" i="8" s="1"/>
  <c r="EW15" i="7"/>
  <c r="FO15" i="7" s="1"/>
  <c r="C15" i="8"/>
  <c r="ES8" i="7"/>
  <c r="ES2" i="7"/>
  <c r="ES6" i="7"/>
  <c r="ES7" i="7" s="1"/>
  <c r="ES5" i="7"/>
  <c r="BE14" i="25"/>
  <c r="F23" i="35" s="1"/>
  <c r="G80" i="35"/>
  <c r="FQ17" i="3"/>
  <c r="BA9" i="25" s="1"/>
  <c r="B31" i="8"/>
  <c r="D31" i="8" s="1"/>
  <c r="B31" i="24" s="1"/>
  <c r="B66" i="8"/>
  <c r="D66" i="8" s="1"/>
  <c r="B66" i="24" s="1"/>
  <c r="BL8" i="3"/>
  <c r="AK9" i="25"/>
  <c r="AK12" i="25" s="1"/>
  <c r="AK27" i="25" s="1"/>
  <c r="BI6" i="3"/>
  <c r="BI7" i="3" s="1"/>
  <c r="BI3" i="3"/>
  <c r="B11" i="8" s="1"/>
  <c r="BI1" i="3"/>
  <c r="F38" i="6" s="1"/>
  <c r="F40" i="47" s="1"/>
  <c r="BI2" i="3"/>
  <c r="BI5" i="3"/>
  <c r="F16" i="35"/>
  <c r="BL6" i="3"/>
  <c r="BL7" i="3" s="1"/>
  <c r="I12" i="25"/>
  <c r="I27" i="25" s="1"/>
  <c r="I11" i="6" s="1"/>
  <c r="L9" i="25"/>
  <c r="L12" i="25" s="1"/>
  <c r="L27" i="25" s="1"/>
  <c r="I13" i="6" s="1"/>
  <c r="BL2" i="3"/>
  <c r="BL5" i="3"/>
  <c r="BL3" i="3"/>
  <c r="B12" i="8" s="1"/>
  <c r="D12" i="8" s="1"/>
  <c r="B12" i="24" s="1"/>
  <c r="BE28" i="25"/>
  <c r="BR29" i="40"/>
  <c r="BR30" i="40" s="1"/>
  <c r="BS30" i="40" s="1"/>
  <c r="BN28" i="40"/>
  <c r="BN29" i="40" s="1"/>
  <c r="BN30" i="40" s="1"/>
  <c r="BT28" i="40"/>
  <c r="BT29" i="40" s="1"/>
  <c r="H55" i="41"/>
  <c r="E58" i="47"/>
  <c r="BJ29" i="25"/>
  <c r="I81" i="35"/>
  <c r="BJ30" i="25"/>
  <c r="D60" i="47"/>
  <c r="BI28" i="40"/>
  <c r="BI29" i="40" s="1"/>
  <c r="BI30" i="40" s="1"/>
  <c r="I20" i="35"/>
  <c r="H57" i="41"/>
  <c r="F11" i="35"/>
  <c r="F79" i="35"/>
  <c r="E68" i="47"/>
  <c r="E69" i="47" s="1"/>
  <c r="D62" i="47"/>
  <c r="D68" i="47"/>
  <c r="D69" i="47" s="1"/>
  <c r="BO29" i="25"/>
  <c r="BO30" i="25" s="1"/>
  <c r="BQ29" i="25"/>
  <c r="BS29" i="25"/>
  <c r="BA25" i="25"/>
  <c r="BG18" i="25"/>
  <c r="BG26" i="25" s="1"/>
  <c r="BG14" i="25"/>
  <c r="F25" i="35" s="1"/>
  <c r="AK28" i="25"/>
  <c r="D38" i="6"/>
  <c r="G63" i="41"/>
  <c r="BI25" i="25"/>
  <c r="BI20" i="25"/>
  <c r="F46" i="35" s="1"/>
  <c r="BV15" i="25"/>
  <c r="BV14" i="25" s="1"/>
  <c r="L28" i="25"/>
  <c r="D13" i="6"/>
  <c r="G11" i="6"/>
  <c r="D11" i="47"/>
  <c r="G11" i="47" s="1"/>
  <c r="E11" i="6"/>
  <c r="E11" i="47" s="1"/>
  <c r="D56" i="41"/>
  <c r="AZ28" i="40"/>
  <c r="AZ29" i="40" s="1"/>
  <c r="BM14" i="40"/>
  <c r="G34" i="35" s="1"/>
  <c r="I38" i="35" s="1"/>
  <c r="BM18" i="40"/>
  <c r="BM26" i="40" s="1"/>
  <c r="BG25" i="25"/>
  <c r="BG20" i="25"/>
  <c r="F43" i="35" s="1"/>
  <c r="BI18" i="25"/>
  <c r="BI26" i="25" s="1"/>
  <c r="BI14" i="25"/>
  <c r="F29" i="35" s="1"/>
  <c r="BM20" i="40"/>
  <c r="G51" i="35" s="1"/>
  <c r="I55" i="35" s="1"/>
  <c r="BM25" i="40"/>
  <c r="BE12" i="25"/>
  <c r="BE27" i="25" s="1"/>
  <c r="BE8" i="25"/>
  <c r="F5" i="35" s="1"/>
  <c r="D56" i="47"/>
  <c r="E53" i="41"/>
  <c r="E56" i="47" s="1"/>
  <c r="BS27" i="40"/>
  <c r="E60" i="47"/>
  <c r="G66" i="47"/>
  <c r="G67" i="47" s="1"/>
  <c r="G68" i="47"/>
  <c r="G69" i="47" s="1"/>
  <c r="BA18" i="25"/>
  <c r="BA26" i="25" s="1"/>
  <c r="BN15" i="25"/>
  <c r="A48" i="35"/>
  <c r="C47" i="35"/>
  <c r="I5" i="48"/>
  <c r="I8" i="48"/>
  <c r="I4" i="48" s="1"/>
  <c r="E43" i="50"/>
  <c r="E6" i="50" s="1"/>
  <c r="C6" i="50"/>
  <c r="C5" i="50" s="1"/>
  <c r="C7" i="50" s="1"/>
  <c r="C43" i="49"/>
  <c r="N46" i="48"/>
  <c r="N10" i="48" s="1"/>
  <c r="H9" i="48"/>
  <c r="B92" i="8" l="1"/>
  <c r="EW6" i="7"/>
  <c r="EW7" i="7" s="1"/>
  <c r="EW1" i="7"/>
  <c r="BU28" i="25" s="1"/>
  <c r="EW2" i="7"/>
  <c r="EW3" i="7"/>
  <c r="EW8" i="7"/>
  <c r="EW5" i="7"/>
  <c r="H37" i="35"/>
  <c r="H38" i="35" s="1"/>
  <c r="FU17" i="3"/>
  <c r="FU8" i="3" s="1"/>
  <c r="FQ5" i="3"/>
  <c r="FQ2" i="3"/>
  <c r="FQ3" i="3"/>
  <c r="B63" i="8" s="1"/>
  <c r="B65" i="8" s="1"/>
  <c r="FQ1" i="3"/>
  <c r="F56" i="6" s="1"/>
  <c r="F59" i="47" s="1"/>
  <c r="FQ6" i="3"/>
  <c r="FQ7" i="3" s="1"/>
  <c r="FQ8" i="3"/>
  <c r="I38" i="6"/>
  <c r="BG9" i="25"/>
  <c r="BG12" i="25" s="1"/>
  <c r="BG27" i="25" s="1"/>
  <c r="BI9" i="25"/>
  <c r="BI8" i="25" s="1"/>
  <c r="I29" i="25"/>
  <c r="BE29" i="25"/>
  <c r="BG28" i="25"/>
  <c r="BM28" i="40"/>
  <c r="BM29" i="40" s="1"/>
  <c r="L29" i="25"/>
  <c r="G71" i="47"/>
  <c r="G70" i="47" s="1"/>
  <c r="H11" i="6"/>
  <c r="H53" i="41"/>
  <c r="AK29" i="25"/>
  <c r="I37" i="35"/>
  <c r="I54" i="35"/>
  <c r="BA12" i="25"/>
  <c r="BA27" i="25" s="1"/>
  <c r="BN9" i="25"/>
  <c r="G56" i="41"/>
  <c r="E56" i="41"/>
  <c r="H56" i="41" s="1"/>
  <c r="G13" i="6"/>
  <c r="D13" i="47"/>
  <c r="G13" i="47" s="1"/>
  <c r="E13" i="6"/>
  <c r="BN20" i="25"/>
  <c r="F51" i="35" s="1"/>
  <c r="H54" i="35" s="1"/>
  <c r="H55" i="35" s="1"/>
  <c r="BN25" i="25"/>
  <c r="B15" i="8"/>
  <c r="D11" i="8"/>
  <c r="B11" i="24" s="1"/>
  <c r="G38" i="6"/>
  <c r="D40" i="47"/>
  <c r="G40" i="47" s="1"/>
  <c r="E38" i="6"/>
  <c r="E40" i="47" s="1"/>
  <c r="BS30" i="25"/>
  <c r="BU30" i="25" s="1"/>
  <c r="FO1" i="7"/>
  <c r="FO5" i="7"/>
  <c r="C68" i="8" s="1"/>
  <c r="FO3" i="7"/>
  <c r="FO8" i="7"/>
  <c r="FO6" i="7"/>
  <c r="FO7" i="7" s="1"/>
  <c r="FO2" i="7"/>
  <c r="DY4" i="7"/>
  <c r="CX4" i="7"/>
  <c r="DM4" i="7"/>
  <c r="EE4" i="7"/>
  <c r="BG4" i="7"/>
  <c r="CU4" i="7"/>
  <c r="DP4" i="7"/>
  <c r="DJ4" i="7"/>
  <c r="BL4" i="7"/>
  <c r="BN18" i="25"/>
  <c r="BN26" i="25" s="1"/>
  <c r="BN14" i="25"/>
  <c r="F34" i="35" s="1"/>
  <c r="BI28" i="25"/>
  <c r="D56" i="6"/>
  <c r="BA28" i="25"/>
  <c r="E43" i="49"/>
  <c r="E6" i="49" s="1"/>
  <c r="C6" i="49"/>
  <c r="C5" i="49" s="1"/>
  <c r="C7" i="49" s="1"/>
  <c r="H5" i="48"/>
  <c r="H8" i="48"/>
  <c r="C48" i="35"/>
  <c r="A49" i="35"/>
  <c r="A50" i="35" s="1"/>
  <c r="CR4" i="7" l="1"/>
  <c r="DS4" i="7"/>
  <c r="DA4" i="7"/>
  <c r="BW4" i="7"/>
  <c r="BQ4" i="7"/>
  <c r="EB4" i="7"/>
  <c r="DD4" i="7"/>
  <c r="CI4" i="7"/>
  <c r="FU2" i="3"/>
  <c r="BV28" i="25"/>
  <c r="EU4" i="7"/>
  <c r="CC4" i="7"/>
  <c r="BZ4" i="7"/>
  <c r="EO4" i="7"/>
  <c r="BK4" i="7"/>
  <c r="BS19" i="25"/>
  <c r="BU19" i="25" s="1"/>
  <c r="AX4" i="7"/>
  <c r="CO4" i="7"/>
  <c r="EK4" i="7"/>
  <c r="CF4" i="7"/>
  <c r="BI4" i="7"/>
  <c r="E65" i="6"/>
  <c r="ES4" i="7"/>
  <c r="BC4" i="7"/>
  <c r="BA4" i="7"/>
  <c r="CL4" i="7"/>
  <c r="EH4" i="7"/>
  <c r="EQ4" i="7"/>
  <c r="EM4" i="7"/>
  <c r="DV4" i="7"/>
  <c r="BT4" i="7"/>
  <c r="DG4" i="7"/>
  <c r="EW4" i="7"/>
  <c r="C70" i="8"/>
  <c r="C75" i="8" s="1"/>
  <c r="BV9" i="25"/>
  <c r="BV12" i="25" s="1"/>
  <c r="GM17" i="3"/>
  <c r="GM8" i="3" s="1"/>
  <c r="FU1" i="3"/>
  <c r="BU29" i="25" s="1"/>
  <c r="FU5" i="3"/>
  <c r="FU3" i="3"/>
  <c r="B70" i="8" s="1"/>
  <c r="FU6" i="3"/>
  <c r="FU7" i="3" s="1"/>
  <c r="I56" i="6"/>
  <c r="D63" i="8"/>
  <c r="B63" i="24" s="1"/>
  <c r="BG8" i="25"/>
  <c r="F76" i="35" s="1"/>
  <c r="BG29" i="25"/>
  <c r="BI12" i="25"/>
  <c r="BI27" i="25" s="1"/>
  <c r="BI29" i="25" s="1"/>
  <c r="E13" i="47"/>
  <c r="H13" i="6"/>
  <c r="FO4" i="7"/>
  <c r="H38" i="6"/>
  <c r="D15" i="8"/>
  <c r="BN28" i="25"/>
  <c r="G56" i="6"/>
  <c r="D59" i="47"/>
  <c r="G59" i="47" s="1"/>
  <c r="C46" i="38" s="1"/>
  <c r="E56" i="6"/>
  <c r="E59" i="47" s="1"/>
  <c r="F10" i="35"/>
  <c r="F78" i="35"/>
  <c r="BN12" i="25"/>
  <c r="BN27" i="25" s="1"/>
  <c r="BN8" i="25"/>
  <c r="F15" i="35" s="1"/>
  <c r="D65" i="8"/>
  <c r="BA29" i="25"/>
  <c r="G8" i="48"/>
  <c r="B6" i="48" s="1"/>
  <c r="H4" i="48"/>
  <c r="B3" i="48" s="1"/>
  <c r="C50" i="35"/>
  <c r="A51" i="35"/>
  <c r="C78" i="8" l="1"/>
  <c r="C76" i="8"/>
  <c r="C74" i="8"/>
  <c r="C73" i="8"/>
  <c r="C72" i="8" s="1"/>
  <c r="C89" i="8"/>
  <c r="C71" i="8"/>
  <c r="C67" i="8"/>
  <c r="CC4" i="3"/>
  <c r="BL4" i="3"/>
  <c r="GM5" i="3"/>
  <c r="B68" i="8" s="1"/>
  <c r="D68" i="8" s="1"/>
  <c r="B68" i="24" s="1"/>
  <c r="BU9" i="25"/>
  <c r="BV8" i="25"/>
  <c r="EC4" i="3"/>
  <c r="DT4" i="3"/>
  <c r="DA4" i="3"/>
  <c r="EW4" i="3"/>
  <c r="CU4" i="3"/>
  <c r="DZ4" i="3"/>
  <c r="EQ4" i="3"/>
  <c r="DD4" i="3"/>
  <c r="AX4" i="3"/>
  <c r="CL4" i="3"/>
  <c r="BC13" i="25"/>
  <c r="DW4" i="3"/>
  <c r="BK4" i="3"/>
  <c r="FM4" i="3"/>
  <c r="FQ4" i="3"/>
  <c r="CR4" i="3"/>
  <c r="FO4" i="3"/>
  <c r="BT4" i="3"/>
  <c r="FC4" i="3"/>
  <c r="CI4" i="3"/>
  <c r="GM3" i="3"/>
  <c r="F7" i="35"/>
  <c r="H19" i="35" s="1"/>
  <c r="H20" i="35" s="1"/>
  <c r="GM1" i="3"/>
  <c r="GM6" i="3"/>
  <c r="GM2" i="3"/>
  <c r="FS4" i="3"/>
  <c r="DJ4" i="3"/>
  <c r="DG4" i="3"/>
  <c r="BW4" i="3"/>
  <c r="FI4" i="3"/>
  <c r="EN4" i="3"/>
  <c r="FK4" i="3"/>
  <c r="BA4" i="3"/>
  <c r="CX4" i="3"/>
  <c r="F65" i="6"/>
  <c r="BQ4" i="3"/>
  <c r="EF4" i="3"/>
  <c r="CF4" i="3"/>
  <c r="DM4" i="3"/>
  <c r="EZ4" i="3"/>
  <c r="EH4" i="3"/>
  <c r="BI4" i="3"/>
  <c r="FF4" i="3"/>
  <c r="BO4" i="3"/>
  <c r="BB13" i="40"/>
  <c r="BG4" i="3"/>
  <c r="EK4" i="3"/>
  <c r="BC4" i="3"/>
  <c r="ET4" i="3"/>
  <c r="BU27" i="25"/>
  <c r="BZ4" i="3"/>
  <c r="DQ4" i="3"/>
  <c r="BV27" i="25"/>
  <c r="CO4" i="3"/>
  <c r="GU4" i="3"/>
  <c r="FU4" i="3"/>
  <c r="H81" i="35"/>
  <c r="H82" i="35" s="1"/>
  <c r="B67" i="8"/>
  <c r="B73" i="8"/>
  <c r="B72" i="8" s="1"/>
  <c r="D70" i="8"/>
  <c r="D76" i="8" s="1"/>
  <c r="B76" i="24" s="1"/>
  <c r="B89" i="8"/>
  <c r="B74" i="8"/>
  <c r="B78" i="8"/>
  <c r="B75" i="8"/>
  <c r="A71" i="8"/>
  <c r="B71" i="8"/>
  <c r="H56" i="6"/>
  <c r="B15" i="24"/>
  <c r="C49" i="38"/>
  <c r="E46" i="38"/>
  <c r="B76" i="8"/>
  <c r="B65" i="24"/>
  <c r="BN29" i="25"/>
  <c r="A52" i="35"/>
  <c r="C51" i="35"/>
  <c r="GM4" i="3" l="1"/>
  <c r="D75" i="8"/>
  <c r="B75" i="24" s="1"/>
  <c r="B70" i="24"/>
  <c r="A71" i="24" s="1"/>
  <c r="D89" i="8"/>
  <c r="B89" i="24" s="1"/>
  <c r="D73" i="8"/>
  <c r="D78" i="8"/>
  <c r="B78" i="24" s="1"/>
  <c r="D67" i="8"/>
  <c r="B67" i="24" s="1"/>
  <c r="D74" i="8"/>
  <c r="B74" i="24" s="1"/>
  <c r="A53" i="35"/>
  <c r="C52" i="35"/>
  <c r="B73" i="24" l="1"/>
  <c r="D72" i="8"/>
  <c r="B72" i="24" s="1"/>
  <c r="C53" i="35"/>
  <c r="A54" i="35"/>
  <c r="C54" i="35" l="1"/>
  <c r="A55"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Piet VAN HOYLANDT</author>
  </authors>
  <commentList>
    <comment ref="H3" authorId="0" shapeId="0" xr:uid="{00000000-0006-0000-0100-000001000000}">
      <text>
        <r>
          <rPr>
            <sz val="9"/>
            <color indexed="81"/>
            <rFont val="Tahoma"/>
            <family val="2"/>
          </rPr>
          <t xml:space="preserve">Ce bouton permet d'estimer le coût de l'accord sectorielle  par année. !
Interventions requises AU PREALABLE 
1) adapter les régimes de travail « qui varient dans le courant de l’année » : colonne  U
2) adapter le régime de travail « fixe » dans l'année : colonne  R
3) vérification/encodage des avancements barémiques :  la colonne  M
 </t>
        </r>
        <r>
          <rPr>
            <b/>
            <sz val="9"/>
            <color indexed="81"/>
            <rFont val="Tahoma"/>
            <family val="2"/>
          </rPr>
          <t xml:space="preserve">    2022 /11  -INPP &gt;10ans M4  =&gt;M5new</t>
        </r>
        <r>
          <rPr>
            <sz val="9"/>
            <color indexed="81"/>
            <rFont val="Tahoma"/>
            <family val="2"/>
          </rPr>
          <t xml:space="preserve">
4) inscrire  l'échelle correct au début de l'année budgétaire :colonne K
        -&gt; Onglet  Ops K12-14 : une flèche exécutant la procédure est disponible !
5) les NAPAP et leur pct octroyé (R) éventuelles sont introduites (scinder)
Si souhaité l'indexation peut être figé onglet ParaN Cellule E1
SEULEMENT après ces interventions l'utilisation du bouton est conseillé
résultat : colonne I : Accord Sectorielle appliqué ou INTEGRE
                                             </t>
        </r>
        <r>
          <rPr>
            <b/>
            <sz val="9"/>
            <color indexed="81"/>
            <rFont val="Tahoma"/>
            <family val="2"/>
          </rPr>
          <t xml:space="preserve"> 2022 : =&gt;Chèques Repas Calculé séparément  (payé en  2023)
                                            =&gt; Repas =&gt;10/12 de l'extraction annuelle indexé</t>
        </r>
        <r>
          <rPr>
            <sz val="9"/>
            <color indexed="81"/>
            <rFont val="Tahoma"/>
            <family val="2"/>
          </rPr>
          <t xml:space="preserve">
                     colonne J :  SANS l'Accord Sectorielle appliqué
                                                </t>
        </r>
        <r>
          <rPr>
            <b/>
            <sz val="9"/>
            <color indexed="81"/>
            <rFont val="Tahoma"/>
            <family val="2"/>
          </rPr>
          <t xml:space="preserve"> 2022 : =&gt;pas de Chèques Repas Calculé 
                                             =&gt; Repas =&gt;intégralité de l'extraction annuelle indexé</t>
        </r>
        <r>
          <rPr>
            <sz val="9"/>
            <color indexed="81"/>
            <rFont val="Tahoma"/>
            <family val="2"/>
          </rPr>
          <t xml:space="preserve">
                      colonne K: ESTIMATION du surcoût de l'accord sectorielle
                                      avec mention du nombre agents par échelle ou cadre concernés
=&gt;</t>
        </r>
      </text>
    </comment>
    <comment ref="H11" authorId="0" shapeId="0" xr:uid="{00000000-0006-0000-0100-000002000000}">
      <text>
        <r>
          <rPr>
            <b/>
            <sz val="9"/>
            <color indexed="81"/>
            <rFont val="Tahoma"/>
            <family val="2"/>
          </rPr>
          <t>Piet VAN HOYLANDT:</t>
        </r>
        <r>
          <rPr>
            <sz val="9"/>
            <color indexed="81"/>
            <rFont val="Tahoma"/>
            <family val="2"/>
          </rPr>
          <t xml:space="preserve">
PLP 56 : "...decembre ...idealement...  en N+1" :
Onglet "Zone"Colonne O -&gt; année ="2020"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Piet Van Hoylandt</author>
  </authors>
  <commentList>
    <comment ref="C47" authorId="0" shapeId="0" xr:uid="{00000000-0006-0000-0600-000002000000}">
      <text>
        <r>
          <rPr>
            <b/>
            <sz val="8"/>
            <color indexed="81"/>
            <rFont val="Tahoma"/>
            <family val="2"/>
          </rPr>
          <t>Piet Van Hoylandt:</t>
        </r>
        <r>
          <rPr>
            <sz val="8"/>
            <color indexed="81"/>
            <rFont val="Tahoma"/>
            <family val="2"/>
          </rPr>
          <t xml:space="preserve">
02/642 64 09 
Pour obtenir le montant propre à votre zone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p4406561</author>
    <author>Piet Van Hoylandt</author>
  </authors>
  <commentList>
    <comment ref="A7" authorId="0" shapeId="0" xr:uid="{00000000-0006-0000-0700-000001000000}">
      <text>
        <r>
          <rPr>
            <sz val="8"/>
            <color indexed="81"/>
            <rFont val="Tahoma"/>
            <family val="2"/>
          </rPr>
          <t>BXL-CHARL-LIEGE
Modifiez ce nombrel
Cadre Max OPS 
&lt;&gt;3000
VOIR Onglet Calog</t>
        </r>
      </text>
    </comment>
    <comment ref="D14" authorId="1" shapeId="0" xr:uid="{00000000-0006-0000-0700-000002000000}">
      <text>
        <r>
          <rPr>
            <sz val="8"/>
            <color indexed="81"/>
            <rFont val="Tahoma"/>
            <family val="2"/>
          </rPr>
          <t xml:space="preserve">D14 &amp; D15 sont à adapter le cas échéant pour le comptable et of le secretaire =&gt; charges patronales !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p4406561</author>
  </authors>
  <commentList>
    <comment ref="A7" authorId="0" shapeId="0" xr:uid="{00000000-0006-0000-0800-000001000000}">
      <text>
        <r>
          <rPr>
            <sz val="8"/>
            <color indexed="81"/>
            <rFont val="Tahoma"/>
            <family val="2"/>
          </rPr>
          <t>BXL Charl Liège:modifie le nombre Max  CALog (max cadre &lt;&gt; 450</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Piet Van Hoylandt</author>
  </authors>
  <commentList>
    <comment ref="D17" authorId="0" shapeId="0" xr:uid="{00000000-0006-0000-0B00-000001000000}">
      <text>
        <r>
          <rPr>
            <sz val="8"/>
            <color indexed="81"/>
            <rFont val="Tahoma"/>
            <family val="2"/>
          </rPr>
          <t xml:space="preserve">D14 &amp; D15 sont à adapter le cas échéant pour le comptable et of le secretaire =&gt; charges patronales !
</t>
        </r>
      </text>
    </comment>
  </commentList>
</comments>
</file>

<file path=xl/sharedStrings.xml><?xml version="1.0" encoding="utf-8"?>
<sst xmlns="http://schemas.openxmlformats.org/spreadsheetml/2006/main" count="11835" uniqueCount="5897">
  <si>
    <t>4042</t>
  </si>
  <si>
    <t>Capital - incap trav perm - non-imp</t>
  </si>
  <si>
    <t>Amblève / Bullange / Butgenbach / Burg-Reuland / Saint-Vith</t>
  </si>
  <si>
    <t>Z - Fahrer</t>
  </si>
  <si>
    <t>4115</t>
  </si>
  <si>
    <t>A - Prestat imprévue</t>
  </si>
  <si>
    <t>periode 2</t>
  </si>
  <si>
    <t>Sambreville / Sombreffe</t>
  </si>
  <si>
    <t>Jemeppe-Sur-Sambre</t>
  </si>
  <si>
    <t>Florennes / Walcourt</t>
  </si>
  <si>
    <t>Beauraing / Bièvre / Gedinne / Vresse-Sur-Semois</t>
  </si>
  <si>
    <t>Couvin / Viroinval</t>
  </si>
  <si>
    <t>Empl enceinte trav risq contr non-p</t>
  </si>
  <si>
    <t>Bijk BV vakantiegeld (% basis)</t>
  </si>
  <si>
    <t>8223</t>
  </si>
  <si>
    <t>Bijk BV  vakantiegeld (% rest)</t>
  </si>
  <si>
    <t>Urlaubsgeld Dienstende vorig Jahr</t>
  </si>
  <si>
    <t>6009</t>
  </si>
  <si>
    <t>Pr Copernic fin de serv année préc</t>
  </si>
  <si>
    <t>Copernicuspremie uit dienst vorig j</t>
  </si>
  <si>
    <t>Bocholt / Bree / Kinrooi / Meeuwen-Gruitrode</t>
  </si>
  <si>
    <t>Lanaken</t>
  </si>
  <si>
    <t>Maasmechelen</t>
  </si>
  <si>
    <t>Vl Br</t>
  </si>
  <si>
    <t>Leuven</t>
  </si>
  <si>
    <t xml:space="preserve">Allocations variables pour prestations du personnel opérationnel </t>
  </si>
  <si>
    <t>V.Ge1202</t>
  </si>
  <si>
    <t>V.EA3950</t>
  </si>
  <si>
    <t>V.Des</t>
  </si>
  <si>
    <t>V.Bla-M</t>
  </si>
  <si>
    <t>B.WB Com</t>
  </si>
  <si>
    <t>B.Ucc CP</t>
  </si>
  <si>
    <t>M740</t>
  </si>
  <si>
    <t>M702</t>
  </si>
  <si>
    <t>M701</t>
  </si>
  <si>
    <t>MV70</t>
  </si>
  <si>
    <t>T2 Résumé Tutelle</t>
  </si>
  <si>
    <t>DRH</t>
  </si>
  <si>
    <t>Partie fixe de l'allocation de fin d'année (AFA)
Base de la charge Patronale &amp; Subvention Sociale II</t>
  </si>
  <si>
    <t>TOTAL</t>
  </si>
  <si>
    <t>A.P.E.</t>
  </si>
  <si>
    <t>Subvention Sociale II</t>
  </si>
  <si>
    <t>Allocation
Spéciale</t>
  </si>
  <si>
    <t>Opérationnel</t>
  </si>
  <si>
    <t>Région de CONTRÔLE</t>
  </si>
  <si>
    <t>Copernic job étud fin serv ann cour</t>
  </si>
  <si>
    <t>Copernicus jobstud uit huidig jaar</t>
  </si>
  <si>
    <t>Copernicuspr Stud Dienstend geg Jah</t>
  </si>
  <si>
    <t>Allocations Variables pour prestations du personnel Opérationnel</t>
  </si>
  <si>
    <t>T - Interventie buiten Brussel</t>
  </si>
  <si>
    <t>Z- Einsatz außerhalb Brüssel</t>
  </si>
  <si>
    <t>4029</t>
  </si>
  <si>
    <t>A - Intervention hors Bxl - DET</t>
  </si>
  <si>
    <t>Berlaar / Nijlen</t>
  </si>
  <si>
    <t>Heist-op-den-Berg</t>
  </si>
  <si>
    <t>N° d'identification</t>
  </si>
  <si>
    <t xml:space="preserve">Code Fonctionelle </t>
  </si>
  <si>
    <t>Comptable spécial</t>
  </si>
  <si>
    <t>4118</t>
  </si>
  <si>
    <t>A - Protect fam royale ex-gd</t>
  </si>
  <si>
    <t>Vervoerkosten privé niet belast</t>
  </si>
  <si>
    <t>Traitement de sauvegarde (+) Payements Maladie Dispo (-)</t>
  </si>
  <si>
    <t>Antoing / Brunehaut / Rumes / Tournai</t>
  </si>
  <si>
    <t>Mouscron</t>
  </si>
  <si>
    <t>Comines-Warneton</t>
  </si>
  <si>
    <t>Beloeil / Leuze-en-Hainaut</t>
  </si>
  <si>
    <t>Compl trt - Fonct sup</t>
  </si>
  <si>
    <t>Weddebijslag - Hoger ambt</t>
  </si>
  <si>
    <t>Zusätzl Geh - Höhere Funktion</t>
  </si>
  <si>
    <t>4096</t>
  </si>
  <si>
    <t>Compl trt - Mandat</t>
  </si>
  <si>
    <t>Weddebijslag - Mandaat</t>
  </si>
  <si>
    <t>Article
budgétaire</t>
  </si>
  <si>
    <t>Groupe
 éco.</t>
  </si>
  <si>
    <t>SelecteerTut3</t>
  </si>
  <si>
    <t>Transfert vers Module de contrôle</t>
  </si>
  <si>
    <t>B_5343D45</t>
  </si>
  <si>
    <t>V_347222</t>
  </si>
  <si>
    <t>V_1122a</t>
  </si>
  <si>
    <t>F_DD2/42</t>
  </si>
  <si>
    <t>Code 
Functionnel</t>
  </si>
  <si>
    <t>Code Sauvegarde</t>
  </si>
  <si>
    <t>26D0</t>
  </si>
  <si>
    <t>28A0</t>
  </si>
  <si>
    <t>26A0</t>
  </si>
  <si>
    <t>26J0</t>
  </si>
  <si>
    <t>26G0</t>
  </si>
  <si>
    <t>26L0</t>
  </si>
  <si>
    <t>28K0</t>
  </si>
  <si>
    <t>3: ≥150 - &lt;300</t>
  </si>
  <si>
    <t>4: ≥300 - &lt;600</t>
  </si>
  <si>
    <t>Z - Sozialer Aufstieg</t>
  </si>
  <si>
    <t>4183</t>
  </si>
  <si>
    <t>A - Logement ex-gd</t>
  </si>
  <si>
    <t>Extraction d'une année complète</t>
  </si>
  <si>
    <t>0D04</t>
  </si>
  <si>
    <t>0C27</t>
  </si>
  <si>
    <t>0C04</t>
  </si>
  <si>
    <t>0D24</t>
  </si>
  <si>
    <t>0D16</t>
  </si>
  <si>
    <t>0D17</t>
  </si>
  <si>
    <t>0D50</t>
  </si>
  <si>
    <t>0D08</t>
  </si>
  <si>
    <t>Payé le/jusqu'au:</t>
  </si>
  <si>
    <t>A110</t>
  </si>
  <si>
    <t>A120</t>
  </si>
  <si>
    <t>A210</t>
  </si>
  <si>
    <t>A310</t>
  </si>
  <si>
    <t>A320</t>
  </si>
  <si>
    <t>A220</t>
  </si>
  <si>
    <t>A230</t>
  </si>
  <si>
    <t>A330</t>
  </si>
  <si>
    <t>A410</t>
  </si>
  <si>
    <t>A420</t>
  </si>
  <si>
    <t>A430</t>
  </si>
  <si>
    <t>A510</t>
  </si>
  <si>
    <t>A520</t>
  </si>
  <si>
    <t>A530</t>
  </si>
  <si>
    <t>BB10</t>
  </si>
  <si>
    <t>BB21</t>
  </si>
  <si>
    <t>BB31</t>
  </si>
  <si>
    <t>BB41</t>
  </si>
  <si>
    <t>BB22</t>
  </si>
  <si>
    <t>BB32</t>
  </si>
  <si>
    <t>BB42</t>
  </si>
  <si>
    <t>B1A0</t>
  </si>
  <si>
    <t>B2A1</t>
  </si>
  <si>
    <t>B3A1</t>
  </si>
  <si>
    <t xml:space="preserve">Allocations variables pour prestations du personnel CALog </t>
  </si>
  <si>
    <t xml:space="preserve">Pécule de Vacances du personnel CALog </t>
  </si>
  <si>
    <t>La Louvière</t>
  </si>
  <si>
    <t>Boussu / Colfontaine / Frameries / Quaregnon / Saint-Ghislain</t>
  </si>
  <si>
    <t>Braine-Le-Comte / Ecaussinnes / LeRoeulx / Soignies</t>
  </si>
  <si>
    <t>1</t>
  </si>
  <si>
    <t>3</t>
  </si>
  <si>
    <t>4</t>
  </si>
  <si>
    <t>5</t>
  </si>
  <si>
    <t>6</t>
  </si>
  <si>
    <t>7</t>
  </si>
  <si>
    <t>8</t>
  </si>
  <si>
    <t>9</t>
  </si>
  <si>
    <t>10</t>
  </si>
  <si>
    <t>Dépense 
Effective</t>
  </si>
  <si>
    <t>SOLDE</t>
  </si>
  <si>
    <t>SelecteerTut4</t>
  </si>
  <si>
    <t>SelecteerTut5</t>
  </si>
  <si>
    <t xml:space="preserve">Suivi CREDITS consommés  X-1 via Access </t>
  </si>
  <si>
    <t xml:space="preserve">Suivi CREDITS consommés  X via Access </t>
  </si>
  <si>
    <t>DD4.1</t>
  </si>
  <si>
    <t>1/15</t>
  </si>
  <si>
    <t>XI.III.11</t>
  </si>
  <si>
    <t>&gt; 20 hr</t>
  </si>
  <si>
    <t>XI.III.12-2°</t>
  </si>
  <si>
    <t>XII.XI.31</t>
  </si>
  <si>
    <t>Moto- B</t>
  </si>
  <si>
    <t>Moto- M</t>
  </si>
  <si>
    <t>Moto- O</t>
  </si>
  <si>
    <t>4225</t>
  </si>
  <si>
    <t>GD.COL</t>
  </si>
  <si>
    <t>B.CP1/A2</t>
  </si>
  <si>
    <t>B.BP3</t>
  </si>
  <si>
    <t>B.AP4(0)</t>
  </si>
  <si>
    <t>W.AP6.5</t>
  </si>
  <si>
    <t>W.2.50</t>
  </si>
  <si>
    <t>W.B3</t>
  </si>
  <si>
    <t>V.PB26</t>
  </si>
  <si>
    <t>V.AA3250</t>
  </si>
  <si>
    <t>V.3.1.22</t>
  </si>
  <si>
    <t>V.2.50B</t>
  </si>
  <si>
    <t>4089/4090 M</t>
  </si>
  <si>
    <t>1/12/2009 Montant à 25% ----&gt;</t>
  </si>
  <si>
    <t>8472</t>
  </si>
  <si>
    <t>8473</t>
  </si>
  <si>
    <t>8474</t>
  </si>
  <si>
    <t>8659</t>
  </si>
  <si>
    <t>Manip réduc ONSS: APE 97 forfait</t>
  </si>
  <si>
    <t>Manip RSZ verm: TWA 97 forfait</t>
  </si>
  <si>
    <t>Réd GC6 emp licenc restruct -45 ans</t>
  </si>
  <si>
    <t>DG-verm6 WN ontslagen herstr -45j</t>
  </si>
  <si>
    <t>Red ZG6 AN gekündigt av. Umstruk(&lt;45J)</t>
  </si>
  <si>
    <t>9647</t>
  </si>
  <si>
    <t>RédGC6 emp licenc restruct &gt;=45ans</t>
  </si>
  <si>
    <t>DG-verm6 WN ontslagen herstr &gt;=45j</t>
  </si>
  <si>
    <t>Red ZG6 AN gekündigt av. Umstruk(&gt;=45J)</t>
  </si>
  <si>
    <t>9667</t>
  </si>
  <si>
    <t>Réd. ONSS GC4 CPE</t>
  </si>
  <si>
    <t>RSZ verm DG4 SBO</t>
  </si>
  <si>
    <t>Red ZG4 Erstbeschäftigungsabkommen</t>
  </si>
  <si>
    <t>9688</t>
  </si>
  <si>
    <t>RédONSS artiste</t>
  </si>
  <si>
    <t>Houyet / Rochefort</t>
  </si>
  <si>
    <t>Ciney / Hamois / Havelange / Somme-Leuze</t>
  </si>
  <si>
    <t>Cerfontaine / Doische / Philippeville</t>
  </si>
  <si>
    <t>Hainaut</t>
  </si>
  <si>
    <t>Compensatoire Jud - B</t>
  </si>
  <si>
    <t>Echu (Nab_Dec)</t>
  </si>
  <si>
    <t>Echu (Nab)</t>
  </si>
  <si>
    <t>Anticipatif (Vooraf)</t>
  </si>
  <si>
    <t>Total Général :</t>
  </si>
  <si>
    <t>Begijnendijk / Rotselaar / Tremelo</t>
  </si>
  <si>
    <t>Zaventem</t>
  </si>
  <si>
    <t>Kraainem / Wezembeek-Oppem</t>
  </si>
  <si>
    <t>Hoeilaart / Overijse</t>
  </si>
  <si>
    <t>Indemnités de repas :L096</t>
  </si>
  <si>
    <t>121-48/22</t>
  </si>
  <si>
    <t>Dvoertuig voordeel privé + ww</t>
  </si>
  <si>
    <t>3291</t>
  </si>
  <si>
    <t>Jrs libres départ anticipé mi-tps</t>
  </si>
  <si>
    <t>Afwdagen halft vervroegde uittr</t>
  </si>
  <si>
    <t>RSZ WG: Bedrijfsvoertuigen CO2</t>
  </si>
  <si>
    <t>LASS Arbg: Geschäftswagen CO2</t>
  </si>
  <si>
    <t>9637</t>
  </si>
  <si>
    <t>Heures de nuit (19-22)</t>
  </si>
  <si>
    <t>Heures de nuit (22-06)</t>
  </si>
  <si>
    <t>Allocation &gt;24 heures</t>
  </si>
  <si>
    <t>Z- Leitende Funktion</t>
  </si>
  <si>
    <t>4014</t>
  </si>
  <si>
    <t>A - Dirigeant - DET</t>
  </si>
  <si>
    <t>Urlaubsgeld Studenten im Dienst</t>
  </si>
  <si>
    <t>6018</t>
  </si>
  <si>
    <t>2000</t>
  </si>
  <si>
    <t>Aanrekening nt omgesl BN result</t>
  </si>
  <si>
    <t>7009</t>
  </si>
  <si>
    <t>Chèques-repas trigger</t>
  </si>
  <si>
    <t>Basé sur n°de la zone Nr et le code statut</t>
  </si>
  <si>
    <t>ECA DEC</t>
  </si>
  <si>
    <t>ECA JAN-NOV</t>
  </si>
  <si>
    <t>Arbeidsongeschikt dr beroepsziekte</t>
  </si>
  <si>
    <t>3113</t>
  </si>
  <si>
    <t>Congé de maternité (stat)</t>
  </si>
  <si>
    <t>Tijdsbr D0 3/4de wk ziek arb</t>
  </si>
  <si>
    <t>Teil Zeit DO 3/4 Wo krank Arb</t>
  </si>
  <si>
    <t>2030</t>
  </si>
  <si>
    <t>Fract tps D100 100</t>
  </si>
  <si>
    <t>Tijdsbr D100 100</t>
  </si>
  <si>
    <t>2031</t>
  </si>
  <si>
    <t>Damme / Knokke-Heist</t>
  </si>
  <si>
    <t>plafond</t>
  </si>
  <si>
    <t>supan</t>
  </si>
  <si>
    <t>lcd</t>
  </si>
  <si>
    <t>Moto_T</t>
  </si>
  <si>
    <t>Moto</t>
  </si>
  <si>
    <t>Dison / Pepinster / Verviers</t>
  </si>
  <si>
    <t>AX</t>
  </si>
  <si>
    <t>BN</t>
  </si>
  <si>
    <t>BT</t>
  </si>
  <si>
    <t>A - Comp pil jud grand mt</t>
  </si>
  <si>
    <t>T - Gerechtelijke zuil groot</t>
  </si>
  <si>
    <t>subtotal (filtre) - Nombre des Valeurs</t>
  </si>
  <si>
    <t>subtotal (filter) -Valeur Maximal</t>
  </si>
  <si>
    <t>LIENS Onglets  et reprises</t>
  </si>
  <si>
    <t>Frais de transports privés imposés</t>
  </si>
  <si>
    <t>0D02</t>
  </si>
  <si>
    <t>0D11</t>
  </si>
  <si>
    <t>0D39</t>
  </si>
  <si>
    <t>L063</t>
  </si>
  <si>
    <t>0B05</t>
  </si>
  <si>
    <t>0D21</t>
  </si>
  <si>
    <t>0C26</t>
  </si>
  <si>
    <t>L089</t>
  </si>
  <si>
    <t>0C28</t>
  </si>
  <si>
    <t>11S5</t>
  </si>
  <si>
    <t>0D36</t>
  </si>
  <si>
    <t>0D13</t>
  </si>
  <si>
    <t>0C14</t>
  </si>
  <si>
    <t>0B22</t>
  </si>
  <si>
    <t>40S1</t>
  </si>
  <si>
    <t>0C29</t>
  </si>
  <si>
    <t>0B19</t>
  </si>
  <si>
    <t>1GO4</t>
  </si>
  <si>
    <t>0D32</t>
  </si>
  <si>
    <t>20S3</t>
  </si>
  <si>
    <t>0D26</t>
  </si>
  <si>
    <t>0D46</t>
  </si>
  <si>
    <t>20S4</t>
  </si>
  <si>
    <t>0D38</t>
  </si>
  <si>
    <t>21S3</t>
  </si>
  <si>
    <t>0D41</t>
  </si>
  <si>
    <t>0D51</t>
  </si>
  <si>
    <t>0D06</t>
  </si>
  <si>
    <t>0D56</t>
  </si>
  <si>
    <t>0B15</t>
  </si>
  <si>
    <t>2001</t>
  </si>
  <si>
    <t>11S9</t>
  </si>
  <si>
    <t>41S1</t>
  </si>
  <si>
    <t>DP31</t>
  </si>
  <si>
    <t>0D03</t>
  </si>
  <si>
    <t>0D40</t>
  </si>
  <si>
    <t>0C02</t>
  </si>
  <si>
    <t>Vrijhberov/intern verlies wedde</t>
  </si>
  <si>
    <t>3322</t>
  </si>
  <si>
    <t xml:space="preserve">Cotisations patronales pension du personnel CALog </t>
  </si>
  <si>
    <t>L076</t>
  </si>
  <si>
    <t>1030</t>
  </si>
  <si>
    <t>L092</t>
  </si>
  <si>
    <t>L043</t>
  </si>
  <si>
    <t>B303</t>
  </si>
  <si>
    <t>L264</t>
  </si>
  <si>
    <t>AP75</t>
  </si>
  <si>
    <t>L245</t>
  </si>
  <si>
    <t>PB28</t>
  </si>
  <si>
    <t>PB18</t>
  </si>
  <si>
    <t>PB14</t>
  </si>
  <si>
    <t>D030</t>
  </si>
  <si>
    <t>L219</t>
  </si>
  <si>
    <t>Mandat 4</t>
  </si>
  <si>
    <t>Mandat 5</t>
  </si>
  <si>
    <t>Mandat 6</t>
  </si>
  <si>
    <t>chien policier</t>
  </si>
  <si>
    <t>Allocation Bruxelles
4081
4083
4224</t>
  </si>
  <si>
    <t>Maaltijdcheques WN-bijdrage</t>
  </si>
  <si>
    <t>GROTE ZONES</t>
  </si>
  <si>
    <t>Max Ops</t>
  </si>
  <si>
    <t>GR ZONES</t>
  </si>
  <si>
    <t>Max Calog</t>
  </si>
  <si>
    <t>Optimatisation Filtre Ops Calog</t>
  </si>
  <si>
    <t>M_Filterbereik</t>
  </si>
  <si>
    <t>ESVZ Arbeitslosengeld</t>
  </si>
  <si>
    <t>8390</t>
  </si>
  <si>
    <t>8391</t>
  </si>
  <si>
    <t>8398</t>
  </si>
  <si>
    <t>8399</t>
  </si>
  <si>
    <t>8420</t>
  </si>
  <si>
    <t>Frais trsp privés non imposés</t>
  </si>
  <si>
    <t>Allocation Annalist criminel/stratégique</t>
  </si>
  <si>
    <t>Allocation instructeur</t>
  </si>
  <si>
    <t>Enquête judiciaire (Allocation complémentaire - ou compensatoire)</t>
  </si>
  <si>
    <t xml:space="preserve">A - Compl trt - sem vol 4 jours
T -  complement vrijw 4 dagenweek
</t>
  </si>
  <si>
    <t>A - Départ anticipé mi-tps
T - Vervroegde uitdienstreding</t>
  </si>
  <si>
    <t>Indemnités pour frais de déplacement du et vers le lieu de travail pour Agent(s) Premier Emploi</t>
  </si>
  <si>
    <t>Vaste Vergoeding</t>
  </si>
  <si>
    <t>Prestatiegebonden Vergoeding</t>
  </si>
  <si>
    <t>EE</t>
  </si>
  <si>
    <t>DW</t>
  </si>
  <si>
    <t>DT</t>
  </si>
  <si>
    <t>DQ</t>
  </si>
  <si>
    <t>DN</t>
  </si>
  <si>
    <t>DK</t>
  </si>
  <si>
    <t>DH</t>
  </si>
  <si>
    <t>DE</t>
  </si>
  <si>
    <t>FF</t>
  </si>
  <si>
    <t>Bxl 0</t>
  </si>
  <si>
    <t>XI.III.27</t>
  </si>
  <si>
    <t>113-02/01</t>
  </si>
  <si>
    <t>Payé Anticipativement/à terme échu</t>
  </si>
  <si>
    <t>Payé à terme échu</t>
  </si>
  <si>
    <t>Type du personnel</t>
  </si>
  <si>
    <t>Code secondaire</t>
  </si>
  <si>
    <t>Nouveau statut intégral</t>
  </si>
  <si>
    <t>A - Bilinguisme Woluwe-st-Pierre</t>
  </si>
  <si>
    <t>T - Tweetaligheid St-Pieters-Woluwe</t>
  </si>
  <si>
    <t>Z - Zweispr Woluwe-St-Pïerre</t>
  </si>
  <si>
    <t>4203</t>
  </si>
  <si>
    <t>A - Compl 2D ex-pj</t>
  </si>
  <si>
    <t>T - Bijkomende 2D ex-gpp</t>
  </si>
  <si>
    <t>Z - Zusätz 2D ex-Kripo</t>
  </si>
  <si>
    <t>4204</t>
  </si>
  <si>
    <t>ONSS patr: +10 emp sans modér sal</t>
  </si>
  <si>
    <t>V - Maatschap assistent ex-gem</t>
  </si>
  <si>
    <t>V - Sozialarbeiter ex-Gem</t>
  </si>
  <si>
    <t>4135</t>
  </si>
  <si>
    <t>I - Tenue Mil OFF</t>
  </si>
  <si>
    <t>V - Kledij militairen off</t>
  </si>
  <si>
    <t>V - Mil Uniform Off</t>
  </si>
  <si>
    <t>4136</t>
  </si>
  <si>
    <t>A - Jetons prés conseil discipl</t>
  </si>
  <si>
    <t>Indemnités pour frais de déplacement du et vers le lieu de travail du personnel opérationnel</t>
  </si>
  <si>
    <t xml:space="preserve">Rémunération du personnel CALog </t>
  </si>
  <si>
    <t>A - Contactable</t>
  </si>
  <si>
    <t>Beaumont / Chimay / Froidchapelle / Momignies / Sivry-Rance</t>
  </si>
  <si>
    <t>Chapelle-Lez-Herlaimont / Manage / Morlanwelz / Seneffe</t>
  </si>
  <si>
    <t>4148</t>
  </si>
  <si>
    <t>A - Heures de nuit AMI ex-comm</t>
  </si>
  <si>
    <t>T - Nachtuur ZIV ex-gem</t>
  </si>
  <si>
    <t>Z - Nachtdienst KV ex-Gem</t>
  </si>
  <si>
    <t>4149</t>
  </si>
  <si>
    <t>A - Prest except - H de nuit</t>
  </si>
  <si>
    <t>T - Bijz prest-nacht</t>
  </si>
  <si>
    <t>Z - Besond Leist - Nachtdienst</t>
  </si>
  <si>
    <t>4150</t>
  </si>
  <si>
    <t>A - Heures w-e AMI ex-comm</t>
  </si>
  <si>
    <t>T - Weekenduur ZIV ex-gem</t>
  </si>
  <si>
    <t>Z - Wochenende KV ex-Gem</t>
  </si>
  <si>
    <t>4151</t>
  </si>
  <si>
    <t>A - Prest except - Week-end</t>
  </si>
  <si>
    <t>T - Bijz prest-weekend</t>
  </si>
  <si>
    <t>Z - Besond Leist - Wochenende</t>
  </si>
  <si>
    <t>4152</t>
  </si>
  <si>
    <t>A - Prestat irrégul AMI ex-comm</t>
  </si>
  <si>
    <t>B020</t>
  </si>
  <si>
    <t>L067</t>
  </si>
  <si>
    <t>B001</t>
  </si>
  <si>
    <t>9N13</t>
  </si>
  <si>
    <t>AP02</t>
  </si>
  <si>
    <t>L159</t>
  </si>
  <si>
    <t>L065</t>
  </si>
  <si>
    <t>AP66</t>
  </si>
  <si>
    <t>Allocation de Foyer/Résidence - personnel Opérationnel</t>
  </si>
  <si>
    <t>Statutair</t>
  </si>
  <si>
    <t>Contractuel statutair</t>
  </si>
  <si>
    <t>A - Police de proximité
T -  Nabijheidspolitie</t>
  </si>
  <si>
    <t>A - Fonction personnel roulant
T - Rijdend personeel</t>
  </si>
  <si>
    <t>A - Transit - Motocycliste
T -  Overgangstoelage Moto</t>
  </si>
  <si>
    <t>T - Overgang - Rijdend pers</t>
  </si>
  <si>
    <t>11S3</t>
  </si>
  <si>
    <t>Montant</t>
  </si>
  <si>
    <t>"Montant" A effacer
 si GSM de service !</t>
  </si>
  <si>
    <t>Montant à encoder</t>
  </si>
  <si>
    <t>69</t>
  </si>
  <si>
    <t>70</t>
  </si>
  <si>
    <r>
      <t>4181 (+)
4192 &amp; 4193 (-)</t>
    </r>
    <r>
      <rPr>
        <sz val="9"/>
        <color indexed="10"/>
        <rFont val="Arial"/>
        <family val="2"/>
      </rPr>
      <t xml:space="preserve"> </t>
    </r>
    <r>
      <rPr>
        <sz val="9"/>
        <rFont val="Arial"/>
        <family val="2"/>
      </rPr>
      <t xml:space="preserve">
</t>
    </r>
    <r>
      <rPr>
        <sz val="9"/>
        <color indexed="10"/>
        <rFont val="Arial"/>
        <family val="2"/>
      </rPr>
      <t>4194 &amp; 4195 (-) to switch</t>
    </r>
  </si>
  <si>
    <t>V - Herrchen Polizeihund</t>
  </si>
  <si>
    <t>4063</t>
  </si>
  <si>
    <t>Grobbendonk / Herentals / Herenthout / Olen / Vorselaar</t>
  </si>
  <si>
    <t>Limburg</t>
  </si>
  <si>
    <t>Diepenbeek / Hasselt / Zonhoven</t>
  </si>
  <si>
    <t>Lommel</t>
  </si>
  <si>
    <t>T - Tijdelijke arbeidsongeschikth</t>
  </si>
  <si>
    <t>Z - Zeitweilige Arbeitsunfähigkeit</t>
  </si>
  <si>
    <t>4079</t>
  </si>
  <si>
    <t>A - AIG</t>
  </si>
  <si>
    <t>T - Algemene inspectie</t>
  </si>
  <si>
    <t>Zusatzzahlung Todesfall Vertragsang.</t>
  </si>
  <si>
    <t>4220</t>
  </si>
  <si>
    <t>A - Sauvegarde supplémentaire</t>
  </si>
  <si>
    <t>T - Vrijwaring aanvullend</t>
  </si>
  <si>
    <t>Z - Zusätz Gewährleistung</t>
  </si>
  <si>
    <t>4177</t>
  </si>
  <si>
    <t>Red ZG2 Überg SINE Arbeitspl</t>
  </si>
  <si>
    <t>9721</t>
  </si>
  <si>
    <t>Réd ONSS GC4: CPE</t>
  </si>
  <si>
    <t>I - Ass social ex-pol comm</t>
  </si>
  <si>
    <t>7011</t>
  </si>
  <si>
    <t>6032</t>
  </si>
  <si>
    <t>A - Complémentaire</t>
  </si>
  <si>
    <t>4110</t>
  </si>
  <si>
    <t>A - Ex-militaires</t>
  </si>
  <si>
    <t>Diksmuide / Houthulst / Koekelare / Kortemark</t>
  </si>
  <si>
    <t>60</t>
  </si>
  <si>
    <t>61</t>
  </si>
  <si>
    <t>BP50</t>
  </si>
  <si>
    <t>Geboortedatum</t>
  </si>
  <si>
    <t>F_B1C</t>
  </si>
  <si>
    <t>F_AA3</t>
  </si>
  <si>
    <t>Congé payé mission intérêt général</t>
  </si>
  <si>
    <t>Verlof bet. opdracht alg belang</t>
  </si>
  <si>
    <t>3125</t>
  </si>
  <si>
    <r>
      <t xml:space="preserve">Lors d'une ajout/modification les élémentens baremiques de ce membre 
devront être contrôlès/modifiés. Chaque (groupe de) modification(s) (groep) 
devrait être controlé dans l'onglet </t>
    </r>
    <r>
      <rPr>
        <b/>
        <sz val="10"/>
        <color indexed="12"/>
        <rFont val="Arial"/>
        <family val="2"/>
      </rPr>
      <t>"Total et Total X-1"</t>
    </r>
    <r>
      <rPr>
        <sz val="10"/>
        <color indexed="12"/>
        <rFont val="Arial"/>
        <family val="2"/>
      </rPr>
      <t xml:space="preserve">. Le cas échéant la dernière ligne 
des "Ops" de l'onglet "Total-code" &amp; "Total-Code X-1" devra être copiée autant de fois 
que le nombre membres ajoutés dans l'onglet " Ops". Si aucune erreur figure dans la zone de contrôle
de l'onglet </t>
    </r>
    <r>
      <rPr>
        <b/>
        <sz val="10"/>
        <color indexed="12"/>
        <rFont val="Arial"/>
        <family val="2"/>
      </rPr>
      <t>"Total" &amp; de "Total X-1"</t>
    </r>
    <r>
      <rPr>
        <sz val="10"/>
        <color indexed="12"/>
        <rFont val="Arial"/>
        <family val="2"/>
      </rPr>
      <t xml:space="preserve"> il faut sauvegarder (pas sauvegarder sous un autre nom !),</t>
    </r>
  </si>
  <si>
    <t>Bijl 9</t>
  </si>
  <si>
    <t>Patronale bijdragen -TOTAAL hiervoor</t>
  </si>
  <si>
    <t>L046</t>
  </si>
  <si>
    <t>19</t>
  </si>
  <si>
    <t>CC</t>
  </si>
  <si>
    <t>DA</t>
  </si>
  <si>
    <t>0D55</t>
  </si>
  <si>
    <t>Code statuut</t>
  </si>
  <si>
    <t>A - Mandat receveur régional AS</t>
  </si>
  <si>
    <t>2 =4087 Niveau 1_Bilinguisme ordinaire
3=4087 Niveau 2 _Bilingisme approfondi
"Old"= CodeSalaires :4201, 4202 ou 4065</t>
  </si>
  <si>
    <t>Maladie 1er mois employé</t>
  </si>
  <si>
    <t>PP de rempl sur ind et alloc except</t>
  </si>
  <si>
    <t>Verv BV op except vergoed en toel</t>
  </si>
  <si>
    <t>Mnt/% rempl avant mens AMI</t>
  </si>
  <si>
    <t>Verv bedr/pct ZIV gepens mnd vrdl</t>
  </si>
  <si>
    <t>Suppl trt-Art 373ter Code Jud</t>
  </si>
  <si>
    <t>T - Competentie</t>
  </si>
  <si>
    <t>6004</t>
  </si>
  <si>
    <t>A - Compétences - code info</t>
  </si>
  <si>
    <t>Allocations variables pour prestations pour Agent(s) Premier Emploi</t>
  </si>
  <si>
    <r>
      <t xml:space="preserve">(+) 4015/6/9 - 4040&lt;-&gt;4043
     4078- 4095-4123 4157/8/9-
    4182/3/5/8
   </t>
    </r>
    <r>
      <rPr>
        <sz val="8"/>
        <color indexed="10"/>
        <rFont val="Arial"/>
        <family val="2"/>
      </rPr>
      <t>(-) 4194/5 error L4</t>
    </r>
    <r>
      <rPr>
        <sz val="8"/>
        <rFont val="Arial"/>
        <family val="2"/>
      </rPr>
      <t xml:space="preserve">
   (-) 4218-4223/5</t>
    </r>
  </si>
  <si>
    <t>Beitrag LASS Ausl Außerg ESVZ</t>
  </si>
  <si>
    <t>Bar Steuervorauszahlung / Viertelj</t>
  </si>
  <si>
    <t>9202</t>
  </si>
  <si>
    <t>Précompte barémique / annuel</t>
  </si>
  <si>
    <t>Baremieke voorheffing/jaar</t>
  </si>
  <si>
    <t xml:space="preserve">pour la période </t>
  </si>
  <si>
    <t>Mensuel</t>
  </si>
  <si>
    <t>cumul</t>
  </si>
  <si>
    <t>PER REF</t>
  </si>
  <si>
    <t>Allocation mentor + Mission enseignement</t>
  </si>
  <si>
    <t>Allocation politique d'immigration</t>
  </si>
  <si>
    <t>RSZ werkg: +10 werknem. zonder loonmat.</t>
  </si>
  <si>
    <t>LASS Arbg: +10 Arbn ohne Lohndämpf</t>
  </si>
  <si>
    <t>9534</t>
  </si>
  <si>
    <t>Suppl trt-Art. 369 Code Jud</t>
  </si>
  <si>
    <t>Kolom 2010</t>
  </si>
  <si>
    <t>Vlookup</t>
  </si>
  <si>
    <t>Kolnr</t>
  </si>
  <si>
    <t>95</t>
  </si>
  <si>
    <t>96</t>
  </si>
  <si>
    <t>Ind Oct</t>
  </si>
  <si>
    <t>SelecteerBaremischeElementen</t>
  </si>
  <si>
    <t>Réd ONSS pl emb 24 m chôm&gt;45 ans</t>
  </si>
  <si>
    <t>Indemnités de déplacement  lieu de travail/maison/ KM</t>
  </si>
  <si>
    <t>Indemnités de déplacement  lieu de travail/maison/ Abt Soc</t>
  </si>
  <si>
    <t>Indemnité enquête judiciaire - Journalier</t>
  </si>
  <si>
    <t>Indemnités de repas &amp; frais de séjour : Modèle L021</t>
  </si>
  <si>
    <t>Autres Indemnités</t>
  </si>
  <si>
    <t>Copernic job étud fin serv ann préc</t>
  </si>
  <si>
    <t>6023</t>
  </si>
  <si>
    <t>6024</t>
  </si>
  <si>
    <t>6025</t>
  </si>
  <si>
    <t>6026</t>
  </si>
  <si>
    <t>Urlaubsgeld - Dienstende vor Jahr</t>
  </si>
  <si>
    <t>6027</t>
  </si>
  <si>
    <t>6028</t>
  </si>
  <si>
    <t>Prime restruct fin serv ann précéd</t>
  </si>
  <si>
    <t>Anpassungsg Dienstend vor Jahr</t>
  </si>
  <si>
    <t>6029</t>
  </si>
  <si>
    <t>Urlaubsgeld Dienstende geg Jahr</t>
  </si>
  <si>
    <t>6030</t>
  </si>
  <si>
    <t>6031</t>
  </si>
  <si>
    <t>A - Surveillance Bxl</t>
  </si>
  <si>
    <t>T - Bescherming Brussel</t>
  </si>
  <si>
    <t>3248</t>
  </si>
  <si>
    <t>Congé prophylactique non payé</t>
  </si>
  <si>
    <t>Profylactie onbetaald</t>
  </si>
  <si>
    <t>3255</t>
  </si>
  <si>
    <t>LBO - sensu stricto (dt)</t>
  </si>
  <si>
    <t>3412</t>
  </si>
  <si>
    <t>Maladie 1ière sem trt garanti</t>
  </si>
  <si>
    <t>Ziekte eerste week gewaarborgd loon</t>
  </si>
  <si>
    <t>I - Utilisation véhicule personnel
V - Gebruik persoonl voertuig</t>
  </si>
  <si>
    <t>I - Bicyclette
V -Fiets</t>
  </si>
  <si>
    <t># hr/année</t>
  </si>
  <si>
    <t>A - de garde ex-gd</t>
  </si>
  <si>
    <t>T - Wacht ex-gem</t>
  </si>
  <si>
    <t>Z - Wache ex-Gd</t>
  </si>
  <si>
    <t>4128</t>
  </si>
  <si>
    <t>A - Organe central</t>
  </si>
  <si>
    <t>Aalter / Knesselare</t>
  </si>
  <si>
    <t>L086</t>
  </si>
  <si>
    <t>L012</t>
  </si>
  <si>
    <t>L223</t>
  </si>
  <si>
    <t>L070</t>
  </si>
  <si>
    <t>AP55</t>
  </si>
  <si>
    <t>codes : UB or TP</t>
  </si>
  <si>
    <t>B1C</t>
  </si>
  <si>
    <t>B1D</t>
  </si>
  <si>
    <t>-</t>
  </si>
  <si>
    <t>EURO</t>
  </si>
  <si>
    <t>BD</t>
  </si>
  <si>
    <t>Letter</t>
  </si>
  <si>
    <t>10C0</t>
  </si>
  <si>
    <t>13A0</t>
  </si>
  <si>
    <t>13B0</t>
  </si>
  <si>
    <t>10D0</t>
  </si>
  <si>
    <t>10E0</t>
  </si>
  <si>
    <t>10F0</t>
  </si>
  <si>
    <t>13E0</t>
  </si>
  <si>
    <t>28G0</t>
  </si>
  <si>
    <t>30A0</t>
  </si>
  <si>
    <t>Traitement</t>
  </si>
  <si>
    <t>Allocation (Indemnité) Comptable spécial &amp; secrétaire</t>
  </si>
  <si>
    <t>Allocation de Mandat (Chef de corps)</t>
  </si>
  <si>
    <t>Allocation de Foyer ou de résidence</t>
  </si>
  <si>
    <t>Cotisation patronale ONSS</t>
  </si>
  <si>
    <t>RSZ-bijdrage werkgever</t>
  </si>
  <si>
    <t>LASS Arbeitgeberbeitrag</t>
  </si>
  <si>
    <t>9516</t>
  </si>
  <si>
    <t>Verlof bet. openb./pol. mandaat</t>
  </si>
  <si>
    <t>3124</t>
  </si>
  <si>
    <t>Hamont-Achel / Neerpelt / Overpelt</t>
  </si>
  <si>
    <t>Beringen / Ham / Tessenderlo</t>
  </si>
  <si>
    <t>Halen / Herk-De-Stad / Lummen</t>
  </si>
  <si>
    <t>Heusden-Zolder</t>
  </si>
  <si>
    <t>Personnel Operationnel - Ops</t>
  </si>
  <si>
    <t>T - Verbintenis</t>
  </si>
  <si>
    <t>Z - Verpflichtung</t>
  </si>
  <si>
    <t>4089</t>
  </si>
  <si>
    <t>Actualisation TotalCode</t>
  </si>
  <si>
    <t>SPCc</t>
  </si>
  <si>
    <t>SPCb</t>
  </si>
  <si>
    <t>SPCd</t>
  </si>
  <si>
    <t>SPCe</t>
  </si>
  <si>
    <t>SPCf</t>
  </si>
  <si>
    <t>SPCg</t>
  </si>
  <si>
    <t>SPCh</t>
  </si>
  <si>
    <t>SPCi</t>
  </si>
  <si>
    <t>SPCj</t>
  </si>
  <si>
    <t>SPCk</t>
  </si>
  <si>
    <t>SPCl</t>
  </si>
  <si>
    <t>Statuut Oud/Nieuw</t>
  </si>
  <si>
    <t>Niveau/Kader</t>
  </si>
  <si>
    <t>aantal</t>
  </si>
  <si>
    <t>HUA3_ASP</t>
  </si>
  <si>
    <t>HUA2_ASP</t>
  </si>
  <si>
    <t>HUA1_ASP</t>
  </si>
  <si>
    <t>V.PB11BIS</t>
  </si>
  <si>
    <t>kolnr</t>
  </si>
  <si>
    <t>R
S</t>
  </si>
  <si>
    <t>Conseille(R) - Echevin(S)
(Pour les jetons de présence - n'est pas collecté de Themis)</t>
  </si>
  <si>
    <t>Contractuel</t>
  </si>
  <si>
    <t>(Nouveau) N° d'identification&lt;&gt; Matricule SCDF</t>
  </si>
  <si>
    <t>Complèter l'onglet Total Général par le calcul du coût de l'augmentation Patronale (vàv 2013)</t>
  </si>
  <si>
    <t>"Ctrl"+    +"M"</t>
  </si>
  <si>
    <t>"Ctrl" + "t"</t>
  </si>
  <si>
    <t>"Ctrl"+"r"</t>
  </si>
  <si>
    <t>Manipulation Grenzbetrag Schuld</t>
  </si>
  <si>
    <t>8840</t>
  </si>
  <si>
    <t>Exception employeur</t>
  </si>
  <si>
    <t>Uitzondering werkgever</t>
  </si>
  <si>
    <t>Trigger Urlaubsgeld - im Dienst</t>
  </si>
  <si>
    <t>7001</t>
  </si>
  <si>
    <t>Z - Mandat reg Einnehmer ES</t>
  </si>
  <si>
    <t>4172</t>
  </si>
  <si>
    <t>4214</t>
  </si>
  <si>
    <t>Allocation de développement des compétances</t>
  </si>
  <si>
    <t>Prime de dirigeant</t>
  </si>
  <si>
    <t>Immigration- M</t>
  </si>
  <si>
    <t>Contactable et 
rappellable
4001
Rappellable y compris
4002</t>
  </si>
  <si>
    <t>&gt;Service Ininterrompu 24-Heures
4012</t>
  </si>
  <si>
    <t>Houthalen-Helchteren/As / Genk / Opglabbeek / Zutendaal (MidLim)</t>
  </si>
  <si>
    <t>B4C.1</t>
  </si>
  <si>
    <t>SelecteerAlgemeenTotaal</t>
  </si>
  <si>
    <t>Fract tps compet  0</t>
  </si>
  <si>
    <t>Tijdsbr CMP 0</t>
  </si>
  <si>
    <t>Teil Zeit KMP 0</t>
  </si>
  <si>
    <t>2100</t>
  </si>
  <si>
    <t>Indemnités dernière maladie et frais funéraires</t>
  </si>
  <si>
    <t>Autres indemnités et Allocations</t>
  </si>
  <si>
    <t>3245</t>
  </si>
  <si>
    <t>Empl enceinte travail risque contr.</t>
  </si>
  <si>
    <t>Zwangere wn risicoarb. contr. bet.</t>
  </si>
  <si>
    <t>Teil Zeit Weihnachtsgeld 75</t>
  </si>
  <si>
    <t>2055</t>
  </si>
  <si>
    <t>Fract tps AFA mal travailleur</t>
  </si>
  <si>
    <t>Tijdsbr EJT ziek arb</t>
  </si>
  <si>
    <t>Teil Zeit Weihnachtsgeld kr Arb</t>
  </si>
  <si>
    <t>2056</t>
  </si>
  <si>
    <t>Fract tps AFA mal empl essai</t>
  </si>
  <si>
    <t>Tijdsbr EJT ziek bed proef</t>
  </si>
  <si>
    <t>Teil Zeit Weihnachtsg kr prob Ang</t>
  </si>
  <si>
    <t>2057</t>
  </si>
  <si>
    <t>Fract tps AFA 82</t>
  </si>
  <si>
    <t>121-48/21</t>
  </si>
  <si>
    <t>Sur base de ce code le module refuse/octroi certains droits</t>
  </si>
  <si>
    <t>Tijdsbr WED 2de wk ziek arb</t>
  </si>
  <si>
    <t>Teil Zeit Gehalt 2. Wo krank Arb</t>
  </si>
  <si>
    <t>2006</t>
  </si>
  <si>
    <t>Fract tps trt 2è sem mal empl ess</t>
  </si>
  <si>
    <t>Tijdsbr WED 2de wk ziek bed pr</t>
  </si>
  <si>
    <t>Teil Zeit Geh 2. Wo krank prob Ang</t>
  </si>
  <si>
    <t>2007</t>
  </si>
  <si>
    <t>Fract tps trt 3/4 sem mal travaill</t>
  </si>
  <si>
    <t>M600</t>
  </si>
  <si>
    <t>Calog</t>
  </si>
  <si>
    <t>Ops</t>
  </si>
  <si>
    <t>M700</t>
  </si>
  <si>
    <t>M410</t>
  </si>
  <si>
    <t>C400</t>
  </si>
  <si>
    <t>Blankenberge / Zuienkerke</t>
  </si>
  <si>
    <t>3350</t>
  </si>
  <si>
    <t>Maladie après un an</t>
  </si>
  <si>
    <t>T - Weekenduur OS &amp; NS</t>
  </si>
  <si>
    <t>HUA1</t>
  </si>
  <si>
    <t>B5</t>
  </si>
  <si>
    <t>B4</t>
  </si>
  <si>
    <t>B3</t>
  </si>
  <si>
    <t>B2</t>
  </si>
  <si>
    <t>GD.1WMDL</t>
  </si>
  <si>
    <t>GD.WMDL</t>
  </si>
  <si>
    <t>W.D5</t>
  </si>
  <si>
    <t>V.PB3</t>
  </si>
  <si>
    <t>Secrétaire ou Comptable spécial/Receveur</t>
  </si>
  <si>
    <t>New</t>
  </si>
  <si>
    <t>54</t>
  </si>
  <si>
    <t>55</t>
  </si>
  <si>
    <t>56</t>
  </si>
  <si>
    <t>57</t>
  </si>
  <si>
    <t>58</t>
  </si>
  <si>
    <t>59</t>
  </si>
  <si>
    <t>62</t>
  </si>
  <si>
    <t xml:space="preserve"> BIL UTIL Par Kader </t>
  </si>
  <si>
    <t>4 037 &amp; 4 098</t>
  </si>
  <si>
    <t>4 039 &amp; 4 191</t>
  </si>
  <si>
    <t>4005 &lt;=&gt; 4008</t>
  </si>
  <si>
    <t>FORMULE A.P.E :Onglet de Classeur Total_Code</t>
  </si>
  <si>
    <t>Weddecomplement - vrijwillige 4/5</t>
  </si>
  <si>
    <t>Zusätzl Gehalt - freiwil 4-Tag Wo</t>
  </si>
  <si>
    <t>4072</t>
  </si>
  <si>
    <t>I - Abonnement social</t>
  </si>
  <si>
    <t>4230</t>
  </si>
  <si>
    <t>Remise de dette</t>
  </si>
  <si>
    <t>Kwijtschelding</t>
  </si>
  <si>
    <t>4231</t>
  </si>
  <si>
    <t>4286</t>
  </si>
  <si>
    <t>4287</t>
  </si>
  <si>
    <t>4288</t>
  </si>
  <si>
    <t>4289</t>
  </si>
  <si>
    <t>Manipulation montant limite dette - cession ou saisie</t>
  </si>
  <si>
    <t>8946</t>
  </si>
  <si>
    <t>Manipulatie grensbedrag schuld - regelmatige betaling</t>
  </si>
  <si>
    <t>9018</t>
  </si>
  <si>
    <t>9019</t>
  </si>
  <si>
    <t>9158</t>
  </si>
  <si>
    <t>9232</t>
  </si>
  <si>
    <t>9388</t>
  </si>
  <si>
    <t>V - Reiskosten tuchtraad</t>
  </si>
  <si>
    <t>V - Reisekost Disziplinarrat</t>
  </si>
  <si>
    <t>4139</t>
  </si>
  <si>
    <t>Schuldvermittlung</t>
  </si>
  <si>
    <t>9950</t>
  </si>
  <si>
    <t>Fract tps traitement 100</t>
  </si>
  <si>
    <t>B.S 150M1</t>
  </si>
  <si>
    <t>GD.LT 1</t>
  </si>
  <si>
    <t>V.PB35</t>
  </si>
  <si>
    <t>V_Mec</t>
  </si>
  <si>
    <t>ABL_AdjA</t>
  </si>
  <si>
    <t>111-01/14</t>
  </si>
  <si>
    <t>111-08/90</t>
  </si>
  <si>
    <t>121-48/03</t>
  </si>
  <si>
    <t>82</t>
  </si>
  <si>
    <t>93</t>
  </si>
  <si>
    <t>94</t>
  </si>
  <si>
    <t>85</t>
  </si>
  <si>
    <t>86</t>
  </si>
  <si>
    <t>87</t>
  </si>
  <si>
    <t>88</t>
  </si>
  <si>
    <t>L266</t>
  </si>
  <si>
    <t>B040</t>
  </si>
  <si>
    <t>AP74</t>
  </si>
  <si>
    <t>AP72</t>
  </si>
  <si>
    <t>L222</t>
  </si>
  <si>
    <t>L007</t>
  </si>
  <si>
    <t>L119</t>
  </si>
  <si>
    <t>L110</t>
  </si>
  <si>
    <t>PB38</t>
  </si>
  <si>
    <t>L118</t>
  </si>
  <si>
    <t>P006</t>
  </si>
  <si>
    <t>PB15</t>
  </si>
  <si>
    <t>L210</t>
  </si>
  <si>
    <t>A - Fonction police mil</t>
  </si>
  <si>
    <t>T - Functie politie militair</t>
  </si>
  <si>
    <t>Z - Funktion Polizei Militär</t>
  </si>
  <si>
    <t>4064</t>
  </si>
  <si>
    <t>A - Fonction police mil - DET</t>
  </si>
  <si>
    <t>T - Functie politie mil - DET</t>
  </si>
  <si>
    <t>Membres  (ZP entière)</t>
  </si>
  <si>
    <t xml:space="preserve">!  Octroyer un bon code statut </t>
  </si>
  <si>
    <t>pour la distinction CALog ou  A.P.E</t>
  </si>
  <si>
    <t>vérification du N° suivie Total_Code et Total_Code X-1</t>
  </si>
  <si>
    <t>Schort-cuts</t>
  </si>
  <si>
    <t>Réinitialiser le menu</t>
  </si>
  <si>
    <t>Création /mise à jour des onglets Tutelle</t>
  </si>
  <si>
    <t>Explicatif des codes de  l'onglet Elements Barémiques</t>
  </si>
  <si>
    <t>LBO - bijstand zieke (vt)</t>
  </si>
  <si>
    <r>
      <t xml:space="preserve">PERIODE 1 </t>
    </r>
    <r>
      <rPr>
        <b/>
        <sz val="8"/>
        <rFont val="Arial"/>
        <family val="2"/>
      </rPr>
      <t>Wedde</t>
    </r>
    <r>
      <rPr>
        <b/>
        <sz val="12"/>
        <rFont val="Arial"/>
        <family val="2"/>
      </rPr>
      <t xml:space="preserve"> 1</t>
    </r>
  </si>
  <si>
    <r>
      <t>PERIODE 2</t>
    </r>
    <r>
      <rPr>
        <b/>
        <sz val="8"/>
        <rFont val="Arial"/>
        <family val="2"/>
      </rPr>
      <t xml:space="preserve"> wedde </t>
    </r>
    <r>
      <rPr>
        <b/>
        <sz val="12"/>
        <rFont val="Arial"/>
        <family val="2"/>
      </rPr>
      <t>2</t>
    </r>
  </si>
  <si>
    <t>DV</t>
  </si>
  <si>
    <t>EU</t>
  </si>
  <si>
    <t>ops</t>
  </si>
  <si>
    <t>FI</t>
  </si>
  <si>
    <t>Regularisation - Mt pas imposable</t>
  </si>
  <si>
    <t>Regul - Niet belastbaar bedrag</t>
  </si>
  <si>
    <t>Personnel du Cadre Administratif et Logistique (CALog) &amp; A.P.E.</t>
  </si>
  <si>
    <t>Subvention Sociale  II</t>
  </si>
  <si>
    <t>Verv bedr/pct sol kapitaal brandw</t>
  </si>
  <si>
    <t>Ersetz Bet/% Sol Kapit Feuerwehr</t>
  </si>
  <si>
    <t>8087</t>
  </si>
  <si>
    <t>Anderlecht / Sint-Gillis / Vorst</t>
  </si>
  <si>
    <t>Oudergem / Ukkel / Watermaal-Bosvoorde</t>
  </si>
  <si>
    <t>Etterbeek / Sint-Lambrechts-Woluwe / Sint-Pieters-Woluwe</t>
  </si>
  <si>
    <t>Evere / Schaarbeek / Sint-Joost-Ten-Node</t>
  </si>
  <si>
    <t>V.Ge</t>
  </si>
  <si>
    <t>V.32.50b</t>
  </si>
  <si>
    <t>V.1.22</t>
  </si>
  <si>
    <t>W.AP6.7</t>
  </si>
  <si>
    <t>W.AP6.10</t>
  </si>
  <si>
    <t>GD.LTKOL</t>
  </si>
  <si>
    <t>B.AP3</t>
  </si>
  <si>
    <t>W.AP5</t>
  </si>
  <si>
    <t>GD.CPT</t>
  </si>
  <si>
    <t>V.L001</t>
  </si>
  <si>
    <t>V.PB4C</t>
  </si>
  <si>
    <t>V.PB12</t>
  </si>
  <si>
    <t>GD.SLT 1</t>
  </si>
  <si>
    <t>V.Ge3250</t>
  </si>
  <si>
    <t>V.315I</t>
  </si>
  <si>
    <t>B.A20150</t>
  </si>
  <si>
    <t>V.PB5-L82</t>
  </si>
  <si>
    <t>V.1.104</t>
  </si>
  <si>
    <t>B.A20 15</t>
  </si>
  <si>
    <t>V.Mor PB3</t>
  </si>
  <si>
    <t>W_321 30</t>
  </si>
  <si>
    <t>V_1.12</t>
  </si>
  <si>
    <t>B_BxlD06</t>
  </si>
  <si>
    <t>B_0D56</t>
  </si>
  <si>
    <t>W_324 26</t>
  </si>
  <si>
    <t>W_2001</t>
  </si>
  <si>
    <t>W_A3 SP</t>
  </si>
  <si>
    <t>F_A2A</t>
  </si>
  <si>
    <t>F_AA5</t>
  </si>
  <si>
    <t>W_290 D</t>
  </si>
  <si>
    <t>F_DD2/40</t>
  </si>
  <si>
    <t>B_A18114</t>
  </si>
  <si>
    <t>B_1.22</t>
  </si>
  <si>
    <t>W_C3</t>
  </si>
  <si>
    <t>V_PB5</t>
  </si>
  <si>
    <t>W_LIE D3</t>
  </si>
  <si>
    <t>F_BB2</t>
  </si>
  <si>
    <t>V_An1001C</t>
  </si>
  <si>
    <t>F_B4D</t>
  </si>
  <si>
    <t>V_An11s</t>
  </si>
  <si>
    <t>B_D3</t>
  </si>
  <si>
    <t>B_EP2</t>
  </si>
  <si>
    <t>B_5344 95</t>
  </si>
  <si>
    <t>V_ANT-B</t>
  </si>
  <si>
    <t>B_L1203</t>
  </si>
  <si>
    <t>B_B2.11</t>
  </si>
  <si>
    <t>B_12S3</t>
  </si>
  <si>
    <t>W_La10S6</t>
  </si>
  <si>
    <t>Ind</t>
  </si>
  <si>
    <t>Avant projet 20 juillet 2011</t>
  </si>
  <si>
    <t>no</t>
  </si>
  <si>
    <t>Droit à l'alloc de dév
Compétentce</t>
  </si>
  <si>
    <t xml:space="preserve"> = recht   </t>
  </si>
  <si>
    <t xml:space="preserve">Montant Payé ou
"YES" si nouveau droit </t>
  </si>
  <si>
    <t>6003_6005 Allocation
Développement
de Compétences</t>
  </si>
  <si>
    <t>6002 - Prime d'intégration  
Niveau D</t>
  </si>
  <si>
    <t>Ctl  DroitAllocation
Dévlop Compétences</t>
  </si>
  <si>
    <t xml:space="preserve"> =&gt; Indien recht   </t>
  </si>
  <si>
    <t>Andere Transport steuerpfl</t>
  </si>
  <si>
    <t>8470</t>
  </si>
  <si>
    <t>Frais administratifs rempl.</t>
  </si>
  <si>
    <t>Vervangende beheerskosten</t>
  </si>
  <si>
    <t>Ersetz Verwaltungskosten</t>
  </si>
  <si>
    <t>8471</t>
  </si>
  <si>
    <t>L120</t>
  </si>
  <si>
    <t>L233</t>
  </si>
  <si>
    <t>1050</t>
  </si>
  <si>
    <t>Categorie Pers</t>
  </si>
  <si>
    <t>rang</t>
  </si>
  <si>
    <t>coëfficient</t>
  </si>
  <si>
    <t>PEC VAC</t>
  </si>
  <si>
    <t>EJTPATR</t>
  </si>
  <si>
    <t>nadec</t>
  </si>
  <si>
    <t>najan-nov</t>
  </si>
  <si>
    <t>IntegrNivD</t>
  </si>
  <si>
    <t>Total CALog+A.P.E.</t>
  </si>
  <si>
    <t>Total Ops CALog+A.P.E.</t>
  </si>
  <si>
    <t>Total_CALog</t>
  </si>
  <si>
    <t>28L0</t>
  </si>
  <si>
    <t>26E0</t>
  </si>
  <si>
    <t>26H0</t>
  </si>
  <si>
    <t>28C0</t>
  </si>
  <si>
    <t>28D0</t>
  </si>
  <si>
    <t>26F0</t>
  </si>
  <si>
    <t>26I0</t>
  </si>
  <si>
    <t>28F0</t>
  </si>
  <si>
    <t>10B0</t>
  </si>
  <si>
    <t>Allocation de fin d'année (AFA)  -&gt; partie fixe</t>
  </si>
  <si>
    <t>Indemnités de repas &amp; frais de séjour : L021 - L096</t>
  </si>
  <si>
    <t>Celles / Estaimpuis / Mont-de-l'Enclus / Pecq</t>
  </si>
  <si>
    <t>Bernissart / Péruwelz</t>
  </si>
  <si>
    <t>Ath</t>
  </si>
  <si>
    <t>Mons / Quévy</t>
  </si>
  <si>
    <t>A - Prest except irrég non ONSS</t>
  </si>
  <si>
    <t>Chèques-repas cotis employé</t>
  </si>
  <si>
    <t>Mandat 1</t>
  </si>
  <si>
    <t>Mandat 2</t>
  </si>
  <si>
    <t>Mandat 3</t>
  </si>
  <si>
    <t>6017</t>
  </si>
  <si>
    <t>Péc vac job étudiant en service</t>
  </si>
  <si>
    <t>Pécule de Vacances -  Prime Copernic</t>
  </si>
  <si>
    <t>Allocation de fin d'année</t>
  </si>
  <si>
    <t>A - Permanence</t>
  </si>
  <si>
    <t>Bes Beitr Sozialversich / Viertelj</t>
  </si>
  <si>
    <t>Allocation d'immigration (demi jour et journée complète)</t>
  </si>
  <si>
    <t>Allocation (Indemnité) Comptable spécial &amp; secrétaire 
&amp; Allocation de Mandat (Chef de corps) TJ-TF lcd 4009</t>
  </si>
  <si>
    <t>Chaque "cellule" ou  "range" ou "ligne" contenant les formules  de cet feuille peut être utilisé pour réparer les formules écrasées ou modifiées des feuilles sources</t>
  </si>
  <si>
    <t>Code Officiël - suffixe</t>
  </si>
  <si>
    <t>Code Economique et libellé</t>
  </si>
  <si>
    <t xml:space="preserve"> </t>
  </si>
  <si>
    <t>C</t>
  </si>
  <si>
    <t>DD1</t>
  </si>
  <si>
    <t>D1A</t>
  </si>
  <si>
    <t>D1B</t>
  </si>
  <si>
    <t>SelecteerTut1</t>
  </si>
  <si>
    <t>Z - Funktion - Lehrer Luftunterst</t>
  </si>
  <si>
    <t>4077</t>
  </si>
  <si>
    <t>A - Fonction - Monit pilote - DET</t>
  </si>
  <si>
    <t>T - Functie luchtsteun monit - DET</t>
  </si>
  <si>
    <t>Z - Funktion - Lehrer Luftunt - DET</t>
  </si>
  <si>
    <t>Verv BV op opzegvergoedingen</t>
  </si>
  <si>
    <t>Dispo malad/inval long dur et recon</t>
  </si>
  <si>
    <t>Dispo ziekte/inval langd en erkend</t>
  </si>
  <si>
    <t>3404</t>
  </si>
  <si>
    <t>Reprise du congé de maternité</t>
  </si>
  <si>
    <t>Overgenomen moederschapsrust</t>
  </si>
  <si>
    <t>3408</t>
  </si>
  <si>
    <t>Tot Tarif Horaire
sans prestaties</t>
  </si>
  <si>
    <t>Total Individuel
en Euro</t>
  </si>
  <si>
    <t>Montant/ Nombre</t>
  </si>
  <si>
    <t xml:space="preserve">Bilinguisme </t>
  </si>
  <si>
    <t>Conaissance légal ou requise</t>
  </si>
  <si>
    <t>Connaissance Utile</t>
  </si>
  <si>
    <t>Cotisations Patronales</t>
  </si>
  <si>
    <t>Membres contractuelles</t>
  </si>
  <si>
    <t>Agent Premier Emploi (A.P.E.)</t>
  </si>
  <si>
    <t>zus tzl.Steuerv. Aussergew.V.u.Z.</t>
  </si>
  <si>
    <t>8113</t>
  </si>
  <si>
    <t>PP complém ind et alloc except</t>
  </si>
  <si>
    <t>8120</t>
  </si>
  <si>
    <t>Jalhay / Spa / Theux</t>
  </si>
  <si>
    <t>A</t>
  </si>
  <si>
    <t>D</t>
  </si>
  <si>
    <t>X</t>
  </si>
  <si>
    <t>Congé non-payé mandat publ/pol</t>
  </si>
  <si>
    <t>Verlof onbet. openb./pol. mandaat</t>
  </si>
  <si>
    <t>3409</t>
  </si>
  <si>
    <t>BV op extra-wettelijk pensioen</t>
  </si>
  <si>
    <t>ESVZ ergänz Altersversorg</t>
  </si>
  <si>
    <t>8064</t>
  </si>
  <si>
    <t>Base réduction ONSS EMP CPE</t>
  </si>
  <si>
    <t>Basis RSZ WG vermindering SBO</t>
  </si>
  <si>
    <t>Basis LSS-AG Ermüssigung KEA</t>
  </si>
  <si>
    <t>8080</t>
  </si>
  <si>
    <t>PP rempl % fixe</t>
  </si>
  <si>
    <t xml:space="preserve">Allocation de Mandat _Chef de corps </t>
  </si>
  <si>
    <t>DU</t>
  </si>
  <si>
    <t>4140</t>
  </si>
  <si>
    <t>T - Examenjury</t>
  </si>
  <si>
    <t>Z - Prüfungsausschuss</t>
  </si>
  <si>
    <t>4141</t>
  </si>
  <si>
    <t>I - Déplacement jury examen</t>
  </si>
  <si>
    <t>V_PB1</t>
  </si>
  <si>
    <t>V_D2</t>
  </si>
  <si>
    <t>PB4B</t>
  </si>
  <si>
    <t>VRIJ
LIBRE</t>
  </si>
  <si>
    <t>111-01/90</t>
  </si>
  <si>
    <t>Chèques-repas cotisation employeur</t>
  </si>
  <si>
    <t>Y</t>
  </si>
  <si>
    <t>Positie/Subroutine</t>
  </si>
  <si>
    <t>Divider</t>
  </si>
  <si>
    <t>B_1.14</t>
  </si>
  <si>
    <t>Arbeidsongeschikt dr arbeidsongeval</t>
  </si>
  <si>
    <t>3112</t>
  </si>
  <si>
    <t>Inaptitude suite à malad prof</t>
  </si>
  <si>
    <t>6003_6005 Allocation de développement des compétences</t>
  </si>
  <si>
    <t>3430</t>
  </si>
  <si>
    <t>T - Centraal Orgaan</t>
  </si>
  <si>
    <t>A - Fonct - Protec fam royale - DET</t>
  </si>
  <si>
    <t>T - Functie beveil konink fam - DET</t>
  </si>
  <si>
    <t>Z - Funkt - Schutz könig Fam - DET</t>
  </si>
  <si>
    <t>4114</t>
  </si>
  <si>
    <t>A - Chauffeur</t>
  </si>
  <si>
    <t>T - Chauffeur</t>
  </si>
  <si>
    <t>CK</t>
  </si>
  <si>
    <t>CL</t>
  </si>
  <si>
    <t>4046</t>
  </si>
  <si>
    <t>I - Entretien uniforme</t>
  </si>
  <si>
    <t>V - Onderhoud uniform</t>
  </si>
  <si>
    <t>V - Instandhaltung Uniform</t>
  </si>
  <si>
    <t>4047</t>
  </si>
  <si>
    <t>V - Werkelijke onderzoekskosten md</t>
  </si>
  <si>
    <t>V - tatsäch mon Untersuchungskost</t>
  </si>
  <si>
    <t>8003</t>
  </si>
  <si>
    <t>Préc barém complém (% sur rés)</t>
  </si>
  <si>
    <t>Geen huishouding:
Repas de nuit
Nachtmaaltijd</t>
  </si>
  <si>
    <t>Diminution</t>
  </si>
  <si>
    <t>suivant</t>
  </si>
  <si>
    <t>Jaarbasis administratief barema</t>
  </si>
  <si>
    <t>Jahresbasis admin Lohnsatz</t>
  </si>
  <si>
    <t>1002</t>
  </si>
  <si>
    <t>Base annuelle anc stat 31/03/2001</t>
  </si>
  <si>
    <t>Jaarbasis oud statuut 31/03/2001</t>
  </si>
  <si>
    <t>Jahresbasis ehem Stat 31/03/2001</t>
  </si>
  <si>
    <t>1004</t>
  </si>
  <si>
    <t>9561-9565</t>
  </si>
  <si>
    <t>4024 Indemnités de déplacement  lieu de travail/maison/ KM</t>
  </si>
  <si>
    <t>V.A/850P</t>
  </si>
  <si>
    <t>Dour / Hensies / Honnelles / Quiévrain</t>
  </si>
  <si>
    <t>Charleroi</t>
  </si>
  <si>
    <t>Aiseau-Presles / Châtelet / Farciennes</t>
  </si>
  <si>
    <t>EJT</t>
  </si>
  <si>
    <t>Anderlues / Binche</t>
  </si>
  <si>
    <t>Houthalen-Helchteren</t>
  </si>
  <si>
    <t>Alken / Borgloon / Heers / Kortessem / Wellen</t>
  </si>
  <si>
    <t>Bilzen / Hoeselt / Riemst</t>
  </si>
  <si>
    <t>Voeren</t>
  </si>
  <si>
    <t>Relevé détaillé par code économique</t>
  </si>
  <si>
    <t>Relevé détaillé par code économique X-1</t>
  </si>
  <si>
    <t>Formulaire d'aide</t>
  </si>
  <si>
    <t>3307</t>
  </si>
  <si>
    <t>Inter carr - congé parent (tpl)</t>
  </si>
  <si>
    <t>LBO - ouderschverlof (vt)</t>
  </si>
  <si>
    <t>3308</t>
  </si>
  <si>
    <t>Inter carr - aide malade (tpl)</t>
  </si>
  <si>
    <t>L087</t>
  </si>
  <si>
    <t>B180</t>
  </si>
  <si>
    <t>0A06</t>
  </si>
  <si>
    <t>0A02</t>
  </si>
  <si>
    <t>Page d'accueil</t>
  </si>
  <si>
    <t>Barèmes</t>
  </si>
  <si>
    <t>Barèmes Opérationnels</t>
  </si>
  <si>
    <t>Barèmes Calog</t>
  </si>
  <si>
    <t>Barèmes supplémentaires</t>
  </si>
  <si>
    <t>2</t>
  </si>
  <si>
    <t/>
  </si>
  <si>
    <t>Boechout / Borsbeek / Mortsel / Wijnegem / Wommelgem</t>
  </si>
  <si>
    <t>Echelle et date d'une augmentation ou commisionnement
 à introduire pour l'année budgètisée</t>
  </si>
  <si>
    <t>Z - Einsatz Brüssel</t>
  </si>
  <si>
    <t>4027</t>
  </si>
  <si>
    <t>A - Intervention Bxl - DET</t>
  </si>
  <si>
    <t>T - Interventie Brussel - DET</t>
  </si>
  <si>
    <t>Z - Einsatz Brüssel - DET</t>
  </si>
  <si>
    <t>4028</t>
  </si>
  <si>
    <t>A - Fonction personnel roulant</t>
  </si>
  <si>
    <t>T - Functie rijdend pers</t>
  </si>
  <si>
    <t>Z - Funktion Fahrpersonal</t>
  </si>
  <si>
    <t>4068</t>
  </si>
  <si>
    <t xml:space="preserve">V_ ou V.: Echélle attibué en Flandre avant la réforme </t>
  </si>
  <si>
    <t xml:space="preserve">W_ ou W. : Echélle attibué en Wallonië avant la réforme </t>
  </si>
  <si>
    <t>Détemination traitement avantageux 
(avancement sauvegarde)</t>
  </si>
  <si>
    <t>Date ancienneté pécuniaire 
(du traitement effectif lors d'un avancement) 
autre que la sauvegarde</t>
  </si>
  <si>
    <t>F_30A0</t>
  </si>
  <si>
    <t>V_D3</t>
  </si>
  <si>
    <t>F_B1B</t>
  </si>
  <si>
    <t>V_C3</t>
  </si>
  <si>
    <t>B_E1</t>
  </si>
  <si>
    <t>F_B2C</t>
  </si>
  <si>
    <t>B_D1</t>
  </si>
  <si>
    <t>F_AA2</t>
  </si>
  <si>
    <t>F_C2A/C1</t>
  </si>
  <si>
    <t>V_E2</t>
  </si>
  <si>
    <t>W_E1</t>
  </si>
  <si>
    <t>B_E3</t>
  </si>
  <si>
    <t>F_C1D/C2</t>
  </si>
  <si>
    <t>F_D2A</t>
  </si>
  <si>
    <t>V_B2</t>
  </si>
  <si>
    <t>B.SL587</t>
  </si>
  <si>
    <t>A - Kompensationsurlaub</t>
  </si>
  <si>
    <t>A02G</t>
  </si>
  <si>
    <t>A - Seegeld</t>
  </si>
  <si>
    <t>A02J</t>
  </si>
  <si>
    <t>A - Commandement nAMI ex-gd</t>
  </si>
  <si>
    <t>T - Commando gn ZIV ex-rw</t>
  </si>
  <si>
    <t>A - Kommandement nKIV ehem. Gend.</t>
  </si>
  <si>
    <t>A02K</t>
  </si>
  <si>
    <t>A - Commandement AMI ex-gd</t>
  </si>
  <si>
    <t>T - Commando ZIV ex-rw</t>
  </si>
  <si>
    <t>Verpflegungssch (Geh) Beitr Arbgeb</t>
  </si>
  <si>
    <t>4213</t>
  </si>
  <si>
    <t>Sachleistung</t>
  </si>
  <si>
    <t>4143</t>
  </si>
  <si>
    <t>A - Organe de contrôle</t>
  </si>
  <si>
    <t>T - Controleorgaan</t>
  </si>
  <si>
    <t>Z - Kontrollorgan</t>
  </si>
  <si>
    <t>4144</t>
  </si>
  <si>
    <t>4224</t>
  </si>
  <si>
    <t>T - Brussels Gewest 2009</t>
  </si>
  <si>
    <t>Date début cotisat AMI</t>
  </si>
  <si>
    <t>Begindatum bijdrage ziekteverz</t>
  </si>
  <si>
    <t>T - Gelegenheidsluchtvaartprestatie</t>
  </si>
  <si>
    <t>Bijk baremieke voorheffing(% rest)</t>
  </si>
  <si>
    <t>Heures de nuit 19:00-22:00</t>
  </si>
  <si>
    <t>A0KM</t>
  </si>
  <si>
    <t>Limite d'age pension</t>
  </si>
  <si>
    <t>obligatoire</t>
  </si>
  <si>
    <t>Cadre auxiliaire</t>
  </si>
  <si>
    <t>Cadre de Base</t>
  </si>
  <si>
    <t>Cadre Moyen</t>
  </si>
  <si>
    <t>Cadre Officier</t>
  </si>
  <si>
    <t>Pension</t>
  </si>
  <si>
    <t>Maladie, ...</t>
  </si>
  <si>
    <t>foyer</t>
  </si>
  <si>
    <t>résidence</t>
  </si>
  <si>
    <t>Prime d'engagement - Bruxelles
4088</t>
  </si>
  <si>
    <t>Wedde 1</t>
  </si>
  <si>
    <t>Anc Vrijw -Benoeming</t>
  </si>
  <si>
    <t>Mnd Vrijwaring - Benoeming</t>
  </si>
  <si>
    <t>Wedde 2</t>
  </si>
  <si>
    <t>Berekening in deelperiodes</t>
  </si>
  <si>
    <t>Cat 1</t>
  </si>
  <si>
    <t>Cat 2</t>
  </si>
  <si>
    <t>0B06</t>
  </si>
  <si>
    <t>0B08</t>
  </si>
  <si>
    <t>IndDiff :</t>
  </si>
  <si>
    <t>BC</t>
  </si>
  <si>
    <t>BM</t>
  </si>
  <si>
    <t>CO</t>
  </si>
  <si>
    <t>CE</t>
  </si>
  <si>
    <t>Kolom</t>
  </si>
  <si>
    <t>Ctl Extract Supan</t>
  </si>
  <si>
    <t>imi_N</t>
  </si>
  <si>
    <t>33098</t>
  </si>
  <si>
    <t>33099</t>
  </si>
  <si>
    <t>330</t>
  </si>
  <si>
    <t>330/115-41</t>
  </si>
  <si>
    <t>330/111-22</t>
  </si>
  <si>
    <t>330/112-21</t>
  </si>
  <si>
    <t>330/112-48</t>
  </si>
  <si>
    <t># jours 
Code&amp;# de  prestations</t>
  </si>
  <si>
    <t>A - Intervention hors Bxl</t>
  </si>
  <si>
    <t>A - Formateur ex-gd</t>
  </si>
  <si>
    <t>T - Opleider ex-rw</t>
  </si>
  <si>
    <t>Z - Ausbilder ex-Gd</t>
  </si>
  <si>
    <t>0C25</t>
  </si>
  <si>
    <t>0C23</t>
  </si>
  <si>
    <t>L062</t>
  </si>
  <si>
    <t>0C21</t>
  </si>
  <si>
    <t>11S8</t>
  </si>
  <si>
    <t>0D19</t>
  </si>
  <si>
    <t>0D18</t>
  </si>
  <si>
    <t>EP31</t>
  </si>
  <si>
    <t>0C03</t>
  </si>
  <si>
    <t>0B17</t>
  </si>
  <si>
    <t>0B25</t>
  </si>
  <si>
    <t>0B14</t>
  </si>
  <si>
    <t>0C16</t>
  </si>
  <si>
    <t>12S3</t>
  </si>
  <si>
    <t>0D45</t>
  </si>
  <si>
    <t>A - Nachstunden</t>
  </si>
  <si>
    <t>A0JA</t>
  </si>
  <si>
    <t>Contrôle onglets Total:</t>
  </si>
  <si>
    <t>Contrôle Onglet Tutelle 2:</t>
  </si>
  <si>
    <t>Total Budget:</t>
  </si>
  <si>
    <t>https://besafe.ibz.be/fr/prevention-criminalite/gestion_policier/budget-et-gestion-financière</t>
  </si>
  <si>
    <t>Ex.</t>
  </si>
  <si>
    <t>Code ec.</t>
  </si>
  <si>
    <t>F.code</t>
  </si>
  <si>
    <t>Libellé</t>
  </si>
  <si>
    <t>Z - SAT FÖD Justiz</t>
  </si>
  <si>
    <t>4017</t>
  </si>
  <si>
    <t>I - Funéraire</t>
  </si>
  <si>
    <t>V - Begrafenis</t>
  </si>
  <si>
    <t>V - Begräbnis</t>
  </si>
  <si>
    <t>V.Ba 1517</t>
  </si>
  <si>
    <t>V.An11060</t>
  </si>
  <si>
    <t>V.AA3238</t>
  </si>
  <si>
    <t>V.AA 211</t>
  </si>
  <si>
    <t>V.3250+1</t>
  </si>
  <si>
    <t>V.3.1.77</t>
  </si>
  <si>
    <t>V.1.43+1</t>
  </si>
  <si>
    <t>GD.MAJ 1</t>
  </si>
  <si>
    <t>B.XL-1.3</t>
  </si>
  <si>
    <t>B.SGAP10</t>
  </si>
  <si>
    <t>Tijdsbr WED 3/4de wk ziek bed pr</t>
  </si>
  <si>
    <t>Teil Zeit Geh 3/4 Wo krank prob Ang</t>
  </si>
  <si>
    <t>2010</t>
  </si>
  <si>
    <t>Fract tps traitement 50</t>
  </si>
  <si>
    <t>Tijdsbr WED 50</t>
  </si>
  <si>
    <t>Teil Zeit Gehalt 50</t>
  </si>
  <si>
    <t>2011</t>
  </si>
  <si>
    <t>Zwangere wn risicoarb contr onbet</t>
  </si>
  <si>
    <t>4000</t>
  </si>
  <si>
    <t>Wedde</t>
  </si>
  <si>
    <t>Gehalt</t>
  </si>
  <si>
    <t>4001</t>
  </si>
  <si>
    <t>A - Contactable et rappelable</t>
  </si>
  <si>
    <t>V - Sociaal abonnement</t>
  </si>
  <si>
    <t>V - Verbilligte Zeitkarte</t>
  </si>
  <si>
    <t>4073</t>
  </si>
  <si>
    <t>I - Utilisation véhicule personnel</t>
  </si>
  <si>
    <t>V - Gebruik eigen voertuig</t>
  </si>
  <si>
    <t>V - Gebrauch eigen Fahrzeug</t>
  </si>
  <si>
    <t>4074</t>
  </si>
  <si>
    <t>A - Fonction - Pilote de test</t>
  </si>
  <si>
    <t>C330</t>
  </si>
  <si>
    <t>C430</t>
  </si>
  <si>
    <t>C440</t>
  </si>
  <si>
    <t>C470</t>
  </si>
  <si>
    <r>
      <t xml:space="preserve">Primes accidents du travail                                      </t>
    </r>
    <r>
      <rPr>
        <sz val="8"/>
        <color indexed="10"/>
        <rFont val="Arial"/>
        <family val="2"/>
      </rPr>
      <t>! ParaN                                     Cellulles B43  -&gt; E43 !</t>
    </r>
  </si>
  <si>
    <t>Cotisations service social :  0,15%</t>
  </si>
  <si>
    <t>Onbelast ander vervoer</t>
  </si>
  <si>
    <t>Andere Transport nicht steuerpfl</t>
  </si>
  <si>
    <t>8430</t>
  </si>
  <si>
    <t>Soc tegemoetk-beroepsziekte tijdel</t>
  </si>
  <si>
    <t>Soz Beihilfe - Zeit Berufskrankheit</t>
  </si>
  <si>
    <t>4169</t>
  </si>
  <si>
    <t>Cot ONSS étrangères PP barèm</t>
  </si>
  <si>
    <t>Buitenlandse RSZ-bijdr Bar BV</t>
  </si>
  <si>
    <t>Huishouding ,
Ontbijt
Ménage :
Petit déjeuner</t>
  </si>
  <si>
    <t xml:space="preserve">Ménage:
Repas de Midi
Middagmaal
</t>
  </si>
  <si>
    <t>0C10</t>
  </si>
  <si>
    <t>A - Bxl-Capitale PolFed</t>
  </si>
  <si>
    <t>DD41</t>
  </si>
  <si>
    <t>92</t>
  </si>
  <si>
    <t>83</t>
  </si>
  <si>
    <t>84</t>
  </si>
  <si>
    <t>97</t>
  </si>
  <si>
    <t>98</t>
  </si>
  <si>
    <t>99</t>
  </si>
  <si>
    <t>100</t>
  </si>
  <si>
    <t>B.BP1</t>
  </si>
  <si>
    <t>V.Aalst</t>
  </si>
  <si>
    <t>GD.ADC</t>
  </si>
  <si>
    <t>W.C3-OPJ</t>
  </si>
  <si>
    <t>B.AP4</t>
  </si>
  <si>
    <t>PS scale</t>
  </si>
  <si>
    <t>V.AN1216</t>
  </si>
  <si>
    <t>V.A3.S50</t>
  </si>
  <si>
    <t>GD.MAJ</t>
  </si>
  <si>
    <t>B.AP5.1</t>
  </si>
  <si>
    <t>V.B3</t>
  </si>
  <si>
    <t>B.S150A1</t>
  </si>
  <si>
    <t>Omschrijving</t>
  </si>
  <si>
    <t>Artikel_S</t>
  </si>
  <si>
    <t>Ec5</t>
  </si>
  <si>
    <t>"Budg X"</t>
  </si>
  <si>
    <t>Article</t>
  </si>
  <si>
    <t>Totaux</t>
  </si>
  <si>
    <t>Transfert d' ACCESS</t>
  </si>
  <si>
    <t>Estimé</t>
  </si>
  <si>
    <t>Contrôle facultatif des parametres et du montant estimé vis-à-vis de la facture précédente.</t>
  </si>
  <si>
    <t>arrondi</t>
  </si>
  <si>
    <t>montant ?</t>
  </si>
  <si>
    <t>Coût moyen horaire 1/1976  Patronales y comprises
Elements fixes du salaire UNIQUEMENT sans variables
(= Base d'une heure récupérée</t>
  </si>
  <si>
    <t>Nombre d'heures prestées</t>
  </si>
  <si>
    <t>TotaalCode X-1</t>
  </si>
  <si>
    <t>Nom Prénom
Naam Voornaam</t>
  </si>
  <si>
    <t>AP54</t>
  </si>
  <si>
    <t>Payement à terme échu Dec X-1 payé en X ---pour budget X</t>
  </si>
  <si>
    <t>cellule D20 =vide =&gt; aucune adaptation ---&gt; "Oui" of "X" = allocations fixe adapté</t>
  </si>
  <si>
    <t>Noord</t>
  </si>
  <si>
    <t>West</t>
  </si>
  <si>
    <t>Bur
SSGPI</t>
  </si>
  <si>
    <t>Jur</t>
  </si>
  <si>
    <t xml:space="preserve">séparateur _ (underscore) est utilisée pour les Calog </t>
  </si>
  <si>
    <t>Ajout NAPAP
20160315</t>
  </si>
  <si>
    <t>Rémunération du personnel opérationnel  NAPAP</t>
  </si>
  <si>
    <t>Allocation de fin d'année (AFA) du personnel Opérationnel (partiellement soumis) NAPAP</t>
  </si>
  <si>
    <t>Pécule de Vacances du personnel opérationnel NAPAP</t>
  </si>
  <si>
    <t>Cotisations patronales ordinaires à l'ORPSS (Traitement et allocations fixes)  du personnel opérationnel NAPAP</t>
  </si>
  <si>
    <t>Cotisations au service social du personnel Opérationnel NAPAP</t>
  </si>
  <si>
    <t>V.3.1.20</t>
  </si>
  <si>
    <t>B.WSL1301</t>
  </si>
  <si>
    <t>V.PB37</t>
  </si>
  <si>
    <t>B.Ga 1.18</t>
  </si>
  <si>
    <t>V.Vil-B</t>
  </si>
  <si>
    <t>B.B303</t>
  </si>
  <si>
    <t>W.Fon B</t>
  </si>
  <si>
    <t>B1B0</t>
  </si>
  <si>
    <t>B2B1</t>
  </si>
  <si>
    <t>B3B1</t>
  </si>
  <si>
    <t>B4B1</t>
  </si>
  <si>
    <t>Heures supplémentaires</t>
  </si>
  <si>
    <t>Heures de weekend</t>
  </si>
  <si>
    <t>Geen huishouding:
Repas du soir
Avondmaal</t>
  </si>
  <si>
    <t>Z - gelegentliche Luftfahrt</t>
  </si>
  <si>
    <t>4026</t>
  </si>
  <si>
    <t>A - Intervention Bxl</t>
  </si>
  <si>
    <t>T - Interventie Brussel</t>
  </si>
  <si>
    <t>L074</t>
  </si>
  <si>
    <t>L240</t>
  </si>
  <si>
    <t>L113</t>
  </si>
  <si>
    <t>L238</t>
  </si>
  <si>
    <t>L078</t>
  </si>
  <si>
    <t>L243</t>
  </si>
  <si>
    <t>L155</t>
  </si>
  <si>
    <t>L005</t>
  </si>
  <si>
    <t>L152</t>
  </si>
  <si>
    <t>L156</t>
  </si>
  <si>
    <t>L084</t>
  </si>
  <si>
    <t>L218</t>
  </si>
  <si>
    <t>L111</t>
  </si>
  <si>
    <t>L270</t>
  </si>
  <si>
    <t>L267</t>
  </si>
  <si>
    <t>Bierbeek / Boutersem / Holsbeek / Lubbeek</t>
  </si>
  <si>
    <t>Hoegaarden / Tienen</t>
  </si>
  <si>
    <t>Herent / Kortenberg</t>
  </si>
  <si>
    <t>Aarschot</t>
  </si>
  <si>
    <t>Boortmeerbeek / Haacht / Keerbergen</t>
  </si>
  <si>
    <t>V.Tem-H</t>
  </si>
  <si>
    <t>V.PB38</t>
  </si>
  <si>
    <t>V.PB34S</t>
  </si>
  <si>
    <t>V.PB15</t>
  </si>
  <si>
    <t>V.Ove-B</t>
  </si>
  <si>
    <t>V.Oud-350</t>
  </si>
  <si>
    <t>V.Oud150</t>
  </si>
  <si>
    <t>V.N/HPC</t>
  </si>
  <si>
    <t>V.Mol Of</t>
  </si>
  <si>
    <t>V.Lie-J3</t>
  </si>
  <si>
    <t>V.Leu-32</t>
  </si>
  <si>
    <t>V.Ge3161</t>
  </si>
  <si>
    <t>V.GeA315</t>
  </si>
  <si>
    <t>V.Ge3847</t>
  </si>
  <si>
    <t>Est</t>
  </si>
  <si>
    <t>Brussel / Elsene</t>
  </si>
  <si>
    <t>Bru</t>
  </si>
  <si>
    <t>Secrétaire de la zone</t>
  </si>
  <si>
    <t>Nom_Prénom</t>
  </si>
  <si>
    <t>Total</t>
  </si>
  <si>
    <t>Total - Moyenne</t>
  </si>
  <si>
    <t>subtotal (filtre) - Total</t>
  </si>
  <si>
    <t>CR</t>
  </si>
  <si>
    <t>CT</t>
  </si>
  <si>
    <t>CU</t>
  </si>
  <si>
    <t>CW</t>
  </si>
  <si>
    <t>Ecocodes---&gt;</t>
  </si>
  <si>
    <t>yyyy
mmdd</t>
  </si>
  <si>
    <t>yyyy
mm</t>
  </si>
  <si>
    <t>SC</t>
  </si>
  <si>
    <t>SD</t>
  </si>
  <si>
    <t>SE</t>
  </si>
  <si>
    <t>SelecteerTotaalCodeX1</t>
  </si>
  <si>
    <t>SelecteerAlgemeenTotaalX1</t>
  </si>
  <si>
    <t>SelecteerBarO</t>
  </si>
  <si>
    <t>SelecteerBarC</t>
  </si>
  <si>
    <t>SelecteerBarR</t>
  </si>
  <si>
    <t>Teil Zeit Weihnachtsgeld 82</t>
  </si>
  <si>
    <t>2075</t>
  </si>
  <si>
    <t>Fract tps trt dispo 100</t>
  </si>
  <si>
    <t>Tijdsbr WED dispo 100</t>
  </si>
  <si>
    <t>Teil Zeit GEH dispo 100</t>
  </si>
  <si>
    <t>2090</t>
  </si>
  <si>
    <t>Fract tps compet  100</t>
  </si>
  <si>
    <t>Tijdsbr CMP 100</t>
  </si>
  <si>
    <t>Teil Zeit KMP 100</t>
  </si>
  <si>
    <t>2091</t>
  </si>
  <si>
    <t>Cotisations au service social du Cadre Administratif et Logistique</t>
  </si>
  <si>
    <t>LASS Arbg: indir ergänz Altersvers</t>
  </si>
  <si>
    <t>9518</t>
  </si>
  <si>
    <t>ONSS patr: pens extra-légale direct</t>
  </si>
  <si>
    <t>RSZ werkg: extra leg pens rechtstr</t>
  </si>
  <si>
    <t>LASS Arbg: dir ergänz Altersvers</t>
  </si>
  <si>
    <t>9520</t>
  </si>
  <si>
    <t>Weddetoeslag - Mandaat</t>
  </si>
  <si>
    <t>Zusätzl Gehalt - Mandat</t>
  </si>
  <si>
    <t>4058</t>
  </si>
  <si>
    <t>A - Mandat comptable spécial</t>
  </si>
  <si>
    <t>T - Mandaat bijz rekenplichtige</t>
  </si>
  <si>
    <t>Z - Mandat spez Rechnungsführer</t>
  </si>
  <si>
    <t>4059</t>
  </si>
  <si>
    <t>Indemnités de déplacement  (Frais de voyage) :L021-L096</t>
  </si>
  <si>
    <t>I - Frais de transport ex-pjp</t>
  </si>
  <si>
    <t>V - Transportkosten ex-gpp</t>
  </si>
  <si>
    <t>I - Transportkosten ehem. GPD</t>
  </si>
  <si>
    <t>Bijk baremieke voorheff (% rest)</t>
  </si>
  <si>
    <t>T - Boventallige zone</t>
  </si>
  <si>
    <t>A - überschüssige Zone</t>
  </si>
  <si>
    <t xml:space="preserve">Contrat </t>
  </si>
  <si>
    <t>Code Traitement
Themis
% W(1-2) hhmm</t>
  </si>
  <si>
    <t>Type de sauvegarde
non utilisé dans le moduel</t>
  </si>
  <si>
    <t>Echélle suivante et date en vigueur</t>
  </si>
  <si>
    <t>Anticipatif(1)
Echu (2)</t>
  </si>
  <si>
    <t>A/P</t>
  </si>
  <si>
    <t>11108-00</t>
  </si>
  <si>
    <t>11108-01</t>
  </si>
  <si>
    <t>11108-20</t>
  </si>
  <si>
    <t>11108-21</t>
  </si>
  <si>
    <t>11108/03</t>
  </si>
  <si>
    <t>11108/04</t>
  </si>
  <si>
    <t>11108/05</t>
  </si>
  <si>
    <t>Echelles sans préfix = Echelle nouveau statut</t>
  </si>
  <si>
    <t>C'est le code de type de personnel complèté par un code 1 à 9</t>
  </si>
  <si>
    <t>De ce fait un code de 2-caractères est crée. La seconde partie réfère vers le tableau "Code secondaire"</t>
  </si>
  <si>
    <t>XI.III.6</t>
  </si>
  <si>
    <t>hr</t>
  </si>
  <si>
    <t>NH 19-22</t>
  </si>
  <si>
    <t>NH 22-06</t>
  </si>
  <si>
    <t>XI.III.8</t>
  </si>
  <si>
    <t>XI.III.10</t>
  </si>
  <si>
    <t>1/24</t>
  </si>
  <si>
    <t>vroegste</t>
  </si>
  <si>
    <t>M320</t>
  </si>
  <si>
    <t>M420</t>
  </si>
  <si>
    <t>M510</t>
  </si>
  <si>
    <t>M520</t>
  </si>
  <si>
    <t>M741</t>
  </si>
  <si>
    <t>C100</t>
  </si>
  <si>
    <t>C230</t>
  </si>
  <si>
    <t>C300</t>
  </si>
  <si>
    <t>TOTAL A.P.E.</t>
  </si>
  <si>
    <r>
      <t xml:space="preserve">Prime Accidens de travail
</t>
    </r>
    <r>
      <rPr>
        <sz val="8"/>
        <color indexed="10"/>
        <rFont val="Arial"/>
        <family val="2"/>
      </rPr>
      <t>! ParaN
Cellulles B43 -&gt;E43 !</t>
    </r>
  </si>
  <si>
    <t>! Les formules sont copié d'une ligne exmple</t>
  </si>
  <si>
    <t>Lors de l'ajout d'un ou plusieurs membre(s)</t>
  </si>
  <si>
    <t>Elle est collé après la dernière ligne remplie</t>
  </si>
  <si>
    <t>Z - Funktion Polizei Militär - DET</t>
  </si>
  <si>
    <t>4065</t>
  </si>
  <si>
    <t>TOTAAL</t>
  </si>
  <si>
    <t>Bassenge / Blégny / Dalhem / Juprelle / Oupeye / Visé</t>
  </si>
  <si>
    <t>Flémalle</t>
  </si>
  <si>
    <t>Alloc de mandat Chef de corps</t>
  </si>
  <si>
    <t>GLOBAL</t>
  </si>
  <si>
    <t>Tutelle1</t>
  </si>
  <si>
    <t>3111</t>
  </si>
  <si>
    <t>Inaptitude suite à acc de trav</t>
  </si>
  <si>
    <t>4015</t>
  </si>
  <si>
    <t>Base modif (caisse répartit)</t>
  </si>
  <si>
    <t>coéfficient</t>
  </si>
  <si>
    <t>TbIndN</t>
  </si>
  <si>
    <t>IndW</t>
  </si>
  <si>
    <t>IndT</t>
  </si>
  <si>
    <t>Ancdate VrSch</t>
  </si>
  <si>
    <t>B1</t>
  </si>
  <si>
    <t>CB</t>
  </si>
  <si>
    <t>Beernem / Oostkamp / Zedelgem</t>
  </si>
  <si>
    <t>Ardooie / Lichtervelde / Pittem / Ruiselede / Tielt / Wingene</t>
  </si>
  <si>
    <t>Oostende</t>
  </si>
  <si>
    <t>Bredene / De Haan</t>
  </si>
  <si>
    <t>Middelkerke</t>
  </si>
  <si>
    <t>Gistel / Ichtegem / Jabbeke / Oudenburg / Torhout</t>
  </si>
  <si>
    <t>Hooglede / Izegem / Roeselare</t>
  </si>
  <si>
    <t>Dentergem / Ingelmunster / Meulebeke / Oostrozebeke / Wielsbeke</t>
  </si>
  <si>
    <t>Ledegem / Menen / Wevelgem</t>
  </si>
  <si>
    <t>Kortrijk / Kuurne / Lendelede</t>
  </si>
  <si>
    <t>Deerlijk / Harelbeke</t>
  </si>
  <si>
    <t>A21</t>
  </si>
  <si>
    <t>A22</t>
  </si>
  <si>
    <t>A23</t>
  </si>
  <si>
    <t>A31</t>
  </si>
  <si>
    <t>A32</t>
  </si>
  <si>
    <t>A33</t>
  </si>
  <si>
    <t>A41</t>
  </si>
  <si>
    <t>A42</t>
  </si>
  <si>
    <t>A43</t>
  </si>
  <si>
    <t>AM</t>
  </si>
  <si>
    <t>AN</t>
  </si>
  <si>
    <t>AO</t>
  </si>
  <si>
    <t>AP</t>
  </si>
  <si>
    <t>AQ</t>
  </si>
  <si>
    <t>AR</t>
  </si>
  <si>
    <t>AT</t>
  </si>
  <si>
    <t>AV</t>
  </si>
  <si>
    <t>AF</t>
  </si>
  <si>
    <t>AU</t>
  </si>
  <si>
    <t>AG</t>
  </si>
  <si>
    <t>AH</t>
  </si>
  <si>
    <t>AI</t>
  </si>
  <si>
    <t>AJ</t>
  </si>
  <si>
    <t>Blad Calog</t>
  </si>
  <si>
    <t>Blad Ops</t>
  </si>
  <si>
    <t>DZ</t>
  </si>
  <si>
    <t>GI</t>
  </si>
  <si>
    <t>I</t>
  </si>
  <si>
    <t>subtotal (filtre) - Moyenne</t>
  </si>
  <si>
    <t>V - Compensatie</t>
  </si>
  <si>
    <t>I - Kompensation</t>
  </si>
  <si>
    <t>A0PA</t>
  </si>
  <si>
    <t>A - Detachement</t>
  </si>
  <si>
    <t>T - Afdeling</t>
  </si>
  <si>
    <t>A - Abordnung</t>
  </si>
  <si>
    <t>A0PC</t>
  </si>
  <si>
    <t>A - 23eme brigade</t>
  </si>
  <si>
    <t>T - 23e brigade</t>
  </si>
  <si>
    <t>A - 23. Brigade</t>
  </si>
  <si>
    <t>A0PE</t>
  </si>
  <si>
    <t>A - Mobilite zone excedentaire</t>
  </si>
  <si>
    <t>Vervangende BV vast percentage</t>
  </si>
  <si>
    <t>Ersetz ESVZ fest %</t>
  </si>
  <si>
    <t>Autres indemnités du personnel Opérationnel</t>
  </si>
  <si>
    <t>Chastre / Court-Saint-Etienne / Mont-Saint-Guibert / Villers-La-Ville / Walhain</t>
  </si>
  <si>
    <t>Wavre</t>
  </si>
  <si>
    <t>Beauvechain / Chaumont-Gistoux / Grez-Doiceau / Incourt</t>
  </si>
  <si>
    <t>Braine-l'Alleud</t>
  </si>
  <si>
    <t>Waterloo</t>
  </si>
  <si>
    <t>Ottignies-Louvain-La-Neuve</t>
  </si>
  <si>
    <t>Code octroyé par la zone dans le cadre de la circulaire PLP 46</t>
  </si>
  <si>
    <t>L'échelle de traitement chargée de Peoplesoft</t>
  </si>
  <si>
    <t>L'échelle de traitement</t>
  </si>
  <si>
    <t>se retrouve dans les onglets : BarO(pérationels), BarC(Alog)  ou BarR(eserve)</t>
  </si>
  <si>
    <t>periode 1</t>
  </si>
  <si>
    <t>Z - Zweisprachigkeit</t>
  </si>
  <si>
    <t>V - Fahrrad</t>
  </si>
  <si>
    <t>4025</t>
  </si>
  <si>
    <t>A - Prest aériennes occas</t>
  </si>
  <si>
    <t>Cotis spéc sécurité soc / mens</t>
  </si>
  <si>
    <t>Bijz.bijdr.soc.zekerheid / maand</t>
  </si>
  <si>
    <t>Bes Beitr Sozialversich / Monat</t>
  </si>
  <si>
    <t>9200</t>
  </si>
  <si>
    <t>Précompte barémique</t>
  </si>
  <si>
    <t>Baremieke voorheffing</t>
  </si>
  <si>
    <t>Bar Steuervorauszahlung</t>
  </si>
  <si>
    <t>9201</t>
  </si>
  <si>
    <t>Précompte barémique / trimestriel</t>
  </si>
  <si>
    <t>Amay / Engis / Saint-Georges-Sur-Meuse / Verlaine / Villers-Le-Bouillet / Wanze</t>
  </si>
  <si>
    <t>Huy</t>
  </si>
  <si>
    <t>Anthisnes / Clavier / Comblain-Au-Pont / Ferrières / Hamoir / Marchin / Modave / Nandrin / Ouffet / Tinlot</t>
  </si>
  <si>
    <t>Lux</t>
  </si>
  <si>
    <t>Arlon / Attert / Habay / Martelange</t>
  </si>
  <si>
    <t>L272</t>
  </si>
  <si>
    <t>PB3B</t>
  </si>
  <si>
    <t>L069</t>
  </si>
  <si>
    <t>Wet feestdag of vervang zn arbeid</t>
  </si>
  <si>
    <t>3106</t>
  </si>
  <si>
    <t>Petit délai</t>
  </si>
  <si>
    <t>Klein verlet</t>
  </si>
  <si>
    <t>3110</t>
  </si>
  <si>
    <t>Z - SAT FÖD Inneres</t>
  </si>
  <si>
    <t>4016</t>
  </si>
  <si>
    <t>A - SAT SPF Justice</t>
  </si>
  <si>
    <t>T - SAT FOD Justitie</t>
  </si>
  <si>
    <t>Zusätzl Geh - Mandat</t>
  </si>
  <si>
    <t>4097</t>
  </si>
  <si>
    <t>A - Prime de mer</t>
  </si>
  <si>
    <t>T - Zeegeld</t>
  </si>
  <si>
    <t>TY / UF / TYUF</t>
  </si>
  <si>
    <t>A11</t>
  </si>
  <si>
    <t>T - Ex-militairen</t>
  </si>
  <si>
    <t>Z - Ex-Militärs</t>
  </si>
  <si>
    <t>4113</t>
  </si>
  <si>
    <t>Z - Strategischer Analytiker - DET</t>
  </si>
  <si>
    <t>4009</t>
  </si>
  <si>
    <t>A - Formateur</t>
  </si>
  <si>
    <t>T - Opleider</t>
  </si>
  <si>
    <t>Z - Ausbilder</t>
  </si>
  <si>
    <t>4010</t>
  </si>
  <si>
    <t>A - Formateur - DET</t>
  </si>
  <si>
    <t>T - Opleider - DET</t>
  </si>
  <si>
    <t>ExportToezichtTutelle</t>
  </si>
  <si>
    <t>LegenFilters</t>
  </si>
  <si>
    <t>Hulp - Bijkomende formules Extractie van de Supplementen</t>
  </si>
  <si>
    <t>Totaal
_code</t>
  </si>
  <si>
    <t># Dagen 
CodeAantal 
 "TX"</t>
  </si>
  <si>
    <t>Niveau</t>
  </si>
  <si>
    <t>Caption</t>
  </si>
  <si>
    <t>Vervoerkosten openbaar belast</t>
  </si>
  <si>
    <t>Öff Transportkost steuerpfl</t>
  </si>
  <si>
    <t>Ausnahme Arbeitgeber</t>
  </si>
  <si>
    <t>8841</t>
  </si>
  <si>
    <t>8842</t>
  </si>
  <si>
    <t>8843</t>
  </si>
  <si>
    <t>8844</t>
  </si>
  <si>
    <t>Z - Mentor</t>
  </si>
  <si>
    <t>4062</t>
  </si>
  <si>
    <t>9572</t>
  </si>
  <si>
    <t>ONSS pat.: Voiture société CO2</t>
  </si>
  <si>
    <t>W.AP6.15</t>
  </si>
  <si>
    <t>V.3150Bis</t>
  </si>
  <si>
    <t>V.PB28</t>
  </si>
  <si>
    <t>V.PB18</t>
  </si>
  <si>
    <t>V.PB14</t>
  </si>
  <si>
    <t>V.D3</t>
  </si>
  <si>
    <t>V.An11040</t>
  </si>
  <si>
    <t>V.A143/M</t>
  </si>
  <si>
    <t>Fract tps traitement 75</t>
  </si>
  <si>
    <t>Tijdsbr WED 75</t>
  </si>
  <si>
    <t>ABL_1SgCA</t>
  </si>
  <si>
    <t>W_327</t>
  </si>
  <si>
    <t>ABL_1SMjA</t>
  </si>
  <si>
    <t>F_B4C</t>
  </si>
  <si>
    <t>B_WSL-B1</t>
  </si>
  <si>
    <t>B.AP6.4</t>
  </si>
  <si>
    <t>B.A18122</t>
  </si>
  <si>
    <t>W.AP6.1</t>
  </si>
  <si>
    <t>W.AP6.11</t>
  </si>
  <si>
    <t>W.AP4</t>
  </si>
  <si>
    <t>V.VPB9</t>
  </si>
  <si>
    <t>V.Mec3138</t>
  </si>
  <si>
    <t>B.344-58</t>
  </si>
  <si>
    <t>B.IX 1106</t>
  </si>
  <si>
    <t>W.AP6.13</t>
  </si>
  <si>
    <t>B.BP2</t>
  </si>
  <si>
    <t>W.D2</t>
  </si>
  <si>
    <t>W.D601CA</t>
  </si>
  <si>
    <t>W.AP6.2</t>
  </si>
  <si>
    <t>V.R3.2.50</t>
  </si>
  <si>
    <t>V.OudN150</t>
  </si>
  <si>
    <t>T - Gerechtelijke zuil klein</t>
  </si>
  <si>
    <t>Z - Ger Pfeiler klein</t>
  </si>
  <si>
    <t>4206</t>
  </si>
  <si>
    <t>I - Repas F/L-021</t>
  </si>
  <si>
    <t>V - Maaltijd F/L-021</t>
  </si>
  <si>
    <t>V - Mahlzeit F/L-021</t>
  </si>
  <si>
    <t>4207</t>
  </si>
  <si>
    <t>I - Repas F/L-096</t>
  </si>
  <si>
    <t>V - Maaltijd F/L-096</t>
  </si>
  <si>
    <t>V - Mahlzeit F/L-096</t>
  </si>
  <si>
    <t>4208</t>
  </si>
  <si>
    <t>Code Economique</t>
  </si>
  <si>
    <t>Base AFA
 (Trt+ F/R + 
Suppl 4/5 + AllDévComp)</t>
  </si>
  <si>
    <t>AFA Base
(Trt + H/S + 
Suppl 4/5+ Mandat)</t>
  </si>
  <si>
    <t>6000</t>
  </si>
  <si>
    <t>A - Fin d'année</t>
  </si>
  <si>
    <t>T - Eindejaarstoelage</t>
  </si>
  <si>
    <t>Teil Zeit Gehalt 100</t>
  </si>
  <si>
    <t>Fract tps traitement 0</t>
  </si>
  <si>
    <t>Tijdsbr WED 0</t>
  </si>
  <si>
    <t>Teil Zeit Gehalt 0</t>
  </si>
  <si>
    <t>2005</t>
  </si>
  <si>
    <t>Fract tps trt 2ème sem mal travaill</t>
  </si>
  <si>
    <t>Allocation fixes du Cadre Administratif et Logistique</t>
  </si>
  <si>
    <t>Absence reprise travail progress</t>
  </si>
  <si>
    <t>Afwezigh progress werkhervatting</t>
  </si>
  <si>
    <t>3490</t>
  </si>
  <si>
    <t>Regularisation - Nicht steuerpfl. Betrag</t>
  </si>
  <si>
    <t>A0KI</t>
  </si>
  <si>
    <t>Montant trop retenu</t>
  </si>
  <si>
    <t>Te veel ingehouden bedrag</t>
  </si>
  <si>
    <t>Betrag zu viel angehalten</t>
  </si>
  <si>
    <t>Ménage:
Repas du soir
Avondmaal</t>
  </si>
  <si>
    <t>Ménage:
Repas de nuit
Nachtmaaltijd</t>
  </si>
  <si>
    <t>L-021:
I - Logement 
V - Verblijf</t>
  </si>
  <si>
    <t>L021 :
I - Déplacement
V -Verplaatsingen</t>
  </si>
  <si>
    <t>Kapitaal - bl arbeidsong - bel</t>
  </si>
  <si>
    <t>Kapital - perm Arbeitsunf - stpfl</t>
  </si>
  <si>
    <t>4044</t>
  </si>
  <si>
    <t>I - SHAPE</t>
  </si>
  <si>
    <t>V - SHAPE</t>
  </si>
  <si>
    <t>4045</t>
  </si>
  <si>
    <t>I - Téléphone</t>
  </si>
  <si>
    <t>V - Telefoonvergoeding</t>
  </si>
  <si>
    <t>V - Telefon</t>
  </si>
  <si>
    <t>Identificatienummer</t>
  </si>
  <si>
    <t>Naam</t>
  </si>
  <si>
    <t>C/S</t>
  </si>
  <si>
    <t>Funktionele code</t>
  </si>
  <si>
    <t>Weddeschaal</t>
  </si>
  <si>
    <t>Anciënniteitsdatum</t>
  </si>
  <si>
    <t>Heures de Nuit  22:00-06:00</t>
  </si>
  <si>
    <t>Contactable  &amp; Contactable et Rappelable</t>
  </si>
  <si>
    <t>Service Ininterrompu 24-Heures</t>
  </si>
  <si>
    <t>Voordeel in natura - huisbewaarder</t>
  </si>
  <si>
    <t>Sachleistung - Hausmeister</t>
  </si>
  <si>
    <t>4145</t>
  </si>
  <si>
    <t>A - Poste</t>
  </si>
  <si>
    <t>T - Post</t>
  </si>
  <si>
    <t>Z - Post</t>
  </si>
  <si>
    <t>4146</t>
  </si>
  <si>
    <t>A - Heures suppl AMI ex-comm</t>
  </si>
  <si>
    <t>Moyenne pourcentage Occupation</t>
  </si>
  <si>
    <t>Voir colonne S(19)
foyer(1)/
résidence(2)</t>
  </si>
  <si>
    <t>I - Frais réel d'enquête mensuel
V- Maandelijkse onderzoekskosten</t>
  </si>
  <si>
    <t>I - Frais réel d'enquête journalier
V - Dagelijkse onderzoekskosten</t>
  </si>
  <si>
    <t>Cotisations patronales pour pensions du personnel Opérationnel</t>
  </si>
  <si>
    <t>4098 Nocturnes AS
19:00 -07:00
4037 Heures Nocturnes 
19:00 - 22:00</t>
  </si>
  <si>
    <t>4222 Heures Nocturnes
22:00 - 06:00</t>
  </si>
  <si>
    <t>Inter carr - sens stricte (tpl)</t>
  </si>
  <si>
    <t>LBO - sensu stricto (vt)</t>
  </si>
  <si>
    <t>3306</t>
  </si>
  <si>
    <t>Interr carr - soins palliat (tpl)</t>
  </si>
  <si>
    <t>LBO - palliatieve zorgen (vt)</t>
  </si>
  <si>
    <t>Verlof onbet proefper in overheid</t>
  </si>
  <si>
    <t>3313</t>
  </si>
  <si>
    <t>Congé non-payé candidat élections</t>
  </si>
  <si>
    <t>Verlof onbet kand verkiez</t>
  </si>
  <si>
    <t>3316</t>
  </si>
  <si>
    <t>3318</t>
  </si>
  <si>
    <t xml:space="preserve">Echelle de Sauvegarde -  N'est pas pris en compte lors d'un avancement </t>
  </si>
  <si>
    <t xml:space="preserve">Ancienneté pécuniaire du trt de Sauvegarde </t>
  </si>
  <si>
    <t>B_A18135</t>
  </si>
  <si>
    <t>ABL_1CpCA</t>
  </si>
  <si>
    <t>V_Leu</t>
  </si>
  <si>
    <t>W_Cha C1</t>
  </si>
  <si>
    <t>V_Aa1131</t>
  </si>
  <si>
    <t>F_C4D</t>
  </si>
  <si>
    <t>B_C3</t>
  </si>
  <si>
    <t>Beveren-Stekene-Sint-Gillis-Waas ( Waasland-Noord)</t>
  </si>
  <si>
    <t>Z - Schifffahrtpolizei - DET</t>
  </si>
  <si>
    <t>4071</t>
  </si>
  <si>
    <t>Compl trt - sem vol 4 jours</t>
  </si>
  <si>
    <t>L161</t>
  </si>
  <si>
    <t>C032</t>
  </si>
  <si>
    <t>9N12</t>
  </si>
  <si>
    <t>AP69</t>
  </si>
  <si>
    <t>PB27</t>
  </si>
  <si>
    <t>Brasschaat</t>
  </si>
  <si>
    <t>Schoten</t>
  </si>
  <si>
    <t>Ranst / Zandhoven</t>
  </si>
  <si>
    <t>Brecht / Malle / Schilde / Zoersel</t>
  </si>
  <si>
    <t>Bornem / Puurs / Sint-Amands</t>
  </si>
  <si>
    <t>ONSS patr: FFE spécial</t>
  </si>
  <si>
    <t>T - Beveliging koninkl fam ex-rw</t>
  </si>
  <si>
    <t>Y/ " "</t>
  </si>
  <si>
    <t>AY</t>
  </si>
  <si>
    <t>Floreffe / Fosse-La-Ville / Mettet / Profondeville</t>
  </si>
  <si>
    <t>Indemnités de repas L096</t>
  </si>
  <si>
    <t>J</t>
  </si>
  <si>
    <t>Zusätz ESVZ Urlaubsgeld (%Basis)</t>
  </si>
  <si>
    <t>8023</t>
  </si>
  <si>
    <t>TRT+F/R+4/5+Mandat+AllDévComp</t>
  </si>
  <si>
    <t>! ParaN modifier  !</t>
  </si>
  <si>
    <t>Cette action s'impose après chaque modification !!</t>
  </si>
  <si>
    <t>A - Biling connaissance utile</t>
  </si>
  <si>
    <t>T - Tweetaligheid nuttige kennis</t>
  </si>
  <si>
    <t>Z - Zweispr nützliche Kenntnis</t>
  </si>
  <si>
    <t>4087</t>
  </si>
  <si>
    <t>Vaderschaps-/adoptieverlof</t>
  </si>
  <si>
    <t>T - Chauffeur ex-gpp</t>
  </si>
  <si>
    <t>Z - Fahrer ex-Kripo</t>
  </si>
  <si>
    <t>4130</t>
  </si>
  <si>
    <t>A - Stand de tir</t>
  </si>
  <si>
    <t>T - Schietstand</t>
  </si>
  <si>
    <t>Z - Schießstand</t>
  </si>
  <si>
    <t>4131</t>
  </si>
  <si>
    <t>Ziekte na een jaar</t>
  </si>
  <si>
    <t>3401</t>
  </si>
  <si>
    <t>Maladie après 4 sem</t>
  </si>
  <si>
    <t>B_A1.1</t>
  </si>
  <si>
    <t>B_C28</t>
  </si>
  <si>
    <t>F_10C0/1</t>
  </si>
  <si>
    <t>W_E3</t>
  </si>
  <si>
    <t>W_D2</t>
  </si>
  <si>
    <t>F_D1B</t>
  </si>
  <si>
    <t>V_M1150a</t>
  </si>
  <si>
    <t>V_An1356</t>
  </si>
  <si>
    <t>F_B4B</t>
  </si>
  <si>
    <t>W_Cha 40</t>
  </si>
  <si>
    <t>W_0C29</t>
  </si>
  <si>
    <t>V_B3</t>
  </si>
  <si>
    <t>RRGO</t>
  </si>
  <si>
    <t>B_5340-D3</t>
  </si>
  <si>
    <t>W_Cha 20</t>
  </si>
  <si>
    <t>B_E2</t>
  </si>
  <si>
    <t>V_A/1122</t>
  </si>
  <si>
    <t>F_BB3</t>
  </si>
  <si>
    <t>B_Sch-ND</t>
  </si>
  <si>
    <t>W_D3</t>
  </si>
  <si>
    <t>Diest / Scherpenheuvel-Zichem</t>
  </si>
  <si>
    <t>Bertem / Huldenberg / Oud-Heverlee</t>
  </si>
  <si>
    <t>Autre interventions pécuniaires en faveur du personnel de la police</t>
  </si>
  <si>
    <t>Jetons de présence du personnel de la Police/Mandataires</t>
  </si>
  <si>
    <t>C3A1</t>
  </si>
  <si>
    <t>C4A1</t>
  </si>
  <si>
    <t>Intervention soc - malad prof temp</t>
  </si>
  <si>
    <t>AP68</t>
  </si>
  <si>
    <t>BP10</t>
  </si>
  <si>
    <t>L202</t>
  </si>
  <si>
    <t>9306</t>
  </si>
  <si>
    <t>C031</t>
  </si>
  <si>
    <t>AP40</t>
  </si>
  <si>
    <t>L209</t>
  </si>
  <si>
    <t>L214</t>
  </si>
  <si>
    <t>9292</t>
  </si>
  <si>
    <t>9294</t>
  </si>
  <si>
    <t>9381</t>
  </si>
  <si>
    <t>Réduction PP flamand</t>
  </si>
  <si>
    <t>Vlaamse BV-vermindering</t>
  </si>
  <si>
    <t>Ermäßigung flämisch ESWZ</t>
  </si>
  <si>
    <t>9410</t>
  </si>
  <si>
    <t>9420</t>
  </si>
  <si>
    <t>Cotisation service social (forfait =0,15%)</t>
  </si>
  <si>
    <t xml:space="preserve">Prime accidents du travail </t>
  </si>
  <si>
    <t>Charges Patronales</t>
  </si>
  <si>
    <t>D1C</t>
  </si>
  <si>
    <t>D2C</t>
  </si>
  <si>
    <t>D3C</t>
  </si>
  <si>
    <t>D4C</t>
  </si>
  <si>
    <t>CC1</t>
  </si>
  <si>
    <t>C1A</t>
  </si>
  <si>
    <t>C1D</t>
  </si>
  <si>
    <t>C2D</t>
  </si>
  <si>
    <t>C3D</t>
  </si>
  <si>
    <t>C4D</t>
  </si>
  <si>
    <t>BB1</t>
  </si>
  <si>
    <t>B1A</t>
  </si>
  <si>
    <t>Analyst- B</t>
  </si>
  <si>
    <t>Analyst- M</t>
  </si>
  <si>
    <t>Analyst- O</t>
  </si>
  <si>
    <t>XI.III.17</t>
  </si>
  <si>
    <t>111-02P</t>
  </si>
  <si>
    <t>Aide  - formules complémentaire pour l'extraction des Supplements</t>
  </si>
  <si>
    <t>SelecteerHulpformulier</t>
  </si>
  <si>
    <t>I - Maître chien
V -Hondenbegeleider</t>
  </si>
  <si>
    <t>Ersetz ESVZ Urlaubsgeld</t>
  </si>
  <si>
    <t>8022</t>
  </si>
  <si>
    <t>4024 - Indemnités de déplacement  lieu de travail/maison/ KM</t>
  </si>
  <si>
    <t xml:space="preserve">Cotisations patronales pension du personnel opérationnel </t>
  </si>
  <si>
    <t>BA</t>
  </si>
  <si>
    <t>BO</t>
  </si>
  <si>
    <t>BK</t>
  </si>
  <si>
    <t>check
indiv
TOT</t>
  </si>
  <si>
    <t>voir colonne AZ BA
Déduction des
dispo et maladies</t>
  </si>
  <si>
    <t>51</t>
  </si>
  <si>
    <t>52</t>
  </si>
  <si>
    <t>53</t>
  </si>
  <si>
    <t>63</t>
  </si>
  <si>
    <t>64</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</si>
  <si>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</si>
  <si>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</si>
  <si>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</si>
  <si>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</si>
  <si>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</si>
  <si>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</si>
  <si>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</si>
  <si>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</si>
  <si>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</si>
  <si>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</si>
  <si>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</si>
  <si>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</si>
  <si>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</si>
  <si>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</si>
  <si>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</si>
  <si>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</si>
  <si>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</si>
  <si>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</si>
  <si>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</si>
  <si>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</si>
  <si>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</si>
  <si>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</si>
  <si>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</si>
  <si>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</si>
  <si>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</si>
  <si>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 xml:space="preserve"> Régularisations années antérieures
 du "Pécule de Vacances"  </t>
  </si>
  <si>
    <t xml:space="preserve">6000 "Pécule de Vacances * [Uxx]
=&gt; 92 % pourcentage du Trt" </t>
  </si>
  <si>
    <t>Heures de Weekend  
4038
répartition
INT(BU/12)  BU-INT(BU/12)</t>
  </si>
  <si>
    <t>Heures Supplémentaires
4039/4191
répartition
INT(BR/6)  BR-INT(BR/6)</t>
  </si>
  <si>
    <t>RSZ verm kunstenaars</t>
  </si>
  <si>
    <t>Erm LASS Künstler</t>
  </si>
  <si>
    <t>9696</t>
  </si>
  <si>
    <t>Indemnisation des frais de déplacement et de séjour</t>
  </si>
  <si>
    <t xml:space="preserve">Indemnisation des frais de déplacement et de séjour </t>
  </si>
  <si>
    <t>De Panne / Koksijde / Nieuwpoort</t>
  </si>
  <si>
    <t>Code</t>
  </si>
  <si>
    <t>FILTER---&gt;</t>
  </si>
  <si>
    <t>111-02H</t>
  </si>
  <si>
    <t>113-08</t>
  </si>
  <si>
    <t>117-01</t>
  </si>
  <si>
    <t>118-01</t>
  </si>
  <si>
    <t>9271</t>
  </si>
  <si>
    <t>9272</t>
  </si>
  <si>
    <t>9273</t>
  </si>
  <si>
    <t>PP % fixe dispo.</t>
  </si>
  <si>
    <t>BV vast % dispo.</t>
  </si>
  <si>
    <t>ESWZ fest Prozentsatz dispo.</t>
  </si>
  <si>
    <t>9274</t>
  </si>
  <si>
    <t>PP % fixe</t>
  </si>
  <si>
    <t>BV vast %</t>
  </si>
  <si>
    <t>ESWZ fest %</t>
  </si>
  <si>
    <t>9275</t>
  </si>
  <si>
    <t>9280</t>
  </si>
  <si>
    <t>ESWZ ergänz Altersversorg</t>
  </si>
  <si>
    <t>9283</t>
  </si>
  <si>
    <t>4018</t>
  </si>
  <si>
    <t>A - Protection royale</t>
  </si>
  <si>
    <t>T - Beveiliging koning</t>
  </si>
  <si>
    <t>Z - Schutz des Königs</t>
  </si>
  <si>
    <t>4019</t>
  </si>
  <si>
    <t>A - Appui stratégique</t>
  </si>
  <si>
    <t>T - Beleidsondersteuning</t>
  </si>
  <si>
    <t>Z - Strategische Unterstützung</t>
  </si>
  <si>
    <t>4021</t>
  </si>
  <si>
    <t>Teil Zeit Urlaubsgeld 100</t>
  </si>
  <si>
    <t>2041</t>
  </si>
  <si>
    <t>Verv basis (omslagkas)</t>
  </si>
  <si>
    <t>Ersatzbasis (Verteil.Kasse)</t>
  </si>
  <si>
    <t>8130</t>
  </si>
  <si>
    <t>Base modif (FPS)</t>
  </si>
  <si>
    <t>Verv basis (FOP)</t>
  </si>
  <si>
    <t>Ersatzbasis (ÜBLR)</t>
  </si>
  <si>
    <t>8140</t>
  </si>
  <si>
    <t>4006 &lt;=&gt; 4008</t>
  </si>
  <si>
    <t>4007 &lt;=&gt; 4008</t>
  </si>
  <si>
    <t>4008 &lt;=&gt; 4008</t>
  </si>
  <si>
    <t>Z - Besond Leist - nicht LASS</t>
  </si>
  <si>
    <t>4156</t>
  </si>
  <si>
    <t>A - Biling connaiss utile - DET</t>
  </si>
  <si>
    <t>T - Tweetalig nuttige kennis - DET</t>
  </si>
  <si>
    <t>Z - Zweisprach nützl Kenntnis - DET</t>
  </si>
  <si>
    <t>4157</t>
  </si>
  <si>
    <t>Jours Recherche Jud (Filtre)</t>
  </si>
  <si>
    <t>Pourcentages</t>
  </si>
  <si>
    <t>Bijk BV op except vergoed en toel</t>
  </si>
  <si>
    <t>8013</t>
  </si>
  <si>
    <t>Total Individuel
 en Euro</t>
  </si>
  <si>
    <t>T - Overuur ZIV ex-gem</t>
  </si>
  <si>
    <t>4147</t>
  </si>
  <si>
    <t>V - Fietsvergoeding</t>
  </si>
  <si>
    <t>4051</t>
  </si>
  <si>
    <t>I - logement commiss sélect - gr</t>
  </si>
  <si>
    <t>V - Verblijfkosten selectiecom - gr</t>
  </si>
  <si>
    <t>4052</t>
  </si>
  <si>
    <t>Gehaltspfändung od Übertragung</t>
  </si>
  <si>
    <t>9840</t>
  </si>
  <si>
    <t>Avance sur salaire</t>
  </si>
  <si>
    <t>Voorschot op loon</t>
  </si>
  <si>
    <t>Abschlag auf den Lohn</t>
  </si>
  <si>
    <t>9841</t>
  </si>
  <si>
    <t>Prime restruct fin serv ann cours</t>
  </si>
  <si>
    <t>Anpassungsg Dienstend geg Jahr</t>
  </si>
  <si>
    <t>7000</t>
  </si>
  <si>
    <t>Trigger pec vac -  en service</t>
  </si>
  <si>
    <t>Trigger Vakantiegeld in dienst</t>
  </si>
  <si>
    <t>8434</t>
  </si>
  <si>
    <t>Autre transport imposé</t>
  </si>
  <si>
    <t>Belast ander vervoer</t>
  </si>
  <si>
    <t>B_A20.15</t>
  </si>
  <si>
    <t>V_A11.50</t>
  </si>
  <si>
    <t>V_B1</t>
  </si>
  <si>
    <t>W_AP7</t>
  </si>
  <si>
    <t>V_1.22</t>
  </si>
  <si>
    <t>W_E2</t>
  </si>
  <si>
    <t>V_10S3</t>
  </si>
  <si>
    <t>V_A1A</t>
  </si>
  <si>
    <t>F_AA4</t>
  </si>
  <si>
    <t>V_E1</t>
  </si>
  <si>
    <t>F_B3A</t>
  </si>
  <si>
    <t>B_C2</t>
  </si>
  <si>
    <t>F_D3A</t>
  </si>
  <si>
    <t>B_A18112</t>
  </si>
  <si>
    <t>F_B3C</t>
  </si>
  <si>
    <t>B_D3-4</t>
  </si>
  <si>
    <t>V_An1239D</t>
  </si>
  <si>
    <t>W_B3</t>
  </si>
  <si>
    <t>B_D4</t>
  </si>
  <si>
    <t>Pécule de Vacances pour Agent(s) Premier Emploi</t>
  </si>
  <si>
    <t>Sint-Gillis-Waas / Stekene</t>
  </si>
  <si>
    <t>Sint-Niklaas</t>
  </si>
  <si>
    <t>Kruibeke / Temse</t>
  </si>
  <si>
    <t>Lokeren</t>
  </si>
  <si>
    <t>Achterstallig onderhoudsgeld</t>
  </si>
  <si>
    <t>Rückst Unterhaltsbeitrag</t>
  </si>
  <si>
    <t>9820</t>
  </si>
  <si>
    <t>V.3.1.62</t>
  </si>
  <si>
    <t>V.31.50a</t>
  </si>
  <si>
    <t>V.L070</t>
  </si>
  <si>
    <t>B.AP6.3</t>
  </si>
  <si>
    <t>ZP</t>
  </si>
  <si>
    <t>Tijdsbr EJT 82</t>
  </si>
  <si>
    <t>Contract de remplacement d'un 4/5</t>
  </si>
  <si>
    <t>4009 &lt;=&gt; 4008</t>
  </si>
  <si>
    <t>4010 &lt;=&gt; 4008</t>
  </si>
  <si>
    <t>4081/4083</t>
  </si>
  <si>
    <t>4087 &amp; KN1</t>
  </si>
  <si>
    <t>4087 &amp; KN2</t>
  </si>
  <si>
    <t>6 003 &amp; 6 005</t>
  </si>
  <si>
    <t>4 013 &amp; 4 014</t>
  </si>
  <si>
    <t>4/5s</t>
  </si>
  <si>
    <t>50%</t>
  </si>
  <si>
    <t>I - Abonnement social
V -Sociaal Abonnement</t>
  </si>
  <si>
    <t>T - Competentie - infocode</t>
  </si>
  <si>
    <t>Z - Diplom KV</t>
  </si>
  <si>
    <t>4159</t>
  </si>
  <si>
    <t>Elément nécessaire pour le cacul de la charge patronale et Subvention Sociale II</t>
  </si>
  <si>
    <t>Eléments NON-repris dans les feuilles de calcul "Ops" et "Calog"</t>
  </si>
  <si>
    <t>Traitements conseillers</t>
  </si>
  <si>
    <t>Jetons de présence conseillers</t>
  </si>
  <si>
    <t>Indemnité pour frais de dernière maladie et funéraires</t>
  </si>
  <si>
    <t>9568</t>
  </si>
  <si>
    <t>Red ZG2 Berufsübergprog &gt;45J &gt;=24M</t>
  </si>
  <si>
    <t>9713</t>
  </si>
  <si>
    <t>Réd ONSS GC2: mes trans empl SINE</t>
  </si>
  <si>
    <t>RSZ verm DG2: overg sine tewerkst</t>
  </si>
  <si>
    <t>Cotisations patronales ordinaires à l'ORPSS (Traitement et Allocations fixes) du personnel Opérationnel</t>
  </si>
  <si>
    <t>Cotisations patronales à l'ORPSS sur les allocations variables pour prestations du personnel Opérationnel</t>
  </si>
  <si>
    <t>Cotisations patronales à l'ORPSS (Traitement et Allocations fixes) - Cadre Administratif et Logistique</t>
  </si>
  <si>
    <t>Cotisations patronales à l'ORPSS sur les allocations variables pour prestations du Cadre Administratif et Logistique</t>
  </si>
  <si>
    <t>Cotisations patronales à l'ORPSS sur les allocations variables pour prestations pour Agent(s) Premier Emploi</t>
  </si>
  <si>
    <t>Cotisations patronales à l'ORPSS pour le secrétaire de la zone de Police</t>
  </si>
  <si>
    <t xml:space="preserve">Cotisations patronales ordinaires à l'ORPSS (Traitement et allocations fixes)  du personnel opérationnel </t>
  </si>
  <si>
    <t>Cotisations patronales à l'ORPSS sur les allocations variables pour prestations du personnel opérationnel</t>
  </si>
  <si>
    <t xml:space="preserve">Cotisations patronales ordinaires à l'ORPSS (Traitement et allocations fixes)  du personnel CALog </t>
  </si>
  <si>
    <t>Cotisations patronales à l'ORPSS sur les allocations variables pour prestations du personnel CALog</t>
  </si>
  <si>
    <t>Cotisations patronales ordinaires à l'ORPSS (Traitement et allocations fixes) pour Agent(s) Premier Emploi</t>
  </si>
  <si>
    <t>SPC.P510</t>
  </si>
  <si>
    <t>SPC.P517</t>
  </si>
  <si>
    <t>SPC.P560</t>
  </si>
  <si>
    <t>SPCa</t>
  </si>
  <si>
    <t>I - Jours de préavis</t>
  </si>
  <si>
    <t>&lt;&gt;STAT</t>
  </si>
  <si>
    <r>
      <t>Filtre appliqué</t>
    </r>
    <r>
      <rPr>
        <sz val="8"/>
        <rFont val="Arial"/>
        <family val="2"/>
      </rPr>
      <t xml:space="preserve"> Pourcentage/Membres concernées</t>
    </r>
  </si>
  <si>
    <t>F_ : Echelle attribué dans plusieurs régions</t>
  </si>
  <si>
    <t>Gd_: Echelle de l'ancien Gendarmerie</t>
  </si>
  <si>
    <t>SPC.PC85</t>
  </si>
  <si>
    <t>SPC.AA40</t>
  </si>
  <si>
    <t>SPC.AA45</t>
  </si>
  <si>
    <t>SPC.P709</t>
  </si>
  <si>
    <t>SPC.P763</t>
  </si>
  <si>
    <t>SPC.P691</t>
  </si>
  <si>
    <t>T - Bescherming buiten Brus - DET</t>
  </si>
  <si>
    <t>Z - Aufsicht außerhalb Brüssel - DET</t>
  </si>
  <si>
    <t>4034</t>
  </si>
  <si>
    <t>A - Foyer</t>
  </si>
  <si>
    <t>Allocations ou primes uniques</t>
  </si>
  <si>
    <t>Prime d'intégration     Niveau D</t>
  </si>
  <si>
    <t>Solidaritätsbeitrag Studenten</t>
  </si>
  <si>
    <r>
      <t xml:space="preserve">Copiez </t>
    </r>
    <r>
      <rPr>
        <b/>
        <sz val="8"/>
        <color indexed="12"/>
        <rFont val="Arial"/>
        <family val="2"/>
      </rPr>
      <t xml:space="preserve"> par clic (sur les pointillés bleu) </t>
    </r>
    <r>
      <rPr>
        <b/>
        <sz val="8"/>
        <rFont val="Arial"/>
        <family val="2"/>
      </rPr>
      <t>si nécessaire : C'est la moyenne des index d'application dans la période de l'extraction</t>
    </r>
  </si>
  <si>
    <t>Repas</t>
  </si>
  <si>
    <t>Tableau 1 (grand montant)</t>
  </si>
  <si>
    <t>Tableau 2 (petit montant)</t>
  </si>
  <si>
    <t>Supé</t>
  </si>
  <si>
    <t>Ord</t>
  </si>
  <si>
    <t>Départ anticipé</t>
  </si>
  <si>
    <t>Base Hr Sup
(indexée)</t>
  </si>
  <si>
    <t>V.TemPC</t>
  </si>
  <si>
    <t>BH</t>
  </si>
  <si>
    <t>BE</t>
  </si>
  <si>
    <t>BP</t>
  </si>
  <si>
    <t>BV</t>
  </si>
  <si>
    <t>DL</t>
  </si>
  <si>
    <t>CZ</t>
  </si>
  <si>
    <t>DC</t>
  </si>
  <si>
    <t>DF</t>
  </si>
  <si>
    <t>DI</t>
  </si>
  <si>
    <t>DO</t>
  </si>
  <si>
    <t>DX</t>
  </si>
  <si>
    <t>EC</t>
  </si>
  <si>
    <t>ER</t>
  </si>
  <si>
    <t>DR</t>
  </si>
  <si>
    <t>EO</t>
  </si>
  <si>
    <t>EF</t>
  </si>
  <si>
    <t>EL</t>
  </si>
  <si>
    <t>FE</t>
  </si>
  <si>
    <t>F_CC1</t>
  </si>
  <si>
    <t>111-01/FV</t>
  </si>
  <si>
    <t xml:space="preserve">  Y/"" </t>
  </si>
  <si>
    <r>
      <t>PERIODE 2</t>
    </r>
    <r>
      <rPr>
        <b/>
        <sz val="8"/>
        <rFont val="Arial"/>
        <family val="2"/>
      </rPr>
      <t xml:space="preserve"> Wedde </t>
    </r>
    <r>
      <rPr>
        <b/>
        <sz val="12"/>
        <rFont val="Arial"/>
        <family val="2"/>
      </rPr>
      <t>1</t>
    </r>
  </si>
  <si>
    <t>Z - Tagegeld Disziplinarrat</t>
  </si>
  <si>
    <t>4137</t>
  </si>
  <si>
    <t>I - Frais séjour conseil discipl</t>
  </si>
  <si>
    <t>V - Verblijfskosten tuchtraad</t>
  </si>
  <si>
    <t>V - Aufenthaltskost Disziplinarrat</t>
  </si>
  <si>
    <t>4138</t>
  </si>
  <si>
    <t>I - Frais déplac conseil discipl</t>
  </si>
  <si>
    <t>111-22</t>
  </si>
  <si>
    <t>112-21</t>
  </si>
  <si>
    <t>111-01/P</t>
  </si>
  <si>
    <t>111-01/12</t>
  </si>
  <si>
    <t>111-01/02</t>
  </si>
  <si>
    <t>% du coût TotalGenOps X-1 &amp; X</t>
  </si>
  <si>
    <t>% du coût TotalGenCALog X-1 &amp; X</t>
  </si>
  <si>
    <t>Pourcentages /du Total</t>
  </si>
  <si>
    <t>Taitement +Alloc et Ind Fixes</t>
  </si>
  <si>
    <t>Allocations et Indemnités Variables</t>
  </si>
  <si>
    <t>Allocatiopns/Annuelles</t>
  </si>
  <si>
    <t>Patronales Diverses</t>
  </si>
  <si>
    <t>Jaarbasis</t>
  </si>
  <si>
    <t>Jahresbasis</t>
  </si>
  <si>
    <t>1001</t>
  </si>
  <si>
    <t>Trt annuel - Barème admin</t>
  </si>
  <si>
    <t>A -Heures de Weekend
T - Weekenduur OS &amp; NS</t>
  </si>
  <si>
    <t>A -Nocturene AS
T - Nachtuur OS</t>
  </si>
  <si>
    <t>A -Nocturene NS
T - Nachtuur NS</t>
  </si>
  <si>
    <t>A - Nocturne NS
T - Nachtuur NS 
22:00-06:00</t>
  </si>
  <si>
    <t>Jours Immigration (Filtre)</t>
  </si>
  <si>
    <t>C500</t>
  </si>
  <si>
    <t>C530</t>
  </si>
  <si>
    <t>C600</t>
  </si>
  <si>
    <t>C630</t>
  </si>
  <si>
    <t>C700</t>
  </si>
  <si>
    <t>C800</t>
  </si>
  <si>
    <t>C840</t>
  </si>
  <si>
    <t>Mnd</t>
  </si>
  <si>
    <t>PB05</t>
  </si>
  <si>
    <t># Jours / ME</t>
  </si>
  <si>
    <t>Montant payé</t>
  </si>
  <si>
    <t>Montant 100%</t>
  </si>
  <si>
    <t>Montant   indexé</t>
  </si>
  <si>
    <t>Nombre de Km</t>
  </si>
  <si>
    <t>plp 48</t>
  </si>
  <si>
    <t>T - Functie polygrafist - DET</t>
  </si>
  <si>
    <t>Z - Funktion Polygrafiker - DET</t>
  </si>
  <si>
    <t>4067</t>
  </si>
  <si>
    <t>CDVU</t>
  </si>
  <si>
    <t>0D14</t>
  </si>
  <si>
    <t>0C12</t>
  </si>
  <si>
    <t>65</t>
  </si>
  <si>
    <t>0D12</t>
  </si>
  <si>
    <t>0C24</t>
  </si>
  <si>
    <t>0D09</t>
  </si>
  <si>
    <t>0D10</t>
  </si>
  <si>
    <t>0C11</t>
  </si>
  <si>
    <t>0D25</t>
  </si>
  <si>
    <t>0D15</t>
  </si>
  <si>
    <t>0D23</t>
  </si>
  <si>
    <t>0D35</t>
  </si>
  <si>
    <t>0D27</t>
  </si>
  <si>
    <t>0B18</t>
  </si>
  <si>
    <t>Nombre heures Week-end (Filtre)</t>
  </si>
  <si>
    <t>Nombre heures nuit 19-22 (Filtre)</t>
  </si>
  <si>
    <t>Nombre heures nuit 22-06 (Filtre)</t>
  </si>
  <si>
    <t>M</t>
  </si>
  <si>
    <t>CA -6F</t>
  </si>
  <si>
    <t>B1B</t>
  </si>
  <si>
    <t>Tb1_OPD</t>
  </si>
  <si>
    <t>Tb1_M</t>
  </si>
  <si>
    <t>Tb1_AS</t>
  </si>
  <si>
    <t>Tb1_N</t>
  </si>
  <si>
    <t>Tb2_OPD</t>
  </si>
  <si>
    <t>Tb2_M</t>
  </si>
  <si>
    <t>Tb2_AS</t>
  </si>
  <si>
    <t>Tb2_N</t>
  </si>
  <si>
    <t>Fed/Pens</t>
  </si>
  <si>
    <t>RédONSS GC4 CPE appr/oblig scol-18a</t>
  </si>
  <si>
    <t>Base Sécurité Sociale allocations Fixes
&amp; Base Sub Soc II A)</t>
  </si>
  <si>
    <t>(+)</t>
  </si>
  <si>
    <t>! A compèter</t>
  </si>
  <si>
    <t>Indemnités pour frais de déplacement du et vers le lieu de travail du personnel CALog</t>
  </si>
  <si>
    <t>Rémunération pour Agent(s) Premier Emploi</t>
  </si>
  <si>
    <t>Tot Indemnités</t>
  </si>
  <si>
    <t>Misson Ens
nombre</t>
  </si>
  <si>
    <t>Mission Ens
Code</t>
  </si>
  <si>
    <t>Mission ens
Message "Error"
111-08/07</t>
  </si>
  <si>
    <t>Critère % Accidents de travail</t>
  </si>
  <si>
    <t>Valeur Matricule</t>
  </si>
  <si>
    <t>20</t>
  </si>
  <si>
    <t>21</t>
  </si>
  <si>
    <t>22</t>
  </si>
  <si>
    <t>4040</t>
  </si>
  <si>
    <t>Rente incap de trav perm &gt;=16%</t>
  </si>
  <si>
    <t>Mnd rente blijv arbeidsong &gt;=16%</t>
  </si>
  <si>
    <t>Rente perm Arbeitsunfähigk &gt;=16%</t>
  </si>
  <si>
    <t>4041</t>
  </si>
  <si>
    <t>Rente incap de trav perm</t>
  </si>
  <si>
    <t>Mnd rente blijv arbeidsong</t>
  </si>
  <si>
    <t>periode 3</t>
  </si>
  <si>
    <t>Vl</t>
  </si>
  <si>
    <t>A'pen</t>
  </si>
  <si>
    <t>Antwerpen</t>
  </si>
  <si>
    <t>Zwijndrecht</t>
  </si>
  <si>
    <t>Wedde1</t>
  </si>
  <si>
    <t>CM</t>
  </si>
  <si>
    <t>CN</t>
  </si>
  <si>
    <t>CP</t>
  </si>
  <si>
    <t>CQ</t>
  </si>
  <si>
    <t>L170</t>
  </si>
  <si>
    <t>L145</t>
  </si>
  <si>
    <t>L107</t>
  </si>
  <si>
    <t>1190</t>
  </si>
  <si>
    <t>AP63</t>
  </si>
  <si>
    <t>L117</t>
  </si>
  <si>
    <t>9203</t>
  </si>
  <si>
    <t>B.150-BI</t>
  </si>
  <si>
    <t>B.122</t>
  </si>
  <si>
    <t>V.PB3BIS</t>
  </si>
  <si>
    <t>V.PB4Bis</t>
  </si>
  <si>
    <t>B.EP3</t>
  </si>
  <si>
    <t>V.PB11</t>
  </si>
  <si>
    <t>V.A3126</t>
  </si>
  <si>
    <t>W.B1</t>
  </si>
  <si>
    <t>GD.CDT</t>
  </si>
  <si>
    <t>Copernic job étudiant en service</t>
  </si>
  <si>
    <t>Copernicus in dienst jobstudent</t>
  </si>
  <si>
    <t>A - Compétences
T - Competentieontw</t>
  </si>
  <si>
    <t>A - Dirigeant
T - Leidingevende</t>
  </si>
  <si>
    <t>A - Ex-militaires
T - Ex - militairen</t>
  </si>
  <si>
    <t>A - Intégration
T - Leidinggevende</t>
  </si>
  <si>
    <t># dagen# jours vak</t>
  </si>
  <si>
    <t># dagen/# jours EJT</t>
  </si>
  <si>
    <t># dagen/# jours arb</t>
  </si>
  <si>
    <t>4039/4191</t>
  </si>
  <si>
    <t>4012 M</t>
  </si>
  <si>
    <t>4084 M</t>
  </si>
  <si>
    <t>4084,5 M</t>
  </si>
  <si>
    <t>4025 M</t>
  </si>
  <si>
    <t>4061 M</t>
  </si>
  <si>
    <t>4011/CU</t>
  </si>
  <si>
    <t>4011/CV</t>
  </si>
  <si>
    <t>4011/CW</t>
  </si>
  <si>
    <t>4009 M</t>
  </si>
  <si>
    <t>4166 M</t>
  </si>
  <si>
    <t>4003/4004 M</t>
  </si>
  <si>
    <t>4067 M</t>
  </si>
  <si>
    <t>4107 M</t>
  </si>
  <si>
    <t>4205 M</t>
  </si>
  <si>
    <t>4102 M</t>
  </si>
  <si>
    <t>4081/82/83 M</t>
  </si>
  <si>
    <t>4088 M</t>
  </si>
  <si>
    <t>Teil Zeit Weihnachtsgeld 100</t>
  </si>
  <si>
    <t>2051</t>
  </si>
  <si>
    <t>Fract tps AFA  0</t>
  </si>
  <si>
    <t>Tijdsbr EJT 0</t>
  </si>
  <si>
    <t>PP de rempl sur arriérés indemn</t>
  </si>
  <si>
    <t>Verv BV op achterstallen</t>
  </si>
  <si>
    <t>Ersetz ESVZ Rückstand</t>
  </si>
  <si>
    <t>8041</t>
  </si>
  <si>
    <t>I - Chien ex-pol comm</t>
  </si>
  <si>
    <t>V - Hond ex-gemeente</t>
  </si>
  <si>
    <t>I - Hund ehem. Gemeindepol.</t>
  </si>
  <si>
    <t>I - bicyclette</t>
  </si>
  <si>
    <t>T - Zitpenningen tuchtraad</t>
  </si>
  <si>
    <t>M5.2</t>
  </si>
  <si>
    <t>M5.1</t>
  </si>
  <si>
    <t>M4.2</t>
  </si>
  <si>
    <t>M4.1</t>
  </si>
  <si>
    <t>M3.2</t>
  </si>
  <si>
    <t>M3.1</t>
  </si>
  <si>
    <t>M2.2</t>
  </si>
  <si>
    <t>M2.1</t>
  </si>
  <si>
    <t>M1.1</t>
  </si>
  <si>
    <t>HUA3</t>
  </si>
  <si>
    <t>HUA2</t>
  </si>
  <si>
    <t>I - Déménagement</t>
  </si>
  <si>
    <t>V - Verhuiskosten</t>
  </si>
  <si>
    <t>V -  Umzug</t>
  </si>
  <si>
    <t>4094</t>
  </si>
  <si>
    <t>I - Déplacement F/L-088</t>
  </si>
  <si>
    <t>V - Verplaatsting F/L-088</t>
  </si>
  <si>
    <t>V - Außendienst F/L-088</t>
  </si>
  <si>
    <t>4095</t>
  </si>
  <si>
    <t>Actualisation Suppléments</t>
  </si>
  <si>
    <t>ActualisationSupplements</t>
  </si>
  <si>
    <t>Accidents de travail
A modifier en fonction de la facture attendue
ou suivant le contrat avec la compagnie d'assurances</t>
  </si>
  <si>
    <t>T - Halftijdse vervroegde uitdienst</t>
  </si>
  <si>
    <t>4022</t>
  </si>
  <si>
    <t>A - Personnel pilote</t>
  </si>
  <si>
    <t>T - Varend personeel</t>
  </si>
  <si>
    <t>Z - Fahrpersonal</t>
  </si>
  <si>
    <t>4023</t>
  </si>
  <si>
    <t>A - Personnel pilote - DET</t>
  </si>
  <si>
    <t>T - Varend personeel - DET</t>
  </si>
  <si>
    <t>Z - Fahrpesonal - DET</t>
  </si>
  <si>
    <t>4024</t>
  </si>
  <si>
    <t>Verpflegungssch Beitr Arbneh-Info</t>
  </si>
  <si>
    <t>4216</t>
  </si>
  <si>
    <t>4217</t>
  </si>
  <si>
    <t>I - SHAPE - DET</t>
  </si>
  <si>
    <t>V - SHAPE - DET</t>
  </si>
  <si>
    <t>I - Navigation interieur</t>
  </si>
  <si>
    <t>Assenede / Evergem</t>
  </si>
  <si>
    <t>CC21</t>
  </si>
  <si>
    <t>CC31</t>
  </si>
  <si>
    <t>CC41</t>
  </si>
  <si>
    <t>C1A0</t>
  </si>
  <si>
    <t>C2A1</t>
  </si>
  <si>
    <t>Fract tps trt dispo &lt;100</t>
  </si>
  <si>
    <t>Tijdsbr WED dispo &lt;100</t>
  </si>
  <si>
    <t>Teil Zeit GEH dispo &lt;100</t>
  </si>
  <si>
    <t>2101</t>
  </si>
  <si>
    <t>Maladie 2ième sem salaire garanti</t>
  </si>
  <si>
    <t>A - Fonction polygraphiste</t>
  </si>
  <si>
    <t>Année de l'exercice</t>
  </si>
  <si>
    <t>Indexes -Coefficients</t>
  </si>
  <si>
    <t>Index Traitement (Wedde)</t>
  </si>
  <si>
    <t>Index Allocations (Toelage)</t>
  </si>
  <si>
    <t>Coëfficient d'aumentation</t>
  </si>
  <si>
    <t>pour les montants importés</t>
  </si>
  <si>
    <t>Période "Extraction des suppléments"</t>
  </si>
  <si>
    <t>Plafond cotisations patronales</t>
  </si>
  <si>
    <t>d'un trimestre</t>
  </si>
  <si>
    <t>montant annuel</t>
  </si>
  <si>
    <t>Index de base</t>
  </si>
  <si>
    <t>Bar Steuervorauszahlung / Jahr</t>
  </si>
  <si>
    <t>9210</t>
  </si>
  <si>
    <t>PP indemn et alloc except</t>
  </si>
  <si>
    <t>BV except vergoed en toelagen</t>
  </si>
  <si>
    <t>ESVZ außerg Ver und Zul</t>
  </si>
  <si>
    <t>9212</t>
  </si>
  <si>
    <t>9215</t>
  </si>
  <si>
    <t>PP sur indemn perte temp revenus</t>
  </si>
  <si>
    <t>BV verg tijdel derving inkomsten</t>
  </si>
  <si>
    <t>ESVZ Ver zeit Einkommensverlust</t>
  </si>
  <si>
    <t>9220</t>
  </si>
  <si>
    <t>PP sur péc vac</t>
  </si>
  <si>
    <t>BV vakantiegeld</t>
  </si>
  <si>
    <t>ESVZ Urlaubsgeld</t>
  </si>
  <si>
    <t>9230</t>
  </si>
  <si>
    <t>30S2</t>
  </si>
  <si>
    <t>WE</t>
  </si>
  <si>
    <t>HU</t>
  </si>
  <si>
    <t>B200</t>
  </si>
  <si>
    <t>B300</t>
  </si>
  <si>
    <t>B400</t>
  </si>
  <si>
    <t>B500</t>
  </si>
  <si>
    <t>C200</t>
  </si>
  <si>
    <t>H100</t>
  </si>
  <si>
    <t>M110</t>
  </si>
  <si>
    <t>M310</t>
  </si>
  <si>
    <t>2050</t>
  </si>
  <si>
    <t>Fract tps AFA 100</t>
  </si>
  <si>
    <t>Tijdsbr EJT 100</t>
  </si>
  <si>
    <t>T - Misdrijfanalist</t>
  </si>
  <si>
    <t>6000 Allocation de fin d'année 
6001 Supplément
6032 4% Min -Max</t>
  </si>
  <si>
    <t>Z - Transit - Motorrahdfahrer</t>
  </si>
  <si>
    <t>4108</t>
  </si>
  <si>
    <t>V - Ausgaben ex-Kripo</t>
  </si>
  <si>
    <t>4107</t>
  </si>
  <si>
    <t>A - Transit - Motocycliste</t>
  </si>
  <si>
    <t>B_A18 12</t>
  </si>
  <si>
    <t>F_B2A</t>
  </si>
  <si>
    <t>23</t>
  </si>
  <si>
    <t>24</t>
  </si>
  <si>
    <t>25</t>
  </si>
  <si>
    <t>26</t>
  </si>
  <si>
    <t>O4bis</t>
  </si>
  <si>
    <t>O4</t>
  </si>
  <si>
    <t>Z - Kompetenz - Infokode</t>
  </si>
  <si>
    <t>6005</t>
  </si>
  <si>
    <t>A - Compétences fin de service</t>
  </si>
  <si>
    <t>T - Competentie uit dienst</t>
  </si>
  <si>
    <t>6006</t>
  </si>
  <si>
    <t>Pécule de vacances</t>
  </si>
  <si>
    <t>Vakantiegeld</t>
  </si>
  <si>
    <t>Urlaubsgeld</t>
  </si>
  <si>
    <t>6007</t>
  </si>
  <si>
    <t>Prime Copernic</t>
  </si>
  <si>
    <t>Copernicuspremie</t>
  </si>
  <si>
    <t>Copernicusprämie</t>
  </si>
  <si>
    <t>6008</t>
  </si>
  <si>
    <t>Pec vac - fin de service année préc</t>
  </si>
  <si>
    <t>Vakantiegeld uit dienst vorig jaar</t>
  </si>
  <si>
    <t>PB1B</t>
  </si>
  <si>
    <t>PB11</t>
  </si>
  <si>
    <t>PB25</t>
  </si>
  <si>
    <t>4073 M</t>
  </si>
  <si>
    <t>4072 M</t>
  </si>
  <si>
    <t>4062 M</t>
  </si>
  <si>
    <t>4005/4008</t>
  </si>
  <si>
    <t>4207 M</t>
  </si>
  <si>
    <t>4071 M</t>
  </si>
  <si>
    <t>SelecteerParameters</t>
  </si>
  <si>
    <t>Hélécine / Jodoigne / Orp-Jauche / Perwez / Ramillies</t>
  </si>
  <si>
    <t>Liège</t>
  </si>
  <si>
    <t>Neupré / Seraing</t>
  </si>
  <si>
    <t>Herstal</t>
  </si>
  <si>
    <t>Beyne-Heusay / Fléron / Soumagne</t>
  </si>
  <si>
    <t>XI.IV.7</t>
  </si>
  <si>
    <t>XI.IV.9</t>
  </si>
  <si>
    <t>XII.XI.21</t>
  </si>
  <si>
    <t>XII.XI.23</t>
  </si>
  <si>
    <t>H200</t>
  </si>
  <si>
    <t>H300</t>
  </si>
  <si>
    <t>B100</t>
  </si>
  <si>
    <t>M120</t>
  </si>
  <si>
    <t>M210</t>
  </si>
  <si>
    <t>T - Escortering ex- rw</t>
  </si>
  <si>
    <t>Z - Eskorte ex-Gd</t>
  </si>
  <si>
    <t>4121</t>
  </si>
  <si>
    <t>A - Prestat aériennes</t>
  </si>
  <si>
    <t>T - Luchtvaartprestatie</t>
  </si>
  <si>
    <t>V_A12160</t>
  </si>
  <si>
    <t>F_DD3</t>
  </si>
  <si>
    <t>B_B1</t>
  </si>
  <si>
    <t>F_B2D</t>
  </si>
  <si>
    <t>9052</t>
  </si>
  <si>
    <t>ONSS travailleur réd bas salaires</t>
  </si>
  <si>
    <t>RSZ werknemer vermind. lage lonen</t>
  </si>
  <si>
    <t>LASS Arbeitnehmer Ermäß niedr Geh</t>
  </si>
  <si>
    <t>9057</t>
  </si>
  <si>
    <t>Réd empl licencié restruct dès 2007</t>
  </si>
  <si>
    <t>Verm WN ontslag herstr vanaf 2007</t>
  </si>
  <si>
    <t>Ermäß AN entl Umstrukt von 2007 an</t>
  </si>
  <si>
    <t>9058</t>
  </si>
  <si>
    <t>9100</t>
  </si>
  <si>
    <t>Cotis spéc sécurité soc / trim</t>
  </si>
  <si>
    <t>Pat
PensX_1</t>
  </si>
  <si>
    <t>Allocation d'immigration 
 journée ou demi jour
4084</t>
  </si>
  <si>
    <t>A - Départ anticipé mi-tps</t>
  </si>
  <si>
    <t>Beitrag LASS Ausl Bar ESVZ</t>
  </si>
  <si>
    <t>4170</t>
  </si>
  <si>
    <t>Cot ONSS étrangères PP excep</t>
  </si>
  <si>
    <t>Buitenlandse RSZ-bijdr Except BV</t>
  </si>
  <si>
    <t>Chargement fichiers Themis</t>
  </si>
  <si>
    <t>Eléments barémiques (Extraction du jour)</t>
  </si>
  <si>
    <t>Service social</t>
  </si>
  <si>
    <t>A - Kommandement KIV ehem.Gend.</t>
  </si>
  <si>
    <t>A02S</t>
  </si>
  <si>
    <t>A - Informatique</t>
  </si>
  <si>
    <t>T - Informatica</t>
  </si>
  <si>
    <t>A - Informatik</t>
  </si>
  <si>
    <t>A03I</t>
  </si>
  <si>
    <t>A - Mission d'enseignement ex-gd</t>
  </si>
  <si>
    <t>T - Leeropdrachten ex-rw</t>
  </si>
  <si>
    <t>A - Schulungsauftrag ehem. Gend.</t>
  </si>
  <si>
    <t>Z - Generalinspektion</t>
  </si>
  <si>
    <t>Bénéficiaire del'allocation de garde (Code Salarial 4127)</t>
  </si>
  <si>
    <t>Nombre heures supplémentaires(Filtre)</t>
  </si>
  <si>
    <t>8081</t>
  </si>
  <si>
    <t>PP sur alloc de chômage 9260</t>
  </si>
  <si>
    <t>BV op werkloosheidsuitk 9260</t>
  </si>
  <si>
    <t>ESVZ Arbeitslosengeld 9260</t>
  </si>
  <si>
    <t>8082</t>
  </si>
  <si>
    <t>PP sur alloc de chômage 9283</t>
  </si>
  <si>
    <t>BV op werkloosheidsuitk 9283</t>
  </si>
  <si>
    <t>ESVZ Arbeitslosengeld 9283</t>
  </si>
  <si>
    <t>8083</t>
  </si>
  <si>
    <t>PP sur capital 17 %</t>
  </si>
  <si>
    <t>BV op kapitaal 17 %</t>
  </si>
  <si>
    <t>Inter carr - sens stricte (tp)</t>
  </si>
  <si>
    <t>Total général X &amp; X-1</t>
  </si>
  <si>
    <t>Péc vac job étud fin serv ann préc</t>
  </si>
  <si>
    <t>Z - Wohnung ex-Gd</t>
  </si>
  <si>
    <t>Coût moyen sans patronales
Base Légal =1/1850du traitement sur le filtre 100% (op filter)</t>
  </si>
  <si>
    <t>Allocation Bruxelles
4082</t>
  </si>
  <si>
    <t>V_M 2112</t>
  </si>
  <si>
    <t>B_A159</t>
  </si>
  <si>
    <t>V_Oos</t>
  </si>
  <si>
    <t>F_A3A</t>
  </si>
  <si>
    <t>PP sur alloc. chômage</t>
  </si>
  <si>
    <t>ESWZ Arbeitslosengeld</t>
  </si>
  <si>
    <t>9290</t>
  </si>
  <si>
    <t>SelecteerSupplementen</t>
  </si>
  <si>
    <t>SelecteerTotaalCode</t>
  </si>
  <si>
    <t>A - Sélection</t>
  </si>
  <si>
    <t>T - Selectie</t>
  </si>
  <si>
    <t>Z - Auswahl</t>
  </si>
  <si>
    <t>4188</t>
  </si>
  <si>
    <t>Rente incap travail permanente</t>
  </si>
  <si>
    <t>Rente blijv arbeidsongeschikth</t>
  </si>
  <si>
    <t>Copernicuspr Dienstende vorig Jahr</t>
  </si>
  <si>
    <t>6010</t>
  </si>
  <si>
    <t>Pec vac - fin de service année cour</t>
  </si>
  <si>
    <t>Vakantiegeld uit dienst huidig jaar</t>
  </si>
  <si>
    <t>Tijd arbongesch beroepsziekte</t>
  </si>
  <si>
    <t>Zeit Arbeitsunfäh Berufskrankheit</t>
  </si>
  <si>
    <t>9050</t>
  </si>
  <si>
    <t>Cotisation solidarité étudiants</t>
  </si>
  <si>
    <t>Solidariteitsbijdrage jobstudenten</t>
  </si>
  <si>
    <t>Allocation observateur aérien occasionnelle
4025</t>
  </si>
  <si>
    <t>Heures Nocturnes (22:00 - 06:00)
4037 Type 2</t>
  </si>
  <si>
    <t>SvSoc</t>
  </si>
  <si>
    <t>DB</t>
  </si>
  <si>
    <t>CJ</t>
  </si>
  <si>
    <t>Secr</t>
  </si>
  <si>
    <t>Les formules pour le calcul d'une prestation ont été supprimés Calul du coût d'une prestation est repris dans ZP REPORT  Application Access</t>
  </si>
  <si>
    <t>T - Huisvesting ex-rw</t>
  </si>
  <si>
    <t>N° identification
Identificatienr</t>
  </si>
  <si>
    <t>Mandat (Code Salarial 4096)</t>
  </si>
  <si>
    <t>Chargé de cours (Code Salarial 4009)</t>
  </si>
  <si>
    <t xml:space="preserve">Militair transféré </t>
  </si>
  <si>
    <t>Militair (CALog)</t>
  </si>
  <si>
    <t>Cotisations patronales pour pensions du Cadre Administratif et Logistique</t>
  </si>
  <si>
    <t>OpsKad_CalogNiv</t>
  </si>
  <si>
    <t>4061</t>
  </si>
  <si>
    <t>A - Mentor</t>
  </si>
  <si>
    <t>T - Mentor</t>
  </si>
  <si>
    <t>Urlaubsgeld Dienstende gegenw Jahr</t>
  </si>
  <si>
    <t>6011</t>
  </si>
  <si>
    <t>Pr Copernic en service ann en cours</t>
  </si>
  <si>
    <t>Copernicuspremie in dienst huidig j</t>
  </si>
  <si>
    <t>Copernicuspr im Dienst geg Jahr</t>
  </si>
  <si>
    <t>6012</t>
  </si>
  <si>
    <t>Prime de restructuration</t>
  </si>
  <si>
    <t>Herstructureringspremie</t>
  </si>
  <si>
    <t>Anpassungsgeld</t>
  </si>
  <si>
    <t>6013</t>
  </si>
  <si>
    <t>Prime restruc fin serv ann précéd</t>
  </si>
  <si>
    <t>V_3.1.50</t>
  </si>
  <si>
    <t>W_D5</t>
  </si>
  <si>
    <t>A - Diplôme sans AMI</t>
  </si>
  <si>
    <t>T - Diploma gn ZIV</t>
  </si>
  <si>
    <t>Z - Diplom ohne KV</t>
  </si>
  <si>
    <t>4160</t>
  </si>
  <si>
    <t>Avant véh serv déplac privé</t>
  </si>
  <si>
    <t>Dvoertuig voordeel enkel privé</t>
  </si>
  <si>
    <t>4161</t>
  </si>
  <si>
    <t>A - Sauv - transit commandement</t>
  </si>
  <si>
    <t>Allocation observateur aérien</t>
  </si>
  <si>
    <t>Allocation mentor - mission enseignement</t>
  </si>
  <si>
    <t>Allocation Fixes (payées avec le traitement)</t>
  </si>
  <si>
    <t>Allocation de proximité</t>
  </si>
  <si>
    <t>T - Functie polygrafist</t>
  </si>
  <si>
    <t>Z - Funktion Polygrafiker</t>
  </si>
  <si>
    <t>4066</t>
  </si>
  <si>
    <t>Indemnisation des frais de déplacement et de séjour du Cadre Administratif et Logistique</t>
  </si>
  <si>
    <t>CP10</t>
  </si>
  <si>
    <t>8290</t>
  </si>
  <si>
    <t>8291</t>
  </si>
  <si>
    <t>8298</t>
  </si>
  <si>
    <t>8299</t>
  </si>
  <si>
    <t>8301</t>
  </si>
  <si>
    <t>Ersetz bar Steuervorauszahl</t>
  </si>
  <si>
    <t>8302</t>
  </si>
  <si>
    <t>Bijk baremieke voorheff (% basis)</t>
  </si>
  <si>
    <t>Trigger Vakantiegeld uit dienst</t>
  </si>
  <si>
    <t>Trigger Urlaubsgeld - Dienstende</t>
  </si>
  <si>
    <t>7002</t>
  </si>
  <si>
    <t>A - Bxl-Capitale info</t>
  </si>
  <si>
    <t>T - Brussels Gewest info</t>
  </si>
  <si>
    <t>Z - Brüssel-Hauptstadt Info</t>
  </si>
  <si>
    <t>7003</t>
  </si>
  <si>
    <t>Trigger Rente incap travail perm</t>
  </si>
  <si>
    <t>Trigger Rente bl arb ongeschikth</t>
  </si>
  <si>
    <t>Trigger Rente perm Arbeitsunfähigk</t>
  </si>
  <si>
    <t>7004</t>
  </si>
  <si>
    <t>A - Biling connaiss exigée - DET</t>
  </si>
  <si>
    <t>T - Tweetalig vereiste kennis - DET</t>
  </si>
  <si>
    <t>Z - Zweisprach erfor Kenntnis - DET</t>
  </si>
  <si>
    <t>4158</t>
  </si>
  <si>
    <t>A - Diplôme AMI</t>
  </si>
  <si>
    <t>T - Diploma ZIV</t>
  </si>
  <si>
    <t>V.PB4</t>
  </si>
  <si>
    <t>W.D6</t>
  </si>
  <si>
    <t>B.CP4</t>
  </si>
  <si>
    <t>W.D1</t>
  </si>
  <si>
    <t>soumis Pension</t>
  </si>
  <si>
    <t>Pas soumis à la retenue pour pensions</t>
  </si>
  <si>
    <t>Anhée / Dinant / Hastière / Onhaye / Yvoir</t>
  </si>
  <si>
    <t>RSZ verm DG4: SBO</t>
  </si>
  <si>
    <t>9800</t>
  </si>
  <si>
    <t>Vervoerkosten privé belast</t>
  </si>
  <si>
    <t>9424</t>
  </si>
  <si>
    <t>9430</t>
  </si>
  <si>
    <t>Vervoerkosten prive belast</t>
  </si>
  <si>
    <t>Priv Transportkos steuerpfl</t>
  </si>
  <si>
    <t>9434</t>
  </si>
  <si>
    <t>9500</t>
  </si>
  <si>
    <t>Allocation de motard</t>
  </si>
  <si>
    <t>Allocation analyste criminel/stratégique</t>
  </si>
  <si>
    <t>Instructeur</t>
  </si>
  <si>
    <t>Allocation Complémentaire et/ou Compensatoire</t>
  </si>
  <si>
    <t>Allocation Bruxelles</t>
  </si>
  <si>
    <t>Indemnisation des frais de déplacement et de séjour du personnel Opérationnel</t>
  </si>
  <si>
    <t>Ouderschapsverlof stat voltijds</t>
  </si>
  <si>
    <t>3312</t>
  </si>
  <si>
    <t>Congé non-payé pér ess sect publ</t>
  </si>
  <si>
    <t>Sub Soc II</t>
  </si>
  <si>
    <t>T1 Contrôle des calculs &amp; Sub Soc II</t>
  </si>
  <si>
    <t>PP compl sur péc vac (% rés)</t>
  </si>
  <si>
    <r>
      <t>Traitement de sauvegarde (+)</t>
    </r>
    <r>
      <rPr>
        <b/>
        <sz val="8"/>
        <color indexed="10"/>
        <rFont val="Arial"/>
        <family val="2"/>
      </rPr>
      <t xml:space="preserve">
Maladie (-)
Dispo (-)</t>
    </r>
  </si>
  <si>
    <r>
      <t>Supplément semaine volontaire de  4-jours  (</t>
    </r>
    <r>
      <rPr>
        <sz val="8"/>
        <color indexed="10"/>
        <rFont val="Arial"/>
        <family val="2"/>
      </rPr>
      <t>4/5s</t>
    </r>
    <r>
      <rPr>
        <sz val="8"/>
        <rFont val="Arial"/>
        <family val="2"/>
      </rPr>
      <t>) 
ou 
départ antcipé volontaire à mi temps (</t>
    </r>
    <r>
      <rPr>
        <sz val="8"/>
        <color indexed="10"/>
        <rFont val="Arial"/>
        <family val="2"/>
      </rPr>
      <t>50%</t>
    </r>
    <r>
      <rPr>
        <sz val="8"/>
        <rFont val="Arial"/>
        <family val="2"/>
      </rPr>
      <t>)</t>
    </r>
  </si>
  <si>
    <t>4039 &amp; 4191
Heures Supplémentaires
     INT(BR/6)  BR-INT(BR/6)</t>
  </si>
  <si>
    <t>Montant indexé est augmenté automatiquement</t>
  </si>
  <si>
    <t>6002 -Prime d'intégration
Niveau D</t>
  </si>
  <si>
    <t>Bertrix / Bouillon / Daverdisse / Herbeumont / Libin / Paliseul / Saint-Hubert / Tellin / Wellin</t>
  </si>
  <si>
    <t>Namur</t>
  </si>
  <si>
    <t>Eghezée / Gembloux / La Bruyère</t>
  </si>
  <si>
    <t>Andenne / Assesse / Fernelmont / Gesves / Ohey</t>
  </si>
  <si>
    <t>12S2</t>
  </si>
  <si>
    <t>O</t>
  </si>
  <si>
    <t>calog</t>
  </si>
  <si>
    <t>type</t>
  </si>
  <si>
    <t>Only Eff</t>
  </si>
  <si>
    <t>Both</t>
  </si>
  <si>
    <t>SavgOnly</t>
  </si>
  <si>
    <t>0</t>
  </si>
  <si>
    <t>Primes pour l'assurance des accidents de travail du personnel Opérationnel</t>
  </si>
  <si>
    <t>Cotisations au service social du personnel Opérationnel</t>
  </si>
  <si>
    <t>Anciënniteitsdatum vrijwaring</t>
  </si>
  <si>
    <t>111-01/40</t>
  </si>
  <si>
    <t>111-01/41</t>
  </si>
  <si>
    <t>111-01/50</t>
  </si>
  <si>
    <t>111-01/51</t>
  </si>
  <si>
    <t>Contract</t>
  </si>
  <si>
    <t>Weddecode</t>
  </si>
  <si>
    <t>4171</t>
  </si>
  <si>
    <t>si droit :
 "Y"
"GSM du Service"</t>
  </si>
  <si>
    <t>Moyennes Prestations irrégulières</t>
  </si>
  <si>
    <t>Jours recherche (Filtre)</t>
  </si>
  <si>
    <t>Importation de la feuille éléments barémiques du THEMIS</t>
  </si>
  <si>
    <t>4123</t>
  </si>
  <si>
    <t>I - Congé vol préalable pension</t>
  </si>
  <si>
    <t>T - Verlof voorafgaand pensionering</t>
  </si>
  <si>
    <t>4125</t>
  </si>
  <si>
    <t>I - Préavis</t>
  </si>
  <si>
    <t>V - Opzegging</t>
  </si>
  <si>
    <t>V - Kündigung</t>
  </si>
  <si>
    <t>4127</t>
  </si>
  <si>
    <t xml:space="preserve">B_ ou B. : Echélle attibué à Bruxelles avant la réforme </t>
  </si>
  <si>
    <r>
      <t xml:space="preserve">Primes accidents du travail </t>
    </r>
    <r>
      <rPr>
        <sz val="8"/>
        <color indexed="10"/>
        <rFont val="Arial"/>
        <family val="2"/>
      </rPr>
      <t>( 3 catégories possibles &lt;&gt;%)</t>
    </r>
  </si>
  <si>
    <t>A12</t>
  </si>
  <si>
    <t>Ancienneté Pécuniaire  de
l'échelle de sauvegarde</t>
  </si>
  <si>
    <t>Contrat</t>
  </si>
  <si>
    <t>Code
traitement</t>
  </si>
  <si>
    <t>Code foyer
résidence</t>
  </si>
  <si>
    <t>Descriptif de élément de la rémunération</t>
  </si>
  <si>
    <t>Agent Premier Emploi</t>
  </si>
  <si>
    <t>&amp; Remplaçant contrat 4/5</t>
  </si>
  <si>
    <t>Niveau A</t>
  </si>
  <si>
    <t>Niveau B</t>
  </si>
  <si>
    <t>Niveau C</t>
  </si>
  <si>
    <t>Niveau D</t>
  </si>
  <si>
    <t>L263</t>
  </si>
  <si>
    <t>F_20E0</t>
  </si>
  <si>
    <t>W_D1</t>
  </si>
  <si>
    <t>F_C1A20B0</t>
  </si>
  <si>
    <t>F_BB1</t>
  </si>
  <si>
    <t>Verv bijzondere bijdrage/maand</t>
  </si>
  <si>
    <t>Ersetz/Monat besond Beitrag</t>
  </si>
  <si>
    <t>8111</t>
  </si>
  <si>
    <t>PP rempl sur indem et alloc except</t>
  </si>
  <si>
    <t>Verv BV excep vergoed en toelagen</t>
  </si>
  <si>
    <t>Ersetz. BStV au ergew hn. Verg t/Zulage</t>
  </si>
  <si>
    <t>4048</t>
  </si>
  <si>
    <t>V - Werkelijke onderzoekskosten dag</t>
  </si>
  <si>
    <t>V - tatsäch täg Untersuchungskost</t>
  </si>
  <si>
    <t>4049</t>
  </si>
  <si>
    <t>O8</t>
  </si>
  <si>
    <t>O7</t>
  </si>
  <si>
    <t>O6ir</t>
  </si>
  <si>
    <t>O6</t>
  </si>
  <si>
    <t>O5ir</t>
  </si>
  <si>
    <t>O5</t>
  </si>
  <si>
    <t>O4ir</t>
  </si>
  <si>
    <t>O4bisir</t>
  </si>
  <si>
    <t>Ops Filtre</t>
  </si>
  <si>
    <t>Total du filtre</t>
  </si>
  <si>
    <t xml:space="preserve">Geen huishouding:
Repas de Midi
Middagmaal
</t>
  </si>
  <si>
    <t>Anpassungsgeld Dienstsend vor Jahr</t>
  </si>
  <si>
    <t>6014</t>
  </si>
  <si>
    <t>ONSS patr: pens extra-légale indir</t>
  </si>
  <si>
    <t>RSZ werkg: extra leg pens onrechtst</t>
  </si>
  <si>
    <t>Avanc</t>
  </si>
  <si>
    <r>
      <t xml:space="preserve">Contractuel(le) (2) / Statutair(e)(1)
</t>
    </r>
    <r>
      <rPr>
        <b/>
        <sz val="8"/>
        <rFont val="Arial"/>
        <family val="2"/>
      </rPr>
      <t xml:space="preserve">A.P.E. (3) </t>
    </r>
    <r>
      <rPr>
        <sz val="8"/>
        <rFont val="Arial"/>
        <family val="2"/>
      </rPr>
      <t xml:space="preserve"> / Remplacement 4/5 (4)</t>
    </r>
  </si>
  <si>
    <t>A - Fonction polygraphiste - DET</t>
  </si>
  <si>
    <t>Mission d'enseignement - Ens Sup</t>
  </si>
  <si>
    <t>Mission d'enseignement - Ordinaire</t>
  </si>
  <si>
    <t>année</t>
  </si>
  <si>
    <t>jour</t>
  </si>
  <si>
    <t>1/2 jour</t>
  </si>
  <si>
    <t>transf année</t>
  </si>
  <si>
    <t>mois</t>
  </si>
  <si>
    <t>Auxiliaire</t>
  </si>
  <si>
    <t>Moyen</t>
  </si>
  <si>
    <t>Officiers</t>
  </si>
  <si>
    <t>Base</t>
  </si>
  <si>
    <t>Contactable</t>
  </si>
  <si>
    <t>Contactable et Rappelable</t>
  </si>
  <si>
    <t>Ininterrompu 24 hr</t>
  </si>
  <si>
    <t>T - Haard</t>
  </si>
  <si>
    <t>Z - Herd</t>
  </si>
  <si>
    <t>4035</t>
  </si>
  <si>
    <t>A - Résidence</t>
  </si>
  <si>
    <t>T - Standplaats</t>
  </si>
  <si>
    <t>Z - Standort</t>
  </si>
  <si>
    <t>4037</t>
  </si>
  <si>
    <t>4038</t>
  </si>
  <si>
    <t>A - Heures de w-e AS &amp; NS</t>
  </si>
  <si>
    <t>Congé non-payé long dur conv pers</t>
  </si>
  <si>
    <t>Verlof onbet lange duur pers aang</t>
  </si>
  <si>
    <t>3319</t>
  </si>
  <si>
    <t>Ziekte na 4de week</t>
  </si>
  <si>
    <t>3403</t>
  </si>
  <si>
    <t>PP sur capital</t>
  </si>
  <si>
    <t>BV op kapitaal</t>
  </si>
  <si>
    <t>ESWZ Kapital</t>
  </si>
  <si>
    <t>A51</t>
  </si>
  <si>
    <t>A52</t>
  </si>
  <si>
    <t>A53</t>
  </si>
  <si>
    <t>BB2.1</t>
  </si>
  <si>
    <t>BB2.2</t>
  </si>
  <si>
    <t>BB3.1</t>
  </si>
  <si>
    <t>BB3.2</t>
  </si>
  <si>
    <t>BB4.1</t>
  </si>
  <si>
    <t>BB4.2</t>
  </si>
  <si>
    <t>B2A.1</t>
  </si>
  <si>
    <t>B2A.2</t>
  </si>
  <si>
    <t>B3A.1</t>
  </si>
  <si>
    <t>B3A.2</t>
  </si>
  <si>
    <t>B4A.1</t>
  </si>
  <si>
    <t>B4A.2</t>
  </si>
  <si>
    <t>B2B.1</t>
  </si>
  <si>
    <t>B3B.1</t>
  </si>
  <si>
    <t>B4B.1</t>
  </si>
  <si>
    <t>B2C.1</t>
  </si>
  <si>
    <t>B2C.2</t>
  </si>
  <si>
    <t>B3C.1</t>
  </si>
  <si>
    <t>B3C.2</t>
  </si>
  <si>
    <t>I - logement commiss sélect - pet</t>
  </si>
  <si>
    <t>V - Verblijfkosten selectiecom - kl</t>
  </si>
  <si>
    <t>Allocation "Fixe"  Montant indexé du moteur salariale</t>
  </si>
  <si>
    <t>111-01/99</t>
  </si>
  <si>
    <t>111-02/99</t>
  </si>
  <si>
    <t xml:space="preserve">4038 
Heures de Weekend  
</t>
  </si>
  <si>
    <t>Beersel</t>
  </si>
  <si>
    <t>Dilbeek</t>
  </si>
  <si>
    <t>Patronale Pensions</t>
  </si>
  <si>
    <t>Patronale sur
allocations variabeles</t>
  </si>
  <si>
    <t>Patronale ordinaire sur
Allocations fixes</t>
  </si>
  <si>
    <t>A - Analyste criminel/Stratégique
T - Strategisch - of misdrijfanalist</t>
  </si>
  <si>
    <t>D1A0</t>
  </si>
  <si>
    <t>Zusätz Gehalt Art 373ter Gergstzb</t>
  </si>
  <si>
    <t>4211</t>
  </si>
  <si>
    <t>A - Correcteur épreuves sélection</t>
  </si>
  <si>
    <t>ONSS empl à charge du patron</t>
  </si>
  <si>
    <t>RSZ WN ten laste van WG</t>
  </si>
  <si>
    <t>LASS Arbn zu Arbg Lasten</t>
  </si>
  <si>
    <t>9561</t>
  </si>
  <si>
    <t>Partie fixe AFA
Base de la patronale 
&amp; Base Alloc Soc 2 C)</t>
  </si>
  <si>
    <t>Copernicus jobstud uit vorig jaar</t>
  </si>
  <si>
    <t>Copernicuspr Stud Dienstend vor Jah</t>
  </si>
  <si>
    <t>6022</t>
  </si>
  <si>
    <t>Affligem / Liedekerke / Roosdaal / Ternat</t>
  </si>
  <si>
    <t>Kapelle-op-den-Bos / Londerzeel / Meise</t>
  </si>
  <si>
    <t>Grimbergen</t>
  </si>
  <si>
    <t>Machelen / Vilvoorde</t>
  </si>
  <si>
    <t>Kampenhout / Steenokkerzeel / Zemst</t>
  </si>
  <si>
    <t>Halle</t>
  </si>
  <si>
    <t>:F_OpsTotCod</t>
  </si>
  <si>
    <t>:F_CalogTotCod</t>
  </si>
  <si>
    <t>:F_GECOTotCod</t>
  </si>
  <si>
    <t>:F_CALogTotCod</t>
  </si>
  <si>
    <t>Keuze van de kolomin Barema</t>
  </si>
  <si>
    <t>SelecteerCalog</t>
  </si>
  <si>
    <t>OphalenBestanden</t>
  </si>
  <si>
    <t>L020</t>
  </si>
  <si>
    <t>PB06</t>
  </si>
  <si>
    <t>PB32</t>
  </si>
  <si>
    <t>L253</t>
  </si>
  <si>
    <t>L080</t>
  </si>
  <si>
    <t>L201</t>
  </si>
  <si>
    <t>AP01</t>
  </si>
  <si>
    <t>AP62</t>
  </si>
  <si>
    <t>C040</t>
  </si>
  <si>
    <t>V - Verplaatsing F/L-096</t>
  </si>
  <si>
    <t>V - Außendienst F/L-096</t>
  </si>
  <si>
    <t>4091</t>
  </si>
  <si>
    <t>I - Frais logement F/L-021</t>
  </si>
  <si>
    <t>V - Verblijfskosten F/L-021</t>
  </si>
  <si>
    <t>V - Aufenthaltskosten F/L-021</t>
  </si>
  <si>
    <t>4092</t>
  </si>
  <si>
    <t>NAPP</t>
  </si>
  <si>
    <t>NAVAP - NAPP (Code Salarial 4294) - New</t>
  </si>
  <si>
    <t>111-10</t>
  </si>
  <si>
    <t>111-10/12</t>
  </si>
  <si>
    <t>112-10</t>
  </si>
  <si>
    <t>Z - Wochenende VS &amp; NS</t>
  </si>
  <si>
    <t>4039</t>
  </si>
  <si>
    <t>Geel / Laakdal / Meerhout</t>
  </si>
  <si>
    <t>10S9</t>
  </si>
  <si>
    <t>10S2</t>
  </si>
  <si>
    <t>10S6</t>
  </si>
  <si>
    <t>B010</t>
  </si>
  <si>
    <t>Arendonk / Ravels / Retie</t>
  </si>
  <si>
    <t>Balen / Dessel / Mol</t>
  </si>
  <si>
    <t>Code Fonctionnel</t>
  </si>
  <si>
    <t>Effacement des colonnes des Filtres</t>
  </si>
  <si>
    <t>Comptable Spécial (CS)</t>
  </si>
  <si>
    <t>Région</t>
  </si>
  <si>
    <t>Province</t>
  </si>
  <si>
    <t>C1D0</t>
  </si>
  <si>
    <t>C2D0</t>
  </si>
  <si>
    <t>C3D0</t>
  </si>
  <si>
    <t>C4D0</t>
  </si>
  <si>
    <t>DD10</t>
  </si>
  <si>
    <t>DD21</t>
  </si>
  <si>
    <t>DD31</t>
  </si>
  <si>
    <t>Fract tps D100 50</t>
  </si>
  <si>
    <t>Tijdsbr D100 50</t>
  </si>
  <si>
    <t>2038</t>
  </si>
  <si>
    <t>Fract tps D100 75</t>
  </si>
  <si>
    <t>Tijdsbr D100 75</t>
  </si>
  <si>
    <t>2040</t>
  </si>
  <si>
    <t>Fract tps Pec Vac 100</t>
  </si>
  <si>
    <t>Tijdsbr VG 100</t>
  </si>
  <si>
    <t>T - Leidinggevende - DET</t>
  </si>
  <si>
    <t>8090</t>
  </si>
  <si>
    <t>Frais administratifs</t>
  </si>
  <si>
    <t>Beheerskosten</t>
  </si>
  <si>
    <t>Verwaltungskosten</t>
  </si>
  <si>
    <t>W.D5.1</t>
  </si>
  <si>
    <t>B.CP3</t>
  </si>
  <si>
    <t>V.PB2B</t>
  </si>
  <si>
    <t>GD.1OWMDC</t>
  </si>
  <si>
    <t>Trigger Kap perm Arbeitsunfähigk</t>
  </si>
  <si>
    <t>7005</t>
  </si>
  <si>
    <t>7006</t>
  </si>
  <si>
    <t>Aubel / Baelen / Herve / Limbourg / Olne / Plombières / Thimister-Clermont / Welkenraedt</t>
  </si>
  <si>
    <t>Détermination traitement le plus avantageux (Sauvegarde ou avancement)</t>
  </si>
  <si>
    <t>Allocation fixes du personnel Opérationnel</t>
  </si>
  <si>
    <t>Allocation de fin d'année (AFA) du personnel Opérationnel (partiellement soumis)</t>
  </si>
  <si>
    <t>AZ</t>
  </si>
  <si>
    <t>BI</t>
  </si>
  <si>
    <t>BQ</t>
  </si>
  <si>
    <t>BS</t>
  </si>
  <si>
    <t>BB</t>
  </si>
  <si>
    <t>BW</t>
  </si>
  <si>
    <t>BY</t>
  </si>
  <si>
    <t>CI</t>
  </si>
  <si>
    <t>Tot_Calog</t>
  </si>
  <si>
    <t>Tot_Ops</t>
  </si>
  <si>
    <t>Le montant est mentionné pour autres langues
Toujours indiquer le nombre de langues !
SE - 4086</t>
  </si>
  <si>
    <t>Patr</t>
  </si>
  <si>
    <t>4045 Indemnité de téléphone</t>
  </si>
  <si>
    <t>Allocation de vacances + prime copernic</t>
  </si>
  <si>
    <t>Avantage véh serv valeur DMFA</t>
  </si>
  <si>
    <t>Dvoertuig voordeel waarde DMFA</t>
  </si>
  <si>
    <t>Vorteil Dfahrzeug DMFA-Wert</t>
  </si>
  <si>
    <t>7007</t>
  </si>
  <si>
    <t>Avantage véh serv nbre km ff</t>
  </si>
  <si>
    <t>Dvoertuig aantal km voordeel ff</t>
  </si>
  <si>
    <t>Startdatum Beitrag Krankenkasse</t>
  </si>
  <si>
    <t>AP71</t>
  </si>
  <si>
    <t>AP04</t>
  </si>
  <si>
    <t>L136</t>
  </si>
  <si>
    <t>L053</t>
  </si>
  <si>
    <t>L149</t>
  </si>
  <si>
    <t>L199</t>
  </si>
  <si>
    <t>AP73</t>
  </si>
  <si>
    <t>BP20</t>
  </si>
  <si>
    <t>D200</t>
  </si>
  <si>
    <t>L229</t>
  </si>
  <si>
    <t>L226</t>
  </si>
  <si>
    <t>L239</t>
  </si>
  <si>
    <t>Indemnités de repas: Modèle 9BIS</t>
  </si>
  <si>
    <t>ExtractionsFiltre</t>
  </si>
  <si>
    <t>SelecteerFiltreExtract</t>
  </si>
  <si>
    <t>Graphique : Ops &amp; Calog</t>
  </si>
  <si>
    <t>Primes pour l'assurance des accidents de travail du Cadre Administratif et Logistique</t>
  </si>
  <si>
    <t>Z - Erreichbar und abberufbar</t>
  </si>
  <si>
    <t>4002</t>
  </si>
  <si>
    <t>111-02F</t>
  </si>
  <si>
    <t>117-02</t>
  </si>
  <si>
    <t>113-09</t>
  </si>
  <si>
    <t>km</t>
  </si>
  <si>
    <t>∑</t>
  </si>
  <si>
    <t>M220</t>
  </si>
  <si>
    <t>B4C.2</t>
  </si>
  <si>
    <t>B3D.1</t>
  </si>
  <si>
    <t>B4D.1</t>
  </si>
  <si>
    <t>CC2.1</t>
  </si>
  <si>
    <t>CC3.1</t>
  </si>
  <si>
    <t>CC4.1</t>
  </si>
  <si>
    <t>C2A.1</t>
  </si>
  <si>
    <t>C3A.1</t>
  </si>
  <si>
    <t>C4A.1</t>
  </si>
  <si>
    <t>D2A.1</t>
  </si>
  <si>
    <t>D3A.1</t>
  </si>
  <si>
    <t>D4A.1</t>
  </si>
  <si>
    <t>D2B.1</t>
  </si>
  <si>
    <t>T - Verbeteraar selectieproeven</t>
  </si>
  <si>
    <t>Z - Korrektor Auswahlprüfungen</t>
  </si>
  <si>
    <t>4212</t>
  </si>
  <si>
    <t>111-01/81</t>
  </si>
  <si>
    <t>111-01/82</t>
  </si>
  <si>
    <t>111-01/09</t>
  </si>
  <si>
    <t>121-48/01</t>
  </si>
  <si>
    <t>121-48/20</t>
  </si>
  <si>
    <t>121-48/04</t>
  </si>
  <si>
    <t>121-48/02</t>
  </si>
  <si>
    <t>B.AP6.2</t>
  </si>
  <si>
    <t>Allocation Bruxelles Capitale</t>
  </si>
  <si>
    <t>Allocation Bruxelles - Allocation d'engagement</t>
  </si>
  <si>
    <t>Allocation de plurilinguisme</t>
  </si>
  <si>
    <t>Indemnité de tenue (entretien)</t>
  </si>
  <si>
    <t>Heures de week-end</t>
  </si>
  <si>
    <t>Fract tps prime fin année var</t>
  </si>
  <si>
    <t>Tijdsbr EJT var</t>
  </si>
  <si>
    <t>Teil Zeit Weihnachtsgeld var</t>
  </si>
  <si>
    <t>2103</t>
  </si>
  <si>
    <t>Fract tps trt maladie prof</t>
  </si>
  <si>
    <t>oui</t>
  </si>
  <si>
    <t>Eupen / La Calamine / Lontzen / Raeren</t>
  </si>
  <si>
    <t>Braives / Burdinne / Hannut / Héron / Lincent / Wasseiges</t>
  </si>
  <si>
    <t>JE</t>
  </si>
  <si>
    <t>T - Brussels Gewest fedpol</t>
  </si>
  <si>
    <t>Z - Brüssel-Hauptstadt Föd Pol</t>
  </si>
  <si>
    <t>4083</t>
  </si>
  <si>
    <t>A - Bxl-Capitale Pol Loc</t>
  </si>
  <si>
    <t>T - Brussels Gewest lokpol</t>
  </si>
  <si>
    <t>ctl ref
zkkolom</t>
  </si>
  <si>
    <t>Moederschapsrust (stat)</t>
  </si>
  <si>
    <t>3116</t>
  </si>
  <si>
    <t>Congé empl encein trav risque stat</t>
  </si>
  <si>
    <t>EP30</t>
  </si>
  <si>
    <t>L115</t>
  </si>
  <si>
    <t>AP03</t>
  </si>
  <si>
    <t>L158</t>
  </si>
  <si>
    <t>LASS Arbg: Beitrag Studenten</t>
  </si>
  <si>
    <t>9532</t>
  </si>
  <si>
    <t>BZ</t>
  </si>
  <si>
    <t>CF</t>
  </si>
  <si>
    <t>CX</t>
  </si>
  <si>
    <t>DM</t>
  </si>
  <si>
    <t>DD</t>
  </si>
  <si>
    <t>DG</t>
  </si>
  <si>
    <t>DJ</t>
  </si>
  <si>
    <t>DP</t>
  </si>
  <si>
    <t>DY</t>
  </si>
  <si>
    <t>EB</t>
  </si>
  <si>
    <t>ED</t>
  </si>
  <si>
    <t>ES</t>
  </si>
  <si>
    <t>DS</t>
  </si>
  <si>
    <t>EJ</t>
  </si>
  <si>
    <t>EG</t>
  </si>
  <si>
    <t>EP</t>
  </si>
  <si>
    <t>EM</t>
  </si>
  <si>
    <t>EV</t>
  </si>
  <si>
    <t>EX</t>
  </si>
  <si>
    <t>EZ</t>
  </si>
  <si>
    <t>FB</t>
  </si>
  <si>
    <t>FD</t>
  </si>
  <si>
    <t>B1C0</t>
  </si>
  <si>
    <t>B2C1</t>
  </si>
  <si>
    <t>B3C1</t>
  </si>
  <si>
    <t>B4C1</t>
  </si>
  <si>
    <t>B1D0</t>
  </si>
  <si>
    <t>B2D1</t>
  </si>
  <si>
    <t>B3D1</t>
  </si>
  <si>
    <t>B4D1</t>
  </si>
  <si>
    <t>CC10</t>
  </si>
  <si>
    <t>XI.II.17</t>
  </si>
  <si>
    <t>111-01/12_F</t>
  </si>
  <si>
    <t>111-01/12_V</t>
  </si>
  <si>
    <t>115-01/10</t>
  </si>
  <si>
    <t>115-01/11</t>
  </si>
  <si>
    <t>121-48/99</t>
  </si>
  <si>
    <t>111-21</t>
  </si>
  <si>
    <t>L236</t>
  </si>
  <si>
    <t>L225</t>
  </si>
  <si>
    <t>L206</t>
  </si>
  <si>
    <t>L203</t>
  </si>
  <si>
    <t>L055</t>
  </si>
  <si>
    <t>L009</t>
  </si>
  <si>
    <t>L169</t>
  </si>
  <si>
    <t>L234</t>
  </si>
  <si>
    <t>9N15</t>
  </si>
  <si>
    <t>L146</t>
  </si>
  <si>
    <t>1060</t>
  </si>
  <si>
    <t>Cotisations service du médecine du travail</t>
  </si>
  <si>
    <t>Boom / Hemiksem / Niel / Rumst / Schelle</t>
  </si>
  <si>
    <t>Base modif (propre rég pension)</t>
  </si>
  <si>
    <t>Verv basis (eigen pensioenstelsel)</t>
  </si>
  <si>
    <t>Ersatzbasis (eigen Pens.Syst)</t>
  </si>
  <si>
    <t>8190</t>
  </si>
  <si>
    <t>8191</t>
  </si>
  <si>
    <t>8198</t>
  </si>
  <si>
    <t>8199</t>
  </si>
  <si>
    <t>8221</t>
  </si>
  <si>
    <t>PP de rempl sur péc vacances</t>
  </si>
  <si>
    <t>Vervangende BV op vakantiegeld</t>
  </si>
  <si>
    <t>8222</t>
  </si>
  <si>
    <t>Teil Zeit Weihnachtsgeld 0</t>
  </si>
  <si>
    <t>2053</t>
  </si>
  <si>
    <t>Fract tps pec vac var</t>
  </si>
  <si>
    <t>Tijdsbr VG var</t>
  </si>
  <si>
    <t>Teil Zeit Urlaubsgeld var</t>
  </si>
  <si>
    <t>2102</t>
  </si>
  <si>
    <t>Nouveau statut - Inconvénients statut d'origine</t>
  </si>
  <si>
    <t>4168</t>
  </si>
  <si>
    <t>Dilsen-Stokkem / Maaseik</t>
  </si>
  <si>
    <t>Avant véh serv déplac privé + dt</t>
  </si>
  <si>
    <t>A - Mandat receveur régional ns</t>
  </si>
  <si>
    <t>SelecteerTotGen</t>
  </si>
  <si>
    <t>Hoogstraten / Merksplas / Rijkevorsel</t>
  </si>
  <si>
    <t>Bastogne / Bertogne / Fauvillers / Léglise / Libramont-Chevigny / Neufchâteau / Sainte-Ode / Vaux-Sur-Sûre</t>
  </si>
  <si>
    <t>Ret.ONSS dble péc vac mand n.prot</t>
  </si>
  <si>
    <t>Vorteil Dfahrzeug Anzahl Km ff</t>
  </si>
  <si>
    <t>FORMULE Ops : Onglet de classeur Total_CodeX1</t>
  </si>
  <si>
    <t>FORMULE CALog : Onglet de classeur Total_CodeX1</t>
  </si>
  <si>
    <t>FORMULE A.P.E. : Onglet de classeur Total_CodeX1</t>
  </si>
  <si>
    <t>CodesThemis Module</t>
  </si>
  <si>
    <t>Non Membre GPI</t>
  </si>
  <si>
    <t>Fonction Supérieure (Code Salarial 4095)</t>
  </si>
  <si>
    <t>Vak geld jobstudent uit huidig jaar</t>
  </si>
  <si>
    <t>Urlaubsgeld Stud Dienstend geg Jahr</t>
  </si>
  <si>
    <t>6021</t>
  </si>
  <si>
    <t>Sud</t>
  </si>
  <si>
    <t xml:space="preserve">Pécule de Vacances du personnel opérationnel </t>
  </si>
  <si>
    <t>As / Genk / Opglabbeek / Zutendaal</t>
  </si>
  <si>
    <t>Rente perm Arbeitsunfähigkeit</t>
  </si>
  <si>
    <t>4190</t>
  </si>
  <si>
    <t>Prime productivité</t>
  </si>
  <si>
    <t>Productiviteitspremie</t>
  </si>
  <si>
    <t>Produktivitätsprämie</t>
  </si>
  <si>
    <t>4191</t>
  </si>
  <si>
    <t>A - Heures supplémentaires NS</t>
  </si>
  <si>
    <t>T - Overuren NS</t>
  </si>
  <si>
    <t>Z - Überstunde NS</t>
  </si>
  <si>
    <t>4192</t>
  </si>
  <si>
    <t>Maladie 2ème semaine</t>
  </si>
  <si>
    <t>Subvention sociale II</t>
  </si>
  <si>
    <t>Sociale toelage II</t>
  </si>
  <si>
    <t>Soziale Zulage II</t>
  </si>
  <si>
    <t>Rémunération Statut d'origine</t>
  </si>
  <si>
    <t>Inséré avec l'allocation de Garde</t>
  </si>
  <si>
    <t>Copernic Calog</t>
  </si>
  <si>
    <t>Code statut</t>
  </si>
  <si>
    <t>Echelle de Traitement</t>
  </si>
  <si>
    <t>Ancienneté Pécuniaire</t>
  </si>
  <si>
    <t>Echelle de Traitement
 échelle de sauvegarde</t>
  </si>
  <si>
    <t>Alveringem / Lo-Reninge / Veurne</t>
  </si>
  <si>
    <r>
      <t>Cotisations patronales</t>
    </r>
    <r>
      <rPr>
        <sz val="8"/>
        <color indexed="17"/>
        <rFont val="Arial"/>
        <family val="2"/>
      </rPr>
      <t xml:space="preserve"> ordinaires</t>
    </r>
    <r>
      <rPr>
        <sz val="8"/>
        <rFont val="Arial"/>
        <family val="2"/>
      </rPr>
      <t xml:space="preserve"> sur les Allocations </t>
    </r>
    <r>
      <rPr>
        <sz val="8"/>
        <color indexed="17"/>
        <rFont val="Arial"/>
        <family val="2"/>
      </rPr>
      <t>Variables</t>
    </r>
  </si>
  <si>
    <t>Maaltijdcheques trigger</t>
  </si>
  <si>
    <t>8053</t>
  </si>
  <si>
    <t>8061</t>
  </si>
  <si>
    <t>PP sur pension extra-légale</t>
  </si>
  <si>
    <t>ESVZ Kapital 17%</t>
  </si>
  <si>
    <t>8085</t>
  </si>
  <si>
    <t>Mnt/% rempl avant mens solid pensi</t>
  </si>
  <si>
    <t>Verv bedr/pct sol gepens mnd vrdl</t>
  </si>
  <si>
    <t>RSZverm DG4 SBO leerl/leerpl -18j</t>
  </si>
  <si>
    <t>Red ZG4 Erstbeschäftigungsabk &lt;18J</t>
  </si>
  <si>
    <t>9700</t>
  </si>
  <si>
    <t>Réd ONSS GC2:PTP-25ans</t>
  </si>
  <si>
    <t>RSZ verm DG2: DSP -25jr</t>
  </si>
  <si>
    <t>Red ZG2 Berufsübergprog &lt;25J</t>
  </si>
  <si>
    <t>9701</t>
  </si>
  <si>
    <t>Réd ONSS GC2:PTP-45ans &gt;=12mois</t>
  </si>
  <si>
    <t>RSZ verm DG2: DSP -45jr &gt;=12mnd</t>
  </si>
  <si>
    <t>Red ZG2 Berufsübergprog &lt;45J &gt;=12M</t>
  </si>
  <si>
    <t>9702</t>
  </si>
  <si>
    <t>Réd ONSS GC2:PTP-45ans &gt;=24mois</t>
  </si>
  <si>
    <t xml:space="preserve">Montant plafonné cotisations patronale allocations </t>
  </si>
  <si>
    <r>
      <t xml:space="preserve">Trop d'allocations patronales sur allocations </t>
    </r>
    <r>
      <rPr>
        <sz val="10"/>
        <rFont val="Arial"/>
        <family val="2"/>
      </rPr>
      <t xml:space="preserve">(= </t>
    </r>
    <r>
      <rPr>
        <sz val="10"/>
        <color indexed="10"/>
        <rFont val="Arial"/>
        <family val="2"/>
      </rPr>
      <t>estimation</t>
    </r>
    <r>
      <rPr>
        <sz val="10"/>
        <color indexed="20"/>
        <rFont val="Arial"/>
        <family val="2"/>
      </rPr>
      <t xml:space="preserve"> Subvention Sociale II)</t>
    </r>
  </si>
  <si>
    <t xml:space="preserve"> TOTAL GENERAL</t>
  </si>
  <si>
    <t>Supplément pour semaine volontaire de quatre jours</t>
  </si>
  <si>
    <t>Ziekte bediende eerste maand</t>
  </si>
  <si>
    <t>3290</t>
  </si>
  <si>
    <t xml:space="preserve">Total </t>
  </si>
  <si>
    <t># Mnd 1 2de periode</t>
  </si>
  <si>
    <t>Immigration- O</t>
  </si>
  <si>
    <t>Immigration- B</t>
  </si>
  <si>
    <t>Rückgew n gesch Leist nach 1409</t>
  </si>
  <si>
    <t>9955</t>
  </si>
  <si>
    <t>Rückgew n gesch Leist vor 1409</t>
  </si>
  <si>
    <t>9956</t>
  </si>
  <si>
    <t>9959</t>
  </si>
  <si>
    <t>A008</t>
  </si>
  <si>
    <t>Suppl trt CDP</t>
  </si>
  <si>
    <t>Weddebijslag HCP</t>
  </si>
  <si>
    <t>Gehaltszuschlag PHK</t>
  </si>
  <si>
    <t>A012</t>
  </si>
  <si>
    <t>I - BSR ex-gde</t>
  </si>
  <si>
    <t>V - BOB ex-rw</t>
  </si>
  <si>
    <t>I - GPD ehem. Gend.</t>
  </si>
  <si>
    <t>A023</t>
  </si>
  <si>
    <t>A - Congé de compensation</t>
  </si>
  <si>
    <t>T - Compensatie verlof</t>
  </si>
  <si>
    <t>Statut O(Ancien/Nouveau)</t>
  </si>
  <si>
    <t>Niveau/Cadre</t>
  </si>
  <si>
    <t>Nombre</t>
  </si>
  <si>
    <t>N° col</t>
  </si>
  <si>
    <t>Contractuel (2)
Statutair (1)</t>
  </si>
  <si>
    <t>N</t>
  </si>
  <si>
    <t>111-01</t>
  </si>
  <si>
    <t>A - Complementaire Pilier jud petit mt
T -  Bijkomende Ger zuil Klein bedrag</t>
  </si>
  <si>
    <t>F_B1D26F</t>
  </si>
  <si>
    <t>V.AN11060</t>
  </si>
  <si>
    <t>SPC.AP05</t>
  </si>
  <si>
    <t>SPC.OTC93</t>
  </si>
  <si>
    <t>SPC.OTC95</t>
  </si>
  <si>
    <t>A - Fonction person roulant - DET</t>
  </si>
  <si>
    <t xml:space="preserve">Rémunération du personnel opérationnel </t>
  </si>
  <si>
    <t>V - Onderzoekskosten ex-gem</t>
  </si>
  <si>
    <t>V - tatsäch Untersuchungsko ex-Gem</t>
  </si>
  <si>
    <t>4134</t>
  </si>
  <si>
    <t>Coût Total : Comptable Spécial et Secrétaire</t>
  </si>
  <si>
    <t>Allocation de développement des compétences</t>
  </si>
  <si>
    <t>Total de la zone (CS+Secr y compris)</t>
  </si>
  <si>
    <t>Supplément semaine volontaire de 4 jours</t>
  </si>
  <si>
    <t>Inhouding vakantiegeld</t>
  </si>
  <si>
    <t>Abzug Urlaubsgeld</t>
  </si>
  <si>
    <t>9047</t>
  </si>
  <si>
    <t>en vigueur depuis</t>
  </si>
  <si>
    <t xml:space="preserve">Anticipatif
</t>
  </si>
  <si>
    <t>A terme échu</t>
  </si>
  <si>
    <t>Montants annuels</t>
  </si>
  <si>
    <t>Officiers Connaissance Approfondi</t>
  </si>
  <si>
    <t>Niv A</t>
  </si>
  <si>
    <t>3241</t>
  </si>
  <si>
    <t>Congé de maternité (contract)</t>
  </si>
  <si>
    <t>Réd ONSS GC2:PTP+45ans &gt;=12mois</t>
  </si>
  <si>
    <r>
      <t xml:space="preserve">PERIODE 1 </t>
    </r>
    <r>
      <rPr>
        <b/>
        <sz val="8"/>
        <rFont val="Arial"/>
        <family val="2"/>
      </rPr>
      <t>wedde</t>
    </r>
    <r>
      <rPr>
        <b/>
        <sz val="12"/>
        <rFont val="Arial"/>
        <family val="2"/>
      </rPr>
      <t xml:space="preserve">  2</t>
    </r>
  </si>
  <si>
    <t>CC -6H</t>
  </si>
  <si>
    <t>TX</t>
  </si>
  <si>
    <t>30J0</t>
  </si>
  <si>
    <t>UH--&gt;</t>
  </si>
  <si>
    <t>UI--&gt;</t>
  </si>
  <si>
    <t>Bedrag - Regul - Belastbaar bedrag</t>
  </si>
  <si>
    <t>Betrag - Regul - steuerpfl. Betrag</t>
  </si>
  <si>
    <t>A06R</t>
  </si>
  <si>
    <t>A - Prime de mer (statut ancien)</t>
  </si>
  <si>
    <t>T - Zeegeld (oud statuut)</t>
  </si>
  <si>
    <t>A - Seegeld (altes Statut)</t>
  </si>
  <si>
    <t>A0CB</t>
  </si>
  <si>
    <t>A - Heures de nuit</t>
  </si>
  <si>
    <t>T - Nachtprestaties</t>
  </si>
  <si>
    <t>Allocation de fin d'année (AFA) pour Agent(s) Premier Emploi (partiellement soumis))</t>
  </si>
  <si>
    <t>Allocations Variables pour prestations pour Agent(s) Premier Emploi</t>
  </si>
  <si>
    <t>Cotisations patronales pour pensions pour Agent(s) Premier Emploi</t>
  </si>
  <si>
    <t>Primes pour l'assurance des accidents de travail pour Agent(s) Premier Emploi</t>
  </si>
  <si>
    <t>VerwerkingNaarTotaalCode2nd</t>
  </si>
  <si>
    <t>Allocation Motard</t>
  </si>
  <si>
    <t>Trigger cap incap travail perm</t>
  </si>
  <si>
    <t>Trigger Kapitaal bl arbongeschikh</t>
  </si>
  <si>
    <t>A - Appui stratégique - DET</t>
  </si>
  <si>
    <t>T - Beleidsondersteuning - det</t>
  </si>
  <si>
    <t>Z - Strat Unterstützung - DET</t>
  </si>
  <si>
    <t>1000</t>
  </si>
  <si>
    <t>Base annuelle</t>
  </si>
  <si>
    <t>Directeur Financier</t>
  </si>
  <si>
    <t>Fin : Directeur Financier et Secrétaire de la zone</t>
  </si>
  <si>
    <t>Rémunération du Directeur Financier  de la zone de Police</t>
  </si>
  <si>
    <t>Cotisations patronales à l'ORPSS pour le Directeur Financier de la zone de Police</t>
  </si>
  <si>
    <t>Directeur Financier  et Secrétaire de la zone</t>
  </si>
  <si>
    <t>Rémunération du Directeur Financier de la zone de Police</t>
  </si>
  <si>
    <t>Cotisations patronales à l'ORPSS pour le  Directeur Financier  de la zone de Police</t>
  </si>
  <si>
    <t>Cotisations patronales à l'ORPSS pour le Directeur Financier  de la zone de Police</t>
  </si>
  <si>
    <t xml:space="preserve">Directeur Financier </t>
  </si>
  <si>
    <t xml:space="preserve">Directeur
Financier </t>
  </si>
  <si>
    <t>Allocation (Indemnité) Directeur Financier  &amp; secrétaire</t>
  </si>
  <si>
    <t>DirFin</t>
  </si>
  <si>
    <t>Allocations DirFin et Secrétaire</t>
  </si>
  <si>
    <t>Montant - Regul - Mt imposable</t>
  </si>
  <si>
    <t>7008</t>
  </si>
  <si>
    <t>Mise en calcul non-répart BN résult</t>
  </si>
  <si>
    <t>Z - Ger Pfeiler gross</t>
  </si>
  <si>
    <t>4205</t>
  </si>
  <si>
    <r>
      <t xml:space="preserve">Cotisations  Patronales </t>
    </r>
    <r>
      <rPr>
        <sz val="8"/>
        <color indexed="17"/>
        <rFont val="Arial"/>
        <family val="2"/>
      </rPr>
      <t>Ordinaires</t>
    </r>
    <r>
      <rPr>
        <sz val="8"/>
        <rFont val="Arial"/>
        <family val="2"/>
      </rPr>
      <t xml:space="preserve"> sur Allocations Fixes, Traitement, Mandat, Supplém Sem volontaire4jrs &amp; partie fixe AFA"</t>
    </r>
  </si>
  <si>
    <t>Z - Verbrechensanalytiker</t>
  </si>
  <si>
    <t>4006</t>
  </si>
  <si>
    <t>A - Analyste criminel - DET</t>
  </si>
  <si>
    <t>A - Biling connaissance exigée</t>
  </si>
  <si>
    <t>T - Tweetaligheid vereiste kennis</t>
  </si>
  <si>
    <t>89</t>
  </si>
  <si>
    <t>90</t>
  </si>
  <si>
    <t>91</t>
  </si>
  <si>
    <t>8088</t>
  </si>
  <si>
    <t>les montants négatifs
sont déduit traitement 
=&gt;! Réserve  !</t>
  </si>
  <si>
    <t>111-01/00-</t>
  </si>
  <si>
    <t>FS</t>
  </si>
  <si>
    <t>Cotisation patronale pension Police</t>
  </si>
  <si>
    <t>Pensioenbijdrage werkgever Politie</t>
  </si>
  <si>
    <t>Rentenversicherungsbeitr Arbg Pol</t>
  </si>
  <si>
    <t>L150</t>
  </si>
  <si>
    <t>1160</t>
  </si>
  <si>
    <t>CP41</t>
  </si>
  <si>
    <t>BP60</t>
  </si>
  <si>
    <t>AP53</t>
  </si>
  <si>
    <t>L091</t>
  </si>
  <si>
    <t>AP10</t>
  </si>
  <si>
    <t>3413</t>
  </si>
  <si>
    <t>ONSS patr: Licenciem publ (IMI)</t>
  </si>
  <si>
    <t>RSZ werkg: Ontslag overheid (ZIU)</t>
  </si>
  <si>
    <t>LSS-AG Kündigung Staat (KIU)</t>
  </si>
  <si>
    <t>9536</t>
  </si>
  <si>
    <t>I - Repas Mod9bis</t>
  </si>
  <si>
    <t>V - Maaltijd Mod9bis</t>
  </si>
  <si>
    <t>V - Mahlzeit Mod9bis</t>
  </si>
  <si>
    <t>4165</t>
  </si>
  <si>
    <t>A - Plongeur</t>
  </si>
  <si>
    <t>T - Duiker</t>
  </si>
  <si>
    <t>A -Rappelable
T - Bereikbaar</t>
  </si>
  <si>
    <t xml:space="preserve">A - Service ininterrompu &gt; 24h
</t>
  </si>
  <si>
    <t>T - Ononderbroken Dst &gt; 24h</t>
  </si>
  <si>
    <t>T - Immigratie premie</t>
  </si>
  <si>
    <t>A - Prest aériennes occas
T - Luchtobservatie</t>
  </si>
  <si>
    <t>A - Mentor
T -  Mentor</t>
  </si>
  <si>
    <t>A - Formateur
T -  Opleider</t>
  </si>
  <si>
    <t>A - Transit - Motocycliste - DET</t>
  </si>
  <si>
    <t>T - Overgang - Rijdend pers - DET</t>
  </si>
  <si>
    <t>Z - Transit - Motorrahdfahrer - DET</t>
  </si>
  <si>
    <t>Maladie statutaire avec trt complet</t>
  </si>
  <si>
    <t>Ziekte statutair volledig loon</t>
  </si>
  <si>
    <t>A0JJ</t>
  </si>
  <si>
    <t>Z - Mandat Stellvertreter</t>
  </si>
  <si>
    <t>4198</t>
  </si>
  <si>
    <t>A - Police de la route ex-gd</t>
  </si>
  <si>
    <t>T - Wegpolitie ex-rw</t>
  </si>
  <si>
    <t>4199</t>
  </si>
  <si>
    <t>I - Vidéo</t>
  </si>
  <si>
    <t>V - Video</t>
  </si>
  <si>
    <t>4200</t>
  </si>
  <si>
    <t>I - Post - Off liaison - non impos</t>
  </si>
  <si>
    <t>V - Post-verbindingsoff-nt belastb</t>
  </si>
  <si>
    <t>Capital - incap trav perm - impos</t>
  </si>
  <si>
    <t>Allocation Fin d'année - Part fixe  Base de la charge patronale</t>
  </si>
  <si>
    <t>Allocation Fin d'année - Part fixe membre</t>
  </si>
  <si>
    <t>Montant variable de la prime de fin d'année</t>
  </si>
  <si>
    <t>Foyer-/Résidence</t>
  </si>
  <si>
    <t>Fed/AMI</t>
  </si>
  <si>
    <t>CALog/Employé
= Ops sans We</t>
  </si>
  <si>
    <t>CALog
Ouvrier</t>
  </si>
  <si>
    <t>Montant (100 %) =</t>
  </si>
  <si>
    <t>Compensatoire Jud - M</t>
  </si>
  <si>
    <t>Compensatoire Jud - O</t>
  </si>
  <si>
    <t>4047 M</t>
  </si>
  <si>
    <t>4048 M</t>
  </si>
  <si>
    <t>4206 M</t>
  </si>
  <si>
    <t>4091 M</t>
  </si>
  <si>
    <t>Kapellen / Stabroek</t>
  </si>
  <si>
    <t>9107</t>
  </si>
  <si>
    <t>9106</t>
  </si>
  <si>
    <t>9104</t>
  </si>
  <si>
    <t>1170</t>
  </si>
  <si>
    <t>1090</t>
  </si>
  <si>
    <t>1081</t>
  </si>
  <si>
    <t>1070</t>
  </si>
  <si>
    <t>PB17</t>
  </si>
  <si>
    <t>PB1T</t>
  </si>
  <si>
    <t>PB33</t>
  </si>
  <si>
    <t>UF</t>
  </si>
  <si>
    <t>CS</t>
  </si>
  <si>
    <t>Pécule de vacances + prime Copernic</t>
  </si>
  <si>
    <t>T - Mandaat gew ontvanger NS</t>
  </si>
  <si>
    <t>Z - Mandat Steuereinnehmer Reg NS</t>
  </si>
  <si>
    <t>4060</t>
  </si>
  <si>
    <t>A - Mandat secrétaire</t>
  </si>
  <si>
    <t>T - Mandaat secretaris</t>
  </si>
  <si>
    <t>Z - Mandat Sekretär</t>
  </si>
  <si>
    <t>Z - Ausbilder - DET</t>
  </si>
  <si>
    <t>4011</t>
  </si>
  <si>
    <t>A - Mission d'enseignement - pendant service</t>
  </si>
  <si>
    <t>A - Schulungsauftrag - während des Diensts</t>
  </si>
  <si>
    <t>4012</t>
  </si>
  <si>
    <t>A - Service ininterrompu &gt; 24h</t>
  </si>
  <si>
    <t>T - Ononderbroken dienst &gt; 24 u</t>
  </si>
  <si>
    <t>Z - Ununterbrochener Dienst &gt; 24St</t>
  </si>
  <si>
    <t>4013</t>
  </si>
  <si>
    <t>A - Dirigeant</t>
  </si>
  <si>
    <t>T - Leidinggevende</t>
  </si>
  <si>
    <t>Hamme / Waasmunster</t>
  </si>
  <si>
    <t>Berlare / Zele</t>
  </si>
  <si>
    <t>Buggenhout / Lebbeke</t>
  </si>
  <si>
    <t>Laarne / Wetteren / Wichelen</t>
  </si>
  <si>
    <t>Denderleeuw / Haaltert</t>
  </si>
  <si>
    <t>Aalst</t>
  </si>
  <si>
    <t>Erpe-Mere / Lede</t>
  </si>
  <si>
    <t>Ninove</t>
  </si>
  <si>
    <t>Dendermonde</t>
  </si>
  <si>
    <t>West-Vl</t>
  </si>
  <si>
    <t>Brugge</t>
  </si>
  <si>
    <t>0D43</t>
  </si>
  <si>
    <t>0C01</t>
  </si>
  <si>
    <t>20S1</t>
  </si>
  <si>
    <t>0D33</t>
  </si>
  <si>
    <t>0D34</t>
  </si>
  <si>
    <t>10S3</t>
  </si>
  <si>
    <t>11S4</t>
  </si>
  <si>
    <t>0D22</t>
  </si>
  <si>
    <t>0C05</t>
  </si>
  <si>
    <t>nuit</t>
  </si>
  <si>
    <t>Cadre/code</t>
  </si>
  <si>
    <t>Anticipatif</t>
  </si>
  <si>
    <t>Décembre</t>
  </si>
  <si>
    <t>PatrPens</t>
  </si>
  <si>
    <t>Allocations annuelles</t>
  </si>
  <si>
    <t>2105</t>
  </si>
  <si>
    <t>3076</t>
  </si>
  <si>
    <t>3311</t>
  </si>
  <si>
    <t>3399</t>
  </si>
  <si>
    <t>3516</t>
  </si>
  <si>
    <t>Importde la feuille éléments barémiques du SCDF</t>
  </si>
  <si>
    <t>D2A1</t>
  </si>
  <si>
    <t>D3A1</t>
  </si>
  <si>
    <t>D4A1</t>
  </si>
  <si>
    <t>Allocation de fin d'année (AFA) du Cadre Administratif et Logistique (partiellement soumis)</t>
  </si>
  <si>
    <t>Haushaltsführung</t>
  </si>
  <si>
    <t>9944</t>
  </si>
  <si>
    <t>Voorlopig bewindvoerder</t>
  </si>
  <si>
    <t>vorläufiger Verwalter</t>
  </si>
  <si>
    <t>9945</t>
  </si>
  <si>
    <t>Schuldbemiddeling</t>
  </si>
  <si>
    <t>T - Interventie buiten Bruss - DET</t>
  </si>
  <si>
    <t>Z - Einsatz außerhalb Brüssel - DET</t>
  </si>
  <si>
    <t>4030</t>
  </si>
  <si>
    <t>Abzug - Freiwohnung</t>
  </si>
  <si>
    <t>9943</t>
  </si>
  <si>
    <t>Aywaille / Chaudfontaine / Esneux / Sprimont / Trooz</t>
  </si>
  <si>
    <t>Ans / Saint-Nicolas</t>
  </si>
  <si>
    <t>Awans / Grâce-Hollogne</t>
  </si>
  <si>
    <t>Allocation de fin d'année (AFA) -&gt; partie variable</t>
  </si>
  <si>
    <t>4021 M</t>
  </si>
  <si>
    <t>6003/6005 M</t>
  </si>
  <si>
    <t>4013/4014 M</t>
  </si>
  <si>
    <t>4110/4135 M</t>
  </si>
  <si>
    <t>6002 M</t>
  </si>
  <si>
    <t>8091</t>
  </si>
  <si>
    <t>TVA</t>
  </si>
  <si>
    <t>BTW</t>
  </si>
  <si>
    <t>MwSt</t>
  </si>
  <si>
    <t>8092</t>
  </si>
  <si>
    <t>Cotisation ONP</t>
  </si>
  <si>
    <t>RVP bijdrage</t>
  </si>
  <si>
    <t>Beitrag Landesrenteanmt</t>
  </si>
  <si>
    <t>8097</t>
  </si>
  <si>
    <t>Net</t>
  </si>
  <si>
    <t>Netto</t>
  </si>
  <si>
    <t>8098</t>
  </si>
  <si>
    <t>Bxl 6</t>
  </si>
  <si>
    <t>XI.III.31</t>
  </si>
  <si>
    <t>B2D.1</t>
  </si>
  <si>
    <t>Vak geld jobstudent uit vorig jaar</t>
  </si>
  <si>
    <t>Urlaubsgeld Stud Dienstend vor Jahr</t>
  </si>
  <si>
    <t>6020</t>
  </si>
  <si>
    <t>Péc vac job étud fin serv ann cours</t>
  </si>
  <si>
    <t>Indemnité de téléphone</t>
  </si>
  <si>
    <t>Fract tps Pec Vac 0</t>
  </si>
  <si>
    <t>Tijdsbr VG 0</t>
  </si>
  <si>
    <t>Indemnité enquête judiciaire - Mensuel</t>
  </si>
  <si>
    <t>A - Compensatoire
T -  Compenserende</t>
  </si>
  <si>
    <t>A - Bxl-Capitale
T -  Brussel (Ops &amp; CALog)</t>
  </si>
  <si>
    <t>A - Engagement
T - Verbintenis</t>
  </si>
  <si>
    <t>A - Bilinguisme ex-comm
T -Tweetaligheid Ex Gem</t>
  </si>
  <si>
    <t>A - Bilinguisme
T -Tweetaligehid</t>
  </si>
  <si>
    <t>A - Biling connaissance exigée
T - Tweetaligheid vereist</t>
  </si>
  <si>
    <t>A - Biling connaissance - utile
T - Tweetaligheid - nutig</t>
  </si>
  <si>
    <t>Total Subvention Sociale II</t>
  </si>
  <si>
    <t>Total Indemnités</t>
  </si>
  <si>
    <r>
      <t xml:space="preserve">Cotisation patronale </t>
    </r>
    <r>
      <rPr>
        <sz val="8"/>
        <color indexed="10"/>
        <rFont val="Arial"/>
        <family val="2"/>
      </rPr>
      <t>(ordinaire)</t>
    </r>
    <r>
      <rPr>
        <sz val="8"/>
        <rFont val="Arial"/>
        <family val="2"/>
      </rPr>
      <t xml:space="preserve"> : traitement + Suppl de mandat</t>
    </r>
  </si>
  <si>
    <t>Verpflegungssch Beitr Arbneh</t>
  </si>
  <si>
    <t>4215</t>
  </si>
  <si>
    <t>Ersetz Bet/% KV Kap Feuerwehr</t>
  </si>
  <si>
    <t>8089</t>
  </si>
  <si>
    <t>NE PAS EFFACER</t>
  </si>
  <si>
    <t>Lors d'une ajoute d'un ou plusieurs membres. De cette ligne le N°ID ne peut pas être remplacé</t>
  </si>
  <si>
    <t>Aartselaar / Edegem / Hove / Kontich / Lint</t>
  </si>
  <si>
    <t>Essen / Kalmthout / Wuustwezel</t>
  </si>
  <si>
    <t>Drogenbos / Linkebeek / Sint-Genesius-Rode</t>
  </si>
  <si>
    <t>11</t>
  </si>
  <si>
    <t>12</t>
  </si>
  <si>
    <t>13</t>
  </si>
  <si>
    <t>14</t>
  </si>
  <si>
    <t>15</t>
  </si>
  <si>
    <t>16</t>
  </si>
  <si>
    <t>17</t>
  </si>
  <si>
    <t>18</t>
  </si>
  <si>
    <t>V - Reisekost Auswahlausschuss</t>
  </si>
  <si>
    <t>Z - Taucher</t>
  </si>
  <si>
    <t>4166</t>
  </si>
  <si>
    <t>T - Vrijwaring overgangscommando</t>
  </si>
  <si>
    <t>Z - Gewährl - Übergangskomm</t>
  </si>
  <si>
    <t>4178</t>
  </si>
  <si>
    <t>A - Sauv - complémentaire 2D</t>
  </si>
  <si>
    <t>T - Vrijw Bijkomende toelage 2D</t>
  </si>
  <si>
    <t>Z - Gewährl - zus Zulage 2D</t>
  </si>
  <si>
    <t>4179</t>
  </si>
  <si>
    <t>A - Sauv - compl pil jud</t>
  </si>
  <si>
    <t>T - Vrijwaring gerechtelijke zuil</t>
  </si>
  <si>
    <t>Z - Gewährl - ger Pfeiler</t>
  </si>
  <si>
    <t>4181</t>
  </si>
  <si>
    <t>Traitement de sauvegarde</t>
  </si>
  <si>
    <t>Beschermingswedde</t>
  </si>
  <si>
    <t>Schutzgehalt</t>
  </si>
  <si>
    <t>4182</t>
  </si>
  <si>
    <t>A - Promotion sociale</t>
  </si>
  <si>
    <t>T - Sociale promotie</t>
  </si>
  <si>
    <t>Chèques-repas (trait) cot employeur</t>
  </si>
  <si>
    <t>Maaltijdcheques (loon) WG-bijdrage</t>
  </si>
  <si>
    <r>
      <t xml:space="preserve">Augmentation &gt;=150  </t>
    </r>
    <r>
      <rPr>
        <b/>
        <sz val="8"/>
        <rFont val="Arial"/>
        <family val="2"/>
      </rPr>
      <t xml:space="preserve">7% </t>
    </r>
    <r>
      <rPr>
        <sz val="8"/>
        <rFont val="Arial"/>
        <family val="2"/>
      </rPr>
      <t>&lt;=300</t>
    </r>
  </si>
  <si>
    <t>AFA2010 7% (AFApct2)moyenne</t>
  </si>
  <si>
    <r>
      <t>7%(AFApct2)</t>
    </r>
    <r>
      <rPr>
        <sz val="9"/>
        <rFont val="Arial"/>
        <family val="2"/>
      </rPr>
      <t xml:space="preserve"> d'un mois AFA</t>
    </r>
  </si>
  <si>
    <t xml:space="preserve"> Modèle 9BIS
4163 
Indemnités de repas :
Tableau 1 &amp; 2</t>
  </si>
  <si>
    <t>V - Post - Verbindungsbe - steuerfr</t>
  </si>
  <si>
    <t>4201</t>
  </si>
  <si>
    <t>A - Bilinguisme ex-comm</t>
  </si>
  <si>
    <r>
      <t xml:space="preserve">Côtisations patronales </t>
    </r>
    <r>
      <rPr>
        <sz val="8"/>
        <color indexed="17"/>
        <rFont val="Arial"/>
        <family val="2"/>
      </rPr>
      <t xml:space="preserve">pensions </t>
    </r>
    <r>
      <rPr>
        <sz val="8"/>
        <rFont val="Arial"/>
        <family val="2"/>
      </rPr>
      <t>sur Traitement, Mandat et allocations fixes</t>
    </r>
  </si>
  <si>
    <t>0C08</t>
  </si>
  <si>
    <t>Anc</t>
  </si>
  <si>
    <t>F</t>
  </si>
  <si>
    <t>L</t>
  </si>
  <si>
    <t>B</t>
  </si>
  <si>
    <t>Allocation Développement de compétences</t>
  </si>
  <si>
    <t>Indemnités fixes</t>
  </si>
  <si>
    <t>Indemnité entretien uniforme</t>
  </si>
  <si>
    <t>Bijk BV op vakantiegeld (%rest)</t>
  </si>
  <si>
    <t>Zusätz ESVZ Urlaubsgeld (%rest)</t>
  </si>
  <si>
    <t>8031</t>
  </si>
  <si>
    <t>Chèques-repas cotis employé-info</t>
  </si>
  <si>
    <t>Maaltijdcheques WN-bijdrage-info</t>
  </si>
  <si>
    <t>A0OB</t>
  </si>
  <si>
    <t>I - de compensation</t>
  </si>
  <si>
    <t>9105</t>
  </si>
  <si>
    <t>AP51</t>
  </si>
  <si>
    <t>B003</t>
  </si>
  <si>
    <t>L160</t>
  </si>
  <si>
    <t>Nombre de membres du personnel</t>
  </si>
  <si>
    <t>Aucun filtre est appliqué</t>
  </si>
  <si>
    <t>TY- 4205 Allocation Complémentaire et/ou
UF -4102 Compensatoire du
pilier judiciaire
droit au deux  TYUF</t>
  </si>
  <si>
    <t>Ersetz ESVZ außerg Ver und Zul</t>
  </si>
  <si>
    <t>8361</t>
  </si>
  <si>
    <t>8381</t>
  </si>
  <si>
    <t>PP sur allocations de chômage</t>
  </si>
  <si>
    <t>BV op werkloosheidsuitkeringen</t>
  </si>
  <si>
    <r>
      <t xml:space="preserve">Cotisation patronale </t>
    </r>
    <r>
      <rPr>
        <sz val="8"/>
        <color indexed="10"/>
        <rFont val="Arial"/>
        <family val="2"/>
      </rPr>
      <t>(pensions)</t>
    </r>
    <r>
      <rPr>
        <sz val="8"/>
        <rFont val="Arial"/>
        <family val="2"/>
      </rPr>
      <t xml:space="preserve"> : traitement + Suppl de mandat</t>
    </r>
  </si>
  <si>
    <t>Cotisation patronale (ordinaire) : allocations</t>
  </si>
  <si>
    <t>--</t>
  </si>
  <si>
    <t>RSZ werkg: bijzondere FSO</t>
  </si>
  <si>
    <t>LSS-AG besonderes FUS</t>
  </si>
  <si>
    <t>9522</t>
  </si>
  <si>
    <t>ONSS patr:cotisation étudaint</t>
  </si>
  <si>
    <t>RSZ werkg: bijdrage jobstudent</t>
  </si>
  <si>
    <t>T - Functie luchtsteun piloot - DET</t>
  </si>
  <si>
    <t>PP sur indemn occas ou périodique</t>
  </si>
  <si>
    <t>Verv BV op toev of period verg</t>
  </si>
  <si>
    <t>Ersetz ESVZ geleg od period Verg</t>
  </si>
  <si>
    <t>8052</t>
  </si>
  <si>
    <t>Bijk BV op toev of period verg</t>
  </si>
  <si>
    <t>Zusätz ESVZ geleg od period Verg</t>
  </si>
  <si>
    <t>RSZ inhouding dubbel vakantiegeld</t>
  </si>
  <si>
    <t>Abzug LASS verdoppel Urlaubsgeld</t>
  </si>
  <si>
    <t>9041</t>
  </si>
  <si>
    <t>W.CIN-B</t>
  </si>
  <si>
    <t>Herstr prem uit dienst vorig jaar</t>
  </si>
  <si>
    <t>B.CP1</t>
  </si>
  <si>
    <t>GD.OWMDC</t>
  </si>
  <si>
    <t>V.PB1</t>
  </si>
  <si>
    <t>W.C3</t>
  </si>
  <si>
    <t>B.EP1</t>
  </si>
  <si>
    <t>V.D1</t>
  </si>
  <si>
    <t>W.D4</t>
  </si>
  <si>
    <t>V.A3150B</t>
  </si>
  <si>
    <t>V.AN1224</t>
  </si>
  <si>
    <t>GD.BRIG</t>
  </si>
  <si>
    <t>B.CP2</t>
  </si>
  <si>
    <t>B.EP2</t>
  </si>
  <si>
    <t xml:space="preserve">Allocations variables </t>
  </si>
  <si>
    <t>V - Binnenvaart</t>
  </si>
  <si>
    <t>I - Binnenschifffahrt</t>
  </si>
  <si>
    <t>A0KG</t>
  </si>
  <si>
    <t>Baarle-Hertog / Beerse / Kasterlee / Lille / Oud-Turnhout / Turnhout / Vosselaar</t>
  </si>
  <si>
    <t>Herselt / Hulshout / Westerlo</t>
  </si>
  <si>
    <r>
      <t>1</t>
    </r>
    <r>
      <rPr>
        <sz val="9"/>
        <color indexed="10"/>
        <rFont val="Arial"/>
        <family val="2"/>
      </rPr>
      <t>/</t>
    </r>
    <r>
      <rPr>
        <sz val="9"/>
        <rFont val="Arial"/>
        <family val="2"/>
      </rPr>
      <t>2</t>
    </r>
    <r>
      <rPr>
        <sz val="9"/>
        <color indexed="10"/>
        <rFont val="Arial"/>
        <family val="2"/>
      </rPr>
      <t>/</t>
    </r>
    <r>
      <rPr>
        <sz val="9"/>
        <rFont val="Arial"/>
        <family val="2"/>
      </rPr>
      <t>3</t>
    </r>
    <r>
      <rPr>
        <sz val="9"/>
        <color indexed="10"/>
        <rFont val="Arial"/>
        <family val="2"/>
      </rPr>
      <t>/</t>
    </r>
    <r>
      <rPr>
        <sz val="9"/>
        <rFont val="Arial"/>
        <family val="2"/>
      </rPr>
      <t>4</t>
    </r>
    <r>
      <rPr>
        <sz val="9"/>
        <color indexed="10"/>
        <rFont val="Arial"/>
        <family val="2"/>
      </rPr>
      <t>/</t>
    </r>
    <r>
      <rPr>
        <sz val="9"/>
        <rFont val="Arial"/>
        <family val="2"/>
      </rPr>
      <t>5</t>
    </r>
  </si>
  <si>
    <t># Dagen / jaar</t>
  </si>
  <si>
    <t>Handhab.LSS_Ermas. prozentuelllesBAK97</t>
  </si>
  <si>
    <t>8666</t>
  </si>
  <si>
    <t>Réduction CPE supérieure</t>
  </si>
  <si>
    <t>Hoogte SBO vermindering</t>
  </si>
  <si>
    <t>Delegation lauf Unterhaltsbeitrag</t>
  </si>
  <si>
    <t>9810</t>
  </si>
  <si>
    <t>Congé disp serv payé et autre abs</t>
  </si>
  <si>
    <t>T - Bereikbaar</t>
  </si>
  <si>
    <t>4003</t>
  </si>
  <si>
    <t>A - Police de proximité</t>
  </si>
  <si>
    <t>T - Nabijheidspolitie</t>
  </si>
  <si>
    <t>Z - Bürgernahe Polizeiarbeit</t>
  </si>
  <si>
    <t>4004</t>
  </si>
  <si>
    <t>A - Police de proximité - DET</t>
  </si>
  <si>
    <t>BV op achterstallige vergoedingen</t>
  </si>
  <si>
    <t>ESVZ rückständ Vergütungen</t>
  </si>
  <si>
    <t>9231</t>
  </si>
  <si>
    <t>9240</t>
  </si>
  <si>
    <t>PP sur indemn de rupture</t>
  </si>
  <si>
    <t>BV op opzegvergoedingen</t>
  </si>
  <si>
    <t>T - Onregelm prest ZIV ex-gem</t>
  </si>
  <si>
    <t>Z - Unregelm Leist KV ex-Gem</t>
  </si>
  <si>
    <t>4153</t>
  </si>
  <si>
    <t>DA - 6G +(CE: ex gpp)</t>
  </si>
  <si>
    <t>Braine-Le-Château / Ittre / Rebecq / Tubize</t>
  </si>
  <si>
    <t>La Hulpe / Lasne / Rixensart</t>
  </si>
  <si>
    <r>
      <t>Subvention Sociale  II</t>
    </r>
    <r>
      <rPr>
        <b/>
        <sz val="10"/>
        <rFont val="Arial"/>
        <family val="2"/>
      </rPr>
      <t xml:space="preserve">
 &amp; Contrôle des calculs
de la charge patronale</t>
    </r>
  </si>
  <si>
    <t>PP de rempl sur indemn de rupture</t>
  </si>
  <si>
    <t>anticipatif(1) - &amp; payé à terme échu (2)</t>
  </si>
  <si>
    <t>Date Pension obligatoire</t>
  </si>
  <si>
    <t>Date Pension 
(règle généralel)</t>
  </si>
  <si>
    <t>Service - Libre</t>
  </si>
  <si>
    <t>Payement  - anticipatif (1)
                   à terme échu (2)</t>
  </si>
  <si>
    <t>Cadre (! S= de Base)</t>
  </si>
  <si>
    <t>Traitement Annuel
 (100%) Théorique</t>
  </si>
  <si>
    <t>Base des calculs</t>
  </si>
  <si>
    <t>Nombre de cas à</t>
  </si>
  <si>
    <t xml:space="preserve">Base Sécurité Sociale sur allocations variables
&amp; Base Sub SocII B) </t>
  </si>
  <si>
    <t>Vervoerkosten prive niet belast</t>
  </si>
  <si>
    <t>Priv Transportkost nicht steuerpfl</t>
  </si>
  <si>
    <t>8422</t>
  </si>
  <si>
    <t>Frais trsp publics non imposés</t>
  </si>
  <si>
    <t>Vervoerkosten openb niet belast</t>
  </si>
  <si>
    <t>Öff Transportkost nicht steuerpfl</t>
  </si>
  <si>
    <t>8424</t>
  </si>
  <si>
    <t>Autre transport non imposé</t>
  </si>
  <si>
    <t>A0QB</t>
  </si>
  <si>
    <t>Regul - Bedrag nt belastbaar</t>
  </si>
  <si>
    <t>Regul - Nicht steuerpfl. Betrag</t>
  </si>
  <si>
    <t>A0QE</t>
  </si>
  <si>
    <t>Dading</t>
  </si>
  <si>
    <t>Vergleich</t>
  </si>
  <si>
    <t>4219</t>
  </si>
  <si>
    <t>A03U</t>
  </si>
  <si>
    <t xml:space="preserve">                                         
Libellé </t>
  </si>
  <si>
    <r>
      <t>Subvention Sociale  II</t>
    </r>
    <r>
      <rPr>
        <b/>
        <sz val="10"/>
        <rFont val="Arial"/>
        <family val="2"/>
      </rPr>
      <t xml:space="preserve">
contrôle du calcul</t>
    </r>
  </si>
  <si>
    <t>Teil Zeit DO 2. Wo krank prob Ang</t>
  </si>
  <si>
    <t>2024</t>
  </si>
  <si>
    <t>Fract tps D0 3/4 sem malad ess</t>
  </si>
  <si>
    <t>Tijdsbr D0 3/4de week ziek bed pr</t>
  </si>
  <si>
    <t>Teil Zeit DO 3/4 Wo krank prob Ang</t>
  </si>
  <si>
    <t>2025</t>
  </si>
  <si>
    <t>Frais trsp.privés non imposés</t>
  </si>
  <si>
    <t>V - Verplaatsing examenjury</t>
  </si>
  <si>
    <t>V - Prüfungsausschuss unterwegs</t>
  </si>
  <si>
    <t>4142</t>
  </si>
  <si>
    <t>Avantage en nature</t>
  </si>
  <si>
    <t>Voordeel in natura</t>
  </si>
  <si>
    <t>Importation de la feuille éléments barémiques du SCDF</t>
  </si>
  <si>
    <t>GENRE DU FILTRE APPLIQUE</t>
  </si>
  <si>
    <t>T - Tweetaligheid ex-gem</t>
  </si>
  <si>
    <t>Z - Zweispr ex-Gem</t>
  </si>
  <si>
    <t>4202</t>
  </si>
  <si>
    <t>Factor : Max/Moyenne du Filtre</t>
  </si>
  <si>
    <t>Echelle Traitement</t>
  </si>
  <si>
    <t>Code foyer(1)/résidence(2)</t>
  </si>
  <si>
    <t>Pour-centage</t>
  </si>
  <si>
    <t>Date de Naissance</t>
  </si>
  <si>
    <t>Plein-temps-Partiel</t>
  </si>
  <si>
    <t>Statutair contractuel</t>
  </si>
  <si>
    <t>Zusätz bar Steuervorauszah (%Basis)</t>
  </si>
  <si>
    <t>8303</t>
  </si>
  <si>
    <t>Préc barémcomplém (% rés)</t>
  </si>
  <si>
    <t>DUMMY Avantage mensuel non plafon.</t>
  </si>
  <si>
    <t>Courcelles / Fontaine l'Évêque</t>
  </si>
  <si>
    <t>PP compl sur péc vac (% base)</t>
  </si>
  <si>
    <t>Bijk BV op vakantiegeld (%basis)</t>
  </si>
  <si>
    <t>Fract tps D100 0</t>
  </si>
  <si>
    <t>Tijdsbr D100 0</t>
  </si>
  <si>
    <t>2032</t>
  </si>
  <si>
    <t>Fract tps D100 var</t>
  </si>
  <si>
    <t>Tijdsbr D100 var</t>
  </si>
  <si>
    <t>2033</t>
  </si>
  <si>
    <t>Fract tps D100 2è sem mal empl ess</t>
  </si>
  <si>
    <t>Tijdsbr D100 2de wk ziek bed proef</t>
  </si>
  <si>
    <t>2034</t>
  </si>
  <si>
    <t>Fract tps D100 3/4 sem mal empl ess</t>
  </si>
  <si>
    <t>Tijdsbr D100 3/4de wk ziek bed proef</t>
  </si>
  <si>
    <t>2035</t>
  </si>
  <si>
    <t>Moederschapsrust (contr)</t>
  </si>
  <si>
    <t>3321</t>
  </si>
  <si>
    <t>Congé libre avec perte de trt</t>
  </si>
  <si>
    <t>Ganshoren / Jette / Koekelberg / Sint-Agatha-Berchem / Sint-Jans-Molenbeek</t>
  </si>
  <si>
    <t>B_CP3</t>
  </si>
  <si>
    <t>B_C1</t>
  </si>
  <si>
    <t>V_E3</t>
  </si>
  <si>
    <t>F_D2C/D3B</t>
  </si>
  <si>
    <t>F_D4A/D4B</t>
  </si>
  <si>
    <t>Suppléments (Extraction d'une année)</t>
  </si>
  <si>
    <t>Détails Opérationnels (Ops)</t>
  </si>
  <si>
    <t>SelecteerLCD</t>
  </si>
  <si>
    <t>Codes Salairiales</t>
  </si>
  <si>
    <t>4193</t>
  </si>
  <si>
    <t>Maladie 3è et 4è semaine</t>
  </si>
  <si>
    <t>Ziekte 3/4de week</t>
  </si>
  <si>
    <t>Krankheit 3. und 4. Woche</t>
  </si>
  <si>
    <t>4194</t>
  </si>
  <si>
    <t>Aubange / Messancy / Musson / Saint-Léger</t>
  </si>
  <si>
    <t>Chiny / Etalle / Florenville / Meix-Devant-Virton / Rouvroy / Tintigny / Virton</t>
  </si>
  <si>
    <t>Tijdsbr WED brpziekte tijd ppl</t>
  </si>
  <si>
    <t>Teil Zeit Geh Berufskr</t>
  </si>
  <si>
    <t>2104</t>
  </si>
  <si>
    <t>3101</t>
  </si>
  <si>
    <t>Prestations réelles ou équivalent</t>
  </si>
  <si>
    <t>Werkel. prest. of gelijkwaardig</t>
  </si>
  <si>
    <t>3103</t>
  </si>
  <si>
    <t>Loi jours fériés ou travail remplac</t>
  </si>
  <si>
    <t>Ops/Calog</t>
  </si>
  <si>
    <t>AW</t>
  </si>
  <si>
    <t>Tijdsbr EJT 60</t>
  </si>
  <si>
    <t>Teil Zeit Weihnachtsgeld 60</t>
  </si>
  <si>
    <t>2054</t>
  </si>
  <si>
    <t>Fract tps AFA  75</t>
  </si>
  <si>
    <t>Tijdsbr EJT 75</t>
  </si>
  <si>
    <t>Z - Aufsicht Brüssel</t>
  </si>
  <si>
    <t>4031</t>
  </si>
  <si>
    <t>A - Surveillance Bxl - DET</t>
  </si>
  <si>
    <t>T - Bescherming Brussel - DET</t>
  </si>
  <si>
    <t>Z - Aufsicht Brüssel - DET</t>
  </si>
  <si>
    <t>4032</t>
  </si>
  <si>
    <t>A - Surveillance hors Bxl</t>
  </si>
  <si>
    <t>D1B0</t>
  </si>
  <si>
    <t>D2B1</t>
  </si>
  <si>
    <t>Nombre Contactable et Rappelable (Filtre)</t>
  </si>
  <si>
    <t>8086</t>
  </si>
  <si>
    <t>Mnt/% rempl capit solid pompier</t>
  </si>
  <si>
    <t>4221</t>
  </si>
  <si>
    <t>(Total du) montant payé</t>
  </si>
  <si>
    <t>(impose le droit le cas échéant 1/2/3/4/5/6)</t>
  </si>
  <si>
    <t>Montant indexé</t>
  </si>
  <si>
    <t>Tervuren</t>
  </si>
  <si>
    <t>Ancienneté pécuniaire Traitement</t>
  </si>
  <si>
    <t>ou "Y"</t>
  </si>
  <si>
    <t>Montant calculé</t>
  </si>
  <si>
    <t>Instructeur =  "y"</t>
  </si>
  <si>
    <t xml:space="preserve"> =&gt; si droit</t>
  </si>
  <si>
    <t>Z - Leitende Funktion - DET</t>
  </si>
  <si>
    <t>V_PB06</t>
  </si>
  <si>
    <t>Congé non-payé mission intér génér</t>
  </si>
  <si>
    <t>Verlof onbet opdracht alg belang</t>
  </si>
  <si>
    <t>Traitement ZP Entière</t>
  </si>
  <si>
    <t>Traitement non indexé (Plein temps) (Filtre)</t>
  </si>
  <si>
    <t>Traitement (Filtre)</t>
  </si>
  <si>
    <t>petit déjeuner</t>
  </si>
  <si>
    <t>midi</t>
  </si>
  <si>
    <t>soir</t>
  </si>
  <si>
    <t>4109</t>
  </si>
  <si>
    <t>FUSIE 2016-01-01</t>
  </si>
  <si>
    <t>FUSIE 01-07-2014</t>
  </si>
  <si>
    <t>Lanaken - Maasmechelen (SSGPI ZP 5463)</t>
  </si>
  <si>
    <t>Mechelen -Willebroek</t>
  </si>
  <si>
    <t>4: ≥150 - &lt;300</t>
  </si>
  <si>
    <t>Diepenbeek / Hasselt / Zonhoven / Halen / Herk-De-Stad / Lummen (Limburg Regio Hoofdstad)</t>
  </si>
  <si>
    <t>5907</t>
  </si>
  <si>
    <t>Onglet Formules</t>
  </si>
  <si>
    <t>LCD</t>
  </si>
  <si>
    <t>FR</t>
  </si>
  <si>
    <t>NL</t>
  </si>
  <si>
    <t>Montant - Regul - Trt</t>
  </si>
  <si>
    <t>Bedrag - Regularisatie - Wedde</t>
  </si>
  <si>
    <t>Betrag - Regul - Gehalt</t>
  </si>
  <si>
    <t>A03Z</t>
  </si>
  <si>
    <t>Indemnités de repas: L096</t>
  </si>
  <si>
    <t>Teil Zeit Gehalt 75</t>
  </si>
  <si>
    <t>2020</t>
  </si>
  <si>
    <t>Fract tps D0 100</t>
  </si>
  <si>
    <t>Tijdsbr D0 100</t>
  </si>
  <si>
    <t>Teil Zeit Gehalt DO 100</t>
  </si>
  <si>
    <t>2021</t>
  </si>
  <si>
    <t>Zusätz Gehalt Art 367bis Gergstzb</t>
  </si>
  <si>
    <t>4210</t>
  </si>
  <si>
    <t>Coût moyen horaire 1/1976  Patronales y comprises
Sut TOUTES les éléments du salaire y compris les variables</t>
  </si>
  <si>
    <t>Foyer ou résidence</t>
  </si>
  <si>
    <t>B4A1</t>
  </si>
  <si>
    <t>CodeFaceId</t>
  </si>
  <si>
    <t>SelecteerVoorblad</t>
  </si>
  <si>
    <t>Calog - A.P.E.</t>
  </si>
  <si>
    <t>Compteur</t>
  </si>
  <si>
    <t>8953</t>
  </si>
  <si>
    <t>9000</t>
  </si>
  <si>
    <t>ONSS travailleur</t>
  </si>
  <si>
    <t>RSZ werknemer</t>
  </si>
  <si>
    <t>LASS Arbeitnehmer</t>
  </si>
  <si>
    <t>9011</t>
  </si>
  <si>
    <t>Retenu pension (Police)</t>
  </si>
  <si>
    <t>Inhouding pensioen (Politie)</t>
  </si>
  <si>
    <t>Abzug Pension (Polizei)</t>
  </si>
  <si>
    <t>9040</t>
  </si>
  <si>
    <t>Retenu ONSS double péc vac</t>
  </si>
  <si>
    <t>Verpflegungsscheck Trigger</t>
  </si>
  <si>
    <t>7010</t>
  </si>
  <si>
    <t>Chèques-repas info cot empl-travail</t>
  </si>
  <si>
    <t>Maaltijdcheques info WN-WG-bijdrage</t>
  </si>
  <si>
    <t>Verpflegungssch Info Beitr Arbg-Arbn</t>
  </si>
  <si>
    <t>8001</t>
  </si>
  <si>
    <t>Préc barémique de remplacement</t>
  </si>
  <si>
    <t>Vervangende baremieke voorheffing</t>
  </si>
  <si>
    <t>Ersetz Bar Steuervorausz</t>
  </si>
  <si>
    <t>8002</t>
  </si>
  <si>
    <t>Préc barémique complém (% base)</t>
  </si>
  <si>
    <t>Bijk baremieke voorheffing(% basis)</t>
  </si>
  <si>
    <t>Zusätz bar Steuervorausz (%Basis)</t>
  </si>
  <si>
    <t>3298</t>
  </si>
  <si>
    <t>Inter carr - congé parent (tpa)</t>
  </si>
  <si>
    <t>LBO - ouderschverlof (dt)</t>
  </si>
  <si>
    <t>3299</t>
  </si>
  <si>
    <t>Inter carr - aide malade (tpa)</t>
  </si>
  <si>
    <t>LBO - bijstand zieke (dt)</t>
  </si>
  <si>
    <t>3302</t>
  </si>
  <si>
    <t>T - SAT FOD Binnenlandse zaken</t>
  </si>
  <si>
    <t>Tijdsbr D0 2de wk ziek bed pr</t>
  </si>
  <si>
    <r>
      <t>Supplément pour prestation de la semaine de  4-jours  ('</t>
    </r>
    <r>
      <rPr>
        <sz val="8"/>
        <color indexed="10"/>
        <rFont val="Arial"/>
        <family val="2"/>
      </rPr>
      <t>4/5s</t>
    </r>
    <r>
      <rPr>
        <sz val="8"/>
        <rFont val="Arial"/>
        <family val="2"/>
      </rPr>
      <t>) 
Départ antcipé volontaire à mi temps ('</t>
    </r>
    <r>
      <rPr>
        <sz val="8"/>
        <color indexed="10"/>
        <rFont val="Arial"/>
        <family val="2"/>
      </rPr>
      <t>50%</t>
    </r>
    <r>
      <rPr>
        <sz val="8"/>
        <rFont val="Arial"/>
        <family val="2"/>
      </rPr>
      <t>)</t>
    </r>
  </si>
  <si>
    <t>A remplir
SI régularisation</t>
  </si>
  <si>
    <t>111-01/12_F       
111-01/12_V</t>
  </si>
  <si>
    <t>111-01/12_F  
111-01/12_V</t>
  </si>
  <si>
    <t>111-01/12_F     
 111-01/12_V</t>
  </si>
  <si>
    <t>4184</t>
  </si>
  <si>
    <t>A - Fonct spéc ex-gd</t>
  </si>
  <si>
    <t>T - Bijzondere functies ex-rw</t>
  </si>
  <si>
    <t>Z - Besond Funkt ex-Gd</t>
  </si>
  <si>
    <t>4185</t>
  </si>
  <si>
    <t>Weddeschaal vrijwaring</t>
  </si>
  <si>
    <t>Prime d'engagement - Bruxelles</t>
  </si>
  <si>
    <t>Allocation de bilinguisme</t>
  </si>
  <si>
    <t>Allocation connnaissance autre langues</t>
  </si>
  <si>
    <t>Prime de Dirigeant</t>
  </si>
  <si>
    <t>Rémunération du personnel Opérationnel  (soumis à la cotisation Patronale pensions)</t>
  </si>
  <si>
    <t>Allocation de Mandat  (soumis Pat Pens) Base Alloc Soc II</t>
  </si>
  <si>
    <t>ESVZ Kündigungsverg</t>
  </si>
  <si>
    <t>9250</t>
  </si>
  <si>
    <t>BV toevallige of period vergoeding</t>
  </si>
  <si>
    <t>ESVZ geleg od period Ver</t>
  </si>
  <si>
    <t>9251</t>
  </si>
  <si>
    <t>PP tarif ind occas et périod</t>
  </si>
  <si>
    <t>BV vlg tarief toev en period verg</t>
  </si>
  <si>
    <t>9260</t>
  </si>
  <si>
    <t>9270</t>
  </si>
  <si>
    <t>PP pourcentage fixe</t>
  </si>
  <si>
    <t>BV vast percentage</t>
  </si>
  <si>
    <t>ESWZ fest Prozentsatz</t>
  </si>
  <si>
    <t>Actualisation : Feuilles pour la Tutelle</t>
  </si>
  <si>
    <t>Mnt/% rempl capit pompier AMI</t>
  </si>
  <si>
    <t>Verv bedr/pct ZIV kapitaal brandw</t>
  </si>
  <si>
    <t>PP complém sur ind except (% rés)</t>
  </si>
  <si>
    <t>8015</t>
  </si>
  <si>
    <t>PP de rempl sur perte temp indemn</t>
  </si>
  <si>
    <t>Verv BV op vergoed tijd derving ink</t>
  </si>
  <si>
    <t>Ersetz ESVZ zeit Verlust Verg</t>
  </si>
  <si>
    <t>8016</t>
  </si>
  <si>
    <t>PP complém sur perte temp indemn</t>
  </si>
  <si>
    <t>Bijk BV op vergoed tijd derving ink</t>
  </si>
  <si>
    <t>Zusätz ESVZ zeit Verlust Verg</t>
  </si>
  <si>
    <t>8017</t>
  </si>
  <si>
    <t>8021</t>
  </si>
  <si>
    <t>PP de rempl sur pécule de vacances</t>
  </si>
  <si>
    <t>Verv BV op vakantiegeld</t>
  </si>
  <si>
    <t>Heures Nocturnes (19:00 - 22:00) 
4037 Type 1</t>
  </si>
  <si>
    <t>Montant Payé</t>
  </si>
  <si>
    <t>Zusätz bar Steuervorausz (%rest)</t>
  </si>
  <si>
    <t>Voorlopige schorsing met/zonder inhouding wedde</t>
  </si>
  <si>
    <t>3517</t>
  </si>
  <si>
    <t>3518</t>
  </si>
  <si>
    <t>Congé préalable à la pension</t>
  </si>
  <si>
    <t>Verlof voorafgaand pensionering</t>
  </si>
  <si>
    <t>3519</t>
  </si>
  <si>
    <t>3520</t>
  </si>
  <si>
    <t>3522</t>
  </si>
  <si>
    <t>3525</t>
  </si>
  <si>
    <t>3526</t>
  </si>
  <si>
    <t>3540</t>
  </si>
  <si>
    <t>3541</t>
  </si>
  <si>
    <t>3542</t>
  </si>
  <si>
    <t>3543</t>
  </si>
  <si>
    <t>3544</t>
  </si>
  <si>
    <t>3545</t>
  </si>
  <si>
    <t>Congé non-payé exerc fonction féd/congé pol</t>
  </si>
  <si>
    <t>Verlof onbet uitoef federaal ambt/pol verlof</t>
  </si>
  <si>
    <t>3549</t>
  </si>
  <si>
    <t>Maladie/Accident non indemnisé</t>
  </si>
  <si>
    <t>3901</t>
  </si>
  <si>
    <t>3902</t>
  </si>
  <si>
    <t>3903</t>
  </si>
  <si>
    <t>3904</t>
  </si>
  <si>
    <t>3906</t>
  </si>
  <si>
    <t>3907</t>
  </si>
  <si>
    <t>3908</t>
  </si>
  <si>
    <t>3911</t>
  </si>
  <si>
    <t>Paiemt supplém décès contr</t>
  </si>
  <si>
    <t>Total Calog (Colonnes D et E)</t>
  </si>
  <si>
    <t>ModuleInterneVerwerking</t>
  </si>
  <si>
    <t>Encodage des données</t>
  </si>
  <si>
    <t>Détails CALog et A.P.E. (Calog)</t>
  </si>
  <si>
    <t>121-01</t>
  </si>
  <si>
    <t>121-03</t>
  </si>
  <si>
    <t>A - Mentor ex-gd</t>
  </si>
  <si>
    <t>T - Mentor ex-rw</t>
  </si>
  <si>
    <t>Z - Mentor ex-Gd</t>
  </si>
  <si>
    <t>4167</t>
  </si>
  <si>
    <t>I - Frais déplac commiss sélect</t>
  </si>
  <si>
    <t>V - Reiskosten selectiecommissie</t>
  </si>
  <si>
    <t>Indemnités pour frais de déplacement du et vers le lieu de travail du personnel Opérationnel</t>
  </si>
  <si>
    <t>Rémunération du Cadre Administratif et Logistique</t>
  </si>
  <si>
    <t>Allocation de Foyer/Résidence  - Cadre Administratif et Logistique</t>
  </si>
  <si>
    <t>3414</t>
  </si>
  <si>
    <t>Vrij te gebruiken</t>
  </si>
  <si>
    <t>FILTRE---&gt;</t>
  </si>
  <si>
    <t>Dat Nais</t>
  </si>
  <si>
    <t>CodeFonct</t>
  </si>
  <si>
    <t>Eché/anti</t>
  </si>
  <si>
    <t>Allocation observateur aérien occasionnel</t>
  </si>
  <si>
    <t>Allocations Fixes</t>
  </si>
  <si>
    <t>Allocations Variables</t>
  </si>
  <si>
    <t>Base Sécurité Sociale - allocations variables 113_08</t>
  </si>
  <si>
    <t>Base Sécurité Sociale - allocations fixes 113_01</t>
  </si>
  <si>
    <t>Numéro d'identification</t>
  </si>
  <si>
    <t>Nom Prénom</t>
  </si>
  <si>
    <t>Geen huishouding ,
Ontbijt
Hors Ménage :
Petit déjeuner</t>
  </si>
  <si>
    <t>Fract tps D0 0</t>
  </si>
  <si>
    <t>Tijdsbr D0 0</t>
  </si>
  <si>
    <t>Teil Zeit Gehalt DO 0</t>
  </si>
  <si>
    <t>2023</t>
  </si>
  <si>
    <t>Fract tps D0 2ème sem mal ess</t>
  </si>
  <si>
    <t xml:space="preserve">Prévisions bureau fédéral du plan </t>
  </si>
  <si>
    <t>SelecteerTut2</t>
  </si>
  <si>
    <t>SelecteerForm</t>
  </si>
  <si>
    <t>Date début cotisat chômage</t>
  </si>
  <si>
    <t>Begindatum bijdrage werkloosheid</t>
  </si>
  <si>
    <t>1005</t>
  </si>
  <si>
    <t>XI.III.12-6°</t>
  </si>
  <si>
    <t>XI.III.12-7°</t>
  </si>
  <si>
    <t>séparateur . (point) est utilisé pour les Ops</t>
  </si>
  <si>
    <t>Filtre appliqué Pourcentage coût Total</t>
  </si>
  <si>
    <t>RSZ inh dub vakgeld onbesch mand</t>
  </si>
  <si>
    <t>9042</t>
  </si>
  <si>
    <t>EERSTE KOLOM</t>
  </si>
  <si>
    <t>BG</t>
  </si>
  <si>
    <t>Indemnités fixes (payées avec le traitement)</t>
  </si>
  <si>
    <t>Indemnités de déplacement  (Frais de voyage) L021 - L096</t>
  </si>
  <si>
    <t>27</t>
  </si>
  <si>
    <t>28</t>
  </si>
  <si>
    <t>29</t>
  </si>
  <si>
    <t>30</t>
  </si>
  <si>
    <t>31</t>
  </si>
  <si>
    <t>32</t>
  </si>
  <si>
    <t>33</t>
  </si>
  <si>
    <t>O8bis</t>
  </si>
  <si>
    <t>TOTAALCODE</t>
  </si>
  <si>
    <t>AA</t>
  </si>
  <si>
    <t>AB</t>
  </si>
  <si>
    <t>W</t>
  </si>
  <si>
    <t>AS</t>
  </si>
  <si>
    <t>AC</t>
  </si>
  <si>
    <t>AD</t>
  </si>
  <si>
    <t>K</t>
  </si>
  <si>
    <t>P</t>
  </si>
  <si>
    <t>Q</t>
  </si>
  <si>
    <t>R</t>
  </si>
  <si>
    <t>AE</t>
  </si>
  <si>
    <t>AK</t>
  </si>
  <si>
    <t>AL</t>
  </si>
  <si>
    <t>3297</t>
  </si>
  <si>
    <t>Inter carr - soins palliat (tpa)</t>
  </si>
  <si>
    <t>LBO - palliatieve zorgen (dt)</t>
  </si>
  <si>
    <t>8112</t>
  </si>
  <si>
    <t>PP complém indem et alloc except</t>
  </si>
  <si>
    <t>Bijk BV excep vergoed en toelagen</t>
  </si>
  <si>
    <t>Trigger pec vac - fin de service</t>
  </si>
  <si>
    <t>4078</t>
  </si>
  <si>
    <t>Durbuy / Erezée / Gouvy / Hotton / Houffalize / LaRoche-en-Ardenne / Manhay / Marche-en-Famenne / Nassogne / Rendeux / Tenneville / Vielsalm</t>
  </si>
  <si>
    <t>XI.III.34</t>
  </si>
  <si>
    <t>XI.III.36</t>
  </si>
  <si>
    <t>XI.IV.3</t>
  </si>
  <si>
    <t>XI.IV.6</t>
  </si>
  <si>
    <t>CV</t>
  </si>
  <si>
    <t>Pct</t>
  </si>
  <si>
    <t>G</t>
  </si>
  <si>
    <t>T</t>
  </si>
  <si>
    <t>V</t>
  </si>
  <si>
    <t>4062 - Indemnité pour chien policier</t>
  </si>
  <si>
    <t>4045 - Indemnité de téléphone</t>
  </si>
  <si>
    <t>4046 - Indemnité entretien uniforme</t>
  </si>
  <si>
    <t>Ziekte tweede week gewaarborgd loon</t>
  </si>
  <si>
    <t>3219</t>
  </si>
  <si>
    <t>Jour de carence rémunéré</t>
  </si>
  <si>
    <t>Bezoldigde carensdag</t>
  </si>
  <si>
    <t>Coût moyen par membre du personnel</t>
  </si>
  <si>
    <t>SelecteerOps</t>
  </si>
  <si>
    <t>Lovendegem / Nevele / Waarschoot / Zomergem</t>
  </si>
  <si>
    <r>
      <t xml:space="preserve">Allocation mentor  (nombre) 
4061
ou
 - mission enseignement 
</t>
    </r>
    <r>
      <rPr>
        <b/>
        <sz val="8"/>
        <rFont val="Arial"/>
        <family val="2"/>
      </rPr>
      <t>CU CV CW + nombre</t>
    </r>
    <r>
      <rPr>
        <sz val="8"/>
        <rFont val="Arial"/>
        <family val="2"/>
      </rPr>
      <t>&lt;=99 
(4 pos)   - 4011-</t>
    </r>
  </si>
  <si>
    <t>Montant indexé (tien compte de l'ancieneté max 6 années)</t>
  </si>
  <si>
    <t>Adapté</t>
  </si>
  <si>
    <t>69 colonnes avec suppléments (allocations et indemnités) sont vérifiés</t>
  </si>
  <si>
    <t>Total final individuel</t>
  </si>
  <si>
    <t>Vakantiegeld regularisaties vorige dienstjaren</t>
  </si>
  <si>
    <t>Régularisations Pécule de Vacances
année(s) précédente(s)</t>
  </si>
  <si>
    <t>Régularisations Prime de Fin d'année
année(s) précédente(s)
groupé sous Variables</t>
  </si>
  <si>
    <t>V.PB06</t>
  </si>
  <si>
    <t>W.C4</t>
  </si>
  <si>
    <t>W.LAL30A0</t>
  </si>
  <si>
    <t>V.PB11TER</t>
  </si>
  <si>
    <t>W.AP1</t>
  </si>
  <si>
    <t>V.PB1B</t>
  </si>
  <si>
    <t>B.1.106</t>
  </si>
  <si>
    <t>V.PB31</t>
  </si>
  <si>
    <t>B.BP4</t>
  </si>
  <si>
    <t>V.PB32</t>
  </si>
  <si>
    <t>V.PB30</t>
  </si>
  <si>
    <t>V.PB10</t>
  </si>
  <si>
    <t>V.PB13</t>
  </si>
  <si>
    <t>V.PB33</t>
  </si>
  <si>
    <t>BV.AP10</t>
  </si>
  <si>
    <t>V.PB29</t>
  </si>
  <si>
    <t>V.A12160</t>
  </si>
  <si>
    <t>W.AP6.4</t>
  </si>
  <si>
    <t>V.3.2.50</t>
  </si>
  <si>
    <t>V.32.50c</t>
  </si>
  <si>
    <t>V.3250bis</t>
  </si>
  <si>
    <t>W.CP1</t>
  </si>
  <si>
    <t>V.L018</t>
  </si>
  <si>
    <t>V.PB17</t>
  </si>
  <si>
    <t>V.PB09</t>
  </si>
  <si>
    <t>M1.2</t>
  </si>
  <si>
    <t>Bekkevoort / Geetbets / Glabbeek / Kortenaken / Tielt-Winge</t>
  </si>
  <si>
    <t>Landen / Linter / Zoutleeuw</t>
  </si>
  <si>
    <t>EK</t>
  </si>
  <si>
    <t>EN</t>
  </si>
  <si>
    <t>EQ</t>
  </si>
  <si>
    <t>ET</t>
  </si>
  <si>
    <t>EH</t>
  </si>
  <si>
    <t>Ajout module 2016</t>
  </si>
  <si>
    <t>!Ops: GSM de service =&gt; pas de Montant
CALog un montant sera renseigné</t>
  </si>
  <si>
    <t>Mentor : mentionner un nombre de prestations
  ou
Mission enseignement:CU Nombre [CV CW]  
(Le nombre &lt;=99 )</t>
  </si>
  <si>
    <t>O3ir</t>
  </si>
  <si>
    <t>O3</t>
  </si>
  <si>
    <t>O2ir</t>
  </si>
  <si>
    <t>O2</t>
  </si>
  <si>
    <t>O1</t>
  </si>
  <si>
    <t>M7BIS</t>
  </si>
  <si>
    <t>M7</t>
  </si>
  <si>
    <t>M6</t>
  </si>
  <si>
    <t>Fleurus / Les Bons Villers / Pont-à-Celles</t>
  </si>
  <si>
    <t xml:space="preserve"> #Prestaties/jaar</t>
  </si>
  <si>
    <t>Gerpinnes / Ham-Sur-Heure-Nalinnes / Montigny-Le-Tilleul / Thuin</t>
  </si>
  <si>
    <t>Bxl</t>
  </si>
  <si>
    <t>W.AP6.9</t>
  </si>
  <si>
    <t>V.PB27</t>
  </si>
  <si>
    <t>W.B2</t>
  </si>
  <si>
    <t>B.AP2</t>
  </si>
  <si>
    <t>V.B1</t>
  </si>
  <si>
    <t>GD.CPT 1</t>
  </si>
  <si>
    <t>W.AP2</t>
  </si>
  <si>
    <t>B.S122.1</t>
  </si>
  <si>
    <t>V.1.3.5B</t>
  </si>
  <si>
    <t>W.AP6.6</t>
  </si>
  <si>
    <t>V.PB25</t>
  </si>
  <si>
    <t>V.B2</t>
  </si>
  <si>
    <t>V.31.50-2</t>
  </si>
  <si>
    <t>GD.LT</t>
  </si>
  <si>
    <t>B.AP52</t>
  </si>
  <si>
    <t>B.A20177</t>
  </si>
  <si>
    <t>V.PB36</t>
  </si>
  <si>
    <t>B.B24120</t>
  </si>
  <si>
    <t xml:space="preserve">enkel aangerekend </t>
  </si>
  <si>
    <t>in jaar begroting</t>
  </si>
  <si>
    <t>payé à terme échu</t>
  </si>
  <si>
    <t>Membres 
Opérationnel</t>
  </si>
  <si>
    <t>subtotal (filtre) - Pourcentage</t>
  </si>
  <si>
    <t>A - Heure supplémentaire
T - Overuur</t>
  </si>
  <si>
    <t>Année
Prest</t>
  </si>
  <si>
    <t>Handhab.LSS_Ermas. Pauschales BAK97</t>
  </si>
  <si>
    <t>8660</t>
  </si>
  <si>
    <t>Manip réduc ONSS: APE 97 pct</t>
  </si>
  <si>
    <t>Manip RSZ verm: TWA 97 pct</t>
  </si>
  <si>
    <t>Erquelinnes / Estinnes / Lobbes / Merbes-Le-Château</t>
  </si>
  <si>
    <t>Verlof bet dienstvrijst e.a. afw</t>
  </si>
  <si>
    <t>3210</t>
  </si>
  <si>
    <t>Maladie empl après 1 mois</t>
  </si>
  <si>
    <t>Ziekte bediende na 1 maand</t>
  </si>
  <si>
    <t>3212</t>
  </si>
  <si>
    <t>111-00</t>
  </si>
  <si>
    <t>Fract tps AFA  60</t>
  </si>
  <si>
    <t>Zusätz bar Steuervorauszah (%rest)</t>
  </si>
  <si>
    <t>8311</t>
  </si>
  <si>
    <t>Maldegem</t>
  </si>
  <si>
    <t>Kluisbergen / Kruishoutem / Oudenaarde / Wortegem-Petegem / Zingem</t>
  </si>
  <si>
    <t>Brakel / Horebeke / Maarkedal / Zwalm</t>
  </si>
  <si>
    <t>Ronse</t>
  </si>
  <si>
    <t>Geraardsbergen / Lierde</t>
  </si>
  <si>
    <t>Herzele / Sint-Lievens-Houtem / Zottegem</t>
  </si>
  <si>
    <t>Beveren</t>
  </si>
  <si>
    <t>RSZ verm DG2: DSP +45jr &gt;=12mnd</t>
  </si>
  <si>
    <t>Red ZG2 Berufsübergprogr &gt;45J &gt;=12M</t>
  </si>
  <si>
    <t>9704</t>
  </si>
  <si>
    <t>Réd ONSS GC2:PTP+45ans &gt;=24mois</t>
  </si>
  <si>
    <t>RSZ verm DG2: DSP +45jr &gt;=24mnd</t>
  </si>
  <si>
    <t>Ziekte 2de week</t>
  </si>
  <si>
    <t>Krankheit 2. Woche</t>
  </si>
  <si>
    <t xml:space="preserve">FORMULE Ops : Onglet de classeur Total_Code </t>
  </si>
  <si>
    <t>FORMULE CALog Onglet de classeur Total_Code</t>
  </si>
  <si>
    <t>Ech Suivante</t>
  </si>
  <si>
    <t>EchSauv</t>
  </si>
  <si>
    <t>Typ Sauv</t>
  </si>
  <si>
    <t>F/R</t>
  </si>
  <si>
    <t>W_Col A2</t>
  </si>
  <si>
    <t>B_A411S3</t>
  </si>
  <si>
    <t>V_SGR-</t>
  </si>
  <si>
    <t>F_A5A</t>
  </si>
  <si>
    <t>B_A1.2</t>
  </si>
  <si>
    <t>B_5344-A6</t>
  </si>
  <si>
    <t>! La formule d'une ligne modèle est copiée</t>
  </si>
  <si>
    <t>En faisant Crtl +C de la ligne Modèle &amp; ensuite Ctrl+V après la dernière ligne remplie</t>
  </si>
  <si>
    <t>ou séparément : 1. Copie des colonnes A(1) jusque C(4)  y compris</t>
  </si>
  <si>
    <t>111-01/05</t>
  </si>
  <si>
    <t>111-01/01</t>
  </si>
  <si>
    <t>111-01/00</t>
  </si>
  <si>
    <t>111-01/04</t>
  </si>
  <si>
    <t>112-01</t>
  </si>
  <si>
    <t>111-08/01</t>
  </si>
  <si>
    <t>111-08/20</t>
  </si>
  <si>
    <t>111-08/21</t>
  </si>
  <si>
    <t>111-08/03</t>
  </si>
  <si>
    <t>111-08/00</t>
  </si>
  <si>
    <t>111-08/04</t>
  </si>
  <si>
    <t>111-08/05</t>
  </si>
  <si>
    <t>111-08/06</t>
  </si>
  <si>
    <t>111-08/07</t>
  </si>
  <si>
    <t>111-01/06</t>
  </si>
  <si>
    <t>111-01/07</t>
  </si>
  <si>
    <t>111-01/08</t>
  </si>
  <si>
    <t>PZ_CODE1</t>
  </si>
  <si>
    <t>PZ_CATEGORY</t>
  </si>
  <si>
    <t>2: ≥75 - &lt;150</t>
  </si>
  <si>
    <t>1: &lt;75</t>
  </si>
  <si>
    <t>5: ≥600</t>
  </si>
  <si>
    <t>T - Functie luchtsteun piloot</t>
  </si>
  <si>
    <t>Z - Funktion - Pilot Luftunterstütz</t>
  </si>
  <si>
    <t>4075</t>
  </si>
  <si>
    <t>A - Fonction - Pilote de test - DET</t>
  </si>
  <si>
    <t>113-21</t>
  </si>
  <si>
    <t>113-01</t>
  </si>
  <si>
    <t>x</t>
  </si>
  <si>
    <t>STII</t>
  </si>
  <si>
    <t>L207</t>
  </si>
  <si>
    <t>A - Mandat de suppléance</t>
  </si>
  <si>
    <t>T - Plaatsvervanger mandaat</t>
  </si>
  <si>
    <t>Code
Fonctionnel</t>
  </si>
  <si>
    <t>Cadre</t>
  </si>
  <si>
    <t>Secrétaire</t>
  </si>
  <si>
    <t>Nom - Prénom</t>
  </si>
  <si>
    <t>Total Ops</t>
  </si>
  <si>
    <t>Total_A.P.E.</t>
  </si>
  <si>
    <t>Total_Calog</t>
  </si>
  <si>
    <t>T - Bescherming buiten Brussel</t>
  </si>
  <si>
    <t>4033</t>
  </si>
  <si>
    <t>Jetons prés - commiss sélect</t>
  </si>
  <si>
    <t>Berloz / Crisnée / Donceel / Faimes / Fexhe-le-Haut-Clocher / Geer / Oreye / Remicourt / Waremme</t>
  </si>
  <si>
    <t>A - SAT SPF Intérieur</t>
  </si>
  <si>
    <t>4001 Contactable et 
rappellable
4002 Rappellable</t>
  </si>
  <si>
    <t>11108/06</t>
  </si>
  <si>
    <t>11108/07</t>
  </si>
  <si>
    <t>11101/08</t>
  </si>
  <si>
    <t>11101/05</t>
  </si>
  <si>
    <t>11101/06</t>
  </si>
  <si>
    <t>11101/09</t>
  </si>
  <si>
    <t>11101/14</t>
  </si>
  <si>
    <t>11101/40</t>
  </si>
  <si>
    <t>11101/41</t>
  </si>
  <si>
    <t>11101/50</t>
  </si>
  <si>
    <t>121-48/20 # maaltijden 8 TYPES</t>
  </si>
  <si>
    <t>Verlof zwangere wn risicoarb. stat.</t>
  </si>
  <si>
    <t>3122</t>
  </si>
  <si>
    <t>Congé obligation civique payé</t>
  </si>
  <si>
    <t>Verlof bet burgerplichten</t>
  </si>
  <si>
    <t>T - Permanentiedienst</t>
  </si>
  <si>
    <t>Z - Bereitschaftsdienst</t>
  </si>
  <si>
    <t>4132</t>
  </si>
  <si>
    <t>A - Maître armurier</t>
  </si>
  <si>
    <t>T - Wapenmeester</t>
  </si>
  <si>
    <t>Z - Waffenmeister</t>
  </si>
  <si>
    <t>4133</t>
  </si>
  <si>
    <t>I - Frais réel enquête ex-pol comm</t>
  </si>
  <si>
    <t>Pécule de vacances Ops</t>
  </si>
  <si>
    <t>DP10</t>
  </si>
  <si>
    <t>EP10</t>
  </si>
  <si>
    <t>L003</t>
  </si>
  <si>
    <t>L045</t>
  </si>
  <si>
    <t>0B03</t>
  </si>
  <si>
    <t>L175</t>
  </si>
  <si>
    <t>40B0</t>
  </si>
  <si>
    <t>42C0</t>
  </si>
  <si>
    <t>30B0</t>
  </si>
  <si>
    <t>30D0</t>
  </si>
  <si>
    <t>30F0</t>
  </si>
  <si>
    <t>30I0</t>
  </si>
  <si>
    <t>30C0</t>
  </si>
  <si>
    <t>30G0</t>
  </si>
  <si>
    <t>Remplaçant 4/5</t>
  </si>
  <si>
    <t>Payé Anticipativement</t>
  </si>
  <si>
    <t>F_DD1</t>
  </si>
  <si>
    <t>F_D1A</t>
  </si>
  <si>
    <t>F_AA10A0</t>
  </si>
  <si>
    <t>F_D3C</t>
  </si>
  <si>
    <t>W_D4-D</t>
  </si>
  <si>
    <t>W_D4</t>
  </si>
  <si>
    <t>V_C1/C2</t>
  </si>
  <si>
    <t>F_C3D/C4</t>
  </si>
  <si>
    <t>F_D4C</t>
  </si>
  <si>
    <t>Trt Sauvegarde (+) &amp; Maladie &amp; Dispo (-)</t>
  </si>
  <si>
    <t>4110/35 Militaires Tenue
4286 Maîtrise
4287 Formation
4288/89 Selection</t>
  </si>
  <si>
    <t>111-01/78-79-80-81</t>
  </si>
  <si>
    <t>A - Heures suppl nAMI ex-comm</t>
  </si>
  <si>
    <t>T - Overuur gn ZIV ex-gem</t>
  </si>
  <si>
    <t>Z - Überstunden k KV ex-Gem</t>
  </si>
  <si>
    <t>DUMMY maand vrdl onbegrensd</t>
  </si>
  <si>
    <t>B.WABCL24</t>
  </si>
  <si>
    <t>B.FoAP10</t>
  </si>
  <si>
    <t>W.AP6.3</t>
  </si>
  <si>
    <t>V.Tem-B</t>
  </si>
  <si>
    <t>GD.SLT-E</t>
  </si>
  <si>
    <t>B.1070</t>
  </si>
  <si>
    <t>W.LBV250</t>
  </si>
  <si>
    <t>W.Fon 1.</t>
  </si>
  <si>
    <t>W.B4</t>
  </si>
  <si>
    <t>W.AP6.14</t>
  </si>
  <si>
    <t>W.AP6.12</t>
  </si>
  <si>
    <t>V.Zom-B</t>
  </si>
  <si>
    <t>V.Tie-M</t>
  </si>
  <si>
    <t>RSZ verm DG2: DSP -45jr &gt;=24mnd</t>
  </si>
  <si>
    <t>Red ZG2 Berufsübergprogr &lt;45J &gt;=24M</t>
  </si>
  <si>
    <t>9703</t>
  </si>
  <si>
    <t>dd 13/08/2014</t>
  </si>
  <si>
    <t xml:space="preserve">cotisation pension de Base </t>
  </si>
  <si>
    <t>(BB%)</t>
  </si>
  <si>
    <t>Légal ou indicatif</t>
  </si>
  <si>
    <t>Fract tps D100 2ème sem mal ess</t>
  </si>
  <si>
    <t>Tijdsbr D100 2de wk ziek arb</t>
  </si>
  <si>
    <t>2036</t>
  </si>
  <si>
    <t>Fract tps D100 3/4 sem mal essai</t>
  </si>
  <si>
    <t>Tijdsbr D100 3/4de wk ziek arb</t>
  </si>
  <si>
    <t>2037</t>
  </si>
  <si>
    <t>B_5341M32</t>
  </si>
  <si>
    <t>Z - Strategischer Analytiker</t>
  </si>
  <si>
    <t>4008</t>
  </si>
  <si>
    <t>A - Analyste stratégique - DET</t>
  </si>
  <si>
    <t>T - Strategisch analist - DET</t>
  </si>
  <si>
    <t>4129</t>
  </si>
  <si>
    <t>A - Chauffeur ex-pj</t>
  </si>
  <si>
    <t>Total Général du Module</t>
  </si>
  <si>
    <t>8011</t>
  </si>
  <si>
    <t>A147</t>
  </si>
  <si>
    <t>12S1</t>
  </si>
  <si>
    <t>Ermäß. Höh SBÜ</t>
  </si>
  <si>
    <t>8820</t>
  </si>
  <si>
    <t>Indemnité pour chien policier</t>
  </si>
  <si>
    <t>Indemnités variables</t>
  </si>
  <si>
    <t>Frais de transports publics imposés</t>
  </si>
  <si>
    <t>Maladie 3è et 4è sem trt garanti</t>
  </si>
  <si>
    <t>Ziekte 3/4de week gewaarborgd loon</t>
  </si>
  <si>
    <t>3418</t>
  </si>
  <si>
    <t>Maladie/accident non indemnisé</t>
  </si>
  <si>
    <t>Ziekte/ongeval niet vergoed</t>
  </si>
  <si>
    <t>3423</t>
  </si>
  <si>
    <t>Congé parent stat tp non payé</t>
  </si>
  <si>
    <t>Ouderschverlof stat onbet deelt</t>
  </si>
  <si>
    <t>Priv Transportkos nicht steuerpfl</t>
  </si>
  <si>
    <t>Bijk BV op opzegvergoedingen</t>
  </si>
  <si>
    <t>Zusätz ESVZ Kündigungsverg</t>
  </si>
  <si>
    <t>8043</t>
  </si>
  <si>
    <t>PP complém. sur indemn. de rupture</t>
  </si>
  <si>
    <t>8051</t>
  </si>
  <si>
    <t>Indemnité pour entretien de la tenue du personnel Opérationnel</t>
  </si>
  <si>
    <t>Teil Zeit DO 2. Wo krank Arb</t>
  </si>
  <si>
    <t>2026</t>
  </si>
  <si>
    <t>Fract tps D0 3/4 sem mal travaill</t>
  </si>
  <si>
    <t>Z - Brüssel-Hauptstadt Lok Pol</t>
  </si>
  <si>
    <t>4084</t>
  </si>
  <si>
    <t>A - Prime d'immigration</t>
  </si>
  <si>
    <t>T - Immigratiebeleid</t>
  </si>
  <si>
    <t>Z - Immigration</t>
  </si>
  <si>
    <t>4085</t>
  </si>
  <si>
    <t>A - Bilinguisme</t>
  </si>
  <si>
    <t>T - Tweetaligheid</t>
  </si>
  <si>
    <t>T - Onvoorziene prestatie</t>
  </si>
  <si>
    <t>Z - unvorhergesehene Leistung</t>
  </si>
  <si>
    <t>4117</t>
  </si>
  <si>
    <t>4082</t>
  </si>
  <si>
    <t>CtlFunCod</t>
  </si>
  <si>
    <t>HlpCode Trt</t>
  </si>
  <si>
    <t>MODULE DE BUDGETISATION</t>
  </si>
  <si>
    <t>DES DÉPENSES DE PERSONNEL</t>
  </si>
  <si>
    <t>Numéro de la zone de police</t>
  </si>
  <si>
    <t>Dénomination de la Zone de Police</t>
  </si>
  <si>
    <t>StCtr</t>
  </si>
  <si>
    <t>E_A</t>
  </si>
  <si>
    <t>Echu</t>
  </si>
  <si>
    <t>Total général X-1</t>
  </si>
  <si>
    <t>Budget du personnel de la zone</t>
  </si>
  <si>
    <t>Onglets modifiables</t>
  </si>
  <si>
    <t>W.AP3</t>
  </si>
  <si>
    <t>V.31.50</t>
  </si>
  <si>
    <t>B.1.50bis</t>
  </si>
  <si>
    <t>V.A 4216</t>
  </si>
  <si>
    <t>W.AP6.8</t>
  </si>
  <si>
    <t>Weddebijslag - Art. 369 GerW</t>
  </si>
  <si>
    <t>Zusätz Gehalt Art 369 Gergstzb</t>
  </si>
  <si>
    <t>4209</t>
  </si>
  <si>
    <t>Suppl trt-Art 367bis 373bis CodeJud</t>
  </si>
  <si>
    <t>D1C0</t>
  </si>
  <si>
    <t>D2C0</t>
  </si>
  <si>
    <t>D3C0</t>
  </si>
  <si>
    <t>D4C0</t>
  </si>
  <si>
    <t>D3B.1</t>
  </si>
  <si>
    <t>D4B.1</t>
  </si>
  <si>
    <t>DD2.1</t>
  </si>
  <si>
    <t>DD3.1</t>
  </si>
  <si>
    <t>Tijdsbr WED 100</t>
  </si>
  <si>
    <t>AP67</t>
  </si>
  <si>
    <t>AP70</t>
  </si>
  <si>
    <t>AP30</t>
  </si>
  <si>
    <t>AP05</t>
  </si>
  <si>
    <t>SelecteerThemis</t>
  </si>
  <si>
    <t>9103</t>
  </si>
  <si>
    <t>L001</t>
  </si>
  <si>
    <t>PB4C</t>
  </si>
  <si>
    <t>PB12</t>
  </si>
  <si>
    <t>9N10</t>
  </si>
  <si>
    <t>L232</t>
  </si>
  <si>
    <t>L071</t>
  </si>
  <si>
    <t>A150</t>
  </si>
  <si>
    <t>L082</t>
  </si>
  <si>
    <t>L016</t>
  </si>
  <si>
    <t>A155</t>
  </si>
  <si>
    <t>L237</t>
  </si>
  <si>
    <t>L198</t>
  </si>
  <si>
    <t>BP30</t>
  </si>
  <si>
    <t>B203</t>
  </si>
  <si>
    <t>AP65</t>
  </si>
  <si>
    <t>B030</t>
  </si>
  <si>
    <t>PB26</t>
  </si>
  <si>
    <t>L205</t>
  </si>
  <si>
    <t>L002</t>
  </si>
  <si>
    <t>AP56</t>
  </si>
  <si>
    <t>A122</t>
  </si>
  <si>
    <t>AP61</t>
  </si>
  <si>
    <t>Paramètres</t>
  </si>
  <si>
    <t>Consultations</t>
  </si>
  <si>
    <t>Total général</t>
  </si>
  <si>
    <t>B.OAP10</t>
  </si>
  <si>
    <t>B.Jet CP</t>
  </si>
  <si>
    <t>B.CP4OGP</t>
  </si>
  <si>
    <t>B.BP6</t>
  </si>
  <si>
    <t>B.AP6.1</t>
  </si>
  <si>
    <t>B.And-1</t>
  </si>
  <si>
    <t>V.31.501</t>
  </si>
  <si>
    <t>V.PB5</t>
  </si>
  <si>
    <t>GD.RWRGD</t>
  </si>
  <si>
    <t>V.D2</t>
  </si>
  <si>
    <t>B.BP5</t>
  </si>
  <si>
    <t>GD.ADJT</t>
  </si>
  <si>
    <t>9593</t>
  </si>
  <si>
    <t>9843</t>
  </si>
  <si>
    <t>Sociale Inhouding</t>
  </si>
  <si>
    <t>Ret.ONSS dble péc vac mand prot</t>
  </si>
  <si>
    <t>RSZ inh dub vakgeld besch mand</t>
  </si>
  <si>
    <t>Z - Luftleistungen</t>
  </si>
  <si>
    <t>Réd ONSS pl emb 12m chôm&gt;45 ans</t>
  </si>
  <si>
    <t>RSZ verm banenplan 12mnd werkl&gt;45 j</t>
  </si>
  <si>
    <t>Er LASS Arbbeschprog 12MAblk&gt;45J</t>
  </si>
  <si>
    <t>9639</t>
  </si>
  <si>
    <t>Inaptitude pour accident privé</t>
  </si>
  <si>
    <t>Arbeidsongeschikt dr priv ongeval</t>
  </si>
  <si>
    <t>3126</t>
  </si>
  <si>
    <t>Congé payé de circonstance</t>
  </si>
  <si>
    <t>Verlof bet. omstandigheidsverlof</t>
  </si>
  <si>
    <t>3148</t>
  </si>
  <si>
    <t>3150</t>
  </si>
  <si>
    <t>Dispo maladie ou invalidité</t>
  </si>
  <si>
    <t>Dispo ziekte of invaliditeit</t>
  </si>
  <si>
    <t>3190</t>
  </si>
  <si>
    <t>Suspension maintien de trt (part)</t>
  </si>
  <si>
    <t>Schorsing met (ged) behoud wedde</t>
  </si>
  <si>
    <t>3191</t>
  </si>
  <si>
    <t>3199</t>
  </si>
  <si>
    <t>RSZ verm:banenplan 24mnd werkl. &gt;45 jaar</t>
  </si>
  <si>
    <t>Er LASS Arbbeschprog 24MAblk&gt;45J</t>
  </si>
  <si>
    <t>9646</t>
  </si>
  <si>
    <t>111-02/02</t>
  </si>
  <si>
    <t>111-02/VF</t>
  </si>
  <si>
    <t>111-02/12</t>
  </si>
  <si>
    <t>XI.III.20</t>
  </si>
  <si>
    <t>XI.III.24</t>
  </si>
  <si>
    <t>Mentor</t>
  </si>
  <si>
    <t>XI.III.28</t>
  </si>
  <si>
    <t>Bxl 1</t>
  </si>
  <si>
    <t>Bxl 2</t>
  </si>
  <si>
    <t>Bxl 3</t>
  </si>
  <si>
    <t>Bxl 4</t>
  </si>
  <si>
    <t>Bxl 5</t>
  </si>
  <si>
    <t>Rückgewähr nicht gesch Leist ECA</t>
  </si>
  <si>
    <t>9953</t>
  </si>
  <si>
    <t>Rückgewähr n gesch Leist ECA u Loh</t>
  </si>
  <si>
    <t>9954</t>
  </si>
  <si>
    <t>ONSS patr: Licenciem publ (CHOM)</t>
  </si>
  <si>
    <t>RSZ werkg: Ontslag overheid (WLH)</t>
  </si>
  <si>
    <t>LASS Arbg: Entl Behörde (ALK)</t>
  </si>
  <si>
    <t>9560</t>
  </si>
  <si>
    <t>Z - Seegeld</t>
  </si>
  <si>
    <t>4098</t>
  </si>
  <si>
    <t>A - Heures de nuit AS</t>
  </si>
  <si>
    <t>T - Nachtuur OS</t>
  </si>
  <si>
    <t>4102</t>
  </si>
  <si>
    <t>A - Compensatoire</t>
  </si>
  <si>
    <t>T - Compenserende</t>
  </si>
  <si>
    <t>4105</t>
  </si>
  <si>
    <t>I - Téléphone ex-pjp/polcom</t>
  </si>
  <si>
    <t>V - Telefoon ex-gpp/gempol</t>
  </si>
  <si>
    <t>V - Telefon ex-Kripo</t>
  </si>
  <si>
    <t>4106</t>
  </si>
  <si>
    <t>I - Débours ex-pjp</t>
  </si>
  <si>
    <t>V - Uitgaven ex-gpp</t>
  </si>
  <si>
    <t>A - Incap travail temporaire</t>
  </si>
  <si>
    <t>A - Comp pil jud petit mt</t>
  </si>
  <si>
    <t>Teil Zeit Urlaubsgeld 0</t>
  </si>
  <si>
    <t>Tijdsbr WED 3/4de wk ziek arb</t>
  </si>
  <si>
    <t>Teil Zeit Geh 3/4 Wo krank Arb</t>
  </si>
  <si>
    <t>2008</t>
  </si>
  <si>
    <t>Fract tps 3/4 sem mal empl ess</t>
  </si>
  <si>
    <t>Beersel_Halle_Sint-Pieters Leeuw (Zennevallei)</t>
  </si>
  <si>
    <t>Allocation de 
Foyer- 4035 ou 
la résidence 4034</t>
  </si>
  <si>
    <t>Traitement annuel Indexé *[Uxx]</t>
  </si>
  <si>
    <t>PARTIE 
FIXE</t>
  </si>
  <si>
    <t>PARTIE VARIABLE</t>
  </si>
  <si>
    <t xml:space="preserve">Allocation de fin d'année 
 35  lcd </t>
  </si>
  <si>
    <t>Z - Zweispr verlangte Kenntnis</t>
  </si>
  <si>
    <t>4088</t>
  </si>
  <si>
    <t>A - Engagement</t>
  </si>
  <si>
    <t>Zitpenningen - selectiecommissie</t>
  </si>
  <si>
    <t>Tagegeld - Auswahlkomitee</t>
  </si>
  <si>
    <t>4086</t>
  </si>
  <si>
    <t>PB29</t>
  </si>
  <si>
    <t>PB31</t>
  </si>
  <si>
    <t>PB13</t>
  </si>
  <si>
    <t>PB04</t>
  </si>
  <si>
    <t>ZPZ -23</t>
  </si>
  <si>
    <t>S</t>
  </si>
  <si>
    <t>U</t>
  </si>
  <si>
    <t>Z</t>
  </si>
  <si>
    <t>Lierneux / Malmédy / Stavelot / Stoumont / Trois-Ponts / Waimes</t>
  </si>
  <si>
    <t>OPS</t>
  </si>
  <si>
    <t>BRP</t>
  </si>
  <si>
    <t>121-48</t>
  </si>
  <si>
    <t>H</t>
  </si>
  <si>
    <t>11101-61</t>
  </si>
  <si>
    <t>Zone</t>
  </si>
  <si>
    <t>Wal</t>
  </si>
  <si>
    <t>Br Wal</t>
  </si>
  <si>
    <t>Genappe / Nivelles</t>
  </si>
  <si>
    <t>Suspension avec perte totale de trt</t>
  </si>
  <si>
    <t>Schorsing voll verlies wedde</t>
  </si>
  <si>
    <t>Ersetz ESVZ Kündigungsverg</t>
  </si>
  <si>
    <t>8042</t>
  </si>
  <si>
    <t>PP complém sur indemn de rupture</t>
  </si>
  <si>
    <t>Priv Transportkost steuerpfl</t>
  </si>
  <si>
    <t>8432</t>
  </si>
  <si>
    <t>PP rempl ind et alloc except</t>
  </si>
  <si>
    <t>Verv BV except vergoed en toelagen</t>
  </si>
  <si>
    <t>Z - Tagegeld Beigeordnet</t>
  </si>
  <si>
    <t>4057</t>
  </si>
  <si>
    <t>Suppl trt - Mandat</t>
  </si>
  <si>
    <t>Willebroek</t>
  </si>
  <si>
    <t>Mechelen</t>
  </si>
  <si>
    <t>Bonheiden / Duffel / Putte / Sint-Katelijne-Waver</t>
  </si>
  <si>
    <t>Lier</t>
  </si>
  <si>
    <t>T - Functie rijdend pers - DET</t>
  </si>
  <si>
    <t>Z - Funktion Fahrpersonal - DET</t>
  </si>
  <si>
    <t>4069</t>
  </si>
  <si>
    <t>A - Police navigation</t>
  </si>
  <si>
    <t>T - Functie scheepv.pol.</t>
  </si>
  <si>
    <t>Z - Schifffahrtpolizei</t>
  </si>
  <si>
    <t>4070</t>
  </si>
  <si>
    <t>A - Police navigation - DET</t>
  </si>
  <si>
    <t>T - Functie scheepv.pol. - DET</t>
  </si>
  <si>
    <t>Fract tps D0 2è sem mal travaill</t>
  </si>
  <si>
    <t>Tijdsbr D0 2de wk ziek arb</t>
  </si>
  <si>
    <t>MV41</t>
  </si>
  <si>
    <t>MV31</t>
  </si>
  <si>
    <t>D500</t>
  </si>
  <si>
    <t>D501</t>
  </si>
  <si>
    <t>CP30</t>
  </si>
  <si>
    <t>9304</t>
  </si>
  <si>
    <t>D600</t>
  </si>
  <si>
    <t>CP40</t>
  </si>
  <si>
    <t>D100</t>
  </si>
  <si>
    <t>Pécule de Vacances du personnel Opérationnel</t>
  </si>
  <si>
    <t>Date de naissance</t>
  </si>
  <si>
    <t>Vak geld jobstudenten in dienst</t>
  </si>
  <si>
    <t>9045</t>
  </si>
  <si>
    <t>Retenue pecule vacances</t>
  </si>
  <si>
    <t>T - Zitpenningen schepen</t>
  </si>
  <si>
    <t>enquête judiciaire</t>
  </si>
  <si>
    <t>entretien tenue</t>
  </si>
  <si>
    <t>proximité</t>
  </si>
  <si>
    <t>Complémentaire Pilier Jud - Lok</t>
  </si>
  <si>
    <t>Complémentaire Pilier Jud - Fed</t>
  </si>
  <si>
    <t>Allocation  de tenue pour militaire</t>
  </si>
  <si>
    <t>T - Bijz prest-onregelm - gn RSZ</t>
  </si>
  <si>
    <t>B_D2</t>
  </si>
  <si>
    <t>W_B1</t>
  </si>
  <si>
    <t>8099</t>
  </si>
  <si>
    <t>8100</t>
  </si>
  <si>
    <t>Cotis spéciale de remplac/trim</t>
  </si>
  <si>
    <t>Verv bijzondere bijdrage/kwartaal</t>
  </si>
  <si>
    <t>Ersetz/Viertelj besond Beitrag</t>
  </si>
  <si>
    <t>8102</t>
  </si>
  <si>
    <t>Cotis spéciale de remplac/ mois</t>
  </si>
  <si>
    <t>Kapitaal - bl arbeidsong - nt bel</t>
  </si>
  <si>
    <t>Kapital - perm Arbeitsunf - nt stpfl</t>
  </si>
  <si>
    <t>4043</t>
  </si>
  <si>
    <t>Formulaire L021
Indemnités de repas
4206
 &amp; frais de séjour 
4091</t>
  </si>
  <si>
    <t>Formulaire L096
Indemnités de repas
4207</t>
  </si>
  <si>
    <t>BL</t>
  </si>
  <si>
    <t>Copernicuspr im Dienst Studenten</t>
  </si>
  <si>
    <t>6019</t>
  </si>
  <si>
    <t>Intégration Niveau D</t>
  </si>
  <si>
    <t>Allocations anuelles</t>
  </si>
  <si>
    <t>Allocation Proximité</t>
  </si>
  <si>
    <t>Allocations Militaires(Transféres) Tout Genre</t>
  </si>
  <si>
    <t>Allocation Dirigeant</t>
  </si>
  <si>
    <t>si droit :
 "1"</t>
  </si>
  <si>
    <t>Montant ou "1"</t>
  </si>
  <si>
    <t>4089 - 4090 Formulaire 
L021 &amp; L096 Indemnités de déplacement  (Frais de voyage)</t>
  </si>
  <si>
    <t>Cotisations au service social pour Agent(s) Premier Emploi</t>
  </si>
  <si>
    <t>Indemnisation des frais de déplacement et de séjour pour Agent(s) Premier Emploi</t>
  </si>
  <si>
    <t>Autres indemnités pour Agent(s) Premier Emploi</t>
  </si>
  <si>
    <t>Autre langues</t>
  </si>
  <si>
    <t>66</t>
  </si>
  <si>
    <t>67</t>
  </si>
  <si>
    <t>68</t>
  </si>
  <si>
    <t>71</t>
  </si>
  <si>
    <t>72</t>
  </si>
  <si>
    <t>73</t>
  </si>
  <si>
    <t>74</t>
  </si>
  <si>
    <t>75</t>
  </si>
  <si>
    <t>76</t>
  </si>
  <si>
    <t>77</t>
  </si>
  <si>
    <t>78</t>
  </si>
  <si>
    <t>79</t>
  </si>
  <si>
    <t>80</t>
  </si>
  <si>
    <t>si droit :
 "Y"</t>
  </si>
  <si>
    <t>Baremieke voorheffing/kwartaal</t>
  </si>
  <si>
    <t>Code haard/standplaats</t>
  </si>
  <si>
    <t>if&gt;99=&gt;Form</t>
  </si>
  <si>
    <t>---</t>
  </si>
  <si>
    <t>Sint-Pieters-Leeuw</t>
  </si>
  <si>
    <t>Oost-Vl</t>
  </si>
  <si>
    <t>Gent</t>
  </si>
  <si>
    <t>Lochristi / Moerbeke / Wachtebeke / Zelzate</t>
  </si>
  <si>
    <t>Eeklo / Kaprijke / Sint-Laureins</t>
  </si>
  <si>
    <t>Destelbergen / Melle / Merelbeke / Oosterzele</t>
  </si>
  <si>
    <t>De Pinte / Gavere / Nazareth / Sint-Martens-Latem</t>
  </si>
  <si>
    <t>Deinze / Zulte</t>
  </si>
  <si>
    <t>B_VARIABELE</t>
  </si>
  <si>
    <t>B_VASTE</t>
  </si>
  <si>
    <t>TOT-VERG</t>
  </si>
  <si>
    <t>EA</t>
  </si>
  <si>
    <t>EW</t>
  </si>
  <si>
    <t>FA</t>
  </si>
  <si>
    <t>FC</t>
  </si>
  <si>
    <t>EY</t>
  </si>
  <si>
    <t>CALog</t>
  </si>
  <si>
    <t>4053</t>
  </si>
  <si>
    <t>T - Zitpenningen raadslid</t>
  </si>
  <si>
    <t>Z - Tagegeld Stadtrat</t>
  </si>
  <si>
    <t>4054</t>
  </si>
  <si>
    <t>Allocations Variables pour prestations du Cadre Administratif et Logistique</t>
  </si>
  <si>
    <t>Pécule de Vacances du Cadre Administratif et Logistique</t>
  </si>
  <si>
    <t>F_B3B</t>
  </si>
  <si>
    <t>F_B1A</t>
  </si>
  <si>
    <t>B_D1-2</t>
  </si>
  <si>
    <t>F_A1A10D0</t>
  </si>
  <si>
    <t>F_B2B</t>
  </si>
  <si>
    <t>B_A18110</t>
  </si>
  <si>
    <t>V_D1</t>
  </si>
  <si>
    <r>
      <t xml:space="preserve"> 4015/6/9 - 4040&lt;-&gt;4043 -4078- 4095-4123 4157/8/9-4182/3/5/8 -</t>
    </r>
    <r>
      <rPr>
        <sz val="9"/>
        <color indexed="10"/>
        <rFont val="Arial"/>
        <family val="2"/>
      </rPr>
      <t xml:space="preserve">4194/5  </t>
    </r>
    <r>
      <rPr>
        <sz val="9"/>
        <rFont val="Arial"/>
        <family val="2"/>
      </rPr>
      <t xml:space="preserve">                 - 4218-4223/5</t>
    </r>
  </si>
  <si>
    <t>Traitement de protection(+)
Maladie (-)
Dispo (-)</t>
  </si>
  <si>
    <t xml:space="preserve">                              2. Copie des colonnes T(21) jusque GO(197) y compris</t>
  </si>
  <si>
    <t>111-01/78</t>
  </si>
  <si>
    <t>111-01/79</t>
  </si>
  <si>
    <t>111-01/80</t>
  </si>
  <si>
    <t>Inhouding Tucht
Retenue Dicipline
new 2016</t>
  </si>
  <si>
    <t>Verg telefoon
Ind de téléphone
new 2016</t>
  </si>
  <si>
    <t>Beschermingswedde
Trait de sauvegarde
4181  new 2016</t>
  </si>
  <si>
    <t>Ziekte  Dispo 
Maladie Dispo
(New 2016)</t>
  </si>
  <si>
    <t>Mandaat 
Mandat
(New 2016)</t>
  </si>
  <si>
    <t>MilTr Meesterschap
MilTr Maîtrise
 (New 2016)</t>
  </si>
  <si>
    <t>MilTr Vorming
MilTr Formation
 (New 2016)</t>
  </si>
  <si>
    <t>MilT Selectie
MilT Selection
 (New 2016)</t>
  </si>
  <si>
    <t>4223/4231</t>
  </si>
  <si>
    <t>99-POS</t>
  </si>
  <si>
    <t>00-POS</t>
  </si>
  <si>
    <t>4192-3-4-5</t>
  </si>
  <si>
    <t>4288/4289</t>
  </si>
  <si>
    <t>111-01/99 (-)</t>
  </si>
  <si>
    <t>111-01/99 (+)</t>
  </si>
  <si>
    <t>111-01/00 (+)</t>
  </si>
  <si>
    <t>111-01/00 (-)</t>
  </si>
  <si>
    <t>Droit supplémentaires  (2016) Fonct Sup
Rente AccTrav-Diplom -SocProm-Selection</t>
  </si>
  <si>
    <t>N° identification</t>
  </si>
  <si>
    <t>Z - Funktion - Pilot Luftunt - DET</t>
  </si>
  <si>
    <t>4076</t>
  </si>
  <si>
    <t>A - Fonction - Moniteur pilote</t>
  </si>
  <si>
    <t>T - Functie luchtsteun monitor</t>
  </si>
  <si>
    <t>B106</t>
  </si>
  <si>
    <t>BP40</t>
  </si>
  <si>
    <t>PB30</t>
  </si>
  <si>
    <t>PB10</t>
  </si>
  <si>
    <t>AP64</t>
  </si>
  <si>
    <t>L081</t>
  </si>
  <si>
    <t>L044</t>
  </si>
  <si>
    <t>L018</t>
  </si>
  <si>
    <t>PB09</t>
  </si>
  <si>
    <t>CP01</t>
  </si>
  <si>
    <t>9303</t>
  </si>
  <si>
    <t>PB01</t>
  </si>
  <si>
    <t>C030</t>
  </si>
  <si>
    <t>D010</t>
  </si>
  <si>
    <t>D400</t>
  </si>
  <si>
    <t>L208</t>
  </si>
  <si>
    <t>9502</t>
  </si>
  <si>
    <t>CP02</t>
  </si>
  <si>
    <t>EP20</t>
  </si>
  <si>
    <t>L004</t>
  </si>
  <si>
    <t>9501</t>
  </si>
  <si>
    <t>D020</t>
  </si>
  <si>
    <t>9305</t>
  </si>
  <si>
    <t>A951</t>
  </si>
  <si>
    <t>Dispo 100</t>
  </si>
  <si>
    <t>4195</t>
  </si>
  <si>
    <t>Dispo &lt; 100</t>
  </si>
  <si>
    <t>4196</t>
  </si>
  <si>
    <t>Suppl trt SPC</t>
  </si>
  <si>
    <t>Weddecompelent SPC</t>
  </si>
  <si>
    <t>Zusätz Gehalt SPC</t>
  </si>
  <si>
    <t>4197</t>
  </si>
  <si>
    <t>Vorteil Dfahrzeug priv Benutz + wa</t>
  </si>
  <si>
    <t>4162</t>
  </si>
  <si>
    <t>Véh serv cotisation employé</t>
  </si>
  <si>
    <t>Dvoertuig eigen bijdrage werknemer</t>
  </si>
  <si>
    <t>Dfahrzeug Beitrag Arbeitnehmer</t>
  </si>
  <si>
    <t>4163</t>
  </si>
  <si>
    <t>A adapter le cas échéant - Echelle et date d'une augmentation ou commisionnement</t>
  </si>
  <si>
    <t>Autres Niv</t>
  </si>
  <si>
    <t>Annexe 9</t>
  </si>
  <si>
    <t>B.A1.1</t>
  </si>
  <si>
    <t>B.1170</t>
  </si>
  <si>
    <t>Eléments repris dans les feuilles de calcul 
'Ops', 'Calog', 'Total','Total Code' &amp; 'Dépenses du Personnel Export</t>
  </si>
  <si>
    <t>Indemnités pour frais de déplacement du et vers le lieu de travail du Cadre Administratif et Logistique</t>
  </si>
  <si>
    <t>Allocation de Foyer/Résidence  - Agent(s) Premier Emploi</t>
  </si>
  <si>
    <t>Allocation fixes pour Agent(s) Premier Emploi</t>
  </si>
  <si>
    <t>L093</t>
  </si>
  <si>
    <t>0D54</t>
  </si>
  <si>
    <t>0D31</t>
  </si>
  <si>
    <t>42A0</t>
  </si>
  <si>
    <t>0D49</t>
  </si>
  <si>
    <t>30S8</t>
  </si>
  <si>
    <t>0C13</t>
  </si>
  <si>
    <t>30S6</t>
  </si>
  <si>
    <t>20S2</t>
  </si>
  <si>
    <t>0C15</t>
  </si>
  <si>
    <t>20S9</t>
  </si>
  <si>
    <t>0B26</t>
  </si>
  <si>
    <t>21S2</t>
  </si>
  <si>
    <t>Bijz.bijdr.soc.zekerheid / kwartaal</t>
  </si>
  <si>
    <t>3123</t>
  </si>
  <si>
    <t>Congé payé mandat public/politique</t>
  </si>
  <si>
    <t>D3B1</t>
  </si>
  <si>
    <t>D4B1</t>
  </si>
  <si>
    <t>Gingelom / Nieuwerkerken / Sint-Truiden</t>
  </si>
  <si>
    <t>Hechtel-Eksel / Leopoldsburg / Peer</t>
  </si>
  <si>
    <t>Z - Schutz könig Fam ex-Gd</t>
  </si>
  <si>
    <t>4119</t>
  </si>
  <si>
    <t>I - Quartier international ex-gd</t>
  </si>
  <si>
    <t>V - Internat hoofdkwartier ex-rw</t>
  </si>
  <si>
    <t>V - Internat Quartier ex-Gd</t>
  </si>
  <si>
    <t>4120</t>
  </si>
  <si>
    <t>A - Escorte ex-gd</t>
  </si>
  <si>
    <t>3323</t>
  </si>
  <si>
    <t>Absence illégale</t>
  </si>
  <si>
    <t>Ongewettigde afwezigheid</t>
  </si>
  <si>
    <t>Lecture programmée de M (13) 
=&gt;si avancement ="201JMM"</t>
  </si>
  <si>
    <t>B002</t>
  </si>
  <si>
    <t>L052</t>
  </si>
  <si>
    <t>9102</t>
  </si>
  <si>
    <t>AP52</t>
  </si>
  <si>
    <t>A177</t>
  </si>
  <si>
    <t>PB36</t>
  </si>
  <si>
    <t>B202</t>
  </si>
  <si>
    <t>Formulaire
F/L021&amp; L096
4089 &amp; 4090
Indemnités de déplacement
  (Frais de voyage)</t>
  </si>
  <si>
    <t>Cat 3</t>
  </si>
  <si>
    <t>Cat 4</t>
  </si>
  <si>
    <t>Cat 5</t>
  </si>
  <si>
    <t>Grève annoncée (reconnue)</t>
  </si>
  <si>
    <t>Erkende staking</t>
  </si>
  <si>
    <t>3267</t>
  </si>
  <si>
    <t>Congé obligation civique non payé</t>
  </si>
  <si>
    <t>Verlof onbe. Burgerplichten</t>
  </si>
  <si>
    <t>3280</t>
  </si>
  <si>
    <t>H-B</t>
  </si>
  <si>
    <t>NabProx</t>
  </si>
  <si>
    <t>StratAnCrim</t>
  </si>
  <si>
    <t>Univ</t>
  </si>
  <si>
    <t>Maaltijdcheques WG-bijdrage</t>
  </si>
  <si>
    <t>Verpflegungssch Beitr Arbgeb</t>
  </si>
  <si>
    <t>Zusatzzahlung Todesfall Statu.</t>
  </si>
  <si>
    <t>4218</t>
  </si>
  <si>
    <t>T - Sekretariatsmitarbeiter CPPL</t>
  </si>
  <si>
    <t>4222</t>
  </si>
  <si>
    <t>4223</t>
  </si>
  <si>
    <t>T - Nabijheidspolitie - DET</t>
  </si>
  <si>
    <t>Z - Bürgerbahe Polizeiarbeit - DET</t>
  </si>
  <si>
    <t>4005</t>
  </si>
  <si>
    <t>A - Analyste criminel</t>
  </si>
  <si>
    <t>Incap temp raison maladie profess</t>
  </si>
  <si>
    <t>A -Contactable et rappelable
T - Bereikbaar een terugroepbaar</t>
  </si>
  <si>
    <t>Ctrt</t>
  </si>
  <si>
    <t>Cstat</t>
  </si>
  <si>
    <t>Ancdate</t>
  </si>
  <si>
    <t>PB02</t>
  </si>
  <si>
    <t>PB03</t>
  </si>
  <si>
    <t>PB2B</t>
  </si>
  <si>
    <t>20A0</t>
  </si>
  <si>
    <t>10A0</t>
  </si>
  <si>
    <t>40A0</t>
  </si>
  <si>
    <t>9302</t>
  </si>
  <si>
    <t>9301</t>
  </si>
  <si>
    <t>L153</t>
  </si>
  <si>
    <t>L252</t>
  </si>
  <si>
    <t>L157</t>
  </si>
  <si>
    <t>Z - Weihnachtsgeld</t>
  </si>
  <si>
    <t>6001</t>
  </si>
  <si>
    <t>Z - Zulage Weihnachtsgeld</t>
  </si>
  <si>
    <t>6003</t>
  </si>
  <si>
    <t>A - Compétences</t>
  </si>
  <si>
    <t>8012</t>
  </si>
  <si>
    <t>PP complém sur ind et alloc except</t>
  </si>
  <si>
    <t>ENQ</t>
  </si>
  <si>
    <t>CH</t>
  </si>
  <si>
    <t>TEN</t>
  </si>
  <si>
    <t>TL</t>
  </si>
  <si>
    <t>ID</t>
  </si>
  <si>
    <t># Mnd 1 ste periode</t>
  </si>
  <si>
    <t>A/T Mentor ex-Gd/RW</t>
  </si>
  <si>
    <t>T - Mandaat gew ontvanger OS</t>
  </si>
  <si>
    <t># Trt 2 2e per #l -Mnd 2</t>
  </si>
  <si>
    <t># Trt 2 1e per #l -Mnd 2</t>
  </si>
  <si>
    <t>20C0</t>
  </si>
  <si>
    <t>22A0</t>
  </si>
  <si>
    <t>22B0</t>
  </si>
  <si>
    <t>26B0</t>
  </si>
  <si>
    <t>Cotisations au service social</t>
  </si>
  <si>
    <t>Mission d'enseignement - univ</t>
  </si>
  <si>
    <t>4072 - Indemnités de déplacement : lieu de travail/maison/ Abt Soc</t>
  </si>
  <si>
    <t>total</t>
  </si>
  <si>
    <t>total x-1</t>
  </si>
  <si>
    <t>3310</t>
  </si>
  <si>
    <t>Congé parental temps plein</t>
  </si>
  <si>
    <t>Import de la feuille éléments barémiques du SCDF</t>
  </si>
  <si>
    <t>3243</t>
  </si>
  <si>
    <t>Congé de paternité/adoption</t>
  </si>
  <si>
    <t>T - Misdrijfanalist - DET</t>
  </si>
  <si>
    <t>Z - Verbrechensanalytiker - DET</t>
  </si>
  <si>
    <t>4007</t>
  </si>
  <si>
    <t>A - Analyste stratégique</t>
  </si>
  <si>
    <t>T - Strategisch analist</t>
  </si>
  <si>
    <t>Code
Fontionelle</t>
  </si>
  <si>
    <t>Code
Economique</t>
  </si>
  <si>
    <t>N° de l'article</t>
  </si>
  <si>
    <t>groupe</t>
  </si>
  <si>
    <t>SOUS TOTAL GROUPE I</t>
  </si>
  <si>
    <t>SOUS TOTAL GROUPE II</t>
  </si>
  <si>
    <t>SOUS TOTAL GROUPE III</t>
  </si>
  <si>
    <t>TOTAL GENERAL  &amp; SUBVENTION SOCIALE  II</t>
  </si>
  <si>
    <t>Membres Statutaires</t>
  </si>
  <si>
    <t>stat</t>
  </si>
  <si>
    <t>contr</t>
  </si>
  <si>
    <t>APE</t>
  </si>
  <si>
    <t>4/5</t>
  </si>
  <si>
    <t>Prime restruc fin serv ann en cours</t>
  </si>
  <si>
    <t>Herstr prem uit dienst huidig jaar</t>
  </si>
  <si>
    <t>Anpassungsgeld Dienstsend geg Jah</t>
  </si>
  <si>
    <t>6015</t>
  </si>
  <si>
    <t>AFA job étudiant</t>
  </si>
  <si>
    <t>EJT jobstudenten</t>
  </si>
  <si>
    <t>WNG Studentenjob</t>
  </si>
  <si>
    <t>32B0</t>
  </si>
  <si>
    <t>20B0</t>
  </si>
  <si>
    <t>20D0</t>
  </si>
  <si>
    <t>20E0</t>
  </si>
  <si>
    <t>4201 M</t>
  </si>
  <si>
    <t>4202 M</t>
  </si>
  <si>
    <t>4085 M</t>
  </si>
  <si>
    <t>4087 Kniv1 M</t>
  </si>
  <si>
    <t>4087 Kniv2 M</t>
  </si>
  <si>
    <t>4086/4156 M</t>
  </si>
  <si>
    <t>Manipulatie grensbedrag schuld - schuldbemiddeling</t>
  </si>
  <si>
    <t>V - Opzeggingsdagen</t>
  </si>
  <si>
    <t>I - Déplacement F/L-021</t>
  </si>
  <si>
    <t>V - Verplaatsing F/L-021</t>
  </si>
  <si>
    <t>V - Außendienst F/L-021</t>
  </si>
  <si>
    <t>4090</t>
  </si>
  <si>
    <t>I - Déplacement F/L-096</t>
  </si>
  <si>
    <t>Partie variable supplémentaire limitée</t>
  </si>
  <si>
    <t>Autres indemnités du Cadre Administratif et Logistique</t>
  </si>
  <si>
    <t>Rémunération secrétaire de la zone de Police</t>
  </si>
  <si>
    <t>I - Maître chien</t>
  </si>
  <si>
    <t>V.Mor-M</t>
  </si>
  <si>
    <t>B.XLAP10</t>
  </si>
  <si>
    <t>0D29</t>
  </si>
  <si>
    <t>A159</t>
  </si>
  <si>
    <t>0B12</t>
  </si>
  <si>
    <t>F_B1D26F0</t>
  </si>
  <si>
    <t>00BT1</t>
  </si>
  <si>
    <t>00BT2</t>
  </si>
  <si>
    <t>00BT3</t>
  </si>
  <si>
    <t>00CA1</t>
  </si>
  <si>
    <t>00CA2</t>
  </si>
  <si>
    <t>00CA3</t>
  </si>
  <si>
    <t>00CT1</t>
  </si>
  <si>
    <t>00CT2</t>
  </si>
  <si>
    <t>00CT3</t>
  </si>
  <si>
    <t>00CTA</t>
  </si>
  <si>
    <t>0NB01</t>
  </si>
  <si>
    <t>0NB02</t>
  </si>
  <si>
    <t>0NB03</t>
  </si>
  <si>
    <t>0NC01</t>
  </si>
  <si>
    <t>0NC02</t>
  </si>
  <si>
    <t>0NC03</t>
  </si>
  <si>
    <t>0NDT5</t>
  </si>
  <si>
    <t>VSSE_C1</t>
  </si>
  <si>
    <t>VSSE_C2</t>
  </si>
  <si>
    <t>34</t>
  </si>
  <si>
    <t>35</t>
  </si>
  <si>
    <t>36</t>
  </si>
  <si>
    <t>37</t>
  </si>
  <si>
    <t>38</t>
  </si>
  <si>
    <t>39</t>
  </si>
  <si>
    <t>40</t>
  </si>
  <si>
    <t>Bertem / Huldenberg / Oud-Heverlee - Tervuren (Voer en Dijle)</t>
  </si>
  <si>
    <t>5908</t>
  </si>
  <si>
    <t>ZONE DE POLICE NIVELLES - GENAPPE</t>
  </si>
  <si>
    <t>0150-00-62</t>
  </si>
  <si>
    <t>ZONE DE POLICE OUEST BRABANT WALLON</t>
  </si>
  <si>
    <t>0151-00-65</t>
  </si>
  <si>
    <t>ZONE DE POLICE LA MAZERINE</t>
  </si>
  <si>
    <t>0152-00-68</t>
  </si>
  <si>
    <t>ZONE DE POLICE ORNE-THYLE</t>
  </si>
  <si>
    <t>0153-00-71</t>
  </si>
  <si>
    <t>ZONE DE POLICE DE WAVRE</t>
  </si>
  <si>
    <t>0154-00-74</t>
  </si>
  <si>
    <t>ZONE DE POLICE ARDENNES BRABANCONNES</t>
  </si>
  <si>
    <t>0155-00-77</t>
  </si>
  <si>
    <t>ZONE DE POLICE DE BRAINE L'ALLEUD</t>
  </si>
  <si>
    <t>0156-00-80</t>
  </si>
  <si>
    <t>ZONE DE POLICE DE WATERLOO</t>
  </si>
  <si>
    <t>0157-00-83</t>
  </si>
  <si>
    <t>ZONE DE POLICE D'OTTIGNIES LOUVAIN-LA-NEUVE</t>
  </si>
  <si>
    <t>0158-00-86</t>
  </si>
  <si>
    <t>0159-00-89</t>
  </si>
  <si>
    <t>ZONE DE POLICE DE LIEGE</t>
  </si>
  <si>
    <t>0160-00-92</t>
  </si>
  <si>
    <t>ZONE DE POLICE DE SERAING -NEUPRE</t>
  </si>
  <si>
    <t>0161-00-95</t>
  </si>
  <si>
    <t>ZONE DE POLICE DE HERSTAL</t>
  </si>
  <si>
    <t>0162-00-01</t>
  </si>
  <si>
    <t>ZONE DE POLICE DE SOUMAGNE/BEYNE-HEUSAY/FLERON</t>
  </si>
  <si>
    <t>0163-00-04</t>
  </si>
  <si>
    <t>ZONE DE POLICE BASSE-MEUSE</t>
  </si>
  <si>
    <t>0164-00-07</t>
  </si>
  <si>
    <t>ZONE DE POLICE DE FLEMALLE</t>
  </si>
  <si>
    <t>0165-00-10</t>
  </si>
  <si>
    <t>ZONE DE POLICE DE AYWAILLE/CHAUDFONTAINE/ESNEUX/SPRIMONT/TROOZ</t>
  </si>
  <si>
    <t>0166-00-13</t>
  </si>
  <si>
    <t>ZONE DE POLICE DE ANS/SAINT-NICOLAS</t>
  </si>
  <si>
    <t>0167-00-16</t>
  </si>
  <si>
    <t>ZONE DE POLICE DE AWANS/GRACE-HOLLOGNE</t>
  </si>
  <si>
    <t>0168-00-19</t>
  </si>
  <si>
    <t>ZONE DE POLICE DE LA HESBAYE</t>
  </si>
  <si>
    <t>0169-00-22</t>
  </si>
  <si>
    <t>ZONE DE POLICE DES FAGNES</t>
  </si>
  <si>
    <t>0170-00-25</t>
  </si>
  <si>
    <t>ZONE DE POLICE DU PAYS DE HERVE</t>
  </si>
  <si>
    <t>0171-00-28</t>
  </si>
  <si>
    <t>ZONE DE POLICE DE DISON/PEPINSTER/VERVIERS</t>
  </si>
  <si>
    <t>0172-00-31</t>
  </si>
  <si>
    <t>ZONE DE POLICE DE STAVELOT/MALMEDY</t>
  </si>
  <si>
    <t>0173-00-34</t>
  </si>
  <si>
    <t>POLIZEIZONE EIFEL</t>
  </si>
  <si>
    <t>0174-00-37</t>
  </si>
  <si>
    <t>POLIZEIZONE WESER-GHOL</t>
  </si>
  <si>
    <t>0175-00-40</t>
  </si>
  <si>
    <t>ZONE DE POLICE DE LA HESBAYE OUEST</t>
  </si>
  <si>
    <t>0176-00-43</t>
  </si>
  <si>
    <t>ZONE DE POLICE DE AMAY/ENGIS/SAINT-GEORGES-SUR-MEUSE/VERLAINE/VILLERS-LE-BOUILLET/WANZE</t>
  </si>
  <si>
    <t>0177-00-46</t>
  </si>
  <si>
    <t>ZONE DE POLICE DE HUY</t>
  </si>
  <si>
    <t>0178-00-49</t>
  </si>
  <si>
    <t>ZONE DE POLICE DU CONDROZ</t>
  </si>
  <si>
    <t>0179-00-52</t>
  </si>
  <si>
    <t>ZONE DE POLICE D'ARLON/ATTERT/HABAY/MARTELANGE</t>
  </si>
  <si>
    <t>0180-00-55</t>
  </si>
  <si>
    <t>ZONE DE POLICE SUD-LUXEMBOURG</t>
  </si>
  <si>
    <t>0181-00-58</t>
  </si>
  <si>
    <t>ZONE DE POLICE DE GAUME</t>
  </si>
  <si>
    <t>0182-00-61</t>
  </si>
  <si>
    <t>ZONE DE POLICE FAMENNE-ARDENNE</t>
  </si>
  <si>
    <t>0183-00-64</t>
  </si>
  <si>
    <t>ZONE DE POLICE CENTRE ARDENNE</t>
  </si>
  <si>
    <t>0184-00-67</t>
  </si>
  <si>
    <t>ZONE DE POLICE SEMOIS ET LESSE</t>
  </si>
  <si>
    <t>0185-00-70</t>
  </si>
  <si>
    <t>ZONE DE POLICE DE NAMUR</t>
  </si>
  <si>
    <t>0186-00-73</t>
  </si>
  <si>
    <t>ZONE DE POLICE ORNEAU-MEHAIGNE</t>
  </si>
  <si>
    <t>0187-00-76</t>
  </si>
  <si>
    <t>ZONE DE POLICE DES ARCHES</t>
  </si>
  <si>
    <t>0188-00-79</t>
  </si>
  <si>
    <t>ZONE DE POLICE ENTRE SAMBRE ET MEUSE</t>
  </si>
  <si>
    <t>0189-00-82</t>
  </si>
  <si>
    <t>ZONE DE POLICE SAMSOM</t>
  </si>
  <si>
    <t>0190-00-85</t>
  </si>
  <si>
    <t>ZONE DE POLICE DE JEMEPPE-SUR-SAMBRE</t>
  </si>
  <si>
    <t>0191-00-88</t>
  </si>
  <si>
    <t>ZONE DE POLICE FLOWAL</t>
  </si>
  <si>
    <t>0192-00-91</t>
  </si>
  <si>
    <t>ZONE DE POLICE DE BEAURAING/BIEVRE/GEDINNE/VRESSE-SUR-SEMOIS</t>
  </si>
  <si>
    <t>0193-00-94</t>
  </si>
  <si>
    <t>ZONE DE POLICE DE COUVIN/VIROINVAL</t>
  </si>
  <si>
    <t>0194-00-97</t>
  </si>
  <si>
    <t>ZONE DE POLICE HAUTE MEUSE</t>
  </si>
  <si>
    <t>0195-00-03</t>
  </si>
  <si>
    <t>ZONE DE POLICE LESSE ET LHOMME</t>
  </si>
  <si>
    <t>0196-00-06</t>
  </si>
  <si>
    <t>ZONE DE POLICE CONDROZ-FAMENNE</t>
  </si>
  <si>
    <t>0197-00-09</t>
  </si>
  <si>
    <t>ZONE DE POLICE HERMETON ET HEURE</t>
  </si>
  <si>
    <t>0198-00-12</t>
  </si>
  <si>
    <t>ZONE DE POLICE DU TOURNAISIS</t>
  </si>
  <si>
    <t>0199-00-15</t>
  </si>
  <si>
    <t>ZONE DE POLICE DE MOUSCRON</t>
  </si>
  <si>
    <t>0200-00-18</t>
  </si>
  <si>
    <t>ZONE DE POLICE COMINES-WARNETON</t>
  </si>
  <si>
    <t>0201-00-21</t>
  </si>
  <si>
    <t>ZONE DE POLICE BELOEIL/LEUZE-HT</t>
  </si>
  <si>
    <t>0202-00-24</t>
  </si>
  <si>
    <t>ZONE DE POLICE DE CELLES/ESTAIMPUIS</t>
  </si>
  <si>
    <t>0203-00-27</t>
  </si>
  <si>
    <t>ZONE DE POLICE BERNISSART-PERUWELZ</t>
  </si>
  <si>
    <t>0204-00-30</t>
  </si>
  <si>
    <t>ZONE DE POLICE D'ATH</t>
  </si>
  <si>
    <t>0205-00-33</t>
  </si>
  <si>
    <t>ZONE DE POLICE DES COLLINES</t>
  </si>
  <si>
    <t>0206-00-36</t>
  </si>
  <si>
    <t>ZONE DE POLICE DE MONS/QUEVY</t>
  </si>
  <si>
    <t>0207-00-39</t>
  </si>
  <si>
    <t>ZONE DE POLICE DE LA LOUVIERE</t>
  </si>
  <si>
    <t>0208-00-42</t>
  </si>
  <si>
    <t>ZONE DE POLICE DE SYLLE ET DENDRE</t>
  </si>
  <si>
    <t>0209-00-45</t>
  </si>
  <si>
    <t>ZONE DE POLICE BORAINE</t>
  </si>
  <si>
    <t>0210-00-48</t>
  </si>
  <si>
    <t>ZONE DE POLICE HAUTE SENNE</t>
  </si>
  <si>
    <t>0211-00-51</t>
  </si>
  <si>
    <t>ZONE DE POLICE DES HAUTS-PAYS</t>
  </si>
  <si>
    <t>0212-00-54</t>
  </si>
  <si>
    <t>ZONE DE POLICE DE CHARLEROI</t>
  </si>
  <si>
    <t>0213-00-57</t>
  </si>
  <si>
    <t>ZONE DE POLICE DE AISEAU-PRESLES/CHATELET/FARCIENNES</t>
  </si>
  <si>
    <t>0214-00-60</t>
  </si>
  <si>
    <t>ZONE DE POLICE D'ANDERLUES/BINCHE</t>
  </si>
  <si>
    <t>0215-00-63</t>
  </si>
  <si>
    <t>ZONE DE POLICE LERMES</t>
  </si>
  <si>
    <t>0216-00-66</t>
  </si>
  <si>
    <t>ZONE DE POLICE BOTTE DU HAINAUT</t>
  </si>
  <si>
    <t>0217-00-69</t>
  </si>
  <si>
    <t>ZONE DE POLICE DE MARIEMONT</t>
  </si>
  <si>
    <t>0218-00-72</t>
  </si>
  <si>
    <t>ZONE DE POLICE DES TRIEUX</t>
  </si>
  <si>
    <t>0219-00-75</t>
  </si>
  <si>
    <t>ZONE DE POLICE DE FLEURUS/LES BONS VILLERS/PONT-A-CELLES</t>
  </si>
  <si>
    <t>0220-00-78</t>
  </si>
  <si>
    <t>ZONE DE POLICE DE GERPINNES/HAM-SUR-HEURE-NALINNES/MONTIGNY-LE-TILLEUL/THUIN</t>
  </si>
  <si>
    <t>0221-00-81</t>
  </si>
  <si>
    <t>ZONE DE POLICE DE BRUXELLES CAPITALE/IXELLES</t>
  </si>
  <si>
    <t>2500-00-31</t>
  </si>
  <si>
    <t>ZONE DE POLICE BRUXELLES-OUEST</t>
  </si>
  <si>
    <t>2501-00-34</t>
  </si>
  <si>
    <t>ZONE DE POLICE DE BRUXELLES-MIDI</t>
  </si>
  <si>
    <t>2502-00-37</t>
  </si>
  <si>
    <t>ZONE DE POLICE D'UCCLE/W-B/AUDERGHEM</t>
  </si>
  <si>
    <t>2503-00-40</t>
  </si>
  <si>
    <t>ZONE DE POLICE MONTGOMERY</t>
  </si>
  <si>
    <t>2504-00-43</t>
  </si>
  <si>
    <t>ZONE DE POLICE SCHAERBEEK/SAINT-JOSSE/EVERE</t>
  </si>
  <si>
    <t>2505-00-46</t>
  </si>
  <si>
    <t>POLITIEZONE ANTWERPEN</t>
  </si>
  <si>
    <t>6150-00-20</t>
  </si>
  <si>
    <t>POLITIEZONE VAN ZWIJNDRECHT</t>
  </si>
  <si>
    <t>6151-00-23</t>
  </si>
  <si>
    <t>POLITIEZONE RUPEL</t>
  </si>
  <si>
    <t>6152-00-26</t>
  </si>
  <si>
    <t>6153-00-29</t>
  </si>
  <si>
    <t>POLITIEZONE HEKLA</t>
  </si>
  <si>
    <t>6154-00-32</t>
  </si>
  <si>
    <t>POLITIEZONE GRENS</t>
  </si>
  <si>
    <t>6155-00-35</t>
  </si>
  <si>
    <t>POLITIEZONE BOECHOUT/BORSBEEK/MORTSEL/WIJNEGEM/WOMMELGEM</t>
  </si>
  <si>
    <t>6156-00-38</t>
  </si>
  <si>
    <t>POLITIEZONE BRASSCHAAT</t>
  </si>
  <si>
    <t>6157-00-41</t>
  </si>
  <si>
    <t>POLITIEZONE SCHOTEN</t>
  </si>
  <si>
    <t>6158-00-44</t>
  </si>
  <si>
    <t>POLITIEZONE RANST/ZANDHOVEN</t>
  </si>
  <si>
    <t>6159-00-47</t>
  </si>
  <si>
    <t>POLITIEZONE VOORKEMPEN</t>
  </si>
  <si>
    <t>6160-00-50</t>
  </si>
  <si>
    <t>POLITIEZONE BORNEM/PUURS/SINT-AMANDS</t>
  </si>
  <si>
    <t>6161-00-53</t>
  </si>
  <si>
    <t>POLITIEZONE WILLEBROEK</t>
  </si>
  <si>
    <t>6162-00-56</t>
  </si>
  <si>
    <t>POLITIEZONE MECHELEN</t>
  </si>
  <si>
    <t>6163-00-59</t>
  </si>
  <si>
    <t>POLITIEZONE BODUKAP</t>
  </si>
  <si>
    <t>6164-00-62</t>
  </si>
  <si>
    <t>POLITIEZONE LIER</t>
  </si>
  <si>
    <t>6165-00-65</t>
  </si>
  <si>
    <t>POLITIEZONE BERLAAR/NIJLEN</t>
  </si>
  <si>
    <t>6166-00-68</t>
  </si>
  <si>
    <t>POLITIEZONE HEIST</t>
  </si>
  <si>
    <t>6167-00-71</t>
  </si>
  <si>
    <t>POLITIEZONE NOORDERKEMPEN</t>
  </si>
  <si>
    <t>6168-00-74</t>
  </si>
  <si>
    <t>POLITIEZONE REGIO TURNHOUT</t>
  </si>
  <si>
    <t>6169-00-77</t>
  </si>
  <si>
    <t>POLITIEZONE ZUIDERKEMPEN</t>
  </si>
  <si>
    <t>6170-00-80</t>
  </si>
  <si>
    <t>POLITIEZONE GEEL/LAAKDAL/MEERHOUT</t>
  </si>
  <si>
    <t>6171-00-83</t>
  </si>
  <si>
    <t>POLITIEZONE KEMPEN N-O</t>
  </si>
  <si>
    <t>6172-00-86</t>
  </si>
  <si>
    <t>POLITIEZONE BALEN/DESSEL/MOL</t>
  </si>
  <si>
    <t>6173-00-89</t>
  </si>
  <si>
    <t>POLITIEZONE NETELAND</t>
  </si>
  <si>
    <t>6174-00-92</t>
  </si>
  <si>
    <t>POLITIEZONE HAZODI</t>
  </si>
  <si>
    <t>6175-00-95</t>
  </si>
  <si>
    <t>POLITIEZONE LOMMEL</t>
  </si>
  <si>
    <t>6176-00-01</t>
  </si>
  <si>
    <t>POLITIEZONE HAMONT-ACHEL/NEERPELT/OVERPELT</t>
  </si>
  <si>
    <t>6177-00-04</t>
  </si>
  <si>
    <t>POLITIEZONE BERINGEN/HAM/TESSENDERLO</t>
  </si>
  <si>
    <t>6178-00-07</t>
  </si>
  <si>
    <t>POLITIEZONE WEST-LIMBURG</t>
  </si>
  <si>
    <t>6179-00-10</t>
  </si>
  <si>
    <t>POLITIEZONE HEUSEN-ZOLDER</t>
  </si>
  <si>
    <t>6180-00-13</t>
  </si>
  <si>
    <t>POLITIEZONE GINGELOM/NIEUWERKERKEN/SINT-TRUIDEN</t>
  </si>
  <si>
    <t>6181-00-16</t>
  </si>
  <si>
    <t>POLITIEZONE KEMPENLAND</t>
  </si>
  <si>
    <t>6182-00-19</t>
  </si>
  <si>
    <t>POLITIEZONE HOUTHALEN-HELCHTEREN</t>
  </si>
  <si>
    <t>6183-00-22</t>
  </si>
  <si>
    <t>POLITIEZONE KANTON BORGLOON</t>
  </si>
  <si>
    <t>6184-00-25</t>
  </si>
  <si>
    <t>POLITIEZONE TONGEREN/HERSTAPPE</t>
  </si>
  <si>
    <t>6185-00-28</t>
  </si>
  <si>
    <t>POLITIEZONE BILZEN/HOESELT/RIEMST</t>
  </si>
  <si>
    <t>6186-00-31</t>
  </si>
  <si>
    <t>POLITIEZONE VOEREN</t>
  </si>
  <si>
    <t>6187-00-34</t>
  </si>
  <si>
    <t>POLITIEZONE MAASLAND</t>
  </si>
  <si>
    <t>6188-00-37</t>
  </si>
  <si>
    <t>POLITIEZONE GAOZ</t>
  </si>
  <si>
    <t>6189-00-40</t>
  </si>
  <si>
    <t>POLITIEZONE NOORDOOST-LIMBURG</t>
  </si>
  <si>
    <t>6190-00-43</t>
  </si>
  <si>
    <t>POLITIEZONE LANAKEN</t>
  </si>
  <si>
    <t>6191-00-46</t>
  </si>
  <si>
    <t>POLITIEZONE MAASMECHELEN</t>
  </si>
  <si>
    <t>6192-00-49</t>
  </si>
  <si>
    <t>POLITIEZONE LEUVEN</t>
  </si>
  <si>
    <t>6193-00-52</t>
  </si>
  <si>
    <t>POLITIEZONE HAGELAND</t>
  </si>
  <si>
    <t>6194-00-55</t>
  </si>
  <si>
    <t>POLITIEZONE LANDEN/LINTER/ZOUTLEEUW</t>
  </si>
  <si>
    <t>6195-00-58</t>
  </si>
  <si>
    <t>POLITIEZONE BIERBEEK/BOUTERSEM/HOLSBEEK/LUBBEEK</t>
  </si>
  <si>
    <t>6196-00-61</t>
  </si>
  <si>
    <t>POLITIEZONE TIENEN/HOEGAARDEN</t>
  </si>
  <si>
    <t>6197-00-64</t>
  </si>
  <si>
    <t>POLITIEZONE HERKO</t>
  </si>
  <si>
    <t>6198-00-67</t>
  </si>
  <si>
    <t>POLITIEZONE AARSCHOT</t>
  </si>
  <si>
    <t>6199-00-70</t>
  </si>
  <si>
    <t>POLITIEZONE HAACHT</t>
  </si>
  <si>
    <t>6200-00-73</t>
  </si>
  <si>
    <t>POLITIEZONE DEMERDAL - DSZ</t>
  </si>
  <si>
    <t>6201-00-76</t>
  </si>
  <si>
    <t>POLITIEZONE DIJLELAND</t>
  </si>
  <si>
    <t>6202-00-79</t>
  </si>
  <si>
    <t>POLITIEZONE TERVUREN</t>
  </si>
  <si>
    <t>6203-00-82</t>
  </si>
  <si>
    <t>POLITIEZONE BRT</t>
  </si>
  <si>
    <t>6204-00-85</t>
  </si>
  <si>
    <t>POLITIEZONE ZAVENTEM</t>
  </si>
  <si>
    <t>6205-00-88</t>
  </si>
  <si>
    <t>POLITIEZONE WOKRA</t>
  </si>
  <si>
    <t>6206-00-91</t>
  </si>
  <si>
    <t>POLITIEZONE DRUIVENSTREEK</t>
  </si>
  <si>
    <t>6207-00-94</t>
  </si>
  <si>
    <t>POLITIEZONE RODE</t>
  </si>
  <si>
    <t>6208-00-97</t>
  </si>
  <si>
    <t>POLITIEZONE BEERSEL</t>
  </si>
  <si>
    <t>6209-00-03</t>
  </si>
  <si>
    <t>POLITIEZONE BEVER/GALMAARDEN/GOOIK/HERNE/LENNIK/PEPINGEN</t>
  </si>
  <si>
    <t>6210-00-06</t>
  </si>
  <si>
    <t>POLITIEZONE DILBEEK</t>
  </si>
  <si>
    <t>6211-00-09</t>
  </si>
  <si>
    <t>POLITIEZONE AFFLIGEM/LIEDEKERKE/ROOSDAAL/TERNAT</t>
  </si>
  <si>
    <t>6212-00-12</t>
  </si>
  <si>
    <t>POLITIEZONE AMOW</t>
  </si>
  <si>
    <t>6213-00-15</t>
  </si>
  <si>
    <t>POLITIEZONE KLM</t>
  </si>
  <si>
    <t>6214-00-18</t>
  </si>
  <si>
    <t>POLITIEZONE GRIMBERGEN</t>
  </si>
  <si>
    <t>6215-00-21</t>
  </si>
  <si>
    <t>POLITIEZONE VILVOORDE/MACHELEN</t>
  </si>
  <si>
    <t>6216-00-24</t>
  </si>
  <si>
    <t>POLITIEZONE KASTZE</t>
  </si>
  <si>
    <t>6217-00-27</t>
  </si>
  <si>
    <t>POLITIEZONE HALLE</t>
  </si>
  <si>
    <t>6218-00-30</t>
  </si>
  <si>
    <t>POLITIEZONE SINT-PIETERS-LEEUW</t>
  </si>
  <si>
    <t>6219-00-33</t>
  </si>
  <si>
    <t>POLITIEZONE GENT</t>
  </si>
  <si>
    <t>6220-00-36</t>
  </si>
  <si>
    <t>POLITIEZONE LOCHRISTI/MOERBEKE/WACHTEBEKE/ZELZATE</t>
  </si>
  <si>
    <t>6221-00-39</t>
  </si>
  <si>
    <t>POLITIEZONE EEKLO/KAPRIJKE/SINT-LAUREINS</t>
  </si>
  <si>
    <t>6222-00-42</t>
  </si>
  <si>
    <t>POLITIEZONE RHODE EN SCHELDE</t>
  </si>
  <si>
    <t>6223-00-45</t>
  </si>
  <si>
    <t>POLITIEZONE SCHELDE - LEIE</t>
  </si>
  <si>
    <t>6224-00-48</t>
  </si>
  <si>
    <t>POLITIEZONE DEINZE/ZULTE</t>
  </si>
  <si>
    <t>6225-00-51</t>
  </si>
  <si>
    <t>POLITIEZONE ASSENEDE/EVERGEM</t>
  </si>
  <si>
    <t>6226-00-54</t>
  </si>
  <si>
    <t>POLITIEZONE LOWAZONE</t>
  </si>
  <si>
    <t>6227-00-57</t>
  </si>
  <si>
    <t>POLITIEZONE AALTER/KNESSELARE</t>
  </si>
  <si>
    <t>6228-00-60</t>
  </si>
  <si>
    <t>POLITIEZONE MALDEGEM</t>
  </si>
  <si>
    <t>6229-00-63</t>
  </si>
  <si>
    <t>POLITIEZONE VLAAMSE ARDENNEN</t>
  </si>
  <si>
    <t>6230-00-66</t>
  </si>
  <si>
    <t>POLITIEZONE BRAKEL</t>
  </si>
  <si>
    <t>6231-00-69</t>
  </si>
  <si>
    <t>POLITIEZONE RONSE</t>
  </si>
  <si>
    <t>6232-00-72</t>
  </si>
  <si>
    <t>POLITIEZONE GERAARDSBERGEN/LIERDE</t>
  </si>
  <si>
    <t>6233-00-75</t>
  </si>
  <si>
    <t>POLITIEZONE ZOTTEGEM/HERZELE/STLHOUTEM</t>
  </si>
  <si>
    <t>6234-00-78</t>
  </si>
  <si>
    <t>POLITIEZONE BEVEREN</t>
  </si>
  <si>
    <t>6235-00-81</t>
  </si>
  <si>
    <t>POLITIEZONE SINT-GILLIS-WAAS/STEKENE</t>
  </si>
  <si>
    <t>6236-00-84</t>
  </si>
  <si>
    <t>POLITIEZONE SINT-NIKLAAS</t>
  </si>
  <si>
    <t>6237-00-87</t>
  </si>
  <si>
    <t>POLITIEZONE KRUIBEKE/TEMSE</t>
  </si>
  <si>
    <t>6238-00-90</t>
  </si>
  <si>
    <t>POLITIEZONE LOKEREN</t>
  </si>
  <si>
    <t>6239-00-93</t>
  </si>
  <si>
    <t>POLITIEZONE HAMME/WAASMUNSTER</t>
  </si>
  <si>
    <t>6240-00-96</t>
  </si>
  <si>
    <t>POLITIEZONE BERLARE/ZELE</t>
  </si>
  <si>
    <t>6241-00-02</t>
  </si>
  <si>
    <t>POLITIEZONE BUGGENHOUT/ LEBBEKE</t>
  </si>
  <si>
    <t>6242-00-05</t>
  </si>
  <si>
    <t>POLITIEZONE WETTEREN/LAARNE/WICHELEN</t>
  </si>
  <si>
    <t>6243-00-08</t>
  </si>
  <si>
    <t>POLITIEZONE DENDERLEEUW/HAALTERT</t>
  </si>
  <si>
    <t>6244-00-11</t>
  </si>
  <si>
    <t>POLITIEZONE AALST</t>
  </si>
  <si>
    <t>6245-00-14</t>
  </si>
  <si>
    <t>POLITIEZONE ERPE-MERE/LEDE</t>
  </si>
  <si>
    <t>6246-00-17</t>
  </si>
  <si>
    <t>POLITIEZONE NINOVE</t>
  </si>
  <si>
    <t>6247-00-20</t>
  </si>
  <si>
    <t>POLITIEZONE DENDERMONDE</t>
  </si>
  <si>
    <t>6248-00-23</t>
  </si>
  <si>
    <t>POLITIEZONE BRUGGE</t>
  </si>
  <si>
    <t>6249-00-26</t>
  </si>
  <si>
    <t>POLITIEZONE BLANKENBERGE/ZUIENKERKE</t>
  </si>
  <si>
    <t>6250-00-29</t>
  </si>
  <si>
    <t>POLITIEZONE DAMME/KNOKKE-HEIST</t>
  </si>
  <si>
    <t>6251-00-32</t>
  </si>
  <si>
    <t>POLITIEZONE HET HOUTSCHE</t>
  </si>
  <si>
    <t>6252-00-35</t>
  </si>
  <si>
    <t>6253-00-38</t>
  </si>
  <si>
    <t>POLITIEZONE OOSTENDE</t>
  </si>
  <si>
    <t>6254-00-41</t>
  </si>
  <si>
    <t>POLITIEZONE BREDENE/DE HAAN</t>
  </si>
  <si>
    <t>6255-00-44</t>
  </si>
  <si>
    <t>POLITIEZONE MIDDELKERKE</t>
  </si>
  <si>
    <t>6256-00-47</t>
  </si>
  <si>
    <t>POLITIEZONE KOUTER</t>
  </si>
  <si>
    <t>6257-00-50</t>
  </si>
  <si>
    <t>POLITIEZONE RIHO</t>
  </si>
  <si>
    <t>6258-00-53</t>
  </si>
  <si>
    <t>POLITIEZONE MIDOW</t>
  </si>
  <si>
    <t>6259-00-56</t>
  </si>
  <si>
    <t>POLITIEZONE GRENSLEIE</t>
  </si>
  <si>
    <t>6260-00-59</t>
  </si>
  <si>
    <t>POLITIEZONE VLAS</t>
  </si>
  <si>
    <t>6261-00-62</t>
  </si>
  <si>
    <t>POLITIEZONE MIRA</t>
  </si>
  <si>
    <t>6262-00-65</t>
  </si>
  <si>
    <t>POLITIEZONE GAVERS</t>
  </si>
  <si>
    <t>6263-00-68</t>
  </si>
  <si>
    <t>POLITIEZONE SPOORKIN</t>
  </si>
  <si>
    <t>6264-00-71</t>
  </si>
  <si>
    <t>POLITIEZONE POLDER</t>
  </si>
  <si>
    <t>6265-00-74</t>
  </si>
  <si>
    <t>POLITIEZONE WESTKUST</t>
  </si>
  <si>
    <t>6266-00-77</t>
  </si>
  <si>
    <t>POLITIEZONE ARRO IEPER</t>
  </si>
  <si>
    <t>6267-00-80</t>
  </si>
  <si>
    <t>POLITIEZONE LAMA</t>
  </si>
  <si>
    <t>POLITIEZONE Midden Limburg</t>
  </si>
  <si>
    <t>POLITIEZONE Waasland Noord</t>
  </si>
  <si>
    <t>POLITIEZONE ZenneVallei</t>
  </si>
  <si>
    <t>POLITIEZONE MeWi</t>
  </si>
  <si>
    <t>POLITIEZONE Limburg Regio Hoofdstad</t>
  </si>
  <si>
    <t>POLITIEZONE Voer en Dijle</t>
  </si>
  <si>
    <t>BIL
TWEET</t>
  </si>
  <si>
    <t>Info Fusion</t>
  </si>
  <si>
    <t>Libellé F ou N</t>
  </si>
  <si>
    <t>Nr affiliation
ORPPS
nummer
DIBISS</t>
  </si>
  <si>
    <t>année
report Décembre X</t>
  </si>
  <si>
    <t>Odre des fusions</t>
  </si>
  <si>
    <t>N° ID ZP</t>
  </si>
  <si>
    <t>Anzegem / Avelgem / Spiere-Helkijn / Waregem / Zwevegem</t>
  </si>
  <si>
    <t>Heuvelland / Ieper / Langemark-Poelkapelle / Mesen / Moorslede / Poperinge / Staden / Vleteren / Wervik / Zonnebeke</t>
  </si>
  <si>
    <t>Herstappe / Tongeren</t>
  </si>
  <si>
    <t>Bever / Galmaarden / Gooik / Herne / Lennik / Pepingen</t>
  </si>
  <si>
    <t>Asse / Merchtem / Opwijk / Wemmel</t>
  </si>
  <si>
    <t>POLITIEZONE REGIO TIELT</t>
  </si>
  <si>
    <t>ZONE DE POLICE Brabant Wallon Est</t>
  </si>
  <si>
    <t>-----&gt; formule  pour intégrer le payement de décembre X des membres payés à terme échu en X+1 dans le budget X + ECA</t>
  </si>
  <si>
    <t>W_B2</t>
  </si>
  <si>
    <t>0B04</t>
  </si>
  <si>
    <t>2012</t>
  </si>
  <si>
    <t>Fract tps s. discipline 75%</t>
  </si>
  <si>
    <t>Tijdsbr tuchtstraf 75%</t>
  </si>
  <si>
    <t>2013</t>
  </si>
  <si>
    <t>Fract tps s. discipline 100%</t>
  </si>
  <si>
    <t>Tijdsbr tuchtstraf 100%</t>
  </si>
  <si>
    <t>2014</t>
  </si>
  <si>
    <t>2043</t>
  </si>
  <si>
    <t>Fract tps Pec Vac 75</t>
  </si>
  <si>
    <t>Tijdsbr VG 75</t>
  </si>
  <si>
    <t>2106</t>
  </si>
  <si>
    <t>3523</t>
  </si>
  <si>
    <t>Congé politique facultatif</t>
  </si>
  <si>
    <t>Politiek verlof facultatief</t>
  </si>
  <si>
    <t>3524</t>
  </si>
  <si>
    <t>Congé politique d'office</t>
  </si>
  <si>
    <t>Politiek verlof van ambtswege</t>
  </si>
  <si>
    <t>3527</t>
  </si>
  <si>
    <t>Non-activité préalable à la pension (NAPP)</t>
  </si>
  <si>
    <t>Non-activiteit voorafgaand aan pensioen (NAVAP)</t>
  </si>
  <si>
    <t>3912</t>
  </si>
  <si>
    <t>3913</t>
  </si>
  <si>
    <t>3914</t>
  </si>
  <si>
    <t>3915</t>
  </si>
  <si>
    <t>4232</t>
  </si>
  <si>
    <t>Traitement de protection</t>
  </si>
  <si>
    <t>4294</t>
  </si>
  <si>
    <t>Traitement d'attente NAPP</t>
  </si>
  <si>
    <t>Wachtgeld NAVAP</t>
  </si>
  <si>
    <t>4295</t>
  </si>
  <si>
    <t>4296</t>
  </si>
  <si>
    <t>A - Assistant de protection transféré</t>
  </si>
  <si>
    <t>T - Overgeplaatste beschermingsassistent</t>
  </si>
  <si>
    <t>4311</t>
  </si>
  <si>
    <t>4312</t>
  </si>
  <si>
    <t>4313</t>
  </si>
  <si>
    <t>4314</t>
  </si>
  <si>
    <t>4315</t>
  </si>
  <si>
    <t>4316</t>
  </si>
  <si>
    <t>4317</t>
  </si>
  <si>
    <t>4318</t>
  </si>
  <si>
    <t>4319</t>
  </si>
  <si>
    <t>4320</t>
  </si>
  <si>
    <t>4321</t>
  </si>
  <si>
    <t>4322</t>
  </si>
  <si>
    <t>4323</t>
  </si>
  <si>
    <t>4324</t>
  </si>
  <si>
    <t>4325</t>
  </si>
  <si>
    <t>4326</t>
  </si>
  <si>
    <t>Chèque cadeau - soumis PP</t>
  </si>
  <si>
    <t>4327</t>
  </si>
  <si>
    <t>Chèque cadeau - soumis ONSS</t>
  </si>
  <si>
    <t>4330</t>
  </si>
  <si>
    <t>4331</t>
  </si>
  <si>
    <t>4332</t>
  </si>
  <si>
    <t>4333</t>
  </si>
  <si>
    <t>4334</t>
  </si>
  <si>
    <t>4335</t>
  </si>
  <si>
    <t>7500</t>
  </si>
  <si>
    <t>Salaire annuel barémique</t>
  </si>
  <si>
    <t>Baremieke jaarwedde</t>
  </si>
  <si>
    <t>7501</t>
  </si>
  <si>
    <t>Supplément de salaire unités montant</t>
  </si>
  <si>
    <t>Weddebijslag eenheden bedrag</t>
  </si>
  <si>
    <t>8400</t>
  </si>
  <si>
    <t>Interv. ds.sal.net CPEP</t>
  </si>
  <si>
    <t>Tussenkomst nettoloon</t>
  </si>
  <si>
    <t>9001</t>
  </si>
  <si>
    <t>Ellezelles / Flobecq / Frasnes-Lez-Anvaing / Lessines</t>
  </si>
  <si>
    <t>Brugelette / Chièvres / Enghien / Jurbise / Lens / Silly</t>
  </si>
  <si>
    <t>POLITIEZONE  NOORD</t>
  </si>
  <si>
    <t>Contractuel (2) / Statutair (1)
NAPAP (5)</t>
  </si>
  <si>
    <t>disndag 01-07-2014
Fusie 01-01-2018</t>
  </si>
  <si>
    <t>2
8</t>
  </si>
  <si>
    <t>Houthalen-Helchteren/As / Genk / Opglabbeek / Zutendaal (MidLim) 
Bocholt / Bree / Kinrooi / Meeuwen-Gruitrode</t>
  </si>
  <si>
    <t>POLITIEZONE CARMA</t>
  </si>
  <si>
    <t>W.CP2</t>
  </si>
  <si>
    <t>CP20</t>
  </si>
  <si>
    <t>V.3.1.60</t>
  </si>
  <si>
    <t>L011</t>
  </si>
  <si>
    <t>Mt Trim 
Plafond
SubSoc II
NonIndexé</t>
  </si>
  <si>
    <t>Prévision index juillet 2018</t>
  </si>
  <si>
    <t>inputbudgetfr-15072016_0.xlsx</t>
  </si>
  <si>
    <t>voir aussi:</t>
  </si>
  <si>
    <t>111-10/00</t>
  </si>
  <si>
    <t>NAPAP: traitement d'attente</t>
  </si>
  <si>
    <t>NAPAP: Allocation Fin d'année  (AFA)</t>
  </si>
  <si>
    <t>Allocation Fin d'année (AFA) - Régularisations</t>
  </si>
  <si>
    <t>111-12/00</t>
  </si>
  <si>
    <t>NAPAP:  pécule de Vacances - régularisation</t>
  </si>
  <si>
    <t>NAPAP: Traitement d'attente</t>
  </si>
  <si>
    <t>NAPAP: Allocation Fin d'année (AFA)</t>
  </si>
  <si>
    <t>Allocation Fin d'année (AFA)</t>
  </si>
  <si>
    <t>Allocation de vacances NAPAP</t>
  </si>
  <si>
    <t>rio 2017/982</t>
  </si>
  <si>
    <t>ejt</t>
  </si>
  <si>
    <t>Pplp56 Pag11</t>
  </si>
  <si>
    <t>b5New</t>
  </si>
  <si>
    <t>m5new</t>
  </si>
  <si>
    <t>b5oa</t>
  </si>
  <si>
    <t>cs5oa</t>
  </si>
  <si>
    <t>b4New</t>
  </si>
  <si>
    <t>cs4oa</t>
  </si>
  <si>
    <t>SSGPI_2019</t>
  </si>
  <si>
    <t>PS scale
El Bar</t>
  </si>
  <si>
    <t>begrotingsjaar C1 blad PARA</t>
  </si>
  <si>
    <t>in voege Nego</t>
  </si>
  <si>
    <t>vanaf '07/2019</t>
  </si>
  <si>
    <t>vanaf '07/2020</t>
  </si>
  <si>
    <t>vanaf11/22</t>
  </si>
  <si>
    <t>Opmerking</t>
  </si>
  <si>
    <t>beste van
CS4  of
B4 + Prox</t>
  </si>
  <si>
    <t>beste van
CS5  of
B5 + Prox</t>
  </si>
  <si>
    <t>M41 new
new bien 27/29 jaar</t>
  </si>
  <si>
    <t>M5New 34j of 10 Jr M4.1</t>
  </si>
  <si>
    <t>M5New</t>
  </si>
  <si>
    <t>BarC  kol51
AY</t>
  </si>
  <si>
    <t>BarC  kol49  
AW</t>
  </si>
  <si>
    <t>BarC  kol47 
AU</t>
  </si>
  <si>
    <t>BarC  kol45 
AS</t>
  </si>
  <si>
    <t>BarC  kol79
CA</t>
  </si>
  <si>
    <t>BarC  kol74
BV</t>
  </si>
  <si>
    <t>BarC  kol66
BN</t>
  </si>
  <si>
    <t>BarC  kol58  
BF</t>
  </si>
  <si>
    <t>BarC  kol77
BY</t>
  </si>
  <si>
    <t>BarC  kol70
BR</t>
  </si>
  <si>
    <t>BarC  kol62
BJ</t>
  </si>
  <si>
    <t>BarC  kol54 
BB</t>
  </si>
  <si>
    <t>Niveau/Kader NewSchaal</t>
  </si>
  <si>
    <t>B4delta</t>
  </si>
  <si>
    <t>B4Delta</t>
  </si>
  <si>
    <t>B5Delta</t>
  </si>
  <si>
    <t>M4 1New</t>
  </si>
  <si>
    <t>BB1 +3,1%</t>
  </si>
  <si>
    <t>BB2.2 +3,1%</t>
  </si>
  <si>
    <t>BB3.2 +3,1%</t>
  </si>
  <si>
    <t>BB4.2 +3,1%</t>
  </si>
  <si>
    <t>B1A 07/2021 =BB1+3,1%</t>
  </si>
  <si>
    <t>B2A.2 07/2020 (=B2A2 OLD)</t>
  </si>
  <si>
    <t>B3A.2 07/2020</t>
  </si>
  <si>
    <t>B4A.2 07/2020</t>
  </si>
  <si>
    <t>B1C 
07/2020</t>
  </si>
  <si>
    <t>B2C.2 07/2020</t>
  </si>
  <si>
    <t>B3C.2 07/2020</t>
  </si>
  <si>
    <t>B4C.2 07/2020</t>
  </si>
  <si>
    <t xml:space="preserve"> toekenning vanaf</t>
  </si>
  <si>
    <t>&lt;07/2019</t>
  </si>
  <si>
    <t>&gt;=07/2019</t>
  </si>
  <si>
    <t>&gt;=2020</t>
  </si>
  <si>
    <t>&lt;07/2020</t>
  </si>
  <si>
    <t>&gt;=07/2020</t>
  </si>
  <si>
    <t>&gt;=2021</t>
  </si>
  <si>
    <t>&lt;11/2022</t>
  </si>
  <si>
    <t>&gt;= 2023</t>
  </si>
  <si>
    <t>Volledige
 schaal</t>
  </si>
  <si>
    <t xml:space="preserve">opmerking berekening </t>
  </si>
  <si>
    <t>(B4+B4New)/2</t>
  </si>
  <si>
    <t>B4New</t>
  </si>
  <si>
    <t>(B5+B5New)/2</t>
  </si>
  <si>
    <t>B5New</t>
  </si>
  <si>
    <t xml:space="preserve">er mag niet meer verdient worden voor 27 jaar anc door de M4.1of M5.1
</t>
  </si>
  <si>
    <t>Vermits er geen schaal anc of kader anc wordt meegegeven wordt de M5 new geheel of gedeeltelijk toegekend vanaf 34jaar Geld Ans</t>
  </si>
  <si>
    <t xml:space="preserve">Berekening in breuken van het te bedelen recht : 100% </t>
  </si>
  <si>
    <t>6/12+6/12  voor invoegetreding op 07/JJJJ</t>
  </si>
  <si>
    <t>10/12 +2/12 Bij invoege 11/JJJJ</t>
  </si>
  <si>
    <t xml:space="preserve">Vrijwaring </t>
  </si>
  <si>
    <t>B1A B2A2 B3A2 B3A4 of B1C B2C2 B3C2 B4C2 hoger dan BB+3,1 %</t>
  </si>
  <si>
    <t>kolom in funtie</t>
  </si>
  <si>
    <t>jaar per schaal</t>
  </si>
  <si>
    <t>b4</t>
  </si>
  <si>
    <t>34 jaar anc</t>
  </si>
  <si>
    <t>werken met bedrag</t>
  </si>
  <si>
    <t>BarNego18Ops</t>
  </si>
  <si>
    <t>M4.1 Ger</t>
  </si>
  <si>
    <t>Opleider</t>
  </si>
  <si>
    <t>jaar</t>
  </si>
  <si>
    <t>ger oz - dag</t>
  </si>
  <si>
    <t>dag</t>
  </si>
  <si>
    <t>Gelegh Lu Obs</t>
  </si>
  <si>
    <t>Km Vergoeding</t>
  </si>
  <si>
    <t>M5N</t>
  </si>
  <si>
    <t>AY-54</t>
  </si>
  <si>
    <t>AW-49</t>
  </si>
  <si>
    <t>AU-47</t>
  </si>
  <si>
    <t>AS-45</t>
  </si>
  <si>
    <t>CA-79</t>
  </si>
  <si>
    <t>BV-74</t>
  </si>
  <si>
    <t>BN-66</t>
  </si>
  <si>
    <t>BF-58</t>
  </si>
  <si>
    <t>BY-77</t>
  </si>
  <si>
    <t>BR-70</t>
  </si>
  <si>
    <t>BJ-62</t>
  </si>
  <si>
    <t>BB-54</t>
  </si>
  <si>
    <t>Col Onglet "BarC"</t>
  </si>
  <si>
    <t>nombre de MP droit aux 19 alloc</t>
  </si>
  <si>
    <t>nombre de MP PLUS DE droit aux 19 alloc</t>
  </si>
  <si>
    <t>Engagement= dateAnc
&gt;=201907  pas deAlloc Fixe</t>
  </si>
  <si>
    <t>Neutralisation Echelles effet NEGO = 2018</t>
  </si>
  <si>
    <t>Hrs supplémentaires</t>
  </si>
  <si>
    <t xml:space="preserve">Hrs de Week-end </t>
  </si>
  <si>
    <t xml:space="preserve">Hrs Nocturnes 19-22 </t>
  </si>
  <si>
    <t>Hrs Nocturnes 22-06</t>
  </si>
  <si>
    <t>Hrs Contactable et Rappelable</t>
  </si>
  <si>
    <t>Extraction "Ops"/"Calog" ou "ZP"  sont sans le CS ou Secr</t>
  </si>
  <si>
    <t>Stop19 Alloc</t>
  </si>
  <si>
    <t>Cotisation service social SSDGPI (forfait =0,15%)</t>
  </si>
  <si>
    <t>Pct: Contactable et Rappelable (Filtre/Total)</t>
  </si>
  <si>
    <t>Pct: Nocturnes 22:00-06:00 (Filtre/Total)</t>
  </si>
  <si>
    <t>Pct: Nocturnes 19:00-22:00 (Filtre/Total)</t>
  </si>
  <si>
    <t>Pct: Hrs de Week-end (Filtre/Total)</t>
  </si>
  <si>
    <t>Pct: Hrs supplémentaires (Filtre/Total)</t>
  </si>
  <si>
    <t>Hoegaarden / Tienen/Landen / Linter / Zoutleeuw</t>
  </si>
  <si>
    <t>FUSIE 2019-01-01</t>
  </si>
  <si>
    <t>FUSIE 2014-07-01</t>
  </si>
  <si>
    <t>FUSIE 2018-01-01</t>
  </si>
  <si>
    <t>FUSIE 2011-01-01</t>
  </si>
  <si>
    <t>FUSIE 2017-01-01</t>
  </si>
  <si>
    <t>FUSIE 2015-01-01</t>
  </si>
  <si>
    <t>Deinze / Zulte (2019/01 +Nevele)</t>
  </si>
  <si>
    <t>Politiezone GeteVallei</t>
  </si>
  <si>
    <t>M_MTC_Credit</t>
  </si>
  <si>
    <t>CALog A.P.E.</t>
  </si>
  <si>
    <t>Est_Cost_Avanc_Bevord</t>
  </si>
  <si>
    <t>Estimation coût avancements barémiques</t>
  </si>
  <si>
    <t>NAPAP</t>
  </si>
  <si>
    <t>Meesterschap-Vorming Selectie
Toegevoegd module 2016</t>
  </si>
  <si>
    <t>111-01/83</t>
  </si>
  <si>
    <t>126</t>
  </si>
  <si>
    <t>4338_4339 Allocation Function directeur</t>
  </si>
  <si>
    <t>Allocation Fonction Directeur à partir du  01/01/2017</t>
  </si>
  <si>
    <r>
      <t xml:space="preserve"> Si le droit est ouvert : "</t>
    </r>
    <r>
      <rPr>
        <b/>
        <sz val="10"/>
        <color indexed="12"/>
        <rFont val="Arial"/>
        <family val="2"/>
      </rPr>
      <t>Dir</t>
    </r>
    <r>
      <rPr>
        <sz val="10"/>
        <color indexed="12"/>
        <rFont val="Arial"/>
        <family val="2"/>
      </rPr>
      <t>"</t>
    </r>
  </si>
  <si>
    <t>"Dir" si  recht</t>
  </si>
  <si>
    <t>4338_4339 Allocation Fonction Directeur</t>
  </si>
  <si>
    <r>
      <t xml:space="preserve">Trop d'allocations patronales sur allocations </t>
    </r>
    <r>
      <rPr>
        <sz val="10"/>
        <rFont val="Arial"/>
        <family val="2"/>
      </rPr>
      <t xml:space="preserve">(= </t>
    </r>
    <r>
      <rPr>
        <sz val="10"/>
        <color indexed="10"/>
        <rFont val="Arial"/>
        <family val="2"/>
      </rPr>
      <t>estimation</t>
    </r>
    <r>
      <rPr>
        <sz val="10"/>
        <color indexed="20"/>
        <rFont val="Arial"/>
        <family val="2"/>
      </rPr>
      <t xml:space="preserve"> Subvention Sociale II - art 3 AR 14 mai 2002)</t>
    </r>
  </si>
  <si>
    <t>Nouveau 2019- retro actif 01/ 2017</t>
  </si>
  <si>
    <t>FK</t>
  </si>
  <si>
    <t>FM</t>
  </si>
  <si>
    <t>FO</t>
  </si>
  <si>
    <t>FQ</t>
  </si>
  <si>
    <t>FV</t>
  </si>
  <si>
    <t>FU</t>
  </si>
  <si>
    <t>Directeur</t>
  </si>
  <si>
    <t>o7/8-a41&lt;-&gt;a55</t>
  </si>
  <si>
    <t>4338/4339</t>
  </si>
  <si>
    <t>Allocation Fonction Directeur (Classe A4-A5 &amp; CPDiv O7-O8)</t>
  </si>
  <si>
    <t>New 2019</t>
  </si>
  <si>
    <t>Allocation de tenue pour Militaires 
&amp; allocation de Maîtrise /Formation /Sélection</t>
  </si>
  <si>
    <t>Allocation Fonction Directeur</t>
  </si>
  <si>
    <t>Lovendegem / Nevele / Waarschoot / Zomergem (-Nevele 01/2019)</t>
  </si>
  <si>
    <t>Vanaf 2010</t>
  </si>
  <si>
    <r>
      <t xml:space="preserve">4047 - Indemnité enquête judiciaire - Mensuel
4048 - Indemnité enquête judiciaire  - Journalier (#)
           </t>
    </r>
    <r>
      <rPr>
        <b/>
        <sz val="10"/>
        <rFont val="Arial"/>
        <family val="2"/>
      </rPr>
      <t xml:space="preserve">  07/2019 fin NewMP - New Function</t>
    </r>
  </si>
  <si>
    <r>
      <t xml:space="preserve">Allocation de proximité
</t>
    </r>
    <r>
      <rPr>
        <b/>
        <i/>
        <u/>
        <sz val="10"/>
        <rFont val="Arial"/>
        <family val="2"/>
      </rPr>
      <t>07/2019 fin 
New MP /Funct</t>
    </r>
    <r>
      <rPr>
        <sz val="10"/>
        <rFont val="Arial"/>
        <family val="2"/>
      </rPr>
      <t xml:space="preserve">
 4003</t>
    </r>
  </si>
  <si>
    <r>
      <t xml:space="preserve">Allocation de motard
4107 (transitoire)
4067 -en régime
</t>
    </r>
    <r>
      <rPr>
        <b/>
        <i/>
        <u/>
        <sz val="10"/>
        <rFont val="Arial"/>
        <family val="2"/>
      </rPr>
      <t>07/2019 fin New MP /Funct</t>
    </r>
  </si>
  <si>
    <r>
      <t xml:space="preserve">Allocation analyste criminel/stratégique </t>
    </r>
    <r>
      <rPr>
        <b/>
        <u/>
        <sz val="10"/>
        <rFont val="Arial"/>
        <family val="2"/>
      </rPr>
      <t>07/2019 fin New MP /Funct</t>
    </r>
    <r>
      <rPr>
        <sz val="10"/>
        <rFont val="Arial"/>
        <family val="2"/>
      </rPr>
      <t xml:space="preserve">
   4005&lt;-&gt;4008</t>
    </r>
  </si>
  <si>
    <r>
      <t xml:space="preserve">
Instructeur TX
</t>
    </r>
    <r>
      <rPr>
        <b/>
        <i/>
        <u/>
        <sz val="10"/>
        <rFont val="Arial"/>
        <family val="2"/>
      </rPr>
      <t>07/2019 fin New MP /Funct</t>
    </r>
    <r>
      <rPr>
        <sz val="10"/>
        <rFont val="Arial"/>
        <family val="2"/>
      </rPr>
      <t xml:space="preserve">
 - 4009
</t>
    </r>
  </si>
  <si>
    <r>
      <t xml:space="preserve">Allocation analiste Criminel ou stratégique
</t>
    </r>
    <r>
      <rPr>
        <b/>
        <i/>
        <u/>
        <sz val="10"/>
        <rFont val="Arial"/>
        <family val="2"/>
      </rPr>
      <t>Fin 07/2019 Fin New MP /Funct</t>
    </r>
  </si>
  <si>
    <t>----</t>
  </si>
  <si>
    <t>Tout calculé en X  rien en X-1 ou application de la PLP 54</t>
  </si>
  <si>
    <t>Form13OpsNab=</t>
  </si>
  <si>
    <t>Form13CalogNab=</t>
  </si>
  <si>
    <t>-----&gt; formule  pour intégrer le traitement  de décembre X uniquement des membres payés à terme échu en X+1 dans le budget X</t>
  </si>
  <si>
    <t>FormCalog13PlusECA</t>
  </si>
  <si>
    <t>FormOps13PlusECA=</t>
  </si>
  <si>
    <t>FormOps_AllinX</t>
  </si>
  <si>
    <t>FormOps2009</t>
  </si>
  <si>
    <t>formule mey berekening voor invoering  PLP 54  Lijn 20:AW20-&gt;GR20</t>
  </si>
  <si>
    <t>B.A1.50</t>
  </si>
  <si>
    <t>FormCalog_AllinX</t>
  </si>
  <si>
    <t>FORMULES : Feuille Ops (ligne 20 : calcul depuis 2009 contenant X &amp; X-1)</t>
  </si>
  <si>
    <r>
      <t xml:space="preserve">4013_4014
</t>
    </r>
    <r>
      <rPr>
        <i/>
        <u/>
        <sz val="10"/>
        <rFont val="Arial"/>
        <family val="2"/>
      </rPr>
      <t xml:space="preserve">Allocation  Dirigeant
</t>
    </r>
    <r>
      <rPr>
        <b/>
        <i/>
        <u/>
        <sz val="10"/>
        <rFont val="Arial"/>
        <family val="2"/>
      </rPr>
      <t>Fin 07/2019 New MP /Funct</t>
    </r>
  </si>
  <si>
    <t xml:space="preserve"> Pourcentages de </t>
  </si>
  <si>
    <t>RSZPPO 2014/09 
dd 26/08/2014
D2DUCTION</t>
  </si>
  <si>
    <t>GD.1OWMD</t>
  </si>
  <si>
    <t>111-09/90</t>
  </si>
  <si>
    <r>
      <t xml:space="preserve">Formulaire L021
4206 - Indemnités de repas
</t>
    </r>
    <r>
      <rPr>
        <b/>
        <sz val="8"/>
        <color indexed="10"/>
        <rFont val="Arial"/>
        <family val="2"/>
      </rPr>
      <t>Stop 11/2022</t>
    </r>
    <r>
      <rPr>
        <sz val="8"/>
        <rFont val="Arial"/>
        <family val="2"/>
      </rPr>
      <t xml:space="preserve">
4091 - Frais de séjour </t>
    </r>
  </si>
  <si>
    <r>
      <t xml:space="preserve">Formuliare L096
4207 - Indemnités de repas
</t>
    </r>
    <r>
      <rPr>
        <b/>
        <sz val="8"/>
        <color indexed="10"/>
        <rFont val="Arial"/>
        <family val="2"/>
      </rPr>
      <t>Stop 11/2022</t>
    </r>
    <r>
      <rPr>
        <sz val="8"/>
        <rFont val="Arial"/>
        <family val="2"/>
      </rPr>
      <t xml:space="preserve">
</t>
    </r>
  </si>
  <si>
    <t>Indexation en avril 2020 (04/20)</t>
  </si>
  <si>
    <t>bureau plan Indexation OCTOBRE</t>
  </si>
  <si>
    <t>Pas d'Indexation en 2019</t>
  </si>
  <si>
    <t>Indexation en juin 2022 (06/22)</t>
  </si>
  <si>
    <t>Indexation en juillet 2022 (07/22)</t>
  </si>
  <si>
    <t>Indexation en septembre 2022</t>
  </si>
  <si>
    <t>Indexation en novembre 2022 (11/22)</t>
  </si>
  <si>
    <t>Indexation en decembre 2022 (12/22)</t>
  </si>
  <si>
    <t>Indexation en octobre 2022 (11/22)</t>
  </si>
  <si>
    <t>MTC_QPP</t>
  </si>
  <si>
    <t>MTC_Patr</t>
  </si>
  <si>
    <t>Gesco</t>
  </si>
  <si>
    <t>CaLog</t>
  </si>
  <si>
    <t>Nombre MP</t>
  </si>
  <si>
    <t>EQP</t>
  </si>
  <si>
    <t>OpsEQP:</t>
  </si>
  <si>
    <r>
      <t xml:space="preserve">L021:
I - Repas
V- maaltijden
</t>
    </r>
    <r>
      <rPr>
        <sz val="8"/>
        <color rgb="FFFF0000"/>
        <rFont val="Arial"/>
        <family val="2"/>
      </rPr>
      <t>STOP 11/2022</t>
    </r>
  </si>
  <si>
    <r>
      <t xml:space="preserve">Somme 100% Repas
Som 100% Maaltijden
</t>
    </r>
    <r>
      <rPr>
        <sz val="8"/>
        <color rgb="FFFF0000"/>
        <rFont val="Arial"/>
        <family val="2"/>
      </rPr>
      <t>STOP 11/2022</t>
    </r>
  </si>
  <si>
    <r>
      <t xml:space="preserve">L096:
I - Repas
V- maaltijden
</t>
    </r>
    <r>
      <rPr>
        <sz val="8"/>
        <color rgb="FFFF0000"/>
        <rFont val="Arial"/>
        <family val="2"/>
      </rPr>
      <t>STOP 11/2022</t>
    </r>
  </si>
  <si>
    <t>CalogEQP:</t>
  </si>
  <si>
    <t>#A.P.E:</t>
  </si>
  <si>
    <t>check</t>
  </si>
  <si>
    <t>Estimation du montant en recette (Quote part Personnel: 1,09 € par CR)</t>
  </si>
  <si>
    <t>Estimation Montant à charge de la ZP à concurence de 4,91 € le CR</t>
  </si>
  <si>
    <t>Indexation en août 2022 (08/22) 
(Bureau du Plan 07/09/2021)</t>
  </si>
  <si>
    <t>161-14</t>
  </si>
  <si>
    <t>115-41</t>
  </si>
  <si>
    <t>Indexation en octobre 2021 (10/21)</t>
  </si>
  <si>
    <t>Sécretaire</t>
  </si>
  <si>
    <t>Comptable Spécial</t>
  </si>
  <si>
    <t>Art</t>
  </si>
  <si>
    <t>TotGen Art</t>
  </si>
  <si>
    <t>Scr ZP</t>
  </si>
  <si>
    <t>Estimation total dépense Cheque Repas (1 CR =6 € )</t>
  </si>
  <si>
    <t>Total Général Cheques  Repas (Toutes les codes Fonctionnelles)</t>
  </si>
  <si>
    <r>
      <t>CHR scindé par Code économique
prov chacun à droit</t>
    </r>
    <r>
      <rPr>
        <sz val="9"/>
        <color rgb="FF00B050"/>
        <rFont val="Arial"/>
        <family val="2"/>
      </rPr>
      <t xml:space="preserve">
colonnes  EX etc à adapter pour 2023</t>
    </r>
  </si>
  <si>
    <r>
      <rPr>
        <b/>
        <sz val="8"/>
        <rFont val="Arial"/>
        <family val="2"/>
      </rPr>
      <t>Nouvell colonne à prévoir "elém barémique ou elp "Contrat"</t>
    </r>
    <r>
      <rPr>
        <sz val="8"/>
        <rFont val="Arial"/>
        <family val="2"/>
      </rPr>
      <t xml:space="preserve">
Option Cheques Repas = 1 
maintien Indem Repas = 0</t>
    </r>
  </si>
  <si>
    <t>Statut CHR</t>
  </si>
  <si>
    <r>
      <rPr>
        <b/>
        <sz val="8"/>
        <rFont val="Arial"/>
        <family val="2"/>
      </rPr>
      <t>Nouvell colonne à prévoir "élém barémique ou ald "Contrat"</t>
    </r>
    <r>
      <rPr>
        <sz val="8"/>
        <rFont val="Arial"/>
        <family val="2"/>
      </rPr>
      <t xml:space="preserve">
Option Cheques Repas = 1 
maintien Indem Repas = 0</t>
    </r>
  </si>
  <si>
    <r>
      <t xml:space="preserve">Indemnités de repas : Modèle 9BIS
4163 Tabl. 1&amp;2 Type 1-8
</t>
    </r>
    <r>
      <rPr>
        <b/>
        <sz val="8"/>
        <color indexed="10"/>
        <rFont val="Arial"/>
        <family val="2"/>
      </rPr>
      <t>Remplacé par CHR  à partir de 11/22 à 6€</t>
    </r>
    <r>
      <rPr>
        <sz val="8"/>
        <rFont val="Arial"/>
        <family val="2"/>
      </rPr>
      <t xml:space="preserve">
</t>
    </r>
  </si>
  <si>
    <t>! Cheques repas 1er fois payé en 2023 !
Voir Colonnes GS-GU</t>
  </si>
  <si>
    <r>
      <t xml:space="preserve">Montant payé
</t>
    </r>
    <r>
      <rPr>
        <b/>
        <sz val="9"/>
        <color rgb="FF00B050"/>
        <rFont val="Arial"/>
        <family val="2"/>
      </rPr>
      <t xml:space="preserve">!! *10/12 pour 2022
</t>
    </r>
    <r>
      <rPr>
        <b/>
        <sz val="9"/>
        <color rgb="FF00B0F0"/>
        <rFont val="Arial"/>
        <family val="2"/>
      </rPr>
      <t xml:space="preserve">         0€     pour  2023  !!</t>
    </r>
  </si>
  <si>
    <r>
      <t xml:space="preserve">CHR scindé par Code économique
Standard  : chaque membre à le droit aux Cheques Repas
</t>
    </r>
    <r>
      <rPr>
        <sz val="9"/>
        <color rgb="FF00B050"/>
        <rFont val="Arial"/>
        <family val="2"/>
      </rPr>
      <t xml:space="preserve"> ! Droit Nov-Dec 2022
ils seront payés en 2023 !</t>
    </r>
  </si>
  <si>
    <t>Estimation Chèques Repas 2022</t>
  </si>
  <si>
    <t>01/21&lt;-&gt;12/21</t>
  </si>
  <si>
    <t>=(1,7410*9+1,7758*3)/12</t>
  </si>
  <si>
    <t>12/20&lt;-&gt;11/21</t>
  </si>
  <si>
    <t>=(1,7410*10+1,7758*2)/12</t>
  </si>
  <si>
    <r>
      <t xml:space="preserve"> 5XXX_202112ddHHmmxxxx_Budget supplements </t>
    </r>
    <r>
      <rPr>
        <b/>
        <sz val="8"/>
        <rFont val="Arial"/>
        <family val="2"/>
      </rPr>
      <t>202011.</t>
    </r>
    <r>
      <rPr>
        <sz val="8"/>
        <rFont val="Arial"/>
        <family val="2"/>
      </rPr>
      <t>xls</t>
    </r>
  </si>
  <si>
    <r>
      <t xml:space="preserve"> 5XXX_202201ddHHmmxxxx_Budget supplements </t>
    </r>
    <r>
      <rPr>
        <b/>
        <sz val="8"/>
        <rFont val="Arial"/>
        <family val="2"/>
      </rPr>
      <t>202012.</t>
    </r>
    <r>
      <rPr>
        <sz val="8"/>
        <rFont val="Arial"/>
        <family val="2"/>
      </rPr>
      <t>xls</t>
    </r>
  </si>
  <si>
    <t>Cheques Repas (Valeurs Estimées)
Droits 2022 - Payés en 2023</t>
  </si>
  <si>
    <t>-&gt;11/2022</t>
  </si>
  <si>
    <t>Indexation en mars 2022 (03/22) 
(Bureau du Plan 05/10/2021)</t>
  </si>
  <si>
    <t>Indexation en janvier 2022 (01/22)</t>
  </si>
  <si>
    <t>Indexation en février 2022 (02/2022)
                     &amp; en avril 2022 (04/2022)
(Bureau du Plan : 01/03/2022)</t>
  </si>
  <si>
    <t>Indexation en février 2022 (02/2022)
                       &amp; en Avril 2022 (04/2022)
                        &amp; en Juin 2022 (06/2022)
(Bureau du Plan : 05/04/2022)</t>
  </si>
  <si>
    <t>&lt;-- Sont disponible
La formule d'dorigine du Budget 2022
Module version 20211012
Prévision bureau du plan 05/10/2021
- ET -
3 autres Formules d'indexation
sont possibles,
Il suffit d'un cliq sur  la 
fleche pour appliquer 
la formule 
souhaitée.</t>
  </si>
  <si>
    <t>Indexation en février 2022 (02/2022)
                       &amp; en avril 2022 (04/2022)
                        &amp; en juin 2022 (06/2022)
           &amp; en décembre 2022 (12/2022)
(Bureau du Plan : 03/05/2022)</t>
  </si>
  <si>
    <t>Fichiers obtenus par SSGPI Processes  5XXX_202205 ddHHmmxxxx_Budget supplements 202104.xls</t>
  </si>
  <si>
    <t>05/21&lt;-&gt;04/22</t>
  </si>
  <si>
    <t>Index 10/21 &amp; 02/22 &amp; 4/22</t>
  </si>
  <si>
    <t>DD2</t>
  </si>
  <si>
    <t>DD3</t>
  </si>
  <si>
    <t>DD4</t>
  </si>
  <si>
    <t>D2A</t>
  </si>
  <si>
    <t>D3A</t>
  </si>
  <si>
    <t>D4A</t>
  </si>
  <si>
    <t>D2B</t>
  </si>
  <si>
    <t>D3B</t>
  </si>
  <si>
    <t>D4B</t>
  </si>
  <si>
    <t>CC2</t>
  </si>
  <si>
    <t>CC3</t>
  </si>
  <si>
    <t>CC4</t>
  </si>
  <si>
    <t>C2A</t>
  </si>
  <si>
    <t>C3A</t>
  </si>
  <si>
    <t>C4A</t>
  </si>
  <si>
    <t>BB2</t>
  </si>
  <si>
    <t>BB3</t>
  </si>
  <si>
    <t>BB4</t>
  </si>
  <si>
    <t>B2A</t>
  </si>
  <si>
    <t>B3A</t>
  </si>
  <si>
    <t>B4A</t>
  </si>
  <si>
    <t>B2B</t>
  </si>
  <si>
    <t>B3B</t>
  </si>
  <si>
    <t>B4B</t>
  </si>
  <si>
    <t>B2C</t>
  </si>
  <si>
    <t>B3C</t>
  </si>
  <si>
    <t>B4C</t>
  </si>
  <si>
    <t>B2D</t>
  </si>
  <si>
    <t>B3D</t>
  </si>
  <si>
    <t>B4D</t>
  </si>
  <si>
    <t>Indexation en février 2022 (02/2022)
                       &amp; en avril 2022 (04/2022)
                        &amp; en juin 2022 (06/2022)
           &amp; en septembre 2022 (09/2022)
&amp; en décembre 2022 (12/2022)
(Bureau du Plan : 06/09/2022)</t>
  </si>
  <si>
    <t>HAU4</t>
  </si>
  <si>
    <t>HUA4</t>
  </si>
  <si>
    <t>H400</t>
  </si>
  <si>
    <t>Binche/Anderlues/Lermes</t>
  </si>
  <si>
    <t>Zone de Police Binche/Anderlues/Lermes</t>
  </si>
  <si>
    <t>Mechelen/Willebroek</t>
  </si>
  <si>
    <t>Politiezone Rivierenland</t>
  </si>
  <si>
    <t>Indexation en janvier 2023 (01/2023)
&amp; décembre (2023)
Bureau du Plan 03-10-2023</t>
  </si>
  <si>
    <t>4055 M</t>
  </si>
  <si>
    <t>4243 M</t>
  </si>
  <si>
    <t>4243 #</t>
  </si>
  <si>
    <t>I - Télétravail
V - Telewerk</t>
  </si>
  <si>
    <t>121-48/05</t>
  </si>
  <si>
    <t>4056 M</t>
  </si>
  <si>
    <t>I - Bureau
V - Kantoorkosten</t>
  </si>
  <si>
    <t>121-48/06</t>
  </si>
  <si>
    <t>Statutaire contractuel</t>
  </si>
  <si>
    <t>MNT Chèque repas</t>
  </si>
  <si>
    <t># Chèque repas</t>
  </si>
  <si>
    <t>Aalter/Maldegem</t>
  </si>
  <si>
    <t>PZ Aalter/Maldegem</t>
  </si>
  <si>
    <t>Deinze / Zulte/Lievegem</t>
  </si>
  <si>
    <t>PZ Deinze / Zulte/Lievegem</t>
  </si>
  <si>
    <t>BASP1</t>
  </si>
  <si>
    <t>BASP2</t>
  </si>
  <si>
    <t>BASP3</t>
  </si>
  <si>
    <t>BASP4</t>
  </si>
  <si>
    <t>Indexation en juin 2024
Bureau du Plan 04-06-2024</t>
  </si>
  <si>
    <t>Indexation en mars 2025
Bureau du Plan 20-05-2025</t>
  </si>
  <si>
    <t>Oost-Vl.</t>
  </si>
  <si>
    <t>PZ Haspengouw</t>
  </si>
  <si>
    <t>PZ Scheldewaas</t>
  </si>
  <si>
    <t>PZ Vlaamse Ardennen</t>
  </si>
  <si>
    <t>Tongeren-Borgloon/Herstappe/Heers/Wellen</t>
  </si>
  <si>
    <t xml:space="preserve"> Beveren/Sint-Gillis-Waas/Stekene/Kruibeke/Temse (PZ scheldewaas)</t>
  </si>
  <si>
    <t>Fract tps s. discipline variable</t>
  </si>
  <si>
    <t>Tijdsbr tuchtstraf variabel</t>
  </si>
  <si>
    <t>2022</t>
  </si>
  <si>
    <t>Fract de temps D0 Var</t>
  </si>
  <si>
    <t>Tijdsbr D0 Var</t>
  </si>
  <si>
    <t>Fract tps trt var tus vst</t>
  </si>
  <si>
    <t>Tijdsbr WED var tus vst</t>
  </si>
  <si>
    <t>Teil Zeit Geh var tus vst</t>
  </si>
  <si>
    <t>Fract tps trt var vvp vvp</t>
  </si>
  <si>
    <t>Tijdsbr WED var vvp vvp</t>
  </si>
  <si>
    <t>Teil Zeit Geh var vvp vvp</t>
  </si>
  <si>
    <t>Fract tps trt var (napp)</t>
  </si>
  <si>
    <t>Tijdsbr WED var (navap)</t>
  </si>
  <si>
    <t>2107</t>
  </si>
  <si>
    <t>Fract tps traitement 80</t>
  </si>
  <si>
    <t>Tijdsbr WED 80</t>
  </si>
  <si>
    <t>Teil Zeit Gehalt 80</t>
  </si>
  <si>
    <t>2108</t>
  </si>
  <si>
    <t>Fract tps traitement 84</t>
  </si>
  <si>
    <t>Tijdsbr WED 84</t>
  </si>
  <si>
    <t>Teil Zeit Gehalt 84</t>
  </si>
  <si>
    <t>2109</t>
  </si>
  <si>
    <t>Fract tps traitement 92</t>
  </si>
  <si>
    <t>Tijdsbr WED 92</t>
  </si>
  <si>
    <t>Teil Zeit Gehalt 92</t>
  </si>
  <si>
    <t>2110</t>
  </si>
  <si>
    <t>Fract tps D0 80</t>
  </si>
  <si>
    <t>Tijdsbr D0 80</t>
  </si>
  <si>
    <t>Teil Zeit Gehalt D0 80</t>
  </si>
  <si>
    <t>2111</t>
  </si>
  <si>
    <t>Fract tps D0 84</t>
  </si>
  <si>
    <t>Tijdsbr D0 84</t>
  </si>
  <si>
    <t>Teil Zeit Gehalt D0 84</t>
  </si>
  <si>
    <t>2112</t>
  </si>
  <si>
    <t>Fract tps D0 92</t>
  </si>
  <si>
    <t>Tijdsbr D0 92</t>
  </si>
  <si>
    <t>Teil Zeit Gehalt D0 92</t>
  </si>
  <si>
    <t>2113</t>
  </si>
  <si>
    <t>Fract tps D100 80</t>
  </si>
  <si>
    <t>Tijdsbr D100 80</t>
  </si>
  <si>
    <t>Teil Zeit Gehalt D100 80</t>
  </si>
  <si>
    <t>2114</t>
  </si>
  <si>
    <t>Fract tps D100 84</t>
  </si>
  <si>
    <t>Tijdsbr D100 84</t>
  </si>
  <si>
    <t>Teil Zeit Gehalt D100 84</t>
  </si>
  <si>
    <t>2115</t>
  </si>
  <si>
    <t>Fract tps D100 92</t>
  </si>
  <si>
    <t>Tijdsbr D100 92</t>
  </si>
  <si>
    <t>Teil Zeit Gehalt D100 92</t>
  </si>
  <si>
    <t>2116</t>
  </si>
  <si>
    <t>Fract tps Pec Vac 80</t>
  </si>
  <si>
    <t>Tijdsbr VG 80</t>
  </si>
  <si>
    <t>Teil Zeit Urlaubsgeld 80</t>
  </si>
  <si>
    <t>2117</t>
  </si>
  <si>
    <t>Fract tps Pec Vac 84</t>
  </si>
  <si>
    <t>Tijdsbr VG 84</t>
  </si>
  <si>
    <t>Teil Zeit Urlaubsgeld 84</t>
  </si>
  <si>
    <t>2118</t>
  </si>
  <si>
    <t>Fract tps Pec Vac 92</t>
  </si>
  <si>
    <t>Tijdsbr VG 92</t>
  </si>
  <si>
    <t>Teil Zeit Urlaubsgeld 92</t>
  </si>
  <si>
    <t>2119</t>
  </si>
  <si>
    <t>Fract tps AFA 80</t>
  </si>
  <si>
    <t>Tijdsbr EJT 80</t>
  </si>
  <si>
    <t>Teil Zeit Weihnachtsgeld 80</t>
  </si>
  <si>
    <t>2120</t>
  </si>
  <si>
    <t>Fract tps AFA 84</t>
  </si>
  <si>
    <t>Tijdsbr EJT 84</t>
  </si>
  <si>
    <t>Teil Zeit Weihnachtsgeld 84</t>
  </si>
  <si>
    <t>2121</t>
  </si>
  <si>
    <t>Fract tps AFA 92</t>
  </si>
  <si>
    <t>Tijdsbr EJT 92</t>
  </si>
  <si>
    <t>Teil Zeit Weihnachtsgeld 92</t>
  </si>
  <si>
    <t>2122</t>
  </si>
  <si>
    <t>Fract tps compet 80</t>
  </si>
  <si>
    <t>Tijdsbr CMP 80</t>
  </si>
  <si>
    <t>Teil Zeit KMP 80</t>
  </si>
  <si>
    <t>2123</t>
  </si>
  <si>
    <t>Fract tps compet 84</t>
  </si>
  <si>
    <t>Tijdsbr CMP 84</t>
  </si>
  <si>
    <t>Teil Zeit KMP 84</t>
  </si>
  <si>
    <t>2124</t>
  </si>
  <si>
    <t>Fract tps compet 92</t>
  </si>
  <si>
    <t>Tijdsbr CMP 92</t>
  </si>
  <si>
    <t>Teil Zeit KMP 92</t>
  </si>
  <si>
    <t>2125</t>
  </si>
  <si>
    <t>Fract de temps CMP Var</t>
  </si>
  <si>
    <t>Tijdsbr CMP Var</t>
  </si>
  <si>
    <t>Détention</t>
  </si>
  <si>
    <t>Hechtenis</t>
  </si>
  <si>
    <t>Congé impér ordre fam non payé cont</t>
  </si>
  <si>
    <t>Verlof onbet dwing red fam belang cont</t>
  </si>
  <si>
    <t>Jour libre sem 4 jours</t>
  </si>
  <si>
    <t>Wekel vrije dag 4dgn-week</t>
  </si>
  <si>
    <t>3292</t>
  </si>
  <si>
    <t>3293</t>
  </si>
  <si>
    <t>3294</t>
  </si>
  <si>
    <t>Jrs libres travail à mi-temps</t>
  </si>
  <si>
    <t>Afwdagen halftijds werken</t>
  </si>
  <si>
    <t>Congé impér ordre fam non payé stat</t>
  </si>
  <si>
    <t>Verlof onbet dwing red fam belang stat</t>
  </si>
  <si>
    <t>3431</t>
  </si>
  <si>
    <t>Prest.Réd.Inapt.Méd.LD.payé 100%</t>
  </si>
  <si>
    <t>Verm.Prest L.Med.Ong. 100% wedde</t>
  </si>
  <si>
    <t>Verk.Leist.L.Med.Unt. 100% gehalt</t>
  </si>
  <si>
    <t>3432</t>
  </si>
  <si>
    <t>Prest.Réd.Inapt.Méd.LD.payé 80%</t>
  </si>
  <si>
    <t>Verm.Prest L.Med.Ong. 80% wedde</t>
  </si>
  <si>
    <t>Verk.Leist.L.Med.Unt. 80% gehalt</t>
  </si>
  <si>
    <t>3433</t>
  </si>
  <si>
    <t>Prest.Réd.Inapt.Méd.LD.payé 84%</t>
  </si>
  <si>
    <t>Verm.Prest L.Med.Ong. 84% wedde</t>
  </si>
  <si>
    <t>Verk.Leist.L.Med.Unt. 84% gehalt</t>
  </si>
  <si>
    <t>3434</t>
  </si>
  <si>
    <t>Prest.Réd.Inapt.Méd.LD.payé 92%</t>
  </si>
  <si>
    <t>Verm.Prest L.Med.Ong. 92% wedde</t>
  </si>
  <si>
    <t>Verk.Leist.L.Med.Unt. 92% gehalt</t>
  </si>
  <si>
    <t>Suspension provisoire avec/sans retenue de traitment</t>
  </si>
  <si>
    <t>Suspension disc./Détention</t>
  </si>
  <si>
    <t>Schorsing tucht/Hechtenis</t>
  </si>
  <si>
    <t>3925</t>
  </si>
  <si>
    <t>Congé parental contr temps partiel</t>
  </si>
  <si>
    <t>Ouderschapsverlof contr deeltijds</t>
  </si>
  <si>
    <t>3926</t>
  </si>
  <si>
    <t>Congé parental stat temps partiel</t>
  </si>
  <si>
    <t>Ouderschapsverlof stat deeltijds</t>
  </si>
  <si>
    <t>T - Bereikbaar en terugroepbaar</t>
  </si>
  <si>
    <t>Z - Erreichbar</t>
  </si>
  <si>
    <t>A - Mission d enseignement - en service</t>
  </si>
  <si>
    <t>T - Onderwijsopdrachten - binnen dienst</t>
  </si>
  <si>
    <t>4020</t>
  </si>
  <si>
    <t>Décision jud./Transaction avec ONSS/FPS/PP</t>
  </si>
  <si>
    <t>Ger. uitspraak/Dading met RSZ/FOP/BV</t>
  </si>
  <si>
    <t>Z - Frühverrentung Halbzeit</t>
  </si>
  <si>
    <t>Z - Aufsicht außerhalb Brüssel</t>
  </si>
  <si>
    <t>T - Protection hors Bruxelles - DET</t>
  </si>
  <si>
    <t>4036</t>
  </si>
  <si>
    <t>Décision jud./Transaction avec ONSS/PP</t>
  </si>
  <si>
    <t>Ger. uitspraak/Dading met RSZ/BV</t>
  </si>
  <si>
    <t>A - Heures de nuit NS 19h-22h</t>
  </si>
  <si>
    <t>T - Nachtuur NS 19h-22h</t>
  </si>
  <si>
    <t>Z - Nachtdienst NS 19h-22h</t>
  </si>
  <si>
    <t>A - Heures supplémentaires A.S.</t>
  </si>
  <si>
    <t>T - Overuur OS</t>
  </si>
  <si>
    <t>Z - Überstunden VS</t>
  </si>
  <si>
    <t>I - Frais réel d enquête mensuel</t>
  </si>
  <si>
    <t>I - Frais réel d enquête journalier</t>
  </si>
  <si>
    <t>4050</t>
  </si>
  <si>
    <t>Décision jud./Transaction ¿ sans retenue</t>
  </si>
  <si>
    <t>Ger. uitspraak/Dading zonder inhoudingen</t>
  </si>
  <si>
    <t>V - Aufenthaltskos Auswahlk - gr</t>
  </si>
  <si>
    <t>V - Aufenthaltskos Auswahlk - kl</t>
  </si>
  <si>
    <t>T - Jetons de Présence Conseillers</t>
  </si>
  <si>
    <t>T - Jetons de Présence Echevins</t>
  </si>
  <si>
    <t>4055</t>
  </si>
  <si>
    <t>Indemnité de télétravail</t>
  </si>
  <si>
    <t>Telewerkvergoeding</t>
  </si>
  <si>
    <t>4056</t>
  </si>
  <si>
    <t>Indemnité de bureau</t>
  </si>
  <si>
    <t>Vergoeding voor kantoorkosten</t>
  </si>
  <si>
    <t>V - Hondengeleider</t>
  </si>
  <si>
    <t>Z - Nachtdienst VS</t>
  </si>
  <si>
    <t>T - Bijkomende</t>
  </si>
  <si>
    <t>Z - Psychologe</t>
  </si>
  <si>
    <t>Z - Urlaub Frühverrentung</t>
  </si>
  <si>
    <t>4124</t>
  </si>
  <si>
    <t>A - Bicyclette &gt; seuil</t>
  </si>
  <si>
    <t>T - Fietstoelage &gt; drempel</t>
  </si>
  <si>
    <t>Z - Zentralorgan</t>
  </si>
  <si>
    <t>A - Jury d'examen</t>
  </si>
  <si>
    <t>Aventage en nature - Concièrge</t>
  </si>
  <si>
    <t>Z - Überstunden KV ex-Gem</t>
  </si>
  <si>
    <t>Vorteil Dfahrzeug priv Benutz</t>
  </si>
  <si>
    <t>Weddebijsl - Art 367bis 373bis GerW</t>
  </si>
  <si>
    <t>Weddebijs - Art 373ter GerW</t>
  </si>
  <si>
    <t>T - Collaborateur secrétariat CPPL</t>
  </si>
  <si>
    <t>T - Medewerker secretariaat VCLP</t>
  </si>
  <si>
    <t>Extra uitbetaling bij overlijden contr</t>
  </si>
  <si>
    <t>Paiemt supplém décès stat</t>
  </si>
  <si>
    <t>Extra uitbetaling bij overlijden stat</t>
  </si>
  <si>
    <t>A - Mission d enseignement - hors service</t>
  </si>
  <si>
    <t>T - Onderwijsopdrachten - buiten dienst</t>
  </si>
  <si>
    <t>A - Schulungsauftrag - ausserhalb des Diensts</t>
  </si>
  <si>
    <t>A- Heures de nuit NS 22h-06h</t>
  </si>
  <si>
    <t>T - Nachtuur NS 22h-06h</t>
  </si>
  <si>
    <t>Z - Nachtdienst NS 22h-06h</t>
  </si>
  <si>
    <t>Discipline - Retenue du traitement</t>
  </si>
  <si>
    <t>Tucht - Inhouding van wedde</t>
  </si>
  <si>
    <t>A - Bxl Cap 2009</t>
  </si>
  <si>
    <t>Trt d'attente</t>
  </si>
  <si>
    <t>Wachtgeld</t>
  </si>
  <si>
    <t>Wartegeld</t>
  </si>
  <si>
    <t>4226</t>
  </si>
  <si>
    <t>Dispense de cotisation de solidarité - Amende de roulage - employé - employeur</t>
  </si>
  <si>
    <t>Vrijstelling solidariteitsbijdrage - Verkeersboete WN - WG</t>
  </si>
  <si>
    <t>4227</t>
  </si>
  <si>
    <t>Cotisation de solidarité - Amende de roulage - employé - employeur</t>
  </si>
  <si>
    <t>Solidariteitsbijdrage - Verkeersboete WN - WG</t>
  </si>
  <si>
    <t>4228</t>
  </si>
  <si>
    <t>Dispense de cotisation de solidarité - Amende de roulage - employeur</t>
  </si>
  <si>
    <t>Vrijstelling solidariteitsbijdrage - Verkeersboete WG</t>
  </si>
  <si>
    <t>4229</t>
  </si>
  <si>
    <t>Cotisation de solidarité - Amende de roulage - employeur</t>
  </si>
  <si>
    <t>Solidariteitsbijdrage - Verkeersboete - WG</t>
  </si>
  <si>
    <t>Discipline/Détention - Trt partiel</t>
  </si>
  <si>
    <t>Tucht/Hechtenis - Gedeelt. wedde</t>
  </si>
  <si>
    <t>4242</t>
  </si>
  <si>
    <t>4243</t>
  </si>
  <si>
    <t>4244</t>
  </si>
  <si>
    <t>4245</t>
  </si>
  <si>
    <t>4246</t>
  </si>
  <si>
    <t>Allocation de maîtrise</t>
  </si>
  <si>
    <t>Meesterschapstoelage</t>
  </si>
  <si>
    <t>Allocation de formation</t>
  </si>
  <si>
    <t>Vormingstoelage</t>
  </si>
  <si>
    <t>Allocation de sélection avec ONSS</t>
  </si>
  <si>
    <t>Toelage voor de geselecteerde met RSZ</t>
  </si>
  <si>
    <t>Allocation de sélection sans ONSS</t>
  </si>
  <si>
    <t>Toelage voor de geselecteerde geen RSZ</t>
  </si>
  <si>
    <t>Détention - Trt partiel</t>
  </si>
  <si>
    <t>Hechtenis - Gedeelt. wedde</t>
  </si>
  <si>
    <t>4304</t>
  </si>
  <si>
    <t>Avantage PC - privé</t>
  </si>
  <si>
    <t>Voordeel PC - privé</t>
  </si>
  <si>
    <t>4305</t>
  </si>
  <si>
    <t>Avantage tablette - privé</t>
  </si>
  <si>
    <t>Voordeel tablet - privé</t>
  </si>
  <si>
    <t>4306</t>
  </si>
  <si>
    <t>Avantage internet - privé</t>
  </si>
  <si>
    <t>Voordeel internet - privé</t>
  </si>
  <si>
    <t>4307</t>
  </si>
  <si>
    <t>Avantage Gsm - privé</t>
  </si>
  <si>
    <t>Voordeel Gsm - privé</t>
  </si>
  <si>
    <t>4308</t>
  </si>
  <si>
    <t>Avantage smartphone - privé</t>
  </si>
  <si>
    <t>Voordeel smartphone - privé</t>
  </si>
  <si>
    <t>4309</t>
  </si>
  <si>
    <t>Logement d'Etat - info DMFA</t>
  </si>
  <si>
    <t>Staatslogement - info DMFA</t>
  </si>
  <si>
    <t>4310</t>
  </si>
  <si>
    <t>Chèques-cadeaux</t>
  </si>
  <si>
    <t>Geschenkencheques</t>
  </si>
  <si>
    <t>Avantage PC - privé - ONSS</t>
  </si>
  <si>
    <t>Voordeel PC - privé - RSZ</t>
  </si>
  <si>
    <t>Avantage PC - privé - PP et ONSS</t>
  </si>
  <si>
    <t>Voordeel PC - privé - BV en RSZ</t>
  </si>
  <si>
    <t>Avantage PC - cotisation pers</t>
  </si>
  <si>
    <t>Voordeel PC - eigen bijdrage</t>
  </si>
  <si>
    <t>Avantage tablette - privé - ONSS</t>
  </si>
  <si>
    <t>Voordeel tablet - privé - RSZ</t>
  </si>
  <si>
    <t>Avantage tablette - privé - PP et ONSS</t>
  </si>
  <si>
    <t>Voordeel tablet - privé - BV en RSZ</t>
  </si>
  <si>
    <t>Avantage tablette - cotisation pers</t>
  </si>
  <si>
    <t>Voordeel tablet - eigen bijdrage</t>
  </si>
  <si>
    <t>Avantage internet - privé - ONSS</t>
  </si>
  <si>
    <t>Voordeel internet - privé - RSZ</t>
  </si>
  <si>
    <t>Avantage internet - privé - PP et ONSS</t>
  </si>
  <si>
    <t>Voordeel internet - privé - BV en RSZ</t>
  </si>
  <si>
    <t>Avantage internet - cotisation pers</t>
  </si>
  <si>
    <t>Voordeel internet - eigen bijdrage</t>
  </si>
  <si>
    <t>Avantage Gsm - privé - ONSS</t>
  </si>
  <si>
    <t>Voordeel Gsm - privé - RSZ</t>
  </si>
  <si>
    <t>Avantage Gsm - privé - PP et ONSS</t>
  </si>
  <si>
    <t>Voordeel Gsm - privé - BV en RSZ</t>
  </si>
  <si>
    <t>Avantage Gsm - cotisation pers</t>
  </si>
  <si>
    <t>Voordeel Gsm - eigen bijdrage</t>
  </si>
  <si>
    <t>Avantage smartphone - privé - ONSS</t>
  </si>
  <si>
    <t>Voordeel smartphone - privé - RSZ</t>
  </si>
  <si>
    <t>Avantage smartphone - privé - PP et ONSS</t>
  </si>
  <si>
    <t>Voordeel smartphone - privé - BV en RSZ</t>
  </si>
  <si>
    <t>Avantage smartphone - cotisation pers</t>
  </si>
  <si>
    <t>Voordeel smartphone - eigen bijdrage</t>
  </si>
  <si>
    <t>Geschenkencheque - onderworpen BV</t>
  </si>
  <si>
    <t>Geschenkencheque - onderworpen RSZ</t>
  </si>
  <si>
    <t>4328</t>
  </si>
  <si>
    <t>Chèque cadeau - soumis PP et ONSS</t>
  </si>
  <si>
    <t>Geschenkencheque - onderworpen BV en RSZ</t>
  </si>
  <si>
    <t>Avantage PC - privé - PP</t>
  </si>
  <si>
    <t>Voordeel PC - privé - BV</t>
  </si>
  <si>
    <t>Avantage tablette - privé - PP</t>
  </si>
  <si>
    <t>Voordeel tablet - privé - BV</t>
  </si>
  <si>
    <t>Avantage internet - privé - PP</t>
  </si>
  <si>
    <t>Voordeel internet - privé - BV</t>
  </si>
  <si>
    <t>Avantage Gsm - privé - PP</t>
  </si>
  <si>
    <t>Voordeel Gsm - privé - BV</t>
  </si>
  <si>
    <t>Avantage smartphone - privé - PP</t>
  </si>
  <si>
    <t>Voordeel smartphone - privé - BV</t>
  </si>
  <si>
    <t>Chèque cadeau - exonéré</t>
  </si>
  <si>
    <t>Geschenkencheque - vrijgesteld</t>
  </si>
  <si>
    <t>4336</t>
  </si>
  <si>
    <t>Manip PP Bar. Trt. Fixe</t>
  </si>
  <si>
    <t>Manip Bar. BV Vaste wedde</t>
  </si>
  <si>
    <t>4337</t>
  </si>
  <si>
    <t>Manip PP Bar. Trt. Var.</t>
  </si>
  <si>
    <t>Manip Bar. BV Var. wedde</t>
  </si>
  <si>
    <t>4338</t>
  </si>
  <si>
    <t>T - Fonction Directeur</t>
  </si>
  <si>
    <t>T - Functie Directeur</t>
  </si>
  <si>
    <t>4339</t>
  </si>
  <si>
    <t>T - Fonction Directeur - DET</t>
  </si>
  <si>
    <t>T - Functie Directeur - DET</t>
  </si>
  <si>
    <t>4340</t>
  </si>
  <si>
    <t>Traitement de protection Mil.</t>
  </si>
  <si>
    <t>Beschermingswedde Mil.</t>
  </si>
  <si>
    <t>4341</t>
  </si>
  <si>
    <t>4342</t>
  </si>
  <si>
    <t>Traitement de sauvegarde VKCS</t>
  </si>
  <si>
    <t>Weddevrijwaring VKCS</t>
  </si>
  <si>
    <t>4343</t>
  </si>
  <si>
    <t>Prime - semaine de quatre jours</t>
  </si>
  <si>
    <t>Premie - vierdagenweek</t>
  </si>
  <si>
    <t>4347</t>
  </si>
  <si>
    <t>Traitement de sauvegarde BAC</t>
  </si>
  <si>
    <t>Weddevrijwaring BAC</t>
  </si>
  <si>
    <t>A-AFA Montant fixe soumis à l'AMI</t>
  </si>
  <si>
    <t>T - EJT Vast bedrag onderworpen aan ZIV</t>
  </si>
  <si>
    <t>A-AFA Supplément 7%</t>
  </si>
  <si>
    <t>T-EJT Supplement 7%</t>
  </si>
  <si>
    <t>Anrechnung nt aufget BN Erg</t>
  </si>
  <si>
    <t>A - Compétence - info-montant 2009</t>
  </si>
  <si>
    <t>T - Competentie - info-bedrag 2009</t>
  </si>
  <si>
    <t>7012</t>
  </si>
  <si>
    <t>7550</t>
  </si>
  <si>
    <t>Traitement mensuel</t>
  </si>
  <si>
    <t>Maandwedde</t>
  </si>
  <si>
    <t>7551</t>
  </si>
  <si>
    <t>Supplément de traitement et bonification mensuels</t>
  </si>
  <si>
    <t>Maandelijks weddesupplement en bonificatie</t>
  </si>
  <si>
    <t>7552</t>
  </si>
  <si>
    <t>Allocation de foyer et résidence mensuelle</t>
  </si>
  <si>
    <t>Maandelijkse haard- en standplaatsvergoeding</t>
  </si>
  <si>
    <t>Ersetz ESVZ außerg Verg und Zul</t>
  </si>
  <si>
    <t>Zusätz ESVZ außerg Verg und Zul</t>
  </si>
  <si>
    <t>Zusätz ESVZ außerg Verg</t>
  </si>
  <si>
    <t>Ersetz Bet/% Sol Pens Mon Vort</t>
  </si>
  <si>
    <t>Ersetz Bet/% vor Mon KV</t>
  </si>
  <si>
    <t>DUMMY unbegrenzt Monat Vorteil</t>
  </si>
  <si>
    <t>Zuschuss bei Nettogehalt</t>
  </si>
  <si>
    <t>Manipulatie grensbedrag schuld - loonoverdracht beslag</t>
  </si>
  <si>
    <t>Manipulation montant limité dette - médiation de dette</t>
  </si>
  <si>
    <t>Manipulation montant limite dette - paiement régulier</t>
  </si>
  <si>
    <t>Avantage - soumis ONSS</t>
  </si>
  <si>
    <t>Voordeel - onderworpen RSZ</t>
  </si>
  <si>
    <t>Abzug LASS verdop Urlbsg unbes Man</t>
  </si>
  <si>
    <t>Abzug LASS verdop Urlbsg besch Man</t>
  </si>
  <si>
    <t>9051</t>
  </si>
  <si>
    <t>ONSS travailleur réd très bas salaires</t>
  </si>
  <si>
    <t>RSZ werknemer vermind. zeer lage lonen</t>
  </si>
  <si>
    <t>9091</t>
  </si>
  <si>
    <t>Montant à reporter sur la base imposable du mois en cours</t>
  </si>
  <si>
    <t>Over te dragen bedrag op het belastbaar van de huidige maand</t>
  </si>
  <si>
    <t>9092</t>
  </si>
  <si>
    <t>Transfert imposable</t>
  </si>
  <si>
    <t>Overdracht belastbaar</t>
  </si>
  <si>
    <t>Préc.s/arriérés d indemnités</t>
  </si>
  <si>
    <t>Préc.s/arriérés d'indemnités</t>
  </si>
  <si>
    <t>Préc.s/arriérés d'indemnités - AFA</t>
  </si>
  <si>
    <t>BV op achterstallige vergoedingen - EJT</t>
  </si>
  <si>
    <t>ESVZ Tarif geleg od period Ver</t>
  </si>
  <si>
    <t>9300</t>
  </si>
  <si>
    <t>réduc ONSS: jeune peu qualifié</t>
  </si>
  <si>
    <t>RSZ verm: laaggeschoolde jongere</t>
  </si>
  <si>
    <t>LSS-Erm: niedrig gesch Jugendlicher</t>
  </si>
  <si>
    <t>réduc ONSS: jeune moy qualifié</t>
  </si>
  <si>
    <t>RSZ verm: middengschoolde jongere</t>
  </si>
  <si>
    <t>LSS-Erm: mittelgesch Jugendlicher</t>
  </si>
  <si>
    <t>réduc ONSS: jeune apprenti</t>
  </si>
  <si>
    <t>RSZ verm: jongere leerling</t>
  </si>
  <si>
    <t>LSS-Erm.: jugendlicher Lehrling</t>
  </si>
  <si>
    <t>réduc ONSS: demandeur d'emploi agé</t>
  </si>
  <si>
    <t>RSZ verm: oudere werkzoekende</t>
  </si>
  <si>
    <t>LSS-Erm.: alter Arbeitsuchender</t>
  </si>
  <si>
    <t>9375</t>
  </si>
  <si>
    <t>Réduction PP bonus à l'emploi très bas salaire</t>
  </si>
  <si>
    <t>BV - vermind werkbonus zeer lage lonen</t>
  </si>
  <si>
    <t>Réduction PP bonus à l'emploi</t>
  </si>
  <si>
    <t>BV - vermindering werkbonus</t>
  </si>
  <si>
    <t>BstV. - Ermäss Arbeitsprämie</t>
  </si>
  <si>
    <t>Cotisation service social</t>
  </si>
  <si>
    <t>Bijdrage sociale dienst</t>
  </si>
  <si>
    <t>9742</t>
  </si>
  <si>
    <t>Réduction ONSS : Replaçant contractuels</t>
  </si>
  <si>
    <t>RSZ vermindering : Contractuele vervangers</t>
  </si>
  <si>
    <t>9752</t>
  </si>
  <si>
    <t>ONSS employeur : prime syndicale</t>
  </si>
  <si>
    <t>RSZ werkgever : vakbondsp</t>
  </si>
  <si>
    <t>9772</t>
  </si>
  <si>
    <t>Exonération congé signifié</t>
  </si>
  <si>
    <t>Vrijstelling ontslag</t>
  </si>
  <si>
    <t>9774</t>
  </si>
  <si>
    <t>Base exonérat congé signifié</t>
  </si>
  <si>
    <t>Basis vrijstelling ontslag</t>
  </si>
  <si>
    <t>Délégation</t>
  </si>
  <si>
    <t>Lopende onderhoudsgelden</t>
  </si>
  <si>
    <t>Arriérés Pension Alimentaire</t>
  </si>
  <si>
    <t>Cession ou Saisie</t>
  </si>
  <si>
    <t>Loonoverdracht of loonbeslag</t>
  </si>
  <si>
    <t>Logement gratuit</t>
  </si>
  <si>
    <t>Gratis logement</t>
  </si>
  <si>
    <t>Retenue Sociale</t>
  </si>
  <si>
    <t>9886</t>
  </si>
  <si>
    <t>Cotisation spéciale pour le Fonds amiante</t>
  </si>
  <si>
    <t>Bijzondere bijdrage asbestfonds</t>
  </si>
  <si>
    <t>9887</t>
  </si>
  <si>
    <t>Cotisation spéciale fonctionnaires statutaires</t>
  </si>
  <si>
    <t>Bijzondere bijdrage statutaire ambtenaren</t>
  </si>
  <si>
    <t>Gestion de finances</t>
  </si>
  <si>
    <t>Budgetbegeleiding</t>
  </si>
  <si>
    <t>Administrateur provisoire</t>
  </si>
  <si>
    <t>Médiation de dettes</t>
  </si>
  <si>
    <t>Récup. ECA+régul ECA</t>
  </si>
  <si>
    <t>Recup. ECA's + Reguls ECA's</t>
  </si>
  <si>
    <t>Récup. Paiement indû (tout)</t>
  </si>
  <si>
    <t>Récup. op alles</t>
  </si>
  <si>
    <t>Récup. indû après 1409</t>
  </si>
  <si>
    <t>Recup. onverschuldigde na 1409</t>
  </si>
  <si>
    <t>Récup. indû avant 1409 (ctx)</t>
  </si>
  <si>
    <t>Recup. betaling voor 1409(ctx)</t>
  </si>
  <si>
    <t>Récup. sur Salaire</t>
  </si>
  <si>
    <t>Recup. op wedde</t>
  </si>
  <si>
    <t>Rückgew n gesch Leist GEHALT</t>
  </si>
  <si>
    <t>Récup. Paiement indû PEC</t>
  </si>
  <si>
    <t>Recup. op VG</t>
  </si>
  <si>
    <t>Rückgew n gesch Leis Urlaubsg</t>
  </si>
  <si>
    <t>Arrangement à l'amaible</t>
  </si>
  <si>
    <t>8034</t>
  </si>
  <si>
    <t>Manipulation PP bonus à l'emploi</t>
  </si>
  <si>
    <t>Manipulatie BV - vermindering werkbonus</t>
  </si>
  <si>
    <t>8035</t>
  </si>
  <si>
    <t>Manipulatie BV - vermind werkbonus zeer lage lonen</t>
  </si>
  <si>
    <t>8036</t>
  </si>
  <si>
    <t>Manipulation PP bonus à l'emploi très bas salaire</t>
  </si>
  <si>
    <t>8037</t>
  </si>
  <si>
    <t>Lommel - Hamont-Achel / Neerpelt / Overpelt - Hechtel-Eksel / Leopoldsburg / Peer</t>
  </si>
  <si>
    <t>PZ Noord-Limburg</t>
  </si>
  <si>
    <t>Beringen / Ham / Tessenderlo - Heusden-Zolder</t>
  </si>
  <si>
    <t>PZ West-Limburg</t>
  </si>
  <si>
    <t>Traitement corrigé</t>
  </si>
  <si>
    <t>204</t>
  </si>
  <si>
    <t>205</t>
  </si>
  <si>
    <t>du 06-10-2026</t>
  </si>
  <si>
    <t>Indexation en mars 2026
et septembre 2026
Bureau du Plan 06-10-2026</t>
  </si>
  <si>
    <t>Indexation en Février 2027 &amp;juillet 2027
Bureau du Plan 06-10-2026</t>
  </si>
  <si>
    <t xml:space="preserve">Indexation en juin  2028
Bureau du Plan </t>
  </si>
  <si>
    <t>Index Centime annuel non indexé</t>
  </si>
  <si>
    <t>Index centime annuel non indexé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</si>
</sst>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2">
    <numFmt numFmtId="164" formatCode="_ &quot;€&quot;\ * #,##0.00_ ;_ &quot;€&quot;\ * \-#,##0.00_ ;_ &quot;€&quot;\ * &quot;-&quot;??_ ;_ @_ "/>
    <numFmt numFmtId="165" formatCode="_-* #,##0.00\ _€_-;\-* #,##0.00\ _€_-;_-* &quot;-&quot;??\ _€_-;_-@_-"/>
    <numFmt numFmtId="166" formatCode="0.0000"/>
    <numFmt numFmtId="167" formatCode="0.000"/>
    <numFmt numFmtId="168" formatCode="0%;[Red][=0]\ 0%;General"/>
    <numFmt numFmtId="169" formatCode="mm/dd"/>
    <numFmt numFmtId="170" formatCode="0.00000000"/>
    <numFmt numFmtId="171" formatCode="#,##0.0000"/>
    <numFmt numFmtId="172" formatCode="##\-#0"/>
    <numFmt numFmtId="173" formatCode="0.00000"/>
    <numFmt numFmtId="174" formatCode="#,##0.000"/>
    <numFmt numFmtId="175" formatCode="d/mm/yyyy;@"/>
    <numFmt numFmtId="176" formatCode="###0"/>
    <numFmt numFmtId="177" formatCode="dd\-mmm\-yy"/>
    <numFmt numFmtId="178" formatCode="dddd"/>
    <numFmt numFmtId="179" formatCode="0.000%"/>
    <numFmt numFmtId="180" formatCode="[$-80C]General"/>
    <numFmt numFmtId="181" formatCode="[$-80C]0%"/>
    <numFmt numFmtId="182" formatCode="&quot; &quot;#,##0.00&quot;    &quot;;&quot;-&quot;#,##0.00&quot;    &quot;;&quot; -&quot;#&quot;    &quot;;&quot; &quot;@&quot; &quot;"/>
    <numFmt numFmtId="183" formatCode="#,##0.00&quot; &quot;[$€-80C];[Red]&quot;-&quot;#,##0.00&quot; &quot;[$€-80C]"/>
    <numFmt numFmtId="184" formatCode="[$-F800]dddd\,\ mmmm\ dd\,\ yyyy"/>
    <numFmt numFmtId="185" formatCode="&quot;€&quot;\ #,##0.00"/>
  </numFmts>
  <fonts count="190">
    <font>
      <sz val="10"/>
      <name val="Arial"/>
    </font>
    <font>
      <sz val="10"/>
      <name val="Arial"/>
      <family val="2"/>
    </font>
    <font>
      <sz val="9"/>
      <name val="Arial"/>
      <family val="2"/>
    </font>
    <font>
      <sz val="9"/>
      <color indexed="10"/>
      <name val="Arial"/>
      <family val="2"/>
    </font>
    <font>
      <b/>
      <sz val="9"/>
      <name val="Arial"/>
      <family val="2"/>
    </font>
    <font>
      <sz val="8"/>
      <name val="Arial"/>
      <family val="2"/>
    </font>
    <font>
      <sz val="10"/>
      <name val="Arial"/>
      <family val="2"/>
    </font>
    <font>
      <b/>
      <sz val="8"/>
      <name val="Arial"/>
      <family val="2"/>
    </font>
    <font>
      <b/>
      <sz val="20"/>
      <name val="Arial"/>
      <family val="2"/>
    </font>
    <font>
      <b/>
      <sz val="12"/>
      <name val="Arial"/>
      <family val="2"/>
    </font>
    <font>
      <b/>
      <sz val="14"/>
      <name val="Arial"/>
      <family val="2"/>
    </font>
    <font>
      <b/>
      <sz val="16"/>
      <name val="Arial"/>
      <family val="2"/>
    </font>
    <font>
      <u/>
      <sz val="10"/>
      <color indexed="12"/>
      <name val="Arial"/>
      <family val="2"/>
    </font>
    <font>
      <b/>
      <sz val="10"/>
      <name val="Arial"/>
      <family val="2"/>
    </font>
    <font>
      <sz val="10"/>
      <color indexed="48"/>
      <name val="Arial"/>
      <family val="2"/>
    </font>
    <font>
      <sz val="8"/>
      <color indexed="10"/>
      <name val="Arial"/>
      <family val="2"/>
    </font>
    <font>
      <sz val="8"/>
      <color indexed="17"/>
      <name val="Arial"/>
      <family val="2"/>
    </font>
    <font>
      <sz val="10"/>
      <color indexed="8"/>
      <name val="Arial"/>
      <family val="2"/>
    </font>
    <font>
      <sz val="10"/>
      <color indexed="8"/>
      <name val="MS Sans Serif"/>
      <family val="2"/>
    </font>
    <font>
      <sz val="9"/>
      <color indexed="8"/>
      <name val="Arial"/>
      <family val="2"/>
    </font>
    <font>
      <i/>
      <sz val="8"/>
      <name val="Arial"/>
      <family val="2"/>
    </font>
    <font>
      <b/>
      <i/>
      <sz val="8"/>
      <name val="Arial"/>
      <family val="2"/>
    </font>
    <font>
      <b/>
      <sz val="8"/>
      <color indexed="10"/>
      <name val="Arial"/>
      <family val="2"/>
    </font>
    <font>
      <b/>
      <u/>
      <sz val="8"/>
      <name val="Arial"/>
      <family val="2"/>
    </font>
    <font>
      <b/>
      <sz val="8"/>
      <color indexed="9"/>
      <name val="Arial"/>
      <family val="2"/>
    </font>
    <font>
      <sz val="10"/>
      <color indexed="10"/>
      <name val="Arial"/>
      <family val="2"/>
    </font>
    <font>
      <sz val="8"/>
      <color indexed="43"/>
      <name val="Arial"/>
      <family val="2"/>
    </font>
    <font>
      <sz val="10"/>
      <color indexed="12"/>
      <name val="Arial"/>
      <family val="2"/>
    </font>
    <font>
      <sz val="8"/>
      <color indexed="12"/>
      <name val="Arial"/>
      <family val="2"/>
    </font>
    <font>
      <sz val="8"/>
      <color indexed="16"/>
      <name val="Arial"/>
      <family val="2"/>
    </font>
    <font>
      <b/>
      <sz val="8"/>
      <color indexed="12"/>
      <name val="Arial"/>
      <family val="2"/>
    </font>
    <font>
      <b/>
      <sz val="10"/>
      <color indexed="12"/>
      <name val="Arial"/>
      <family val="2"/>
    </font>
    <font>
      <sz val="10"/>
      <color indexed="9"/>
      <name val="Arial"/>
      <family val="2"/>
    </font>
    <font>
      <sz val="8"/>
      <color indexed="8"/>
      <name val="Arial"/>
      <family val="2"/>
    </font>
    <font>
      <sz val="10"/>
      <color indexed="8"/>
      <name val="Arial"/>
      <family val="2"/>
    </font>
    <font>
      <sz val="8"/>
      <color indexed="8"/>
      <name val="Arial"/>
      <family val="2"/>
    </font>
    <font>
      <b/>
      <sz val="8"/>
      <color indexed="17"/>
      <name val="Arial"/>
      <family val="2"/>
    </font>
    <font>
      <sz val="7"/>
      <color indexed="10"/>
      <name val="Arial"/>
      <family val="2"/>
    </font>
    <font>
      <sz val="8"/>
      <name val="Arial"/>
      <family val="2"/>
    </font>
    <font>
      <b/>
      <sz val="10"/>
      <color indexed="48"/>
      <name val="Arial"/>
      <family val="2"/>
    </font>
    <font>
      <b/>
      <sz val="10"/>
      <color indexed="10"/>
      <name val="Arial"/>
      <family val="2"/>
    </font>
    <font>
      <b/>
      <sz val="10"/>
      <color indexed="9"/>
      <name val="Arial"/>
      <family val="2"/>
    </font>
    <font>
      <sz val="8"/>
      <color indexed="9"/>
      <name val="Arial"/>
      <family val="2"/>
    </font>
    <font>
      <b/>
      <sz val="8"/>
      <color indexed="18"/>
      <name val="Arial"/>
      <family val="2"/>
    </font>
    <font>
      <b/>
      <sz val="9"/>
      <color indexed="17"/>
      <name val="Arial"/>
      <family val="2"/>
    </font>
    <font>
      <b/>
      <i/>
      <sz val="14"/>
      <name val="Arial"/>
      <family val="2"/>
    </font>
    <font>
      <i/>
      <sz val="10"/>
      <color indexed="12"/>
      <name val="Arial"/>
      <family val="2"/>
    </font>
    <font>
      <sz val="10"/>
      <color indexed="18"/>
      <name val="Arial"/>
      <family val="2"/>
    </font>
    <font>
      <sz val="8"/>
      <color indexed="18"/>
      <name val="Arial"/>
      <family val="2"/>
    </font>
    <font>
      <sz val="9"/>
      <color indexed="9"/>
      <name val="Arial"/>
      <family val="2"/>
    </font>
    <font>
      <b/>
      <sz val="9"/>
      <color indexed="10"/>
      <name val="Arial"/>
      <family val="2"/>
    </font>
    <font>
      <b/>
      <sz val="9"/>
      <color indexed="12"/>
      <name val="Arial"/>
      <family val="2"/>
    </font>
    <font>
      <b/>
      <sz val="14"/>
      <color indexed="10"/>
      <name val="Arial"/>
      <family val="2"/>
    </font>
    <font>
      <b/>
      <sz val="10"/>
      <color indexed="13"/>
      <name val="Arial"/>
      <family val="2"/>
    </font>
    <font>
      <sz val="10"/>
      <name val="Arial"/>
      <family val="2"/>
    </font>
    <font>
      <b/>
      <i/>
      <sz val="8"/>
      <color indexed="10"/>
      <name val="Arial"/>
      <family val="2"/>
    </font>
    <font>
      <b/>
      <sz val="9"/>
      <color indexed="48"/>
      <name val="Arial"/>
      <family val="2"/>
    </font>
    <font>
      <b/>
      <sz val="8"/>
      <color indexed="48"/>
      <name val="Arial"/>
      <family val="2"/>
    </font>
    <font>
      <sz val="9"/>
      <color indexed="23"/>
      <name val="Arial"/>
      <family val="2"/>
    </font>
    <font>
      <b/>
      <i/>
      <sz val="12"/>
      <name val="Arial"/>
      <family val="2"/>
    </font>
    <font>
      <b/>
      <sz val="10"/>
      <name val="Arial"/>
      <family val="2"/>
    </font>
    <font>
      <sz val="10"/>
      <name val="Arial"/>
      <family val="2"/>
    </font>
    <font>
      <sz val="10"/>
      <name val="Arial"/>
      <family val="2"/>
    </font>
    <font>
      <i/>
      <sz val="10"/>
      <name val="Arial"/>
      <family val="2"/>
    </font>
    <font>
      <b/>
      <sz val="8"/>
      <color indexed="20"/>
      <name val="Arial"/>
      <family val="2"/>
    </font>
    <font>
      <sz val="8"/>
      <color indexed="61"/>
      <name val="Arial"/>
      <family val="2"/>
    </font>
    <font>
      <b/>
      <sz val="9"/>
      <color indexed="9"/>
      <name val="Arial"/>
      <family val="2"/>
    </font>
    <font>
      <b/>
      <sz val="8"/>
      <name val="Arial"/>
      <family val="2"/>
    </font>
    <font>
      <b/>
      <sz val="8"/>
      <color indexed="19"/>
      <name val="Arial"/>
      <family val="2"/>
    </font>
    <font>
      <b/>
      <i/>
      <sz val="8"/>
      <color indexed="12"/>
      <name val="Arial"/>
      <family val="2"/>
    </font>
    <font>
      <b/>
      <i/>
      <sz val="8"/>
      <color indexed="16"/>
      <name val="Arial"/>
      <family val="2"/>
    </font>
    <font>
      <b/>
      <i/>
      <sz val="8"/>
      <color indexed="17"/>
      <name val="Arial"/>
      <family val="2"/>
    </font>
    <font>
      <b/>
      <i/>
      <sz val="10"/>
      <name val="Arial"/>
      <family val="2"/>
    </font>
    <font>
      <b/>
      <sz val="10"/>
      <color indexed="61"/>
      <name val="Arial"/>
      <family val="2"/>
    </font>
    <font>
      <sz val="10"/>
      <color indexed="58"/>
      <name val="Arial"/>
      <family val="2"/>
    </font>
    <font>
      <b/>
      <sz val="10"/>
      <color indexed="17"/>
      <name val="Arial"/>
      <family val="2"/>
    </font>
    <font>
      <b/>
      <sz val="10"/>
      <color indexed="57"/>
      <name val="Arial"/>
      <family val="2"/>
    </font>
    <font>
      <sz val="10"/>
      <color indexed="20"/>
      <name val="Arial"/>
      <family val="2"/>
    </font>
    <font>
      <b/>
      <sz val="10"/>
      <color indexed="20"/>
      <name val="Arial"/>
      <family val="2"/>
    </font>
    <font>
      <sz val="10"/>
      <color indexed="58"/>
      <name val="Arial"/>
      <family val="2"/>
    </font>
    <font>
      <sz val="10"/>
      <name val="Arial"/>
      <family val="2"/>
    </font>
    <font>
      <sz val="10"/>
      <color indexed="12"/>
      <name val="Arial"/>
      <family val="2"/>
    </font>
    <font>
      <sz val="10"/>
      <name val="Arial"/>
      <family val="2"/>
    </font>
    <font>
      <sz val="10"/>
      <color indexed="10"/>
      <name val="Arial"/>
      <family val="2"/>
    </font>
    <font>
      <sz val="10"/>
      <name val="Arial"/>
      <family val="2"/>
    </font>
    <font>
      <b/>
      <i/>
      <sz val="10"/>
      <name val="Arial"/>
      <family val="2"/>
    </font>
    <font>
      <b/>
      <sz val="10"/>
      <color indexed="12"/>
      <name val="Arial"/>
      <family val="2"/>
    </font>
    <font>
      <sz val="10"/>
      <color indexed="20"/>
      <name val="Arial"/>
      <family val="2"/>
    </font>
    <font>
      <b/>
      <sz val="10"/>
      <color indexed="20"/>
      <name val="Arial"/>
      <family val="2"/>
    </font>
    <font>
      <sz val="10"/>
      <name val="Arial"/>
      <family val="2"/>
    </font>
    <font>
      <sz val="10"/>
      <color indexed="17"/>
      <name val="Arial"/>
      <family val="2"/>
    </font>
    <font>
      <sz val="10"/>
      <color indexed="54"/>
      <name val="Arial"/>
      <family val="2"/>
    </font>
    <font>
      <b/>
      <sz val="10"/>
      <color indexed="22"/>
      <name val="Arial"/>
      <family val="2"/>
    </font>
    <font>
      <sz val="10"/>
      <color indexed="61"/>
      <name val="Arial"/>
      <family val="2"/>
    </font>
    <font>
      <sz val="9"/>
      <name val="Arial"/>
      <family val="2"/>
    </font>
    <font>
      <sz val="10"/>
      <name val="Arial"/>
      <family val="2"/>
    </font>
    <font>
      <sz val="10"/>
      <name val="Arial"/>
      <family val="2"/>
    </font>
    <font>
      <sz val="8"/>
      <color indexed="55"/>
      <name val="Arial"/>
      <family val="2"/>
    </font>
    <font>
      <sz val="8"/>
      <color indexed="48"/>
      <name val="Arial"/>
      <family val="2"/>
    </font>
    <font>
      <b/>
      <sz val="8"/>
      <color indexed="8"/>
      <name val="Arial"/>
      <family val="2"/>
    </font>
    <font>
      <strike/>
      <sz val="8"/>
      <name val="Arial"/>
      <family val="2"/>
    </font>
    <font>
      <sz val="10"/>
      <name val="Trebuchet MS"/>
      <family val="2"/>
    </font>
    <font>
      <b/>
      <sz val="10"/>
      <color indexed="9"/>
      <name val="Trebuchet MS"/>
      <family val="2"/>
    </font>
    <font>
      <b/>
      <i/>
      <sz val="9"/>
      <name val="Arial"/>
      <family val="2"/>
    </font>
    <font>
      <b/>
      <sz val="11"/>
      <color indexed="10"/>
      <name val="Arial"/>
      <family val="2"/>
    </font>
    <font>
      <b/>
      <sz val="11"/>
      <color indexed="12"/>
      <name val="Arial"/>
      <family val="2"/>
    </font>
    <font>
      <b/>
      <sz val="9"/>
      <color indexed="18"/>
      <name val="Arial"/>
      <family val="2"/>
    </font>
    <font>
      <sz val="8"/>
      <color indexed="81"/>
      <name val="Tahoma"/>
      <family val="2"/>
    </font>
    <font>
      <b/>
      <sz val="14"/>
      <color indexed="12"/>
      <name val="Arial"/>
      <family val="2"/>
    </font>
    <font>
      <b/>
      <sz val="9"/>
      <color indexed="13"/>
      <name val="Arial"/>
      <family val="2"/>
    </font>
    <font>
      <b/>
      <sz val="8"/>
      <color indexed="81"/>
      <name val="Tahoma"/>
      <family val="2"/>
    </font>
    <font>
      <b/>
      <sz val="12"/>
      <color indexed="12"/>
      <name val="Arial"/>
      <family val="2"/>
    </font>
    <font>
      <sz val="18"/>
      <name val="Arial"/>
      <family val="2"/>
    </font>
    <font>
      <sz val="9"/>
      <color indexed="12"/>
      <name val="Arial"/>
      <family val="2"/>
    </font>
    <font>
      <b/>
      <sz val="8"/>
      <color indexed="13"/>
      <name val="Arial"/>
      <family val="2"/>
    </font>
    <font>
      <b/>
      <sz val="10"/>
      <color indexed="51"/>
      <name val="Arial"/>
      <family val="2"/>
    </font>
    <font>
      <b/>
      <sz val="10"/>
      <color indexed="8"/>
      <name val="Arial"/>
      <family val="2"/>
    </font>
    <font>
      <b/>
      <sz val="8"/>
      <color indexed="51"/>
      <name val="Arial"/>
      <family val="2"/>
    </font>
    <font>
      <b/>
      <sz val="14"/>
      <name val="Arial"/>
      <family val="2"/>
    </font>
    <font>
      <b/>
      <sz val="11"/>
      <name val="Arial"/>
      <family val="2"/>
    </font>
    <font>
      <sz val="8"/>
      <color indexed="13"/>
      <name val="Arial"/>
      <family val="2"/>
    </font>
    <font>
      <sz val="10"/>
      <color indexed="9"/>
      <name val="Arial"/>
      <family val="2"/>
    </font>
    <font>
      <sz val="11"/>
      <color indexed="8"/>
      <name val="Calibri"/>
      <family val="2"/>
    </font>
    <font>
      <sz val="11"/>
      <color indexed="8"/>
      <name val="Calibri"/>
      <family val="2"/>
    </font>
    <font>
      <sz val="10"/>
      <name val="MS Sans Serif"/>
      <family val="2"/>
    </font>
    <font>
      <sz val="11"/>
      <name val="Calibri"/>
      <family val="2"/>
    </font>
    <font>
      <sz val="10"/>
      <color indexed="8"/>
      <name val="Tahoma"/>
      <family val="2"/>
    </font>
    <font>
      <b/>
      <sz val="10"/>
      <color indexed="8"/>
      <name val="Tahoma"/>
      <family val="2"/>
    </font>
    <font>
      <b/>
      <sz val="6"/>
      <name val="arial"/>
      <family val="2"/>
    </font>
    <font>
      <sz val="10"/>
      <color indexed="8"/>
      <name val="Arial"/>
      <family val="2"/>
    </font>
    <font>
      <sz val="11"/>
      <color indexed="8"/>
      <name val="Calibri"/>
      <family val="2"/>
    </font>
    <font>
      <sz val="10"/>
      <color indexed="8"/>
      <name val="Arial"/>
      <family val="2"/>
    </font>
    <font>
      <sz val="9"/>
      <color indexed="81"/>
      <name val="Tahoma"/>
      <family val="2"/>
    </font>
    <font>
      <b/>
      <sz val="9"/>
      <color indexed="81"/>
      <name val="Tahoma"/>
      <family val="2"/>
    </font>
    <font>
      <sz val="12"/>
      <name val="Arial"/>
      <family val="2"/>
    </font>
    <font>
      <sz val="10"/>
      <name val="Arial"/>
      <family val="2"/>
    </font>
    <font>
      <b/>
      <sz val="14"/>
      <color indexed="13"/>
      <name val="Arial"/>
      <family val="2"/>
    </font>
    <font>
      <b/>
      <sz val="8"/>
      <color indexed="42"/>
      <name val="Arial"/>
      <family val="2"/>
    </font>
    <font>
      <sz val="14"/>
      <name val="Arial"/>
      <family val="2"/>
    </font>
    <font>
      <b/>
      <sz val="12"/>
      <color indexed="56"/>
      <name val="Arial"/>
      <family val="2"/>
    </font>
    <font>
      <sz val="10"/>
      <color indexed="8"/>
      <name val="Arial"/>
      <family val="2"/>
    </font>
    <font>
      <sz val="8"/>
      <color indexed="9"/>
      <name val="Arial"/>
      <family val="2"/>
    </font>
    <font>
      <b/>
      <sz val="9"/>
      <color indexed="9"/>
      <name val="Arial"/>
      <family val="2"/>
    </font>
    <font>
      <b/>
      <sz val="14"/>
      <color indexed="13"/>
      <name val="Arial"/>
      <family val="2"/>
    </font>
    <font>
      <sz val="14"/>
      <color indexed="9"/>
      <name val="Arial"/>
      <family val="2"/>
    </font>
    <font>
      <b/>
      <u/>
      <sz val="10"/>
      <color indexed="12"/>
      <name val="Arial"/>
      <family val="2"/>
    </font>
    <font>
      <sz val="10"/>
      <color indexed="9"/>
      <name val="Arial"/>
      <family val="2"/>
    </font>
    <font>
      <b/>
      <sz val="10"/>
      <color indexed="10"/>
      <name val="Tahoma"/>
      <family val="2"/>
    </font>
    <font>
      <b/>
      <sz val="11"/>
      <color indexed="17"/>
      <name val="Calibri"/>
      <family val="2"/>
    </font>
    <font>
      <b/>
      <sz val="8"/>
      <color indexed="9"/>
      <name val="Arial"/>
      <family val="2"/>
    </font>
    <font>
      <sz val="10"/>
      <color indexed="10"/>
      <name val="Arial"/>
      <family val="2"/>
    </font>
    <font>
      <b/>
      <sz val="10"/>
      <color indexed="8"/>
      <name val="Arial"/>
      <family val="2"/>
    </font>
    <font>
      <b/>
      <sz val="10"/>
      <color indexed="12"/>
      <name val="Arial"/>
      <family val="2"/>
    </font>
    <font>
      <sz val="10"/>
      <color indexed="12"/>
      <name val="Arial"/>
      <family val="2"/>
    </font>
    <font>
      <b/>
      <i/>
      <sz val="10"/>
      <color indexed="12"/>
      <name val="Arial"/>
      <family val="2"/>
    </font>
    <font>
      <i/>
      <sz val="10"/>
      <color indexed="12"/>
      <name val="Arial"/>
      <family val="2"/>
    </font>
    <font>
      <b/>
      <sz val="10"/>
      <color indexed="9"/>
      <name val="Arial"/>
      <family val="2"/>
    </font>
    <font>
      <b/>
      <u/>
      <sz val="10"/>
      <name val="Arial"/>
      <family val="2"/>
    </font>
    <font>
      <b/>
      <i/>
      <u/>
      <sz val="10"/>
      <name val="Arial"/>
      <family val="2"/>
    </font>
    <font>
      <i/>
      <u/>
      <sz val="10"/>
      <name val="Arial"/>
      <family val="2"/>
    </font>
    <font>
      <sz val="11"/>
      <color theme="1"/>
      <name val="Calibri"/>
      <family val="2"/>
      <scheme val="minor"/>
    </font>
    <font>
      <sz val="11"/>
      <color theme="0"/>
      <name val="Calibri"/>
      <family val="2"/>
      <scheme val="minor"/>
    </font>
    <font>
      <sz val="11"/>
      <color theme="1"/>
      <name val="Arial"/>
      <family val="2"/>
    </font>
    <font>
      <u/>
      <sz val="10"/>
      <color rgb="FF0000FF"/>
      <name val="Arial"/>
      <family val="2"/>
    </font>
    <font>
      <sz val="10"/>
      <color theme="1"/>
      <name val="Arial1"/>
    </font>
    <font>
      <sz val="11"/>
      <color rgb="FF006100"/>
      <name val="Calibri"/>
      <family val="2"/>
      <scheme val="minor"/>
    </font>
    <font>
      <b/>
      <i/>
      <sz val="16"/>
      <color theme="1"/>
      <name val="Arial"/>
      <family val="2"/>
    </font>
    <font>
      <u/>
      <sz val="11"/>
      <color theme="10"/>
      <name val="Calibri"/>
      <family val="2"/>
    </font>
    <font>
      <u/>
      <sz val="10"/>
      <color theme="10"/>
      <name val="Arial"/>
      <family val="2"/>
    </font>
    <font>
      <sz val="11"/>
      <color rgb="FF9C6500"/>
      <name val="Calibri"/>
      <family val="2"/>
      <scheme val="minor"/>
    </font>
    <font>
      <sz val="10"/>
      <color theme="1"/>
      <name val="Arial"/>
      <family val="2"/>
    </font>
    <font>
      <sz val="11"/>
      <color theme="1"/>
      <name val="Calibri"/>
      <family val="2"/>
    </font>
    <font>
      <sz val="11"/>
      <color rgb="FF000000"/>
      <name val="Calibri"/>
      <family val="2"/>
    </font>
    <font>
      <b/>
      <i/>
      <u/>
      <sz val="11"/>
      <color theme="1"/>
      <name val="Arial"/>
      <family val="2"/>
    </font>
    <font>
      <b/>
      <sz val="11"/>
      <color theme="1"/>
      <name val="Arial"/>
      <family val="2"/>
    </font>
    <font>
      <sz val="18"/>
      <color theme="3"/>
      <name val="Cambria"/>
      <family val="2"/>
      <scheme val="major"/>
    </font>
    <font>
      <b/>
      <sz val="11"/>
      <color theme="1"/>
      <name val="Calibri"/>
      <family val="2"/>
      <scheme val="minor"/>
    </font>
    <font>
      <b/>
      <sz val="10"/>
      <color rgb="FF0000FF"/>
      <name val="Arial"/>
      <family val="2"/>
    </font>
    <font>
      <b/>
      <u/>
      <sz val="14"/>
      <color rgb="FFFF0000"/>
      <name val="Arial"/>
      <family val="2"/>
    </font>
    <font>
      <b/>
      <u/>
      <sz val="12"/>
      <color rgb="FFFF0000"/>
      <name val="Trebuchet MS"/>
      <family val="2"/>
    </font>
    <font>
      <sz val="8"/>
      <color rgb="FFFF0000"/>
      <name val="Arial"/>
      <family val="2"/>
    </font>
    <font>
      <b/>
      <sz val="8"/>
      <color rgb="FF002060"/>
      <name val="Arial"/>
      <family val="2"/>
    </font>
    <font>
      <b/>
      <sz val="8"/>
      <color rgb="FF00B050"/>
      <name val="Arial"/>
      <family val="2"/>
    </font>
    <font>
      <b/>
      <sz val="9"/>
      <color rgb="FF00B050"/>
      <name val="Arial"/>
      <family val="2"/>
    </font>
    <font>
      <sz val="9"/>
      <color rgb="FF00B050"/>
      <name val="Arial"/>
      <family val="2"/>
    </font>
    <font>
      <b/>
      <i/>
      <sz val="11"/>
      <name val="Arial"/>
      <family val="2"/>
    </font>
    <font>
      <b/>
      <sz val="9"/>
      <color rgb="FF00B0F0"/>
      <name val="Arial"/>
      <family val="2"/>
    </font>
    <font>
      <b/>
      <sz val="8"/>
      <color rgb="FFFF0000"/>
      <name val="Arial"/>
      <family val="2"/>
    </font>
    <font>
      <sz val="14"/>
      <color indexed="13"/>
      <name val="Arial"/>
      <family val="2"/>
    </font>
    <font>
      <sz val="12"/>
      <color indexed="56"/>
      <name val="Arial"/>
      <family val="2"/>
    </font>
  </fonts>
  <fills count="69">
    <fill>
      <patternFill patternType="none"/>
    </fill>
    <fill>
      <patternFill patternType="gray125"/>
    </fill>
    <fill>
      <patternFill patternType="solid">
        <fgColor indexed="13"/>
        <bgColor indexed="64"/>
      </patternFill>
    </fill>
    <fill>
      <patternFill patternType="solid">
        <fgColor indexed="57"/>
        <bgColor indexed="64"/>
      </patternFill>
    </fill>
    <fill>
      <patternFill patternType="solid">
        <fgColor indexed="43"/>
        <bgColor indexed="64"/>
      </patternFill>
    </fill>
    <fill>
      <patternFill patternType="solid">
        <fgColor indexed="46"/>
        <bgColor indexed="64"/>
      </patternFill>
    </fill>
    <fill>
      <patternFill patternType="solid">
        <fgColor indexed="15"/>
        <bgColor indexed="64"/>
      </patternFill>
    </fill>
    <fill>
      <patternFill patternType="solid">
        <fgColor indexed="48"/>
        <bgColor indexed="64"/>
      </patternFill>
    </fill>
    <fill>
      <patternFill patternType="solid">
        <fgColor indexed="44"/>
        <bgColor indexed="64"/>
      </patternFill>
    </fill>
    <fill>
      <patternFill patternType="solid">
        <fgColor indexed="16"/>
        <bgColor indexed="64"/>
      </patternFill>
    </fill>
    <fill>
      <patternFill patternType="solid">
        <fgColor indexed="55"/>
        <bgColor indexed="64"/>
      </patternFill>
    </fill>
    <fill>
      <patternFill patternType="solid">
        <fgColor indexed="22"/>
        <bgColor indexed="64"/>
      </patternFill>
    </fill>
    <fill>
      <patternFill patternType="solid">
        <fgColor indexed="41"/>
        <bgColor indexed="64"/>
      </patternFill>
    </fill>
    <fill>
      <patternFill patternType="solid">
        <fgColor indexed="42"/>
        <bgColor indexed="64"/>
      </patternFill>
    </fill>
    <fill>
      <patternFill patternType="solid">
        <fgColor indexed="12"/>
        <bgColor indexed="64"/>
      </patternFill>
    </fill>
    <fill>
      <patternFill patternType="solid">
        <fgColor indexed="11"/>
        <bgColor indexed="64"/>
      </patternFill>
    </fill>
    <fill>
      <patternFill patternType="solid">
        <fgColor indexed="19"/>
        <bgColor indexed="64"/>
      </patternFill>
    </fill>
    <fill>
      <patternFill patternType="solid">
        <fgColor indexed="9"/>
        <bgColor indexed="64"/>
      </patternFill>
    </fill>
    <fill>
      <patternFill patternType="solid">
        <fgColor indexed="20"/>
        <bgColor indexed="64"/>
      </patternFill>
    </fill>
    <fill>
      <patternFill patternType="solid">
        <fgColor indexed="23"/>
        <bgColor indexed="64"/>
      </patternFill>
    </fill>
    <fill>
      <patternFill patternType="solid">
        <fgColor indexed="47"/>
        <bgColor indexed="64"/>
      </patternFill>
    </fill>
    <fill>
      <patternFill patternType="solid">
        <fgColor indexed="61"/>
        <bgColor indexed="64"/>
      </patternFill>
    </fill>
    <fill>
      <patternFill patternType="solid">
        <fgColor indexed="45"/>
        <bgColor indexed="64"/>
      </patternFill>
    </fill>
    <fill>
      <patternFill patternType="solid">
        <fgColor indexed="22"/>
        <bgColor indexed="0"/>
      </patternFill>
    </fill>
    <fill>
      <patternFill patternType="solid">
        <fgColor indexed="17"/>
        <bgColor indexed="64"/>
      </patternFill>
    </fill>
    <fill>
      <patternFill patternType="solid">
        <fgColor indexed="49"/>
        <bgColor indexed="64"/>
      </patternFill>
    </fill>
    <fill>
      <patternFill patternType="solid">
        <fgColor indexed="51"/>
        <bgColor indexed="64"/>
      </patternFill>
    </fill>
    <fill>
      <patternFill patternType="solid">
        <fgColor indexed="40"/>
        <bgColor indexed="64"/>
      </patternFill>
    </fill>
    <fill>
      <patternFill patternType="solid">
        <fgColor indexed="50"/>
        <bgColor indexed="64"/>
      </patternFill>
    </fill>
    <fill>
      <patternFill patternType="solid">
        <fgColor indexed="42"/>
        <bgColor indexed="8"/>
      </patternFill>
    </fill>
    <fill>
      <patternFill patternType="solid">
        <fgColor indexed="41"/>
        <bgColor indexed="8"/>
      </patternFill>
    </fill>
    <fill>
      <patternFill patternType="solid">
        <fgColor indexed="36"/>
        <bgColor indexed="64"/>
      </patternFill>
    </fill>
    <fill>
      <patternFill patternType="solid">
        <fgColor indexed="63"/>
        <bgColor indexed="64"/>
      </patternFill>
    </fill>
    <fill>
      <patternFill patternType="solid">
        <fgColor indexed="26"/>
        <bgColor indexed="64"/>
      </patternFill>
    </fill>
    <fill>
      <patternFill patternType="solid">
        <fgColor indexed="31"/>
        <bgColor indexed="64"/>
      </patternFill>
    </fill>
    <fill>
      <patternFill patternType="solid">
        <fgColor indexed="1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CC"/>
      </patternFill>
    </fill>
    <fill>
      <patternFill patternType="solid">
        <fgColor rgb="FFFF0000"/>
        <bgColor rgb="FFFF0000"/>
      </patternFill>
    </fill>
    <fill>
      <patternFill patternType="solid">
        <fgColor rgb="FFC6EFCE"/>
      </patternFill>
    </fill>
    <fill>
      <patternFill patternType="solid">
        <fgColor rgb="FFFFEB9C"/>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9" tint="0.59996337778862885"/>
        <bgColor indexed="64"/>
      </patternFill>
    </fill>
    <fill>
      <patternFill patternType="solid">
        <fgColor theme="7" tint="0.599963377788628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FFFFF"/>
        <bgColor indexed="64"/>
      </patternFill>
    </fill>
  </fills>
  <borders count="502">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dashed">
        <color indexed="64"/>
      </right>
      <top/>
      <bottom style="thin">
        <color indexed="64"/>
      </bottom>
      <diagonal/>
    </border>
    <border>
      <left style="dashed">
        <color indexed="64"/>
      </left>
      <right style="dashed">
        <color indexed="64"/>
      </right>
      <top style="double">
        <color indexed="64"/>
      </top>
      <bottom/>
      <diagonal/>
    </border>
    <border>
      <left style="dashed">
        <color indexed="64"/>
      </left>
      <right style="double">
        <color indexed="64"/>
      </right>
      <top/>
      <bottom style="thin">
        <color indexed="64"/>
      </bottom>
      <diagonal/>
    </border>
    <border>
      <left style="dashed">
        <color indexed="64"/>
      </left>
      <right style="dashed">
        <color indexed="64"/>
      </right>
      <top style="thin">
        <color indexed="64"/>
      </top>
      <bottom style="double">
        <color indexed="64"/>
      </bottom>
      <diagonal/>
    </border>
    <border>
      <left/>
      <right/>
      <top style="hair">
        <color indexed="64"/>
      </top>
      <bottom style="hair">
        <color indexed="64"/>
      </bottom>
      <diagonal/>
    </border>
    <border>
      <left style="double">
        <color indexed="64"/>
      </left>
      <right/>
      <top style="dashed">
        <color indexed="64"/>
      </top>
      <bottom style="hair">
        <color indexed="64"/>
      </bottom>
      <diagonal/>
    </border>
    <border>
      <left/>
      <right/>
      <top style="dashed">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style="medium">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8"/>
      </right>
      <top style="thin">
        <color indexed="8"/>
      </top>
      <bottom style="thin">
        <color indexed="8"/>
      </bottom>
      <diagonal/>
    </border>
    <border>
      <left style="dashed">
        <color indexed="64"/>
      </left>
      <right style="double">
        <color indexed="64"/>
      </right>
      <top style="thin">
        <color indexed="64"/>
      </top>
      <bottom style="thin">
        <color indexed="64"/>
      </bottom>
      <diagonal/>
    </border>
    <border>
      <left style="dashed">
        <color indexed="64"/>
      </left>
      <right style="double">
        <color indexed="64"/>
      </right>
      <top style="thin">
        <color indexed="64"/>
      </top>
      <bottom style="double">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double">
        <color indexed="64"/>
      </bottom>
      <diagonal/>
    </border>
    <border>
      <left/>
      <right style="medium">
        <color indexed="64"/>
      </right>
      <top style="medium">
        <color indexed="64"/>
      </top>
      <bottom style="medium">
        <color indexed="64"/>
      </bottom>
      <diagonal/>
    </border>
    <border>
      <left style="dashed">
        <color indexed="64"/>
      </left>
      <right style="dashed">
        <color indexed="64"/>
      </right>
      <top/>
      <bottom/>
      <diagonal/>
    </border>
    <border>
      <left style="thin">
        <color indexed="8"/>
      </left>
      <right style="thin">
        <color indexed="8"/>
      </right>
      <top style="thin">
        <color indexed="8"/>
      </top>
      <bottom style="thin">
        <color indexed="8"/>
      </bottom>
      <diagonal/>
    </border>
    <border>
      <left style="double">
        <color indexed="64"/>
      </left>
      <right/>
      <top style="thin">
        <color indexed="64"/>
      </top>
      <bottom style="thin">
        <color indexed="64"/>
      </bottom>
      <diagonal/>
    </border>
    <border>
      <left/>
      <right style="double">
        <color indexed="64"/>
      </right>
      <top/>
      <bottom/>
      <diagonal/>
    </border>
    <border>
      <left style="double">
        <color indexed="64"/>
      </left>
      <right/>
      <top/>
      <bottom/>
      <diagonal/>
    </border>
    <border>
      <left style="double">
        <color indexed="64"/>
      </left>
      <right style="hair">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style="dotted">
        <color indexed="39"/>
      </top>
      <bottom style="double">
        <color indexed="39"/>
      </bottom>
      <diagonal/>
    </border>
    <border>
      <left/>
      <right style="thin">
        <color indexed="64"/>
      </right>
      <top style="thin">
        <color indexed="64"/>
      </top>
      <bottom/>
      <diagonal/>
    </border>
    <border>
      <left/>
      <right/>
      <top style="hair">
        <color indexed="64"/>
      </top>
      <bottom/>
      <diagonal/>
    </border>
    <border>
      <left style="medium">
        <color indexed="64"/>
      </left>
      <right style="medium">
        <color indexed="64"/>
      </right>
      <top style="medium">
        <color indexed="64"/>
      </top>
      <bottom style="medium">
        <color indexed="64"/>
      </bottom>
      <diagonal/>
    </border>
    <border>
      <left/>
      <right style="mediumDashed">
        <color indexed="64"/>
      </right>
      <top/>
      <bottom/>
      <diagonal/>
    </border>
    <border>
      <left/>
      <right style="mediumDashed">
        <color indexed="64"/>
      </right>
      <top style="thin">
        <color indexed="64"/>
      </top>
      <bottom style="thin">
        <color indexed="64"/>
      </bottom>
      <diagonal/>
    </border>
    <border>
      <left/>
      <right style="double">
        <color indexed="64"/>
      </right>
      <top/>
      <bottom style="hair">
        <color indexed="64"/>
      </bottom>
      <diagonal/>
    </border>
    <border>
      <left/>
      <right style="double">
        <color indexed="64"/>
      </right>
      <top style="thin">
        <color indexed="64"/>
      </top>
      <bottom style="thin">
        <color indexed="64"/>
      </bottom>
      <diagonal/>
    </border>
    <border>
      <left/>
      <right/>
      <top/>
      <bottom style="double">
        <color indexed="39"/>
      </bottom>
      <diagonal/>
    </border>
    <border>
      <left style="double">
        <color indexed="64"/>
      </left>
      <right style="hair">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mediumDashed">
        <color indexed="64"/>
      </left>
      <right/>
      <top/>
      <bottom/>
      <diagonal/>
    </border>
    <border>
      <left style="mediumDashed">
        <color indexed="64"/>
      </left>
      <right/>
      <top style="thin">
        <color indexed="64"/>
      </top>
      <bottom style="thin">
        <color indexed="64"/>
      </bottom>
      <diagonal/>
    </border>
    <border>
      <left/>
      <right style="mediumDashed">
        <color indexed="64"/>
      </right>
      <top style="thin">
        <color indexed="64"/>
      </top>
      <bottom style="dotted">
        <color indexed="64"/>
      </bottom>
      <diagonal/>
    </border>
    <border>
      <left/>
      <right/>
      <top/>
      <bottom style="dotted">
        <color indexed="64"/>
      </bottom>
      <diagonal/>
    </border>
    <border>
      <left style="thin">
        <color indexed="64"/>
      </left>
      <right/>
      <top/>
      <bottom/>
      <diagonal/>
    </border>
    <border>
      <left style="double">
        <color indexed="64"/>
      </left>
      <right/>
      <top/>
      <bottom style="hair">
        <color indexed="64"/>
      </bottom>
      <diagonal/>
    </border>
    <border>
      <left style="dashed">
        <color indexed="64"/>
      </left>
      <right/>
      <top/>
      <bottom/>
      <diagonal/>
    </border>
    <border>
      <left style="dashed">
        <color indexed="64"/>
      </left>
      <right/>
      <top style="thin">
        <color indexed="64"/>
      </top>
      <bottom style="thin">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right style="medium">
        <color indexed="64"/>
      </right>
      <top style="thin">
        <color indexed="64"/>
      </top>
      <bottom style="dotted">
        <color indexed="64"/>
      </bottom>
      <diagonal/>
    </border>
    <border>
      <left/>
      <right style="medium">
        <color indexed="64"/>
      </right>
      <top/>
      <bottom style="thin">
        <color indexed="64"/>
      </bottom>
      <diagonal/>
    </border>
    <border>
      <left/>
      <right style="medium">
        <color indexed="64"/>
      </right>
      <top/>
      <bottom style="hair">
        <color indexed="64"/>
      </bottom>
      <diagonal/>
    </border>
    <border>
      <left style="mediumDashed">
        <color indexed="64"/>
      </left>
      <right/>
      <top style="hair">
        <color indexed="64"/>
      </top>
      <bottom style="hair">
        <color indexed="64"/>
      </bottom>
      <diagonal/>
    </border>
    <border>
      <left style="double">
        <color indexed="64"/>
      </left>
      <right/>
      <top/>
      <bottom style="thin">
        <color indexed="64"/>
      </bottom>
      <diagonal/>
    </border>
    <border>
      <left/>
      <right style="thin">
        <color indexed="64"/>
      </right>
      <top style="hair">
        <color indexed="64"/>
      </top>
      <bottom style="hair">
        <color indexed="64"/>
      </bottom>
      <diagonal/>
    </border>
    <border>
      <left style="double">
        <color indexed="64"/>
      </left>
      <right/>
      <top style="thin">
        <color indexed="64"/>
      </top>
      <bottom/>
      <diagonal/>
    </border>
    <border>
      <left style="thick">
        <color indexed="64"/>
      </left>
      <right style="mediumDashed">
        <color indexed="64"/>
      </right>
      <top style="thin">
        <color indexed="64"/>
      </top>
      <bottom style="thin">
        <color indexed="64"/>
      </bottom>
      <diagonal/>
    </border>
    <border>
      <left style="thick">
        <color indexed="64"/>
      </left>
      <right style="mediumDashed">
        <color indexed="64"/>
      </right>
      <top/>
      <bottom/>
      <diagonal/>
    </border>
    <border>
      <left style="thick">
        <color indexed="64"/>
      </left>
      <right style="mediumDashed">
        <color indexed="64"/>
      </right>
      <top/>
      <bottom style="thin">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double">
        <color indexed="64"/>
      </right>
      <top/>
      <bottom style="medium">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
      <left style="thin">
        <color indexed="64"/>
      </left>
      <right style="mediumDashed">
        <color indexed="64"/>
      </right>
      <top/>
      <bottom/>
      <diagonal/>
    </border>
    <border>
      <left style="thin">
        <color indexed="64"/>
      </left>
      <right style="mediumDashed">
        <color indexed="64"/>
      </right>
      <top/>
      <bottom style="double">
        <color indexed="64"/>
      </bottom>
      <diagonal/>
    </border>
    <border>
      <left style="thin">
        <color indexed="64"/>
      </left>
      <right style="mediumDashed">
        <color indexed="64"/>
      </right>
      <top style="thin">
        <color indexed="64"/>
      </top>
      <bottom style="double">
        <color indexed="64"/>
      </bottom>
      <diagonal/>
    </border>
    <border>
      <left/>
      <right style="thin">
        <color indexed="64"/>
      </right>
      <top/>
      <bottom/>
      <diagonal/>
    </border>
    <border>
      <left style="thin">
        <color indexed="64"/>
      </left>
      <right style="hair">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double">
        <color indexed="64"/>
      </right>
      <top style="medium">
        <color indexed="64"/>
      </top>
      <bottom/>
      <diagonal/>
    </border>
    <border>
      <left/>
      <right style="double">
        <color indexed="64"/>
      </right>
      <top style="medium">
        <color indexed="64"/>
      </top>
      <bottom/>
      <diagonal/>
    </border>
    <border>
      <left style="dashed">
        <color indexed="64"/>
      </left>
      <right style="double">
        <color indexed="64"/>
      </right>
      <top style="medium">
        <color indexed="64"/>
      </top>
      <bottom/>
      <diagonal/>
    </border>
    <border>
      <left style="double">
        <color indexed="64"/>
      </left>
      <right style="double">
        <color indexed="64"/>
      </right>
      <top style="medium">
        <color indexed="64"/>
      </top>
      <bottom/>
      <diagonal/>
    </border>
    <border>
      <left style="medium">
        <color indexed="64"/>
      </left>
      <right style="double">
        <color indexed="64"/>
      </right>
      <top style="double">
        <color indexed="64"/>
      </top>
      <bottom style="double">
        <color indexed="64"/>
      </bottom>
      <diagonal/>
    </border>
    <border>
      <left/>
      <right/>
      <top style="double">
        <color indexed="64"/>
      </top>
      <bottom style="double">
        <color indexed="64"/>
      </bottom>
      <diagonal/>
    </border>
    <border>
      <left style="dashed">
        <color indexed="64"/>
      </left>
      <right style="double">
        <color indexed="64"/>
      </right>
      <top style="double">
        <color indexed="64"/>
      </top>
      <bottom style="double">
        <color indexed="64"/>
      </bottom>
      <diagonal/>
    </border>
    <border>
      <left/>
      <right style="medium">
        <color indexed="64"/>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medium">
        <color indexed="64"/>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diagonal/>
    </border>
    <border>
      <left style="medium">
        <color indexed="64"/>
      </left>
      <right style="medium">
        <color indexed="64"/>
      </right>
      <top/>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bottom/>
      <diagonal/>
    </border>
    <border>
      <left/>
      <right style="medium">
        <color indexed="64"/>
      </right>
      <top style="thin">
        <color indexed="64"/>
      </top>
      <bottom/>
      <diagonal/>
    </border>
    <border>
      <left style="medium">
        <color indexed="64"/>
      </left>
      <right/>
      <top style="thin">
        <color indexed="64"/>
      </top>
      <bottom/>
      <diagonal/>
    </border>
    <border>
      <left style="mediumDashed">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Dashed">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thin">
        <color indexed="64"/>
      </top>
      <bottom style="hair">
        <color indexed="64"/>
      </bottom>
      <diagonal/>
    </border>
    <border>
      <left style="medium">
        <color indexed="12"/>
      </left>
      <right style="hair">
        <color indexed="12"/>
      </right>
      <top style="medium">
        <color indexed="12"/>
      </top>
      <bottom style="medium">
        <color indexed="12"/>
      </bottom>
      <diagonal/>
    </border>
    <border>
      <left style="hair">
        <color indexed="12"/>
      </left>
      <right style="medium">
        <color indexed="12"/>
      </right>
      <top style="medium">
        <color indexed="12"/>
      </top>
      <bottom style="medium">
        <color indexed="12"/>
      </bottom>
      <diagonal/>
    </border>
    <border>
      <left style="thin">
        <color indexed="43"/>
      </left>
      <right style="thin">
        <color indexed="43"/>
      </right>
      <top style="thin">
        <color indexed="43"/>
      </top>
      <bottom style="thin">
        <color indexed="43"/>
      </bottom>
      <diagonal/>
    </border>
    <border>
      <left style="medium">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medium">
        <color indexed="64"/>
      </right>
      <top style="dashed">
        <color indexed="64"/>
      </top>
      <bottom style="dashed">
        <color indexed="64"/>
      </bottom>
      <diagonal/>
    </border>
    <border>
      <left style="hair">
        <color indexed="64"/>
      </left>
      <right/>
      <top style="hair">
        <color indexed="64"/>
      </top>
      <bottom style="medium">
        <color indexed="64"/>
      </bottom>
      <diagonal/>
    </border>
    <border>
      <left style="dashed">
        <color indexed="64"/>
      </left>
      <right style="medium">
        <color indexed="64"/>
      </right>
      <top style="dashed">
        <color indexed="64"/>
      </top>
      <bottom style="dashed">
        <color indexed="64"/>
      </bottom>
      <diagonal/>
    </border>
    <border>
      <left style="thin">
        <color indexed="8"/>
      </left>
      <right style="thin">
        <color indexed="8"/>
      </right>
      <top style="dotted">
        <color indexed="39"/>
      </top>
      <bottom style="double">
        <color indexed="39"/>
      </bottom>
      <diagonal/>
    </border>
    <border>
      <left style="double">
        <color indexed="64"/>
      </left>
      <right/>
      <top style="dotted">
        <color indexed="39"/>
      </top>
      <bottom style="double">
        <color indexed="39"/>
      </bottom>
      <diagonal/>
    </border>
    <border>
      <left style="thin">
        <color indexed="64"/>
      </left>
      <right style="thin">
        <color indexed="64"/>
      </right>
      <top style="dotted">
        <color indexed="39"/>
      </top>
      <bottom style="double">
        <color indexed="39"/>
      </bottom>
      <diagonal/>
    </border>
    <border>
      <left/>
      <right style="double">
        <color indexed="64"/>
      </right>
      <top style="dotted">
        <color indexed="39"/>
      </top>
      <bottom style="double">
        <color indexed="39"/>
      </bottom>
      <diagonal/>
    </border>
    <border>
      <left/>
      <right style="medium">
        <color indexed="64"/>
      </right>
      <top style="dotted">
        <color indexed="39"/>
      </top>
      <bottom style="double">
        <color indexed="39"/>
      </bottom>
      <diagonal/>
    </border>
    <border>
      <left/>
      <right style="mediumDashed">
        <color indexed="64"/>
      </right>
      <top style="dotted">
        <color indexed="39"/>
      </top>
      <bottom style="double">
        <color indexed="39"/>
      </bottom>
      <diagonal/>
    </border>
    <border>
      <left style="mediumDashed">
        <color indexed="64"/>
      </left>
      <right/>
      <top style="dotted">
        <color indexed="39"/>
      </top>
      <bottom style="double">
        <color indexed="39"/>
      </bottom>
      <diagonal/>
    </border>
    <border>
      <left style="thin">
        <color indexed="64"/>
      </left>
      <right/>
      <top style="dotted">
        <color indexed="39"/>
      </top>
      <bottom style="double">
        <color indexed="39"/>
      </bottom>
      <diagonal/>
    </border>
    <border>
      <left/>
      <right/>
      <top style="double">
        <color indexed="39"/>
      </top>
      <bottom style="hair">
        <color indexed="64"/>
      </bottom>
      <diagonal/>
    </border>
    <border>
      <left style="thin">
        <color indexed="8"/>
      </left>
      <right style="thin">
        <color indexed="8"/>
      </right>
      <top style="thin">
        <color indexed="8"/>
      </top>
      <bottom style="double">
        <color indexed="39"/>
      </bottom>
      <diagonal/>
    </border>
    <border>
      <left/>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thin">
        <color indexed="8"/>
      </right>
      <top style="thin">
        <color indexed="8"/>
      </top>
      <bottom/>
      <diagonal/>
    </border>
    <border>
      <left/>
      <right style="thin">
        <color indexed="64"/>
      </right>
      <top style="medium">
        <color indexed="64"/>
      </top>
      <bottom style="thin">
        <color indexed="64"/>
      </bottom>
      <diagonal/>
    </border>
    <border>
      <left style="dashed">
        <color indexed="64"/>
      </left>
      <right style="double">
        <color indexed="64"/>
      </right>
      <top style="double">
        <color indexed="64"/>
      </top>
      <bottom style="thin">
        <color indexed="64"/>
      </bottom>
      <diagonal/>
    </border>
    <border>
      <left style="thin">
        <color indexed="8"/>
      </left>
      <right style="thin">
        <color indexed="8"/>
      </right>
      <top/>
      <bottom style="double">
        <color indexed="39"/>
      </bottom>
      <diagonal/>
    </border>
    <border>
      <left/>
      <right style="double">
        <color indexed="64"/>
      </right>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hair">
        <color indexed="12"/>
      </left>
      <right style="medium">
        <color indexed="64"/>
      </right>
      <top style="medium">
        <color indexed="12"/>
      </top>
      <bottom style="medium">
        <color indexed="12"/>
      </bottom>
      <diagonal/>
    </border>
    <border>
      <left style="medium">
        <color indexed="64"/>
      </left>
      <right style="thin">
        <color indexed="64"/>
      </right>
      <top/>
      <bottom style="thin">
        <color indexed="64"/>
      </bottom>
      <diagonal/>
    </border>
    <border>
      <left style="medium">
        <color indexed="12"/>
      </left>
      <right style="hair">
        <color indexed="12"/>
      </right>
      <top/>
      <bottom style="medium">
        <color indexed="64"/>
      </bottom>
      <diagonal/>
    </border>
    <border>
      <left style="hair">
        <color indexed="12"/>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39"/>
      </left>
      <right style="thin">
        <color indexed="64"/>
      </right>
      <top style="hair">
        <color indexed="64"/>
      </top>
      <bottom style="hair">
        <color indexed="64"/>
      </bottom>
      <diagonal/>
    </border>
    <border>
      <left style="thin">
        <color indexed="8"/>
      </left>
      <right style="thin">
        <color indexed="8"/>
      </right>
      <top style="dotted">
        <color indexed="39"/>
      </top>
      <bottom style="double">
        <color indexed="12"/>
      </bottom>
      <diagonal/>
    </border>
    <border>
      <left style="thin">
        <color indexed="64"/>
      </left>
      <right style="thin">
        <color indexed="64"/>
      </right>
      <top style="thin">
        <color indexed="64"/>
      </top>
      <bottom style="dashed">
        <color indexed="64"/>
      </bottom>
      <diagonal/>
    </border>
    <border>
      <left style="medium">
        <color indexed="64"/>
      </left>
      <right style="thin">
        <color indexed="64"/>
      </right>
      <top style="thin">
        <color indexed="64"/>
      </top>
      <bottom style="double">
        <color indexed="64"/>
      </bottom>
      <diagonal/>
    </border>
    <border>
      <left/>
      <right style="dotted">
        <color indexed="64"/>
      </right>
      <top style="thin">
        <color indexed="64"/>
      </top>
      <bottom style="thin">
        <color indexed="64"/>
      </bottom>
      <diagonal/>
    </border>
    <border>
      <left/>
      <right style="dotted">
        <color indexed="64"/>
      </right>
      <top style="dotted">
        <color indexed="39"/>
      </top>
      <bottom style="double">
        <color indexed="39"/>
      </bottom>
      <diagonal/>
    </border>
    <border>
      <left style="double">
        <color indexed="64"/>
      </left>
      <right style="dotted">
        <color indexed="64"/>
      </right>
      <top/>
      <bottom style="hair">
        <color indexed="64"/>
      </bottom>
      <diagonal/>
    </border>
    <border>
      <left style="mediumDashed">
        <color indexed="64"/>
      </left>
      <right/>
      <top/>
      <bottom style="hair">
        <color indexed="64"/>
      </bottom>
      <diagonal/>
    </border>
    <border>
      <left/>
      <right style="double">
        <color indexed="64"/>
      </right>
      <top style="hair">
        <color indexed="64"/>
      </top>
      <bottom style="hair">
        <color indexed="64"/>
      </bottom>
      <diagonal/>
    </border>
    <border>
      <left style="double">
        <color indexed="64"/>
      </left>
      <right/>
      <top style="thin">
        <color indexed="64"/>
      </top>
      <bottom style="double">
        <color indexed="39"/>
      </bottom>
      <diagonal/>
    </border>
    <border>
      <left/>
      <right/>
      <top style="thin">
        <color indexed="64"/>
      </top>
      <bottom style="double">
        <color indexed="39"/>
      </bottom>
      <diagonal/>
    </border>
    <border>
      <left/>
      <right style="double">
        <color indexed="64"/>
      </right>
      <top style="thin">
        <color indexed="64"/>
      </top>
      <bottom style="double">
        <color indexed="39"/>
      </bottom>
      <diagonal/>
    </border>
    <border>
      <left style="medium">
        <color indexed="64"/>
      </left>
      <right style="double">
        <color indexed="64"/>
      </right>
      <top style="thin">
        <color indexed="64"/>
      </top>
      <bottom/>
      <diagonal/>
    </border>
    <border>
      <left style="double">
        <color indexed="64"/>
      </left>
      <right style="double">
        <color indexed="64"/>
      </right>
      <top style="thin">
        <color indexed="64"/>
      </top>
      <bottom/>
      <diagonal/>
    </border>
    <border>
      <left style="dashed">
        <color indexed="64"/>
      </left>
      <right style="double">
        <color indexed="64"/>
      </right>
      <top style="thin">
        <color indexed="64"/>
      </top>
      <bottom/>
      <diagonal/>
    </border>
    <border>
      <left style="medium">
        <color indexed="64"/>
      </left>
      <right style="double">
        <color indexed="64"/>
      </right>
      <top style="double">
        <color indexed="64"/>
      </top>
      <bottom style="mediumDashed">
        <color indexed="64"/>
      </bottom>
      <diagonal/>
    </border>
    <border>
      <left style="double">
        <color indexed="64"/>
      </left>
      <right style="dashed">
        <color indexed="64"/>
      </right>
      <top style="thin">
        <color indexed="64"/>
      </top>
      <bottom style="thin">
        <color indexed="64"/>
      </bottom>
      <diagonal/>
    </border>
    <border>
      <left style="thin">
        <color indexed="22"/>
      </left>
      <right style="thin">
        <color indexed="22"/>
      </right>
      <top style="thin">
        <color indexed="22"/>
      </top>
      <bottom/>
      <diagonal/>
    </border>
    <border>
      <left style="medium">
        <color indexed="64"/>
      </left>
      <right style="medium">
        <color indexed="64"/>
      </right>
      <top/>
      <bottom style="thin">
        <color indexed="64"/>
      </bottom>
      <diagonal/>
    </border>
    <border>
      <left style="thin">
        <color indexed="22"/>
      </left>
      <right/>
      <top style="thin">
        <color indexed="22"/>
      </top>
      <bottom style="thin">
        <color indexed="22"/>
      </bottom>
      <diagonal/>
    </border>
    <border>
      <left/>
      <right style="dashed">
        <color indexed="64"/>
      </right>
      <top style="thin">
        <color indexed="64"/>
      </top>
      <bottom style="thin">
        <color indexed="64"/>
      </bottom>
      <diagonal/>
    </border>
    <border>
      <left/>
      <right style="dashed">
        <color indexed="64"/>
      </right>
      <top style="dotted">
        <color indexed="39"/>
      </top>
      <bottom style="double">
        <color indexed="39"/>
      </bottom>
      <diagonal/>
    </border>
    <border>
      <left/>
      <right style="dashed">
        <color indexed="64"/>
      </right>
      <top/>
      <bottom style="hair">
        <color indexed="64"/>
      </bottom>
      <diagonal/>
    </border>
    <border>
      <left style="dashed">
        <color indexed="64"/>
      </left>
      <right style="dashed">
        <color indexed="64"/>
      </right>
      <top style="dotted">
        <color indexed="39"/>
      </top>
      <bottom style="double">
        <color indexed="39"/>
      </bottom>
      <diagonal/>
    </border>
    <border>
      <left style="thick">
        <color indexed="39"/>
      </left>
      <right/>
      <top style="thin">
        <color indexed="64"/>
      </top>
      <bottom style="thin">
        <color indexed="64"/>
      </bottom>
      <diagonal/>
    </border>
    <border>
      <left/>
      <right style="thick">
        <color indexed="39"/>
      </right>
      <top style="thin">
        <color indexed="64"/>
      </top>
      <bottom style="thin">
        <color indexed="64"/>
      </bottom>
      <diagonal/>
    </border>
    <border>
      <left style="thick">
        <color indexed="17"/>
      </left>
      <right/>
      <top/>
      <bottom style="thin">
        <color indexed="64"/>
      </bottom>
      <diagonal/>
    </border>
    <border>
      <left style="thick">
        <color indexed="17"/>
      </left>
      <right/>
      <top/>
      <bottom/>
      <diagonal/>
    </border>
    <border>
      <left style="thick">
        <color indexed="17"/>
      </left>
      <right/>
      <top style="medium">
        <color indexed="64"/>
      </top>
      <bottom style="medium">
        <color indexed="64"/>
      </bottom>
      <diagonal/>
    </border>
    <border>
      <left style="thick">
        <color indexed="17"/>
      </left>
      <right/>
      <top style="thin">
        <color indexed="64"/>
      </top>
      <bottom style="thin">
        <color indexed="64"/>
      </bottom>
      <diagonal/>
    </border>
    <border>
      <left style="thick">
        <color indexed="17"/>
      </left>
      <right/>
      <top style="dotted">
        <color indexed="39"/>
      </top>
      <bottom style="double">
        <color indexed="39"/>
      </bottom>
      <diagonal/>
    </border>
    <border>
      <left style="thick">
        <color indexed="17"/>
      </left>
      <right/>
      <top/>
      <bottom style="hair">
        <color indexed="64"/>
      </bottom>
      <diagonal/>
    </border>
    <border>
      <left style="double">
        <color indexed="64"/>
      </left>
      <right style="dashed">
        <color indexed="64"/>
      </right>
      <top/>
      <bottom/>
      <diagonal/>
    </border>
    <border>
      <left style="dashed">
        <color indexed="64"/>
      </left>
      <right style="double">
        <color indexed="64"/>
      </right>
      <top/>
      <bottom/>
      <diagonal/>
    </border>
    <border>
      <left style="dashed">
        <color indexed="64"/>
      </left>
      <right style="double">
        <color indexed="64"/>
      </right>
      <top style="dotted">
        <color indexed="39"/>
      </top>
      <bottom style="double">
        <color indexed="39"/>
      </bottom>
      <diagonal/>
    </border>
    <border>
      <left style="slantDashDot">
        <color indexed="64"/>
      </left>
      <right/>
      <top/>
      <bottom/>
      <diagonal/>
    </border>
    <border>
      <left/>
      <right style="slantDashDot">
        <color indexed="64"/>
      </right>
      <top/>
      <bottom/>
      <diagonal/>
    </border>
    <border>
      <left style="mediumDashDotDot">
        <color indexed="64"/>
      </left>
      <right style="slantDashDot">
        <color indexed="64"/>
      </right>
      <top style="medium">
        <color indexed="64"/>
      </top>
      <bottom style="medium">
        <color indexed="64"/>
      </bottom>
      <diagonal/>
    </border>
    <border>
      <left style="mediumDashDotDot">
        <color indexed="64"/>
      </left>
      <right style="slantDashDot">
        <color indexed="64"/>
      </right>
      <top/>
      <bottom/>
      <diagonal/>
    </border>
    <border>
      <left style="double">
        <color indexed="64"/>
      </left>
      <right style="dotted">
        <color indexed="64"/>
      </right>
      <top/>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dotted">
        <color indexed="64"/>
      </bottom>
      <diagonal/>
    </border>
    <border>
      <left style="double">
        <color indexed="64"/>
      </left>
      <right/>
      <top style="thin">
        <color indexed="64"/>
      </top>
      <bottom style="dotted">
        <color indexed="64"/>
      </bottom>
      <diagonal/>
    </border>
    <border>
      <left/>
      <right style="double">
        <color indexed="64"/>
      </right>
      <top style="thin">
        <color indexed="64"/>
      </top>
      <bottom style="dotted">
        <color indexed="64"/>
      </bottom>
      <diagonal/>
    </border>
    <border>
      <left/>
      <right style="dotted">
        <color indexed="64"/>
      </right>
      <top style="thin">
        <color indexed="64"/>
      </top>
      <bottom/>
      <diagonal/>
    </border>
    <border>
      <left/>
      <right style="thin">
        <color indexed="64"/>
      </right>
      <top style="thin">
        <color indexed="64"/>
      </top>
      <bottom style="dotted">
        <color indexed="64"/>
      </bottom>
      <diagonal/>
    </border>
    <border>
      <left style="double">
        <color indexed="64"/>
      </left>
      <right/>
      <top style="dotted">
        <color indexed="64"/>
      </top>
      <bottom style="dotted">
        <color indexed="64"/>
      </bottom>
      <diagonal/>
    </border>
    <border>
      <left/>
      <right/>
      <top style="dotted">
        <color indexed="64"/>
      </top>
      <bottom style="dotted">
        <color indexed="39"/>
      </bottom>
      <diagonal/>
    </border>
    <border>
      <left/>
      <right style="double">
        <color indexed="64"/>
      </right>
      <top style="dotted">
        <color indexed="64"/>
      </top>
      <bottom style="dotted">
        <color indexed="39"/>
      </bottom>
      <diagonal/>
    </border>
    <border>
      <left/>
      <right style="dotted">
        <color indexed="64"/>
      </right>
      <top/>
      <bottom/>
      <diagonal/>
    </border>
    <border>
      <left style="thin">
        <color indexed="64"/>
      </left>
      <right style="dashed">
        <color indexed="64"/>
      </right>
      <top style="thin">
        <color indexed="64"/>
      </top>
      <bottom style="thin">
        <color indexed="64"/>
      </bottom>
      <diagonal/>
    </border>
    <border>
      <left style="thick">
        <color indexed="12"/>
      </left>
      <right/>
      <top/>
      <bottom style="thin">
        <color indexed="64"/>
      </bottom>
      <diagonal/>
    </border>
    <border>
      <left/>
      <right style="thick">
        <color indexed="12"/>
      </right>
      <top/>
      <bottom style="thin">
        <color indexed="64"/>
      </bottom>
      <diagonal/>
    </border>
    <border>
      <left style="mediumDashed">
        <color indexed="64"/>
      </left>
      <right style="double">
        <color indexed="64"/>
      </right>
      <top style="thin">
        <color indexed="64"/>
      </top>
      <bottom style="thin">
        <color indexed="64"/>
      </bottom>
      <diagonal/>
    </border>
    <border>
      <left style="double">
        <color indexed="64"/>
      </left>
      <right style="dashed">
        <color indexed="64"/>
      </right>
      <top style="thin">
        <color indexed="64"/>
      </top>
      <bottom style="double">
        <color indexed="39"/>
      </bottom>
      <diagonal/>
    </border>
    <border>
      <left style="dashed">
        <color indexed="64"/>
      </left>
      <right style="double">
        <color indexed="64"/>
      </right>
      <top style="thin">
        <color indexed="64"/>
      </top>
      <bottom style="double">
        <color indexed="39"/>
      </bottom>
      <diagonal/>
    </border>
    <border>
      <left style="dashed">
        <color indexed="64"/>
      </left>
      <right style="double">
        <color indexed="64"/>
      </right>
      <top/>
      <bottom style="hair">
        <color indexed="64"/>
      </bottom>
      <diagonal/>
    </border>
    <border>
      <left style="dashed">
        <color indexed="64"/>
      </left>
      <right/>
      <top/>
      <bottom style="hair">
        <color indexed="64"/>
      </bottom>
      <diagonal/>
    </border>
    <border>
      <left/>
      <right style="dashed">
        <color indexed="64"/>
      </right>
      <top style="hair">
        <color indexed="64"/>
      </top>
      <bottom style="hair">
        <color indexed="64"/>
      </bottom>
      <diagonal/>
    </border>
    <border>
      <left/>
      <right style="mediumDashed">
        <color indexed="64"/>
      </right>
      <top style="hair">
        <color indexed="64"/>
      </top>
      <bottom style="hair">
        <color indexed="64"/>
      </bottom>
      <diagonal/>
    </border>
    <border>
      <left style="mediumDashed">
        <color indexed="64"/>
      </left>
      <right style="thin">
        <color indexed="64"/>
      </right>
      <top/>
      <bottom style="double">
        <color indexed="64"/>
      </bottom>
      <diagonal/>
    </border>
    <border>
      <left style="mediumDashed">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mediumDashed">
        <color indexed="64"/>
      </left>
      <right style="thin">
        <color indexed="64"/>
      </right>
      <top/>
      <bottom/>
      <diagonal/>
    </border>
    <border>
      <left style="mediumDashed">
        <color indexed="64"/>
      </left>
      <right style="thin">
        <color indexed="64"/>
      </right>
      <top style="thin">
        <color indexed="64"/>
      </top>
      <bottom style="double">
        <color indexed="64"/>
      </bottom>
      <diagonal/>
    </border>
    <border>
      <left style="thick">
        <color indexed="17"/>
      </left>
      <right style="thin">
        <color indexed="64"/>
      </right>
      <top style="thin">
        <color indexed="64"/>
      </top>
      <bottom/>
      <diagonal/>
    </border>
    <border>
      <left style="thin">
        <color indexed="64"/>
      </left>
      <right style="mediumDashed">
        <color indexed="64"/>
      </right>
      <top style="thin">
        <color indexed="64"/>
      </top>
      <bottom/>
      <diagonal/>
    </border>
    <border>
      <left style="thin">
        <color indexed="64"/>
      </left>
      <right style="mediumDashed">
        <color indexed="64"/>
      </right>
      <top style="hair">
        <color indexed="64"/>
      </top>
      <bottom style="hair">
        <color indexed="64"/>
      </bottom>
      <diagonal/>
    </border>
    <border>
      <left style="mediumDashed">
        <color indexed="64"/>
      </left>
      <right/>
      <top/>
      <bottom style="thin">
        <color indexed="64"/>
      </bottom>
      <diagonal/>
    </border>
    <border>
      <left/>
      <right style="mediumDashed">
        <color indexed="64"/>
      </right>
      <top/>
      <bottom style="thin">
        <color indexed="64"/>
      </bottom>
      <diagonal/>
    </border>
    <border>
      <left style="thick">
        <color indexed="12"/>
      </left>
      <right/>
      <top style="thin">
        <color indexed="64"/>
      </top>
      <bottom style="thin">
        <color indexed="64"/>
      </bottom>
      <diagonal/>
    </border>
    <border>
      <left/>
      <right style="thick">
        <color indexed="12"/>
      </right>
      <top style="thin">
        <color indexed="64"/>
      </top>
      <bottom style="thin">
        <color indexed="64"/>
      </bottom>
      <diagonal/>
    </border>
    <border>
      <left style="thick">
        <color indexed="12"/>
      </left>
      <right/>
      <top/>
      <bottom/>
      <diagonal/>
    </border>
    <border>
      <left/>
      <right style="thick">
        <color indexed="12"/>
      </right>
      <top/>
      <bottom/>
      <diagonal/>
    </border>
    <border>
      <left style="mediumDashed">
        <color indexed="64"/>
      </left>
      <right/>
      <top style="thin">
        <color indexed="64"/>
      </top>
      <bottom/>
      <diagonal/>
    </border>
    <border>
      <left/>
      <right style="mediumDashed">
        <color indexed="64"/>
      </right>
      <top style="thin">
        <color indexed="64"/>
      </top>
      <bottom/>
      <diagonal/>
    </border>
    <border>
      <left style="thick">
        <color indexed="12"/>
      </left>
      <right/>
      <top style="medium">
        <color indexed="64"/>
      </top>
      <bottom style="medium">
        <color indexed="64"/>
      </bottom>
      <diagonal/>
    </border>
    <border>
      <left/>
      <right style="thick">
        <color indexed="12"/>
      </right>
      <top style="medium">
        <color indexed="64"/>
      </top>
      <bottom style="medium">
        <color indexed="64"/>
      </bottom>
      <diagonal/>
    </border>
    <border>
      <left style="thick">
        <color indexed="17"/>
      </left>
      <right/>
      <top style="thin">
        <color indexed="64"/>
      </top>
      <bottom style="dotted">
        <color indexed="64"/>
      </bottom>
      <diagonal/>
    </border>
    <border>
      <left style="mediumDashed">
        <color indexed="64"/>
      </left>
      <right/>
      <top style="thin">
        <color indexed="64"/>
      </top>
      <bottom style="dotted">
        <color indexed="64"/>
      </bottom>
      <diagonal/>
    </border>
    <border>
      <left style="thick">
        <color indexed="12"/>
      </left>
      <right/>
      <top/>
      <bottom style="hair">
        <color indexed="64"/>
      </bottom>
      <diagonal/>
    </border>
    <border>
      <left/>
      <right style="thick">
        <color indexed="12"/>
      </right>
      <top/>
      <bottom style="hair">
        <color indexed="64"/>
      </bottom>
      <diagonal/>
    </border>
    <border>
      <left style="thick">
        <color indexed="17"/>
      </left>
      <right/>
      <top style="dotted">
        <color indexed="64"/>
      </top>
      <bottom style="dotted">
        <color indexed="39"/>
      </bottom>
      <diagonal/>
    </border>
    <border>
      <left style="thick">
        <color indexed="12"/>
      </left>
      <right/>
      <top style="dotted">
        <color indexed="39"/>
      </top>
      <bottom style="double">
        <color indexed="39"/>
      </bottom>
      <diagonal/>
    </border>
    <border>
      <left/>
      <right style="thick">
        <color indexed="12"/>
      </right>
      <top style="dotted">
        <color indexed="39"/>
      </top>
      <bottom style="double">
        <color indexed="39"/>
      </bottom>
      <diagonal/>
    </border>
    <border>
      <left/>
      <right style="mediumDashed">
        <color indexed="64"/>
      </right>
      <top/>
      <bottom style="hair">
        <color indexed="64"/>
      </bottom>
      <diagonal/>
    </border>
    <border>
      <left style="medium">
        <color indexed="39"/>
      </left>
      <right/>
      <top/>
      <bottom style="thin">
        <color indexed="64"/>
      </bottom>
      <diagonal/>
    </border>
    <border>
      <left/>
      <right style="medium">
        <color indexed="39"/>
      </right>
      <top/>
      <bottom style="thin">
        <color indexed="64"/>
      </bottom>
      <diagonal/>
    </border>
    <border>
      <left style="medium">
        <color indexed="39"/>
      </left>
      <right/>
      <top style="thin">
        <color indexed="64"/>
      </top>
      <bottom style="thin">
        <color indexed="64"/>
      </bottom>
      <diagonal/>
    </border>
    <border>
      <left/>
      <right style="medium">
        <color indexed="39"/>
      </right>
      <top style="thin">
        <color indexed="64"/>
      </top>
      <bottom style="thin">
        <color indexed="64"/>
      </bottom>
      <diagonal/>
    </border>
    <border>
      <left style="medium">
        <color indexed="39"/>
      </left>
      <right/>
      <top/>
      <bottom/>
      <diagonal/>
    </border>
    <border>
      <left/>
      <right style="medium">
        <color indexed="39"/>
      </right>
      <top/>
      <bottom/>
      <diagonal/>
    </border>
    <border>
      <left style="thin">
        <color indexed="64"/>
      </left>
      <right style="medium">
        <color indexed="39"/>
      </right>
      <top style="thin">
        <color indexed="64"/>
      </top>
      <bottom style="thin">
        <color indexed="64"/>
      </bottom>
      <diagonal/>
    </border>
    <border>
      <left style="medium">
        <color indexed="39"/>
      </left>
      <right/>
      <top style="dotted">
        <color indexed="39"/>
      </top>
      <bottom style="double">
        <color indexed="39"/>
      </bottom>
      <diagonal/>
    </border>
    <border>
      <left/>
      <right style="medium">
        <color indexed="39"/>
      </right>
      <top style="dotted">
        <color indexed="39"/>
      </top>
      <bottom style="double">
        <color indexed="39"/>
      </bottom>
      <diagonal/>
    </border>
    <border>
      <left/>
      <right style="mediumDashed">
        <color indexed="64"/>
      </right>
      <top style="thin">
        <color indexed="64"/>
      </top>
      <bottom style="double">
        <color indexed="39"/>
      </bottom>
      <diagonal/>
    </border>
    <border>
      <left style="medium">
        <color indexed="39"/>
      </left>
      <right/>
      <top/>
      <bottom style="hair">
        <color indexed="64"/>
      </bottom>
      <diagonal/>
    </border>
    <border>
      <left style="thin">
        <color indexed="64"/>
      </left>
      <right style="medium">
        <color indexed="39"/>
      </right>
      <top style="hair">
        <color indexed="64"/>
      </top>
      <bottom style="hair">
        <color indexed="64"/>
      </bottom>
      <diagonal/>
    </border>
    <border>
      <left style="medium">
        <color indexed="64"/>
      </left>
      <right style="double">
        <color indexed="64"/>
      </right>
      <top/>
      <bottom style="mediumDashed">
        <color indexed="64"/>
      </bottom>
      <diagonal/>
    </border>
    <border>
      <left style="double">
        <color indexed="64"/>
      </left>
      <right style="double">
        <color indexed="64"/>
      </right>
      <top style="double">
        <color indexed="64"/>
      </top>
      <bottom style="mediumDashed">
        <color indexed="64"/>
      </bottom>
      <diagonal/>
    </border>
    <border>
      <left/>
      <right style="double">
        <color indexed="64"/>
      </right>
      <top style="double">
        <color indexed="64"/>
      </top>
      <bottom style="mediumDashed">
        <color indexed="64"/>
      </bottom>
      <diagonal/>
    </border>
    <border>
      <left style="double">
        <color indexed="64"/>
      </left>
      <right style="dashed">
        <color indexed="64"/>
      </right>
      <top style="double">
        <color indexed="64"/>
      </top>
      <bottom style="mediumDashed">
        <color indexed="64"/>
      </bottom>
      <diagonal/>
    </border>
    <border>
      <left style="dashed">
        <color indexed="64"/>
      </left>
      <right/>
      <top/>
      <bottom style="thin">
        <color indexed="64"/>
      </bottom>
      <diagonal/>
    </border>
    <border>
      <left style="dashed">
        <color indexed="64"/>
      </left>
      <right/>
      <top style="thin">
        <color indexed="64"/>
      </top>
      <bottom style="double">
        <color indexed="64"/>
      </bottom>
      <diagonal/>
    </border>
    <border>
      <left style="dashed">
        <color indexed="64"/>
      </left>
      <right/>
      <top style="thin">
        <color indexed="64"/>
      </top>
      <bottom style="medium">
        <color indexed="64"/>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medium">
        <color indexed="64"/>
      </bottom>
      <diagonal/>
    </border>
    <border>
      <left style="dotted">
        <color indexed="64"/>
      </left>
      <right style="thin">
        <color indexed="64"/>
      </right>
      <top style="double">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Dashed">
        <color indexed="64"/>
      </left>
      <right style="thin">
        <color indexed="64"/>
      </right>
      <top style="mediumDashed">
        <color indexed="64"/>
      </top>
      <bottom/>
      <diagonal/>
    </border>
    <border>
      <left/>
      <right style="thin">
        <color indexed="64"/>
      </right>
      <top style="mediumDashed">
        <color indexed="64"/>
      </top>
      <bottom/>
      <diagonal/>
    </border>
    <border>
      <left/>
      <right style="mediumDashed">
        <color indexed="64"/>
      </right>
      <top style="mediumDashed">
        <color indexed="64"/>
      </top>
      <bottom/>
      <diagonal/>
    </border>
    <border>
      <left style="mediumDashed">
        <color indexed="64"/>
      </left>
      <right style="thin">
        <color indexed="64"/>
      </right>
      <top style="thin">
        <color indexed="64"/>
      </top>
      <bottom style="medium">
        <color indexed="64"/>
      </bottom>
      <diagonal/>
    </border>
    <border>
      <left/>
      <right style="mediumDashed">
        <color indexed="64"/>
      </right>
      <top style="thin">
        <color indexed="64"/>
      </top>
      <bottom style="medium">
        <color indexed="64"/>
      </bottom>
      <diagonal/>
    </border>
    <border>
      <left style="mediumDashed">
        <color indexed="64"/>
      </left>
      <right/>
      <top/>
      <bottom style="mediumDashed">
        <color indexed="64"/>
      </bottom>
      <diagonal/>
    </border>
    <border>
      <left/>
      <right/>
      <top/>
      <bottom style="mediumDashed">
        <color indexed="64"/>
      </bottom>
      <diagonal/>
    </border>
    <border>
      <left/>
      <right style="mediumDashed">
        <color indexed="64"/>
      </right>
      <top/>
      <bottom style="mediumDashed">
        <color indexed="64"/>
      </bottom>
      <diagonal/>
    </border>
    <border>
      <left style="thin">
        <color indexed="64"/>
      </left>
      <right style="thin">
        <color indexed="64"/>
      </right>
      <top style="mediumDashed">
        <color indexed="64"/>
      </top>
      <bottom/>
      <diagonal/>
    </border>
    <border>
      <left style="thin">
        <color indexed="64"/>
      </left>
      <right/>
      <top style="mediumDashed">
        <color indexed="64"/>
      </top>
      <bottom/>
      <diagonal/>
    </border>
    <border>
      <left style="thin">
        <color indexed="64"/>
      </left>
      <right style="mediumDashed">
        <color indexed="64"/>
      </right>
      <top style="mediumDashed">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thick">
        <color indexed="12"/>
      </left>
      <right style="mediumDashed">
        <color indexed="64"/>
      </right>
      <top style="thin">
        <color indexed="64"/>
      </top>
      <bottom style="dotted">
        <color indexed="64"/>
      </bottom>
      <diagonal/>
    </border>
    <border>
      <left style="thick">
        <color indexed="12"/>
      </left>
      <right style="mediumDashed">
        <color indexed="64"/>
      </right>
      <top style="thin">
        <color indexed="64"/>
      </top>
      <bottom style="thin">
        <color indexed="64"/>
      </bottom>
      <diagonal/>
    </border>
    <border>
      <left style="thick">
        <color indexed="12"/>
      </left>
      <right style="mediumDashed">
        <color indexed="64"/>
      </right>
      <top/>
      <bottom/>
      <diagonal/>
    </border>
    <border>
      <left/>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right style="thin">
        <color indexed="64"/>
      </right>
      <top style="dotted">
        <color indexed="39"/>
      </top>
      <bottom style="double">
        <color indexed="39"/>
      </bottom>
      <diagonal/>
    </border>
    <border>
      <left/>
      <right style="thick">
        <color indexed="17"/>
      </right>
      <top/>
      <bottom style="thin">
        <color indexed="64"/>
      </bottom>
      <diagonal/>
    </border>
    <border>
      <left style="double">
        <color indexed="64"/>
      </left>
      <right/>
      <top style="double">
        <color indexed="64"/>
      </top>
      <bottom style="double">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thin">
        <color indexed="64"/>
      </right>
      <top style="medium">
        <color indexed="64"/>
      </top>
      <bottom/>
      <diagonal/>
    </border>
    <border>
      <left style="double">
        <color indexed="64"/>
      </left>
      <right style="thin">
        <color indexed="64"/>
      </right>
      <top style="thin">
        <color indexed="64"/>
      </top>
      <bottom/>
      <diagonal/>
    </border>
    <border>
      <left style="double">
        <color indexed="64"/>
      </left>
      <right style="thin">
        <color indexed="64"/>
      </right>
      <top style="hair">
        <color indexed="64"/>
      </top>
      <bottom style="thin">
        <color indexed="64"/>
      </bottom>
      <diagonal/>
    </border>
    <border>
      <left style="dashed">
        <color indexed="64"/>
      </left>
      <right style="double">
        <color indexed="64"/>
      </right>
      <top style="dashed">
        <color indexed="64"/>
      </top>
      <bottom style="dashed">
        <color indexed="64"/>
      </bottom>
      <diagonal/>
    </border>
    <border>
      <left/>
      <right style="double">
        <color indexed="64"/>
      </right>
      <top style="medium">
        <color indexed="64"/>
      </top>
      <bottom style="hair">
        <color indexed="64"/>
      </bottom>
      <diagonal/>
    </border>
    <border>
      <left style="double">
        <color indexed="64"/>
      </left>
      <right/>
      <top/>
      <bottom style="double">
        <color indexed="64"/>
      </bottom>
      <diagonal/>
    </border>
    <border>
      <left style="hair">
        <color indexed="64"/>
      </left>
      <right style="double">
        <color indexed="64"/>
      </right>
      <top style="hair">
        <color indexed="64"/>
      </top>
      <bottom style="double">
        <color indexed="64"/>
      </bottom>
      <diagonal/>
    </border>
    <border>
      <left style="thin">
        <color indexed="22"/>
      </left>
      <right style="thin">
        <color indexed="22"/>
      </right>
      <top style="medium">
        <color indexed="64"/>
      </top>
      <bottom style="medium">
        <color indexed="64"/>
      </bottom>
      <diagonal/>
    </border>
    <border>
      <left style="thin">
        <color indexed="22"/>
      </left>
      <right style="thin">
        <color indexed="22"/>
      </right>
      <top/>
      <bottom style="thin">
        <color indexed="22"/>
      </bottom>
      <diagonal/>
    </border>
    <border>
      <left/>
      <right/>
      <top style="mediumDashed">
        <color indexed="64"/>
      </top>
      <bottom/>
      <diagonal/>
    </border>
    <border>
      <left style="mediumDashed">
        <color indexed="64"/>
      </left>
      <right style="mediumDashed">
        <color indexed="64"/>
      </right>
      <top style="mediumDashed">
        <color indexed="64"/>
      </top>
      <bottom/>
      <diagonal/>
    </border>
    <border>
      <left style="mediumDashed">
        <color indexed="64"/>
      </left>
      <right style="mediumDashed">
        <color indexed="64"/>
      </right>
      <top/>
      <bottom/>
      <diagonal/>
    </border>
    <border>
      <left style="mediumDashDot">
        <color indexed="50"/>
      </left>
      <right/>
      <top style="mediumDashDot">
        <color indexed="50"/>
      </top>
      <bottom/>
      <diagonal/>
    </border>
    <border>
      <left style="mediumDashed">
        <color indexed="64"/>
      </left>
      <right style="mediumDashed">
        <color indexed="64"/>
      </right>
      <top style="mediumDashDot">
        <color indexed="50"/>
      </top>
      <bottom/>
      <diagonal/>
    </border>
    <border>
      <left/>
      <right/>
      <top style="mediumDashDot">
        <color indexed="50"/>
      </top>
      <bottom/>
      <diagonal/>
    </border>
    <border>
      <left style="mediumDashDot">
        <color indexed="50"/>
      </left>
      <right/>
      <top/>
      <bottom/>
      <diagonal/>
    </border>
    <border>
      <left style="mediumDashDot">
        <color indexed="50"/>
      </left>
      <right/>
      <top style="medium">
        <color indexed="64"/>
      </top>
      <bottom style="medium">
        <color indexed="64"/>
      </bottom>
      <diagonal/>
    </border>
    <border>
      <left style="mediumDashDot">
        <color indexed="50"/>
      </left>
      <right/>
      <top/>
      <bottom style="mediumDashDot">
        <color indexed="50"/>
      </bottom>
      <diagonal/>
    </border>
    <border>
      <left style="mediumDashed">
        <color indexed="64"/>
      </left>
      <right style="mediumDashed">
        <color indexed="64"/>
      </right>
      <top/>
      <bottom style="mediumDashDot">
        <color indexed="50"/>
      </bottom>
      <diagonal/>
    </border>
    <border>
      <left/>
      <right/>
      <top/>
      <bottom style="mediumDashDot">
        <color indexed="50"/>
      </bottom>
      <diagonal/>
    </border>
    <border>
      <left style="mediumDashed">
        <color indexed="64"/>
      </left>
      <right style="mediumDashed">
        <color indexed="64"/>
      </right>
      <top style="medium">
        <color indexed="64"/>
      </top>
      <bottom style="medium">
        <color indexed="64"/>
      </bottom>
      <diagonal/>
    </border>
    <border>
      <left style="mediumDashed">
        <color indexed="64"/>
      </left>
      <right style="mediumDashed">
        <color indexed="64"/>
      </right>
      <top/>
      <bottom style="mediumDashed">
        <color indexed="64"/>
      </bottom>
      <diagonal/>
    </border>
    <border>
      <left style="thin">
        <color indexed="22"/>
      </left>
      <right style="thin">
        <color indexed="22"/>
      </right>
      <top/>
      <bottom/>
      <diagonal/>
    </border>
    <border>
      <left style="double">
        <color indexed="36"/>
      </left>
      <right style="double">
        <color indexed="36"/>
      </right>
      <top style="double">
        <color indexed="36"/>
      </top>
      <bottom/>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style="mediumDashed">
        <color indexed="64"/>
      </left>
      <right/>
      <top style="mediumDashed">
        <color indexed="64"/>
      </top>
      <bottom/>
      <diagonal/>
    </border>
    <border>
      <left style="mediumDashDotDot">
        <color indexed="64"/>
      </left>
      <right style="slantDashDot">
        <color indexed="64"/>
      </right>
      <top style="mediumDashDotDot">
        <color indexed="64"/>
      </top>
      <bottom/>
      <diagonal/>
    </border>
    <border>
      <left style="slantDashDot">
        <color indexed="64"/>
      </left>
      <right/>
      <top style="medium">
        <color indexed="64"/>
      </top>
      <bottom/>
      <diagonal/>
    </border>
    <border>
      <left/>
      <right style="slantDashDot">
        <color indexed="64"/>
      </right>
      <top style="medium">
        <color indexed="64"/>
      </top>
      <bottom/>
      <diagonal/>
    </border>
    <border>
      <left style="medium">
        <color indexed="64"/>
      </left>
      <right style="double">
        <color indexed="64"/>
      </right>
      <top/>
      <bottom style="medium">
        <color indexed="64"/>
      </bottom>
      <diagonal/>
    </border>
    <border>
      <left style="medium">
        <color indexed="64"/>
      </left>
      <right/>
      <top style="mediumDashed">
        <color indexed="64"/>
      </top>
      <bottom/>
      <diagonal/>
    </border>
    <border>
      <left style="medium">
        <color indexed="64"/>
      </left>
      <right style="thin">
        <color indexed="64"/>
      </right>
      <top style="thick">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diagonal/>
    </border>
    <border>
      <left style="medium">
        <color indexed="64"/>
      </left>
      <right style="double">
        <color indexed="64"/>
      </right>
      <top style="hair">
        <color indexed="64"/>
      </top>
      <bottom/>
      <diagonal/>
    </border>
    <border>
      <left/>
      <right style="medium">
        <color indexed="64"/>
      </right>
      <top style="hair">
        <color indexed="64"/>
      </top>
      <bottom/>
      <diagonal/>
    </border>
    <border>
      <left style="medium">
        <color indexed="64"/>
      </left>
      <right style="double">
        <color indexed="64"/>
      </right>
      <top/>
      <bottom style="hair">
        <color indexed="64"/>
      </bottom>
      <diagonal/>
    </border>
    <border>
      <left style="thin">
        <color indexed="64"/>
      </left>
      <right/>
      <top style="hair">
        <color indexed="64"/>
      </top>
      <bottom style="dotted">
        <color indexed="64"/>
      </bottom>
      <diagonal/>
    </border>
    <border>
      <left/>
      <right/>
      <top style="hair">
        <color indexed="64"/>
      </top>
      <bottom style="dotted">
        <color indexed="64"/>
      </bottom>
      <diagonal/>
    </border>
    <border>
      <left style="medium">
        <color indexed="64"/>
      </left>
      <right style="double">
        <color indexed="64"/>
      </right>
      <top style="hair">
        <color indexed="64"/>
      </top>
      <bottom style="dotted">
        <color indexed="64"/>
      </bottom>
      <diagonal/>
    </border>
    <border>
      <left/>
      <right style="medium">
        <color indexed="64"/>
      </right>
      <top style="hair">
        <color indexed="64"/>
      </top>
      <bottom style="dash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double">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style="double">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bottom style="dotted">
        <color indexed="64"/>
      </bottom>
      <diagonal/>
    </border>
    <border>
      <left style="medium">
        <color indexed="64"/>
      </left>
      <right style="double">
        <color indexed="64"/>
      </right>
      <top/>
      <bottom style="dotted">
        <color indexed="64"/>
      </bottom>
      <diagonal/>
    </border>
    <border>
      <left/>
      <right style="medium">
        <color indexed="64"/>
      </right>
      <top/>
      <bottom style="dashed">
        <color indexed="64"/>
      </bottom>
      <diagonal/>
    </border>
    <border>
      <left style="thin">
        <color indexed="12"/>
      </left>
      <right/>
      <top/>
      <bottom/>
      <diagonal/>
    </border>
    <border>
      <left style="medium">
        <color indexed="64"/>
      </left>
      <right/>
      <top style="dashed">
        <color indexed="64"/>
      </top>
      <bottom/>
      <diagonal/>
    </border>
    <border>
      <left style="medium">
        <color indexed="64"/>
      </left>
      <right/>
      <top/>
      <bottom style="dashed">
        <color indexed="64"/>
      </bottom>
      <diagonal/>
    </border>
    <border>
      <left/>
      <right/>
      <top/>
      <bottom style="dashed">
        <color indexed="64"/>
      </bottom>
      <diagonal/>
    </border>
    <border>
      <left style="medium">
        <color indexed="64"/>
      </left>
      <right style="double">
        <color indexed="64"/>
      </right>
      <top/>
      <bottom style="dashed">
        <color indexed="64"/>
      </bottom>
      <diagonal/>
    </border>
    <border>
      <left style="medium">
        <color indexed="64"/>
      </left>
      <right style="double">
        <color indexed="64"/>
      </right>
      <top style="medium">
        <color indexed="64"/>
      </top>
      <bottom style="medium">
        <color indexed="64"/>
      </bottom>
      <diagonal/>
    </border>
    <border>
      <left style="thick">
        <color indexed="20"/>
      </left>
      <right/>
      <top style="thick">
        <color indexed="20"/>
      </top>
      <bottom/>
      <diagonal/>
    </border>
    <border>
      <left/>
      <right/>
      <top style="thick">
        <color indexed="20"/>
      </top>
      <bottom/>
      <diagonal/>
    </border>
    <border>
      <left/>
      <right style="thick">
        <color indexed="20"/>
      </right>
      <top style="thick">
        <color indexed="20"/>
      </top>
      <bottom/>
      <diagonal/>
    </border>
    <border>
      <left style="thick">
        <color indexed="20"/>
      </left>
      <right/>
      <top/>
      <bottom style="thick">
        <color indexed="20"/>
      </bottom>
      <diagonal/>
    </border>
    <border>
      <left/>
      <right/>
      <top/>
      <bottom style="thick">
        <color indexed="20"/>
      </bottom>
      <diagonal/>
    </border>
    <border>
      <left/>
      <right style="thick">
        <color indexed="20"/>
      </right>
      <top/>
      <bottom style="thick">
        <color indexed="20"/>
      </bottom>
      <diagonal/>
    </border>
    <border>
      <left style="mediumDashDotDot">
        <color indexed="64"/>
      </left>
      <right style="mediumDashDotDot">
        <color indexed="64"/>
      </right>
      <top/>
      <bottom style="mediumDashDotDot">
        <color indexed="64"/>
      </bottom>
      <diagonal/>
    </border>
    <border>
      <left style="mediumDashDotDot">
        <color indexed="64"/>
      </left>
      <right style="mediumDashDotDot">
        <color indexed="64"/>
      </right>
      <top style="thin">
        <color indexed="64"/>
      </top>
      <bottom style="thin">
        <color indexed="64"/>
      </bottom>
      <diagonal/>
    </border>
    <border>
      <left/>
      <right style="mediumDashed">
        <color indexed="64"/>
      </right>
      <top/>
      <bottom style="double">
        <color indexed="64"/>
      </bottom>
      <diagonal/>
    </border>
    <border>
      <left style="mediumDashDotDot">
        <color indexed="64"/>
      </left>
      <right style="mediumDashDotDot">
        <color indexed="64"/>
      </right>
      <top style="mediumDashDotDot">
        <color indexed="64"/>
      </top>
      <bottom/>
      <diagonal/>
    </border>
    <border>
      <left style="mediumDashDotDot">
        <color indexed="64"/>
      </left>
      <right style="mediumDashDotDot">
        <color indexed="64"/>
      </right>
      <top/>
      <bottom/>
      <diagonal/>
    </border>
    <border>
      <left style="mediumDashDotDot">
        <color indexed="64"/>
      </left>
      <right style="mediumDashDotDot">
        <color indexed="64"/>
      </right>
      <top/>
      <bottom style="double">
        <color indexed="64"/>
      </bottom>
      <diagonal/>
    </border>
    <border>
      <left style="double">
        <color indexed="64"/>
      </left>
      <right style="double">
        <color indexed="64"/>
      </right>
      <top style="double">
        <color indexed="64"/>
      </top>
      <bottom style="thin">
        <color indexed="64"/>
      </bottom>
      <diagonal/>
    </border>
    <border>
      <left style="mediumDashDotDot">
        <color indexed="64"/>
      </left>
      <right style="mediumDashDotDot">
        <color indexed="64"/>
      </right>
      <top style="thin">
        <color indexed="64"/>
      </top>
      <bottom style="double">
        <color indexed="64"/>
      </bottom>
      <diagonal/>
    </border>
    <border>
      <left style="mediumDashDotDot">
        <color indexed="64"/>
      </left>
      <right style="mediumDashDotDot">
        <color indexed="64"/>
      </right>
      <top style="thin">
        <color indexed="64"/>
      </top>
      <bottom style="medium">
        <color indexed="64"/>
      </bottom>
      <diagonal/>
    </border>
    <border>
      <left style="mediumDashed">
        <color indexed="64"/>
      </left>
      <right/>
      <top style="dashed">
        <color indexed="64"/>
      </top>
      <bottom style="hair">
        <color indexed="64"/>
      </bottom>
      <diagonal/>
    </border>
    <border>
      <left/>
      <right style="mediumDashed">
        <color indexed="64"/>
      </right>
      <top style="dashed">
        <color indexed="64"/>
      </top>
      <bottom style="hair">
        <color indexed="64"/>
      </bottom>
      <diagonal/>
    </border>
    <border>
      <left style="mediumDashed">
        <color indexed="64"/>
      </left>
      <right/>
      <top style="hair">
        <color indexed="64"/>
      </top>
      <bottom style="double">
        <color indexed="64"/>
      </bottom>
      <diagonal/>
    </border>
    <border>
      <left/>
      <right style="mediumDashed">
        <color indexed="64"/>
      </right>
      <top style="hair">
        <color indexed="64"/>
      </top>
      <bottom style="double">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mediumDashed">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Dashed">
        <color indexed="64"/>
      </right>
      <top style="double">
        <color indexed="64"/>
      </top>
      <bottom style="thin">
        <color indexed="64"/>
      </bottom>
      <diagonal/>
    </border>
    <border>
      <left style="mediumDashed">
        <color indexed="64"/>
      </left>
      <right style="thin">
        <color indexed="64"/>
      </right>
      <top style="thin">
        <color indexed="64"/>
      </top>
      <bottom/>
      <diagonal/>
    </border>
    <border>
      <left style="mediumDashDotDot">
        <color indexed="64"/>
      </left>
      <right style="mediumDashDotDot">
        <color indexed="64"/>
      </right>
      <top style="dashed">
        <color indexed="64"/>
      </top>
      <bottom style="hair">
        <color indexed="64"/>
      </bottom>
      <diagonal/>
    </border>
    <border>
      <left style="mediumDashDotDot">
        <color indexed="64"/>
      </left>
      <right style="mediumDashDotDot">
        <color indexed="64"/>
      </right>
      <top style="hair">
        <color indexed="64"/>
      </top>
      <bottom style="double">
        <color indexed="64"/>
      </bottom>
      <diagonal/>
    </border>
    <border>
      <left style="mediumDashDotDot">
        <color indexed="64"/>
      </left>
      <right style="mediumDashDotDot">
        <color indexed="64"/>
      </right>
      <top/>
      <bottom style="hair">
        <color indexed="64"/>
      </bottom>
      <diagonal/>
    </border>
    <border>
      <left style="double">
        <color indexed="64"/>
      </left>
      <right style="double">
        <color indexed="64"/>
      </right>
      <top style="dashed">
        <color indexed="64"/>
      </top>
      <bottom style="hair">
        <color indexed="64"/>
      </bottom>
      <diagonal/>
    </border>
    <border>
      <left style="dashed">
        <color indexed="64"/>
      </left>
      <right style="dashed">
        <color indexed="64"/>
      </right>
      <top style="medium">
        <color indexed="64"/>
      </top>
      <bottom style="medium">
        <color indexed="64"/>
      </bottom>
      <diagonal/>
    </border>
    <border>
      <left style="dashed">
        <color indexed="64"/>
      </left>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mediumDashed">
        <color indexed="64"/>
      </left>
      <right style="thin">
        <color indexed="64"/>
      </right>
      <top style="medium">
        <color indexed="64"/>
      </top>
      <bottom style="medium">
        <color indexed="64"/>
      </bottom>
      <diagonal/>
    </border>
    <border>
      <left/>
      <right style="mediumDashed">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style="mediumDashDotDot">
        <color indexed="64"/>
      </left>
      <right style="mediumDashDotDot">
        <color indexed="64"/>
      </right>
      <top style="medium">
        <color indexed="64"/>
      </top>
      <bottom style="medium">
        <color indexed="64"/>
      </bottom>
      <diagonal/>
    </border>
    <border>
      <left style="dashed">
        <color indexed="64"/>
      </left>
      <right style="dashed">
        <color indexed="64"/>
      </right>
      <top style="thin">
        <color indexed="64"/>
      </top>
      <bottom/>
      <diagonal/>
    </border>
    <border>
      <left style="mediumDashed">
        <color indexed="64"/>
      </left>
      <right style="thin">
        <color indexed="64"/>
      </right>
      <top/>
      <bottom style="thin">
        <color indexed="64"/>
      </bottom>
      <diagonal/>
    </border>
    <border>
      <left style="thin">
        <color indexed="64"/>
      </left>
      <right style="mediumDashed">
        <color indexed="64"/>
      </right>
      <top/>
      <bottom style="thin">
        <color indexed="64"/>
      </bottom>
      <diagonal/>
    </border>
    <border>
      <left style="dashed">
        <color indexed="64"/>
      </left>
      <right style="double">
        <color indexed="64"/>
      </right>
      <top style="medium">
        <color indexed="64"/>
      </top>
      <bottom style="medium">
        <color indexed="64"/>
      </bottom>
      <diagonal/>
    </border>
    <border>
      <left style="thin">
        <color indexed="64"/>
      </left>
      <right style="mediumDashed">
        <color indexed="64"/>
      </right>
      <top style="medium">
        <color indexed="64"/>
      </top>
      <bottom style="medium">
        <color indexed="64"/>
      </bottom>
      <diagonal/>
    </border>
    <border>
      <left/>
      <right style="thin">
        <color indexed="64"/>
      </right>
      <top style="double">
        <color indexed="64"/>
      </top>
      <bottom/>
      <diagonal/>
    </border>
    <border>
      <left/>
      <right style="double">
        <color indexed="64"/>
      </right>
      <top style="double">
        <color indexed="64"/>
      </top>
      <bottom style="double">
        <color indexed="64"/>
      </bottom>
      <diagonal/>
    </border>
    <border>
      <left style="dashed">
        <color indexed="64"/>
      </left>
      <right style="dashed">
        <color indexed="64"/>
      </right>
      <top/>
      <bottom style="double">
        <color indexed="64"/>
      </bottom>
      <diagonal/>
    </border>
    <border>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style="mediumDashed">
        <color indexed="64"/>
      </left>
      <right/>
      <top style="medium">
        <color indexed="64"/>
      </top>
      <bottom style="medium">
        <color indexed="64"/>
      </bottom>
      <diagonal/>
    </border>
    <border>
      <left/>
      <right style="dashed">
        <color indexed="64"/>
      </right>
      <top style="medium">
        <color indexed="64"/>
      </top>
      <bottom style="thin">
        <color indexed="64"/>
      </bottom>
      <diagonal/>
    </border>
    <border>
      <left style="thin">
        <color indexed="64"/>
      </left>
      <right style="thin">
        <color indexed="64"/>
      </right>
      <top style="mediumDashDotDot">
        <color indexed="64"/>
      </top>
      <bottom/>
      <diagonal/>
    </border>
    <border>
      <left/>
      <right style="medium">
        <color indexed="64"/>
      </right>
      <top style="double">
        <color indexed="64"/>
      </top>
      <bottom style="medium">
        <color indexed="64"/>
      </bottom>
      <diagonal/>
    </border>
    <border>
      <left/>
      <right style="dashed">
        <color indexed="64"/>
      </right>
      <top style="double">
        <color indexed="64"/>
      </top>
      <bottom/>
      <diagonal/>
    </border>
    <border>
      <left/>
      <right style="dashed">
        <color indexed="64"/>
      </right>
      <top/>
      <bottom/>
      <diagonal/>
    </border>
    <border>
      <left/>
      <right style="dashed">
        <color indexed="64"/>
      </right>
      <top/>
      <bottom style="double">
        <color indexed="64"/>
      </bottom>
      <diagonal/>
    </border>
    <border>
      <left style="thin">
        <color indexed="64"/>
      </left>
      <right style="thick">
        <color indexed="64"/>
      </right>
      <top style="thick">
        <color indexed="64"/>
      </top>
      <bottom/>
      <diagonal/>
    </border>
    <border>
      <left style="thin">
        <color indexed="64"/>
      </left>
      <right style="thick">
        <color indexed="64"/>
      </right>
      <top/>
      <bottom style="medium">
        <color indexed="64"/>
      </bottom>
      <diagonal/>
    </border>
    <border>
      <left style="slantDashDot">
        <color indexed="64"/>
      </left>
      <right/>
      <top style="slantDashDot">
        <color indexed="64"/>
      </top>
      <bottom style="medium">
        <color indexed="64"/>
      </bottom>
      <diagonal/>
    </border>
    <border>
      <left/>
      <right style="slantDashDot">
        <color indexed="64"/>
      </right>
      <top style="slantDashDot">
        <color indexed="64"/>
      </top>
      <bottom style="medium">
        <color indexed="64"/>
      </bottom>
      <diagonal/>
    </border>
    <border>
      <left style="double">
        <color indexed="36"/>
      </left>
      <right style="double">
        <color indexed="36"/>
      </right>
      <top/>
      <bottom/>
      <diagonal/>
    </border>
    <border>
      <left style="double">
        <color indexed="36"/>
      </left>
      <right style="double">
        <color indexed="36"/>
      </right>
      <top/>
      <bottom style="double">
        <color indexed="36"/>
      </bottom>
      <diagonal/>
    </border>
    <border>
      <left style="thin">
        <color indexed="64"/>
      </left>
      <right style="thin">
        <color indexed="64"/>
      </right>
      <top/>
      <bottom style="dotted">
        <color indexed="39"/>
      </bottom>
      <diagonal/>
    </border>
    <border>
      <left/>
      <right/>
      <top/>
      <bottom style="dotted">
        <color indexed="39"/>
      </bottom>
      <diagonal/>
    </border>
    <border>
      <left/>
      <right style="double">
        <color indexed="64"/>
      </right>
      <top style="dotted">
        <color indexed="64"/>
      </top>
      <bottom style="dotted">
        <color indexed="64"/>
      </bottom>
      <diagonal/>
    </border>
    <border>
      <left style="double">
        <color indexed="64"/>
      </left>
      <right/>
      <top/>
      <bottom style="dotted">
        <color indexed="39"/>
      </bottom>
      <diagonal/>
    </border>
    <border>
      <left/>
      <right style="double">
        <color indexed="64"/>
      </right>
      <top/>
      <bottom style="dotted">
        <color indexed="39"/>
      </bottom>
      <diagonal/>
    </border>
    <border>
      <left style="thick">
        <color indexed="12"/>
      </left>
      <right style="mediumDashed">
        <color indexed="64"/>
      </right>
      <top/>
      <bottom style="thin">
        <color indexed="64"/>
      </bottom>
      <diagonal/>
    </border>
    <border>
      <left/>
      <right style="double">
        <color indexed="64"/>
      </right>
      <top/>
      <bottom style="double">
        <color indexed="39"/>
      </bottom>
      <diagonal/>
    </border>
    <border>
      <left/>
      <right/>
      <top style="medium">
        <color indexed="64"/>
      </top>
      <bottom style="thin">
        <color indexed="64"/>
      </bottom>
      <diagonal/>
    </border>
    <border>
      <left style="double">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style="dashed">
        <color indexed="64"/>
      </right>
      <top style="thin">
        <color indexed="64"/>
      </top>
      <bottom/>
      <diagonal/>
    </border>
    <border>
      <left style="double">
        <color indexed="64"/>
      </left>
      <right style="dashed">
        <color indexed="64"/>
      </right>
      <top/>
      <bottom style="thin">
        <color indexed="64"/>
      </bottom>
      <diagonal/>
    </border>
    <border>
      <left/>
      <right style="double">
        <color indexed="64"/>
      </right>
      <top style="medium">
        <color indexed="64"/>
      </top>
      <bottom style="thin">
        <color indexed="64"/>
      </bottom>
      <diagonal/>
    </border>
    <border>
      <left style="mediumDashed">
        <color indexed="64"/>
      </left>
      <right/>
      <top style="medium">
        <color indexed="64"/>
      </top>
      <bottom style="thin">
        <color indexed="64"/>
      </bottom>
      <diagonal/>
    </border>
    <border>
      <left/>
      <right style="mediumDashed">
        <color indexed="64"/>
      </right>
      <top style="medium">
        <color indexed="64"/>
      </top>
      <bottom style="thin">
        <color indexed="64"/>
      </bottom>
      <diagonal/>
    </border>
    <border>
      <left style="thick">
        <color indexed="17"/>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style="double">
        <color indexed="64"/>
      </left>
      <right style="dashed">
        <color indexed="64"/>
      </right>
      <top/>
      <bottom style="dotted">
        <color indexed="39"/>
      </bottom>
      <diagonal/>
    </border>
    <border>
      <left style="mediumDashed">
        <color indexed="64"/>
      </left>
      <right/>
      <top/>
      <bottom style="medium">
        <color indexed="64"/>
      </bottom>
      <diagonal/>
    </border>
    <border>
      <left style="medium">
        <color indexed="39"/>
      </left>
      <right/>
      <top style="thin">
        <color indexed="64"/>
      </top>
      <bottom/>
      <diagonal/>
    </border>
    <border>
      <left/>
      <right style="medium">
        <color indexed="39"/>
      </right>
      <top style="thin">
        <color indexed="64"/>
      </top>
      <bottom/>
      <diagonal/>
    </border>
    <border>
      <left style="thick">
        <color indexed="17"/>
      </left>
      <right/>
      <top style="medium">
        <color indexed="64"/>
      </top>
      <bottom style="thin">
        <color indexed="64"/>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right style="dashed">
        <color indexed="64"/>
      </right>
      <top style="medium">
        <color indexed="64"/>
      </top>
      <bottom/>
      <diagonal/>
    </border>
    <border>
      <left/>
      <right style="dashed">
        <color indexed="64"/>
      </right>
      <top/>
      <bottom style="medium">
        <color indexed="6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auto="1"/>
      </left>
      <right style="thin">
        <color auto="1"/>
      </right>
      <top/>
      <bottom style="hair">
        <color indexed="64"/>
      </bottom>
      <diagonal/>
    </border>
    <border>
      <left style="thin">
        <color indexed="64"/>
      </left>
      <right style="slantDashDot">
        <color indexed="64"/>
      </right>
      <top style="thin">
        <color indexed="64"/>
      </top>
      <bottom style="thin">
        <color indexed="64"/>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style="thin">
        <color indexed="64"/>
      </left>
      <right style="slantDashDot">
        <color indexed="64"/>
      </right>
      <top style="thin">
        <color indexed="64"/>
      </top>
      <bottom/>
      <diagonal/>
    </border>
    <border>
      <left style="mediumDashDotDot">
        <color indexed="64"/>
      </left>
      <right style="slantDashDot">
        <color indexed="64"/>
      </right>
      <top/>
      <bottom style="medium">
        <color indexed="64"/>
      </bottom>
      <diagonal/>
    </border>
  </borders>
  <cellStyleXfs count="247">
    <xf numFmtId="0" fontId="0" fillId="0" borderId="0"/>
    <xf numFmtId="0" fontId="160" fillId="36" borderId="0" applyNumberFormat="0" applyBorder="0" applyAlignment="0" applyProtection="0"/>
    <xf numFmtId="0" fontId="160" fillId="36" borderId="0" applyNumberFormat="0" applyBorder="0" applyAlignment="0" applyProtection="0"/>
    <xf numFmtId="0" fontId="160" fillId="37" borderId="0" applyNumberFormat="0" applyBorder="0" applyAlignment="0" applyProtection="0"/>
    <xf numFmtId="0" fontId="160" fillId="37" borderId="0" applyNumberFormat="0" applyBorder="0" applyAlignment="0" applyProtection="0"/>
    <xf numFmtId="0" fontId="160" fillId="38" borderId="0" applyNumberFormat="0" applyBorder="0" applyAlignment="0" applyProtection="0"/>
    <xf numFmtId="0" fontId="160" fillId="38" borderId="0" applyNumberFormat="0" applyBorder="0" applyAlignment="0" applyProtection="0"/>
    <xf numFmtId="0" fontId="160" fillId="39" borderId="0" applyNumberFormat="0" applyBorder="0" applyAlignment="0" applyProtection="0"/>
    <xf numFmtId="0" fontId="160" fillId="39" borderId="0" applyNumberFormat="0" applyBorder="0" applyAlignment="0" applyProtection="0"/>
    <xf numFmtId="0" fontId="160" fillId="40" borderId="0" applyNumberFormat="0" applyBorder="0" applyAlignment="0" applyProtection="0"/>
    <xf numFmtId="0" fontId="160" fillId="40" borderId="0" applyNumberFormat="0" applyBorder="0" applyAlignment="0" applyProtection="0"/>
    <xf numFmtId="0" fontId="160" fillId="41" borderId="0" applyNumberFormat="0" applyBorder="0" applyAlignment="0" applyProtection="0"/>
    <xf numFmtId="0" fontId="160" fillId="41" borderId="0" applyNumberFormat="0" applyBorder="0" applyAlignment="0" applyProtection="0"/>
    <xf numFmtId="0" fontId="160" fillId="42" borderId="0" applyNumberFormat="0" applyBorder="0" applyAlignment="0" applyProtection="0"/>
    <xf numFmtId="0" fontId="160" fillId="42" borderId="0" applyNumberFormat="0" applyBorder="0" applyAlignment="0" applyProtection="0"/>
    <xf numFmtId="0" fontId="160" fillId="43" borderId="0" applyNumberFormat="0" applyBorder="0" applyAlignment="0" applyProtection="0"/>
    <xf numFmtId="0" fontId="160" fillId="43" borderId="0" applyNumberFormat="0" applyBorder="0" applyAlignment="0" applyProtection="0"/>
    <xf numFmtId="0" fontId="160" fillId="44" borderId="0" applyNumberFormat="0" applyBorder="0" applyAlignment="0" applyProtection="0"/>
    <xf numFmtId="0" fontId="160" fillId="44" borderId="0" applyNumberFormat="0" applyBorder="0" applyAlignment="0" applyProtection="0"/>
    <xf numFmtId="0" fontId="160" fillId="45" borderId="0" applyNumberFormat="0" applyBorder="0" applyAlignment="0" applyProtection="0"/>
    <xf numFmtId="0" fontId="160" fillId="45" borderId="0" applyNumberFormat="0" applyBorder="0" applyAlignment="0" applyProtection="0"/>
    <xf numFmtId="0" fontId="160" fillId="46" borderId="0" applyNumberFormat="0" applyBorder="0" applyAlignment="0" applyProtection="0"/>
    <xf numFmtId="0" fontId="160" fillId="46" borderId="0" applyNumberFormat="0" applyBorder="0" applyAlignment="0" applyProtection="0"/>
    <xf numFmtId="0" fontId="160" fillId="47" borderId="0" applyNumberFormat="0" applyBorder="0" applyAlignment="0" applyProtection="0"/>
    <xf numFmtId="0" fontId="160" fillId="47" borderId="0" applyNumberFormat="0" applyBorder="0" applyAlignment="0" applyProtection="0"/>
    <xf numFmtId="0" fontId="161" fillId="48" borderId="0" applyNumberFormat="0" applyBorder="0" applyAlignment="0" applyProtection="0"/>
    <xf numFmtId="0" fontId="161" fillId="49" borderId="0" applyNumberFormat="0" applyBorder="0" applyAlignment="0" applyProtection="0"/>
    <xf numFmtId="0" fontId="161" fillId="50" borderId="0" applyNumberFormat="0" applyBorder="0" applyAlignment="0" applyProtection="0"/>
    <xf numFmtId="0" fontId="161" fillId="51" borderId="0" applyNumberFormat="0" applyBorder="0" applyAlignment="0" applyProtection="0"/>
    <xf numFmtId="0" fontId="161" fillId="52" borderId="0" applyNumberFormat="0" applyBorder="0" applyAlignment="0" applyProtection="0"/>
    <xf numFmtId="0" fontId="161" fillId="53" borderId="0" applyNumberFormat="0" applyBorder="0" applyAlignment="0" applyProtection="0"/>
    <xf numFmtId="0" fontId="162" fillId="0" borderId="0">
      <alignment horizontal="left"/>
    </xf>
    <xf numFmtId="0" fontId="162" fillId="0" borderId="0"/>
    <xf numFmtId="0" fontId="162" fillId="0" borderId="0"/>
    <xf numFmtId="0" fontId="123" fillId="54" borderId="493" applyNumberFormat="0" applyFont="0" applyAlignment="0" applyProtection="0"/>
    <xf numFmtId="0" fontId="123" fillId="54" borderId="493" applyNumberFormat="0" applyFont="0" applyAlignment="0" applyProtection="0"/>
    <xf numFmtId="0" fontId="122" fillId="54" borderId="493" applyNumberFormat="0" applyFont="0" applyAlignment="0" applyProtection="0"/>
    <xf numFmtId="0" fontId="122" fillId="54" borderId="493" applyNumberFormat="0" applyFont="0" applyAlignment="0" applyProtection="0"/>
    <xf numFmtId="0" fontId="162" fillId="55" borderId="0"/>
    <xf numFmtId="180" fontId="163" fillId="0" borderId="0"/>
    <xf numFmtId="180" fontId="164" fillId="0" borderId="0"/>
    <xf numFmtId="181" fontId="164" fillId="0" borderId="0"/>
    <xf numFmtId="0" fontId="165" fillId="56" borderId="0" applyNumberFormat="0" applyBorder="0" applyAlignment="0" applyProtection="0"/>
    <xf numFmtId="0" fontId="166" fillId="0" borderId="0">
      <alignment horizontal="center"/>
    </xf>
    <xf numFmtId="0" fontId="166" fillId="0" borderId="0">
      <alignment horizontal="center" textRotation="90"/>
    </xf>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180" fontId="163" fillId="0" borderId="0"/>
    <xf numFmtId="180" fontId="163" fillId="0" borderId="0"/>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180" fontId="163" fillId="0" borderId="0"/>
    <xf numFmtId="180" fontId="163" fillId="0" borderId="0"/>
    <xf numFmtId="0" fontId="167" fillId="0" borderId="0" applyNumberFormat="0" applyFill="0" applyBorder="0" applyAlignment="0" applyProtection="0">
      <alignment vertical="top"/>
      <protection locked="0"/>
    </xf>
    <xf numFmtId="0" fontId="168" fillId="0" borderId="0" applyNumberFormat="0" applyFill="0" applyBorder="0" applyAlignment="0" applyProtection="0"/>
    <xf numFmtId="0" fontId="168" fillId="0" borderId="0" applyNumberFormat="0" applyFill="0" applyBorder="0" applyAlignment="0" applyProtection="0"/>
    <xf numFmtId="165" fontId="6" fillId="0" borderId="0" applyFont="0" applyFill="0" applyBorder="0" applyAlignment="0" applyProtection="0"/>
    <xf numFmtId="182" fontId="164" fillId="0" borderId="0"/>
    <xf numFmtId="0" fontId="169" fillId="57" borderId="0" applyNumberFormat="0" applyBorder="0" applyAlignment="0" applyProtection="0"/>
    <xf numFmtId="0" fontId="6" fillId="0" borderId="0"/>
    <xf numFmtId="0" fontId="125" fillId="0" borderId="0"/>
    <xf numFmtId="0" fontId="6" fillId="0" borderId="0"/>
    <xf numFmtId="0" fontId="6" fillId="0" borderId="0"/>
    <xf numFmtId="180" fontId="170" fillId="0" borderId="0"/>
    <xf numFmtId="0" fontId="6" fillId="0" borderId="0"/>
    <xf numFmtId="0" fontId="6" fillId="0" borderId="0"/>
    <xf numFmtId="0" fontId="6" fillId="0" borderId="0"/>
    <xf numFmtId="0" fontId="6" fillId="0" borderId="0"/>
    <xf numFmtId="0" fontId="6" fillId="0" borderId="0"/>
    <xf numFmtId="180" fontId="170" fillId="0" borderId="0"/>
    <xf numFmtId="0" fontId="6" fillId="0" borderId="0"/>
    <xf numFmtId="0" fontId="6" fillId="0" borderId="0"/>
    <xf numFmtId="0" fontId="6" fillId="0" borderId="0"/>
    <xf numFmtId="0" fontId="160" fillId="0" borderId="0"/>
    <xf numFmtId="0" fontId="160" fillId="0" borderId="0"/>
    <xf numFmtId="0" fontId="6" fillId="0" borderId="0"/>
    <xf numFmtId="0" fontId="6" fillId="0" borderId="0"/>
    <xf numFmtId="0" fontId="6" fillId="0" borderId="0"/>
    <xf numFmtId="0" fontId="6" fillId="0" borderId="0"/>
    <xf numFmtId="0" fontId="6" fillId="0" borderId="0"/>
    <xf numFmtId="0" fontId="6" fillId="0" borderId="0"/>
    <xf numFmtId="0" fontId="171" fillId="0" borderId="0"/>
    <xf numFmtId="0" fontId="171" fillId="0" borderId="0"/>
    <xf numFmtId="0" fontId="6"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6" fillId="0" borderId="0"/>
    <xf numFmtId="0" fontId="6" fillId="0" borderId="0"/>
    <xf numFmtId="0" fontId="171" fillId="0" borderId="0"/>
    <xf numFmtId="0" fontId="171" fillId="0" borderId="0"/>
    <xf numFmtId="0" fontId="171" fillId="0" borderId="0"/>
    <xf numFmtId="0" fontId="160" fillId="0" borderId="0"/>
    <xf numFmtId="0" fontId="160" fillId="0" borderId="0"/>
    <xf numFmtId="0" fontId="160" fillId="0" borderId="0"/>
    <xf numFmtId="0" fontId="160" fillId="0" borderId="0"/>
    <xf numFmtId="0" fontId="6" fillId="0" borderId="0"/>
    <xf numFmtId="0" fontId="17" fillId="0" borderId="0"/>
    <xf numFmtId="0" fontId="17" fillId="0" borderId="0"/>
    <xf numFmtId="0" fontId="17" fillId="0" borderId="0"/>
    <xf numFmtId="0" fontId="17" fillId="0" borderId="0"/>
    <xf numFmtId="0" fontId="17" fillId="0" borderId="0"/>
    <xf numFmtId="0" fontId="129" fillId="0" borderId="0"/>
    <xf numFmtId="0" fontId="17" fillId="0" borderId="0"/>
    <xf numFmtId="0" fontId="17" fillId="0" borderId="0"/>
    <xf numFmtId="0" fontId="18" fillId="0" borderId="0"/>
    <xf numFmtId="0" fontId="17" fillId="0" borderId="0"/>
    <xf numFmtId="0" fontId="18" fillId="0" borderId="0"/>
    <xf numFmtId="0" fontId="17" fillId="0" borderId="0"/>
    <xf numFmtId="0" fontId="17" fillId="0" borderId="0"/>
    <xf numFmtId="0" fontId="18" fillId="0" borderId="0"/>
    <xf numFmtId="0" fontId="17" fillId="0" borderId="0"/>
    <xf numFmtId="0" fontId="17" fillId="0" borderId="0"/>
    <xf numFmtId="0" fontId="18" fillId="0" borderId="0"/>
    <xf numFmtId="0" fontId="17" fillId="0" borderId="0"/>
    <xf numFmtId="9" fontId="6" fillId="0" borderId="0" applyFont="0" applyFill="0" applyBorder="0" applyAlignment="0" applyProtection="0"/>
    <xf numFmtId="181" fontId="16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73" fillId="0" borderId="0"/>
    <xf numFmtId="183" fontId="173" fillId="0" borderId="0"/>
    <xf numFmtId="0" fontId="174" fillId="0" borderId="0"/>
    <xf numFmtId="0" fontId="162" fillId="0" borderId="0"/>
    <xf numFmtId="0" fontId="6" fillId="0" borderId="0"/>
    <xf numFmtId="0" fontId="162" fillId="0" borderId="0"/>
    <xf numFmtId="0" fontId="6" fillId="0" borderId="0"/>
    <xf numFmtId="180" fontId="170" fillId="0" borderId="0"/>
    <xf numFmtId="0" fontId="124" fillId="0" borderId="0"/>
    <xf numFmtId="0" fontId="160" fillId="0" borderId="0"/>
    <xf numFmtId="0" fontId="160" fillId="0" borderId="0"/>
    <xf numFmtId="0" fontId="160" fillId="0" borderId="0"/>
    <xf numFmtId="0" fontId="160" fillId="0" borderId="0"/>
    <xf numFmtId="0" fontId="175" fillId="0" borderId="0" applyNumberFormat="0" applyFill="0" applyBorder="0" applyAlignment="0" applyProtection="0"/>
    <xf numFmtId="0" fontId="174" fillId="0" borderId="0">
      <alignment horizontal="left"/>
    </xf>
    <xf numFmtId="0" fontId="176" fillId="0" borderId="494" applyNumberFormat="0" applyFill="0" applyAlignment="0" applyProtection="0"/>
    <xf numFmtId="0" fontId="162" fillId="0" borderId="0"/>
  </cellStyleXfs>
  <cellXfs count="3454">
    <xf numFmtId="0" fontId="0" fillId="0" borderId="0" xfId="0"/>
    <xf numFmtId="3" fontId="4" fillId="0" borderId="2" xfId="0" applyNumberFormat="1" applyFont="1" applyBorder="1" applyProtection="1">
      <protection hidden="1"/>
    </xf>
    <xf numFmtId="0" fontId="2" fillId="0" borderId="2" xfId="0" applyFont="1" applyBorder="1" applyAlignment="1" applyProtection="1">
      <alignment horizontal="center" wrapText="1"/>
      <protection hidden="1"/>
    </xf>
    <xf numFmtId="0" fontId="2" fillId="0" borderId="0" xfId="0" applyFont="1" applyAlignment="1" applyProtection="1">
      <alignment horizontal="center" vertical="center" textRotation="90" wrapText="1"/>
      <protection hidden="1"/>
    </xf>
    <xf numFmtId="0" fontId="6" fillId="0" borderId="0" xfId="0" applyFont="1" applyProtection="1">
      <protection hidden="1"/>
    </xf>
    <xf numFmtId="0" fontId="5" fillId="0" borderId="0" xfId="0" applyFont="1" applyAlignment="1" applyProtection="1">
      <alignment horizontal="center"/>
      <protection hidden="1"/>
    </xf>
    <xf numFmtId="0" fontId="5" fillId="0" borderId="0" xfId="0" applyFont="1" applyAlignment="1" applyProtection="1">
      <alignment horizontal="left" wrapText="1"/>
      <protection hidden="1"/>
    </xf>
    <xf numFmtId="0" fontId="5" fillId="0" borderId="0" xfId="0" applyFont="1" applyAlignment="1" applyProtection="1">
      <alignment horizontal="left"/>
      <protection hidden="1"/>
    </xf>
    <xf numFmtId="0" fontId="2" fillId="0" borderId="3" xfId="0" applyFont="1" applyBorder="1" applyAlignment="1" applyProtection="1">
      <alignment horizontal="center" wrapText="1"/>
      <protection hidden="1"/>
    </xf>
    <xf numFmtId="0" fontId="0" fillId="0" borderId="0" xfId="0" applyAlignment="1" applyProtection="1">
      <alignment horizontal="center"/>
      <protection hidden="1"/>
    </xf>
    <xf numFmtId="0" fontId="10" fillId="2" borderId="4"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hidden="1"/>
    </xf>
    <xf numFmtId="0" fontId="4" fillId="3" borderId="5" xfId="0" applyFont="1" applyFill="1" applyBorder="1" applyAlignment="1" applyProtection="1">
      <alignment horizontal="center" vertical="center" wrapText="1"/>
      <protection hidden="1"/>
    </xf>
    <xf numFmtId="0" fontId="4" fillId="3" borderId="3" xfId="0" applyFont="1" applyFill="1" applyBorder="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5" fillId="0" borderId="0" xfId="0" applyFont="1" applyProtection="1">
      <protection hidden="1"/>
    </xf>
    <xf numFmtId="0" fontId="13" fillId="4" borderId="6" xfId="0" applyFont="1" applyFill="1" applyBorder="1" applyAlignment="1" applyProtection="1">
      <alignment horizontal="center"/>
      <protection hidden="1"/>
    </xf>
    <xf numFmtId="1" fontId="2" fillId="0" borderId="2" xfId="0" applyNumberFormat="1" applyFont="1" applyBorder="1" applyAlignment="1" applyProtection="1">
      <alignment horizontal="center" vertical="center" textRotation="90" wrapText="1"/>
      <protection hidden="1"/>
    </xf>
    <xf numFmtId="0" fontId="5" fillId="0" borderId="2" xfId="0" applyFont="1" applyBorder="1" applyAlignment="1" applyProtection="1">
      <alignment horizontal="center" vertical="center" textRotation="90" wrapText="1"/>
      <protection hidden="1"/>
    </xf>
    <xf numFmtId="0" fontId="5" fillId="0" borderId="0" xfId="0" applyFont="1" applyAlignment="1" applyProtection="1">
      <alignment horizontal="center" vertical="center" textRotation="90" wrapText="1"/>
      <protection hidden="1"/>
    </xf>
    <xf numFmtId="1" fontId="5" fillId="0" borderId="2" xfId="0" applyNumberFormat="1" applyFont="1" applyBorder="1" applyAlignment="1" applyProtection="1">
      <alignment horizontal="center" vertical="center" textRotation="90" wrapText="1"/>
      <protection hidden="1"/>
    </xf>
    <xf numFmtId="0" fontId="5" fillId="0" borderId="3" xfId="0" applyFont="1" applyBorder="1" applyAlignment="1" applyProtection="1">
      <alignment horizontal="center" vertical="center" textRotation="90" wrapText="1"/>
      <protection hidden="1"/>
    </xf>
    <xf numFmtId="0" fontId="5" fillId="4" borderId="2" xfId="0" applyFont="1" applyFill="1" applyBorder="1" applyAlignment="1" applyProtection="1">
      <alignment horizontal="center"/>
      <protection hidden="1"/>
    </xf>
    <xf numFmtId="169" fontId="2" fillId="0" borderId="2" xfId="0" applyNumberFormat="1" applyFont="1" applyBorder="1" applyAlignment="1" applyProtection="1">
      <alignment horizontal="center" wrapText="1"/>
      <protection hidden="1"/>
    </xf>
    <xf numFmtId="3" fontId="7" fillId="0" borderId="2" xfId="0" applyNumberFormat="1" applyFont="1" applyBorder="1" applyProtection="1">
      <protection hidden="1"/>
    </xf>
    <xf numFmtId="0" fontId="7" fillId="5" borderId="2" xfId="0" applyFont="1" applyFill="1" applyBorder="1" applyAlignment="1" applyProtection="1">
      <alignment horizontal="center"/>
      <protection hidden="1"/>
    </xf>
    <xf numFmtId="0" fontId="7" fillId="6" borderId="2" xfId="0" applyFont="1" applyFill="1" applyBorder="1" applyAlignment="1" applyProtection="1">
      <alignment horizontal="center" vertical="center" wrapText="1"/>
      <protection hidden="1"/>
    </xf>
    <xf numFmtId="4" fontId="7" fillId="0" borderId="2" xfId="0" applyNumberFormat="1" applyFont="1" applyBorder="1" applyProtection="1">
      <protection hidden="1"/>
    </xf>
    <xf numFmtId="4" fontId="5" fillId="0" borderId="0" xfId="0" applyNumberFormat="1" applyFont="1" applyProtection="1">
      <protection locked="0"/>
    </xf>
    <xf numFmtId="0" fontId="5" fillId="0" borderId="0" xfId="0" applyFont="1"/>
    <xf numFmtId="3" fontId="7" fillId="7" borderId="2" xfId="0" applyNumberFormat="1" applyFont="1" applyFill="1" applyBorder="1" applyProtection="1">
      <protection hidden="1"/>
    </xf>
    <xf numFmtId="0" fontId="7" fillId="7" borderId="2" xfId="0" applyFont="1" applyFill="1" applyBorder="1" applyAlignment="1" applyProtection="1">
      <alignment horizontal="center"/>
      <protection hidden="1"/>
    </xf>
    <xf numFmtId="3" fontId="24" fillId="7" borderId="2" xfId="0" applyNumberFormat="1" applyFont="1" applyFill="1" applyBorder="1" applyProtection="1">
      <protection hidden="1"/>
    </xf>
    <xf numFmtId="10" fontId="24" fillId="7" borderId="0" xfId="0" applyNumberFormat="1" applyFont="1" applyFill="1" applyProtection="1">
      <protection locked="0"/>
    </xf>
    <xf numFmtId="3" fontId="20" fillId="0" borderId="0" xfId="0" applyNumberFormat="1" applyFont="1" applyAlignment="1" applyProtection="1">
      <alignment horizontal="right"/>
      <protection locked="0"/>
    </xf>
    <xf numFmtId="0" fontId="2" fillId="0" borderId="5" xfId="0" applyFont="1" applyBorder="1" applyAlignment="1" applyProtection="1">
      <alignment horizontal="center" wrapText="1"/>
      <protection hidden="1"/>
    </xf>
    <xf numFmtId="0" fontId="7" fillId="5" borderId="2" xfId="0" applyFont="1" applyFill="1" applyBorder="1" applyProtection="1">
      <protection hidden="1"/>
    </xf>
    <xf numFmtId="0" fontId="2" fillId="0" borderId="5" xfId="0" applyFont="1" applyBorder="1" applyAlignment="1" applyProtection="1">
      <alignment horizontal="center" vertical="center" textRotation="90" wrapText="1"/>
      <protection hidden="1"/>
    </xf>
    <xf numFmtId="0" fontId="2" fillId="0" borderId="7" xfId="0" applyFont="1" applyBorder="1" applyAlignment="1" applyProtection="1">
      <alignment horizontal="center" vertical="center" textRotation="90" wrapText="1"/>
      <protection hidden="1"/>
    </xf>
    <xf numFmtId="1" fontId="7" fillId="5" borderId="2" xfId="0" applyNumberFormat="1" applyFont="1" applyFill="1" applyBorder="1" applyProtection="1">
      <protection hidden="1"/>
    </xf>
    <xf numFmtId="0" fontId="7" fillId="8" borderId="2" xfId="0" applyFont="1" applyFill="1" applyBorder="1" applyProtection="1">
      <protection hidden="1"/>
    </xf>
    <xf numFmtId="0" fontId="24" fillId="7" borderId="2" xfId="0" applyFont="1" applyFill="1" applyBorder="1" applyProtection="1">
      <protection hidden="1"/>
    </xf>
    <xf numFmtId="0" fontId="2" fillId="0" borderId="0" xfId="0" applyFont="1" applyProtection="1">
      <protection locked="0"/>
    </xf>
    <xf numFmtId="0" fontId="2" fillId="0" borderId="0" xfId="0" applyFont="1" applyProtection="1">
      <protection hidden="1"/>
    </xf>
    <xf numFmtId="0" fontId="0" fillId="0" borderId="0" xfId="0" applyProtection="1">
      <protection hidden="1"/>
    </xf>
    <xf numFmtId="4" fontId="13" fillId="0" borderId="0" xfId="0" applyNumberFormat="1" applyFont="1" applyProtection="1">
      <protection hidden="1"/>
    </xf>
    <xf numFmtId="0" fontId="13" fillId="0" borderId="0" xfId="0" applyFont="1" applyProtection="1">
      <protection hidden="1"/>
    </xf>
    <xf numFmtId="4" fontId="0" fillId="0" borderId="0" xfId="0" applyNumberFormat="1"/>
    <xf numFmtId="0" fontId="13" fillId="0" borderId="0" xfId="0" applyFont="1"/>
    <xf numFmtId="0" fontId="5" fillId="0" borderId="0" xfId="0" applyFont="1" applyProtection="1">
      <protection locked="0"/>
    </xf>
    <xf numFmtId="0" fontId="31" fillId="0" borderId="8" xfId="0" applyFont="1" applyBorder="1" applyAlignment="1" applyProtection="1">
      <alignment horizontal="center" vertical="center" wrapText="1"/>
      <protection hidden="1"/>
    </xf>
    <xf numFmtId="0" fontId="16" fillId="0" borderId="0" xfId="0" applyFont="1" applyProtection="1">
      <protection hidden="1"/>
    </xf>
    <xf numFmtId="0" fontId="31" fillId="0" borderId="9" xfId="0" applyFont="1" applyBorder="1" applyAlignment="1" applyProtection="1">
      <alignment horizontal="center" vertical="center" wrapText="1"/>
      <protection hidden="1"/>
    </xf>
    <xf numFmtId="0" fontId="31" fillId="0" borderId="10" xfId="0" applyFont="1" applyBorder="1" applyAlignment="1" applyProtection="1">
      <alignment horizontal="center" vertical="center" wrapText="1"/>
      <protection hidden="1"/>
    </xf>
    <xf numFmtId="0" fontId="6" fillId="0" borderId="0" xfId="0" applyFont="1" applyAlignment="1">
      <alignment horizontal="center" vertical="center"/>
    </xf>
    <xf numFmtId="4" fontId="5" fillId="0" borderId="0" xfId="0" applyNumberFormat="1" applyFont="1" applyProtection="1">
      <protection hidden="1"/>
    </xf>
    <xf numFmtId="0" fontId="6" fillId="0" borderId="0" xfId="0" applyFont="1"/>
    <xf numFmtId="0" fontId="21" fillId="0" borderId="0" xfId="0" applyFont="1" applyAlignment="1" applyProtection="1">
      <alignment horizontal="center" vertical="center" wrapText="1"/>
      <protection hidden="1"/>
    </xf>
    <xf numFmtId="0" fontId="21" fillId="0" borderId="0" xfId="0" applyFont="1" applyAlignment="1" applyProtection="1">
      <alignment horizontal="center"/>
      <protection hidden="1"/>
    </xf>
    <xf numFmtId="0" fontId="7" fillId="0" borderId="0" xfId="0" applyFont="1" applyAlignment="1" applyProtection="1">
      <alignment horizontal="center" vertical="center"/>
      <protection hidden="1"/>
    </xf>
    <xf numFmtId="0" fontId="2" fillId="0" borderId="0" xfId="0" applyFont="1" applyAlignment="1" applyProtection="1">
      <alignment horizontal="center" vertical="center"/>
      <protection hidden="1"/>
    </xf>
    <xf numFmtId="0" fontId="4" fillId="3" borderId="11" xfId="0" applyFont="1" applyFill="1" applyBorder="1" applyAlignment="1" applyProtection="1">
      <alignment horizontal="center" vertical="center" wrapText="1"/>
      <protection hidden="1"/>
    </xf>
    <xf numFmtId="0" fontId="4" fillId="3" borderId="6" xfId="0" applyFont="1" applyFill="1" applyBorder="1" applyAlignment="1" applyProtection="1">
      <alignment horizontal="center" vertical="center" wrapText="1"/>
      <protection hidden="1"/>
    </xf>
    <xf numFmtId="0" fontId="4" fillId="0" borderId="6" xfId="0" applyFont="1" applyBorder="1" applyAlignment="1" applyProtection="1">
      <alignment horizontal="center" vertical="center"/>
      <protection hidden="1"/>
    </xf>
    <xf numFmtId="0" fontId="5" fillId="0" borderId="0" xfId="0" applyFont="1" applyAlignment="1" applyProtection="1">
      <alignment horizontal="center" vertical="center" textRotation="90"/>
      <protection hidden="1"/>
    </xf>
    <xf numFmtId="0" fontId="5" fillId="0" borderId="3" xfId="0" applyFont="1" applyBorder="1" applyAlignment="1" applyProtection="1">
      <alignment horizontal="center" vertical="center" textRotation="90"/>
      <protection hidden="1"/>
    </xf>
    <xf numFmtId="3" fontId="13" fillId="0" borderId="2" xfId="0" applyNumberFormat="1" applyFont="1" applyBorder="1" applyProtection="1">
      <protection hidden="1"/>
    </xf>
    <xf numFmtId="0" fontId="13" fillId="0" borderId="12" xfId="0" applyFont="1" applyBorder="1" applyAlignment="1" applyProtection="1">
      <alignment horizontal="center"/>
      <protection hidden="1"/>
    </xf>
    <xf numFmtId="0" fontId="13" fillId="4" borderId="13" xfId="0" applyFont="1" applyFill="1" applyBorder="1" applyAlignment="1" applyProtection="1">
      <alignment horizontal="center"/>
      <protection hidden="1"/>
    </xf>
    <xf numFmtId="0" fontId="13" fillId="0" borderId="14" xfId="0" applyFont="1" applyBorder="1" applyAlignment="1" applyProtection="1">
      <alignment horizontal="center" vertical="center" wrapText="1"/>
      <protection hidden="1"/>
    </xf>
    <xf numFmtId="0" fontId="13" fillId="4" borderId="15" xfId="0" applyFont="1" applyFill="1" applyBorder="1" applyAlignment="1" applyProtection="1">
      <alignment horizontal="center"/>
      <protection hidden="1"/>
    </xf>
    <xf numFmtId="0" fontId="13" fillId="0" borderId="16" xfId="0" applyFont="1" applyBorder="1" applyAlignment="1" applyProtection="1">
      <alignment horizontal="center"/>
      <protection hidden="1"/>
    </xf>
    <xf numFmtId="4" fontId="13" fillId="0" borderId="17" xfId="0" applyNumberFormat="1" applyFont="1" applyBorder="1" applyProtection="1">
      <protection hidden="1"/>
    </xf>
    <xf numFmtId="0" fontId="13" fillId="0" borderId="18" xfId="0" applyFont="1" applyBorder="1" applyAlignment="1" applyProtection="1">
      <alignment horizontal="right"/>
      <protection hidden="1"/>
    </xf>
    <xf numFmtId="4" fontId="13" fillId="0" borderId="19" xfId="0" applyNumberFormat="1" applyFont="1" applyBorder="1" applyProtection="1">
      <protection hidden="1"/>
    </xf>
    <xf numFmtId="0" fontId="13" fillId="0" borderId="20" xfId="0" applyFont="1" applyBorder="1" applyAlignment="1" applyProtection="1">
      <alignment horizontal="right"/>
      <protection hidden="1"/>
    </xf>
    <xf numFmtId="0" fontId="13" fillId="0" borderId="21" xfId="0" applyFont="1" applyBorder="1" applyAlignment="1" applyProtection="1">
      <alignment horizontal="right"/>
      <protection hidden="1"/>
    </xf>
    <xf numFmtId="0" fontId="13" fillId="0" borderId="22" xfId="0" applyFont="1" applyBorder="1" applyProtection="1">
      <protection hidden="1"/>
    </xf>
    <xf numFmtId="4" fontId="13" fillId="0" borderId="22" xfId="0" applyNumberFormat="1" applyFont="1" applyBorder="1" applyProtection="1">
      <protection hidden="1"/>
    </xf>
    <xf numFmtId="0" fontId="13" fillId="4" borderId="23" xfId="0" applyFont="1" applyFill="1" applyBorder="1" applyAlignment="1" applyProtection="1">
      <alignment horizontal="center"/>
      <protection hidden="1"/>
    </xf>
    <xf numFmtId="0" fontId="6" fillId="9" borderId="0" xfId="0" applyFont="1" applyFill="1" applyAlignment="1">
      <alignment horizontal="center" vertical="center"/>
    </xf>
    <xf numFmtId="49" fontId="5" fillId="4" borderId="2" xfId="0" applyNumberFormat="1" applyFont="1" applyFill="1" applyBorder="1" applyAlignment="1" applyProtection="1">
      <alignment horizontal="center"/>
      <protection hidden="1"/>
    </xf>
    <xf numFmtId="49" fontId="7" fillId="4" borderId="2" xfId="0" applyNumberFormat="1" applyFont="1" applyFill="1" applyBorder="1" applyAlignment="1" applyProtection="1">
      <alignment horizontal="center"/>
      <protection hidden="1"/>
    </xf>
    <xf numFmtId="49" fontId="7" fillId="5" borderId="2" xfId="0" applyNumberFormat="1" applyFont="1" applyFill="1" applyBorder="1" applyProtection="1">
      <protection hidden="1"/>
    </xf>
    <xf numFmtId="49" fontId="5" fillId="4" borderId="2" xfId="0" applyNumberFormat="1" applyFont="1" applyFill="1" applyBorder="1" applyAlignment="1" applyProtection="1">
      <alignment horizontal="right"/>
      <protection hidden="1"/>
    </xf>
    <xf numFmtId="49" fontId="7" fillId="7" borderId="2" xfId="0" applyNumberFormat="1" applyFont="1" applyFill="1" applyBorder="1" applyAlignment="1" applyProtection="1">
      <alignment horizontal="center"/>
      <protection hidden="1"/>
    </xf>
    <xf numFmtId="49" fontId="7" fillId="7" borderId="2" xfId="0" applyNumberFormat="1" applyFont="1" applyFill="1" applyBorder="1" applyAlignment="1" applyProtection="1">
      <alignment horizontal="right"/>
      <protection hidden="1"/>
    </xf>
    <xf numFmtId="49" fontId="5" fillId="8" borderId="2" xfId="0" applyNumberFormat="1" applyFont="1" applyFill="1" applyBorder="1" applyAlignment="1" applyProtection="1">
      <alignment horizontal="center"/>
      <protection hidden="1"/>
    </xf>
    <xf numFmtId="49" fontId="7" fillId="8" borderId="2" xfId="0" applyNumberFormat="1" applyFont="1" applyFill="1" applyBorder="1" applyProtection="1">
      <protection hidden="1"/>
    </xf>
    <xf numFmtId="49" fontId="5" fillId="8" borderId="2" xfId="0" applyNumberFormat="1" applyFont="1" applyFill="1" applyBorder="1" applyAlignment="1" applyProtection="1">
      <alignment horizontal="right"/>
      <protection hidden="1"/>
    </xf>
    <xf numFmtId="49" fontId="24" fillId="7" borderId="2" xfId="0" applyNumberFormat="1" applyFont="1" applyFill="1" applyBorder="1" applyAlignment="1" applyProtection="1">
      <alignment horizontal="center"/>
      <protection hidden="1"/>
    </xf>
    <xf numFmtId="49" fontId="24" fillId="7" borderId="2" xfId="0" applyNumberFormat="1" applyFont="1" applyFill="1" applyBorder="1" applyAlignment="1" applyProtection="1">
      <alignment horizontal="right"/>
      <protection hidden="1"/>
    </xf>
    <xf numFmtId="49" fontId="24" fillId="7" borderId="2" xfId="0" applyNumberFormat="1" applyFont="1" applyFill="1" applyBorder="1" applyProtection="1">
      <protection hidden="1"/>
    </xf>
    <xf numFmtId="49" fontId="2" fillId="4" borderId="2" xfId="0" applyNumberFormat="1" applyFont="1" applyFill="1" applyBorder="1" applyAlignment="1" applyProtection="1">
      <alignment horizontal="center"/>
      <protection hidden="1"/>
    </xf>
    <xf numFmtId="49" fontId="2" fillId="4" borderId="2" xfId="0" applyNumberFormat="1" applyFont="1" applyFill="1" applyBorder="1" applyAlignment="1" applyProtection="1">
      <alignment horizontal="right"/>
      <protection hidden="1"/>
    </xf>
    <xf numFmtId="49" fontId="4" fillId="10" borderId="3" xfId="0" applyNumberFormat="1" applyFont="1" applyFill="1" applyBorder="1" applyAlignment="1" applyProtection="1">
      <alignment horizontal="left"/>
      <protection hidden="1"/>
    </xf>
    <xf numFmtId="49" fontId="4" fillId="10" borderId="3" xfId="0" applyNumberFormat="1" applyFont="1" applyFill="1" applyBorder="1" applyAlignment="1" applyProtection="1">
      <alignment horizontal="center"/>
      <protection hidden="1"/>
    </xf>
    <xf numFmtId="49" fontId="5" fillId="4" borderId="2" xfId="0" applyNumberFormat="1" applyFont="1" applyFill="1" applyBorder="1" applyAlignment="1" applyProtection="1">
      <alignment horizontal="center" vertical="center" wrapText="1"/>
      <protection hidden="1"/>
    </xf>
    <xf numFmtId="49" fontId="5" fillId="0" borderId="2" xfId="0" applyNumberFormat="1" applyFont="1" applyBorder="1" applyAlignment="1" applyProtection="1">
      <alignment horizontal="center" vertical="center" textRotation="90" wrapText="1"/>
      <protection hidden="1"/>
    </xf>
    <xf numFmtId="49" fontId="4" fillId="3" borderId="2" xfId="0" applyNumberFormat="1" applyFont="1" applyFill="1" applyBorder="1" applyAlignment="1" applyProtection="1">
      <alignment horizontal="center" vertical="center" wrapText="1"/>
      <protection hidden="1"/>
    </xf>
    <xf numFmtId="49" fontId="4" fillId="3" borderId="2" xfId="0" applyNumberFormat="1" applyFont="1" applyFill="1" applyBorder="1" applyAlignment="1" applyProtection="1">
      <alignment horizontal="right" vertical="center"/>
      <protection hidden="1"/>
    </xf>
    <xf numFmtId="49" fontId="7" fillId="3" borderId="2" xfId="0" applyNumberFormat="1" applyFont="1" applyFill="1" applyBorder="1" applyAlignment="1" applyProtection="1">
      <alignment horizontal="center" vertical="center" wrapText="1"/>
      <protection hidden="1"/>
    </xf>
    <xf numFmtId="49" fontId="4" fillId="3" borderId="5" xfId="0" applyNumberFormat="1" applyFont="1" applyFill="1" applyBorder="1" applyAlignment="1" applyProtection="1">
      <alignment horizontal="center" vertical="center" wrapText="1"/>
      <protection hidden="1"/>
    </xf>
    <xf numFmtId="49" fontId="7" fillId="6" borderId="2" xfId="0" applyNumberFormat="1" applyFont="1" applyFill="1" applyBorder="1" applyAlignment="1" applyProtection="1">
      <alignment horizontal="center" vertical="center" wrapText="1"/>
      <protection hidden="1"/>
    </xf>
    <xf numFmtId="49" fontId="7" fillId="5" borderId="2" xfId="0" applyNumberFormat="1" applyFont="1" applyFill="1" applyBorder="1" applyAlignment="1" applyProtection="1">
      <alignment horizontal="center"/>
      <protection hidden="1"/>
    </xf>
    <xf numFmtId="49" fontId="4" fillId="3" borderId="11" xfId="0" applyNumberFormat="1" applyFont="1" applyFill="1" applyBorder="1" applyAlignment="1" applyProtection="1">
      <alignment horizontal="center" vertical="center" wrapText="1"/>
      <protection hidden="1"/>
    </xf>
    <xf numFmtId="49" fontId="4" fillId="3" borderId="11" xfId="0" applyNumberFormat="1" applyFont="1" applyFill="1" applyBorder="1" applyAlignment="1" applyProtection="1">
      <alignment horizontal="right" vertical="center"/>
      <protection hidden="1"/>
    </xf>
    <xf numFmtId="49" fontId="7" fillId="3" borderId="11" xfId="0" applyNumberFormat="1" applyFont="1" applyFill="1" applyBorder="1" applyAlignment="1" applyProtection="1">
      <alignment horizontal="center" vertical="center" wrapText="1"/>
      <protection hidden="1"/>
    </xf>
    <xf numFmtId="0" fontId="25" fillId="11" borderId="0" xfId="0" applyFont="1" applyFill="1" applyProtection="1">
      <protection hidden="1"/>
    </xf>
    <xf numFmtId="0" fontId="25" fillId="0" borderId="24" xfId="0" applyFont="1" applyBorder="1" applyProtection="1">
      <protection hidden="1"/>
    </xf>
    <xf numFmtId="0" fontId="25" fillId="0" borderId="25" xfId="0" applyFont="1" applyBorder="1" applyProtection="1">
      <protection hidden="1"/>
    </xf>
    <xf numFmtId="0" fontId="25" fillId="0" borderId="26" xfId="0" applyFont="1" applyBorder="1" applyProtection="1">
      <protection hidden="1"/>
    </xf>
    <xf numFmtId="0" fontId="25" fillId="0" borderId="27" xfId="0" applyFont="1" applyBorder="1" applyProtection="1">
      <protection hidden="1"/>
    </xf>
    <xf numFmtId="49" fontId="0" fillId="9" borderId="0" xfId="0" applyNumberFormat="1" applyFill="1"/>
    <xf numFmtId="49" fontId="1" fillId="0" borderId="0" xfId="0" applyNumberFormat="1" applyFont="1"/>
    <xf numFmtId="49" fontId="35" fillId="11" borderId="28" xfId="0" applyNumberFormat="1" applyFont="1" applyFill="1" applyBorder="1" applyAlignment="1">
      <alignment horizontal="center"/>
    </xf>
    <xf numFmtId="0" fontId="13" fillId="0" borderId="0" xfId="0" applyFont="1" applyAlignment="1" applyProtection="1">
      <alignment horizontal="center" vertical="center" wrapText="1"/>
      <protection hidden="1"/>
    </xf>
    <xf numFmtId="0" fontId="13" fillId="0" borderId="12" xfId="0" applyFont="1" applyBorder="1" applyAlignment="1" applyProtection="1">
      <alignment horizontal="center" vertical="center"/>
      <protection hidden="1"/>
    </xf>
    <xf numFmtId="0" fontId="13" fillId="0" borderId="29"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0" fontId="13" fillId="0" borderId="30" xfId="0" applyFont="1" applyBorder="1" applyAlignment="1" applyProtection="1">
      <alignment horizontal="center" vertical="center"/>
      <protection hidden="1"/>
    </xf>
    <xf numFmtId="0" fontId="21" fillId="0" borderId="31" xfId="0"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21" fillId="0" borderId="32" xfId="0" applyFont="1" applyBorder="1" applyAlignment="1" applyProtection="1">
      <alignment horizontal="center" vertical="center"/>
      <protection hidden="1"/>
    </xf>
    <xf numFmtId="0" fontId="5" fillId="0" borderId="32" xfId="0" applyFont="1" applyBorder="1" applyAlignment="1" applyProtection="1">
      <alignment horizontal="center" vertical="center"/>
      <protection hidden="1"/>
    </xf>
    <xf numFmtId="0" fontId="21"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4" fillId="12" borderId="6" xfId="0" applyFont="1" applyFill="1" applyBorder="1" applyAlignment="1" applyProtection="1">
      <alignment horizontal="center" vertical="center" wrapText="1"/>
      <protection hidden="1"/>
    </xf>
    <xf numFmtId="0" fontId="7" fillId="4" borderId="2" xfId="0" applyFont="1" applyFill="1" applyBorder="1" applyAlignment="1" applyProtection="1">
      <alignment horizontal="center"/>
      <protection hidden="1"/>
    </xf>
    <xf numFmtId="0" fontId="7" fillId="0" borderId="0" xfId="0" applyFont="1" applyProtection="1">
      <protection hidden="1"/>
    </xf>
    <xf numFmtId="0" fontId="20" fillId="4" borderId="2" xfId="0" applyFont="1" applyFill="1" applyBorder="1" applyAlignment="1" applyProtection="1">
      <alignment horizontal="center"/>
      <protection hidden="1"/>
    </xf>
    <xf numFmtId="3" fontId="21" fillId="0" borderId="2" xfId="0" applyNumberFormat="1" applyFont="1" applyBorder="1" applyProtection="1">
      <protection hidden="1"/>
    </xf>
    <xf numFmtId="49" fontId="20" fillId="4" borderId="2" xfId="0" applyNumberFormat="1" applyFont="1" applyFill="1" applyBorder="1" applyAlignment="1" applyProtection="1">
      <alignment horizontal="center"/>
      <protection hidden="1"/>
    </xf>
    <xf numFmtId="0" fontId="21" fillId="5" borderId="2" xfId="0" applyFont="1" applyFill="1" applyBorder="1" applyAlignment="1" applyProtection="1">
      <alignment horizontal="center"/>
      <protection hidden="1"/>
    </xf>
    <xf numFmtId="0" fontId="20" fillId="0" borderId="0" xfId="0" applyFont="1" applyProtection="1">
      <protection hidden="1"/>
    </xf>
    <xf numFmtId="0" fontId="24" fillId="0" borderId="0" xfId="0" applyFont="1" applyProtection="1">
      <protection hidden="1"/>
    </xf>
    <xf numFmtId="0" fontId="2" fillId="0" borderId="0" xfId="0" applyFont="1" applyAlignment="1" applyProtection="1">
      <alignment wrapText="1"/>
      <protection hidden="1"/>
    </xf>
    <xf numFmtId="0" fontId="47" fillId="0" borderId="0" xfId="0" applyFont="1"/>
    <xf numFmtId="0" fontId="5" fillId="0" borderId="0" xfId="0" applyFont="1" applyAlignment="1">
      <alignment horizontal="center" vertical="center"/>
    </xf>
    <xf numFmtId="0" fontId="5" fillId="0" borderId="33" xfId="0" applyFont="1" applyBorder="1" applyAlignment="1">
      <alignment horizontal="center" vertical="center" wrapText="1"/>
    </xf>
    <xf numFmtId="0" fontId="5" fillId="13" borderId="34" xfId="0" applyFont="1" applyFill="1" applyBorder="1"/>
    <xf numFmtId="3" fontId="5" fillId="13" borderId="35" xfId="0" applyNumberFormat="1" applyFont="1" applyFill="1" applyBorder="1"/>
    <xf numFmtId="0" fontId="5" fillId="13" borderId="36" xfId="0" applyFont="1" applyFill="1" applyBorder="1"/>
    <xf numFmtId="3" fontId="5" fillId="13" borderId="37" xfId="0" applyNumberFormat="1" applyFont="1" applyFill="1" applyBorder="1"/>
    <xf numFmtId="0" fontId="5" fillId="8" borderId="36" xfId="0" applyFont="1" applyFill="1" applyBorder="1"/>
    <xf numFmtId="4" fontId="5" fillId="0" borderId="11" xfId="0" applyNumberFormat="1" applyFont="1" applyBorder="1"/>
    <xf numFmtId="4" fontId="5" fillId="0" borderId="2" xfId="0" applyNumberFormat="1" applyFont="1" applyBorder="1"/>
    <xf numFmtId="4" fontId="5" fillId="0" borderId="33" xfId="0" applyNumberFormat="1" applyFont="1" applyBorder="1"/>
    <xf numFmtId="0" fontId="5" fillId="5" borderId="38" xfId="0" applyFont="1" applyFill="1" applyBorder="1"/>
    <xf numFmtId="0" fontId="5" fillId="5" borderId="39" xfId="0" applyFont="1" applyFill="1" applyBorder="1"/>
    <xf numFmtId="0" fontId="5" fillId="0" borderId="26" xfId="0" applyFont="1" applyBorder="1"/>
    <xf numFmtId="0" fontId="5" fillId="5" borderId="24" xfId="0" applyFont="1" applyFill="1" applyBorder="1"/>
    <xf numFmtId="0" fontId="5" fillId="5" borderId="35" xfId="0" applyFont="1" applyFill="1" applyBorder="1"/>
    <xf numFmtId="0" fontId="7" fillId="12" borderId="40" xfId="0" applyFont="1" applyFill="1" applyBorder="1"/>
    <xf numFmtId="10" fontId="7" fillId="12" borderId="41" xfId="0" applyNumberFormat="1" applyFont="1" applyFill="1" applyBorder="1"/>
    <xf numFmtId="0" fontId="7" fillId="13" borderId="40" xfId="0" applyFont="1" applyFill="1" applyBorder="1"/>
    <xf numFmtId="10" fontId="7" fillId="13" borderId="41" xfId="0" applyNumberFormat="1" applyFont="1" applyFill="1" applyBorder="1"/>
    <xf numFmtId="10" fontId="7" fillId="0" borderId="41" xfId="0" applyNumberFormat="1" applyFont="1" applyBorder="1"/>
    <xf numFmtId="10" fontId="7" fillId="0" borderId="37" xfId="0" applyNumberFormat="1" applyFont="1" applyBorder="1"/>
    <xf numFmtId="4" fontId="20" fillId="0" borderId="0" xfId="0" applyNumberFormat="1" applyFont="1" applyProtection="1">
      <protection locked="0"/>
    </xf>
    <xf numFmtId="0" fontId="7" fillId="4" borderId="42" xfId="0" applyFont="1" applyFill="1" applyBorder="1" applyAlignment="1">
      <alignment horizontal="right"/>
    </xf>
    <xf numFmtId="0" fontId="5" fillId="2" borderId="34" xfId="0" applyFont="1" applyFill="1" applyBorder="1" applyAlignment="1">
      <alignment wrapText="1"/>
    </xf>
    <xf numFmtId="0" fontId="7" fillId="2" borderId="38" xfId="0" applyFont="1" applyFill="1" applyBorder="1"/>
    <xf numFmtId="0" fontId="5" fillId="2" borderId="43" xfId="0" applyFont="1" applyFill="1" applyBorder="1"/>
    <xf numFmtId="49" fontId="24" fillId="14" borderId="2" xfId="0" applyNumberFormat="1" applyFont="1" applyFill="1" applyBorder="1" applyAlignment="1" applyProtection="1">
      <alignment horizontal="center"/>
      <protection hidden="1"/>
    </xf>
    <xf numFmtId="49" fontId="24" fillId="14" borderId="2" xfId="0" applyNumberFormat="1" applyFont="1" applyFill="1" applyBorder="1" applyAlignment="1" applyProtection="1">
      <alignment horizontal="left"/>
      <protection hidden="1"/>
    </xf>
    <xf numFmtId="0" fontId="13" fillId="4" borderId="44" xfId="0" applyFont="1" applyFill="1" applyBorder="1" applyAlignment="1" applyProtection="1">
      <alignment horizontal="center"/>
      <protection hidden="1"/>
    </xf>
    <xf numFmtId="0" fontId="4" fillId="0" borderId="3" xfId="0" applyFont="1" applyBorder="1" applyAlignment="1" applyProtection="1">
      <alignment horizontal="left" vertical="center"/>
      <protection hidden="1"/>
    </xf>
    <xf numFmtId="0" fontId="20" fillId="0" borderId="0" xfId="0" applyFont="1" applyAlignment="1" applyProtection="1">
      <alignment horizontal="center" vertical="center"/>
      <protection hidden="1"/>
    </xf>
    <xf numFmtId="4" fontId="7" fillId="4" borderId="4" xfId="0" applyNumberFormat="1" applyFont="1" applyFill="1" applyBorder="1"/>
    <xf numFmtId="4" fontId="14" fillId="11" borderId="7" xfId="0" applyNumberFormat="1" applyFont="1" applyFill="1" applyBorder="1" applyAlignment="1" applyProtection="1">
      <alignment horizontal="center"/>
      <protection hidden="1"/>
    </xf>
    <xf numFmtId="4" fontId="27" fillId="11" borderId="8" xfId="0" applyNumberFormat="1" applyFont="1" applyFill="1" applyBorder="1" applyAlignment="1" applyProtection="1">
      <alignment horizontal="center"/>
      <protection hidden="1"/>
    </xf>
    <xf numFmtId="172" fontId="31" fillId="0" borderId="10" xfId="0" applyNumberFormat="1" applyFont="1" applyBorder="1" applyAlignment="1" applyProtection="1">
      <alignment horizontal="center" vertical="center" wrapText="1"/>
      <protection hidden="1"/>
    </xf>
    <xf numFmtId="172" fontId="31" fillId="0" borderId="8" xfId="0" applyNumberFormat="1" applyFont="1" applyBorder="1" applyAlignment="1" applyProtection="1">
      <alignment horizontal="center" vertical="center" wrapText="1"/>
      <protection hidden="1"/>
    </xf>
    <xf numFmtId="4" fontId="14" fillId="11" borderId="3" xfId="0" applyNumberFormat="1" applyFont="1" applyFill="1" applyBorder="1" applyAlignment="1" applyProtection="1">
      <alignment horizontal="center"/>
      <protection hidden="1"/>
    </xf>
    <xf numFmtId="49" fontId="5" fillId="0" borderId="0" xfId="0" applyNumberFormat="1" applyFont="1" applyProtection="1">
      <protection locked="0"/>
    </xf>
    <xf numFmtId="3" fontId="4" fillId="2" borderId="2" xfId="0" applyNumberFormat="1" applyFont="1" applyFill="1" applyBorder="1" applyAlignment="1" applyProtection="1">
      <alignment horizontal="center"/>
      <protection hidden="1"/>
    </xf>
    <xf numFmtId="0" fontId="35" fillId="11" borderId="45" xfId="0" applyFont="1" applyFill="1" applyBorder="1" applyAlignment="1">
      <alignment horizontal="center"/>
    </xf>
    <xf numFmtId="4" fontId="31" fillId="2" borderId="38" xfId="0" applyNumberFormat="1" applyFont="1" applyFill="1" applyBorder="1" applyAlignment="1">
      <alignment vertical="center"/>
    </xf>
    <xf numFmtId="0" fontId="50" fillId="11" borderId="2" xfId="0" applyFont="1" applyFill="1" applyBorder="1" applyAlignment="1" applyProtection="1">
      <alignment horizontal="center" vertical="center" wrapText="1"/>
      <protection hidden="1"/>
    </xf>
    <xf numFmtId="0" fontId="56" fillId="3" borderId="3" xfId="0" applyFont="1" applyFill="1" applyBorder="1" applyAlignment="1" applyProtection="1">
      <alignment horizontal="center" vertical="center" wrapText="1"/>
      <protection hidden="1"/>
    </xf>
    <xf numFmtId="0" fontId="2" fillId="0" borderId="3" xfId="0" applyFont="1" applyBorder="1" applyAlignment="1" applyProtection="1">
      <alignment horizontal="center"/>
      <protection hidden="1"/>
    </xf>
    <xf numFmtId="0" fontId="2" fillId="0" borderId="3" xfId="0" applyFont="1" applyBorder="1" applyAlignment="1" applyProtection="1">
      <alignment horizontal="center" vertical="center" textRotation="90" wrapText="1"/>
      <protection hidden="1"/>
    </xf>
    <xf numFmtId="0" fontId="2" fillId="0" borderId="46" xfId="0" applyFont="1" applyBorder="1" applyAlignment="1" applyProtection="1">
      <alignment horizontal="center" wrapText="1"/>
      <protection hidden="1"/>
    </xf>
    <xf numFmtId="49" fontId="7" fillId="6" borderId="5" xfId="0" applyNumberFormat="1" applyFont="1" applyFill="1" applyBorder="1" applyAlignment="1" applyProtection="1">
      <alignment horizontal="center" vertical="center" wrapText="1"/>
      <protection hidden="1"/>
    </xf>
    <xf numFmtId="4" fontId="7" fillId="0" borderId="7" xfId="0" applyNumberFormat="1" applyFont="1" applyBorder="1" applyProtection="1">
      <protection hidden="1"/>
    </xf>
    <xf numFmtId="4" fontId="20" fillId="0" borderId="7" xfId="0" applyNumberFormat="1" applyFont="1" applyBorder="1" applyProtection="1">
      <protection locked="0"/>
    </xf>
    <xf numFmtId="4" fontId="5" fillId="0" borderId="47" xfId="0" applyNumberFormat="1" applyFont="1" applyBorder="1" applyProtection="1">
      <protection locked="0"/>
    </xf>
    <xf numFmtId="3" fontId="20" fillId="0" borderId="47" xfId="0" applyNumberFormat="1" applyFont="1" applyBorder="1" applyAlignment="1" applyProtection="1">
      <alignment horizontal="right"/>
      <protection locked="0"/>
    </xf>
    <xf numFmtId="10" fontId="24" fillId="7" borderId="47" xfId="0" applyNumberFormat="1" applyFont="1" applyFill="1" applyBorder="1" applyProtection="1">
      <protection locked="0"/>
    </xf>
    <xf numFmtId="4" fontId="7" fillId="0" borderId="3" xfId="0" applyNumberFormat="1" applyFont="1" applyBorder="1" applyProtection="1">
      <protection hidden="1"/>
    </xf>
    <xf numFmtId="4" fontId="20" fillId="0" borderId="3" xfId="0" applyNumberFormat="1" applyFont="1" applyBorder="1" applyProtection="1">
      <protection locked="0"/>
    </xf>
    <xf numFmtId="4" fontId="5" fillId="0" borderId="48" xfId="0" applyNumberFormat="1" applyFont="1" applyBorder="1" applyProtection="1">
      <protection locked="0"/>
    </xf>
    <xf numFmtId="10" fontId="42" fillId="7" borderId="48" xfId="0" applyNumberFormat="1" applyFont="1" applyFill="1" applyBorder="1" applyProtection="1">
      <protection locked="0"/>
    </xf>
    <xf numFmtId="10" fontId="24" fillId="7" borderId="48" xfId="0" applyNumberFormat="1" applyFont="1" applyFill="1" applyBorder="1" applyProtection="1">
      <protection locked="0"/>
    </xf>
    <xf numFmtId="0" fontId="5" fillId="0" borderId="46" xfId="0" applyFont="1" applyBorder="1" applyAlignment="1" applyProtection="1">
      <alignment horizontal="center" vertical="center" textRotation="90" wrapText="1"/>
      <protection hidden="1"/>
    </xf>
    <xf numFmtId="10" fontId="24" fillId="7" borderId="49" xfId="0" applyNumberFormat="1" applyFont="1" applyFill="1" applyBorder="1" applyProtection="1">
      <protection locked="0"/>
    </xf>
    <xf numFmtId="49" fontId="5" fillId="0" borderId="17" xfId="0" applyNumberFormat="1" applyFont="1" applyBorder="1" applyProtection="1">
      <protection locked="0"/>
    </xf>
    <xf numFmtId="0" fontId="5" fillId="0" borderId="17" xfId="0" applyFont="1" applyBorder="1" applyProtection="1">
      <protection locked="0"/>
    </xf>
    <xf numFmtId="0" fontId="5" fillId="0" borderId="17" xfId="0" applyFont="1" applyBorder="1" applyAlignment="1">
      <alignment horizontal="right"/>
    </xf>
    <xf numFmtId="0" fontId="5" fillId="4" borderId="17" xfId="0" applyFont="1" applyFill="1" applyBorder="1" applyAlignment="1" applyProtection="1">
      <alignment horizontal="center"/>
      <protection locked="0"/>
    </xf>
    <xf numFmtId="3" fontId="5" fillId="0" borderId="17" xfId="0" applyNumberFormat="1" applyFont="1" applyBorder="1" applyProtection="1">
      <protection locked="0"/>
    </xf>
    <xf numFmtId="49" fontId="5" fillId="0" borderId="17" xfId="0" applyNumberFormat="1" applyFont="1" applyBorder="1" applyAlignment="1" applyProtection="1">
      <alignment horizontal="center"/>
      <protection locked="0"/>
    </xf>
    <xf numFmtId="49" fontId="5" fillId="0" borderId="17" xfId="0" applyNumberFormat="1" applyFont="1" applyBorder="1"/>
    <xf numFmtId="4" fontId="5" fillId="0" borderId="17" xfId="0" applyNumberFormat="1" applyFont="1" applyBorder="1" applyAlignment="1" applyProtection="1">
      <alignment horizontal="right"/>
      <protection locked="0"/>
    </xf>
    <xf numFmtId="3" fontId="5" fillId="4" borderId="48" xfId="0" applyNumberFormat="1" applyFont="1" applyFill="1" applyBorder="1" applyProtection="1">
      <protection locked="0"/>
    </xf>
    <xf numFmtId="4" fontId="5" fillId="4" borderId="48" xfId="0" applyNumberFormat="1" applyFont="1" applyFill="1" applyBorder="1" applyProtection="1">
      <protection locked="0"/>
    </xf>
    <xf numFmtId="3" fontId="20" fillId="4" borderId="48" xfId="0" applyNumberFormat="1" applyFont="1" applyFill="1" applyBorder="1" applyAlignment="1" applyProtection="1">
      <alignment horizontal="right"/>
      <protection locked="0"/>
    </xf>
    <xf numFmtId="10" fontId="33" fillId="7" borderId="48" xfId="0" applyNumberFormat="1" applyFont="1" applyFill="1" applyBorder="1" applyProtection="1">
      <protection locked="0"/>
    </xf>
    <xf numFmtId="1" fontId="2" fillId="0" borderId="46" xfId="0" applyNumberFormat="1" applyFont="1" applyBorder="1" applyAlignment="1" applyProtection="1">
      <alignment horizontal="center" wrapText="1"/>
      <protection hidden="1"/>
    </xf>
    <xf numFmtId="0" fontId="7" fillId="0" borderId="48" xfId="0" applyFont="1" applyBorder="1" applyAlignment="1" applyProtection="1">
      <alignment horizontal="center" vertical="center" textRotation="90" wrapText="1"/>
      <protection hidden="1"/>
    </xf>
    <xf numFmtId="10" fontId="5" fillId="7" borderId="48" xfId="0" applyNumberFormat="1" applyFont="1" applyFill="1" applyBorder="1" applyProtection="1">
      <protection locked="0"/>
    </xf>
    <xf numFmtId="4" fontId="5" fillId="11" borderId="48" xfId="0" applyNumberFormat="1" applyFont="1" applyFill="1" applyBorder="1" applyProtection="1">
      <protection locked="0"/>
    </xf>
    <xf numFmtId="3" fontId="20" fillId="11" borderId="48" xfId="0" applyNumberFormat="1" applyFont="1" applyFill="1" applyBorder="1" applyAlignment="1" applyProtection="1">
      <alignment horizontal="right"/>
      <protection locked="0"/>
    </xf>
    <xf numFmtId="0" fontId="5" fillId="4" borderId="50" xfId="0" applyFont="1" applyFill="1" applyBorder="1" applyAlignment="1" applyProtection="1">
      <alignment horizontal="center"/>
      <protection locked="0"/>
    </xf>
    <xf numFmtId="1" fontId="5" fillId="0" borderId="50" xfId="0" applyNumberFormat="1" applyFont="1" applyBorder="1" applyProtection="1">
      <protection locked="0"/>
    </xf>
    <xf numFmtId="0" fontId="5" fillId="0" borderId="50" xfId="0" applyFont="1" applyBorder="1" applyProtection="1">
      <protection locked="0"/>
    </xf>
    <xf numFmtId="4" fontId="5" fillId="0" borderId="50" xfId="0" applyNumberFormat="1" applyFont="1" applyBorder="1" applyProtection="1">
      <protection locked="0"/>
    </xf>
    <xf numFmtId="0" fontId="57" fillId="0" borderId="50" xfId="0" applyFont="1" applyBorder="1" applyProtection="1">
      <protection locked="0"/>
    </xf>
    <xf numFmtId="4" fontId="22" fillId="11" borderId="51" xfId="0" applyNumberFormat="1" applyFont="1" applyFill="1" applyBorder="1" applyProtection="1">
      <protection locked="0"/>
    </xf>
    <xf numFmtId="4" fontId="5" fillId="0" borderId="52" xfId="0" applyNumberFormat="1" applyFont="1" applyBorder="1" applyProtection="1">
      <protection locked="0"/>
    </xf>
    <xf numFmtId="0" fontId="5" fillId="0" borderId="53" xfId="0" applyFont="1" applyBorder="1" applyProtection="1">
      <protection locked="0"/>
    </xf>
    <xf numFmtId="4" fontId="5" fillId="0" borderId="50" xfId="0" applyNumberFormat="1" applyFont="1" applyBorder="1" applyAlignment="1" applyProtection="1">
      <alignment horizontal="right"/>
      <protection locked="0"/>
    </xf>
    <xf numFmtId="0" fontId="5" fillId="0" borderId="50" xfId="0" applyFont="1" applyBorder="1" applyAlignment="1">
      <alignment horizontal="right"/>
    </xf>
    <xf numFmtId="0" fontId="5" fillId="10" borderId="54" xfId="0" applyFont="1" applyFill="1" applyBorder="1" applyProtection="1">
      <protection locked="0"/>
    </xf>
    <xf numFmtId="0" fontId="5" fillId="2" borderId="54" xfId="0" applyFont="1" applyFill="1" applyBorder="1" applyProtection="1">
      <protection locked="0"/>
    </xf>
    <xf numFmtId="49" fontId="7" fillId="6" borderId="7" xfId="0" applyNumberFormat="1" applyFont="1" applyFill="1" applyBorder="1" applyAlignment="1" applyProtection="1">
      <alignment horizontal="center" vertical="center" wrapText="1"/>
      <protection hidden="1"/>
    </xf>
    <xf numFmtId="49" fontId="7" fillId="6" borderId="3" xfId="0" applyNumberFormat="1" applyFont="1" applyFill="1" applyBorder="1" applyAlignment="1" applyProtection="1">
      <alignment horizontal="center" vertical="center" wrapText="1"/>
      <protection hidden="1"/>
    </xf>
    <xf numFmtId="0" fontId="5" fillId="12" borderId="11" xfId="0" applyFont="1" applyFill="1" applyBorder="1" applyAlignment="1" applyProtection="1">
      <alignment horizontal="center" vertical="center" textRotation="90" wrapText="1"/>
      <protection hidden="1"/>
    </xf>
    <xf numFmtId="10" fontId="7" fillId="5" borderId="2" xfId="0" applyNumberFormat="1" applyFont="1" applyFill="1" applyBorder="1" applyProtection="1">
      <protection hidden="1"/>
    </xf>
    <xf numFmtId="10" fontId="21" fillId="5" borderId="2" xfId="0" applyNumberFormat="1" applyFont="1" applyFill="1" applyBorder="1" applyProtection="1">
      <protection hidden="1"/>
    </xf>
    <xf numFmtId="10" fontId="7" fillId="8" borderId="2" xfId="0" applyNumberFormat="1" applyFont="1" applyFill="1" applyBorder="1" applyProtection="1">
      <protection hidden="1"/>
    </xf>
    <xf numFmtId="10" fontId="24" fillId="7" borderId="2" xfId="0" applyNumberFormat="1" applyFont="1" applyFill="1" applyBorder="1" applyProtection="1">
      <protection hidden="1"/>
    </xf>
    <xf numFmtId="10" fontId="5" fillId="4" borderId="51" xfId="0" applyNumberFormat="1" applyFont="1" applyFill="1" applyBorder="1" applyAlignment="1" applyProtection="1">
      <alignment horizontal="center"/>
      <protection locked="0"/>
    </xf>
    <xf numFmtId="0" fontId="2" fillId="12" borderId="0" xfId="0" applyFont="1" applyFill="1" applyAlignment="1" applyProtection="1">
      <alignment wrapText="1"/>
      <protection hidden="1"/>
    </xf>
    <xf numFmtId="0" fontId="2" fillId="12" borderId="55" xfId="0" applyFont="1" applyFill="1" applyBorder="1" applyAlignment="1" applyProtection="1">
      <alignment horizontal="center" vertical="center" textRotation="90" wrapText="1"/>
      <protection hidden="1"/>
    </xf>
    <xf numFmtId="0" fontId="4" fillId="12" borderId="3" xfId="0" applyFont="1" applyFill="1" applyBorder="1" applyAlignment="1" applyProtection="1">
      <alignment horizontal="center" vertical="center" wrapText="1"/>
      <protection hidden="1"/>
    </xf>
    <xf numFmtId="49" fontId="7" fillId="12" borderId="2" xfId="0" applyNumberFormat="1" applyFont="1" applyFill="1" applyBorder="1" applyAlignment="1" applyProtection="1">
      <alignment horizontal="center" vertical="center" wrapText="1"/>
      <protection hidden="1"/>
    </xf>
    <xf numFmtId="0" fontId="5" fillId="12" borderId="54" xfId="0" applyFont="1" applyFill="1" applyBorder="1" applyProtection="1">
      <protection locked="0"/>
    </xf>
    <xf numFmtId="0" fontId="5" fillId="12" borderId="50" xfId="0" applyFont="1" applyFill="1" applyBorder="1" applyProtection="1">
      <protection locked="0"/>
    </xf>
    <xf numFmtId="0" fontId="58" fillId="0" borderId="5" xfId="0" applyFont="1" applyBorder="1" applyAlignment="1" applyProtection="1">
      <alignment horizontal="center" vertical="center" textRotation="90" wrapText="1"/>
      <protection hidden="1"/>
    </xf>
    <xf numFmtId="49" fontId="7" fillId="0" borderId="0" xfId="0" applyNumberFormat="1" applyFont="1" applyAlignment="1" applyProtection="1">
      <alignment horizontal="center" vertical="center" wrapText="1"/>
      <protection hidden="1"/>
    </xf>
    <xf numFmtId="4" fontId="36" fillId="0" borderId="50" xfId="0" applyNumberFormat="1" applyFont="1" applyBorder="1" applyProtection="1">
      <protection locked="0"/>
    </xf>
    <xf numFmtId="3" fontId="5" fillId="0" borderId="56" xfId="0" applyNumberFormat="1" applyFont="1" applyBorder="1" applyProtection="1">
      <protection locked="0"/>
    </xf>
    <xf numFmtId="49" fontId="5" fillId="0" borderId="56" xfId="0" applyNumberFormat="1" applyFont="1" applyBorder="1" applyAlignment="1" applyProtection="1">
      <alignment horizontal="center"/>
      <protection locked="0"/>
    </xf>
    <xf numFmtId="49" fontId="5" fillId="0" borderId="56" xfId="0" applyNumberFormat="1" applyFont="1" applyBorder="1"/>
    <xf numFmtId="49" fontId="5" fillId="0" borderId="56" xfId="0" applyNumberFormat="1" applyFont="1" applyBorder="1" applyProtection="1">
      <protection locked="0"/>
    </xf>
    <xf numFmtId="0" fontId="5" fillId="0" borderId="56" xfId="0" applyFont="1" applyBorder="1" applyProtection="1">
      <protection locked="0"/>
    </xf>
    <xf numFmtId="4" fontId="31" fillId="2" borderId="57" xfId="0" applyNumberFormat="1" applyFont="1" applyFill="1" applyBorder="1" applyAlignment="1">
      <alignment vertical="center"/>
    </xf>
    <xf numFmtId="0" fontId="5" fillId="11" borderId="50" xfId="0" applyFont="1" applyFill="1" applyBorder="1" applyProtection="1">
      <protection locked="0"/>
    </xf>
    <xf numFmtId="3" fontId="20" fillId="0" borderId="58" xfId="0" applyNumberFormat="1" applyFont="1" applyBorder="1" applyAlignment="1" applyProtection="1">
      <alignment horizontal="right"/>
      <protection locked="0"/>
    </xf>
    <xf numFmtId="49" fontId="7" fillId="6" borderId="59" xfId="0" applyNumberFormat="1" applyFont="1" applyFill="1" applyBorder="1" applyAlignment="1" applyProtection="1">
      <alignment horizontal="center" vertical="center" wrapText="1"/>
      <protection hidden="1"/>
    </xf>
    <xf numFmtId="0" fontId="5" fillId="0" borderId="50" xfId="0" applyFont="1" applyBorder="1" applyAlignment="1" applyProtection="1">
      <alignment vertical="center"/>
      <protection locked="0"/>
    </xf>
    <xf numFmtId="0" fontId="5" fillId="12" borderId="50" xfId="0" applyFont="1" applyFill="1" applyBorder="1" applyAlignment="1" applyProtection="1">
      <alignment vertical="center"/>
      <protection locked="0"/>
    </xf>
    <xf numFmtId="0" fontId="4" fillId="0" borderId="0" xfId="0" applyFont="1" applyAlignment="1" applyProtection="1">
      <alignment horizontal="left" vertical="center"/>
      <protection hidden="1"/>
    </xf>
    <xf numFmtId="0" fontId="4" fillId="0" borderId="0" xfId="0" applyFont="1" applyAlignment="1" applyProtection="1">
      <alignment horizontal="center" vertical="center"/>
      <protection hidden="1"/>
    </xf>
    <xf numFmtId="0" fontId="5" fillId="0" borderId="0" xfId="0" applyFont="1" applyAlignment="1">
      <alignment horizontal="right" vertical="center"/>
    </xf>
    <xf numFmtId="4" fontId="21" fillId="0" borderId="7" xfId="0" applyNumberFormat="1" applyFont="1" applyBorder="1" applyProtection="1">
      <protection hidden="1"/>
    </xf>
    <xf numFmtId="4" fontId="20" fillId="0" borderId="47" xfId="0" applyNumberFormat="1" applyFont="1" applyBorder="1" applyProtection="1">
      <protection locked="0"/>
    </xf>
    <xf numFmtId="3" fontId="20" fillId="0" borderId="48" xfId="0" applyNumberFormat="1" applyFont="1" applyBorder="1" applyAlignment="1" applyProtection="1">
      <alignment horizontal="right"/>
      <protection locked="0"/>
    </xf>
    <xf numFmtId="0" fontId="5" fillId="0" borderId="60" xfId="0" applyFont="1" applyBorder="1" applyProtection="1">
      <protection locked="0"/>
    </xf>
    <xf numFmtId="4" fontId="7" fillId="0" borderId="61" xfId="0" applyNumberFormat="1" applyFont="1" applyBorder="1" applyProtection="1">
      <protection hidden="1"/>
    </xf>
    <xf numFmtId="4" fontId="21" fillId="0" borderId="61" xfId="0" applyNumberFormat="1" applyFont="1" applyBorder="1" applyProtection="1">
      <protection hidden="1"/>
    </xf>
    <xf numFmtId="0" fontId="4" fillId="3" borderId="46" xfId="0" applyFont="1" applyFill="1" applyBorder="1" applyAlignment="1" applyProtection="1">
      <alignment horizontal="center" vertical="center" wrapText="1"/>
      <protection hidden="1"/>
    </xf>
    <xf numFmtId="0" fontId="4" fillId="15" borderId="46" xfId="0" applyFont="1" applyFill="1" applyBorder="1" applyAlignment="1" applyProtection="1">
      <alignment horizontal="center" vertical="center" wrapText="1"/>
      <protection hidden="1"/>
    </xf>
    <xf numFmtId="0" fontId="5" fillId="10" borderId="62" xfId="0" applyFont="1" applyFill="1" applyBorder="1" applyProtection="1">
      <protection locked="0"/>
    </xf>
    <xf numFmtId="0" fontId="5" fillId="2" borderId="62" xfId="0" applyFont="1" applyFill="1" applyBorder="1" applyProtection="1">
      <protection locked="0"/>
    </xf>
    <xf numFmtId="0" fontId="5" fillId="12" borderId="62" xfId="0" applyFont="1" applyFill="1" applyBorder="1" applyProtection="1">
      <protection locked="0"/>
    </xf>
    <xf numFmtId="0" fontId="5" fillId="0" borderId="62" xfId="0" applyFont="1" applyBorder="1" applyAlignment="1" applyProtection="1">
      <alignment horizontal="center" vertical="center" textRotation="90"/>
      <protection hidden="1"/>
    </xf>
    <xf numFmtId="0" fontId="5" fillId="0" borderId="62" xfId="0" applyFont="1" applyBorder="1" applyAlignment="1" applyProtection="1">
      <alignment horizontal="center" vertical="center" textRotation="90" wrapText="1"/>
      <protection hidden="1"/>
    </xf>
    <xf numFmtId="0" fontId="5" fillId="4" borderId="11" xfId="0" applyFont="1" applyFill="1" applyBorder="1" applyAlignment="1" applyProtection="1">
      <alignment horizontal="center"/>
      <protection hidden="1"/>
    </xf>
    <xf numFmtId="49" fontId="5" fillId="4" borderId="11" xfId="0" applyNumberFormat="1" applyFont="1" applyFill="1" applyBorder="1" applyAlignment="1" applyProtection="1">
      <alignment horizontal="center"/>
      <protection hidden="1"/>
    </xf>
    <xf numFmtId="49" fontId="5" fillId="4" borderId="11" xfId="0" applyNumberFormat="1" applyFont="1" applyFill="1" applyBorder="1" applyAlignment="1" applyProtection="1">
      <alignment horizontal="right"/>
      <protection hidden="1"/>
    </xf>
    <xf numFmtId="0" fontId="7" fillId="8" borderId="11" xfId="0" applyFont="1" applyFill="1" applyBorder="1" applyProtection="1">
      <protection hidden="1"/>
    </xf>
    <xf numFmtId="0" fontId="5" fillId="0" borderId="3" xfId="0" applyFont="1" applyBorder="1" applyProtection="1">
      <protection hidden="1"/>
    </xf>
    <xf numFmtId="4" fontId="7" fillId="0" borderId="3" xfId="0" applyNumberFormat="1" applyFont="1" applyBorder="1" applyProtection="1">
      <protection locked="0"/>
    </xf>
    <xf numFmtId="4" fontId="21" fillId="0" borderId="3" xfId="0" applyNumberFormat="1" applyFont="1" applyBorder="1" applyProtection="1">
      <protection hidden="1"/>
    </xf>
    <xf numFmtId="0" fontId="7" fillId="0" borderId="3" xfId="0" applyFont="1" applyBorder="1" applyProtection="1">
      <protection hidden="1"/>
    </xf>
    <xf numFmtId="2" fontId="24" fillId="7" borderId="47" xfId="0" applyNumberFormat="1" applyFont="1" applyFill="1" applyBorder="1" applyAlignment="1" applyProtection="1">
      <alignment horizontal="center"/>
      <protection hidden="1"/>
    </xf>
    <xf numFmtId="4" fontId="2" fillId="0" borderId="0" xfId="0" applyNumberFormat="1" applyFont="1" applyProtection="1">
      <protection locked="0"/>
    </xf>
    <xf numFmtId="4" fontId="20" fillId="11" borderId="63" xfId="0" applyNumberFormat="1" applyFont="1" applyFill="1" applyBorder="1" applyProtection="1">
      <protection locked="0"/>
    </xf>
    <xf numFmtId="4" fontId="5" fillId="11" borderId="49" xfId="0" applyNumberFormat="1" applyFont="1" applyFill="1" applyBorder="1" applyProtection="1">
      <protection locked="0"/>
    </xf>
    <xf numFmtId="3" fontId="20" fillId="11" borderId="49" xfId="0" applyNumberFormat="1" applyFont="1" applyFill="1" applyBorder="1" applyAlignment="1" applyProtection="1">
      <alignment horizontal="right"/>
      <protection locked="0"/>
    </xf>
    <xf numFmtId="4" fontId="2" fillId="0" borderId="64" xfId="0" applyNumberFormat="1" applyFont="1" applyBorder="1" applyProtection="1">
      <protection locked="0"/>
    </xf>
    <xf numFmtId="0" fontId="2" fillId="0" borderId="46" xfId="0" applyFont="1" applyBorder="1" applyAlignment="1" applyProtection="1">
      <alignment horizontal="center" vertical="center" textRotation="90" wrapText="1"/>
      <protection hidden="1"/>
    </xf>
    <xf numFmtId="49" fontId="7" fillId="6" borderId="46" xfId="0" applyNumberFormat="1" applyFont="1" applyFill="1" applyBorder="1" applyAlignment="1" applyProtection="1">
      <alignment horizontal="center" vertical="center" wrapText="1"/>
      <protection hidden="1"/>
    </xf>
    <xf numFmtId="2" fontId="24" fillId="7" borderId="3" xfId="0" applyNumberFormat="1" applyFont="1" applyFill="1" applyBorder="1" applyAlignment="1" applyProtection="1">
      <alignment horizontal="center"/>
      <protection hidden="1"/>
    </xf>
    <xf numFmtId="4" fontId="20" fillId="11" borderId="3" xfId="0" applyNumberFormat="1" applyFont="1" applyFill="1" applyBorder="1" applyProtection="1">
      <protection locked="0"/>
    </xf>
    <xf numFmtId="4" fontId="5" fillId="11" borderId="0" xfId="0" applyNumberFormat="1" applyFont="1" applyFill="1" applyProtection="1">
      <protection locked="0"/>
    </xf>
    <xf numFmtId="3" fontId="20" fillId="11" borderId="0" xfId="0" applyNumberFormat="1" applyFont="1" applyFill="1" applyAlignment="1" applyProtection="1">
      <alignment horizontal="right"/>
      <protection locked="0"/>
    </xf>
    <xf numFmtId="2" fontId="7" fillId="5" borderId="65" xfId="0" applyNumberFormat="1" applyFont="1" applyFill="1" applyBorder="1" applyAlignment="1" applyProtection="1">
      <alignment vertical="center"/>
      <protection locked="0"/>
    </xf>
    <xf numFmtId="3" fontId="20" fillId="11" borderId="66" xfId="0" applyNumberFormat="1" applyFont="1" applyFill="1" applyBorder="1" applyAlignment="1" applyProtection="1">
      <alignment horizontal="right"/>
      <protection locked="0"/>
    </xf>
    <xf numFmtId="49" fontId="7" fillId="6" borderId="67" xfId="0" applyNumberFormat="1" applyFont="1" applyFill="1" applyBorder="1" applyAlignment="1" applyProtection="1">
      <alignment horizontal="center" vertical="center" wrapText="1"/>
      <protection hidden="1"/>
    </xf>
    <xf numFmtId="4" fontId="5" fillId="11" borderId="50" xfId="0" applyNumberFormat="1" applyFont="1" applyFill="1" applyBorder="1" applyProtection="1">
      <protection locked="0"/>
    </xf>
    <xf numFmtId="4" fontId="4" fillId="5" borderId="43" xfId="0" applyNumberFormat="1" applyFont="1" applyFill="1" applyBorder="1" applyAlignment="1" applyProtection="1">
      <alignment vertical="center"/>
      <protection hidden="1"/>
    </xf>
    <xf numFmtId="0" fontId="3" fillId="0" borderId="3" xfId="0" applyFont="1" applyBorder="1" applyAlignment="1" applyProtection="1">
      <alignment horizontal="center" vertical="center" textRotation="90"/>
      <protection hidden="1"/>
    </xf>
    <xf numFmtId="4" fontId="7" fillId="11" borderId="3" xfId="0" applyNumberFormat="1" applyFont="1" applyFill="1" applyBorder="1" applyProtection="1">
      <protection hidden="1"/>
    </xf>
    <xf numFmtId="3" fontId="2" fillId="5" borderId="58" xfId="0" applyNumberFormat="1" applyFont="1" applyFill="1" applyBorder="1" applyAlignment="1" applyProtection="1">
      <alignment horizontal="center"/>
      <protection hidden="1"/>
    </xf>
    <xf numFmtId="3" fontId="2" fillId="5" borderId="68" xfId="0" applyNumberFormat="1" applyFont="1" applyFill="1" applyBorder="1" applyAlignment="1" applyProtection="1">
      <alignment horizontal="center"/>
      <protection hidden="1"/>
    </xf>
    <xf numFmtId="0" fontId="5" fillId="0" borderId="69" xfId="0" applyFont="1" applyBorder="1" applyAlignment="1" applyProtection="1">
      <alignment horizontal="center" vertical="center" textRotation="90" wrapText="1"/>
      <protection hidden="1"/>
    </xf>
    <xf numFmtId="4" fontId="5" fillId="11" borderId="52" xfId="0" applyNumberFormat="1" applyFont="1" applyFill="1" applyBorder="1" applyProtection="1">
      <protection locked="0"/>
    </xf>
    <xf numFmtId="4" fontId="5" fillId="11" borderId="70" xfId="0" applyNumberFormat="1" applyFont="1" applyFill="1" applyBorder="1" applyProtection="1">
      <protection locked="0"/>
    </xf>
    <xf numFmtId="4" fontId="7" fillId="4" borderId="46" xfId="0" applyNumberFormat="1" applyFont="1" applyFill="1" applyBorder="1" applyProtection="1">
      <protection hidden="1"/>
    </xf>
    <xf numFmtId="4" fontId="20" fillId="4" borderId="46" xfId="0" applyNumberFormat="1" applyFont="1" applyFill="1" applyBorder="1" applyProtection="1">
      <protection locked="0"/>
    </xf>
    <xf numFmtId="2" fontId="24" fillId="14" borderId="46" xfId="0" applyNumberFormat="1" applyFont="1" applyFill="1" applyBorder="1" applyAlignment="1" applyProtection="1">
      <alignment horizontal="center"/>
      <protection hidden="1"/>
    </xf>
    <xf numFmtId="0" fontId="5" fillId="4" borderId="71" xfId="0" applyFont="1" applyFill="1" applyBorder="1" applyAlignment="1" applyProtection="1">
      <alignment horizontal="center"/>
      <protection locked="0"/>
    </xf>
    <xf numFmtId="0" fontId="5" fillId="4" borderId="46" xfId="0" applyFont="1" applyFill="1" applyBorder="1" applyProtection="1">
      <protection hidden="1"/>
    </xf>
    <xf numFmtId="0" fontId="5" fillId="4" borderId="71" xfId="0" applyFont="1" applyFill="1" applyBorder="1" applyAlignment="1" applyProtection="1">
      <alignment horizontal="right" vertical="top"/>
      <protection locked="0"/>
    </xf>
    <xf numFmtId="1" fontId="4" fillId="0" borderId="46" xfId="0" applyNumberFormat="1" applyFont="1" applyBorder="1" applyAlignment="1" applyProtection="1">
      <alignment horizontal="center" vertical="center" textRotation="90" wrapText="1"/>
      <protection hidden="1"/>
    </xf>
    <xf numFmtId="1" fontId="5" fillId="4" borderId="71" xfId="0" applyNumberFormat="1" applyFont="1" applyFill="1" applyBorder="1" applyAlignment="1" applyProtection="1">
      <alignment horizontal="center"/>
      <protection locked="0"/>
    </xf>
    <xf numFmtId="3" fontId="7" fillId="4" borderId="46" xfId="0" applyNumberFormat="1" applyFont="1" applyFill="1" applyBorder="1" applyProtection="1">
      <protection hidden="1"/>
    </xf>
    <xf numFmtId="4" fontId="7" fillId="0" borderId="46" xfId="0" applyNumberFormat="1" applyFont="1" applyBorder="1" applyProtection="1">
      <protection hidden="1"/>
    </xf>
    <xf numFmtId="4" fontId="20" fillId="0" borderId="46" xfId="0" applyNumberFormat="1" applyFont="1" applyBorder="1" applyProtection="1">
      <protection locked="0"/>
    </xf>
    <xf numFmtId="0" fontId="5" fillId="13" borderId="71" xfId="0" applyFont="1" applyFill="1" applyBorder="1" applyAlignment="1" applyProtection="1">
      <alignment horizontal="right"/>
      <protection locked="0"/>
    </xf>
    <xf numFmtId="10" fontId="33" fillId="7" borderId="72" xfId="0" applyNumberFormat="1" applyFont="1" applyFill="1" applyBorder="1" applyProtection="1">
      <protection locked="0"/>
    </xf>
    <xf numFmtId="0" fontId="2" fillId="0" borderId="72" xfId="0" applyFont="1" applyBorder="1" applyAlignment="1" applyProtection="1">
      <alignment wrapText="1"/>
      <protection hidden="1"/>
    </xf>
    <xf numFmtId="0" fontId="2" fillId="0" borderId="73" xfId="0" applyFont="1" applyBorder="1" applyAlignment="1" applyProtection="1">
      <alignment horizontal="center" vertical="center" textRotation="90" wrapText="1"/>
      <protection hidden="1"/>
    </xf>
    <xf numFmtId="0" fontId="2" fillId="0" borderId="72" xfId="0" applyFont="1" applyBorder="1" applyAlignment="1" applyProtection="1">
      <alignment horizontal="center" vertical="center" wrapText="1"/>
      <protection hidden="1"/>
    </xf>
    <xf numFmtId="4" fontId="7" fillId="13" borderId="46" xfId="0" applyNumberFormat="1" applyFont="1" applyFill="1" applyBorder="1" applyProtection="1">
      <protection hidden="1"/>
    </xf>
    <xf numFmtId="4" fontId="20" fillId="13" borderId="46" xfId="0" applyNumberFormat="1" applyFont="1" applyFill="1" applyBorder="1" applyProtection="1">
      <protection locked="0"/>
    </xf>
    <xf numFmtId="4" fontId="5" fillId="13" borderId="48" xfId="0" applyNumberFormat="1" applyFont="1" applyFill="1" applyBorder="1" applyProtection="1">
      <protection locked="0"/>
    </xf>
    <xf numFmtId="3" fontId="20" fillId="13" borderId="48" xfId="0" applyNumberFormat="1" applyFont="1" applyFill="1" applyBorder="1" applyAlignment="1" applyProtection="1">
      <alignment horizontal="right"/>
      <protection locked="0"/>
    </xf>
    <xf numFmtId="4" fontId="5" fillId="0" borderId="17" xfId="0" applyNumberFormat="1" applyFont="1" applyBorder="1" applyProtection="1">
      <protection locked="0"/>
    </xf>
    <xf numFmtId="4" fontId="20" fillId="0" borderId="61" xfId="0" applyNumberFormat="1" applyFont="1" applyBorder="1" applyProtection="1">
      <protection locked="0"/>
    </xf>
    <xf numFmtId="0" fontId="2" fillId="0" borderId="61" xfId="0" applyFont="1" applyBorder="1" applyAlignment="1" applyProtection="1">
      <alignment wrapText="1"/>
      <protection hidden="1"/>
    </xf>
    <xf numFmtId="49" fontId="7" fillId="6" borderId="61" xfId="0" applyNumberFormat="1" applyFont="1" applyFill="1" applyBorder="1" applyAlignment="1" applyProtection="1">
      <alignment horizontal="center" vertical="center" wrapText="1"/>
      <protection hidden="1"/>
    </xf>
    <xf numFmtId="4" fontId="5" fillId="0" borderId="60" xfId="0" applyNumberFormat="1" applyFont="1" applyBorder="1" applyProtection="1">
      <protection locked="0"/>
    </xf>
    <xf numFmtId="0" fontId="2" fillId="0" borderId="61" xfId="0" applyFont="1" applyBorder="1" applyAlignment="1" applyProtection="1">
      <alignment horizontal="center" vertical="center" textRotation="90" wrapText="1"/>
      <protection hidden="1"/>
    </xf>
    <xf numFmtId="4" fontId="5" fillId="11" borderId="17" xfId="0" applyNumberFormat="1" applyFont="1" applyFill="1" applyBorder="1" applyProtection="1">
      <protection locked="0"/>
    </xf>
    <xf numFmtId="0" fontId="2" fillId="0" borderId="3" xfId="0" applyFont="1" applyBorder="1" applyAlignment="1" applyProtection="1">
      <alignment wrapText="1"/>
      <protection hidden="1"/>
    </xf>
    <xf numFmtId="0" fontId="2" fillId="0" borderId="3" xfId="0" applyFont="1" applyBorder="1" applyAlignment="1" applyProtection="1">
      <alignment horizontal="center" vertical="center" wrapText="1"/>
      <protection hidden="1"/>
    </xf>
    <xf numFmtId="4" fontId="4" fillId="5" borderId="74" xfId="0" applyNumberFormat="1" applyFont="1" applyFill="1" applyBorder="1" applyProtection="1">
      <protection hidden="1"/>
    </xf>
    <xf numFmtId="4" fontId="4" fillId="13" borderId="6" xfId="0" applyNumberFormat="1" applyFont="1" applyFill="1" applyBorder="1" applyAlignment="1" applyProtection="1">
      <alignment vertical="center"/>
      <protection locked="0"/>
    </xf>
    <xf numFmtId="0" fontId="2" fillId="16" borderId="5" xfId="0" quotePrefix="1" applyFont="1" applyFill="1" applyBorder="1" applyAlignment="1" applyProtection="1">
      <alignment horizontal="center" vertical="center" wrapText="1"/>
      <protection hidden="1"/>
    </xf>
    <xf numFmtId="4" fontId="4" fillId="5" borderId="75" xfId="0" applyNumberFormat="1" applyFont="1" applyFill="1" applyBorder="1" applyProtection="1">
      <protection hidden="1"/>
    </xf>
    <xf numFmtId="4" fontId="4" fillId="13" borderId="76" xfId="0" applyNumberFormat="1" applyFont="1" applyFill="1" applyBorder="1" applyAlignment="1" applyProtection="1">
      <alignment vertical="center"/>
      <protection locked="0"/>
    </xf>
    <xf numFmtId="0" fontId="5" fillId="11" borderId="52" xfId="0" applyFont="1" applyFill="1" applyBorder="1" applyAlignment="1">
      <alignment horizontal="right"/>
    </xf>
    <xf numFmtId="0" fontId="2" fillId="16" borderId="3" xfId="0" quotePrefix="1" applyFont="1" applyFill="1" applyBorder="1" applyAlignment="1" applyProtection="1">
      <alignment horizontal="center" vertical="center" wrapText="1"/>
      <protection hidden="1"/>
    </xf>
    <xf numFmtId="4" fontId="5" fillId="11" borderId="77" xfId="0" applyNumberFormat="1" applyFont="1" applyFill="1" applyBorder="1" applyAlignment="1" applyProtection="1">
      <alignment horizontal="right"/>
      <protection locked="0"/>
    </xf>
    <xf numFmtId="0" fontId="5" fillId="11" borderId="77" xfId="0" applyFont="1" applyFill="1" applyBorder="1" applyAlignment="1" applyProtection="1">
      <alignment horizontal="right"/>
      <protection locked="0"/>
    </xf>
    <xf numFmtId="4" fontId="4" fillId="5" borderId="78" xfId="0" applyNumberFormat="1" applyFont="1" applyFill="1" applyBorder="1" applyProtection="1">
      <protection hidden="1"/>
    </xf>
    <xf numFmtId="4" fontId="4" fillId="13" borderId="79" xfId="0" applyNumberFormat="1" applyFont="1" applyFill="1" applyBorder="1" applyAlignment="1" applyProtection="1">
      <alignment vertical="center"/>
      <protection locked="0"/>
    </xf>
    <xf numFmtId="0" fontId="5" fillId="0" borderId="80" xfId="0" applyFont="1" applyBorder="1" applyAlignment="1" applyProtection="1">
      <alignment horizontal="right"/>
      <protection locked="0"/>
    </xf>
    <xf numFmtId="4" fontId="5" fillId="11" borderId="81" xfId="0" applyNumberFormat="1" applyFont="1" applyFill="1" applyBorder="1" applyAlignment="1" applyProtection="1">
      <alignment horizontal="right"/>
      <protection locked="0"/>
    </xf>
    <xf numFmtId="4" fontId="21" fillId="4" borderId="46" xfId="0" applyNumberFormat="1" applyFont="1" applyFill="1" applyBorder="1" applyProtection="1">
      <protection hidden="1"/>
    </xf>
    <xf numFmtId="4" fontId="20" fillId="4" borderId="48" xfId="0" applyNumberFormat="1" applyFont="1" applyFill="1" applyBorder="1" applyProtection="1">
      <protection locked="0"/>
    </xf>
    <xf numFmtId="4" fontId="5" fillId="4" borderId="82" xfId="0" applyNumberFormat="1" applyFont="1" applyFill="1" applyBorder="1" applyProtection="1">
      <protection locked="0"/>
    </xf>
    <xf numFmtId="4" fontId="5" fillId="0" borderId="83" xfId="0" applyNumberFormat="1" applyFont="1" applyBorder="1" applyAlignment="1" applyProtection="1">
      <alignment horizontal="right" vertical="center"/>
      <protection locked="0"/>
    </xf>
    <xf numFmtId="0" fontId="58" fillId="0" borderId="3" xfId="0" applyFont="1" applyBorder="1" applyAlignment="1" applyProtection="1">
      <alignment horizontal="center" vertical="center" textRotation="90" wrapText="1"/>
      <protection hidden="1"/>
    </xf>
    <xf numFmtId="4" fontId="5" fillId="0" borderId="50" xfId="0" applyNumberFormat="1" applyFont="1" applyBorder="1" applyAlignment="1" applyProtection="1">
      <alignment vertical="center"/>
      <protection locked="0"/>
    </xf>
    <xf numFmtId="0" fontId="5" fillId="13" borderId="50" xfId="0" applyFont="1" applyFill="1" applyBorder="1" applyAlignment="1" applyProtection="1">
      <alignment horizontal="right"/>
      <protection locked="0"/>
    </xf>
    <xf numFmtId="4" fontId="7" fillId="11" borderId="46" xfId="0" applyNumberFormat="1" applyFont="1" applyFill="1" applyBorder="1" applyProtection="1">
      <protection hidden="1"/>
    </xf>
    <xf numFmtId="4" fontId="20" fillId="11" borderId="46" xfId="0" applyNumberFormat="1" applyFont="1" applyFill="1" applyBorder="1" applyProtection="1">
      <protection locked="0"/>
    </xf>
    <xf numFmtId="2" fontId="24" fillId="7" borderId="48" xfId="0" applyNumberFormat="1" applyFont="1" applyFill="1" applyBorder="1" applyAlignment="1" applyProtection="1">
      <alignment horizontal="center"/>
      <protection hidden="1"/>
    </xf>
    <xf numFmtId="4" fontId="2" fillId="11" borderId="48" xfId="0" applyNumberFormat="1" applyFont="1" applyFill="1" applyBorder="1" applyProtection="1">
      <protection locked="0"/>
    </xf>
    <xf numFmtId="4" fontId="5" fillId="11" borderId="71" xfId="0" applyNumberFormat="1" applyFont="1" applyFill="1" applyBorder="1" applyProtection="1">
      <protection locked="0"/>
    </xf>
    <xf numFmtId="14" fontId="58" fillId="17" borderId="0" xfId="0" applyNumberFormat="1" applyFont="1" applyFill="1" applyAlignment="1" applyProtection="1">
      <alignment horizontal="center" vertical="center" textRotation="90" wrapText="1"/>
      <protection locked="0"/>
    </xf>
    <xf numFmtId="4" fontId="20" fillId="11" borderId="0" xfId="0" applyNumberFormat="1" applyFont="1" applyFill="1" applyProtection="1">
      <protection locked="0"/>
    </xf>
    <xf numFmtId="4" fontId="5" fillId="0" borderId="0" xfId="0" applyNumberFormat="1" applyFont="1" applyAlignment="1" applyProtection="1">
      <alignment vertical="center"/>
      <protection locked="0"/>
    </xf>
    <xf numFmtId="4" fontId="5" fillId="13" borderId="71" xfId="0" applyNumberFormat="1" applyFont="1" applyFill="1" applyBorder="1" applyProtection="1">
      <protection locked="0"/>
    </xf>
    <xf numFmtId="4" fontId="7" fillId="11" borderId="5" xfId="0" applyNumberFormat="1" applyFont="1" applyFill="1" applyBorder="1" applyProtection="1">
      <protection hidden="1"/>
    </xf>
    <xf numFmtId="4" fontId="20" fillId="11" borderId="5" xfId="0" applyNumberFormat="1" applyFont="1" applyFill="1" applyBorder="1" applyProtection="1">
      <protection locked="0"/>
    </xf>
    <xf numFmtId="3" fontId="20" fillId="11" borderId="70" xfId="0" applyNumberFormat="1" applyFont="1" applyFill="1" applyBorder="1" applyAlignment="1" applyProtection="1">
      <alignment horizontal="right"/>
      <protection locked="0"/>
    </xf>
    <xf numFmtId="2" fontId="24" fillId="7" borderId="70" xfId="0" applyNumberFormat="1" applyFont="1" applyFill="1" applyBorder="1" applyAlignment="1" applyProtection="1">
      <alignment horizontal="center"/>
      <protection hidden="1"/>
    </xf>
    <xf numFmtId="4" fontId="2" fillId="11" borderId="70" xfId="0" applyNumberFormat="1" applyFont="1" applyFill="1" applyBorder="1" applyProtection="1">
      <protection locked="0"/>
    </xf>
    <xf numFmtId="4" fontId="21" fillId="11" borderId="3" xfId="0" applyNumberFormat="1" applyFont="1" applyFill="1" applyBorder="1" applyProtection="1">
      <protection hidden="1"/>
    </xf>
    <xf numFmtId="3" fontId="20" fillId="0" borderId="0" xfId="0" applyNumberFormat="1" applyFont="1" applyAlignment="1" applyProtection="1">
      <alignment horizontal="center"/>
      <protection locked="0"/>
    </xf>
    <xf numFmtId="3" fontId="5" fillId="0" borderId="0" xfId="0" applyNumberFormat="1" applyFont="1" applyAlignment="1" applyProtection="1">
      <alignment horizontal="center"/>
      <protection locked="0"/>
    </xf>
    <xf numFmtId="0" fontId="2" fillId="0" borderId="6" xfId="0" applyFont="1" applyBorder="1" applyAlignment="1" applyProtection="1">
      <alignment wrapText="1"/>
      <protection hidden="1"/>
    </xf>
    <xf numFmtId="0" fontId="49" fillId="0" borderId="61" xfId="0" applyFont="1" applyBorder="1" applyAlignment="1" applyProtection="1">
      <alignment horizontal="center" wrapText="1"/>
      <protection hidden="1"/>
    </xf>
    <xf numFmtId="0" fontId="58" fillId="0" borderId="61" xfId="0" applyFont="1" applyBorder="1" applyAlignment="1" applyProtection="1">
      <alignment horizontal="center" vertical="center" textRotation="90" wrapText="1"/>
      <protection hidden="1"/>
    </xf>
    <xf numFmtId="4" fontId="7" fillId="8" borderId="46" xfId="0" applyNumberFormat="1" applyFont="1" applyFill="1" applyBorder="1" applyProtection="1">
      <protection hidden="1"/>
    </xf>
    <xf numFmtId="4" fontId="20" fillId="8" borderId="46" xfId="0" applyNumberFormat="1" applyFont="1" applyFill="1" applyBorder="1" applyProtection="1">
      <protection locked="0"/>
    </xf>
    <xf numFmtId="4" fontId="5" fillId="8" borderId="48" xfId="0" applyNumberFormat="1" applyFont="1" applyFill="1" applyBorder="1" applyProtection="1">
      <protection locked="0"/>
    </xf>
    <xf numFmtId="3" fontId="20" fillId="8" borderId="48" xfId="0" applyNumberFormat="1" applyFont="1" applyFill="1" applyBorder="1" applyAlignment="1" applyProtection="1">
      <alignment horizontal="right"/>
      <protection locked="0"/>
    </xf>
    <xf numFmtId="0" fontId="2" fillId="0" borderId="7" xfId="0" applyFont="1" applyBorder="1" applyAlignment="1" applyProtection="1">
      <alignment horizontal="center" wrapText="1"/>
      <protection hidden="1"/>
    </xf>
    <xf numFmtId="0" fontId="2" fillId="0" borderId="3" xfId="0" applyFont="1" applyBorder="1" applyAlignment="1" applyProtection="1">
      <alignment horizontal="right" wrapText="1"/>
      <protection hidden="1"/>
    </xf>
    <xf numFmtId="0" fontId="2" fillId="0" borderId="61" xfId="0" applyFont="1" applyBorder="1" applyAlignment="1" applyProtection="1">
      <alignment horizontal="center" wrapText="1"/>
      <protection hidden="1"/>
    </xf>
    <xf numFmtId="0" fontId="2" fillId="0" borderId="46" xfId="0" applyFont="1" applyBorder="1" applyAlignment="1" applyProtection="1">
      <alignment horizontal="right" wrapText="1"/>
      <protection hidden="1"/>
    </xf>
    <xf numFmtId="0" fontId="2" fillId="0" borderId="61" xfId="0" applyFont="1" applyBorder="1" applyAlignment="1" applyProtection="1">
      <alignment horizontal="right" wrapText="1"/>
      <protection hidden="1"/>
    </xf>
    <xf numFmtId="0" fontId="2" fillId="0" borderId="64" xfId="0" applyFont="1" applyBorder="1" applyAlignment="1" applyProtection="1">
      <alignment horizontal="center" wrapText="1"/>
      <protection hidden="1"/>
    </xf>
    <xf numFmtId="4" fontId="7" fillId="11" borderId="63" xfId="0" applyNumberFormat="1" applyFont="1" applyFill="1" applyBorder="1" applyProtection="1">
      <protection hidden="1"/>
    </xf>
    <xf numFmtId="4" fontId="5" fillId="13" borderId="72" xfId="0" applyNumberFormat="1" applyFont="1" applyFill="1" applyBorder="1" applyProtection="1">
      <protection locked="0"/>
    </xf>
    <xf numFmtId="3" fontId="20" fillId="13" borderId="72" xfId="0" applyNumberFormat="1" applyFont="1" applyFill="1" applyBorder="1" applyAlignment="1" applyProtection="1">
      <alignment horizontal="right"/>
      <protection locked="0"/>
    </xf>
    <xf numFmtId="4" fontId="7" fillId="13" borderId="73" xfId="0" applyNumberFormat="1" applyFont="1" applyFill="1" applyBorder="1" applyProtection="1">
      <protection hidden="1"/>
    </xf>
    <xf numFmtId="4" fontId="20" fillId="13" borderId="73" xfId="0" applyNumberFormat="1" applyFont="1" applyFill="1" applyBorder="1" applyProtection="1">
      <protection locked="0"/>
    </xf>
    <xf numFmtId="0" fontId="5" fillId="13" borderId="46" xfId="0" applyFont="1" applyFill="1" applyBorder="1" applyProtection="1">
      <protection hidden="1"/>
    </xf>
    <xf numFmtId="3" fontId="5" fillId="13" borderId="48" xfId="0" applyNumberFormat="1" applyFont="1" applyFill="1" applyBorder="1" applyProtection="1">
      <protection locked="0"/>
    </xf>
    <xf numFmtId="0" fontId="5" fillId="13" borderId="71" xfId="0" applyFont="1" applyFill="1" applyBorder="1" applyAlignment="1" applyProtection="1">
      <alignment horizontal="center"/>
      <protection locked="0"/>
    </xf>
    <xf numFmtId="4" fontId="20" fillId="11" borderId="48" xfId="0" applyNumberFormat="1" applyFont="1" applyFill="1" applyBorder="1" applyProtection="1">
      <protection locked="0"/>
    </xf>
    <xf numFmtId="4" fontId="20" fillId="8" borderId="48" xfId="0" applyNumberFormat="1" applyFont="1" applyFill="1" applyBorder="1" applyProtection="1">
      <protection locked="0"/>
    </xf>
    <xf numFmtId="0" fontId="50" fillId="0" borderId="2" xfId="0" applyFont="1" applyBorder="1" applyAlignment="1" applyProtection="1">
      <alignment horizontal="center" vertical="center" wrapText="1"/>
      <protection hidden="1"/>
    </xf>
    <xf numFmtId="4" fontId="22" fillId="0" borderId="51" xfId="0" applyNumberFormat="1" applyFont="1" applyBorder="1" applyProtection="1">
      <protection locked="0"/>
    </xf>
    <xf numFmtId="4" fontId="5" fillId="13" borderId="82" xfId="0" applyNumberFormat="1" applyFont="1" applyFill="1" applyBorder="1" applyProtection="1">
      <protection locked="0"/>
    </xf>
    <xf numFmtId="4" fontId="5" fillId="11" borderId="17" xfId="0" applyNumberFormat="1" applyFont="1" applyFill="1" applyBorder="1" applyAlignment="1" applyProtection="1">
      <alignment horizontal="right" vertical="center"/>
      <protection locked="0"/>
    </xf>
    <xf numFmtId="0" fontId="5" fillId="11" borderId="50" xfId="0" applyFont="1" applyFill="1" applyBorder="1" applyAlignment="1">
      <alignment horizontal="right"/>
    </xf>
    <xf numFmtId="0" fontId="51" fillId="0" borderId="84" xfId="0" applyFont="1" applyBorder="1" applyAlignment="1" applyProtection="1">
      <alignment horizontal="center" vertical="center" textRotation="90" wrapText="1"/>
      <protection hidden="1"/>
    </xf>
    <xf numFmtId="0" fontId="20" fillId="0" borderId="0" xfId="0" applyFont="1" applyAlignment="1" applyProtection="1">
      <alignment horizontal="center"/>
      <protection hidden="1"/>
    </xf>
    <xf numFmtId="0" fontId="7" fillId="0" borderId="0" xfId="0" applyFont="1" applyAlignment="1" applyProtection="1">
      <alignment horizontal="left"/>
      <protection hidden="1"/>
    </xf>
    <xf numFmtId="0" fontId="2" fillId="0" borderId="0" xfId="0" applyFont="1" applyAlignment="1" applyProtection="1">
      <alignment horizontal="left"/>
      <protection hidden="1"/>
    </xf>
    <xf numFmtId="0" fontId="20" fillId="0" borderId="0" xfId="0" applyFont="1" applyAlignment="1" applyProtection="1">
      <alignment horizontal="left"/>
      <protection hidden="1"/>
    </xf>
    <xf numFmtId="0" fontId="31" fillId="0" borderId="46" xfId="0" applyFont="1" applyBorder="1" applyAlignment="1" applyProtection="1">
      <alignment horizontal="center" vertical="center" textRotation="90" wrapText="1"/>
      <protection hidden="1"/>
    </xf>
    <xf numFmtId="0" fontId="3" fillId="0" borderId="5" xfId="0" applyFont="1" applyBorder="1" applyAlignment="1" applyProtection="1">
      <alignment horizontal="center" vertical="center" textRotation="90"/>
      <protection hidden="1"/>
    </xf>
    <xf numFmtId="4" fontId="21" fillId="0" borderId="59" xfId="0" applyNumberFormat="1" applyFont="1" applyBorder="1" applyProtection="1">
      <protection hidden="1"/>
    </xf>
    <xf numFmtId="4" fontId="5" fillId="0" borderId="58" xfId="0" applyNumberFormat="1" applyFont="1" applyBorder="1" applyProtection="1">
      <protection locked="0"/>
    </xf>
    <xf numFmtId="10" fontId="24" fillId="7" borderId="58" xfId="0" applyNumberFormat="1" applyFont="1" applyFill="1" applyBorder="1" applyProtection="1">
      <protection locked="0"/>
    </xf>
    <xf numFmtId="4" fontId="20" fillId="0" borderId="58" xfId="0" applyNumberFormat="1" applyFont="1" applyBorder="1" applyProtection="1">
      <protection locked="0"/>
    </xf>
    <xf numFmtId="4" fontId="7" fillId="4" borderId="3" xfId="0" applyNumberFormat="1" applyFont="1" applyFill="1" applyBorder="1" applyProtection="1">
      <protection hidden="1"/>
    </xf>
    <xf numFmtId="4" fontId="21" fillId="4" borderId="3" xfId="0" applyNumberFormat="1" applyFont="1" applyFill="1" applyBorder="1" applyProtection="1">
      <protection hidden="1"/>
    </xf>
    <xf numFmtId="4" fontId="5" fillId="4" borderId="0" xfId="0" applyNumberFormat="1" applyFont="1" applyFill="1" applyProtection="1">
      <protection locked="0"/>
    </xf>
    <xf numFmtId="4" fontId="20" fillId="4" borderId="0" xfId="0" applyNumberFormat="1" applyFont="1" applyFill="1" applyProtection="1">
      <protection locked="0"/>
    </xf>
    <xf numFmtId="3" fontId="20" fillId="4" borderId="0" xfId="0" applyNumberFormat="1" applyFont="1" applyFill="1" applyAlignment="1" applyProtection="1">
      <alignment horizontal="right"/>
      <protection locked="0"/>
    </xf>
    <xf numFmtId="4" fontId="5" fillId="4" borderId="6" xfId="0" applyNumberFormat="1" applyFont="1" applyFill="1" applyBorder="1" applyProtection="1">
      <protection locked="0"/>
    </xf>
    <xf numFmtId="0" fontId="25" fillId="0" borderId="26" xfId="0" applyFont="1" applyBorder="1" applyAlignment="1" applyProtection="1">
      <alignment horizontal="center"/>
      <protection hidden="1"/>
    </xf>
    <xf numFmtId="0" fontId="25" fillId="0" borderId="27" xfId="0" applyFont="1" applyBorder="1" applyAlignment="1" applyProtection="1">
      <alignment horizontal="center"/>
      <protection hidden="1"/>
    </xf>
    <xf numFmtId="0" fontId="60" fillId="0" borderId="0" xfId="0" applyFont="1" applyAlignment="1" applyProtection="1">
      <alignment horizontal="center"/>
      <protection hidden="1"/>
    </xf>
    <xf numFmtId="0" fontId="61" fillId="0" borderId="0" xfId="0" applyFont="1" applyProtection="1">
      <protection hidden="1"/>
    </xf>
    <xf numFmtId="4" fontId="61" fillId="0" borderId="0" xfId="0" applyNumberFormat="1" applyFont="1" applyProtection="1">
      <protection hidden="1"/>
    </xf>
    <xf numFmtId="0" fontId="27" fillId="0" borderId="0" xfId="0" applyFont="1" applyAlignment="1">
      <alignment horizontal="center" vertical="center"/>
    </xf>
    <xf numFmtId="4" fontId="40" fillId="0" borderId="0" xfId="0" applyNumberFormat="1" applyFont="1" applyAlignment="1" applyProtection="1">
      <alignment horizontal="center" vertical="center" wrapText="1"/>
      <protection locked="0"/>
    </xf>
    <xf numFmtId="4" fontId="63" fillId="4" borderId="7" xfId="0" applyNumberFormat="1" applyFont="1" applyFill="1" applyBorder="1" applyProtection="1">
      <protection hidden="1"/>
    </xf>
    <xf numFmtId="4" fontId="14" fillId="4" borderId="7" xfId="0" applyNumberFormat="1" applyFont="1" applyFill="1" applyBorder="1" applyAlignment="1" applyProtection="1">
      <alignment horizontal="center"/>
      <protection hidden="1"/>
    </xf>
    <xf numFmtId="0" fontId="2" fillId="0" borderId="67" xfId="0" applyFont="1" applyBorder="1" applyAlignment="1" applyProtection="1">
      <alignment horizontal="center" wrapText="1"/>
      <protection hidden="1"/>
    </xf>
    <xf numFmtId="4" fontId="7" fillId="0" borderId="85" xfId="0" applyNumberFormat="1" applyFont="1" applyBorder="1" applyProtection="1">
      <protection hidden="1"/>
    </xf>
    <xf numFmtId="4" fontId="21" fillId="0" borderId="85" xfId="0" applyNumberFormat="1" applyFont="1" applyBorder="1" applyProtection="1">
      <protection hidden="1"/>
    </xf>
    <xf numFmtId="4" fontId="5" fillId="0" borderId="86" xfId="0" applyNumberFormat="1" applyFont="1" applyBorder="1" applyProtection="1">
      <protection locked="0"/>
    </xf>
    <xf numFmtId="10" fontId="24" fillId="7" borderId="86" xfId="0" applyNumberFormat="1" applyFont="1" applyFill="1" applyBorder="1" applyProtection="1">
      <protection locked="0"/>
    </xf>
    <xf numFmtId="4" fontId="20" fillId="0" borderId="86" xfId="0" applyNumberFormat="1" applyFont="1" applyBorder="1" applyProtection="1">
      <protection locked="0"/>
    </xf>
    <xf numFmtId="3" fontId="20" fillId="0" borderId="86" xfId="0" applyNumberFormat="1" applyFont="1" applyBorder="1" applyAlignment="1" applyProtection="1">
      <alignment horizontal="right"/>
      <protection locked="0"/>
    </xf>
    <xf numFmtId="4" fontId="5" fillId="0" borderId="87" xfId="0" applyNumberFormat="1" applyFont="1" applyBorder="1" applyProtection="1">
      <protection locked="0"/>
    </xf>
    <xf numFmtId="4" fontId="7" fillId="0" borderId="2" xfId="0" applyNumberFormat="1" applyFont="1" applyBorder="1"/>
    <xf numFmtId="4" fontId="65" fillId="2" borderId="35" xfId="0" applyNumberFormat="1" applyFont="1" applyFill="1" applyBorder="1" applyAlignment="1">
      <alignment horizontal="center" vertical="center"/>
    </xf>
    <xf numFmtId="4" fontId="65" fillId="2" borderId="41" xfId="0" applyNumberFormat="1" applyFont="1" applyFill="1" applyBorder="1" applyAlignment="1">
      <alignment horizontal="center" vertical="center"/>
    </xf>
    <xf numFmtId="0" fontId="31" fillId="4" borderId="13" xfId="0" applyFont="1" applyFill="1" applyBorder="1" applyAlignment="1" applyProtection="1">
      <alignment horizontal="center"/>
      <protection hidden="1"/>
    </xf>
    <xf numFmtId="4" fontId="31" fillId="2" borderId="88" xfId="0" applyNumberFormat="1" applyFont="1" applyFill="1" applyBorder="1" applyAlignment="1">
      <alignment vertical="center"/>
    </xf>
    <xf numFmtId="4" fontId="31" fillId="2" borderId="89" xfId="0" applyNumberFormat="1" applyFont="1" applyFill="1" applyBorder="1" applyAlignment="1">
      <alignment vertical="center"/>
    </xf>
    <xf numFmtId="10" fontId="31" fillId="2" borderId="90" xfId="0" applyNumberFormat="1" applyFont="1" applyFill="1" applyBorder="1" applyAlignment="1">
      <alignment vertical="center"/>
    </xf>
    <xf numFmtId="10" fontId="31" fillId="2" borderId="91" xfId="0" applyNumberFormat="1" applyFont="1" applyFill="1" applyBorder="1" applyAlignment="1">
      <alignment vertical="center"/>
    </xf>
    <xf numFmtId="49" fontId="7" fillId="6" borderId="82" xfId="0" applyNumberFormat="1" applyFont="1" applyFill="1" applyBorder="1" applyAlignment="1" applyProtection="1">
      <alignment horizontal="center" vertical="center" wrapText="1"/>
      <protection hidden="1"/>
    </xf>
    <xf numFmtId="49" fontId="7" fillId="6" borderId="6" xfId="0" applyNumberFormat="1" applyFont="1" applyFill="1" applyBorder="1" applyAlignment="1" applyProtection="1">
      <alignment horizontal="center" vertical="center" wrapText="1"/>
      <protection hidden="1"/>
    </xf>
    <xf numFmtId="0" fontId="2" fillId="0" borderId="82" xfId="0" applyFont="1" applyBorder="1" applyAlignment="1" applyProtection="1">
      <alignment horizontal="center" vertical="center" textRotation="90" wrapText="1"/>
      <protection hidden="1"/>
    </xf>
    <xf numFmtId="4" fontId="7" fillId="0" borderId="11" xfId="0" applyNumberFormat="1" applyFont="1" applyBorder="1"/>
    <xf numFmtId="0" fontId="22" fillId="0" borderId="0" xfId="0" applyFont="1"/>
    <xf numFmtId="4" fontId="22" fillId="0" borderId="92" xfId="0" applyNumberFormat="1" applyFont="1" applyBorder="1"/>
    <xf numFmtId="0" fontId="67" fillId="0" borderId="0" xfId="0" applyFont="1" applyAlignment="1" applyProtection="1">
      <alignment horizontal="center"/>
      <protection hidden="1"/>
    </xf>
    <xf numFmtId="0" fontId="38" fillId="0" borderId="0" xfId="0" applyFont="1" applyProtection="1">
      <protection hidden="1"/>
    </xf>
    <xf numFmtId="0" fontId="54" fillId="0" borderId="0" xfId="0" applyFont="1" applyProtection="1">
      <protection hidden="1"/>
    </xf>
    <xf numFmtId="0" fontId="1" fillId="0" borderId="0" xfId="0" applyFont="1" applyProtection="1">
      <protection hidden="1"/>
    </xf>
    <xf numFmtId="0" fontId="38" fillId="0" borderId="0" xfId="0" applyFont="1" applyAlignment="1" applyProtection="1">
      <alignment horizontal="center"/>
      <protection hidden="1"/>
    </xf>
    <xf numFmtId="0" fontId="5" fillId="0" borderId="0" xfId="0" applyFont="1" applyAlignment="1" applyProtection="1">
      <alignment horizontal="right"/>
      <protection locked="0"/>
    </xf>
    <xf numFmtId="0" fontId="5" fillId="0" borderId="0" xfId="0" applyFont="1" applyAlignment="1" applyProtection="1">
      <alignment vertical="center" wrapText="1"/>
      <protection hidden="1"/>
    </xf>
    <xf numFmtId="0" fontId="5" fillId="0" borderId="25" xfId="0" applyFont="1" applyBorder="1" applyAlignment="1" applyProtection="1">
      <alignment horizontal="center" vertical="center"/>
      <protection hidden="1"/>
    </xf>
    <xf numFmtId="0" fontId="5" fillId="0" borderId="27" xfId="0" applyFont="1" applyBorder="1" applyAlignment="1" applyProtection="1">
      <alignment horizontal="center" vertical="center"/>
      <protection hidden="1"/>
    </xf>
    <xf numFmtId="0" fontId="5" fillId="0" borderId="93" xfId="0" applyFont="1" applyBorder="1" applyAlignment="1" applyProtection="1">
      <alignment horizontal="center" vertical="center"/>
      <protection hidden="1"/>
    </xf>
    <xf numFmtId="3" fontId="2" fillId="5" borderId="66" xfId="0" applyNumberFormat="1" applyFont="1" applyFill="1" applyBorder="1" applyAlignment="1" applyProtection="1">
      <alignment horizontal="center"/>
      <protection hidden="1"/>
    </xf>
    <xf numFmtId="0" fontId="28" fillId="4" borderId="0" xfId="0" applyFont="1" applyFill="1" applyProtection="1">
      <protection locked="0"/>
    </xf>
    <xf numFmtId="0" fontId="25" fillId="0" borderId="26" xfId="0" applyFont="1" applyBorder="1" applyAlignment="1" applyProtection="1">
      <alignment vertical="center" wrapText="1"/>
      <protection hidden="1"/>
    </xf>
    <xf numFmtId="0" fontId="25" fillId="0" borderId="27" xfId="0" applyFont="1" applyBorder="1" applyAlignment="1" applyProtection="1">
      <alignment vertical="center" wrapText="1"/>
      <protection hidden="1"/>
    </xf>
    <xf numFmtId="0" fontId="0" fillId="0" borderId="0" xfId="0" applyAlignment="1" applyProtection="1">
      <alignment horizontal="left"/>
      <protection hidden="1"/>
    </xf>
    <xf numFmtId="0" fontId="25" fillId="0" borderId="26" xfId="0" applyFont="1" applyBorder="1" applyAlignment="1" applyProtection="1">
      <alignment horizontal="center" vertical="center"/>
      <protection hidden="1"/>
    </xf>
    <xf numFmtId="0" fontId="25" fillId="0" borderId="27" xfId="0" applyFont="1" applyBorder="1" applyAlignment="1" applyProtection="1">
      <alignment horizontal="center" vertical="center"/>
      <protection hidden="1"/>
    </xf>
    <xf numFmtId="0" fontId="28" fillId="0" borderId="0" xfId="0" applyFont="1" applyAlignment="1" applyProtection="1">
      <alignment horizontal="left"/>
      <protection hidden="1"/>
    </xf>
    <xf numFmtId="0" fontId="29" fillId="0" borderId="0" xfId="0" applyFont="1" applyAlignment="1" applyProtection="1">
      <alignment horizontal="left"/>
      <protection hidden="1"/>
    </xf>
    <xf numFmtId="0" fontId="15" fillId="0" borderId="0" xfId="0" applyFont="1" applyAlignment="1" applyProtection="1">
      <alignment horizontal="left"/>
      <protection hidden="1"/>
    </xf>
    <xf numFmtId="0" fontId="28" fillId="0" borderId="0" xfId="0" applyFont="1" applyAlignment="1" applyProtection="1">
      <alignment horizontal="left" vertical="center"/>
      <protection hidden="1"/>
    </xf>
    <xf numFmtId="0" fontId="28" fillId="0" borderId="24" xfId="0" applyFont="1" applyBorder="1" applyAlignment="1" applyProtection="1">
      <alignment horizontal="left" vertical="center"/>
      <protection hidden="1"/>
    </xf>
    <xf numFmtId="0" fontId="29" fillId="0" borderId="31" xfId="0" applyFont="1" applyBorder="1" applyAlignment="1" applyProtection="1">
      <alignment horizontal="left" vertical="center"/>
      <protection hidden="1"/>
    </xf>
    <xf numFmtId="0" fontId="15" fillId="0" borderId="31" xfId="0" applyFont="1" applyBorder="1" applyAlignment="1" applyProtection="1">
      <alignment horizontal="left" vertical="center"/>
      <protection hidden="1"/>
    </xf>
    <xf numFmtId="0" fontId="29" fillId="0" borderId="0" xfId="0" applyFont="1" applyAlignment="1" applyProtection="1">
      <alignment horizontal="left" vertical="center"/>
      <protection hidden="1"/>
    </xf>
    <xf numFmtId="0" fontId="15" fillId="0" borderId="0" xfId="0" applyFont="1" applyAlignment="1" applyProtection="1">
      <alignment horizontal="left" vertical="center"/>
      <protection hidden="1"/>
    </xf>
    <xf numFmtId="0" fontId="28" fillId="0" borderId="94" xfId="0" applyFont="1" applyBorder="1" applyAlignment="1" applyProtection="1">
      <alignment horizontal="left" vertical="center"/>
      <protection hidden="1"/>
    </xf>
    <xf numFmtId="0" fontId="29" fillId="0" borderId="32" xfId="0" applyFont="1" applyBorder="1" applyAlignment="1" applyProtection="1">
      <alignment horizontal="left" vertical="center"/>
      <protection hidden="1"/>
    </xf>
    <xf numFmtId="0" fontId="15" fillId="0" borderId="32" xfId="0" applyFont="1" applyBorder="1" applyAlignment="1" applyProtection="1">
      <alignment horizontal="left" vertical="center"/>
      <protection hidden="1"/>
    </xf>
    <xf numFmtId="0" fontId="15" fillId="4" borderId="0" xfId="0" applyFont="1" applyFill="1" applyAlignment="1" applyProtection="1">
      <alignment horizontal="left"/>
      <protection locked="0"/>
    </xf>
    <xf numFmtId="0" fontId="54" fillId="0" borderId="0" xfId="0" applyFont="1" applyAlignment="1" applyProtection="1">
      <alignment vertical="center"/>
      <protection hidden="1"/>
    </xf>
    <xf numFmtId="0" fontId="1" fillId="0" borderId="0" xfId="0" applyFont="1" applyAlignment="1" applyProtection="1">
      <alignment vertical="center"/>
      <protection hidden="1"/>
    </xf>
    <xf numFmtId="0" fontId="38" fillId="0" borderId="0" xfId="0" applyFont="1" applyAlignment="1" applyProtection="1">
      <alignment vertical="center"/>
      <protection hidden="1"/>
    </xf>
    <xf numFmtId="0" fontId="16" fillId="0" borderId="0" xfId="0" applyFont="1" applyAlignment="1" applyProtection="1">
      <alignment vertical="center" wrapText="1"/>
      <protection hidden="1"/>
    </xf>
    <xf numFmtId="0" fontId="4" fillId="3" borderId="59" xfId="0" applyFont="1" applyFill="1" applyBorder="1" applyAlignment="1" applyProtection="1">
      <alignment horizontal="center" vertical="center" wrapText="1"/>
      <protection hidden="1"/>
    </xf>
    <xf numFmtId="0" fontId="10" fillId="0" borderId="0" xfId="0" applyFont="1"/>
    <xf numFmtId="0" fontId="10" fillId="0" borderId="32" xfId="0" applyFont="1" applyBorder="1"/>
    <xf numFmtId="0" fontId="0" fillId="0" borderId="32" xfId="0" applyBorder="1"/>
    <xf numFmtId="0" fontId="13" fillId="0" borderId="95" xfId="0" applyFont="1" applyBorder="1"/>
    <xf numFmtId="0" fontId="13" fillId="0" borderId="32" xfId="0" applyFont="1" applyBorder="1"/>
    <xf numFmtId="0" fontId="39" fillId="0" borderId="0" xfId="0" applyFont="1"/>
    <xf numFmtId="4" fontId="44" fillId="13" borderId="58" xfId="0" applyNumberFormat="1" applyFont="1" applyFill="1" applyBorder="1" applyAlignment="1" applyProtection="1">
      <alignment vertical="center"/>
      <protection locked="0"/>
    </xf>
    <xf numFmtId="3" fontId="5" fillId="4" borderId="17" xfId="0" applyNumberFormat="1" applyFont="1" applyFill="1" applyBorder="1" applyProtection="1">
      <protection locked="0"/>
    </xf>
    <xf numFmtId="4" fontId="13" fillId="11" borderId="7" xfId="0" applyNumberFormat="1" applyFont="1" applyFill="1" applyBorder="1" applyProtection="1">
      <protection hidden="1"/>
    </xf>
    <xf numFmtId="4" fontId="7" fillId="4" borderId="96" xfId="0" applyNumberFormat="1" applyFont="1" applyFill="1" applyBorder="1"/>
    <xf numFmtId="4" fontId="7" fillId="0" borderId="33" xfId="0" applyNumberFormat="1" applyFont="1" applyBorder="1"/>
    <xf numFmtId="0" fontId="48" fillId="0" borderId="0" xfId="0" applyFont="1"/>
    <xf numFmtId="4" fontId="27" fillId="0" borderId="0" xfId="0" applyNumberFormat="1" applyFont="1" applyProtection="1">
      <protection hidden="1"/>
    </xf>
    <xf numFmtId="4" fontId="63" fillId="4" borderId="3" xfId="0" applyNumberFormat="1" applyFont="1" applyFill="1" applyBorder="1" applyProtection="1">
      <protection hidden="1"/>
    </xf>
    <xf numFmtId="0" fontId="13" fillId="0" borderId="97" xfId="0" applyFont="1" applyBorder="1" applyAlignment="1" applyProtection="1">
      <alignment horizontal="center" vertical="center" wrapText="1"/>
      <protection hidden="1"/>
    </xf>
    <xf numFmtId="0" fontId="68" fillId="0" borderId="0" xfId="0" applyFont="1" applyProtection="1">
      <protection hidden="1"/>
    </xf>
    <xf numFmtId="0" fontId="13" fillId="0" borderId="55" xfId="0" applyFont="1" applyBorder="1" applyAlignment="1" applyProtection="1">
      <alignment horizontal="center" wrapText="1"/>
      <protection hidden="1"/>
    </xf>
    <xf numFmtId="0" fontId="13" fillId="0" borderId="33" xfId="0" applyFont="1" applyBorder="1" applyAlignment="1" applyProtection="1">
      <alignment horizontal="center" vertical="center" wrapText="1"/>
      <protection hidden="1"/>
    </xf>
    <xf numFmtId="0" fontId="13" fillId="0" borderId="98" xfId="0" applyFont="1" applyBorder="1" applyAlignment="1" applyProtection="1">
      <alignment horizontal="center" vertical="center" wrapText="1"/>
      <protection hidden="1"/>
    </xf>
    <xf numFmtId="0" fontId="13" fillId="0" borderId="55" xfId="0" applyFont="1" applyBorder="1" applyAlignment="1" applyProtection="1">
      <alignment horizontal="center" vertical="center" wrapText="1"/>
      <protection hidden="1"/>
    </xf>
    <xf numFmtId="0" fontId="13" fillId="0" borderId="96" xfId="0" applyFont="1" applyBorder="1" applyAlignment="1" applyProtection="1">
      <alignment horizontal="center" vertical="center" wrapText="1"/>
      <protection hidden="1"/>
    </xf>
    <xf numFmtId="0" fontId="13" fillId="0" borderId="99" xfId="0" applyFont="1" applyBorder="1" applyAlignment="1" applyProtection="1">
      <alignment horizontal="center" vertical="center" wrapText="1"/>
      <protection hidden="1"/>
    </xf>
    <xf numFmtId="0" fontId="6" fillId="0" borderId="0" xfId="0" applyFont="1" applyAlignment="1" applyProtection="1">
      <alignment horizontal="center" wrapText="1"/>
      <protection hidden="1"/>
    </xf>
    <xf numFmtId="0" fontId="6" fillId="0" borderId="0" xfId="0" applyFont="1" applyAlignment="1" applyProtection="1">
      <alignment horizontal="center" vertical="center"/>
      <protection hidden="1"/>
    </xf>
    <xf numFmtId="4" fontId="6" fillId="0" borderId="0" xfId="0" quotePrefix="1" applyNumberFormat="1" applyFont="1" applyProtection="1">
      <protection hidden="1"/>
    </xf>
    <xf numFmtId="0" fontId="6" fillId="0" borderId="0" xfId="0" applyFont="1" applyAlignment="1" applyProtection="1">
      <alignment wrapText="1"/>
      <protection hidden="1"/>
    </xf>
    <xf numFmtId="4" fontId="6" fillId="0" borderId="0" xfId="0" applyNumberFormat="1" applyFont="1" applyProtection="1">
      <protection hidden="1"/>
    </xf>
    <xf numFmtId="0" fontId="13" fillId="0" borderId="64" xfId="0" applyFont="1" applyBorder="1" applyAlignment="1" applyProtection="1">
      <alignment horizontal="center" vertical="center" wrapText="1"/>
      <protection hidden="1"/>
    </xf>
    <xf numFmtId="0" fontId="6" fillId="0" borderId="100" xfId="0" applyFont="1" applyBorder="1" applyAlignment="1" applyProtection="1">
      <alignment horizontal="center" vertical="center"/>
      <protection hidden="1"/>
    </xf>
    <xf numFmtId="0" fontId="13" fillId="0" borderId="101" xfId="0" applyFont="1" applyBorder="1" applyAlignment="1" applyProtection="1">
      <alignment horizontal="center" vertical="center" wrapText="1"/>
      <protection hidden="1"/>
    </xf>
    <xf numFmtId="0" fontId="31" fillId="0" borderId="102" xfId="0" applyFont="1" applyBorder="1" applyAlignment="1" applyProtection="1">
      <alignment horizontal="center" vertical="center" wrapText="1"/>
      <protection hidden="1"/>
    </xf>
    <xf numFmtId="0" fontId="6" fillId="0" borderId="92" xfId="0" applyFont="1" applyBorder="1" applyAlignment="1" applyProtection="1">
      <alignment horizontal="center" vertical="center"/>
      <protection hidden="1"/>
    </xf>
    <xf numFmtId="4" fontId="14" fillId="11" borderId="2" xfId="0" applyNumberFormat="1" applyFont="1" applyFill="1" applyBorder="1" applyAlignment="1" applyProtection="1">
      <alignment horizontal="center"/>
      <protection hidden="1"/>
    </xf>
    <xf numFmtId="4" fontId="13" fillId="11" borderId="2" xfId="0" applyNumberFormat="1" applyFont="1" applyFill="1" applyBorder="1" applyProtection="1">
      <protection hidden="1"/>
    </xf>
    <xf numFmtId="0" fontId="6" fillId="0" borderId="70" xfId="0" applyFont="1" applyBorder="1" applyAlignment="1" applyProtection="1">
      <alignment horizontal="center" vertical="center"/>
      <protection hidden="1"/>
    </xf>
    <xf numFmtId="4" fontId="14" fillId="11" borderId="5" xfId="0" applyNumberFormat="1" applyFont="1" applyFill="1" applyBorder="1" applyAlignment="1" applyProtection="1">
      <alignment horizontal="center"/>
      <protection hidden="1"/>
    </xf>
    <xf numFmtId="172" fontId="31" fillId="0" borderId="9" xfId="0" applyNumberFormat="1" applyFont="1" applyBorder="1" applyAlignment="1" applyProtection="1">
      <alignment horizontal="center" vertical="center" wrapText="1"/>
      <protection hidden="1"/>
    </xf>
    <xf numFmtId="0" fontId="6" fillId="0" borderId="103" xfId="0" applyFont="1" applyBorder="1" applyAlignment="1" applyProtection="1">
      <alignment horizontal="center" vertical="center"/>
      <protection hidden="1"/>
    </xf>
    <xf numFmtId="0" fontId="61" fillId="0" borderId="0" xfId="0" applyFont="1" applyAlignment="1" applyProtection="1">
      <alignment horizontal="left"/>
      <protection hidden="1"/>
    </xf>
    <xf numFmtId="167" fontId="61" fillId="0" borderId="0" xfId="0" applyNumberFormat="1" applyFont="1" applyProtection="1">
      <protection hidden="1"/>
    </xf>
    <xf numFmtId="2" fontId="61" fillId="0" borderId="0" xfId="0" applyNumberFormat="1" applyFont="1" applyProtection="1">
      <protection hidden="1"/>
    </xf>
    <xf numFmtId="4" fontId="13" fillId="0" borderId="31" xfId="0" applyNumberFormat="1" applyFont="1" applyBorder="1" applyAlignment="1" applyProtection="1">
      <alignment horizontal="center"/>
      <protection hidden="1"/>
    </xf>
    <xf numFmtId="0" fontId="6" fillId="0" borderId="0" xfId="0" applyFont="1" applyAlignment="1" applyProtection="1">
      <alignment horizontal="center"/>
      <protection hidden="1"/>
    </xf>
    <xf numFmtId="0" fontId="69" fillId="0" borderId="0" xfId="0" applyFont="1" applyAlignment="1" applyProtection="1">
      <alignment horizontal="left"/>
      <protection hidden="1"/>
    </xf>
    <xf numFmtId="0" fontId="70" fillId="0" borderId="0" xfId="0" applyFont="1" applyAlignment="1" applyProtection="1">
      <alignment horizontal="left"/>
      <protection hidden="1"/>
    </xf>
    <xf numFmtId="0" fontId="55" fillId="0" borderId="0" xfId="0" applyFont="1" applyAlignment="1" applyProtection="1">
      <alignment horizontal="left"/>
      <protection hidden="1"/>
    </xf>
    <xf numFmtId="0" fontId="71" fillId="0" borderId="0" xfId="0" applyFont="1" applyProtection="1">
      <protection hidden="1"/>
    </xf>
    <xf numFmtId="0" fontId="72" fillId="0" borderId="0" xfId="0" applyFont="1" applyProtection="1">
      <protection hidden="1"/>
    </xf>
    <xf numFmtId="0" fontId="13" fillId="0" borderId="31" xfId="0" applyFont="1" applyBorder="1" applyAlignment="1">
      <alignment horizontal="center" vertical="center" wrapText="1"/>
    </xf>
    <xf numFmtId="0" fontId="41" fillId="14" borderId="0" xfId="0" applyFont="1" applyFill="1"/>
    <xf numFmtId="0" fontId="63" fillId="0" borderId="0" xfId="0" applyFont="1" applyAlignment="1" applyProtection="1">
      <alignment horizontal="center"/>
      <protection hidden="1"/>
    </xf>
    <xf numFmtId="14" fontId="6" fillId="0" borderId="0" xfId="0" applyNumberFormat="1" applyFont="1" applyAlignment="1" applyProtection="1">
      <alignment horizontal="center"/>
      <protection hidden="1"/>
    </xf>
    <xf numFmtId="0" fontId="7" fillId="0" borderId="0" xfId="0" applyFont="1" applyAlignment="1" applyProtection="1">
      <alignment horizontal="center"/>
      <protection hidden="1"/>
    </xf>
    <xf numFmtId="0" fontId="7" fillId="0" borderId="0" xfId="0" applyFont="1" applyAlignment="1" applyProtection="1">
      <alignment horizontal="center" wrapText="1"/>
      <protection hidden="1"/>
    </xf>
    <xf numFmtId="4" fontId="13" fillId="0" borderId="18" xfId="0" applyNumberFormat="1" applyFont="1" applyBorder="1" applyProtection="1">
      <protection hidden="1"/>
    </xf>
    <xf numFmtId="4" fontId="13" fillId="0" borderId="20" xfId="0" applyNumberFormat="1" applyFont="1" applyBorder="1" applyProtection="1">
      <protection hidden="1"/>
    </xf>
    <xf numFmtId="0" fontId="13" fillId="0" borderId="21" xfId="0" applyFont="1" applyBorder="1" applyProtection="1">
      <protection hidden="1"/>
    </xf>
    <xf numFmtId="0" fontId="13" fillId="0" borderId="0" xfId="0" applyFont="1" applyAlignment="1">
      <alignment vertical="center"/>
    </xf>
    <xf numFmtId="0" fontId="41" fillId="18" borderId="0" xfId="0" applyFont="1" applyFill="1" applyAlignment="1">
      <alignment vertical="center"/>
    </xf>
    <xf numFmtId="0" fontId="41" fillId="18" borderId="0" xfId="0" applyFont="1" applyFill="1" applyAlignment="1">
      <alignment horizontal="center" vertical="center" wrapText="1"/>
    </xf>
    <xf numFmtId="0" fontId="41" fillId="18" borderId="0" xfId="0" applyFont="1" applyFill="1" applyAlignment="1">
      <alignment horizontal="center" vertical="center"/>
    </xf>
    <xf numFmtId="4" fontId="41" fillId="18" borderId="0" xfId="0" applyNumberFormat="1" applyFont="1" applyFill="1" applyAlignment="1">
      <alignment vertical="center"/>
    </xf>
    <xf numFmtId="4" fontId="31" fillId="2" borderId="104" xfId="0" applyNumberFormat="1" applyFont="1" applyFill="1" applyBorder="1" applyAlignment="1">
      <alignment vertical="center"/>
    </xf>
    <xf numFmtId="0" fontId="28" fillId="4" borderId="0" xfId="0" applyFont="1" applyFill="1" applyAlignment="1" applyProtection="1">
      <alignment horizontal="left"/>
      <protection hidden="1"/>
    </xf>
    <xf numFmtId="0" fontId="29" fillId="4" borderId="0" xfId="0" applyFont="1" applyFill="1" applyAlignment="1" applyProtection="1">
      <alignment horizontal="left"/>
      <protection hidden="1"/>
    </xf>
    <xf numFmtId="4" fontId="65" fillId="2" borderId="105" xfId="0" applyNumberFormat="1" applyFont="1" applyFill="1" applyBorder="1" applyAlignment="1">
      <alignment horizontal="center" vertical="center"/>
    </xf>
    <xf numFmtId="0" fontId="5" fillId="0" borderId="0" xfId="0" quotePrefix="1" applyFont="1" applyAlignment="1" applyProtection="1">
      <alignment horizontal="center" vertical="center"/>
      <protection hidden="1"/>
    </xf>
    <xf numFmtId="4" fontId="27" fillId="0" borderId="0" xfId="0" applyNumberFormat="1" applyFont="1" applyAlignment="1" applyProtection="1">
      <alignment horizontal="center" vertical="center" wrapText="1"/>
      <protection locked="0"/>
    </xf>
    <xf numFmtId="0" fontId="42" fillId="0" borderId="0" xfId="0" quotePrefix="1" applyFont="1" applyAlignment="1" applyProtection="1">
      <alignment horizontal="center" vertical="center"/>
      <protection hidden="1"/>
    </xf>
    <xf numFmtId="0" fontId="42" fillId="0" borderId="0" xfId="0" applyFont="1" applyAlignment="1" applyProtection="1">
      <alignment horizontal="left"/>
      <protection hidden="1"/>
    </xf>
    <xf numFmtId="0" fontId="13" fillId="0" borderId="32" xfId="0" applyFont="1" applyBorder="1" applyAlignment="1">
      <alignment horizontal="center" vertical="center" wrapText="1"/>
    </xf>
    <xf numFmtId="4" fontId="13" fillId="0" borderId="43" xfId="0" applyNumberFormat="1" applyFont="1" applyBorder="1" applyAlignment="1" applyProtection="1">
      <alignment horizontal="center" vertical="top"/>
      <protection hidden="1"/>
    </xf>
    <xf numFmtId="0" fontId="61" fillId="0" borderId="0" xfId="0" applyFont="1" applyAlignment="1" applyProtection="1">
      <alignment horizontal="center"/>
      <protection hidden="1"/>
    </xf>
    <xf numFmtId="0" fontId="13" fillId="0" borderId="106" xfId="0" applyFont="1" applyBorder="1" applyAlignment="1" applyProtection="1">
      <alignment horizontal="center" vertical="center"/>
      <protection hidden="1"/>
    </xf>
    <xf numFmtId="0" fontId="13" fillId="13" borderId="107" xfId="0" applyFont="1" applyFill="1" applyBorder="1" applyAlignment="1" applyProtection="1">
      <alignment horizontal="center" vertical="center" wrapText="1"/>
      <protection hidden="1"/>
    </xf>
    <xf numFmtId="0" fontId="13" fillId="12" borderId="31" xfId="0" applyFont="1" applyFill="1" applyBorder="1" applyAlignment="1" applyProtection="1">
      <alignment horizontal="center" vertical="center"/>
      <protection hidden="1"/>
    </xf>
    <xf numFmtId="0" fontId="13" fillId="0" borderId="108" xfId="0" applyFont="1" applyBorder="1" applyAlignment="1" applyProtection="1">
      <alignment horizontal="center" vertical="center"/>
      <protection hidden="1"/>
    </xf>
    <xf numFmtId="0" fontId="13" fillId="0" borderId="109" xfId="0" applyFont="1" applyBorder="1" applyAlignment="1" applyProtection="1">
      <alignment horizontal="center" vertical="center"/>
      <protection hidden="1"/>
    </xf>
    <xf numFmtId="4" fontId="13" fillId="0" borderId="25" xfId="0" applyNumberFormat="1" applyFont="1" applyBorder="1" applyAlignment="1" applyProtection="1">
      <alignment horizontal="center" vertical="center"/>
      <protection hidden="1"/>
    </xf>
    <xf numFmtId="0" fontId="6" fillId="0" borderId="110" xfId="0" applyFont="1" applyBorder="1" applyAlignment="1" applyProtection="1">
      <alignment horizontal="center"/>
      <protection hidden="1"/>
    </xf>
    <xf numFmtId="3" fontId="13" fillId="13" borderId="4" xfId="0" applyNumberFormat="1" applyFont="1" applyFill="1" applyBorder="1" applyAlignment="1" applyProtection="1">
      <alignment horizontal="center"/>
      <protection hidden="1"/>
    </xf>
    <xf numFmtId="3" fontId="13" fillId="12" borderId="111" xfId="0" applyNumberFormat="1" applyFont="1" applyFill="1" applyBorder="1" applyAlignment="1" applyProtection="1">
      <alignment horizontal="center"/>
      <protection hidden="1"/>
    </xf>
    <xf numFmtId="3" fontId="13" fillId="0" borderId="112" xfId="0" applyNumberFormat="1" applyFont="1" applyBorder="1" applyAlignment="1" applyProtection="1">
      <alignment horizontal="center"/>
      <protection hidden="1"/>
    </xf>
    <xf numFmtId="3" fontId="13" fillId="0" borderId="4" xfId="0" applyNumberFormat="1" applyFont="1" applyBorder="1" applyAlignment="1" applyProtection="1">
      <alignment horizontal="center"/>
      <protection hidden="1"/>
    </xf>
    <xf numFmtId="3" fontId="13" fillId="0" borderId="113" xfId="0" applyNumberFormat="1" applyFont="1" applyBorder="1" applyAlignment="1" applyProtection="1">
      <alignment horizontal="center"/>
      <protection hidden="1"/>
    </xf>
    <xf numFmtId="0" fontId="6" fillId="0" borderId="110" xfId="0" applyFont="1" applyBorder="1" applyProtection="1">
      <protection hidden="1"/>
    </xf>
    <xf numFmtId="0" fontId="13" fillId="0" borderId="114" xfId="0" applyFont="1" applyBorder="1" applyAlignment="1" applyProtection="1">
      <alignment horizontal="center"/>
      <protection hidden="1"/>
    </xf>
    <xf numFmtId="0" fontId="13" fillId="0" borderId="111" xfId="0" applyFont="1" applyBorder="1" applyAlignment="1" applyProtection="1">
      <alignment horizontal="right"/>
      <protection hidden="1"/>
    </xf>
    <xf numFmtId="0" fontId="13" fillId="0" borderId="112" xfId="0" applyFont="1" applyBorder="1" applyAlignment="1" applyProtection="1">
      <alignment horizontal="right"/>
      <protection hidden="1"/>
    </xf>
    <xf numFmtId="0" fontId="13" fillId="0" borderId="4" xfId="0" applyFont="1" applyBorder="1" applyAlignment="1" applyProtection="1">
      <alignment horizontal="right"/>
      <protection hidden="1"/>
    </xf>
    <xf numFmtId="4" fontId="13" fillId="0" borderId="113" xfId="0" applyNumberFormat="1" applyFont="1" applyBorder="1" applyAlignment="1" applyProtection="1">
      <alignment horizontal="center"/>
      <protection hidden="1"/>
    </xf>
    <xf numFmtId="0" fontId="74" fillId="0" borderId="115" xfId="0" applyFont="1" applyBorder="1" applyAlignment="1" applyProtection="1">
      <alignment horizontal="left"/>
      <protection hidden="1"/>
    </xf>
    <xf numFmtId="0" fontId="6" fillId="0" borderId="115" xfId="0" applyFont="1" applyBorder="1" applyProtection="1">
      <protection hidden="1"/>
    </xf>
    <xf numFmtId="4" fontId="27" fillId="11" borderId="116" xfId="0" applyNumberFormat="1" applyFont="1" applyFill="1" applyBorder="1" applyAlignment="1" applyProtection="1">
      <alignment horizontal="center"/>
      <protection hidden="1"/>
    </xf>
    <xf numFmtId="4" fontId="6" fillId="12" borderId="6" xfId="0" applyNumberFormat="1" applyFont="1" applyFill="1" applyBorder="1" applyAlignment="1" applyProtection="1">
      <alignment horizontal="right"/>
      <protection hidden="1"/>
    </xf>
    <xf numFmtId="4" fontId="6" fillId="0" borderId="15" xfId="0" applyNumberFormat="1" applyFont="1" applyBorder="1" applyAlignment="1" applyProtection="1">
      <alignment horizontal="right"/>
      <protection hidden="1"/>
    </xf>
    <xf numFmtId="4" fontId="6" fillId="0" borderId="117" xfId="0" applyNumberFormat="1" applyFont="1" applyBorder="1" applyAlignment="1" applyProtection="1">
      <alignment horizontal="right"/>
      <protection hidden="1"/>
    </xf>
    <xf numFmtId="4" fontId="13" fillId="0" borderId="79" xfId="0" applyNumberFormat="1" applyFont="1" applyBorder="1" applyAlignment="1" applyProtection="1">
      <alignment horizontal="right"/>
      <protection hidden="1"/>
    </xf>
    <xf numFmtId="0" fontId="74" fillId="0" borderId="115" xfId="0" applyFont="1" applyBorder="1" applyAlignment="1" applyProtection="1">
      <alignment horizontal="left" vertical="center"/>
      <protection hidden="1"/>
    </xf>
    <xf numFmtId="0" fontId="6" fillId="0" borderId="118" xfId="0" applyFont="1" applyBorder="1" applyAlignment="1" applyProtection="1">
      <alignment vertical="center" wrapText="1"/>
      <protection hidden="1"/>
    </xf>
    <xf numFmtId="4" fontId="27" fillId="11" borderId="46" xfId="0" applyNumberFormat="1" applyFont="1" applyFill="1" applyBorder="1" applyAlignment="1" applyProtection="1">
      <alignment horizontal="right" vertical="center"/>
      <protection hidden="1"/>
    </xf>
    <xf numFmtId="4" fontId="27" fillId="11" borderId="29" xfId="0" applyNumberFormat="1" applyFont="1" applyFill="1" applyBorder="1" applyAlignment="1" applyProtection="1">
      <alignment horizontal="right" vertical="center"/>
      <protection hidden="1"/>
    </xf>
    <xf numFmtId="4" fontId="6" fillId="11" borderId="116" xfId="0" applyNumberFormat="1" applyFont="1" applyFill="1" applyBorder="1" applyAlignment="1" applyProtection="1">
      <alignment horizontal="right" vertical="center"/>
      <protection hidden="1"/>
    </xf>
    <xf numFmtId="4" fontId="13" fillId="0" borderId="79" xfId="0" applyNumberFormat="1" applyFont="1" applyBorder="1" applyAlignment="1" applyProtection="1">
      <alignment horizontal="right" vertical="center"/>
      <protection hidden="1"/>
    </xf>
    <xf numFmtId="4" fontId="27" fillId="11" borderId="116" xfId="0" applyNumberFormat="1" applyFont="1" applyFill="1" applyBorder="1" applyAlignment="1" applyProtection="1">
      <alignment horizontal="center" vertical="center"/>
      <protection hidden="1"/>
    </xf>
    <xf numFmtId="4" fontId="6" fillId="0" borderId="116" xfId="0" applyNumberFormat="1" applyFont="1" applyBorder="1" applyAlignment="1" applyProtection="1">
      <alignment horizontal="right" vertical="center"/>
      <protection hidden="1"/>
    </xf>
    <xf numFmtId="4" fontId="6" fillId="12" borderId="3" xfId="0" applyNumberFormat="1" applyFont="1" applyFill="1" applyBorder="1" applyAlignment="1" applyProtection="1">
      <alignment horizontal="right" vertical="center"/>
      <protection hidden="1"/>
    </xf>
    <xf numFmtId="4" fontId="6" fillId="0" borderId="29" xfId="0" applyNumberFormat="1" applyFont="1" applyBorder="1" applyAlignment="1" applyProtection="1">
      <alignment horizontal="right" vertical="center"/>
      <protection hidden="1"/>
    </xf>
    <xf numFmtId="0" fontId="6" fillId="0" borderId="118" xfId="0" applyFont="1" applyBorder="1" applyProtection="1">
      <protection hidden="1"/>
    </xf>
    <xf numFmtId="4" fontId="6" fillId="12" borderId="3" xfId="0" applyNumberFormat="1" applyFont="1" applyFill="1" applyBorder="1" applyAlignment="1" applyProtection="1">
      <alignment horizontal="right"/>
      <protection hidden="1"/>
    </xf>
    <xf numFmtId="4" fontId="6" fillId="0" borderId="29" xfId="0" applyNumberFormat="1" applyFont="1" applyBorder="1" applyAlignment="1" applyProtection="1">
      <alignment horizontal="right"/>
      <protection hidden="1"/>
    </xf>
    <xf numFmtId="4" fontId="6" fillId="11" borderId="116" xfId="0" applyNumberFormat="1" applyFont="1" applyFill="1" applyBorder="1" applyAlignment="1" applyProtection="1">
      <alignment horizontal="right"/>
      <protection hidden="1"/>
    </xf>
    <xf numFmtId="4" fontId="27" fillId="11" borderId="46" xfId="0" applyNumberFormat="1" applyFont="1" applyFill="1" applyBorder="1" applyAlignment="1" applyProtection="1">
      <alignment horizontal="right"/>
      <protection hidden="1"/>
    </xf>
    <xf numFmtId="4" fontId="27" fillId="11" borderId="29" xfId="0" applyNumberFormat="1" applyFont="1" applyFill="1" applyBorder="1" applyAlignment="1" applyProtection="1">
      <alignment horizontal="right"/>
      <protection hidden="1"/>
    </xf>
    <xf numFmtId="4" fontId="6" fillId="0" borderId="116" xfId="0" applyNumberFormat="1" applyFont="1" applyBorder="1" applyAlignment="1" applyProtection="1">
      <alignment horizontal="right"/>
      <protection hidden="1"/>
    </xf>
    <xf numFmtId="0" fontId="72" fillId="0" borderId="118" xfId="0" applyFont="1" applyBorder="1" applyProtection="1">
      <protection hidden="1"/>
    </xf>
    <xf numFmtId="0" fontId="31" fillId="0" borderId="115" xfId="0" applyFont="1" applyBorder="1" applyAlignment="1" applyProtection="1">
      <alignment horizontal="left" vertical="center"/>
      <protection hidden="1"/>
    </xf>
    <xf numFmtId="0" fontId="31" fillId="0" borderId="118" xfId="0" applyFont="1" applyBorder="1" applyAlignment="1" applyProtection="1">
      <alignment vertical="center" wrapText="1"/>
      <protection hidden="1"/>
    </xf>
    <xf numFmtId="4" fontId="31" fillId="11" borderId="116" xfId="0" applyNumberFormat="1" applyFont="1" applyFill="1" applyBorder="1" applyAlignment="1" applyProtection="1">
      <alignment horizontal="center"/>
      <protection hidden="1"/>
    </xf>
    <xf numFmtId="4" fontId="27" fillId="0" borderId="29" xfId="0" applyNumberFormat="1" applyFont="1" applyBorder="1" applyAlignment="1" applyProtection="1">
      <alignment horizontal="right" vertical="center"/>
      <protection hidden="1"/>
    </xf>
    <xf numFmtId="4" fontId="27" fillId="0" borderId="116" xfId="0" applyNumberFormat="1" applyFont="1" applyBorder="1" applyAlignment="1" applyProtection="1">
      <alignment horizontal="right" vertical="center"/>
      <protection hidden="1"/>
    </xf>
    <xf numFmtId="0" fontId="31" fillId="0" borderId="115" xfId="0" applyFont="1" applyBorder="1" applyAlignment="1" applyProtection="1">
      <alignment horizontal="left"/>
      <protection hidden="1"/>
    </xf>
    <xf numFmtId="0" fontId="31" fillId="0" borderId="118" xfId="0" applyFont="1" applyBorder="1" applyProtection="1">
      <protection hidden="1"/>
    </xf>
    <xf numFmtId="4" fontId="27" fillId="12" borderId="3" xfId="0" applyNumberFormat="1" applyFont="1" applyFill="1" applyBorder="1" applyAlignment="1" applyProtection="1">
      <alignment horizontal="right"/>
      <protection hidden="1"/>
    </xf>
    <xf numFmtId="4" fontId="27" fillId="0" borderId="29" xfId="0" applyNumberFormat="1" applyFont="1" applyBorder="1" applyAlignment="1" applyProtection="1">
      <alignment horizontal="right"/>
      <protection hidden="1"/>
    </xf>
    <xf numFmtId="4" fontId="27" fillId="0" borderId="116" xfId="0" applyNumberFormat="1" applyFont="1" applyBorder="1" applyAlignment="1" applyProtection="1">
      <alignment horizontal="right"/>
      <protection hidden="1"/>
    </xf>
    <xf numFmtId="0" fontId="74" fillId="11" borderId="115" xfId="0" applyFont="1" applyFill="1" applyBorder="1" applyAlignment="1" applyProtection="1">
      <alignment horizontal="left" vertical="center"/>
      <protection hidden="1"/>
    </xf>
    <xf numFmtId="0" fontId="75" fillId="11" borderId="118" xfId="0" applyFont="1" applyFill="1" applyBorder="1" applyAlignment="1" applyProtection="1">
      <alignment vertical="center" wrapText="1"/>
      <protection hidden="1"/>
    </xf>
    <xf numFmtId="4" fontId="75" fillId="11" borderId="116" xfId="0" applyNumberFormat="1" applyFont="1" applyFill="1" applyBorder="1" applyAlignment="1" applyProtection="1">
      <alignment horizontal="center" vertical="center"/>
      <protection hidden="1"/>
    </xf>
    <xf numFmtId="4" fontId="76" fillId="11" borderId="3" xfId="0" applyNumberFormat="1" applyFont="1" applyFill="1" applyBorder="1" applyAlignment="1" applyProtection="1">
      <alignment horizontal="right" vertical="center"/>
      <protection hidden="1"/>
    </xf>
    <xf numFmtId="4" fontId="76" fillId="11" borderId="29" xfId="0" applyNumberFormat="1" applyFont="1" applyFill="1" applyBorder="1" applyAlignment="1" applyProtection="1">
      <alignment horizontal="right" vertical="center"/>
      <protection hidden="1"/>
    </xf>
    <xf numFmtId="4" fontId="75" fillId="11" borderId="116" xfId="0" applyNumberFormat="1" applyFont="1" applyFill="1" applyBorder="1" applyAlignment="1" applyProtection="1">
      <alignment horizontal="right" vertical="center"/>
      <protection hidden="1"/>
    </xf>
    <xf numFmtId="4" fontId="13" fillId="19" borderId="79" xfId="0" applyNumberFormat="1" applyFont="1" applyFill="1" applyBorder="1" applyAlignment="1" applyProtection="1">
      <alignment horizontal="right" vertical="center"/>
      <protection hidden="1"/>
    </xf>
    <xf numFmtId="0" fontId="74" fillId="0" borderId="115" xfId="0" applyFont="1" applyBorder="1" applyAlignment="1" applyProtection="1">
      <alignment horizontal="left" vertical="center" wrapText="1"/>
      <protection hidden="1"/>
    </xf>
    <xf numFmtId="4" fontId="6" fillId="13" borderId="116" xfId="0" applyNumberFormat="1" applyFont="1" applyFill="1" applyBorder="1" applyAlignment="1" applyProtection="1">
      <alignment vertical="center" wrapText="1"/>
      <protection hidden="1"/>
    </xf>
    <xf numFmtId="4" fontId="6" fillId="12" borderId="3" xfId="0" applyNumberFormat="1" applyFont="1" applyFill="1" applyBorder="1" applyAlignment="1" applyProtection="1">
      <alignment horizontal="right" vertical="center" wrapText="1"/>
      <protection hidden="1"/>
    </xf>
    <xf numFmtId="4" fontId="6" fillId="0" borderId="29" xfId="0" applyNumberFormat="1" applyFont="1" applyBorder="1" applyAlignment="1" applyProtection="1">
      <alignment horizontal="right" vertical="center" wrapText="1"/>
      <protection hidden="1"/>
    </xf>
    <xf numFmtId="4" fontId="6" fillId="0" borderId="116" xfId="0" applyNumberFormat="1" applyFont="1" applyBorder="1" applyAlignment="1" applyProtection="1">
      <alignment horizontal="right" vertical="center" wrapText="1"/>
      <protection hidden="1"/>
    </xf>
    <xf numFmtId="4" fontId="13" fillId="0" borderId="79" xfId="0" applyNumberFormat="1" applyFont="1" applyBorder="1" applyAlignment="1" applyProtection="1">
      <alignment horizontal="right" vertical="center" wrapText="1"/>
      <protection hidden="1"/>
    </xf>
    <xf numFmtId="4" fontId="27" fillId="11" borderId="116" xfId="0" applyNumberFormat="1" applyFont="1" applyFill="1" applyBorder="1" applyAlignment="1" applyProtection="1">
      <alignment vertical="center" wrapText="1"/>
      <protection hidden="1"/>
    </xf>
    <xf numFmtId="4" fontId="6" fillId="12" borderId="119" xfId="0" applyNumberFormat="1" applyFont="1" applyFill="1" applyBorder="1" applyAlignment="1" applyProtection="1">
      <alignment horizontal="right" vertical="center" wrapText="1"/>
      <protection hidden="1"/>
    </xf>
    <xf numFmtId="4" fontId="6" fillId="0" borderId="120" xfId="0" applyNumberFormat="1" applyFont="1" applyBorder="1" applyAlignment="1" applyProtection="1">
      <alignment horizontal="left"/>
      <protection hidden="1"/>
    </xf>
    <xf numFmtId="0" fontId="13" fillId="0" borderId="110" xfId="0" applyFont="1" applyBorder="1" applyAlignment="1" applyProtection="1">
      <alignment horizontal="center"/>
      <protection hidden="1"/>
    </xf>
    <xf numFmtId="4" fontId="13" fillId="12" borderId="111" xfId="0" applyNumberFormat="1" applyFont="1" applyFill="1" applyBorder="1" applyAlignment="1" applyProtection="1">
      <alignment horizontal="right"/>
      <protection hidden="1"/>
    </xf>
    <xf numFmtId="4" fontId="13" fillId="0" borderId="112" xfId="0" applyNumberFormat="1" applyFont="1" applyBorder="1" applyAlignment="1" applyProtection="1">
      <alignment horizontal="right"/>
      <protection hidden="1"/>
    </xf>
    <xf numFmtId="4" fontId="13" fillId="0" borderId="4" xfId="0" applyNumberFormat="1" applyFont="1" applyBorder="1" applyAlignment="1" applyProtection="1">
      <alignment horizontal="right"/>
      <protection hidden="1"/>
    </xf>
    <xf numFmtId="4" fontId="13" fillId="0" borderId="113" xfId="0" applyNumberFormat="1" applyFont="1" applyBorder="1" applyAlignment="1" applyProtection="1">
      <alignment horizontal="right"/>
      <protection hidden="1"/>
    </xf>
    <xf numFmtId="0" fontId="6" fillId="0" borderId="26" xfId="0" applyFont="1" applyBorder="1" applyProtection="1">
      <protection hidden="1"/>
    </xf>
    <xf numFmtId="4" fontId="25" fillId="0" borderId="27" xfId="0" applyNumberFormat="1" applyFont="1" applyBorder="1" applyProtection="1">
      <protection hidden="1"/>
    </xf>
    <xf numFmtId="0" fontId="6" fillId="0" borderId="121" xfId="0" applyFont="1" applyBorder="1" applyProtection="1">
      <protection hidden="1"/>
    </xf>
    <xf numFmtId="0" fontId="6" fillId="0" borderId="0" xfId="0" applyFont="1" applyAlignment="1" applyProtection="1">
      <alignment horizontal="left" vertical="center"/>
      <protection hidden="1"/>
    </xf>
    <xf numFmtId="0" fontId="6" fillId="0" borderId="122" xfId="0" applyFont="1" applyBorder="1" applyAlignment="1" applyProtection="1">
      <alignment horizontal="right" vertical="center"/>
      <protection hidden="1"/>
    </xf>
    <xf numFmtId="0" fontId="6" fillId="0" borderId="123" xfId="0" applyFont="1" applyBorder="1" applyAlignment="1" applyProtection="1">
      <alignment horizontal="right" vertical="center"/>
      <protection hidden="1"/>
    </xf>
    <xf numFmtId="0" fontId="6" fillId="0" borderId="123" xfId="0" applyFont="1" applyBorder="1" applyAlignment="1" applyProtection="1">
      <alignment horizontal="center"/>
      <protection hidden="1"/>
    </xf>
    <xf numFmtId="4" fontId="13" fillId="0" borderId="124" xfId="0" applyNumberFormat="1" applyFont="1" applyBorder="1" applyProtection="1">
      <protection hidden="1"/>
    </xf>
    <xf numFmtId="0" fontId="6" fillId="0" borderId="24" xfId="0" applyFont="1" applyBorder="1" applyAlignment="1" applyProtection="1">
      <alignment horizontal="right" vertical="center"/>
      <protection hidden="1"/>
    </xf>
    <xf numFmtId="0" fontId="77" fillId="0" borderId="31" xfId="0" applyFont="1" applyBorder="1" applyAlignment="1" applyProtection="1">
      <alignment horizontal="right" vertical="center"/>
      <protection hidden="1"/>
    </xf>
    <xf numFmtId="0" fontId="77" fillId="0" borderId="31" xfId="0" applyFont="1" applyBorder="1" applyAlignment="1" applyProtection="1">
      <alignment horizontal="center"/>
      <protection hidden="1"/>
    </xf>
    <xf numFmtId="0" fontId="78" fillId="0" borderId="31" xfId="0" applyFont="1" applyBorder="1" applyAlignment="1" applyProtection="1">
      <alignment horizontal="right" vertical="center"/>
      <protection hidden="1"/>
    </xf>
    <xf numFmtId="4" fontId="78" fillId="0" borderId="25" xfId="0" applyNumberFormat="1" applyFont="1" applyBorder="1" applyProtection="1">
      <protection hidden="1"/>
    </xf>
    <xf numFmtId="0" fontId="6" fillId="0" borderId="94" xfId="0" applyFont="1" applyBorder="1" applyAlignment="1" applyProtection="1">
      <alignment horizontal="right" vertical="center"/>
      <protection hidden="1"/>
    </xf>
    <xf numFmtId="0" fontId="77" fillId="0" borderId="32" xfId="0" applyFont="1" applyBorder="1" applyAlignment="1" applyProtection="1">
      <alignment horizontal="right" vertical="center"/>
      <protection hidden="1"/>
    </xf>
    <xf numFmtId="4" fontId="77" fillId="0" borderId="32" xfId="0" applyNumberFormat="1" applyFont="1" applyBorder="1" applyAlignment="1" applyProtection="1">
      <alignment horizontal="right" vertical="center"/>
      <protection hidden="1"/>
    </xf>
    <xf numFmtId="4" fontId="78" fillId="0" borderId="93" xfId="0" applyNumberFormat="1" applyFont="1" applyBorder="1" applyAlignment="1" applyProtection="1">
      <alignment vertical="center"/>
      <protection hidden="1"/>
    </xf>
    <xf numFmtId="0" fontId="13" fillId="0" borderId="0" xfId="0" applyFont="1" applyAlignment="1" applyProtection="1">
      <alignment horizontal="left" vertical="center"/>
      <protection hidden="1"/>
    </xf>
    <xf numFmtId="0" fontId="13" fillId="0" borderId="125" xfId="0" applyFont="1" applyBorder="1" applyAlignment="1" applyProtection="1">
      <alignment horizontal="right" vertical="center"/>
      <protection hidden="1"/>
    </xf>
    <xf numFmtId="0" fontId="13" fillId="0" borderId="42" xfId="0" applyFont="1" applyBorder="1" applyAlignment="1" applyProtection="1">
      <alignment horizontal="right" vertical="center"/>
      <protection hidden="1"/>
    </xf>
    <xf numFmtId="0" fontId="13" fillId="0" borderId="42" xfId="0" applyFont="1" applyBorder="1" applyAlignment="1" applyProtection="1">
      <alignment horizontal="center"/>
      <protection hidden="1"/>
    </xf>
    <xf numFmtId="4" fontId="13" fillId="0" borderId="126" xfId="0" applyNumberFormat="1" applyFont="1" applyBorder="1" applyProtection="1">
      <protection hidden="1"/>
    </xf>
    <xf numFmtId="0" fontId="6" fillId="0" borderId="127" xfId="0" applyFont="1" applyBorder="1" applyAlignment="1" applyProtection="1">
      <alignment horizontal="right" vertical="center"/>
      <protection hidden="1"/>
    </xf>
    <xf numFmtId="0" fontId="6" fillId="0" borderId="128" xfId="0" applyFont="1" applyBorder="1" applyAlignment="1" applyProtection="1">
      <alignment horizontal="right" vertical="center"/>
      <protection hidden="1"/>
    </xf>
    <xf numFmtId="0" fontId="6" fillId="0" borderId="128" xfId="0" applyFont="1" applyBorder="1" applyAlignment="1" applyProtection="1">
      <alignment horizontal="center"/>
      <protection hidden="1"/>
    </xf>
    <xf numFmtId="4" fontId="13" fillId="0" borderId="93" xfId="0" applyNumberFormat="1" applyFont="1" applyBorder="1" applyProtection="1">
      <protection hidden="1"/>
    </xf>
    <xf numFmtId="0" fontId="1" fillId="0" borderId="0" xfId="0" applyFont="1" applyAlignment="1" applyProtection="1">
      <alignment horizontal="left"/>
      <protection hidden="1"/>
    </xf>
    <xf numFmtId="4" fontId="60" fillId="0" borderId="43" xfId="0" applyNumberFormat="1" applyFont="1" applyBorder="1" applyAlignment="1" applyProtection="1">
      <alignment horizontal="center" vertical="top"/>
      <protection hidden="1"/>
    </xf>
    <xf numFmtId="0" fontId="60" fillId="0" borderId="106" xfId="0" applyFont="1" applyBorder="1" applyAlignment="1" applyProtection="1">
      <alignment horizontal="center" vertical="center"/>
      <protection hidden="1"/>
    </xf>
    <xf numFmtId="0" fontId="60" fillId="13" borderId="107" xfId="0" applyFont="1" applyFill="1" applyBorder="1" applyAlignment="1" applyProtection="1">
      <alignment horizontal="center" vertical="center" wrapText="1"/>
      <protection hidden="1"/>
    </xf>
    <xf numFmtId="0" fontId="60" fillId="12" borderId="129" xfId="0" applyFont="1" applyFill="1" applyBorder="1" applyAlignment="1" applyProtection="1">
      <alignment horizontal="center" vertical="center"/>
      <protection hidden="1"/>
    </xf>
    <xf numFmtId="167" fontId="60" fillId="0" borderId="129" xfId="0" applyNumberFormat="1" applyFont="1" applyBorder="1" applyAlignment="1" applyProtection="1">
      <alignment horizontal="center" vertical="center"/>
      <protection hidden="1"/>
    </xf>
    <xf numFmtId="2" fontId="60" fillId="0" borderId="109" xfId="0" applyNumberFormat="1" applyFont="1" applyBorder="1" applyAlignment="1" applyProtection="1">
      <alignment horizontal="center" vertical="center"/>
      <protection hidden="1"/>
    </xf>
    <xf numFmtId="4" fontId="60" fillId="0" borderId="25" xfId="0" applyNumberFormat="1" applyFont="1" applyBorder="1" applyAlignment="1" applyProtection="1">
      <alignment horizontal="center" vertical="center"/>
      <protection hidden="1"/>
    </xf>
    <xf numFmtId="0" fontId="61" fillId="0" borderId="110" xfId="0" applyFont="1" applyBorder="1" applyAlignment="1" applyProtection="1">
      <alignment horizontal="center"/>
      <protection hidden="1"/>
    </xf>
    <xf numFmtId="3" fontId="60" fillId="13" borderId="4" xfId="0" applyNumberFormat="1" applyFont="1" applyFill="1" applyBorder="1" applyAlignment="1" applyProtection="1">
      <alignment horizontal="center"/>
      <protection hidden="1"/>
    </xf>
    <xf numFmtId="3" fontId="60" fillId="12" borderId="111" xfId="0" applyNumberFormat="1" applyFont="1" applyFill="1" applyBorder="1" applyAlignment="1" applyProtection="1">
      <alignment horizontal="center"/>
      <protection hidden="1"/>
    </xf>
    <xf numFmtId="1" fontId="60" fillId="0" borderId="111" xfId="0" applyNumberFormat="1" applyFont="1" applyBorder="1" applyAlignment="1" applyProtection="1">
      <alignment horizontal="center"/>
      <protection hidden="1"/>
    </xf>
    <xf numFmtId="1" fontId="60" fillId="0" borderId="4" xfId="0" applyNumberFormat="1" applyFont="1" applyBorder="1" applyAlignment="1" applyProtection="1">
      <alignment horizontal="center"/>
      <protection hidden="1"/>
    </xf>
    <xf numFmtId="3" fontId="60" fillId="0" borderId="113" xfId="0" applyNumberFormat="1" applyFont="1" applyBorder="1" applyAlignment="1" applyProtection="1">
      <alignment horizontal="center"/>
      <protection hidden="1"/>
    </xf>
    <xf numFmtId="0" fontId="61" fillId="0" borderId="110" xfId="0" applyFont="1" applyBorder="1" applyProtection="1">
      <protection hidden="1"/>
    </xf>
    <xf numFmtId="0" fontId="60" fillId="0" borderId="114" xfId="0" applyFont="1" applyBorder="1" applyAlignment="1" applyProtection="1">
      <alignment horizontal="center"/>
      <protection hidden="1"/>
    </xf>
    <xf numFmtId="167" fontId="60" fillId="0" borderId="114" xfId="0" applyNumberFormat="1" applyFont="1" applyBorder="1" applyAlignment="1" applyProtection="1">
      <alignment horizontal="center"/>
      <protection hidden="1"/>
    </xf>
    <xf numFmtId="2" fontId="60" fillId="0" borderId="4" xfId="0" applyNumberFormat="1" applyFont="1" applyBorder="1" applyAlignment="1" applyProtection="1">
      <alignment horizontal="center"/>
      <protection hidden="1"/>
    </xf>
    <xf numFmtId="4" fontId="60" fillId="0" borderId="113" xfId="0" applyNumberFormat="1" applyFont="1" applyBorder="1" applyAlignment="1" applyProtection="1">
      <alignment horizontal="center"/>
      <protection hidden="1"/>
    </xf>
    <xf numFmtId="0" fontId="79" fillId="0" borderId="118" xfId="0" applyFont="1" applyBorder="1" applyAlignment="1" applyProtection="1">
      <alignment horizontal="left"/>
      <protection hidden="1"/>
    </xf>
    <xf numFmtId="0" fontId="80" fillId="0" borderId="115" xfId="0" applyFont="1" applyBorder="1" applyProtection="1">
      <protection hidden="1"/>
    </xf>
    <xf numFmtId="4" fontId="81" fillId="11" borderId="116" xfId="0" applyNumberFormat="1" applyFont="1" applyFill="1" applyBorder="1" applyAlignment="1" applyProtection="1">
      <alignment horizontal="center"/>
      <protection hidden="1"/>
    </xf>
    <xf numFmtId="4" fontId="82" fillId="12" borderId="130" xfId="0" applyNumberFormat="1" applyFont="1" applyFill="1" applyBorder="1" applyAlignment="1" applyProtection="1">
      <alignment horizontal="right"/>
      <protection hidden="1"/>
    </xf>
    <xf numFmtId="4" fontId="82" fillId="0" borderId="130" xfId="0" applyNumberFormat="1" applyFont="1" applyBorder="1" applyAlignment="1" applyProtection="1">
      <alignment horizontal="right"/>
      <protection hidden="1"/>
    </xf>
    <xf numFmtId="4" fontId="82" fillId="0" borderId="117" xfId="0" applyNumberFormat="1" applyFont="1" applyBorder="1" applyAlignment="1" applyProtection="1">
      <alignment horizontal="right"/>
      <protection hidden="1"/>
    </xf>
    <xf numFmtId="4" fontId="60" fillId="0" borderId="79" xfId="0" applyNumberFormat="1" applyFont="1" applyBorder="1" applyAlignment="1" applyProtection="1">
      <alignment horizontal="right"/>
      <protection hidden="1"/>
    </xf>
    <xf numFmtId="0" fontId="83" fillId="0" borderId="26" xfId="0" applyFont="1" applyBorder="1" applyAlignment="1" applyProtection="1">
      <alignment horizontal="center"/>
      <protection hidden="1"/>
    </xf>
    <xf numFmtId="0" fontId="83" fillId="0" borderId="27" xfId="0" applyFont="1" applyBorder="1" applyAlignment="1" applyProtection="1">
      <alignment horizontal="center"/>
      <protection hidden="1"/>
    </xf>
    <xf numFmtId="0" fontId="79" fillId="0" borderId="115" xfId="0" applyFont="1" applyBorder="1" applyAlignment="1" applyProtection="1">
      <alignment horizontal="left" vertical="center"/>
      <protection hidden="1"/>
    </xf>
    <xf numFmtId="0" fontId="80" fillId="0" borderId="118" xfId="0" applyFont="1" applyBorder="1" applyAlignment="1" applyProtection="1">
      <alignment vertical="center" wrapText="1"/>
      <protection hidden="1"/>
    </xf>
    <xf numFmtId="4" fontId="81" fillId="11" borderId="46" xfId="0" applyNumberFormat="1" applyFont="1" applyFill="1" applyBorder="1" applyAlignment="1" applyProtection="1">
      <alignment horizontal="right" vertical="center"/>
      <protection hidden="1"/>
    </xf>
    <xf numFmtId="4" fontId="81" fillId="11" borderId="29" xfId="0" applyNumberFormat="1" applyFont="1" applyFill="1" applyBorder="1" applyAlignment="1" applyProtection="1">
      <alignment horizontal="right" vertical="center"/>
      <protection hidden="1"/>
    </xf>
    <xf numFmtId="4" fontId="60" fillId="0" borderId="79" xfId="0" applyNumberFormat="1" applyFont="1" applyBorder="1" applyAlignment="1" applyProtection="1">
      <alignment horizontal="right" vertical="center"/>
      <protection hidden="1"/>
    </xf>
    <xf numFmtId="0" fontId="83" fillId="0" borderId="26" xfId="0" applyFont="1" applyBorder="1" applyAlignment="1" applyProtection="1">
      <alignment horizontal="center" vertical="center"/>
      <protection hidden="1"/>
    </xf>
    <xf numFmtId="0" fontId="83" fillId="0" borderId="27" xfId="0" applyFont="1" applyBorder="1" applyAlignment="1" applyProtection="1">
      <alignment horizontal="center" vertical="center"/>
      <protection hidden="1"/>
    </xf>
    <xf numFmtId="0" fontId="84" fillId="0" borderId="0" xfId="0" applyFont="1" applyAlignment="1" applyProtection="1">
      <alignment vertical="center"/>
      <protection hidden="1"/>
    </xf>
    <xf numFmtId="4" fontId="84" fillId="0" borderId="0" xfId="0" applyNumberFormat="1" applyFont="1" applyAlignment="1" applyProtection="1">
      <alignment vertical="center"/>
      <protection hidden="1"/>
    </xf>
    <xf numFmtId="0" fontId="84" fillId="0" borderId="0" xfId="0" applyFont="1" applyAlignment="1" applyProtection="1">
      <alignment horizontal="center" vertical="center"/>
      <protection hidden="1"/>
    </xf>
    <xf numFmtId="4" fontId="82" fillId="0" borderId="116" xfId="0" applyNumberFormat="1" applyFont="1" applyBorder="1" applyAlignment="1" applyProtection="1">
      <alignment horizontal="right" vertical="center"/>
      <protection hidden="1"/>
    </xf>
    <xf numFmtId="0" fontId="79" fillId="0" borderId="115" xfId="0" applyFont="1" applyBorder="1" applyAlignment="1" applyProtection="1">
      <alignment horizontal="left"/>
      <protection hidden="1"/>
    </xf>
    <xf numFmtId="0" fontId="80" fillId="0" borderId="118" xfId="0" applyFont="1" applyBorder="1" applyProtection="1">
      <protection hidden="1"/>
    </xf>
    <xf numFmtId="4" fontId="82" fillId="12" borderId="7" xfId="0" applyNumberFormat="1" applyFont="1" applyFill="1" applyBorder="1" applyAlignment="1" applyProtection="1">
      <alignment horizontal="right"/>
      <protection hidden="1"/>
    </xf>
    <xf numFmtId="4" fontId="82" fillId="0" borderId="7" xfId="0" applyNumberFormat="1" applyFont="1" applyBorder="1" applyAlignment="1" applyProtection="1">
      <alignment horizontal="right"/>
      <protection hidden="1"/>
    </xf>
    <xf numFmtId="4" fontId="82" fillId="0" borderId="116" xfId="0" applyNumberFormat="1" applyFont="1" applyBorder="1" applyAlignment="1" applyProtection="1">
      <alignment horizontal="right"/>
      <protection hidden="1"/>
    </xf>
    <xf numFmtId="4" fontId="80" fillId="0" borderId="116" xfId="0" applyNumberFormat="1" applyFont="1" applyBorder="1" applyAlignment="1" applyProtection="1">
      <alignment horizontal="right" vertical="center"/>
      <protection hidden="1"/>
    </xf>
    <xf numFmtId="4" fontId="81" fillId="11" borderId="131" xfId="0" applyNumberFormat="1" applyFont="1" applyFill="1" applyBorder="1" applyAlignment="1" applyProtection="1">
      <alignment horizontal="right"/>
      <protection hidden="1"/>
    </xf>
    <xf numFmtId="4" fontId="81" fillId="11" borderId="61" xfId="0" applyNumberFormat="1" applyFont="1" applyFill="1" applyBorder="1" applyAlignment="1" applyProtection="1">
      <alignment horizontal="right"/>
      <protection hidden="1"/>
    </xf>
    <xf numFmtId="4" fontId="82" fillId="0" borderId="61" xfId="0" applyNumberFormat="1" applyFont="1" applyBorder="1" applyAlignment="1" applyProtection="1">
      <alignment horizontal="right"/>
      <protection hidden="1"/>
    </xf>
    <xf numFmtId="4" fontId="82" fillId="11" borderId="116" xfId="0" applyNumberFormat="1" applyFont="1" applyFill="1" applyBorder="1" applyAlignment="1" applyProtection="1">
      <alignment horizontal="right"/>
      <protection hidden="1"/>
    </xf>
    <xf numFmtId="0" fontId="85" fillId="0" borderId="118" xfId="0" applyFont="1" applyBorder="1" applyProtection="1">
      <protection hidden="1"/>
    </xf>
    <xf numFmtId="4" fontId="85" fillId="11" borderId="116" xfId="0" applyNumberFormat="1" applyFont="1" applyFill="1" applyBorder="1" applyAlignment="1" applyProtection="1">
      <alignment horizontal="center"/>
      <protection hidden="1"/>
    </xf>
    <xf numFmtId="4" fontId="85" fillId="12" borderId="7" xfId="0" applyNumberFormat="1" applyFont="1" applyFill="1" applyBorder="1" applyAlignment="1" applyProtection="1">
      <alignment horizontal="right"/>
      <protection hidden="1"/>
    </xf>
    <xf numFmtId="4" fontId="85" fillId="0" borderId="7" xfId="0" applyNumberFormat="1" applyFont="1" applyBorder="1" applyAlignment="1" applyProtection="1">
      <alignment horizontal="right"/>
      <protection hidden="1"/>
    </xf>
    <xf numFmtId="4" fontId="85" fillId="0" borderId="116" xfId="0" applyNumberFormat="1" applyFont="1" applyBorder="1" applyAlignment="1" applyProtection="1">
      <alignment horizontal="right"/>
      <protection hidden="1"/>
    </xf>
    <xf numFmtId="4" fontId="85" fillId="11" borderId="131" xfId="0" applyNumberFormat="1" applyFont="1" applyFill="1" applyBorder="1" applyAlignment="1" applyProtection="1">
      <alignment horizontal="right"/>
      <protection hidden="1"/>
    </xf>
    <xf numFmtId="4" fontId="85" fillId="11" borderId="61" xfId="0" applyNumberFormat="1" applyFont="1" applyFill="1" applyBorder="1" applyAlignment="1" applyProtection="1">
      <alignment horizontal="right"/>
      <protection hidden="1"/>
    </xf>
    <xf numFmtId="0" fontId="86" fillId="0" borderId="115" xfId="0" applyFont="1" applyBorder="1" applyAlignment="1" applyProtection="1">
      <alignment horizontal="left"/>
      <protection hidden="1"/>
    </xf>
    <xf numFmtId="0" fontId="86" fillId="0" borderId="118" xfId="0" applyFont="1" applyBorder="1" applyProtection="1">
      <protection hidden="1"/>
    </xf>
    <xf numFmtId="4" fontId="81" fillId="12" borderId="7" xfId="0" applyNumberFormat="1" applyFont="1" applyFill="1" applyBorder="1" applyAlignment="1" applyProtection="1">
      <alignment horizontal="right" vertical="center"/>
      <protection hidden="1"/>
    </xf>
    <xf numFmtId="4" fontId="81" fillId="0" borderId="3" xfId="0" applyNumberFormat="1" applyFont="1" applyBorder="1" applyAlignment="1" applyProtection="1">
      <alignment horizontal="right" vertical="center"/>
      <protection hidden="1"/>
    </xf>
    <xf numFmtId="4" fontId="81" fillId="0" borderId="116" xfId="0" applyNumberFormat="1" applyFont="1" applyBorder="1" applyAlignment="1" applyProtection="1">
      <alignment horizontal="right" vertical="center"/>
      <protection hidden="1"/>
    </xf>
    <xf numFmtId="0" fontId="60" fillId="0" borderId="0" xfId="0" applyFont="1" applyAlignment="1" applyProtection="1">
      <alignment horizontal="center" vertical="center"/>
      <protection hidden="1"/>
    </xf>
    <xf numFmtId="0" fontId="61" fillId="0" borderId="0" xfId="0" applyFont="1" applyAlignment="1" applyProtection="1">
      <alignment vertical="center"/>
      <protection hidden="1"/>
    </xf>
    <xf numFmtId="174" fontId="82" fillId="11" borderId="7" xfId="0" applyNumberFormat="1" applyFont="1" applyFill="1" applyBorder="1" applyAlignment="1" applyProtection="1">
      <alignment horizontal="right"/>
      <protection hidden="1"/>
    </xf>
    <xf numFmtId="4" fontId="82" fillId="11" borderId="7" xfId="0" applyNumberFormat="1" applyFont="1" applyFill="1" applyBorder="1" applyAlignment="1" applyProtection="1">
      <alignment horizontal="right"/>
      <protection hidden="1"/>
    </xf>
    <xf numFmtId="4" fontId="81" fillId="12" borderId="7" xfId="0" applyNumberFormat="1" applyFont="1" applyFill="1" applyBorder="1" applyAlignment="1" applyProtection="1">
      <alignment horizontal="right"/>
      <protection hidden="1"/>
    </xf>
    <xf numFmtId="4" fontId="81" fillId="0" borderId="7" xfId="0" applyNumberFormat="1" applyFont="1" applyBorder="1" applyAlignment="1" applyProtection="1">
      <alignment horizontal="right"/>
      <protection hidden="1"/>
    </xf>
    <xf numFmtId="4" fontId="81" fillId="0" borderId="116" xfId="0" applyNumberFormat="1" applyFont="1" applyBorder="1" applyAlignment="1" applyProtection="1">
      <alignment horizontal="right"/>
      <protection hidden="1"/>
    </xf>
    <xf numFmtId="0" fontId="79" fillId="0" borderId="115" xfId="0" applyFont="1" applyBorder="1" applyAlignment="1" applyProtection="1">
      <alignment horizontal="left" vertical="center" wrapText="1"/>
      <protection hidden="1"/>
    </xf>
    <xf numFmtId="4" fontId="80" fillId="0" borderId="7" xfId="0" applyNumberFormat="1" applyFont="1" applyBorder="1" applyAlignment="1" applyProtection="1">
      <alignment horizontal="right" vertical="center"/>
      <protection hidden="1"/>
    </xf>
    <xf numFmtId="4" fontId="81" fillId="11" borderId="116" xfId="0" applyNumberFormat="1" applyFont="1" applyFill="1" applyBorder="1" applyAlignment="1" applyProtection="1">
      <alignment horizontal="center" vertical="center"/>
      <protection hidden="1"/>
    </xf>
    <xf numFmtId="4" fontId="82" fillId="12" borderId="7" xfId="0" applyNumberFormat="1" applyFont="1" applyFill="1" applyBorder="1" applyAlignment="1" applyProtection="1">
      <alignment horizontal="right" vertical="center"/>
      <protection hidden="1"/>
    </xf>
    <xf numFmtId="4" fontId="82" fillId="0" borderId="7" xfId="0" applyNumberFormat="1" applyFont="1" applyBorder="1" applyAlignment="1" applyProtection="1">
      <alignment horizontal="right" vertical="center"/>
      <protection hidden="1"/>
    </xf>
    <xf numFmtId="4" fontId="82" fillId="12" borderId="10" xfId="0" applyNumberFormat="1" applyFont="1" applyFill="1" applyBorder="1" applyAlignment="1" applyProtection="1">
      <alignment horizontal="right"/>
      <protection hidden="1"/>
    </xf>
    <xf numFmtId="4" fontId="61" fillId="0" borderId="132" xfId="0" applyNumberFormat="1" applyFont="1" applyBorder="1" applyAlignment="1" applyProtection="1">
      <alignment horizontal="left"/>
      <protection hidden="1"/>
    </xf>
    <xf numFmtId="0" fontId="60" fillId="0" borderId="110" xfId="0" applyFont="1" applyBorder="1" applyAlignment="1" applyProtection="1">
      <alignment horizontal="center"/>
      <protection hidden="1"/>
    </xf>
    <xf numFmtId="4" fontId="60" fillId="12" borderId="114" xfId="0" applyNumberFormat="1" applyFont="1" applyFill="1" applyBorder="1" applyAlignment="1" applyProtection="1">
      <alignment horizontal="right"/>
      <protection hidden="1"/>
    </xf>
    <xf numFmtId="4" fontId="60" fillId="0" borderId="114" xfId="0" applyNumberFormat="1" applyFont="1" applyBorder="1" applyAlignment="1" applyProtection="1">
      <alignment horizontal="right"/>
      <protection hidden="1"/>
    </xf>
    <xf numFmtId="4" fontId="60" fillId="0" borderId="4" xfId="0" applyNumberFormat="1" applyFont="1" applyBorder="1" applyAlignment="1" applyProtection="1">
      <alignment horizontal="right"/>
      <protection hidden="1"/>
    </xf>
    <xf numFmtId="4" fontId="60" fillId="0" borderId="113" xfId="0" applyNumberFormat="1" applyFont="1" applyBorder="1" applyAlignment="1" applyProtection="1">
      <alignment horizontal="right"/>
      <protection hidden="1"/>
    </xf>
    <xf numFmtId="0" fontId="61" fillId="0" borderId="133" xfId="0" applyFont="1" applyBorder="1" applyAlignment="1" applyProtection="1">
      <alignment horizontal="left" vertical="center"/>
      <protection hidden="1"/>
    </xf>
    <xf numFmtId="0" fontId="61" fillId="0" borderId="123" xfId="0" applyFont="1" applyBorder="1" applyAlignment="1" applyProtection="1">
      <alignment horizontal="right" vertical="center"/>
      <protection hidden="1"/>
    </xf>
    <xf numFmtId="2" fontId="61" fillId="0" borderId="122" xfId="0" applyNumberFormat="1" applyFont="1" applyBorder="1" applyAlignment="1" applyProtection="1">
      <alignment horizontal="right" vertical="center"/>
      <protection hidden="1"/>
    </xf>
    <xf numFmtId="4" fontId="60" fillId="0" borderId="27" xfId="0" applyNumberFormat="1" applyFont="1" applyBorder="1" applyProtection="1">
      <protection hidden="1"/>
    </xf>
    <xf numFmtId="0" fontId="61" fillId="0" borderId="27" xfId="0" applyFont="1" applyBorder="1" applyAlignment="1" applyProtection="1">
      <alignment horizontal="left" vertical="center"/>
      <protection hidden="1"/>
    </xf>
    <xf numFmtId="0" fontId="61" fillId="0" borderId="31" xfId="0" applyFont="1" applyBorder="1" applyAlignment="1" applyProtection="1">
      <alignment horizontal="right" vertical="center"/>
      <protection hidden="1"/>
    </xf>
    <xf numFmtId="0" fontId="87" fillId="0" borderId="31" xfId="0" applyFont="1" applyBorder="1" applyAlignment="1" applyProtection="1">
      <alignment horizontal="right" vertical="center"/>
      <protection hidden="1"/>
    </xf>
    <xf numFmtId="0" fontId="87" fillId="0" borderId="31" xfId="0" applyFont="1" applyBorder="1" applyAlignment="1" applyProtection="1">
      <alignment horizontal="center"/>
      <protection hidden="1"/>
    </xf>
    <xf numFmtId="4" fontId="88" fillId="0" borderId="25" xfId="0" applyNumberFormat="1" applyFont="1" applyBorder="1" applyProtection="1">
      <protection hidden="1"/>
    </xf>
    <xf numFmtId="0" fontId="89" fillId="0" borderId="0" xfId="0" applyFont="1" applyProtection="1">
      <protection hidden="1"/>
    </xf>
    <xf numFmtId="0" fontId="61" fillId="0" borderId="32" xfId="0" applyFont="1" applyBorder="1" applyAlignment="1" applyProtection="1">
      <alignment horizontal="right" vertical="center"/>
      <protection hidden="1"/>
    </xf>
    <xf numFmtId="0" fontId="87" fillId="0" borderId="32" xfId="0" applyFont="1" applyBorder="1" applyAlignment="1" applyProtection="1">
      <alignment horizontal="right" vertical="center"/>
      <protection hidden="1"/>
    </xf>
    <xf numFmtId="4" fontId="88" fillId="0" borderId="32" xfId="0" applyNumberFormat="1" applyFont="1" applyBorder="1" applyAlignment="1" applyProtection="1">
      <alignment horizontal="right" vertical="center"/>
      <protection hidden="1"/>
    </xf>
    <xf numFmtId="4" fontId="88" fillId="0" borderId="93" xfId="0" applyNumberFormat="1" applyFont="1" applyBorder="1" applyAlignment="1" applyProtection="1">
      <alignment vertical="center"/>
      <protection hidden="1"/>
    </xf>
    <xf numFmtId="4" fontId="89" fillId="0" borderId="0" xfId="0" applyNumberFormat="1" applyFont="1" applyProtection="1">
      <protection hidden="1"/>
    </xf>
    <xf numFmtId="0" fontId="60" fillId="0" borderId="27" xfId="0" applyFont="1" applyBorder="1" applyAlignment="1" applyProtection="1">
      <alignment horizontal="left" vertical="center"/>
      <protection hidden="1"/>
    </xf>
    <xf numFmtId="0" fontId="60" fillId="0" borderId="42" xfId="0" applyFont="1" applyBorder="1" applyAlignment="1" applyProtection="1">
      <alignment horizontal="right" vertical="center"/>
      <protection hidden="1"/>
    </xf>
    <xf numFmtId="0" fontId="60" fillId="0" borderId="42" xfId="0" applyFont="1" applyBorder="1" applyAlignment="1" applyProtection="1">
      <alignment horizontal="center"/>
      <protection hidden="1"/>
    </xf>
    <xf numFmtId="167" fontId="60" fillId="0" borderId="42" xfId="0" applyNumberFormat="1" applyFont="1" applyBorder="1" applyAlignment="1" applyProtection="1">
      <alignment horizontal="center"/>
      <protection hidden="1"/>
    </xf>
    <xf numFmtId="4" fontId="60" fillId="0" borderId="126" xfId="0" applyNumberFormat="1" applyFont="1" applyBorder="1" applyProtection="1">
      <protection hidden="1"/>
    </xf>
    <xf numFmtId="0" fontId="61" fillId="0" borderId="128" xfId="0" applyFont="1" applyBorder="1" applyAlignment="1" applyProtection="1">
      <alignment horizontal="right" vertical="center"/>
      <protection hidden="1"/>
    </xf>
    <xf numFmtId="0" fontId="61" fillId="0" borderId="128" xfId="0" applyFont="1" applyBorder="1" applyAlignment="1" applyProtection="1">
      <alignment horizontal="center"/>
      <protection hidden="1"/>
    </xf>
    <xf numFmtId="167" fontId="61" fillId="0" borderId="128" xfId="0" applyNumberFormat="1" applyFont="1" applyBorder="1" applyAlignment="1" applyProtection="1">
      <alignment horizontal="center"/>
      <protection hidden="1"/>
    </xf>
    <xf numFmtId="4" fontId="60" fillId="0" borderId="93" xfId="0" applyNumberFormat="1" applyFont="1" applyBorder="1" applyProtection="1">
      <protection hidden="1"/>
    </xf>
    <xf numFmtId="0" fontId="61" fillId="0" borderId="27" xfId="0" applyFont="1" applyBorder="1" applyAlignment="1" applyProtection="1">
      <alignment horizontal="left"/>
      <protection hidden="1"/>
    </xf>
    <xf numFmtId="0" fontId="61" fillId="0" borderId="65" xfId="0" applyFont="1" applyBorder="1" applyProtection="1">
      <protection hidden="1"/>
    </xf>
    <xf numFmtId="167" fontId="60" fillId="0" borderId="65" xfId="0" applyNumberFormat="1" applyFont="1" applyBorder="1" applyAlignment="1" applyProtection="1">
      <alignment horizontal="center"/>
      <protection hidden="1"/>
    </xf>
    <xf numFmtId="2" fontId="60" fillId="0" borderId="65" xfId="0" applyNumberFormat="1" applyFont="1" applyBorder="1" applyAlignment="1" applyProtection="1">
      <alignment horizontal="center"/>
      <protection hidden="1"/>
    </xf>
    <xf numFmtId="4" fontId="61" fillId="0" borderId="43" xfId="0" applyNumberFormat="1" applyFont="1" applyBorder="1" applyProtection="1">
      <protection hidden="1"/>
    </xf>
    <xf numFmtId="0" fontId="6" fillId="0" borderId="97" xfId="0" applyFont="1" applyBorder="1" applyAlignment="1" applyProtection="1">
      <alignment horizontal="center" wrapText="1"/>
      <protection hidden="1"/>
    </xf>
    <xf numFmtId="0" fontId="6" fillId="0" borderId="134" xfId="0" applyFont="1" applyBorder="1" applyAlignment="1" applyProtection="1">
      <alignment horizontal="center"/>
      <protection hidden="1"/>
    </xf>
    <xf numFmtId="0" fontId="6" fillId="0" borderId="125" xfId="0" applyFont="1" applyBorder="1" applyAlignment="1" applyProtection="1">
      <alignment horizontal="center"/>
      <protection hidden="1"/>
    </xf>
    <xf numFmtId="4" fontId="91" fillId="12" borderId="7" xfId="0" applyNumberFormat="1" applyFont="1" applyFill="1" applyBorder="1" applyAlignment="1" applyProtection="1">
      <alignment horizontal="right"/>
      <protection hidden="1"/>
    </xf>
    <xf numFmtId="4" fontId="91" fillId="13" borderId="7" xfId="0" applyNumberFormat="1" applyFont="1" applyFill="1" applyBorder="1" applyAlignment="1" applyProtection="1">
      <alignment horizontal="right"/>
      <protection hidden="1"/>
    </xf>
    <xf numFmtId="4" fontId="6" fillId="11" borderId="130" xfId="0" applyNumberFormat="1" applyFont="1" applyFill="1" applyBorder="1" applyProtection="1">
      <protection hidden="1"/>
    </xf>
    <xf numFmtId="4" fontId="91" fillId="20" borderId="7" xfId="0" applyNumberFormat="1" applyFont="1" applyFill="1" applyBorder="1" applyAlignment="1" applyProtection="1">
      <alignment horizontal="right"/>
      <protection hidden="1"/>
    </xf>
    <xf numFmtId="4" fontId="91" fillId="20" borderId="135" xfId="0" applyNumberFormat="1" applyFont="1" applyFill="1" applyBorder="1" applyAlignment="1" applyProtection="1">
      <alignment horizontal="right"/>
      <protection hidden="1"/>
    </xf>
    <xf numFmtId="0" fontId="90" fillId="0" borderId="0" xfId="0" applyFont="1" applyProtection="1">
      <protection hidden="1"/>
    </xf>
    <xf numFmtId="0" fontId="6" fillId="0" borderId="96" xfId="0" applyFont="1" applyBorder="1" applyAlignment="1" applyProtection="1">
      <alignment horizontal="center" vertical="center" wrapText="1"/>
      <protection hidden="1"/>
    </xf>
    <xf numFmtId="0" fontId="25" fillId="12" borderId="96" xfId="0" applyFont="1" applyFill="1" applyBorder="1" applyAlignment="1" applyProtection="1">
      <alignment horizontal="center" vertical="center" wrapText="1"/>
      <protection hidden="1"/>
    </xf>
    <xf numFmtId="0" fontId="6" fillId="0" borderId="99" xfId="0" applyFont="1" applyBorder="1" applyAlignment="1" applyProtection="1">
      <alignment horizontal="center" vertical="center" wrapText="1"/>
      <protection hidden="1"/>
    </xf>
    <xf numFmtId="0" fontId="6" fillId="12" borderId="96" xfId="0" applyFont="1" applyFill="1" applyBorder="1" applyAlignment="1" applyProtection="1">
      <alignment horizontal="center" vertical="center" wrapText="1"/>
      <protection hidden="1"/>
    </xf>
    <xf numFmtId="4" fontId="13" fillId="4" borderId="7" xfId="0" applyNumberFormat="1" applyFont="1" applyFill="1" applyBorder="1" applyProtection="1">
      <protection hidden="1"/>
    </xf>
    <xf numFmtId="4" fontId="13" fillId="11" borderId="40" xfId="0" applyNumberFormat="1" applyFont="1" applyFill="1" applyBorder="1" applyProtection="1">
      <protection hidden="1"/>
    </xf>
    <xf numFmtId="4" fontId="13" fillId="11" borderId="3" xfId="0" applyNumberFormat="1" applyFont="1" applyFill="1" applyBorder="1" applyProtection="1">
      <protection hidden="1"/>
    </xf>
    <xf numFmtId="4" fontId="92" fillId="11" borderId="12" xfId="0" applyNumberFormat="1" applyFont="1" applyFill="1" applyBorder="1" applyProtection="1">
      <protection hidden="1"/>
    </xf>
    <xf numFmtId="0" fontId="31" fillId="0" borderId="125" xfId="0" applyFont="1" applyBorder="1" applyAlignment="1" applyProtection="1">
      <alignment horizontal="center" vertical="center" wrapText="1"/>
      <protection hidden="1"/>
    </xf>
    <xf numFmtId="0" fontId="31" fillId="0" borderId="42" xfId="0" applyFont="1" applyBorder="1" applyAlignment="1" applyProtection="1">
      <alignment horizontal="center" vertical="center" wrapText="1"/>
      <protection hidden="1"/>
    </xf>
    <xf numFmtId="0" fontId="6" fillId="0" borderId="27" xfId="0" applyFont="1" applyBorder="1" applyAlignment="1" applyProtection="1">
      <alignment horizontal="left"/>
      <protection hidden="1"/>
    </xf>
    <xf numFmtId="0" fontId="6" fillId="0" borderId="0" xfId="0" applyFont="1" applyAlignment="1" applyProtection="1">
      <alignment horizontal="center" textRotation="90"/>
      <protection hidden="1"/>
    </xf>
    <xf numFmtId="0" fontId="6" fillId="0" borderId="0" xfId="0" applyFont="1" applyAlignment="1" applyProtection="1">
      <alignment horizontal="center" textRotation="90" wrapText="1"/>
      <protection hidden="1"/>
    </xf>
    <xf numFmtId="0" fontId="6" fillId="0" borderId="79" xfId="0" applyFont="1" applyBorder="1" applyAlignment="1" applyProtection="1">
      <alignment horizontal="left"/>
      <protection hidden="1"/>
    </xf>
    <xf numFmtId="0" fontId="6" fillId="0" borderId="136" xfId="0" applyFont="1" applyBorder="1" applyAlignment="1" applyProtection="1">
      <alignment horizontal="center"/>
      <protection hidden="1"/>
    </xf>
    <xf numFmtId="0" fontId="6" fillId="0" borderId="24" xfId="0" applyFont="1" applyBorder="1" applyAlignment="1" applyProtection="1">
      <alignment horizontal="center"/>
      <protection hidden="1"/>
    </xf>
    <xf numFmtId="0" fontId="6" fillId="0" borderId="27" xfId="0" applyFont="1" applyBorder="1" applyAlignment="1" applyProtection="1">
      <alignment horizontal="center"/>
      <protection hidden="1"/>
    </xf>
    <xf numFmtId="0" fontId="6" fillId="0" borderId="121" xfId="0" applyFont="1" applyBorder="1" applyAlignment="1" applyProtection="1">
      <alignment horizontal="center"/>
      <protection hidden="1"/>
    </xf>
    <xf numFmtId="0" fontId="6" fillId="0" borderId="0" xfId="0"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121" xfId="0" applyFont="1" applyBorder="1" applyAlignment="1" applyProtection="1">
      <alignment horizontal="center" vertical="center"/>
      <protection hidden="1"/>
    </xf>
    <xf numFmtId="0" fontId="6" fillId="0" borderId="26"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26" xfId="0" applyFont="1" applyBorder="1" applyAlignment="1" applyProtection="1">
      <alignment horizontal="center"/>
      <protection hidden="1"/>
    </xf>
    <xf numFmtId="0" fontId="6" fillId="14" borderId="27" xfId="0" applyFont="1" applyFill="1" applyBorder="1" applyAlignment="1" applyProtection="1">
      <alignment horizontal="center" vertical="center"/>
      <protection hidden="1"/>
    </xf>
    <xf numFmtId="0" fontId="6" fillId="14" borderId="121" xfId="0" applyFont="1" applyFill="1" applyBorder="1" applyAlignment="1" applyProtection="1">
      <alignment horizontal="center" vertical="center"/>
      <protection hidden="1"/>
    </xf>
    <xf numFmtId="0" fontId="6" fillId="0" borderId="0" xfId="0" applyFont="1" applyAlignment="1" applyProtection="1">
      <alignment vertical="center" wrapText="1"/>
      <protection hidden="1"/>
    </xf>
    <xf numFmtId="0" fontId="6" fillId="0" borderId="121" xfId="0" applyFont="1" applyBorder="1" applyAlignment="1" applyProtection="1">
      <alignment vertical="center" wrapText="1"/>
      <protection hidden="1"/>
    </xf>
    <xf numFmtId="0" fontId="6" fillId="2" borderId="137" xfId="0" applyFont="1" applyFill="1" applyBorder="1" applyAlignment="1" applyProtection="1">
      <alignment vertical="center" wrapText="1"/>
      <protection hidden="1"/>
    </xf>
    <xf numFmtId="0" fontId="6" fillId="2" borderId="137" xfId="0" applyFont="1" applyFill="1" applyBorder="1" applyAlignment="1" applyProtection="1">
      <alignment horizontal="center"/>
      <protection hidden="1"/>
    </xf>
    <xf numFmtId="0" fontId="6" fillId="0" borderId="0" xfId="0" applyFont="1" applyAlignment="1" applyProtection="1">
      <alignment horizontal="left"/>
      <protection hidden="1"/>
    </xf>
    <xf numFmtId="0" fontId="6" fillId="0" borderId="24" xfId="0" applyFont="1" applyBorder="1" applyProtection="1">
      <protection hidden="1"/>
    </xf>
    <xf numFmtId="0" fontId="6" fillId="0" borderId="31" xfId="0" applyFont="1" applyBorder="1" applyProtection="1">
      <protection hidden="1"/>
    </xf>
    <xf numFmtId="4" fontId="6" fillId="0" borderId="25" xfId="0" applyNumberFormat="1" applyFont="1" applyBorder="1" applyProtection="1">
      <protection hidden="1"/>
    </xf>
    <xf numFmtId="0" fontId="6" fillId="0" borderId="64" xfId="0" applyFont="1" applyBorder="1" applyAlignment="1" applyProtection="1">
      <alignment horizontal="center"/>
      <protection hidden="1"/>
    </xf>
    <xf numFmtId="0" fontId="6" fillId="0" borderId="42" xfId="0" applyFont="1" applyBorder="1" applyAlignment="1" applyProtection="1">
      <alignment horizontal="center"/>
      <protection hidden="1"/>
    </xf>
    <xf numFmtId="4" fontId="91" fillId="12" borderId="2" xfId="0" applyNumberFormat="1" applyFont="1" applyFill="1" applyBorder="1" applyAlignment="1" applyProtection="1">
      <alignment horizontal="right"/>
      <protection hidden="1"/>
    </xf>
    <xf numFmtId="4" fontId="91" fillId="12" borderId="5" xfId="0" applyNumberFormat="1" applyFont="1" applyFill="1" applyBorder="1" applyAlignment="1" applyProtection="1">
      <alignment horizontal="right"/>
      <protection hidden="1"/>
    </xf>
    <xf numFmtId="4" fontId="91" fillId="12" borderId="138" xfId="0" applyNumberFormat="1" applyFont="1" applyFill="1" applyBorder="1" applyAlignment="1" applyProtection="1">
      <alignment horizontal="right"/>
      <protection hidden="1"/>
    </xf>
    <xf numFmtId="4" fontId="91" fillId="12" borderId="135" xfId="0" applyNumberFormat="1" applyFont="1" applyFill="1" applyBorder="1" applyAlignment="1" applyProtection="1">
      <alignment horizontal="right"/>
      <protection hidden="1"/>
    </xf>
    <xf numFmtId="4" fontId="6" fillId="4" borderId="7" xfId="0" applyNumberFormat="1" applyFont="1" applyFill="1" applyBorder="1" applyProtection="1">
      <protection hidden="1"/>
    </xf>
    <xf numFmtId="4" fontId="91" fillId="13" borderId="2" xfId="0" applyNumberFormat="1" applyFont="1" applyFill="1" applyBorder="1" applyAlignment="1" applyProtection="1">
      <alignment horizontal="right"/>
      <protection hidden="1"/>
    </xf>
    <xf numFmtId="4" fontId="91" fillId="13" borderId="5" xfId="0" applyNumberFormat="1" applyFont="1" applyFill="1" applyBorder="1" applyAlignment="1" applyProtection="1">
      <alignment horizontal="right"/>
      <protection hidden="1"/>
    </xf>
    <xf numFmtId="4" fontId="91" fillId="13" borderId="138" xfId="0" applyNumberFormat="1" applyFont="1" applyFill="1" applyBorder="1" applyAlignment="1" applyProtection="1">
      <alignment horizontal="right"/>
      <protection hidden="1"/>
    </xf>
    <xf numFmtId="4" fontId="91" fillId="20" borderId="2" xfId="0" applyNumberFormat="1" applyFont="1" applyFill="1" applyBorder="1" applyAlignment="1" applyProtection="1">
      <alignment horizontal="right"/>
      <protection hidden="1"/>
    </xf>
    <xf numFmtId="4" fontId="91" fillId="20" borderId="5" xfId="0" applyNumberFormat="1" applyFont="1" applyFill="1" applyBorder="1" applyAlignment="1" applyProtection="1">
      <alignment horizontal="right"/>
      <protection hidden="1"/>
    </xf>
    <xf numFmtId="4" fontId="91" fillId="20" borderId="138" xfId="0" applyNumberFormat="1" applyFont="1" applyFill="1" applyBorder="1" applyAlignment="1" applyProtection="1">
      <alignment horizontal="right"/>
      <protection hidden="1"/>
    </xf>
    <xf numFmtId="0" fontId="6" fillId="0" borderId="0" xfId="0" applyFont="1" applyAlignment="1">
      <alignment vertical="center"/>
    </xf>
    <xf numFmtId="0" fontId="6" fillId="0" borderId="65" xfId="0" applyFont="1" applyBorder="1" applyAlignment="1">
      <alignment horizontal="center" vertical="center"/>
    </xf>
    <xf numFmtId="0" fontId="6" fillId="0" borderId="43" xfId="0" applyFont="1" applyBorder="1" applyAlignment="1">
      <alignment horizontal="center" vertical="center"/>
    </xf>
    <xf numFmtId="1" fontId="6" fillId="0" borderId="139" xfId="0" applyNumberFormat="1" applyFont="1" applyBorder="1" applyAlignment="1" applyProtection="1">
      <alignment horizontal="center" vertical="center" wrapText="1"/>
      <protection locked="0"/>
    </xf>
    <xf numFmtId="0" fontId="6" fillId="12" borderId="140" xfId="0" applyFont="1" applyFill="1" applyBorder="1" applyAlignment="1" applyProtection="1">
      <alignment horizontal="center" vertical="center" wrapText="1"/>
      <protection hidden="1"/>
    </xf>
    <xf numFmtId="0" fontId="6" fillId="0" borderId="140" xfId="0" applyFont="1" applyBorder="1" applyAlignment="1" applyProtection="1">
      <alignment horizontal="center" vertical="center" wrapText="1"/>
      <protection hidden="1"/>
    </xf>
    <xf numFmtId="4" fontId="6" fillId="0" borderId="140" xfId="0" applyNumberFormat="1" applyFont="1" applyBorder="1" applyAlignment="1" applyProtection="1">
      <alignment vertical="center" wrapText="1"/>
      <protection locked="0"/>
    </xf>
    <xf numFmtId="4" fontId="6" fillId="0" borderId="141" xfId="0" applyNumberFormat="1" applyFont="1" applyBorder="1" applyAlignment="1" applyProtection="1">
      <alignment vertical="center" wrapText="1"/>
      <protection locked="0"/>
    </xf>
    <xf numFmtId="0" fontId="6" fillId="0" borderId="27" xfId="0" applyFont="1" applyBorder="1" applyAlignment="1">
      <alignment vertical="center"/>
    </xf>
    <xf numFmtId="0" fontId="6" fillId="12" borderId="142" xfId="0" applyFont="1" applyFill="1" applyBorder="1" applyAlignment="1" applyProtection="1">
      <alignment horizontal="center" vertical="center" wrapText="1"/>
      <protection hidden="1"/>
    </xf>
    <xf numFmtId="0" fontId="93" fillId="0" borderId="142" xfId="0" applyFont="1" applyBorder="1" applyAlignment="1" applyProtection="1">
      <alignment horizontal="center" vertical="center" wrapText="1"/>
      <protection hidden="1"/>
    </xf>
    <xf numFmtId="4" fontId="93" fillId="0" borderId="142" xfId="0" applyNumberFormat="1" applyFont="1" applyBorder="1" applyAlignment="1" applyProtection="1">
      <alignment vertical="center" wrapText="1"/>
      <protection locked="0"/>
    </xf>
    <xf numFmtId="4" fontId="93" fillId="0" borderId="143" xfId="0" applyNumberFormat="1" applyFont="1" applyBorder="1" applyAlignment="1" applyProtection="1">
      <alignment vertical="center" wrapText="1"/>
      <protection locked="0"/>
    </xf>
    <xf numFmtId="0" fontId="93" fillId="0" borderId="0" xfId="0" applyFont="1" applyAlignment="1">
      <alignment vertical="center"/>
    </xf>
    <xf numFmtId="0" fontId="93" fillId="0" borderId="27" xfId="0" applyFont="1" applyBorder="1" applyAlignment="1">
      <alignment vertical="center"/>
    </xf>
    <xf numFmtId="1" fontId="6" fillId="0" borderId="144" xfId="0" applyNumberFormat="1" applyFont="1" applyBorder="1" applyAlignment="1" applyProtection="1">
      <alignment horizontal="center" vertical="center" wrapText="1"/>
      <protection locked="0"/>
    </xf>
    <xf numFmtId="0" fontId="6" fillId="12" borderId="2" xfId="0" applyFont="1" applyFill="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4" fontId="6" fillId="0" borderId="2" xfId="0" applyNumberFormat="1" applyFont="1" applyBorder="1" applyAlignment="1" applyProtection="1">
      <alignment vertical="center" wrapText="1"/>
      <protection locked="0"/>
    </xf>
    <xf numFmtId="4" fontId="6" fillId="0" borderId="41" xfId="0" applyNumberFormat="1" applyFont="1" applyBorder="1" applyAlignment="1" applyProtection="1">
      <alignment vertical="center" wrapText="1"/>
      <protection locked="0"/>
    </xf>
    <xf numFmtId="1" fontId="6" fillId="0" borderId="145" xfId="0" applyNumberFormat="1" applyFont="1" applyBorder="1" applyAlignment="1" applyProtection="1">
      <alignment horizontal="center" vertical="center" wrapText="1"/>
      <protection locked="0"/>
    </xf>
    <xf numFmtId="0" fontId="6" fillId="12" borderId="33" xfId="0" applyFont="1" applyFill="1" applyBorder="1" applyAlignment="1" applyProtection="1">
      <alignment horizontal="center" vertical="center" wrapText="1"/>
      <protection hidden="1"/>
    </xf>
    <xf numFmtId="0" fontId="6" fillId="0" borderId="33" xfId="0" applyFont="1" applyBorder="1" applyAlignment="1" applyProtection="1">
      <alignment horizontal="center" vertical="center" wrapText="1"/>
      <protection hidden="1"/>
    </xf>
    <xf numFmtId="4" fontId="6" fillId="0" borderId="33" xfId="0" applyNumberFormat="1" applyFont="1" applyBorder="1" applyAlignment="1" applyProtection="1">
      <alignment vertical="center" wrapText="1"/>
      <protection locked="0"/>
    </xf>
    <xf numFmtId="1" fontId="6" fillId="0" borderId="146" xfId="0" applyNumberFormat="1" applyFont="1" applyBorder="1" applyAlignment="1" applyProtection="1">
      <alignment horizontal="center" vertical="center" wrapText="1"/>
      <protection locked="0"/>
    </xf>
    <xf numFmtId="0" fontId="6" fillId="0" borderId="147" xfId="0" applyFont="1" applyBorder="1" applyAlignment="1" applyProtection="1">
      <alignment horizontal="center" vertical="center" wrapText="1"/>
      <protection hidden="1"/>
    </xf>
    <xf numFmtId="4" fontId="75" fillId="0" borderId="147" xfId="0" applyNumberFormat="1" applyFont="1" applyBorder="1" applyAlignment="1" applyProtection="1">
      <alignment vertical="center" wrapText="1"/>
      <protection locked="0"/>
    </xf>
    <xf numFmtId="4" fontId="75" fillId="0" borderId="148" xfId="0" applyNumberFormat="1" applyFont="1" applyBorder="1" applyAlignment="1" applyProtection="1">
      <alignment horizontal="right" vertical="center" wrapText="1"/>
      <protection locked="0"/>
    </xf>
    <xf numFmtId="4" fontId="41" fillId="21" borderId="149" xfId="0" applyNumberFormat="1" applyFont="1" applyFill="1" applyBorder="1" applyAlignment="1" applyProtection="1">
      <alignment vertical="center" wrapText="1"/>
      <protection locked="0"/>
    </xf>
    <xf numFmtId="4" fontId="75" fillId="0" borderId="41" xfId="0" applyNumberFormat="1" applyFont="1" applyBorder="1" applyAlignment="1" applyProtection="1">
      <alignment horizontal="right" vertical="center" wrapText="1"/>
      <protection locked="0"/>
    </xf>
    <xf numFmtId="1" fontId="6" fillId="0" borderId="150" xfId="0" applyNumberFormat="1" applyFont="1" applyBorder="1" applyAlignment="1" applyProtection="1">
      <alignment horizontal="center" vertical="center" wrapText="1"/>
      <protection locked="0"/>
    </xf>
    <xf numFmtId="0" fontId="6" fillId="12" borderId="151" xfId="0" applyFont="1" applyFill="1" applyBorder="1" applyAlignment="1" applyProtection="1">
      <alignment horizontal="center" vertical="center" wrapText="1"/>
      <protection hidden="1"/>
    </xf>
    <xf numFmtId="0" fontId="6" fillId="0" borderId="151" xfId="0" applyFont="1" applyBorder="1" applyAlignment="1" applyProtection="1">
      <alignment horizontal="center" vertical="center" wrapText="1"/>
      <protection hidden="1"/>
    </xf>
    <xf numFmtId="4" fontId="6" fillId="0" borderId="151" xfId="0" applyNumberFormat="1" applyFont="1" applyBorder="1" applyAlignment="1" applyProtection="1">
      <alignment vertical="center" wrapText="1"/>
      <protection locked="0"/>
    </xf>
    <xf numFmtId="4" fontId="6" fillId="0" borderId="37" xfId="0" applyNumberFormat="1" applyFont="1" applyBorder="1" applyAlignment="1" applyProtection="1">
      <alignment vertical="center" wrapText="1"/>
      <protection locked="0"/>
    </xf>
    <xf numFmtId="0" fontId="6" fillId="0" borderId="32" xfId="0" applyFont="1" applyBorder="1" applyAlignment="1" applyProtection="1">
      <alignment horizontal="center" vertical="center" wrapText="1"/>
      <protection hidden="1"/>
    </xf>
    <xf numFmtId="4" fontId="6" fillId="0" borderId="32" xfId="0" applyNumberFormat="1" applyFont="1" applyBorder="1" applyAlignment="1" applyProtection="1">
      <alignment vertical="center" wrapText="1"/>
      <protection locked="0"/>
    </xf>
    <xf numFmtId="0" fontId="6" fillId="0" borderId="0" xfId="0" applyFont="1" applyAlignment="1" applyProtection="1">
      <alignment horizontal="center" vertical="center" wrapText="1"/>
      <protection hidden="1"/>
    </xf>
    <xf numFmtId="4" fontId="6" fillId="0" borderId="0" xfId="0" applyNumberFormat="1" applyFont="1" applyAlignment="1" applyProtection="1">
      <alignment vertical="center" wrapText="1"/>
      <protection locked="0"/>
    </xf>
    <xf numFmtId="1" fontId="6" fillId="0" borderId="152" xfId="0" applyNumberFormat="1" applyFont="1" applyBorder="1" applyAlignment="1" applyProtection="1">
      <alignment horizontal="center" vertical="center" wrapText="1"/>
      <protection locked="0"/>
    </xf>
    <xf numFmtId="0" fontId="6" fillId="12" borderId="149" xfId="0" applyFont="1" applyFill="1" applyBorder="1" applyAlignment="1" applyProtection="1">
      <alignment horizontal="center" vertical="center" wrapText="1"/>
      <protection hidden="1"/>
    </xf>
    <xf numFmtId="0" fontId="6" fillId="0" borderId="149" xfId="0" applyFont="1" applyBorder="1" applyAlignment="1" applyProtection="1">
      <alignment horizontal="center" vertical="center" wrapText="1"/>
      <protection hidden="1"/>
    </xf>
    <xf numFmtId="4" fontId="6" fillId="0" borderId="149" xfId="0" applyNumberFormat="1" applyFont="1" applyBorder="1" applyAlignment="1" applyProtection="1">
      <alignment vertical="center" wrapText="1"/>
      <protection locked="0"/>
    </xf>
    <xf numFmtId="4" fontId="6" fillId="0" borderId="35" xfId="0" applyNumberFormat="1" applyFont="1" applyBorder="1" applyAlignment="1" applyProtection="1">
      <alignment vertical="center" wrapText="1"/>
      <protection locked="0"/>
    </xf>
    <xf numFmtId="4" fontId="6" fillId="0" borderId="41" xfId="0" applyNumberFormat="1" applyFont="1" applyBorder="1" applyAlignment="1" applyProtection="1">
      <alignment horizontal="right" vertical="center" wrapText="1"/>
      <protection locked="0"/>
    </xf>
    <xf numFmtId="4" fontId="75" fillId="0" borderId="2" xfId="0" applyNumberFormat="1" applyFont="1" applyBorder="1" applyAlignment="1" applyProtection="1">
      <alignment vertical="center" wrapText="1"/>
      <protection locked="0"/>
    </xf>
    <xf numFmtId="4" fontId="6" fillId="0" borderId="0" xfId="0" applyNumberFormat="1" applyFont="1" applyAlignment="1">
      <alignment vertical="center"/>
    </xf>
    <xf numFmtId="4" fontId="6" fillId="0" borderId="27" xfId="0" applyNumberFormat="1" applyFont="1" applyBorder="1" applyAlignment="1">
      <alignment vertical="center"/>
    </xf>
    <xf numFmtId="0" fontId="6" fillId="13" borderId="149" xfId="0" applyFont="1" applyFill="1" applyBorder="1" applyAlignment="1" applyProtection="1">
      <alignment horizontal="center" vertical="center" wrapText="1"/>
      <protection hidden="1"/>
    </xf>
    <xf numFmtId="0" fontId="6" fillId="0" borderId="31" xfId="0" applyFont="1" applyBorder="1" applyAlignment="1">
      <alignment vertical="center"/>
    </xf>
    <xf numFmtId="0" fontId="6" fillId="0" borderId="25" xfId="0" applyFont="1" applyBorder="1" applyAlignment="1">
      <alignment vertical="center"/>
    </xf>
    <xf numFmtId="0" fontId="6" fillId="13" borderId="2" xfId="0" applyFont="1" applyFill="1" applyBorder="1" applyAlignment="1" applyProtection="1">
      <alignment horizontal="center" vertical="center" wrapText="1"/>
      <protection hidden="1"/>
    </xf>
    <xf numFmtId="4" fontId="6" fillId="0" borderId="2" xfId="0" applyNumberFormat="1" applyFont="1" applyBorder="1" applyAlignment="1" applyProtection="1">
      <alignment horizontal="right" vertical="center" wrapText="1"/>
      <protection locked="0"/>
    </xf>
    <xf numFmtId="0" fontId="6" fillId="13" borderId="151" xfId="0" applyFont="1" applyFill="1" applyBorder="1" applyAlignment="1" applyProtection="1">
      <alignment horizontal="center" vertical="center" wrapText="1"/>
      <protection hidden="1"/>
    </xf>
    <xf numFmtId="0" fontId="6" fillId="0" borderId="144" xfId="0" applyFont="1" applyBorder="1" applyAlignment="1" applyProtection="1">
      <alignment horizontal="center" vertical="center" wrapText="1"/>
      <protection hidden="1"/>
    </xf>
    <xf numFmtId="4" fontId="6" fillId="0" borderId="11" xfId="0" applyNumberFormat="1" applyFont="1" applyBorder="1" applyAlignment="1" applyProtection="1">
      <alignment vertical="center" wrapText="1"/>
      <protection locked="0"/>
    </xf>
    <xf numFmtId="1" fontId="6" fillId="0" borderId="26" xfId="0" applyNumberFormat="1" applyFont="1" applyBorder="1" applyAlignment="1">
      <alignment vertical="center" wrapText="1"/>
    </xf>
    <xf numFmtId="0" fontId="6" fillId="0" borderId="94" xfId="0" applyFont="1" applyBorder="1" applyAlignment="1">
      <alignment vertical="center" wrapText="1"/>
    </xf>
    <xf numFmtId="0" fontId="6" fillId="0" borderId="32" xfId="0" applyFont="1" applyBorder="1" applyAlignment="1">
      <alignment vertical="center" wrapText="1"/>
    </xf>
    <xf numFmtId="0" fontId="6" fillId="0" borderId="32" xfId="0" applyFont="1" applyBorder="1" applyAlignment="1">
      <alignment vertical="center"/>
    </xf>
    <xf numFmtId="0" fontId="6" fillId="0" borderId="93" xfId="0" applyFont="1" applyBorder="1" applyAlignment="1">
      <alignment vertical="center"/>
    </xf>
    <xf numFmtId="0" fontId="6" fillId="0" borderId="0" xfId="0" applyFont="1" applyAlignment="1">
      <alignment vertical="center" wrapText="1"/>
    </xf>
    <xf numFmtId="4" fontId="41" fillId="10" borderId="57" xfId="0" applyNumberFormat="1" applyFont="1" applyFill="1" applyBorder="1" applyAlignment="1" applyProtection="1">
      <alignment vertical="center" wrapText="1"/>
      <protection locked="0"/>
    </xf>
    <xf numFmtId="1" fontId="6" fillId="0" borderId="26" xfId="0" applyNumberFormat="1" applyFont="1" applyBorder="1" applyAlignment="1">
      <alignment vertical="center"/>
    </xf>
    <xf numFmtId="1" fontId="6" fillId="0" borderId="136" xfId="0" applyNumberFormat="1" applyFont="1" applyBorder="1" applyAlignment="1" applyProtection="1">
      <alignment horizontal="center" vertical="center" wrapText="1"/>
      <protection locked="0"/>
    </xf>
    <xf numFmtId="0" fontId="6" fillId="0" borderId="129" xfId="0" applyFont="1" applyBorder="1" applyAlignment="1" applyProtection="1">
      <alignment horizontal="center" vertical="center" wrapText="1"/>
      <protection hidden="1"/>
    </xf>
    <xf numFmtId="4" fontId="6" fillId="0" borderId="136" xfId="0" applyNumberFormat="1" applyFont="1" applyBorder="1" applyAlignment="1" applyProtection="1">
      <alignment vertical="center" wrapText="1"/>
      <protection locked="0"/>
    </xf>
    <xf numFmtId="1" fontId="6" fillId="0" borderId="57" xfId="0" applyNumberFormat="1" applyFont="1" applyBorder="1" applyAlignment="1" applyProtection="1">
      <alignment horizontal="center" vertical="center" wrapText="1"/>
      <protection locked="0"/>
    </xf>
    <xf numFmtId="0" fontId="6" fillId="0" borderId="153" xfId="0" applyFont="1" applyBorder="1" applyAlignment="1" applyProtection="1">
      <alignment horizontal="center" vertical="center" wrapText="1"/>
      <protection hidden="1"/>
    </xf>
    <xf numFmtId="0" fontId="6" fillId="0" borderId="154" xfId="0" applyFont="1" applyBorder="1" applyAlignment="1" applyProtection="1">
      <alignment horizontal="center" vertical="center" wrapText="1"/>
      <protection hidden="1"/>
    </xf>
    <xf numFmtId="4" fontId="6" fillId="0" borderId="57" xfId="0" applyNumberFormat="1" applyFont="1" applyBorder="1" applyAlignment="1" applyProtection="1">
      <alignment vertical="center" wrapText="1"/>
      <protection locked="0"/>
    </xf>
    <xf numFmtId="1" fontId="6" fillId="0" borderId="0" xfId="0" applyNumberFormat="1" applyFont="1" applyAlignment="1">
      <alignment vertical="center" wrapText="1"/>
    </xf>
    <xf numFmtId="0" fontId="6" fillId="0" borderId="155" xfId="0" applyFont="1" applyBorder="1" applyAlignment="1" applyProtection="1">
      <alignment horizontal="center" vertical="center" wrapText="1"/>
      <protection hidden="1"/>
    </xf>
    <xf numFmtId="0" fontId="6" fillId="0" borderId="156" xfId="0" applyFont="1" applyBorder="1" applyAlignment="1" applyProtection="1">
      <alignment horizontal="center" vertical="center" wrapText="1"/>
      <protection hidden="1"/>
    </xf>
    <xf numFmtId="4" fontId="41" fillId="21" borderId="157" xfId="0" applyNumberFormat="1" applyFont="1" applyFill="1" applyBorder="1" applyAlignment="1" applyProtection="1">
      <alignment vertical="center" wrapText="1"/>
      <protection locked="0"/>
    </xf>
    <xf numFmtId="4" fontId="41" fillId="21" borderId="158" xfId="0" applyNumberFormat="1" applyFont="1" applyFill="1" applyBorder="1" applyAlignment="1" applyProtection="1">
      <alignment vertical="center" wrapText="1"/>
      <protection locked="0"/>
    </xf>
    <xf numFmtId="0" fontId="6" fillId="0" borderId="152" xfId="0" applyFont="1" applyBorder="1" applyAlignment="1" applyProtection="1">
      <alignment horizontal="center" vertical="center" wrapText="1"/>
      <protection locked="0"/>
    </xf>
    <xf numFmtId="0" fontId="6" fillId="0" borderId="31" xfId="0" applyFont="1" applyBorder="1"/>
    <xf numFmtId="0" fontId="6" fillId="0" borderId="25" xfId="0" applyFont="1" applyBorder="1"/>
    <xf numFmtId="0" fontId="6" fillId="0" borderId="144" xfId="0" applyFont="1" applyBorder="1" applyAlignment="1" applyProtection="1">
      <alignment horizontal="center" vertical="center" wrapText="1"/>
      <protection locked="0"/>
    </xf>
    <xf numFmtId="0" fontId="6" fillId="0" borderId="27" xfId="0" applyFont="1" applyBorder="1"/>
    <xf numFmtId="0" fontId="6" fillId="0" borderId="150" xfId="0" applyFont="1" applyBorder="1" applyAlignment="1" applyProtection="1">
      <alignment horizontal="center" vertical="center" wrapText="1"/>
      <protection locked="0"/>
    </xf>
    <xf numFmtId="49" fontId="6" fillId="0" borderId="152" xfId="0" applyNumberFormat="1" applyFont="1" applyBorder="1" applyAlignment="1" applyProtection="1">
      <alignment horizontal="center" vertical="center" wrapText="1"/>
      <protection locked="0"/>
    </xf>
    <xf numFmtId="0" fontId="32" fillId="18" borderId="159" xfId="0" applyFont="1" applyFill="1" applyBorder="1"/>
    <xf numFmtId="4" fontId="32" fillId="18" borderId="159" xfId="0" applyNumberFormat="1" applyFont="1" applyFill="1" applyBorder="1" applyAlignment="1">
      <alignment horizontal="center"/>
    </xf>
    <xf numFmtId="4" fontId="32" fillId="18" borderId="159" xfId="0" applyNumberFormat="1" applyFont="1" applyFill="1" applyBorder="1"/>
    <xf numFmtId="0" fontId="32" fillId="18" borderId="159" xfId="0" applyFont="1" applyFill="1" applyBorder="1" applyAlignment="1">
      <alignment horizontal="right"/>
    </xf>
    <xf numFmtId="4" fontId="6" fillId="0" borderId="0" xfId="0" applyNumberFormat="1" applyFont="1"/>
    <xf numFmtId="0" fontId="6" fillId="0" borderId="149" xfId="0" applyFont="1" applyBorder="1" applyAlignment="1">
      <alignment vertical="center" wrapText="1"/>
    </xf>
    <xf numFmtId="0" fontId="6" fillId="0" borderId="2" xfId="0" applyFont="1" applyBorder="1" applyAlignment="1">
      <alignment vertical="center" wrapText="1"/>
    </xf>
    <xf numFmtId="0" fontId="6" fillId="0" borderId="151" xfId="0" applyFont="1" applyBorder="1" applyAlignment="1">
      <alignment vertical="center" wrapText="1"/>
    </xf>
    <xf numFmtId="0" fontId="6" fillId="0" borderId="149"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151" xfId="0" applyFont="1" applyBorder="1" applyAlignment="1" applyProtection="1">
      <alignment vertical="center" wrapText="1"/>
      <protection hidden="1"/>
    </xf>
    <xf numFmtId="0" fontId="13" fillId="0" borderId="24" xfId="0" applyFont="1" applyBorder="1" applyAlignment="1">
      <alignment horizontal="center" vertical="center" wrapText="1"/>
    </xf>
    <xf numFmtId="0" fontId="13" fillId="0" borderId="31" xfId="0" applyFont="1" applyBorder="1" applyAlignment="1">
      <alignment horizontal="center" vertical="center" textRotation="90" wrapText="1"/>
    </xf>
    <xf numFmtId="0" fontId="6" fillId="0" borderId="65" xfId="0" applyFont="1" applyBorder="1" applyAlignment="1">
      <alignment horizontal="center"/>
    </xf>
    <xf numFmtId="0" fontId="6" fillId="0" borderId="160" xfId="0" applyFont="1" applyBorder="1" applyAlignment="1" applyProtection="1">
      <alignment horizontal="center" vertical="center" wrapText="1"/>
      <protection locked="0"/>
    </xf>
    <xf numFmtId="0" fontId="6" fillId="12" borderId="155" xfId="0" applyFont="1" applyFill="1" applyBorder="1" applyAlignment="1" applyProtection="1">
      <alignment horizontal="center" vertical="center" wrapText="1"/>
      <protection hidden="1"/>
    </xf>
    <xf numFmtId="0" fontId="6" fillId="0" borderId="155" xfId="0" applyFont="1" applyBorder="1" applyAlignment="1" applyProtection="1">
      <alignment vertical="center" wrapText="1"/>
      <protection hidden="1"/>
    </xf>
    <xf numFmtId="4" fontId="6" fillId="0" borderId="155" xfId="0" applyNumberFormat="1" applyFont="1" applyBorder="1" applyAlignment="1" applyProtection="1">
      <alignment vertical="center" wrapText="1"/>
      <protection locked="0"/>
    </xf>
    <xf numFmtId="4" fontId="6" fillId="0" borderId="161" xfId="0" applyNumberFormat="1" applyFont="1" applyBorder="1" applyAlignment="1" applyProtection="1">
      <alignment vertical="center" wrapText="1"/>
      <protection locked="0"/>
    </xf>
    <xf numFmtId="0" fontId="93" fillId="0" borderId="162" xfId="0" applyFont="1" applyBorder="1" applyAlignment="1" applyProtection="1">
      <alignment horizontal="center" vertical="center" wrapText="1"/>
      <protection locked="0"/>
    </xf>
    <xf numFmtId="0" fontId="93" fillId="12" borderId="142" xfId="0" applyFont="1" applyFill="1" applyBorder="1" applyAlignment="1" applyProtection="1">
      <alignment horizontal="center" vertical="center" wrapText="1"/>
      <protection hidden="1"/>
    </xf>
    <xf numFmtId="0" fontId="93" fillId="0" borderId="142" xfId="0" applyFont="1" applyBorder="1" applyAlignment="1" applyProtection="1">
      <alignment vertical="center" wrapText="1"/>
      <protection hidden="1"/>
    </xf>
    <xf numFmtId="0" fontId="6" fillId="0" borderId="163" xfId="0" applyFont="1" applyBorder="1" applyAlignment="1" applyProtection="1">
      <alignment horizontal="center" vertical="center" wrapText="1"/>
      <protection locked="0"/>
    </xf>
    <xf numFmtId="0" fontId="6" fillId="12" borderId="156" xfId="0" applyFont="1" applyFill="1" applyBorder="1" applyAlignment="1" applyProtection="1">
      <alignment horizontal="center" vertical="center" wrapText="1"/>
      <protection hidden="1"/>
    </xf>
    <xf numFmtId="0" fontId="6" fillId="0" borderId="156" xfId="0" applyFont="1" applyBorder="1" applyAlignment="1" applyProtection="1">
      <alignment vertical="center" wrapText="1"/>
      <protection hidden="1"/>
    </xf>
    <xf numFmtId="4" fontId="6" fillId="0" borderId="156" xfId="0" applyNumberFormat="1" applyFont="1" applyBorder="1" applyAlignment="1" applyProtection="1">
      <alignment vertical="center" wrapText="1"/>
      <protection locked="0"/>
    </xf>
    <xf numFmtId="4" fontId="6" fillId="0" borderId="164" xfId="0" applyNumberFormat="1" applyFont="1" applyBorder="1" applyAlignment="1" applyProtection="1">
      <alignment horizontal="right" vertical="center" wrapText="1"/>
      <protection locked="0"/>
    </xf>
    <xf numFmtId="0" fontId="6" fillId="0" borderId="146" xfId="0" applyFont="1" applyBorder="1" applyAlignment="1" applyProtection="1">
      <alignment horizontal="center" vertical="center" wrapText="1"/>
      <protection locked="0"/>
    </xf>
    <xf numFmtId="0" fontId="6" fillId="12" borderId="147" xfId="0" applyFont="1" applyFill="1" applyBorder="1" applyAlignment="1" applyProtection="1">
      <alignment horizontal="center" vertical="center" wrapText="1"/>
      <protection hidden="1"/>
    </xf>
    <xf numFmtId="0" fontId="75" fillId="0" borderId="147" xfId="0" applyFont="1" applyBorder="1" applyAlignment="1" applyProtection="1">
      <alignment vertical="center"/>
      <protection hidden="1"/>
    </xf>
    <xf numFmtId="4" fontId="72" fillId="0" borderId="165" xfId="0" applyNumberFormat="1" applyFont="1" applyBorder="1" applyAlignment="1" applyProtection="1">
      <alignment horizontal="right" vertical="center"/>
      <protection locked="0"/>
    </xf>
    <xf numFmtId="49" fontId="6" fillId="0" borderId="94" xfId="0" applyNumberFormat="1" applyFont="1" applyBorder="1" applyAlignment="1" applyProtection="1">
      <alignment horizontal="center" vertical="center" wrapText="1"/>
      <protection locked="0"/>
    </xf>
    <xf numFmtId="0" fontId="41" fillId="14" borderId="0" xfId="0" applyFont="1" applyFill="1" applyAlignment="1">
      <alignment horizontal="right"/>
    </xf>
    <xf numFmtId="4" fontId="41" fillId="14" borderId="0" xfId="0" applyNumberFormat="1" applyFont="1" applyFill="1"/>
    <xf numFmtId="10" fontId="53" fillId="14" borderId="90" xfId="0" applyNumberFormat="1" applyFont="1" applyFill="1" applyBorder="1" applyAlignment="1">
      <alignment vertical="center"/>
    </xf>
    <xf numFmtId="10" fontId="53" fillId="14" borderId="166" xfId="0" applyNumberFormat="1" applyFont="1" applyFill="1" applyBorder="1" applyAlignment="1">
      <alignment vertical="center"/>
    </xf>
    <xf numFmtId="49" fontId="6" fillId="0" borderId="0" xfId="0" applyNumberFormat="1" applyFont="1" applyAlignment="1" applyProtection="1">
      <alignment horizontal="center" vertical="center" wrapText="1"/>
      <protection locked="0"/>
    </xf>
    <xf numFmtId="0" fontId="6" fillId="0" borderId="149" xfId="0" applyFont="1" applyBorder="1" applyAlignment="1" applyProtection="1">
      <alignment vertical="center" wrapText="1" shrinkToFit="1"/>
      <protection hidden="1"/>
    </xf>
    <xf numFmtId="49" fontId="6" fillId="0" borderId="144" xfId="0" applyNumberFormat="1" applyFont="1" applyBorder="1" applyAlignment="1" applyProtection="1">
      <alignment horizontal="center" vertical="center" wrapText="1"/>
      <protection locked="0"/>
    </xf>
    <xf numFmtId="4" fontId="6" fillId="0" borderId="5" xfId="0" applyNumberFormat="1" applyFont="1" applyBorder="1" applyAlignment="1" applyProtection="1">
      <alignment vertical="center" wrapText="1"/>
      <protection locked="0"/>
    </xf>
    <xf numFmtId="0" fontId="6" fillId="0" borderId="2" xfId="0" applyFont="1" applyBorder="1" applyAlignment="1" applyProtection="1">
      <alignment vertical="center" wrapText="1" shrinkToFit="1"/>
      <protection hidden="1"/>
    </xf>
    <xf numFmtId="49" fontId="6" fillId="0" borderId="150" xfId="0" applyNumberFormat="1" applyFont="1" applyBorder="1" applyAlignment="1" applyProtection="1">
      <alignment horizontal="center" vertical="center" wrapText="1"/>
      <protection locked="0"/>
    </xf>
    <xf numFmtId="0" fontId="6" fillId="0" borderId="151" xfId="0" applyFont="1" applyBorder="1" applyAlignment="1" applyProtection="1">
      <alignment vertical="center" wrapText="1" shrinkToFit="1"/>
      <protection hidden="1"/>
    </xf>
    <xf numFmtId="4" fontId="72" fillId="0" borderId="167" xfId="0" applyNumberFormat="1" applyFont="1" applyBorder="1" applyAlignment="1" applyProtection="1">
      <alignment horizontal="right" vertical="center"/>
      <protection locked="0"/>
    </xf>
    <xf numFmtId="4" fontId="6" fillId="0" borderId="27" xfId="0" applyNumberFormat="1" applyFont="1" applyBorder="1"/>
    <xf numFmtId="0" fontId="6" fillId="13" borderId="156" xfId="0" applyFont="1" applyFill="1" applyBorder="1" applyAlignment="1" applyProtection="1">
      <alignment horizontal="center" vertical="center" wrapText="1"/>
      <protection hidden="1"/>
    </xf>
    <xf numFmtId="0" fontId="6" fillId="13" borderId="147" xfId="0" applyFont="1" applyFill="1" applyBorder="1" applyAlignment="1" applyProtection="1">
      <alignment horizontal="center" vertical="center" wrapText="1"/>
      <protection hidden="1"/>
    </xf>
    <xf numFmtId="0" fontId="6" fillId="0" borderId="32" xfId="0" applyFont="1" applyBorder="1"/>
    <xf numFmtId="0" fontId="6" fillId="0" borderId="93" xfId="0" applyFont="1" applyBorder="1"/>
    <xf numFmtId="0" fontId="13" fillId="0" borderId="0" xfId="0" applyFont="1" applyAlignment="1">
      <alignment horizontal="center" vertical="center" wrapText="1"/>
    </xf>
    <xf numFmtId="4" fontId="6" fillId="0" borderId="0" xfId="0" applyNumberFormat="1" applyFont="1" applyAlignment="1" applyProtection="1">
      <alignment horizontal="center" vertical="center"/>
      <protection hidden="1"/>
    </xf>
    <xf numFmtId="0" fontId="25" fillId="12" borderId="99" xfId="0" applyFont="1" applyFill="1" applyBorder="1" applyAlignment="1" applyProtection="1">
      <alignment horizontal="center" vertical="center" wrapText="1"/>
      <protection hidden="1"/>
    </xf>
    <xf numFmtId="4" fontId="13" fillId="4" borderId="3" xfId="0" applyNumberFormat="1" applyFont="1" applyFill="1" applyBorder="1" applyProtection="1">
      <protection hidden="1"/>
    </xf>
    <xf numFmtId="0" fontId="1" fillId="0" borderId="0" xfId="0" applyFont="1" applyAlignment="1" applyProtection="1">
      <alignment horizontal="center"/>
      <protection hidden="1"/>
    </xf>
    <xf numFmtId="0" fontId="83" fillId="0" borderId="0" xfId="0" applyFont="1" applyProtection="1">
      <protection hidden="1"/>
    </xf>
    <xf numFmtId="0" fontId="84" fillId="0" borderId="0" xfId="0" applyFont="1" applyProtection="1">
      <protection hidden="1"/>
    </xf>
    <xf numFmtId="0" fontId="84" fillId="0" borderId="0" xfId="0" applyFont="1" applyAlignment="1" applyProtection="1">
      <alignment horizontal="center"/>
      <protection hidden="1"/>
    </xf>
    <xf numFmtId="0" fontId="38" fillId="0" borderId="0" xfId="0" applyFont="1" applyAlignment="1" applyProtection="1">
      <alignment horizontal="center" vertical="center"/>
      <protection hidden="1"/>
    </xf>
    <xf numFmtId="0" fontId="95" fillId="0" borderId="0" xfId="0" applyFont="1" applyProtection="1">
      <protection hidden="1"/>
    </xf>
    <xf numFmtId="0" fontId="95" fillId="0" borderId="0" xfId="0" applyFont="1" applyAlignment="1" applyProtection="1">
      <alignment horizontal="center"/>
      <protection hidden="1"/>
    </xf>
    <xf numFmtId="0" fontId="94" fillId="0" borderId="0" xfId="0" applyFont="1" applyProtection="1">
      <protection hidden="1"/>
    </xf>
    <xf numFmtId="0" fontId="96" fillId="0" borderId="0" xfId="0" applyFont="1" applyProtection="1">
      <protection hidden="1"/>
    </xf>
    <xf numFmtId="0" fontId="96" fillId="0" borderId="0" xfId="0" applyFont="1" applyAlignment="1" applyProtection="1">
      <alignment horizontal="center"/>
      <protection hidden="1"/>
    </xf>
    <xf numFmtId="0" fontId="62" fillId="0" borderId="0" xfId="0" applyFont="1" applyProtection="1">
      <protection hidden="1"/>
    </xf>
    <xf numFmtId="0" fontId="62" fillId="0" borderId="0" xfId="0" applyFont="1" applyAlignment="1" applyProtection="1">
      <alignment horizontal="center"/>
      <protection hidden="1"/>
    </xf>
    <xf numFmtId="49" fontId="1" fillId="9" borderId="0" xfId="0" applyNumberFormat="1" applyFont="1" applyFill="1"/>
    <xf numFmtId="0" fontId="1" fillId="9" borderId="0" xfId="0" applyFont="1" applyFill="1"/>
    <xf numFmtId="0" fontId="38" fillId="0" borderId="0" xfId="0" applyFont="1" applyAlignment="1">
      <alignment horizontal="center" vertical="center" wrapText="1"/>
    </xf>
    <xf numFmtId="0" fontId="38" fillId="0" borderId="0" xfId="0" applyFont="1"/>
    <xf numFmtId="49" fontId="38" fillId="0" borderId="0" xfId="0" applyNumberFormat="1" applyFont="1"/>
    <xf numFmtId="0" fontId="38" fillId="0" borderId="0" xfId="0" applyFont="1" applyAlignment="1">
      <alignment horizontal="center" vertical="center"/>
    </xf>
    <xf numFmtId="0" fontId="5" fillId="10" borderId="54" xfId="0" applyFont="1" applyFill="1" applyBorder="1" applyAlignment="1" applyProtection="1">
      <alignment horizontal="center"/>
      <protection locked="0"/>
    </xf>
    <xf numFmtId="0" fontId="97" fillId="10" borderId="54" xfId="0" applyFont="1" applyFill="1" applyBorder="1" applyAlignment="1" applyProtection="1">
      <alignment horizontal="center"/>
      <protection locked="0"/>
    </xf>
    <xf numFmtId="49" fontId="33" fillId="11" borderId="168" xfId="217" applyNumberFormat="1" applyFont="1" applyFill="1" applyBorder="1" applyAlignment="1">
      <alignment horizontal="center" vertical="center"/>
    </xf>
    <xf numFmtId="49" fontId="33" fillId="11" borderId="168" xfId="0" applyNumberFormat="1" applyFont="1" applyFill="1" applyBorder="1" applyAlignment="1">
      <alignment horizontal="center" vertical="center"/>
    </xf>
    <xf numFmtId="10" fontId="5" fillId="2" borderId="54" xfId="0" applyNumberFormat="1" applyFont="1" applyFill="1" applyBorder="1" applyProtection="1">
      <protection locked="0"/>
    </xf>
    <xf numFmtId="1" fontId="5" fillId="2" borderId="54" xfId="0" applyNumberFormat="1" applyFont="1" applyFill="1" applyBorder="1" applyProtection="1">
      <protection locked="0"/>
    </xf>
    <xf numFmtId="0" fontId="7" fillId="2" borderId="54" xfId="0" applyFont="1" applyFill="1" applyBorder="1" applyAlignment="1" applyProtection="1">
      <alignment horizontal="right"/>
      <protection locked="0"/>
    </xf>
    <xf numFmtId="0" fontId="7" fillId="11" borderId="169" xfId="0" applyFont="1" applyFill="1" applyBorder="1" applyAlignment="1" applyProtection="1">
      <alignment horizontal="center"/>
      <protection locked="0"/>
    </xf>
    <xf numFmtId="0" fontId="7" fillId="0" borderId="54" xfId="0" applyFont="1" applyBorder="1" applyAlignment="1" applyProtection="1">
      <alignment horizontal="center"/>
      <protection locked="0"/>
    </xf>
    <xf numFmtId="0" fontId="7" fillId="11" borderId="54" xfId="0" applyFont="1" applyFill="1" applyBorder="1" applyAlignment="1" applyProtection="1">
      <alignment horizontal="center"/>
      <protection locked="0"/>
    </xf>
    <xf numFmtId="0" fontId="22" fillId="0" borderId="170" xfId="0" applyFont="1" applyBorder="1" applyAlignment="1" applyProtection="1">
      <alignment horizontal="center"/>
      <protection locked="0"/>
    </xf>
    <xf numFmtId="0" fontId="7" fillId="0" borderId="169" xfId="0" applyFont="1" applyBorder="1" applyAlignment="1" applyProtection="1">
      <alignment horizontal="center"/>
      <protection locked="0"/>
    </xf>
    <xf numFmtId="0" fontId="5" fillId="0" borderId="54" xfId="0" applyFont="1" applyBorder="1" applyProtection="1">
      <protection locked="0"/>
    </xf>
    <xf numFmtId="0" fontId="5" fillId="0" borderId="169" xfId="0" applyFont="1" applyBorder="1" applyProtection="1">
      <protection locked="0"/>
    </xf>
    <xf numFmtId="0" fontId="7" fillId="0" borderId="171" xfId="0" applyFont="1" applyBorder="1" applyAlignment="1" applyProtection="1">
      <alignment horizontal="center"/>
      <protection locked="0"/>
    </xf>
    <xf numFmtId="0" fontId="7" fillId="22" borderId="169" xfId="0" applyFont="1" applyFill="1" applyBorder="1" applyAlignment="1" applyProtection="1">
      <alignment horizontal="center"/>
      <protection locked="0"/>
    </xf>
    <xf numFmtId="1" fontId="7" fillId="22" borderId="169" xfId="0" applyNumberFormat="1" applyFont="1" applyFill="1" applyBorder="1" applyAlignment="1" applyProtection="1">
      <alignment horizontal="center"/>
      <protection locked="0"/>
    </xf>
    <xf numFmtId="0" fontId="5" fillId="0" borderId="169" xfId="0" applyFont="1" applyBorder="1" applyAlignment="1" applyProtection="1">
      <alignment horizontal="center"/>
      <protection locked="0"/>
    </xf>
    <xf numFmtId="0" fontId="7" fillId="0" borderId="172" xfId="0" applyFont="1" applyBorder="1" applyAlignment="1" applyProtection="1">
      <alignment horizontal="center"/>
      <protection locked="0"/>
    </xf>
    <xf numFmtId="0" fontId="7" fillId="0" borderId="173" xfId="0" applyFont="1" applyBorder="1" applyAlignment="1" applyProtection="1">
      <alignment horizontal="center"/>
      <protection locked="0"/>
    </xf>
    <xf numFmtId="0" fontId="7" fillId="11" borderId="174" xfId="0" applyFont="1" applyFill="1" applyBorder="1" applyAlignment="1" applyProtection="1">
      <alignment horizontal="center"/>
      <protection locked="0"/>
    </xf>
    <xf numFmtId="4" fontId="36" fillId="13" borderId="173" xfId="0" applyNumberFormat="1" applyFont="1" applyFill="1" applyBorder="1" applyProtection="1">
      <protection locked="0"/>
    </xf>
    <xf numFmtId="0" fontId="7" fillId="11" borderId="62" xfId="0" applyFont="1" applyFill="1" applyBorder="1" applyAlignment="1" applyProtection="1">
      <alignment horizontal="center"/>
      <protection locked="0"/>
    </xf>
    <xf numFmtId="0" fontId="7" fillId="0" borderId="62" xfId="0" applyFont="1" applyBorder="1" applyAlignment="1" applyProtection="1">
      <alignment horizontal="center"/>
      <protection locked="0"/>
    </xf>
    <xf numFmtId="0" fontId="7" fillId="11" borderId="175" xfId="0" applyFont="1" applyFill="1" applyBorder="1" applyAlignment="1" applyProtection="1">
      <alignment horizontal="center"/>
      <protection locked="0"/>
    </xf>
    <xf numFmtId="49" fontId="5" fillId="0" borderId="176" xfId="0" applyNumberFormat="1" applyFont="1" applyBorder="1"/>
    <xf numFmtId="0" fontId="5" fillId="0" borderId="176" xfId="0" applyFont="1" applyBorder="1" applyAlignment="1">
      <alignment horizontal="center"/>
    </xf>
    <xf numFmtId="49" fontId="5" fillId="0" borderId="17" xfId="0" applyNumberFormat="1" applyFont="1" applyBorder="1" applyAlignment="1">
      <alignment horizontal="center"/>
    </xf>
    <xf numFmtId="0" fontId="5" fillId="0" borderId="17" xfId="0" applyFont="1" applyBorder="1" applyAlignment="1">
      <alignment horizontal="center"/>
    </xf>
    <xf numFmtId="0" fontId="5" fillId="0" borderId="0" xfId="0" applyFont="1" applyAlignment="1" applyProtection="1">
      <alignment horizontal="center"/>
      <protection locked="0"/>
    </xf>
    <xf numFmtId="49" fontId="5" fillId="0" borderId="0" xfId="0" applyNumberFormat="1" applyFont="1" applyAlignment="1" applyProtection="1">
      <alignment horizontal="center"/>
      <protection locked="0"/>
    </xf>
    <xf numFmtId="49" fontId="5" fillId="0" borderId="0" xfId="0" applyNumberFormat="1" applyFont="1" applyAlignment="1" applyProtection="1">
      <alignment horizontal="right"/>
      <protection locked="0"/>
    </xf>
    <xf numFmtId="10" fontId="5" fillId="0" borderId="0" xfId="0" applyNumberFormat="1" applyFont="1" applyProtection="1">
      <protection locked="0"/>
    </xf>
    <xf numFmtId="169" fontId="5" fillId="0" borderId="0" xfId="0" applyNumberFormat="1" applyFont="1" applyProtection="1">
      <protection locked="0"/>
    </xf>
    <xf numFmtId="1" fontId="5" fillId="0" borderId="0" xfId="0" applyNumberFormat="1" applyFont="1" applyProtection="1">
      <protection locked="0"/>
    </xf>
    <xf numFmtId="0" fontId="7" fillId="0" borderId="0" xfId="0" applyFont="1" applyProtection="1">
      <protection locked="0"/>
    </xf>
    <xf numFmtId="0" fontId="5" fillId="0" borderId="0" xfId="0" applyFont="1" applyAlignment="1" applyProtection="1">
      <alignment horizontal="left"/>
      <protection locked="0"/>
    </xf>
    <xf numFmtId="1" fontId="5" fillId="0" borderId="0" xfId="0" applyNumberFormat="1" applyFont="1" applyAlignment="1" applyProtection="1">
      <alignment horizontal="center"/>
      <protection locked="0"/>
    </xf>
    <xf numFmtId="0" fontId="5" fillId="10" borderId="62" xfId="0" applyFont="1" applyFill="1" applyBorder="1" applyAlignment="1" applyProtection="1">
      <alignment horizontal="center"/>
      <protection locked="0"/>
    </xf>
    <xf numFmtId="0" fontId="97" fillId="10" borderId="62" xfId="0" applyFont="1" applyFill="1" applyBorder="1" applyAlignment="1" applyProtection="1">
      <alignment horizontal="center"/>
      <protection locked="0"/>
    </xf>
    <xf numFmtId="49" fontId="33" fillId="11" borderId="177" xfId="217" applyNumberFormat="1" applyFont="1" applyFill="1" applyBorder="1" applyAlignment="1">
      <alignment horizontal="center" vertical="center"/>
    </xf>
    <xf numFmtId="0" fontId="33" fillId="2" borderId="177" xfId="217" applyFont="1" applyFill="1" applyBorder="1" applyAlignment="1">
      <alignment horizontal="center"/>
    </xf>
    <xf numFmtId="0" fontId="57" fillId="2" borderId="54" xfId="0" applyFont="1" applyFill="1" applyBorder="1" applyAlignment="1" applyProtection="1">
      <alignment horizontal="right"/>
      <protection locked="0"/>
    </xf>
    <xf numFmtId="169" fontId="5" fillId="2" borderId="62" xfId="0" applyNumberFormat="1" applyFont="1" applyFill="1" applyBorder="1" applyProtection="1">
      <protection locked="0"/>
    </xf>
    <xf numFmtId="1" fontId="5" fillId="2" borderId="62" xfId="0" applyNumberFormat="1" applyFont="1" applyFill="1" applyBorder="1" applyProtection="1">
      <protection locked="0"/>
    </xf>
    <xf numFmtId="0" fontId="7" fillId="2" borderId="62" xfId="0" applyFont="1" applyFill="1" applyBorder="1" applyAlignment="1" applyProtection="1">
      <alignment horizontal="right"/>
      <protection locked="0"/>
    </xf>
    <xf numFmtId="0" fontId="7" fillId="13" borderId="169" xfId="0" applyFont="1" applyFill="1" applyBorder="1" applyAlignment="1" applyProtection="1">
      <alignment horizontal="center"/>
      <protection locked="0"/>
    </xf>
    <xf numFmtId="0" fontId="22" fillId="11" borderId="170" xfId="0" applyFont="1" applyFill="1" applyBorder="1" applyAlignment="1" applyProtection="1">
      <alignment horizontal="center"/>
      <protection locked="0"/>
    </xf>
    <xf numFmtId="0" fontId="5" fillId="0" borderId="62" xfId="0" applyFont="1" applyBorder="1" applyProtection="1">
      <protection hidden="1"/>
    </xf>
    <xf numFmtId="0" fontId="5" fillId="0" borderId="62" xfId="0" applyFont="1" applyBorder="1" applyAlignment="1">
      <alignment horizontal="right"/>
    </xf>
    <xf numFmtId="0" fontId="5" fillId="0" borderId="0" xfId="0" applyFont="1" applyAlignment="1" applyProtection="1">
      <alignment horizontal="center" vertical="center"/>
      <protection locked="0"/>
    </xf>
    <xf numFmtId="0" fontId="5" fillId="0" borderId="62" xfId="0" applyFont="1" applyBorder="1" applyProtection="1">
      <protection locked="0"/>
    </xf>
    <xf numFmtId="0" fontId="5" fillId="4" borderId="50" xfId="0" applyFont="1" applyFill="1" applyBorder="1" applyAlignment="1" applyProtection="1">
      <alignment horizontal="center" vertical="center"/>
      <protection locked="0"/>
    </xf>
    <xf numFmtId="1" fontId="5" fillId="0" borderId="50" xfId="0" applyNumberFormat="1" applyFont="1" applyBorder="1" applyAlignment="1" applyProtection="1">
      <alignment vertical="center"/>
      <protection locked="0"/>
    </xf>
    <xf numFmtId="4" fontId="5" fillId="0" borderId="52" xfId="0" applyNumberFormat="1" applyFont="1" applyBorder="1" applyAlignment="1" applyProtection="1">
      <alignment vertical="center"/>
      <protection locked="0"/>
    </xf>
    <xf numFmtId="0" fontId="5" fillId="4" borderId="71" xfId="0" applyFont="1" applyFill="1" applyBorder="1" applyAlignment="1" applyProtection="1">
      <alignment horizontal="right" vertical="center"/>
      <protection locked="0"/>
    </xf>
    <xf numFmtId="0" fontId="5" fillId="4" borderId="71" xfId="0" applyFont="1" applyFill="1" applyBorder="1" applyAlignment="1" applyProtection="1">
      <alignment horizontal="center" vertical="center"/>
      <protection locked="0"/>
    </xf>
    <xf numFmtId="4" fontId="5" fillId="4" borderId="50" xfId="0" applyNumberFormat="1" applyFont="1" applyFill="1" applyBorder="1" applyAlignment="1" applyProtection="1">
      <alignment vertical="center"/>
      <protection locked="0"/>
    </xf>
    <xf numFmtId="0" fontId="5" fillId="4" borderId="20" xfId="0" applyFont="1" applyFill="1" applyBorder="1" applyAlignment="1" applyProtection="1">
      <alignment horizontal="center" vertical="center"/>
      <protection locked="0"/>
    </xf>
    <xf numFmtId="4" fontId="5" fillId="11" borderId="50" xfId="0" applyNumberFormat="1" applyFont="1" applyFill="1" applyBorder="1" applyAlignment="1" applyProtection="1">
      <alignment vertical="center"/>
      <protection locked="0"/>
    </xf>
    <xf numFmtId="4" fontId="5" fillId="11" borderId="0" xfId="0" applyNumberFormat="1" applyFont="1" applyFill="1" applyAlignment="1" applyProtection="1">
      <alignment vertical="center"/>
      <protection locked="0"/>
    </xf>
    <xf numFmtId="0" fontId="35" fillId="23" borderId="45" xfId="219" applyFont="1" applyFill="1" applyBorder="1" applyAlignment="1">
      <alignment horizontal="center"/>
    </xf>
    <xf numFmtId="0" fontId="35" fillId="0" borderId="1" xfId="219" applyFont="1" applyBorder="1" applyAlignment="1">
      <alignment wrapText="1"/>
    </xf>
    <xf numFmtId="0" fontId="35" fillId="0" borderId="1" xfId="209" applyFont="1" applyBorder="1" applyAlignment="1">
      <alignment wrapText="1"/>
    </xf>
    <xf numFmtId="0" fontId="35" fillId="0" borderId="1" xfId="219" applyFont="1" applyBorder="1" applyAlignment="1">
      <alignment horizontal="right" wrapText="1"/>
    </xf>
    <xf numFmtId="0" fontId="35" fillId="0" borderId="1" xfId="209" applyFont="1" applyBorder="1" applyAlignment="1">
      <alignment horizontal="right" wrapText="1"/>
    </xf>
    <xf numFmtId="0" fontId="35" fillId="0" borderId="0" xfId="219" applyFont="1"/>
    <xf numFmtId="0" fontId="6" fillId="0" borderId="0" xfId="0" applyFont="1" applyAlignment="1">
      <alignment horizontal="center"/>
    </xf>
    <xf numFmtId="0" fontId="1" fillId="0" borderId="0" xfId="0" applyFont="1"/>
    <xf numFmtId="3" fontId="7" fillId="0" borderId="40" xfId="0" applyNumberFormat="1" applyFont="1" applyBorder="1" applyAlignment="1" applyProtection="1">
      <alignment horizontal="center"/>
      <protection hidden="1"/>
    </xf>
    <xf numFmtId="3" fontId="7" fillId="0" borderId="3" xfId="0" applyNumberFormat="1" applyFont="1" applyBorder="1" applyAlignment="1" applyProtection="1">
      <alignment horizontal="center"/>
      <protection hidden="1"/>
    </xf>
    <xf numFmtId="0" fontId="5" fillId="0" borderId="12" xfId="0" applyFont="1" applyBorder="1" applyAlignment="1" applyProtection="1">
      <alignment horizontal="center"/>
      <protection hidden="1"/>
    </xf>
    <xf numFmtId="0" fontId="7" fillId="0" borderId="12" xfId="0" applyFont="1" applyBorder="1" applyAlignment="1" applyProtection="1">
      <alignment horizontal="center"/>
      <protection hidden="1"/>
    </xf>
    <xf numFmtId="4" fontId="5" fillId="0" borderId="29" xfId="0" applyNumberFormat="1" applyFont="1" applyBorder="1" applyAlignment="1" applyProtection="1">
      <alignment horizontal="left"/>
      <protection hidden="1"/>
    </xf>
    <xf numFmtId="4" fontId="5" fillId="0" borderId="7" xfId="0" applyNumberFormat="1" applyFont="1" applyBorder="1" applyProtection="1">
      <protection hidden="1"/>
    </xf>
    <xf numFmtId="4" fontId="5" fillId="0" borderId="7" xfId="0" quotePrefix="1" applyNumberFormat="1" applyFont="1" applyBorder="1" applyProtection="1">
      <protection hidden="1"/>
    </xf>
    <xf numFmtId="4" fontId="7" fillId="11" borderId="7" xfId="0" applyNumberFormat="1" applyFont="1" applyFill="1" applyBorder="1" applyProtection="1">
      <protection hidden="1"/>
    </xf>
    <xf numFmtId="4" fontId="5" fillId="11" borderId="7" xfId="0" quotePrefix="1" applyNumberFormat="1" applyFont="1" applyFill="1" applyBorder="1" applyProtection="1">
      <protection hidden="1"/>
    </xf>
    <xf numFmtId="4" fontId="5" fillId="0" borderId="3" xfId="0" quotePrefix="1" applyNumberFormat="1" applyFont="1" applyBorder="1" applyProtection="1">
      <protection hidden="1"/>
    </xf>
    <xf numFmtId="4" fontId="5" fillId="0" borderId="0" xfId="0" quotePrefix="1" applyNumberFormat="1" applyFont="1" applyProtection="1">
      <protection hidden="1"/>
    </xf>
    <xf numFmtId="0" fontId="7" fillId="0" borderId="23" xfId="0" applyFont="1" applyBorder="1" applyAlignment="1" applyProtection="1">
      <alignment horizontal="center"/>
      <protection hidden="1"/>
    </xf>
    <xf numFmtId="0" fontId="7" fillId="0" borderId="6" xfId="0" applyFont="1" applyBorder="1" applyAlignment="1" applyProtection="1">
      <alignment horizontal="center"/>
      <protection hidden="1"/>
    </xf>
    <xf numFmtId="4" fontId="5" fillId="0" borderId="12" xfId="0" applyNumberFormat="1" applyFont="1" applyBorder="1" applyAlignment="1" applyProtection="1">
      <alignment horizontal="center"/>
      <protection hidden="1"/>
    </xf>
    <xf numFmtId="0" fontId="7" fillId="0" borderId="13" xfId="0" applyFont="1" applyBorder="1" applyAlignment="1" applyProtection="1">
      <alignment horizontal="center"/>
      <protection hidden="1"/>
    </xf>
    <xf numFmtId="4" fontId="5" fillId="0" borderId="15" xfId="0" applyNumberFormat="1" applyFont="1" applyBorder="1" applyAlignment="1" applyProtection="1">
      <alignment horizontal="left"/>
      <protection hidden="1"/>
    </xf>
    <xf numFmtId="4" fontId="5" fillId="0" borderId="130" xfId="0" applyNumberFormat="1" applyFont="1" applyBorder="1" applyProtection="1">
      <protection hidden="1"/>
    </xf>
    <xf numFmtId="4" fontId="5" fillId="0" borderId="130" xfId="0" quotePrefix="1" applyNumberFormat="1" applyFont="1" applyBorder="1" applyProtection="1">
      <protection hidden="1"/>
    </xf>
    <xf numFmtId="4" fontId="5" fillId="0" borderId="6" xfId="0" quotePrefix="1" applyNumberFormat="1" applyFont="1" applyBorder="1" applyProtection="1">
      <protection hidden="1"/>
    </xf>
    <xf numFmtId="4" fontId="7" fillId="0" borderId="0" xfId="0" applyNumberFormat="1" applyFont="1" applyProtection="1">
      <protection hidden="1"/>
    </xf>
    <xf numFmtId="0" fontId="7" fillId="0" borderId="40" xfId="0" applyFont="1" applyBorder="1" applyAlignment="1" applyProtection="1">
      <alignment horizontal="center"/>
      <protection hidden="1"/>
    </xf>
    <xf numFmtId="0" fontId="7" fillId="0" borderId="3" xfId="0" applyFont="1" applyBorder="1" applyAlignment="1" applyProtection="1">
      <alignment horizontal="center"/>
      <protection hidden="1"/>
    </xf>
    <xf numFmtId="4" fontId="98" fillId="11" borderId="7" xfId="0" applyNumberFormat="1" applyFont="1" applyFill="1" applyBorder="1" applyAlignment="1" applyProtection="1">
      <alignment horizontal="center"/>
      <protection hidden="1"/>
    </xf>
    <xf numFmtId="4" fontId="5" fillId="11" borderId="7" xfId="0" applyNumberFormat="1" applyFont="1" applyFill="1" applyBorder="1" applyProtection="1">
      <protection hidden="1"/>
    </xf>
    <xf numFmtId="4" fontId="5" fillId="0" borderId="0" xfId="0" applyNumberFormat="1" applyFont="1" applyAlignment="1" applyProtection="1">
      <alignment horizontal="center"/>
      <protection hidden="1"/>
    </xf>
    <xf numFmtId="0" fontId="5" fillId="0" borderId="13" xfId="0" applyFont="1" applyBorder="1" applyAlignment="1" applyProtection="1">
      <alignment horizontal="center"/>
      <protection hidden="1"/>
    </xf>
    <xf numFmtId="4" fontId="5" fillId="11" borderId="130" xfId="0" applyNumberFormat="1" applyFont="1" applyFill="1" applyBorder="1" applyProtection="1">
      <protection hidden="1"/>
    </xf>
    <xf numFmtId="4" fontId="98" fillId="11" borderId="130" xfId="0" applyNumberFormat="1" applyFont="1" applyFill="1" applyBorder="1" applyAlignment="1" applyProtection="1">
      <alignment horizontal="center"/>
      <protection hidden="1"/>
    </xf>
    <xf numFmtId="4" fontId="5" fillId="0" borderId="6" xfId="0" applyNumberFormat="1" applyFont="1" applyBorder="1" applyProtection="1">
      <protection hidden="1"/>
    </xf>
    <xf numFmtId="4" fontId="5" fillId="0" borderId="3" xfId="0" applyNumberFormat="1" applyFont="1" applyBorder="1" applyProtection="1">
      <protection hidden="1"/>
    </xf>
    <xf numFmtId="3" fontId="7" fillId="0" borderId="23" xfId="0" applyNumberFormat="1" applyFont="1" applyBorder="1" applyAlignment="1" applyProtection="1">
      <alignment horizontal="center"/>
      <protection hidden="1"/>
    </xf>
    <xf numFmtId="0" fontId="7" fillId="0" borderId="36" xfId="0" applyFont="1" applyBorder="1" applyAlignment="1" applyProtection="1">
      <alignment horizontal="center"/>
      <protection hidden="1"/>
    </xf>
    <xf numFmtId="0" fontId="7" fillId="0" borderId="178" xfId="0" applyFont="1" applyBorder="1" applyAlignment="1" applyProtection="1">
      <alignment horizontal="center"/>
      <protection hidden="1"/>
    </xf>
    <xf numFmtId="4" fontId="5" fillId="0" borderId="179" xfId="0" applyNumberFormat="1" applyFont="1" applyBorder="1" applyAlignment="1" applyProtection="1">
      <alignment horizontal="center"/>
      <protection hidden="1"/>
    </xf>
    <xf numFmtId="0" fontId="7" fillId="0" borderId="179" xfId="0" applyFont="1" applyBorder="1" applyAlignment="1" applyProtection="1">
      <alignment horizontal="center"/>
      <protection hidden="1"/>
    </xf>
    <xf numFmtId="4" fontId="5" fillId="0" borderId="180" xfId="0" applyNumberFormat="1" applyFont="1" applyBorder="1" applyProtection="1">
      <protection hidden="1"/>
    </xf>
    <xf numFmtId="4" fontId="98" fillId="11" borderId="180" xfId="0" applyNumberFormat="1" applyFont="1" applyFill="1" applyBorder="1" applyAlignment="1" applyProtection="1">
      <alignment horizontal="center"/>
      <protection hidden="1"/>
    </xf>
    <xf numFmtId="4" fontId="5" fillId="11" borderId="180" xfId="0" applyNumberFormat="1" applyFont="1" applyFill="1" applyBorder="1" applyProtection="1">
      <protection hidden="1"/>
    </xf>
    <xf numFmtId="4" fontId="5" fillId="0" borderId="178" xfId="0" applyNumberFormat="1" applyFont="1" applyBorder="1" applyProtection="1">
      <protection hidden="1"/>
    </xf>
    <xf numFmtId="4" fontId="5" fillId="0" borderId="2" xfId="0" applyNumberFormat="1" applyFont="1" applyBorder="1" applyProtection="1">
      <protection hidden="1"/>
    </xf>
    <xf numFmtId="4" fontId="5" fillId="0" borderId="5" xfId="0" applyNumberFormat="1" applyFont="1" applyBorder="1" applyProtection="1">
      <protection hidden="1"/>
    </xf>
    <xf numFmtId="4" fontId="5" fillId="0" borderId="11" xfId="0" applyNumberFormat="1" applyFont="1" applyBorder="1" applyProtection="1">
      <protection hidden="1"/>
    </xf>
    <xf numFmtId="4" fontId="5" fillId="0" borderId="76" xfId="0" applyNumberFormat="1" applyFont="1" applyBorder="1" applyProtection="1">
      <protection hidden="1"/>
    </xf>
    <xf numFmtId="4" fontId="5" fillId="0" borderId="2" xfId="0" quotePrefix="1" applyNumberFormat="1" applyFont="1" applyBorder="1" applyProtection="1">
      <protection hidden="1"/>
    </xf>
    <xf numFmtId="4" fontId="5" fillId="11" borderId="2" xfId="0" applyNumberFormat="1" applyFont="1" applyFill="1" applyBorder="1" applyProtection="1">
      <protection hidden="1"/>
    </xf>
    <xf numFmtId="0" fontId="5" fillId="0" borderId="0" xfId="0" applyFont="1" applyAlignment="1" applyProtection="1">
      <alignment vertical="center"/>
      <protection hidden="1"/>
    </xf>
    <xf numFmtId="10" fontId="5" fillId="4" borderId="2" xfId="0" applyNumberFormat="1" applyFont="1" applyFill="1" applyBorder="1" applyProtection="1">
      <protection locked="0"/>
    </xf>
    <xf numFmtId="0" fontId="2" fillId="0" borderId="11" xfId="0" applyFont="1" applyBorder="1" applyAlignment="1" applyProtection="1">
      <alignment horizontal="center" vertical="center" textRotation="90" wrapText="1"/>
      <protection hidden="1"/>
    </xf>
    <xf numFmtId="49" fontId="33" fillId="4" borderId="181" xfId="217" applyNumberFormat="1" applyFont="1" applyFill="1" applyBorder="1" applyAlignment="1">
      <alignment horizontal="center" vertical="center" wrapText="1"/>
    </xf>
    <xf numFmtId="0" fontId="33" fillId="4" borderId="45" xfId="217" applyFont="1" applyFill="1" applyBorder="1" applyAlignment="1">
      <alignment horizontal="center" vertical="center" wrapText="1"/>
    </xf>
    <xf numFmtId="0" fontId="5" fillId="0" borderId="0" xfId="0" applyFont="1" applyAlignment="1">
      <alignment horizontal="center" vertical="center" wrapText="1"/>
    </xf>
    <xf numFmtId="0" fontId="35" fillId="4" borderId="45" xfId="0" applyFont="1" applyFill="1" applyBorder="1" applyAlignment="1">
      <alignment horizontal="center" vertical="center" wrapText="1"/>
    </xf>
    <xf numFmtId="0" fontId="35" fillId="4" borderId="45" xfId="0" applyFont="1" applyFill="1" applyBorder="1" applyAlignment="1">
      <alignment horizontal="center" vertical="center"/>
    </xf>
    <xf numFmtId="0" fontId="7" fillId="8" borderId="33" xfId="0" applyFont="1" applyFill="1" applyBorder="1" applyProtection="1">
      <protection hidden="1"/>
    </xf>
    <xf numFmtId="49" fontId="5" fillId="8" borderId="33" xfId="0" applyNumberFormat="1" applyFont="1" applyFill="1" applyBorder="1" applyAlignment="1" applyProtection="1">
      <alignment horizontal="center"/>
      <protection hidden="1"/>
    </xf>
    <xf numFmtId="49" fontId="7" fillId="8" borderId="33" xfId="0" applyNumberFormat="1" applyFont="1" applyFill="1" applyBorder="1" applyProtection="1">
      <protection hidden="1"/>
    </xf>
    <xf numFmtId="49" fontId="5" fillId="4" borderId="11" xfId="0" applyNumberFormat="1" applyFont="1" applyFill="1" applyBorder="1" applyAlignment="1" applyProtection="1">
      <alignment horizontal="center" vertical="center" wrapText="1"/>
      <protection hidden="1"/>
    </xf>
    <xf numFmtId="0" fontId="4" fillId="10" borderId="0" xfId="0" applyFont="1" applyFill="1" applyAlignment="1" applyProtection="1">
      <alignment horizontal="left"/>
      <protection hidden="1"/>
    </xf>
    <xf numFmtId="49" fontId="4" fillId="10" borderId="0" xfId="0" applyNumberFormat="1" applyFont="1" applyFill="1" applyAlignment="1" applyProtection="1">
      <alignment horizontal="left"/>
      <protection hidden="1"/>
    </xf>
    <xf numFmtId="49" fontId="4" fillId="10" borderId="0" xfId="0" applyNumberFormat="1" applyFont="1" applyFill="1" applyAlignment="1" applyProtection="1">
      <alignment horizontal="center"/>
      <protection hidden="1"/>
    </xf>
    <xf numFmtId="49" fontId="4" fillId="10" borderId="0" xfId="0" applyNumberFormat="1" applyFont="1" applyFill="1" applyAlignment="1" applyProtection="1">
      <alignment horizontal="right"/>
      <protection hidden="1"/>
    </xf>
    <xf numFmtId="15" fontId="5" fillId="0" borderId="2" xfId="0" applyNumberFormat="1" applyFont="1" applyBorder="1" applyAlignment="1" applyProtection="1">
      <alignment horizontal="center" vertical="center" textRotation="90" wrapText="1"/>
      <protection hidden="1"/>
    </xf>
    <xf numFmtId="49" fontId="7" fillId="8" borderId="5" xfId="0" applyNumberFormat="1" applyFont="1" applyFill="1" applyBorder="1" applyProtection="1">
      <protection hidden="1"/>
    </xf>
    <xf numFmtId="49" fontId="5" fillId="8" borderId="98" xfId="0" applyNumberFormat="1" applyFont="1" applyFill="1" applyBorder="1" applyAlignment="1" applyProtection="1">
      <alignment horizontal="right"/>
      <protection hidden="1"/>
    </xf>
    <xf numFmtId="9" fontId="4" fillId="4" borderId="7" xfId="0" applyNumberFormat="1" applyFont="1" applyFill="1" applyBorder="1" applyAlignment="1" applyProtection="1">
      <alignment horizontal="center"/>
      <protection locked="0"/>
    </xf>
    <xf numFmtId="49" fontId="24" fillId="7" borderId="33" xfId="0" applyNumberFormat="1" applyFont="1" applyFill="1" applyBorder="1" applyProtection="1">
      <protection hidden="1"/>
    </xf>
    <xf numFmtId="49" fontId="24" fillId="7" borderId="98" xfId="0" applyNumberFormat="1" applyFont="1" applyFill="1" applyBorder="1" applyProtection="1">
      <protection hidden="1"/>
    </xf>
    <xf numFmtId="0" fontId="2" fillId="0" borderId="130" xfId="0" applyFont="1" applyBorder="1" applyAlignment="1" applyProtection="1">
      <alignment horizontal="center" wrapText="1"/>
      <protection hidden="1"/>
    </xf>
    <xf numFmtId="49" fontId="7" fillId="4" borderId="5" xfId="0" applyNumberFormat="1" applyFont="1" applyFill="1" applyBorder="1" applyProtection="1">
      <protection hidden="1"/>
    </xf>
    <xf numFmtId="49" fontId="7" fillId="4" borderId="3" xfId="0" applyNumberFormat="1" applyFont="1" applyFill="1" applyBorder="1" applyProtection="1">
      <protection hidden="1"/>
    </xf>
    <xf numFmtId="49" fontId="2" fillId="4" borderId="3" xfId="0" applyNumberFormat="1" applyFont="1" applyFill="1" applyBorder="1" applyAlignment="1" applyProtection="1">
      <alignment horizontal="right"/>
      <protection hidden="1"/>
    </xf>
    <xf numFmtId="168" fontId="2" fillId="4" borderId="7" xfId="0" applyNumberFormat="1" applyFont="1" applyFill="1" applyBorder="1" applyAlignment="1" applyProtection="1">
      <alignment horizontal="center"/>
      <protection locked="0"/>
    </xf>
    <xf numFmtId="49" fontId="24" fillId="4" borderId="5" xfId="0" applyNumberFormat="1" applyFont="1" applyFill="1" applyBorder="1" applyProtection="1">
      <protection hidden="1"/>
    </xf>
    <xf numFmtId="49" fontId="24" fillId="4" borderId="3" xfId="0" applyNumberFormat="1" applyFont="1" applyFill="1" applyBorder="1" applyProtection="1">
      <protection hidden="1"/>
    </xf>
    <xf numFmtId="49" fontId="24" fillId="7" borderId="5" xfId="0" applyNumberFormat="1" applyFont="1" applyFill="1" applyBorder="1" applyAlignment="1" applyProtection="1">
      <alignment horizontal="right"/>
      <protection hidden="1"/>
    </xf>
    <xf numFmtId="3" fontId="4" fillId="2" borderId="7" xfId="0" applyNumberFormat="1" applyFont="1" applyFill="1" applyBorder="1" applyAlignment="1" applyProtection="1">
      <alignment horizontal="center"/>
      <protection hidden="1"/>
    </xf>
    <xf numFmtId="49" fontId="7" fillId="4" borderId="76" xfId="0" applyNumberFormat="1" applyFont="1" applyFill="1" applyBorder="1" applyProtection="1">
      <protection hidden="1"/>
    </xf>
    <xf numFmtId="49" fontId="7" fillId="4" borderId="6" xfId="0" applyNumberFormat="1" applyFont="1" applyFill="1" applyBorder="1" applyProtection="1">
      <protection hidden="1"/>
    </xf>
    <xf numFmtId="1" fontId="31" fillId="0" borderId="24" xfId="0" applyNumberFormat="1" applyFont="1" applyBorder="1" applyAlignment="1">
      <alignment horizontal="center" vertical="center" wrapText="1"/>
    </xf>
    <xf numFmtId="1" fontId="40" fillId="0" borderId="38" xfId="0" applyNumberFormat="1" applyFont="1" applyBorder="1" applyAlignment="1" applyProtection="1">
      <alignment horizontal="center" vertical="center" wrapText="1"/>
      <protection locked="0"/>
    </xf>
    <xf numFmtId="1" fontId="31" fillId="0" borderId="38" xfId="0" applyNumberFormat="1" applyFont="1" applyBorder="1" applyAlignment="1" applyProtection="1">
      <alignment horizontal="center" vertical="center" wrapText="1"/>
      <protection locked="0"/>
    </xf>
    <xf numFmtId="1" fontId="40" fillId="0" borderId="94" xfId="0" applyNumberFormat="1" applyFont="1" applyBorder="1" applyAlignment="1" applyProtection="1">
      <alignment horizontal="center" vertical="center" wrapText="1"/>
      <protection locked="0"/>
    </xf>
    <xf numFmtId="0" fontId="6" fillId="0" borderId="182"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180" xfId="0" applyFont="1" applyBorder="1" applyAlignment="1" applyProtection="1">
      <alignment horizontal="center" vertical="center" wrapText="1"/>
      <protection hidden="1"/>
    </xf>
    <xf numFmtId="0" fontId="5" fillId="0" borderId="26" xfId="0" quotePrefix="1" applyFont="1" applyBorder="1" applyAlignment="1" applyProtection="1">
      <alignment horizontal="center" vertical="center"/>
      <protection hidden="1"/>
    </xf>
    <xf numFmtId="0" fontId="13" fillId="0" borderId="183" xfId="0" applyFont="1" applyBorder="1" applyAlignment="1" applyProtection="1">
      <alignment horizontal="center" vertical="center" wrapText="1"/>
      <protection hidden="1"/>
    </xf>
    <xf numFmtId="0" fontId="5" fillId="0" borderId="14" xfId="0" applyFont="1" applyBorder="1" applyAlignment="1" applyProtection="1">
      <alignment horizontal="center" vertical="center" wrapText="1"/>
      <protection hidden="1"/>
    </xf>
    <xf numFmtId="0" fontId="5" fillId="0" borderId="26" xfId="0" applyFont="1" applyBorder="1" applyAlignment="1" applyProtection="1">
      <alignment horizontal="center" vertical="center" wrapText="1"/>
      <protection hidden="1"/>
    </xf>
    <xf numFmtId="0" fontId="5" fillId="0" borderId="16" xfId="0" applyFont="1" applyBorder="1" applyAlignment="1" applyProtection="1">
      <alignment horizontal="center" vertical="center" wrapText="1"/>
      <protection hidden="1"/>
    </xf>
    <xf numFmtId="0" fontId="13" fillId="0" borderId="16" xfId="0" applyFont="1" applyBorder="1" applyAlignment="1" applyProtection="1">
      <alignment horizontal="center" vertical="center" wrapText="1"/>
      <protection hidden="1"/>
    </xf>
    <xf numFmtId="0" fontId="13" fillId="0" borderId="30" xfId="0" applyFont="1" applyBorder="1" applyAlignment="1" applyProtection="1">
      <alignment horizontal="center" vertical="center" wrapText="1"/>
      <protection hidden="1"/>
    </xf>
    <xf numFmtId="49" fontId="33" fillId="11" borderId="184" xfId="217" applyNumberFormat="1" applyFont="1" applyFill="1" applyBorder="1" applyAlignment="1">
      <alignment horizontal="center" vertical="center"/>
    </xf>
    <xf numFmtId="49" fontId="7" fillId="4" borderId="2" xfId="0" applyNumberFormat="1" applyFont="1" applyFill="1" applyBorder="1" applyProtection="1">
      <protection hidden="1"/>
    </xf>
    <xf numFmtId="0" fontId="13" fillId="0" borderId="46" xfId="0" applyFont="1" applyBorder="1" applyAlignment="1" applyProtection="1">
      <alignment horizontal="center" vertical="center" wrapText="1"/>
      <protection hidden="1"/>
    </xf>
    <xf numFmtId="4" fontId="5" fillId="0" borderId="185" xfId="0" applyNumberFormat="1" applyFont="1" applyBorder="1" applyProtection="1">
      <protection locked="0"/>
    </xf>
    <xf numFmtId="4" fontId="40" fillId="11" borderId="73" xfId="0" applyNumberFormat="1" applyFont="1" applyFill="1" applyBorder="1" applyProtection="1">
      <protection hidden="1"/>
    </xf>
    <xf numFmtId="3" fontId="7" fillId="0" borderId="2" xfId="0" applyNumberFormat="1" applyFont="1" applyBorder="1" applyAlignment="1" applyProtection="1">
      <alignment horizontal="center"/>
      <protection hidden="1"/>
    </xf>
    <xf numFmtId="3" fontId="7" fillId="0" borderId="11" xfId="0" applyNumberFormat="1" applyFont="1" applyBorder="1" applyAlignment="1" applyProtection="1">
      <alignment horizontal="center"/>
      <protection hidden="1"/>
    </xf>
    <xf numFmtId="3" fontId="7" fillId="7" borderId="2" xfId="0" applyNumberFormat="1" applyFont="1" applyFill="1" applyBorder="1" applyAlignment="1" applyProtection="1">
      <alignment horizontal="center"/>
      <protection hidden="1"/>
    </xf>
    <xf numFmtId="0" fontId="101" fillId="0" borderId="186" xfId="0" applyFont="1" applyBorder="1" applyAlignment="1" applyProtection="1">
      <alignment vertical="center" wrapText="1" shrinkToFit="1"/>
      <protection hidden="1"/>
    </xf>
    <xf numFmtId="0" fontId="101" fillId="0" borderId="187" xfId="0" applyFont="1" applyBorder="1" applyAlignment="1" applyProtection="1">
      <alignment vertical="center" wrapText="1" shrinkToFit="1"/>
      <protection hidden="1"/>
    </xf>
    <xf numFmtId="0" fontId="102" fillId="10" borderId="94" xfId="0" applyFont="1" applyFill="1" applyBorder="1" applyAlignment="1" applyProtection="1">
      <alignment horizontal="right" vertical="center" wrapText="1" shrinkToFit="1"/>
      <protection hidden="1"/>
    </xf>
    <xf numFmtId="1" fontId="4" fillId="0" borderId="24"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38" xfId="0" applyFont="1" applyBorder="1" applyAlignment="1">
      <alignment horizontal="center" vertical="center" textRotation="90" wrapText="1"/>
    </xf>
    <xf numFmtId="0" fontId="13" fillId="0" borderId="65" xfId="0" applyFont="1" applyBorder="1" applyAlignment="1">
      <alignment horizontal="center" vertical="center" textRotation="90" wrapText="1"/>
    </xf>
    <xf numFmtId="0" fontId="13" fillId="0" borderId="65" xfId="0" applyFont="1" applyBorder="1" applyAlignment="1">
      <alignment horizontal="centerContinuous" vertical="center" wrapText="1"/>
    </xf>
    <xf numFmtId="0" fontId="6" fillId="0" borderId="43" xfId="0" applyFont="1" applyBorder="1" applyAlignment="1">
      <alignment horizontal="center"/>
    </xf>
    <xf numFmtId="4" fontId="41" fillId="21" borderId="188" xfId="0" applyNumberFormat="1" applyFont="1" applyFill="1" applyBorder="1" applyAlignment="1" applyProtection="1">
      <alignment vertical="center" wrapText="1"/>
      <protection locked="0"/>
    </xf>
    <xf numFmtId="0" fontId="41" fillId="14" borderId="94" xfId="0" applyFont="1" applyFill="1" applyBorder="1"/>
    <xf numFmtId="0" fontId="41" fillId="14" borderId="32" xfId="0" applyFont="1" applyFill="1" applyBorder="1"/>
    <xf numFmtId="0" fontId="41" fillId="14" borderId="32" xfId="0" applyFont="1" applyFill="1" applyBorder="1" applyAlignment="1">
      <alignment horizontal="right"/>
    </xf>
    <xf numFmtId="4" fontId="41" fillId="14" borderId="32" xfId="0" applyNumberFormat="1" applyFont="1" applyFill="1" applyBorder="1"/>
    <xf numFmtId="10" fontId="53" fillId="14" borderId="91" xfId="0" applyNumberFormat="1" applyFont="1" applyFill="1" applyBorder="1" applyAlignment="1">
      <alignment vertical="center"/>
    </xf>
    <xf numFmtId="0" fontId="6" fillId="4" borderId="0" xfId="0" applyFont="1" applyFill="1"/>
    <xf numFmtId="9" fontId="0" fillId="0" borderId="0" xfId="0" applyNumberFormat="1"/>
    <xf numFmtId="4" fontId="6" fillId="4" borderId="0" xfId="0" applyNumberFormat="1" applyFont="1" applyFill="1"/>
    <xf numFmtId="0" fontId="52" fillId="0" borderId="0" xfId="0" applyFont="1" applyAlignment="1">
      <alignment horizontal="center"/>
    </xf>
    <xf numFmtId="4" fontId="6" fillId="13" borderId="116" xfId="0" applyNumberFormat="1" applyFont="1" applyFill="1" applyBorder="1" applyAlignment="1" applyProtection="1">
      <alignment horizontal="right" vertical="center" wrapText="1"/>
      <protection hidden="1"/>
    </xf>
    <xf numFmtId="4" fontId="13" fillId="13" borderId="4" xfId="0" applyNumberFormat="1" applyFont="1" applyFill="1" applyBorder="1" applyAlignment="1" applyProtection="1">
      <alignment horizontal="right" vertical="center" wrapText="1"/>
      <protection hidden="1"/>
    </xf>
    <xf numFmtId="0" fontId="86" fillId="0" borderId="118" xfId="0" applyFont="1" applyBorder="1" applyAlignment="1" applyProtection="1">
      <alignment wrapText="1"/>
      <protection hidden="1"/>
    </xf>
    <xf numFmtId="4" fontId="80" fillId="13" borderId="116" xfId="0" applyNumberFormat="1" applyFont="1" applyFill="1" applyBorder="1" applyAlignment="1" applyProtection="1">
      <alignment horizontal="right" vertical="center"/>
      <protection hidden="1"/>
    </xf>
    <xf numFmtId="4" fontId="60" fillId="13" borderId="4" xfId="0" applyNumberFormat="1" applyFont="1" applyFill="1" applyBorder="1" applyAlignment="1" applyProtection="1">
      <alignment horizontal="right"/>
      <protection hidden="1"/>
    </xf>
    <xf numFmtId="0" fontId="5" fillId="0" borderId="96" xfId="0" applyFont="1" applyBorder="1" applyAlignment="1" applyProtection="1">
      <alignment horizontal="center" vertical="center" wrapText="1"/>
      <protection hidden="1"/>
    </xf>
    <xf numFmtId="0" fontId="6" fillId="0" borderId="189" xfId="0" applyFont="1" applyBorder="1" applyAlignment="1" applyProtection="1">
      <alignment horizontal="center" vertical="center" wrapText="1"/>
      <protection hidden="1"/>
    </xf>
    <xf numFmtId="0" fontId="6" fillId="0" borderId="11" xfId="0" applyFont="1" applyBorder="1" applyAlignment="1" applyProtection="1">
      <alignment horizontal="center" vertical="center" wrapText="1"/>
      <protection hidden="1"/>
    </xf>
    <xf numFmtId="0" fontId="6" fillId="0" borderId="11" xfId="0" applyFont="1" applyBorder="1" applyAlignment="1" applyProtection="1">
      <alignment vertical="center" wrapText="1" shrinkToFit="1"/>
      <protection hidden="1"/>
    </xf>
    <xf numFmtId="0" fontId="41" fillId="14" borderId="24" xfId="0" applyFont="1" applyFill="1" applyBorder="1"/>
    <xf numFmtId="0" fontId="41" fillId="14" borderId="31" xfId="0" applyFont="1" applyFill="1" applyBorder="1"/>
    <xf numFmtId="0" fontId="41" fillId="14" borderId="31" xfId="0" applyFont="1" applyFill="1" applyBorder="1" applyAlignment="1">
      <alignment horizontal="right"/>
    </xf>
    <xf numFmtId="4" fontId="41" fillId="14" borderId="31" xfId="0" applyNumberFormat="1" applyFont="1" applyFill="1" applyBorder="1"/>
    <xf numFmtId="4" fontId="41" fillId="21" borderId="190" xfId="0" applyNumberFormat="1" applyFont="1" applyFill="1" applyBorder="1" applyAlignment="1" applyProtection="1">
      <alignment vertical="center" wrapText="1"/>
      <protection locked="0"/>
    </xf>
    <xf numFmtId="4" fontId="41" fillId="21" borderId="191" xfId="0" applyNumberFormat="1" applyFont="1" applyFill="1" applyBorder="1" applyAlignment="1" applyProtection="1">
      <alignment vertical="center" wrapText="1"/>
      <protection locked="0"/>
    </xf>
    <xf numFmtId="10" fontId="41" fillId="14" borderId="192" xfId="0" applyNumberFormat="1" applyFont="1" applyFill="1" applyBorder="1" applyAlignment="1">
      <alignment vertical="center"/>
    </xf>
    <xf numFmtId="10" fontId="41" fillId="14" borderId="193" xfId="0" applyNumberFormat="1" applyFont="1" applyFill="1" applyBorder="1" applyAlignment="1">
      <alignment vertical="center"/>
    </xf>
    <xf numFmtId="0" fontId="6" fillId="0" borderId="194" xfId="0" applyFont="1" applyBorder="1" applyAlignment="1">
      <alignment vertical="center" wrapText="1"/>
    </xf>
    <xf numFmtId="0" fontId="6" fillId="0" borderId="195" xfId="0" applyFont="1" applyBorder="1" applyAlignment="1">
      <alignment vertical="center" wrapText="1"/>
    </xf>
    <xf numFmtId="0" fontId="13" fillId="0" borderId="195" xfId="0" applyFont="1" applyBorder="1" applyAlignment="1">
      <alignment horizontal="center" vertical="center" wrapText="1"/>
    </xf>
    <xf numFmtId="0" fontId="6" fillId="0" borderId="195" xfId="0" applyFont="1" applyBorder="1"/>
    <xf numFmtId="0" fontId="6" fillId="0" borderId="196" xfId="0" applyFont="1" applyBorder="1"/>
    <xf numFmtId="0" fontId="0" fillId="0" borderId="0" xfId="0" applyAlignment="1">
      <alignment horizontal="right"/>
    </xf>
    <xf numFmtId="10" fontId="26" fillId="2" borderId="54" xfId="0" applyNumberFormat="1" applyFont="1" applyFill="1" applyBorder="1" applyProtection="1">
      <protection locked="0"/>
    </xf>
    <xf numFmtId="49" fontId="1" fillId="9" borderId="0" xfId="0" applyNumberFormat="1" applyFont="1" applyFill="1" applyAlignment="1">
      <alignment horizontal="center"/>
    </xf>
    <xf numFmtId="49" fontId="38" fillId="0" borderId="0" xfId="0" applyNumberFormat="1" applyFont="1" applyAlignment="1">
      <alignment horizontal="center"/>
    </xf>
    <xf numFmtId="0" fontId="5" fillId="0" borderId="197" xfId="0" applyFont="1" applyBorder="1" applyAlignment="1" applyProtection="1">
      <alignment horizontal="center"/>
      <protection locked="0"/>
    </xf>
    <xf numFmtId="0" fontId="6" fillId="0" borderId="0" xfId="0" applyFont="1" applyAlignment="1">
      <alignment horizontal="left"/>
    </xf>
    <xf numFmtId="0" fontId="6" fillId="0" borderId="2" xfId="0" applyFont="1" applyBorder="1"/>
    <xf numFmtId="0" fontId="13" fillId="0" borderId="2" xfId="0" applyFont="1" applyBorder="1"/>
    <xf numFmtId="14" fontId="5" fillId="0" borderId="0" xfId="0" applyNumberFormat="1" applyFont="1" applyProtection="1">
      <protection locked="0"/>
    </xf>
    <xf numFmtId="0" fontId="33" fillId="11" borderId="198" xfId="217" applyFont="1" applyFill="1" applyBorder="1" applyAlignment="1">
      <alignment horizontal="center"/>
    </xf>
    <xf numFmtId="0" fontId="5" fillId="20" borderId="50" xfId="0" applyFont="1" applyFill="1" applyBorder="1" applyAlignment="1" applyProtection="1">
      <alignment vertical="center"/>
      <protection locked="0"/>
    </xf>
    <xf numFmtId="1" fontId="5" fillId="4" borderId="71" xfId="0" applyNumberFormat="1" applyFont="1" applyFill="1" applyBorder="1" applyAlignment="1" applyProtection="1">
      <alignment horizontal="right"/>
      <protection locked="0"/>
    </xf>
    <xf numFmtId="2" fontId="5" fillId="4" borderId="71" xfId="0" applyNumberFormat="1" applyFont="1" applyFill="1" applyBorder="1" applyAlignment="1" applyProtection="1">
      <alignment horizontal="center"/>
      <protection locked="0"/>
    </xf>
    <xf numFmtId="0" fontId="5" fillId="4" borderId="71" xfId="0" applyFont="1" applyFill="1" applyBorder="1" applyAlignment="1" applyProtection="1">
      <alignment horizontal="right"/>
      <protection locked="0"/>
    </xf>
    <xf numFmtId="4" fontId="27" fillId="11" borderId="7" xfId="0" applyNumberFormat="1" applyFont="1" applyFill="1" applyBorder="1" applyAlignment="1" applyProtection="1">
      <alignment horizontal="center"/>
      <protection hidden="1"/>
    </xf>
    <xf numFmtId="1" fontId="5" fillId="0" borderId="17" xfId="0" applyNumberFormat="1" applyFont="1" applyBorder="1" applyAlignment="1">
      <alignment horizontal="center"/>
    </xf>
    <xf numFmtId="1" fontId="5" fillId="0" borderId="17" xfId="0" applyNumberFormat="1" applyFont="1" applyBorder="1" applyAlignment="1" applyProtection="1">
      <alignment horizontal="center"/>
      <protection locked="0"/>
    </xf>
    <xf numFmtId="1" fontId="5" fillId="0" borderId="56" xfId="0" applyNumberFormat="1" applyFont="1" applyBorder="1" applyAlignment="1" applyProtection="1">
      <alignment horizontal="center"/>
      <protection locked="0"/>
    </xf>
    <xf numFmtId="10" fontId="5" fillId="13" borderId="33" xfId="0" applyNumberFormat="1" applyFont="1" applyFill="1" applyBorder="1" applyProtection="1">
      <protection locked="0"/>
    </xf>
    <xf numFmtId="0" fontId="28" fillId="0" borderId="0" xfId="0" applyFont="1" applyAlignment="1" applyProtection="1">
      <alignment horizontal="left" vertical="center" wrapText="1"/>
      <protection hidden="1"/>
    </xf>
    <xf numFmtId="0" fontId="29" fillId="0" borderId="0" xfId="0" applyFont="1" applyAlignment="1" applyProtection="1">
      <alignment horizontal="left" vertical="center" wrapText="1"/>
      <protection hidden="1"/>
    </xf>
    <xf numFmtId="0" fontId="15" fillId="0" borderId="0" xfId="0" applyFont="1" applyAlignment="1" applyProtection="1">
      <alignment horizontal="left" vertical="center" wrapText="1"/>
      <protection locked="0"/>
    </xf>
    <xf numFmtId="0" fontId="16" fillId="0" borderId="0" xfId="0" applyFont="1" applyAlignment="1" applyProtection="1">
      <alignment vertical="center" wrapText="1"/>
      <protection locked="0"/>
    </xf>
    <xf numFmtId="0" fontId="103" fillId="0" borderId="96" xfId="0" applyFont="1" applyBorder="1" applyAlignment="1" applyProtection="1">
      <alignment horizontal="center" vertical="center" wrapText="1"/>
      <protection hidden="1"/>
    </xf>
    <xf numFmtId="1" fontId="6" fillId="0" borderId="189" xfId="0" applyNumberFormat="1" applyFont="1" applyBorder="1" applyAlignment="1" applyProtection="1">
      <alignment horizontal="center" vertical="center" wrapText="1"/>
      <protection locked="0"/>
    </xf>
    <xf numFmtId="0" fontId="6" fillId="12" borderId="11" xfId="0" applyFont="1" applyFill="1" applyBorder="1" applyAlignment="1" applyProtection="1">
      <alignment horizontal="center" vertical="center" wrapText="1"/>
      <protection hidden="1"/>
    </xf>
    <xf numFmtId="0" fontId="6" fillId="11" borderId="11" xfId="0" applyFont="1" applyFill="1" applyBorder="1" applyAlignment="1" applyProtection="1">
      <alignment horizontal="center" vertical="center" wrapText="1"/>
      <protection hidden="1"/>
    </xf>
    <xf numFmtId="0" fontId="6" fillId="11" borderId="11" xfId="0" applyFont="1" applyFill="1" applyBorder="1" applyAlignment="1" applyProtection="1">
      <alignment vertical="center" wrapText="1" shrinkToFit="1"/>
      <protection hidden="1"/>
    </xf>
    <xf numFmtId="4" fontId="6" fillId="11" borderId="11" xfId="0" applyNumberFormat="1" applyFont="1" applyFill="1" applyBorder="1" applyAlignment="1" applyProtection="1">
      <alignment vertical="center" wrapText="1"/>
      <protection locked="0"/>
    </xf>
    <xf numFmtId="4" fontId="6" fillId="0" borderId="105" xfId="0" applyNumberFormat="1" applyFont="1" applyBorder="1" applyAlignment="1" applyProtection="1">
      <alignment vertical="center" wrapText="1"/>
      <protection locked="0"/>
    </xf>
    <xf numFmtId="0" fontId="6" fillId="11" borderId="199" xfId="0" applyFont="1" applyFill="1" applyBorder="1" applyAlignment="1" applyProtection="1">
      <alignment horizontal="center" vertical="center" wrapText="1"/>
      <protection hidden="1"/>
    </xf>
    <xf numFmtId="0" fontId="6" fillId="12" borderId="7" xfId="0" applyFont="1" applyFill="1" applyBorder="1" applyAlignment="1" applyProtection="1">
      <alignment horizontal="center" vertical="center" wrapText="1"/>
      <protection hidden="1"/>
    </xf>
    <xf numFmtId="0" fontId="6" fillId="0" borderId="189" xfId="0" applyFont="1" applyBorder="1" applyAlignment="1" applyProtection="1">
      <alignment horizontal="center" vertical="center" wrapText="1"/>
      <protection locked="0"/>
    </xf>
    <xf numFmtId="0" fontId="6" fillId="0" borderId="11" xfId="0" applyFont="1" applyBorder="1" applyAlignment="1" applyProtection="1">
      <alignment vertical="center" wrapText="1"/>
      <protection hidden="1"/>
    </xf>
    <xf numFmtId="0" fontId="6" fillId="0" borderId="200" xfId="0" applyFont="1" applyBorder="1" applyAlignment="1" applyProtection="1">
      <alignment horizontal="center" vertical="center" wrapText="1"/>
      <protection locked="0"/>
    </xf>
    <xf numFmtId="0" fontId="6" fillId="12" borderId="8" xfId="0" applyFont="1" applyFill="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6" fillId="0" borderId="8" xfId="0" applyFont="1" applyBorder="1" applyAlignment="1" applyProtection="1">
      <alignment vertical="center" wrapText="1"/>
      <protection hidden="1"/>
    </xf>
    <xf numFmtId="4" fontId="6" fillId="0" borderId="8" xfId="0" applyNumberFormat="1" applyFont="1" applyBorder="1" applyAlignment="1" applyProtection="1">
      <alignment vertical="center" wrapText="1"/>
      <protection locked="0"/>
    </xf>
    <xf numFmtId="0" fontId="6" fillId="12" borderId="55" xfId="0" applyFont="1" applyFill="1" applyBorder="1" applyAlignment="1" applyProtection="1">
      <alignment horizontal="center" vertical="center" wrapText="1"/>
      <protection hidden="1"/>
    </xf>
    <xf numFmtId="49" fontId="0" fillId="0" borderId="0" xfId="0" applyNumberFormat="1" applyAlignment="1">
      <alignment horizontal="center"/>
    </xf>
    <xf numFmtId="49" fontId="0" fillId="0" borderId="98" xfId="0" applyNumberFormat="1" applyBorder="1" applyAlignment="1">
      <alignment horizontal="center"/>
    </xf>
    <xf numFmtId="49" fontId="0" fillId="0" borderId="55" xfId="0" applyNumberFormat="1" applyBorder="1" applyAlignment="1">
      <alignment horizontal="center"/>
    </xf>
    <xf numFmtId="49" fontId="6" fillId="0" borderId="0" xfId="0" applyNumberFormat="1" applyFont="1" applyAlignment="1">
      <alignment horizontal="center" vertical="center"/>
    </xf>
    <xf numFmtId="49" fontId="32" fillId="24" borderId="2" xfId="0" applyNumberFormat="1" applyFont="1" applyFill="1" applyBorder="1" applyAlignment="1">
      <alignment horizontal="center" vertical="center"/>
    </xf>
    <xf numFmtId="49" fontId="32" fillId="24" borderId="5" xfId="0" applyNumberFormat="1" applyFont="1" applyFill="1" applyBorder="1" applyAlignment="1">
      <alignment horizontal="center" vertical="center"/>
    </xf>
    <xf numFmtId="49" fontId="32" fillId="24" borderId="64" xfId="0" applyNumberFormat="1" applyFont="1" applyFill="1" applyBorder="1" applyAlignment="1">
      <alignment horizontal="center" vertical="center"/>
    </xf>
    <xf numFmtId="49" fontId="32" fillId="3" borderId="0" xfId="0" applyNumberFormat="1" applyFont="1" applyFill="1" applyAlignment="1">
      <alignment horizontal="center" vertical="center"/>
    </xf>
    <xf numFmtId="49" fontId="32" fillId="24" borderId="0" xfId="0" applyNumberFormat="1" applyFont="1" applyFill="1" applyAlignment="1">
      <alignment horizontal="center" vertical="center"/>
    </xf>
    <xf numFmtId="49" fontId="6" fillId="15" borderId="0" xfId="0" applyNumberFormat="1" applyFont="1" applyFill="1" applyAlignment="1">
      <alignment horizontal="center" vertical="center"/>
    </xf>
    <xf numFmtId="49" fontId="13" fillId="15" borderId="33" xfId="0" applyNumberFormat="1" applyFont="1" applyFill="1" applyBorder="1" applyAlignment="1">
      <alignment horizontal="center" vertical="center"/>
    </xf>
    <xf numFmtId="49" fontId="13" fillId="15" borderId="0" xfId="0" applyNumberFormat="1" applyFont="1" applyFill="1" applyAlignment="1">
      <alignment horizontal="center" vertical="center"/>
    </xf>
    <xf numFmtId="49" fontId="34" fillId="0" borderId="0" xfId="220" applyNumberFormat="1" applyFont="1" applyAlignment="1">
      <alignment vertical="center" wrapText="1"/>
    </xf>
    <xf numFmtId="49" fontId="41" fillId="3" borderId="0" xfId="0" applyNumberFormat="1" applyFont="1" applyFill="1" applyAlignment="1">
      <alignment horizontal="center" vertical="center"/>
    </xf>
    <xf numFmtId="49" fontId="33" fillId="0" borderId="0" xfId="215" applyNumberFormat="1" applyFont="1" applyAlignment="1">
      <alignment horizontal="center" vertical="center" textRotation="90" wrapText="1"/>
    </xf>
    <xf numFmtId="1" fontId="33" fillId="0" borderId="0" xfId="0" applyNumberFormat="1" applyFont="1" applyAlignment="1">
      <alignment horizontal="center" vertical="center" textRotation="90" wrapText="1"/>
    </xf>
    <xf numFmtId="1" fontId="35" fillId="0" borderId="0" xfId="0" applyNumberFormat="1" applyFont="1" applyAlignment="1">
      <alignment horizontal="center" vertical="center" textRotation="90" wrapText="1"/>
    </xf>
    <xf numFmtId="49" fontId="99" fillId="0" borderId="0" xfId="215" applyNumberFormat="1" applyFont="1" applyAlignment="1">
      <alignment horizontal="center" vertical="center" textRotation="90" wrapText="1"/>
    </xf>
    <xf numFmtId="0" fontId="0" fillId="11" borderId="0" xfId="0" applyFill="1" applyAlignment="1">
      <alignment horizontal="center" vertical="center" textRotation="90" wrapText="1"/>
    </xf>
    <xf numFmtId="0" fontId="38" fillId="0" borderId="0" xfId="0" applyFont="1" applyAlignment="1">
      <alignment horizontal="center" vertical="center" textRotation="90" wrapText="1"/>
    </xf>
    <xf numFmtId="0" fontId="50" fillId="0" borderId="0" xfId="0" applyFont="1" applyAlignment="1" applyProtection="1">
      <alignment wrapText="1"/>
      <protection hidden="1"/>
    </xf>
    <xf numFmtId="0" fontId="22" fillId="0" borderId="54" xfId="0" applyFont="1" applyBorder="1" applyAlignment="1" applyProtection="1">
      <alignment horizontal="center"/>
      <protection locked="0"/>
    </xf>
    <xf numFmtId="4" fontId="22" fillId="0" borderId="50" xfId="0" applyNumberFormat="1" applyFont="1" applyBorder="1" applyProtection="1">
      <protection locked="0"/>
    </xf>
    <xf numFmtId="0" fontId="66" fillId="14" borderId="3" xfId="0" applyFont="1" applyFill="1" applyBorder="1" applyAlignment="1" applyProtection="1">
      <alignment horizontal="center" vertical="center" wrapText="1"/>
      <protection hidden="1"/>
    </xf>
    <xf numFmtId="4" fontId="6" fillId="0" borderId="0" xfId="0" applyNumberFormat="1" applyFont="1" applyAlignment="1" applyProtection="1">
      <alignment horizontal="left"/>
      <protection hidden="1"/>
    </xf>
    <xf numFmtId="0" fontId="13" fillId="0" borderId="122" xfId="0" applyFont="1" applyBorder="1" applyAlignment="1" applyProtection="1">
      <alignment horizontal="center"/>
      <protection hidden="1"/>
    </xf>
    <xf numFmtId="4" fontId="13" fillId="0" borderId="123" xfId="0" applyNumberFormat="1" applyFont="1" applyBorder="1" applyAlignment="1" applyProtection="1">
      <alignment horizontal="right"/>
      <protection hidden="1"/>
    </xf>
    <xf numFmtId="4" fontId="13" fillId="0" borderId="124" xfId="0" applyNumberFormat="1" applyFont="1" applyBorder="1" applyAlignment="1" applyProtection="1">
      <alignment horizontal="right"/>
      <protection hidden="1"/>
    </xf>
    <xf numFmtId="4" fontId="13" fillId="0" borderId="123" xfId="0" applyNumberFormat="1" applyFont="1" applyBorder="1" applyAlignment="1" applyProtection="1">
      <alignment horizontal="right" vertical="center" wrapText="1"/>
      <protection hidden="1"/>
    </xf>
    <xf numFmtId="0" fontId="6" fillId="0" borderId="0" xfId="0" quotePrefix="1" applyFont="1"/>
    <xf numFmtId="0" fontId="5" fillId="4" borderId="17" xfId="0" applyFont="1" applyFill="1" applyBorder="1" applyProtection="1">
      <protection locked="0"/>
    </xf>
    <xf numFmtId="49" fontId="7" fillId="6" borderId="201" xfId="0" applyNumberFormat="1" applyFont="1" applyFill="1" applyBorder="1" applyAlignment="1" applyProtection="1">
      <alignment horizontal="center" vertical="center" wrapText="1"/>
      <protection hidden="1"/>
    </xf>
    <xf numFmtId="0" fontId="7" fillId="0" borderId="202" xfId="0" applyFont="1" applyBorder="1" applyAlignment="1" applyProtection="1">
      <alignment horizontal="center"/>
      <protection locked="0"/>
    </xf>
    <xf numFmtId="1" fontId="7" fillId="22" borderId="54" xfId="0" applyNumberFormat="1" applyFont="1" applyFill="1" applyBorder="1" applyAlignment="1" applyProtection="1">
      <alignment horizontal="center"/>
      <protection locked="0"/>
    </xf>
    <xf numFmtId="0" fontId="5" fillId="4" borderId="203" xfId="0" applyFont="1" applyFill="1" applyBorder="1" applyAlignment="1" applyProtection="1">
      <alignment horizontal="center"/>
      <protection locked="0"/>
    </xf>
    <xf numFmtId="0" fontId="5" fillId="11" borderId="50" xfId="0" applyFont="1" applyFill="1" applyBorder="1" applyAlignment="1" applyProtection="1">
      <alignment horizontal="right" vertical="top"/>
      <protection locked="0"/>
    </xf>
    <xf numFmtId="0" fontId="5" fillId="0" borderId="50" xfId="0" applyFont="1" applyBorder="1" applyAlignment="1" applyProtection="1">
      <alignment horizontal="right" vertical="top"/>
      <protection locked="0"/>
    </xf>
    <xf numFmtId="10" fontId="5" fillId="4" borderId="0" xfId="0" applyNumberFormat="1" applyFont="1" applyFill="1" applyProtection="1">
      <protection locked="0"/>
    </xf>
    <xf numFmtId="2" fontId="24" fillId="7" borderId="0" xfId="0" applyNumberFormat="1" applyFont="1" applyFill="1" applyAlignment="1" applyProtection="1">
      <alignment horizontal="center"/>
      <protection hidden="1"/>
    </xf>
    <xf numFmtId="0" fontId="50" fillId="11" borderId="5" xfId="0" applyFont="1" applyFill="1" applyBorder="1" applyAlignment="1" applyProtection="1">
      <alignment horizontal="center" vertical="center" wrapText="1"/>
      <protection hidden="1"/>
    </xf>
    <xf numFmtId="0" fontId="22" fillId="11" borderId="54" xfId="0" applyFont="1" applyFill="1" applyBorder="1" applyAlignment="1" applyProtection="1">
      <alignment horizontal="center"/>
      <protection locked="0"/>
    </xf>
    <xf numFmtId="0" fontId="22" fillId="0" borderId="50" xfId="0" applyFont="1" applyBorder="1" applyProtection="1">
      <protection locked="0"/>
    </xf>
    <xf numFmtId="0" fontId="5" fillId="0" borderId="176" xfId="0" applyFont="1" applyBorder="1"/>
    <xf numFmtId="0" fontId="5" fillId="0" borderId="17" xfId="0" applyFont="1" applyBorder="1"/>
    <xf numFmtId="4" fontId="20" fillId="4" borderId="3" xfId="0" applyNumberFormat="1" applyFont="1" applyFill="1" applyBorder="1" applyProtection="1">
      <protection locked="0"/>
    </xf>
    <xf numFmtId="10" fontId="24" fillId="6" borderId="0" xfId="0" applyNumberFormat="1" applyFont="1" applyFill="1" applyProtection="1">
      <protection locked="0"/>
    </xf>
    <xf numFmtId="0" fontId="5" fillId="11" borderId="204" xfId="0" applyFont="1" applyFill="1" applyBorder="1" applyProtection="1">
      <protection locked="0"/>
    </xf>
    <xf numFmtId="0" fontId="5" fillId="11" borderId="17" xfId="0" applyFont="1" applyFill="1" applyBorder="1" applyAlignment="1" applyProtection="1">
      <alignment vertical="center"/>
      <protection locked="0"/>
    </xf>
    <xf numFmtId="0" fontId="5" fillId="0" borderId="205" xfId="0" applyFont="1" applyBorder="1" applyAlignment="1" applyProtection="1">
      <alignment vertical="center"/>
      <protection locked="0"/>
    </xf>
    <xf numFmtId="0" fontId="106" fillId="0" borderId="0" xfId="0" applyFont="1" applyAlignment="1" applyProtection="1">
      <alignment horizontal="center" vertical="center" wrapText="1"/>
      <protection hidden="1"/>
    </xf>
    <xf numFmtId="0" fontId="6" fillId="0" borderId="2" xfId="0" applyFont="1" applyBorder="1" applyAlignment="1">
      <alignment wrapText="1"/>
    </xf>
    <xf numFmtId="0" fontId="13" fillId="0" borderId="31" xfId="0" applyFont="1" applyBorder="1" applyAlignment="1">
      <alignment horizontal="center" vertical="center"/>
    </xf>
    <xf numFmtId="0" fontId="13" fillId="0" borderId="25" xfId="0" applyFont="1" applyBorder="1" applyAlignment="1">
      <alignment horizontal="center" vertical="center"/>
    </xf>
    <xf numFmtId="0" fontId="6" fillId="0" borderId="26" xfId="0" applyFont="1" applyBorder="1"/>
    <xf numFmtId="4" fontId="13" fillId="0" borderId="0" xfId="0" applyNumberFormat="1" applyFont="1" applyAlignment="1">
      <alignment horizontal="left"/>
    </xf>
    <xf numFmtId="4" fontId="13" fillId="0" borderId="0" xfId="0" applyNumberFormat="1" applyFont="1"/>
    <xf numFmtId="0" fontId="13" fillId="0" borderId="27" xfId="0" applyFont="1" applyBorder="1"/>
    <xf numFmtId="0" fontId="6" fillId="0" borderId="94" xfId="0" applyFont="1" applyBorder="1"/>
    <xf numFmtId="4" fontId="13" fillId="0" borderId="32" xfId="0" applyNumberFormat="1" applyFont="1" applyBorder="1" applyAlignment="1">
      <alignment horizontal="left" vertical="center"/>
    </xf>
    <xf numFmtId="4" fontId="13" fillId="0" borderId="32" xfId="0" applyNumberFormat="1" applyFont="1" applyBorder="1"/>
    <xf numFmtId="4" fontId="13" fillId="2" borderId="0" xfId="0" applyNumberFormat="1" applyFont="1" applyFill="1"/>
    <xf numFmtId="4" fontId="13" fillId="2" borderId="93" xfId="0" applyNumberFormat="1" applyFont="1" applyFill="1" applyBorder="1"/>
    <xf numFmtId="0" fontId="6" fillId="0" borderId="24" xfId="0" applyFont="1" applyBorder="1" applyAlignment="1">
      <alignment horizontal="center"/>
    </xf>
    <xf numFmtId="0" fontId="6" fillId="0" borderId="31" xfId="0" applyFont="1" applyBorder="1" applyAlignment="1">
      <alignment horizontal="center"/>
    </xf>
    <xf numFmtId="4" fontId="6" fillId="0" borderId="31" xfId="0" applyNumberFormat="1" applyFont="1" applyBorder="1"/>
    <xf numFmtId="4" fontId="6" fillId="0" borderId="25" xfId="0" applyNumberFormat="1" applyFont="1" applyBorder="1"/>
    <xf numFmtId="4" fontId="6" fillId="0" borderId="32" xfId="0" applyNumberFormat="1" applyFont="1" applyBorder="1"/>
    <xf numFmtId="4" fontId="6" fillId="0" borderId="93" xfId="0" applyNumberFormat="1" applyFont="1" applyBorder="1"/>
    <xf numFmtId="0" fontId="13" fillId="0" borderId="2" xfId="0" applyFont="1" applyBorder="1" applyAlignment="1">
      <alignment horizontal="center"/>
    </xf>
    <xf numFmtId="0" fontId="6" fillId="13" borderId="2" xfId="0" quotePrefix="1" applyFont="1" applyFill="1" applyBorder="1" applyAlignment="1" applyProtection="1">
      <alignment horizontal="center" vertical="center" wrapText="1"/>
      <protection hidden="1"/>
    </xf>
    <xf numFmtId="0" fontId="6" fillId="0" borderId="2" xfId="0" quotePrefix="1" applyFont="1" applyBorder="1" applyAlignment="1" applyProtection="1">
      <alignment horizontal="center" vertical="center" wrapText="1"/>
      <protection hidden="1"/>
    </xf>
    <xf numFmtId="0" fontId="49" fillId="0" borderId="3" xfId="0" applyFont="1" applyBorder="1" applyAlignment="1" applyProtection="1">
      <alignment horizontal="center" vertical="center" wrapText="1"/>
      <protection hidden="1"/>
    </xf>
    <xf numFmtId="0" fontId="5" fillId="0" borderId="206" xfId="0" applyFont="1" applyBorder="1" applyProtection="1">
      <protection locked="0"/>
    </xf>
    <xf numFmtId="0" fontId="7" fillId="11" borderId="207" xfId="0" applyFont="1" applyFill="1" applyBorder="1" applyAlignment="1" applyProtection="1">
      <alignment horizontal="center"/>
      <protection locked="0"/>
    </xf>
    <xf numFmtId="0" fontId="7" fillId="0" borderId="208" xfId="0" applyFont="1" applyBorder="1" applyAlignment="1" applyProtection="1">
      <alignment horizontal="center"/>
      <protection locked="0"/>
    </xf>
    <xf numFmtId="49" fontId="41" fillId="7" borderId="0" xfId="0" applyNumberFormat="1" applyFont="1" applyFill="1" applyAlignment="1">
      <alignment horizontal="center" vertical="center"/>
    </xf>
    <xf numFmtId="3" fontId="5" fillId="0" borderId="0" xfId="0" applyNumberFormat="1" applyFont="1" applyAlignment="1" applyProtection="1">
      <alignment horizontal="left" wrapText="1"/>
      <protection hidden="1"/>
    </xf>
    <xf numFmtId="0" fontId="5" fillId="0" borderId="31" xfId="0" applyFont="1" applyBorder="1" applyAlignment="1" applyProtection="1">
      <alignment vertical="center" wrapText="1"/>
      <protection hidden="1"/>
    </xf>
    <xf numFmtId="0" fontId="5" fillId="0" borderId="32" xfId="0" applyFont="1" applyBorder="1" applyAlignment="1" applyProtection="1">
      <alignment vertical="center" wrapText="1"/>
      <protection hidden="1"/>
    </xf>
    <xf numFmtId="1" fontId="5" fillId="4" borderId="46" xfId="0" applyNumberFormat="1" applyFont="1" applyFill="1" applyBorder="1" applyProtection="1">
      <protection hidden="1"/>
    </xf>
    <xf numFmtId="169" fontId="5" fillId="0" borderId="33" xfId="0" applyNumberFormat="1" applyFont="1" applyBorder="1" applyAlignment="1" applyProtection="1">
      <alignment horizontal="center" vertical="center" textRotation="90" wrapText="1"/>
      <protection hidden="1"/>
    </xf>
    <xf numFmtId="0" fontId="2" fillId="0" borderId="0" xfId="0" applyFont="1" applyAlignment="1" applyProtection="1">
      <alignment horizontal="center"/>
      <protection hidden="1"/>
    </xf>
    <xf numFmtId="0" fontId="6" fillId="0" borderId="98" xfId="0" applyFont="1" applyBorder="1"/>
    <xf numFmtId="0" fontId="6" fillId="0" borderId="64" xfId="0" applyFont="1" applyBorder="1"/>
    <xf numFmtId="0" fontId="6" fillId="0" borderId="76" xfId="0" applyFont="1" applyBorder="1"/>
    <xf numFmtId="0" fontId="6" fillId="0" borderId="6" xfId="0" applyFont="1" applyBorder="1"/>
    <xf numFmtId="0" fontId="66" fillId="3" borderId="3" xfId="0" applyFont="1" applyFill="1" applyBorder="1" applyAlignment="1" applyProtection="1">
      <alignment horizontal="center" vertical="center" wrapText="1"/>
      <protection hidden="1"/>
    </xf>
    <xf numFmtId="1" fontId="30" fillId="20" borderId="2" xfId="0" applyNumberFormat="1" applyFont="1" applyFill="1" applyBorder="1" applyAlignment="1" applyProtection="1">
      <alignment horizontal="center"/>
      <protection hidden="1"/>
    </xf>
    <xf numFmtId="0" fontId="5" fillId="0" borderId="0" xfId="0" applyFont="1" applyAlignment="1" applyProtection="1">
      <alignment wrapText="1"/>
      <protection hidden="1"/>
    </xf>
    <xf numFmtId="4" fontId="88" fillId="0" borderId="32" xfId="0" applyNumberFormat="1" applyFont="1" applyBorder="1" applyAlignment="1" applyProtection="1">
      <alignment vertical="center"/>
      <protection hidden="1"/>
    </xf>
    <xf numFmtId="4" fontId="77" fillId="0" borderId="32" xfId="0" applyNumberFormat="1" applyFont="1" applyBorder="1" applyAlignment="1" applyProtection="1">
      <alignment vertical="center"/>
      <protection hidden="1"/>
    </xf>
    <xf numFmtId="0" fontId="74" fillId="0" borderId="132" xfId="0" applyFont="1" applyBorder="1" applyAlignment="1" applyProtection="1">
      <alignment horizontal="left"/>
      <protection hidden="1"/>
    </xf>
    <xf numFmtId="0" fontId="6" fillId="0" borderId="209" xfId="0" applyFont="1" applyBorder="1" applyProtection="1">
      <protection hidden="1"/>
    </xf>
    <xf numFmtId="4" fontId="31" fillId="11" borderId="210" xfId="0" applyNumberFormat="1" applyFont="1" applyFill="1" applyBorder="1" applyAlignment="1" applyProtection="1">
      <alignment horizontal="center"/>
      <protection hidden="1"/>
    </xf>
    <xf numFmtId="4" fontId="6" fillId="12" borderId="64" xfId="0" applyNumberFormat="1" applyFont="1" applyFill="1" applyBorder="1" applyAlignment="1" applyProtection="1">
      <alignment horizontal="right" vertical="center"/>
      <protection hidden="1"/>
    </xf>
    <xf numFmtId="4" fontId="6" fillId="0" borderId="211" xfId="0" applyNumberFormat="1" applyFont="1" applyBorder="1" applyAlignment="1" applyProtection="1">
      <alignment horizontal="right"/>
      <protection hidden="1"/>
    </xf>
    <xf numFmtId="4" fontId="6" fillId="0" borderId="210" xfId="0" applyNumberFormat="1" applyFont="1" applyBorder="1" applyAlignment="1" applyProtection="1">
      <alignment horizontal="right"/>
      <protection hidden="1"/>
    </xf>
    <xf numFmtId="4" fontId="13" fillId="0" borderId="27" xfId="0" applyNumberFormat="1" applyFont="1" applyBorder="1" applyAlignment="1" applyProtection="1">
      <alignment horizontal="right"/>
      <protection hidden="1"/>
    </xf>
    <xf numFmtId="0" fontId="72" fillId="0" borderId="115" xfId="0" applyFont="1" applyBorder="1" applyProtection="1">
      <protection hidden="1"/>
    </xf>
    <xf numFmtId="4" fontId="27" fillId="11" borderId="117" xfId="0" applyNumberFormat="1" applyFont="1" applyFill="1" applyBorder="1" applyAlignment="1" applyProtection="1">
      <alignment horizontal="center"/>
      <protection hidden="1"/>
    </xf>
    <xf numFmtId="4" fontId="27" fillId="11" borderId="210" xfId="0" applyNumberFormat="1" applyFont="1" applyFill="1" applyBorder="1" applyAlignment="1" applyProtection="1">
      <alignment horizontal="center"/>
      <protection hidden="1"/>
    </xf>
    <xf numFmtId="4" fontId="6" fillId="12" borderId="64" xfId="0" applyNumberFormat="1" applyFont="1" applyFill="1" applyBorder="1" applyAlignment="1" applyProtection="1">
      <alignment horizontal="right"/>
      <protection hidden="1"/>
    </xf>
    <xf numFmtId="4" fontId="6" fillId="11" borderId="210" xfId="0" applyNumberFormat="1" applyFont="1" applyFill="1" applyBorder="1" applyAlignment="1" applyProtection="1">
      <alignment horizontal="right"/>
      <protection hidden="1"/>
    </xf>
    <xf numFmtId="0" fontId="31" fillId="12" borderId="212" xfId="0" applyFont="1" applyFill="1" applyBorder="1" applyAlignment="1" applyProtection="1">
      <alignment horizontal="left" vertical="center"/>
      <protection hidden="1"/>
    </xf>
    <xf numFmtId="0" fontId="31" fillId="12" borderId="212" xfId="0" applyFont="1" applyFill="1" applyBorder="1" applyAlignment="1" applyProtection="1">
      <alignment horizontal="right" vertical="center" wrapText="1"/>
      <protection hidden="1"/>
    </xf>
    <xf numFmtId="4" fontId="27" fillId="11" borderId="61" xfId="0" applyNumberFormat="1" applyFont="1" applyFill="1" applyBorder="1" applyAlignment="1" applyProtection="1">
      <alignment horizontal="right" vertical="center"/>
      <protection hidden="1"/>
    </xf>
    <xf numFmtId="4" fontId="27" fillId="11" borderId="213" xfId="0" applyNumberFormat="1" applyFont="1" applyFill="1" applyBorder="1" applyAlignment="1" applyProtection="1">
      <alignment horizontal="center" vertical="center"/>
      <protection hidden="1"/>
    </xf>
    <xf numFmtId="4" fontId="6" fillId="11" borderId="0" xfId="0" applyNumberFormat="1" applyFont="1" applyFill="1" applyProtection="1">
      <protection hidden="1"/>
    </xf>
    <xf numFmtId="0" fontId="6" fillId="11" borderId="0" xfId="0" applyFont="1" applyFill="1" applyProtection="1">
      <protection hidden="1"/>
    </xf>
    <xf numFmtId="0" fontId="13" fillId="0" borderId="0" xfId="0" applyFont="1" applyAlignment="1">
      <alignment horizontal="center"/>
    </xf>
    <xf numFmtId="0" fontId="12" fillId="0" borderId="0" xfId="45" applyAlignment="1" applyProtection="1"/>
    <xf numFmtId="0" fontId="7" fillId="0" borderId="0" xfId="0" applyFont="1" applyAlignment="1">
      <alignment horizontal="right"/>
    </xf>
    <xf numFmtId="4" fontId="1" fillId="0" borderId="0" xfId="0" applyNumberFormat="1" applyFont="1"/>
    <xf numFmtId="4" fontId="0" fillId="4" borderId="2" xfId="0" applyNumberFormat="1" applyFill="1" applyBorder="1"/>
    <xf numFmtId="0" fontId="0" fillId="0" borderId="38" xfId="0" applyBorder="1" applyAlignment="1">
      <alignment vertical="center"/>
    </xf>
    <xf numFmtId="0" fontId="0" fillId="0" borderId="65" xfId="0" applyBorder="1" applyAlignment="1">
      <alignment vertical="center"/>
    </xf>
    <xf numFmtId="4" fontId="0" fillId="0" borderId="43" xfId="0" applyNumberFormat="1" applyBorder="1" applyAlignment="1">
      <alignment vertical="center"/>
    </xf>
    <xf numFmtId="0" fontId="0" fillId="4" borderId="2" xfId="0" applyFill="1" applyBorder="1"/>
    <xf numFmtId="0" fontId="0" fillId="0" borderId="2" xfId="0" applyBorder="1"/>
    <xf numFmtId="0" fontId="0" fillId="11" borderId="2" xfId="0" applyFill="1" applyBorder="1"/>
    <xf numFmtId="0" fontId="0" fillId="4" borderId="150" xfId="0" applyFill="1" applyBorder="1"/>
    <xf numFmtId="0" fontId="0" fillId="4" borderId="151" xfId="0" applyFill="1" applyBorder="1"/>
    <xf numFmtId="0" fontId="0" fillId="0" borderId="151" xfId="0" applyBorder="1"/>
    <xf numFmtId="0" fontId="13"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0" fillId="0" borderId="0" xfId="0" applyAlignment="1">
      <alignment horizontal="center" vertical="center"/>
    </xf>
    <xf numFmtId="4" fontId="0" fillId="11" borderId="2" xfId="0" applyNumberFormat="1" applyFill="1" applyBorder="1"/>
    <xf numFmtId="4" fontId="20" fillId="0" borderId="0" xfId="0" applyNumberFormat="1" applyFont="1" applyProtection="1">
      <protection hidden="1"/>
    </xf>
    <xf numFmtId="4" fontId="42" fillId="7" borderId="0" xfId="0" applyNumberFormat="1" applyFont="1" applyFill="1" applyProtection="1">
      <protection locked="0"/>
    </xf>
    <xf numFmtId="4" fontId="20" fillId="0" borderId="0" xfId="0" applyNumberFormat="1" applyFont="1" applyAlignment="1" applyProtection="1">
      <alignment horizontal="right"/>
      <protection locked="0"/>
    </xf>
    <xf numFmtId="4" fontId="24" fillId="7" borderId="0" xfId="0" applyNumberFormat="1" applyFont="1" applyFill="1" applyProtection="1">
      <protection locked="0"/>
    </xf>
    <xf numFmtId="4" fontId="2" fillId="0" borderId="0" xfId="0" applyNumberFormat="1" applyFont="1" applyProtection="1">
      <protection hidden="1"/>
    </xf>
    <xf numFmtId="4" fontId="2" fillId="0" borderId="0" xfId="0" applyNumberFormat="1" applyFont="1" applyAlignment="1" applyProtection="1">
      <alignment wrapText="1"/>
      <protection hidden="1"/>
    </xf>
    <xf numFmtId="4" fontId="2" fillId="0" borderId="0" xfId="0" applyNumberFormat="1" applyFont="1" applyAlignment="1" applyProtection="1">
      <alignment horizontal="center" vertical="center" textRotation="90" wrapText="1"/>
      <protection hidden="1"/>
    </xf>
    <xf numFmtId="4" fontId="5" fillId="0" borderId="3" xfId="0" applyNumberFormat="1" applyFont="1" applyBorder="1" applyAlignment="1" applyProtection="1">
      <alignment horizontal="center" vertical="center" textRotation="90" wrapText="1"/>
      <protection hidden="1"/>
    </xf>
    <xf numFmtId="4" fontId="2" fillId="0" borderId="0" xfId="0" applyNumberFormat="1" applyFont="1" applyAlignment="1" applyProtection="1">
      <alignment horizontal="center" vertical="center" wrapText="1"/>
      <protection hidden="1"/>
    </xf>
    <xf numFmtId="4" fontId="5" fillId="0" borderId="54" xfId="0" applyNumberFormat="1" applyFont="1" applyBorder="1" applyProtection="1">
      <protection locked="0"/>
    </xf>
    <xf numFmtId="0" fontId="0" fillId="4" borderId="149" xfId="0" applyFill="1" applyBorder="1"/>
    <xf numFmtId="0" fontId="0" fillId="0" borderId="149" xfId="0" applyBorder="1"/>
    <xf numFmtId="4" fontId="0" fillId="4" borderId="149" xfId="0" applyNumberFormat="1" applyFill="1" applyBorder="1"/>
    <xf numFmtId="0" fontId="0" fillId="0" borderId="35" xfId="0" applyBorder="1"/>
    <xf numFmtId="0" fontId="0" fillId="0" borderId="41" xfId="0" applyBorder="1"/>
    <xf numFmtId="0" fontId="0" fillId="11" borderId="41" xfId="0" applyFill="1" applyBorder="1"/>
    <xf numFmtId="4" fontId="0" fillId="4" borderId="151" xfId="0" applyNumberFormat="1" applyFill="1" applyBorder="1"/>
    <xf numFmtId="0" fontId="0" fillId="0" borderId="37" xfId="0" applyBorder="1"/>
    <xf numFmtId="4" fontId="42" fillId="25" borderId="2" xfId="0" applyNumberFormat="1" applyFont="1" applyFill="1" applyBorder="1" applyProtection="1">
      <protection locked="0"/>
    </xf>
    <xf numFmtId="0" fontId="5" fillId="0" borderId="0" xfId="0" applyFont="1" applyAlignment="1" applyProtection="1">
      <alignment horizontal="right" vertical="center"/>
      <protection locked="0"/>
    </xf>
    <xf numFmtId="0" fontId="41" fillId="25" borderId="0" xfId="0" applyFont="1" applyFill="1" applyAlignment="1" applyProtection="1">
      <alignment horizontal="center" vertical="center"/>
      <protection locked="0"/>
    </xf>
    <xf numFmtId="0" fontId="35" fillId="23" borderId="181" xfId="219" applyFont="1" applyFill="1" applyBorder="1" applyAlignment="1">
      <alignment horizontal="center"/>
    </xf>
    <xf numFmtId="0" fontId="35" fillId="0" borderId="214" xfId="219" applyFont="1" applyBorder="1" applyAlignment="1">
      <alignment horizontal="right" wrapText="1"/>
    </xf>
    <xf numFmtId="0" fontId="35" fillId="0" borderId="214" xfId="209" applyFont="1" applyBorder="1" applyAlignment="1">
      <alignment horizontal="right" wrapText="1"/>
    </xf>
    <xf numFmtId="0" fontId="54" fillId="0" borderId="0" xfId="210" applyFont="1" applyAlignment="1">
      <alignment horizontal="center"/>
    </xf>
    <xf numFmtId="0" fontId="8" fillId="0" borderId="65" xfId="0" applyFont="1" applyBorder="1" applyAlignment="1" applyProtection="1">
      <alignment vertical="center" wrapText="1"/>
      <protection hidden="1"/>
    </xf>
    <xf numFmtId="0" fontId="0" fillId="0" borderId="31" xfId="0" applyBorder="1"/>
    <xf numFmtId="0" fontId="6" fillId="0" borderId="121" xfId="0" applyFont="1" applyBorder="1" applyAlignment="1" applyProtection="1">
      <alignment horizontal="left"/>
      <protection hidden="1"/>
    </xf>
    <xf numFmtId="0" fontId="6" fillId="0" borderId="215" xfId="0" applyFont="1" applyBorder="1" applyAlignment="1" applyProtection="1">
      <alignment horizontal="left"/>
      <protection hidden="1"/>
    </xf>
    <xf numFmtId="4" fontId="6" fillId="0" borderId="209" xfId="0" applyNumberFormat="1" applyFont="1" applyBorder="1" applyAlignment="1" applyProtection="1">
      <alignment horizontal="left"/>
      <protection hidden="1"/>
    </xf>
    <xf numFmtId="4" fontId="6" fillId="0" borderId="26" xfId="0" applyNumberFormat="1" applyFont="1" applyBorder="1" applyAlignment="1" applyProtection="1">
      <alignment horizontal="left"/>
      <protection hidden="1"/>
    </xf>
    <xf numFmtId="0" fontId="6" fillId="0" borderId="26" xfId="0" applyFont="1" applyBorder="1" applyAlignment="1" applyProtection="1">
      <alignment horizontal="left" vertical="center"/>
      <protection hidden="1"/>
    </xf>
    <xf numFmtId="0" fontId="13" fillId="0" borderId="26" xfId="0" applyFont="1" applyBorder="1" applyAlignment="1" applyProtection="1">
      <alignment horizontal="left" vertical="center"/>
      <protection hidden="1"/>
    </xf>
    <xf numFmtId="0" fontId="6" fillId="0" borderId="26" xfId="0" applyFont="1" applyBorder="1" applyAlignment="1" applyProtection="1">
      <alignment horizontal="left"/>
      <protection hidden="1"/>
    </xf>
    <xf numFmtId="0" fontId="13" fillId="0" borderId="2" xfId="0" applyFont="1" applyBorder="1" applyAlignment="1">
      <alignment horizontal="center" vertical="center" wrapText="1"/>
    </xf>
    <xf numFmtId="0" fontId="38" fillId="26" borderId="0" xfId="0" applyFont="1" applyFill="1" applyProtection="1">
      <protection hidden="1"/>
    </xf>
    <xf numFmtId="0" fontId="13" fillId="26" borderId="0" xfId="0" applyFont="1" applyFill="1" applyProtection="1">
      <protection hidden="1"/>
    </xf>
    <xf numFmtId="0" fontId="13" fillId="26" borderId="0" xfId="0" quotePrefix="1" applyFont="1" applyFill="1" applyAlignment="1" applyProtection="1">
      <alignment horizontal="right"/>
      <protection hidden="1"/>
    </xf>
    <xf numFmtId="4" fontId="5" fillId="26" borderId="50" xfId="0" applyNumberFormat="1" applyFont="1" applyFill="1" applyBorder="1" applyProtection="1">
      <protection locked="0"/>
    </xf>
    <xf numFmtId="178" fontId="13" fillId="0" borderId="0" xfId="0" applyNumberFormat="1" applyFont="1"/>
    <xf numFmtId="175" fontId="13" fillId="0" borderId="0" xfId="0" applyNumberFormat="1" applyFont="1"/>
    <xf numFmtId="0" fontId="13" fillId="0" borderId="38" xfId="0" applyFont="1" applyBorder="1" applyAlignment="1">
      <alignment horizontal="right" vertical="center"/>
    </xf>
    <xf numFmtId="4" fontId="13" fillId="2" borderId="65" xfId="0" applyNumberFormat="1" applyFont="1" applyFill="1" applyBorder="1"/>
    <xf numFmtId="4" fontId="13" fillId="2" borderId="43" xfId="0" applyNumberFormat="1" applyFont="1" applyFill="1" applyBorder="1"/>
    <xf numFmtId="0" fontId="13" fillId="11" borderId="0" xfId="0" applyFont="1" applyFill="1" applyAlignment="1">
      <alignment vertical="center"/>
    </xf>
    <xf numFmtId="0" fontId="13" fillId="11" borderId="0" xfId="0" applyFont="1" applyFill="1" applyAlignment="1">
      <alignment horizontal="center" vertical="center"/>
    </xf>
    <xf numFmtId="0" fontId="13" fillId="11" borderId="0" xfId="0" applyFont="1" applyFill="1" applyAlignment="1">
      <alignment horizontal="center" vertical="center" wrapText="1"/>
    </xf>
    <xf numFmtId="4" fontId="6" fillId="0" borderId="0" xfId="0" applyNumberFormat="1" applyFont="1" applyAlignment="1">
      <alignment vertical="top" wrapText="1"/>
    </xf>
    <xf numFmtId="4" fontId="38" fillId="0" borderId="0" xfId="0" applyNumberFormat="1" applyFont="1" applyAlignment="1">
      <alignment wrapText="1"/>
    </xf>
    <xf numFmtId="4" fontId="13" fillId="2" borderId="65" xfId="0" applyNumberFormat="1" applyFont="1" applyFill="1" applyBorder="1" applyAlignment="1">
      <alignment vertical="center"/>
    </xf>
    <xf numFmtId="4" fontId="13" fillId="2" borderId="43" xfId="0" applyNumberFormat="1" applyFont="1" applyFill="1" applyBorder="1" applyAlignment="1">
      <alignment vertical="center"/>
    </xf>
    <xf numFmtId="0" fontId="0" fillId="0" borderId="0" xfId="0" applyAlignment="1">
      <alignment vertical="top" wrapText="1"/>
    </xf>
    <xf numFmtId="4" fontId="0" fillId="0" borderId="0" xfId="0" applyNumberFormat="1" applyAlignment="1">
      <alignment vertical="top"/>
    </xf>
    <xf numFmtId="0" fontId="17" fillId="0" borderId="0" xfId="214" applyAlignment="1">
      <alignment wrapText="1"/>
    </xf>
    <xf numFmtId="0" fontId="17" fillId="0" borderId="0" xfId="207" applyAlignment="1">
      <alignment vertical="top"/>
    </xf>
    <xf numFmtId="4" fontId="17" fillId="0" borderId="0" xfId="207" applyNumberFormat="1" applyAlignment="1">
      <alignment vertical="top"/>
    </xf>
    <xf numFmtId="0" fontId="17" fillId="0" borderId="216" xfId="214" applyBorder="1" applyAlignment="1">
      <alignment wrapText="1"/>
    </xf>
    <xf numFmtId="4" fontId="17" fillId="0" borderId="0" xfId="214" applyNumberFormat="1" applyAlignment="1">
      <alignment vertical="top"/>
    </xf>
    <xf numFmtId="0" fontId="0" fillId="0" borderId="0" xfId="0" applyAlignment="1">
      <alignment vertical="top"/>
    </xf>
    <xf numFmtId="0" fontId="7" fillId="0" borderId="0" xfId="0" applyFont="1" applyAlignment="1" applyProtection="1">
      <alignment vertical="center"/>
      <protection hidden="1"/>
    </xf>
    <xf numFmtId="0" fontId="17" fillId="0" borderId="216" xfId="208" applyBorder="1" applyAlignment="1">
      <alignment wrapText="1"/>
    </xf>
    <xf numFmtId="0" fontId="13" fillId="11" borderId="26" xfId="0" applyFont="1" applyFill="1" applyBorder="1" applyAlignment="1">
      <alignment horizontal="center" vertical="center" wrapText="1"/>
    </xf>
    <xf numFmtId="0" fontId="13" fillId="11" borderId="27" xfId="0" applyFont="1" applyFill="1" applyBorder="1" applyAlignment="1">
      <alignment horizontal="center" vertical="center" wrapText="1"/>
    </xf>
    <xf numFmtId="0" fontId="17" fillId="0" borderId="0" xfId="208" applyAlignment="1">
      <alignment wrapText="1"/>
    </xf>
    <xf numFmtId="4" fontId="17" fillId="0" borderId="0" xfId="208" applyNumberFormat="1" applyAlignment="1">
      <alignment horizontal="right" wrapText="1"/>
    </xf>
    <xf numFmtId="0" fontId="0" fillId="0" borderId="26" xfId="0" applyBorder="1"/>
    <xf numFmtId="0" fontId="112" fillId="0" borderId="31" xfId="0" applyFont="1" applyBorder="1" applyAlignment="1">
      <alignment vertical="center"/>
    </xf>
    <xf numFmtId="0" fontId="112" fillId="0" borderId="25" xfId="0" applyFont="1" applyBorder="1" applyAlignment="1">
      <alignment vertical="center"/>
    </xf>
    <xf numFmtId="0" fontId="112" fillId="0" borderId="32" xfId="0" applyFont="1" applyBorder="1" applyAlignment="1">
      <alignment vertical="center"/>
    </xf>
    <xf numFmtId="0" fontId="112" fillId="0" borderId="93" xfId="0" applyFont="1" applyBorder="1" applyAlignment="1">
      <alignment vertical="center"/>
    </xf>
    <xf numFmtId="0" fontId="13" fillId="0" borderId="0" xfId="0" applyFont="1" applyAlignment="1">
      <alignment horizontal="right" vertical="center"/>
    </xf>
    <xf numFmtId="14" fontId="4" fillId="0" borderId="27" xfId="0" applyNumberFormat="1" applyFont="1" applyBorder="1" applyAlignment="1">
      <alignment vertical="center"/>
    </xf>
    <xf numFmtId="49" fontId="7" fillId="6" borderId="73" xfId="0" applyNumberFormat="1" applyFont="1" applyFill="1" applyBorder="1" applyAlignment="1" applyProtection="1">
      <alignment horizontal="center" vertical="center" wrapText="1"/>
      <protection hidden="1"/>
    </xf>
    <xf numFmtId="49" fontId="7" fillId="6" borderId="217" xfId="0" applyNumberFormat="1" applyFont="1" applyFill="1" applyBorder="1" applyAlignment="1" applyProtection="1">
      <alignment horizontal="center" vertical="center" wrapText="1"/>
      <protection hidden="1"/>
    </xf>
    <xf numFmtId="0" fontId="7" fillId="0" borderId="218" xfId="0" applyFont="1" applyBorder="1" applyAlignment="1" applyProtection="1">
      <alignment horizontal="center"/>
      <protection locked="0"/>
    </xf>
    <xf numFmtId="4" fontId="5" fillId="0" borderId="219" xfId="0" applyNumberFormat="1" applyFont="1" applyBorder="1" applyProtection="1">
      <protection locked="0"/>
    </xf>
    <xf numFmtId="0" fontId="5" fillId="0" borderId="220" xfId="0" applyFont="1" applyBorder="1" applyProtection="1">
      <protection locked="0"/>
    </xf>
    <xf numFmtId="49" fontId="7" fillId="6" borderId="221" xfId="0" applyNumberFormat="1" applyFont="1" applyFill="1" applyBorder="1" applyAlignment="1" applyProtection="1">
      <alignment horizontal="center" vertical="center" wrapText="1"/>
      <protection hidden="1"/>
    </xf>
    <xf numFmtId="49" fontId="7" fillId="6" borderId="222" xfId="0" applyNumberFormat="1" applyFont="1" applyFill="1" applyBorder="1" applyAlignment="1" applyProtection="1">
      <alignment horizontal="center" vertical="center" wrapText="1"/>
      <protection hidden="1"/>
    </xf>
    <xf numFmtId="4" fontId="4" fillId="5" borderId="65" xfId="0" applyNumberFormat="1" applyFont="1" applyFill="1" applyBorder="1" applyAlignment="1" applyProtection="1">
      <alignment vertical="center"/>
      <protection hidden="1"/>
    </xf>
    <xf numFmtId="4" fontId="7" fillId="11" borderId="223" xfId="0" applyNumberFormat="1" applyFont="1" applyFill="1" applyBorder="1" applyProtection="1">
      <protection hidden="1"/>
    </xf>
    <xf numFmtId="3" fontId="20" fillId="11" borderId="224" xfId="0" applyNumberFormat="1" applyFont="1" applyFill="1" applyBorder="1" applyAlignment="1" applyProtection="1">
      <alignment horizontal="right"/>
      <protection locked="0"/>
    </xf>
    <xf numFmtId="2" fontId="7" fillId="5" borderId="225" xfId="0" applyNumberFormat="1" applyFont="1" applyFill="1" applyBorder="1" applyAlignment="1" applyProtection="1">
      <alignment vertical="center"/>
      <protection locked="0"/>
    </xf>
    <xf numFmtId="49" fontId="7" fillId="6" borderId="226" xfId="0" applyNumberFormat="1" applyFont="1" applyFill="1" applyBorder="1" applyAlignment="1" applyProtection="1">
      <alignment horizontal="center" vertical="center" wrapText="1"/>
      <protection hidden="1"/>
    </xf>
    <xf numFmtId="0" fontId="7" fillId="11" borderId="227" xfId="0" applyFont="1" applyFill="1" applyBorder="1" applyAlignment="1" applyProtection="1">
      <alignment horizontal="center"/>
      <protection locked="0"/>
    </xf>
    <xf numFmtId="0" fontId="5" fillId="11" borderId="228" xfId="0" applyFont="1" applyFill="1" applyBorder="1" applyProtection="1">
      <protection locked="0"/>
    </xf>
    <xf numFmtId="4" fontId="7" fillId="11" borderId="213" xfId="0" applyNumberFormat="1" applyFont="1" applyFill="1" applyBorder="1" applyProtection="1">
      <protection hidden="1"/>
    </xf>
    <xf numFmtId="4" fontId="7" fillId="0" borderId="29" xfId="0" applyNumberFormat="1" applyFont="1" applyBorder="1" applyProtection="1">
      <protection hidden="1"/>
    </xf>
    <xf numFmtId="4" fontId="20" fillId="11" borderId="213" xfId="0" applyNumberFormat="1" applyFont="1" applyFill="1" applyBorder="1" applyProtection="1">
      <protection locked="0"/>
    </xf>
    <xf numFmtId="4" fontId="20" fillId="0" borderId="29" xfId="0" applyNumberFormat="1" applyFont="1" applyBorder="1" applyProtection="1">
      <protection locked="0"/>
    </xf>
    <xf numFmtId="4" fontId="5" fillId="11" borderId="229" xfId="0" applyNumberFormat="1" applyFont="1" applyFill="1" applyBorder="1" applyProtection="1">
      <protection locked="0"/>
    </xf>
    <xf numFmtId="4" fontId="5" fillId="0" borderId="230" xfId="0" applyNumberFormat="1" applyFont="1" applyBorder="1" applyProtection="1">
      <protection locked="0"/>
    </xf>
    <xf numFmtId="4" fontId="20" fillId="11" borderId="229" xfId="0" applyNumberFormat="1" applyFont="1" applyFill="1" applyBorder="1" applyProtection="1">
      <protection locked="0"/>
    </xf>
    <xf numFmtId="4" fontId="20" fillId="0" borderId="230" xfId="0" applyNumberFormat="1" applyFont="1" applyBorder="1" applyProtection="1">
      <protection locked="0"/>
    </xf>
    <xf numFmtId="3" fontId="20" fillId="11" borderId="229" xfId="0" applyNumberFormat="1" applyFont="1" applyFill="1" applyBorder="1" applyAlignment="1" applyProtection="1">
      <alignment horizontal="right"/>
      <protection locked="0"/>
    </xf>
    <xf numFmtId="3" fontId="20" fillId="0" borderId="230" xfId="0" applyNumberFormat="1" applyFont="1" applyBorder="1" applyAlignment="1" applyProtection="1">
      <alignment horizontal="right"/>
      <protection locked="0"/>
    </xf>
    <xf numFmtId="10" fontId="24" fillId="7" borderId="229" xfId="0" applyNumberFormat="1" applyFont="1" applyFill="1" applyBorder="1" applyProtection="1">
      <protection locked="0"/>
    </xf>
    <xf numFmtId="10" fontId="24" fillId="7" borderId="230" xfId="0" applyNumberFormat="1" applyFont="1" applyFill="1" applyBorder="1" applyProtection="1">
      <protection locked="0"/>
    </xf>
    <xf numFmtId="0" fontId="2" fillId="10" borderId="213" xfId="0" applyFont="1" applyFill="1" applyBorder="1" applyAlignment="1" applyProtection="1">
      <alignment horizontal="center" wrapText="1"/>
      <protection hidden="1"/>
    </xf>
    <xf numFmtId="0" fontId="49" fillId="0" borderId="29" xfId="0" applyFont="1" applyBorder="1" applyAlignment="1" applyProtection="1">
      <alignment horizontal="center" wrapText="1"/>
      <protection hidden="1"/>
    </xf>
    <xf numFmtId="49" fontId="7" fillId="6" borderId="213" xfId="0" applyNumberFormat="1" applyFont="1" applyFill="1" applyBorder="1" applyAlignment="1" applyProtection="1">
      <alignment horizontal="center" vertical="center" wrapText="1"/>
      <protection hidden="1"/>
    </xf>
    <xf numFmtId="49" fontId="7" fillId="6" borderId="29" xfId="0" applyNumberFormat="1" applyFont="1" applyFill="1" applyBorder="1" applyAlignment="1" applyProtection="1">
      <alignment horizontal="center" vertical="center" wrapText="1"/>
      <protection hidden="1"/>
    </xf>
    <xf numFmtId="0" fontId="7" fillId="0" borderId="231" xfId="0" applyFont="1" applyBorder="1" applyAlignment="1" applyProtection="1">
      <alignment horizontal="center"/>
      <protection locked="0"/>
    </xf>
    <xf numFmtId="0" fontId="49" fillId="0" borderId="3" xfId="0" applyFont="1" applyBorder="1" applyAlignment="1" applyProtection="1">
      <alignment horizontal="center" wrapText="1"/>
      <protection hidden="1"/>
    </xf>
    <xf numFmtId="4" fontId="7" fillId="8" borderId="3" xfId="0" applyNumberFormat="1" applyFont="1" applyFill="1" applyBorder="1" applyProtection="1">
      <protection hidden="1"/>
    </xf>
    <xf numFmtId="4" fontId="20" fillId="8" borderId="3" xfId="0" applyNumberFormat="1" applyFont="1" applyFill="1" applyBorder="1" applyProtection="1">
      <protection locked="0"/>
    </xf>
    <xf numFmtId="4" fontId="5" fillId="8" borderId="0" xfId="0" applyNumberFormat="1" applyFont="1" applyFill="1" applyProtection="1">
      <protection locked="0"/>
    </xf>
    <xf numFmtId="4" fontId="20" fillId="8" borderId="0" xfId="0" applyNumberFormat="1" applyFont="1" applyFill="1" applyProtection="1">
      <protection locked="0"/>
    </xf>
    <xf numFmtId="3" fontId="20" fillId="8" borderId="0" xfId="0" applyNumberFormat="1" applyFont="1" applyFill="1" applyAlignment="1" applyProtection="1">
      <alignment horizontal="right"/>
      <protection locked="0"/>
    </xf>
    <xf numFmtId="0" fontId="5" fillId="8" borderId="71" xfId="0" applyFont="1" applyFill="1" applyBorder="1" applyAlignment="1" applyProtection="1">
      <alignment horizontal="center"/>
      <protection locked="0"/>
    </xf>
    <xf numFmtId="49" fontId="40" fillId="7" borderId="0" xfId="0" applyNumberFormat="1" applyFont="1" applyFill="1" applyAlignment="1">
      <alignment horizontal="center" vertical="center"/>
    </xf>
    <xf numFmtId="0" fontId="5" fillId="13" borderId="20" xfId="0" applyFont="1" applyFill="1" applyBorder="1" applyAlignment="1" applyProtection="1">
      <alignment horizontal="center"/>
      <protection locked="0"/>
    </xf>
    <xf numFmtId="166" fontId="5" fillId="0" borderId="232" xfId="0" applyNumberFormat="1" applyFont="1" applyBorder="1" applyAlignment="1" applyProtection="1">
      <alignment horizontal="center"/>
      <protection locked="0"/>
    </xf>
    <xf numFmtId="171" fontId="5" fillId="0" borderId="233" xfId="0" applyNumberFormat="1" applyFont="1" applyBorder="1" applyAlignment="1" applyProtection="1">
      <alignment horizontal="center"/>
      <protection locked="0"/>
    </xf>
    <xf numFmtId="0" fontId="15" fillId="12" borderId="0" xfId="0" applyFont="1" applyFill="1" applyAlignment="1" applyProtection="1">
      <alignment horizontal="left"/>
      <protection hidden="1"/>
    </xf>
    <xf numFmtId="0" fontId="16" fillId="12" borderId="0" xfId="0" applyFont="1" applyFill="1" applyProtection="1">
      <protection hidden="1"/>
    </xf>
    <xf numFmtId="0" fontId="21" fillId="12" borderId="0" xfId="0" applyFont="1" applyFill="1" applyAlignment="1" applyProtection="1">
      <alignment horizontal="center" vertical="center"/>
      <protection hidden="1"/>
    </xf>
    <xf numFmtId="0" fontId="28" fillId="12" borderId="0" xfId="0" applyFont="1" applyFill="1" applyAlignment="1" applyProtection="1">
      <alignment horizontal="left"/>
      <protection hidden="1"/>
    </xf>
    <xf numFmtId="0" fontId="29" fillId="12" borderId="0" xfId="0" applyFont="1" applyFill="1" applyAlignment="1" applyProtection="1">
      <alignment horizontal="left"/>
      <protection hidden="1"/>
    </xf>
    <xf numFmtId="0" fontId="5" fillId="10" borderId="236" xfId="0" applyFont="1" applyFill="1" applyBorder="1" applyAlignment="1" applyProtection="1">
      <alignment vertical="center"/>
      <protection locked="0"/>
    </xf>
    <xf numFmtId="0" fontId="5" fillId="13" borderId="237" xfId="0" applyFont="1" applyFill="1" applyBorder="1" applyAlignment="1" applyProtection="1">
      <alignment horizontal="center"/>
      <protection locked="0"/>
    </xf>
    <xf numFmtId="49" fontId="13" fillId="15" borderId="0" xfId="0" applyNumberFormat="1" applyFont="1" applyFill="1" applyAlignment="1">
      <alignment horizontal="right" vertical="center"/>
    </xf>
    <xf numFmtId="1" fontId="35" fillId="0" borderId="0" xfId="0" applyNumberFormat="1" applyFont="1" applyAlignment="1">
      <alignment horizontal="right" vertical="center" textRotation="90" wrapText="1"/>
    </xf>
    <xf numFmtId="4" fontId="38" fillId="0" borderId="0" xfId="0" applyNumberFormat="1" applyFont="1" applyAlignment="1">
      <alignment horizontal="right"/>
    </xf>
    <xf numFmtId="0" fontId="16" fillId="0" borderId="0" xfId="0" applyFont="1" applyAlignment="1" applyProtection="1">
      <alignment wrapText="1"/>
      <protection hidden="1"/>
    </xf>
    <xf numFmtId="0" fontId="20" fillId="0" borderId="31" xfId="0" applyFont="1" applyBorder="1" applyAlignment="1" applyProtection="1">
      <alignment horizontal="center" vertical="center"/>
      <protection hidden="1"/>
    </xf>
    <xf numFmtId="0" fontId="20" fillId="0" borderId="32" xfId="0" applyFont="1" applyBorder="1" applyAlignment="1" applyProtection="1">
      <alignment horizontal="center" vertical="center"/>
      <protection hidden="1"/>
    </xf>
    <xf numFmtId="0" fontId="1" fillId="0" borderId="0" xfId="0" applyFont="1" applyAlignment="1" applyProtection="1">
      <alignment vertical="center" wrapText="1"/>
      <protection hidden="1"/>
    </xf>
    <xf numFmtId="0" fontId="7" fillId="12" borderId="0" xfId="0" applyFont="1" applyFill="1" applyAlignment="1" applyProtection="1">
      <alignment vertical="center"/>
      <protection hidden="1"/>
    </xf>
    <xf numFmtId="1" fontId="2" fillId="0" borderId="238" xfId="0" applyNumberFormat="1" applyFont="1" applyBorder="1" applyAlignment="1" applyProtection="1">
      <alignment horizontal="center" vertical="center"/>
      <protection hidden="1"/>
    </xf>
    <xf numFmtId="49" fontId="2" fillId="0" borderId="238" xfId="0" applyNumberFormat="1" applyFont="1" applyBorder="1" applyAlignment="1" applyProtection="1">
      <alignment horizontal="center" vertical="center"/>
      <protection hidden="1"/>
    </xf>
    <xf numFmtId="49" fontId="5" fillId="28" borderId="238" xfId="0" applyNumberFormat="1" applyFont="1" applyFill="1" applyBorder="1" applyAlignment="1" applyProtection="1">
      <alignment horizontal="center" vertical="center"/>
      <protection locked="0"/>
    </xf>
    <xf numFmtId="49" fontId="5" fillId="5" borderId="238" xfId="0" applyNumberFormat="1" applyFont="1" applyFill="1" applyBorder="1" applyAlignment="1" applyProtection="1">
      <alignment vertical="center"/>
      <protection hidden="1"/>
    </xf>
    <xf numFmtId="49" fontId="2" fillId="4" borderId="98" xfId="0" applyNumberFormat="1" applyFont="1" applyFill="1" applyBorder="1" applyAlignment="1" applyProtection="1">
      <alignment horizontal="center" vertical="center"/>
      <protection hidden="1"/>
    </xf>
    <xf numFmtId="49" fontId="2" fillId="4" borderId="64" xfId="0" applyNumberFormat="1" applyFont="1" applyFill="1" applyBorder="1" applyAlignment="1" applyProtection="1">
      <alignment horizontal="center" vertical="center"/>
      <protection hidden="1"/>
    </xf>
    <xf numFmtId="49" fontId="2" fillId="4" borderId="64" xfId="0" applyNumberFormat="1" applyFont="1" applyFill="1" applyBorder="1" applyAlignment="1" applyProtection="1">
      <alignment horizontal="right" vertical="center"/>
      <protection hidden="1"/>
    </xf>
    <xf numFmtId="168" fontId="2" fillId="4" borderId="55" xfId="0" applyNumberFormat="1" applyFont="1" applyFill="1" applyBorder="1" applyAlignment="1" applyProtection="1">
      <alignment horizontal="center" vertical="center"/>
      <protection locked="0"/>
    </xf>
    <xf numFmtId="0" fontId="2" fillId="2" borderId="238" xfId="0" applyFont="1" applyFill="1" applyBorder="1" applyAlignment="1" applyProtection="1">
      <alignment horizontal="center" vertical="center"/>
      <protection hidden="1"/>
    </xf>
    <xf numFmtId="3" fontId="5" fillId="12" borderId="238" xfId="0" applyNumberFormat="1" applyFont="1" applyFill="1" applyBorder="1" applyAlignment="1" applyProtection="1">
      <alignment horizontal="center" vertical="center"/>
      <protection hidden="1"/>
    </xf>
    <xf numFmtId="3" fontId="50" fillId="0" borderId="64" xfId="0" applyNumberFormat="1" applyFont="1" applyBorder="1" applyAlignment="1" applyProtection="1">
      <alignment horizontal="center" vertical="center"/>
      <protection hidden="1"/>
    </xf>
    <xf numFmtId="3" fontId="2" fillId="5" borderId="74" xfId="0" applyNumberFormat="1" applyFont="1" applyFill="1" applyBorder="1" applyAlignment="1" applyProtection="1">
      <alignment vertical="center"/>
      <protection hidden="1"/>
    </xf>
    <xf numFmtId="0" fontId="2" fillId="0" borderId="239" xfId="0" applyFont="1" applyBorder="1" applyAlignment="1" applyProtection="1">
      <alignment horizontal="center" vertical="center"/>
      <protection locked="0"/>
    </xf>
    <xf numFmtId="4" fontId="2" fillId="11" borderId="74" xfId="0" applyNumberFormat="1" applyFont="1" applyFill="1" applyBorder="1" applyAlignment="1">
      <alignment vertical="center"/>
    </xf>
    <xf numFmtId="4" fontId="2" fillId="12" borderId="240" xfId="0" applyNumberFormat="1" applyFont="1" applyFill="1" applyBorder="1" applyAlignment="1">
      <alignment vertical="center"/>
    </xf>
    <xf numFmtId="1" fontId="2" fillId="5" borderId="241" xfId="0" applyNumberFormat="1" applyFont="1" applyFill="1" applyBorder="1" applyAlignment="1" applyProtection="1">
      <alignment horizontal="center" vertical="center"/>
      <protection hidden="1"/>
    </xf>
    <xf numFmtId="0" fontId="5" fillId="13" borderId="71" xfId="0" applyFont="1" applyFill="1" applyBorder="1" applyAlignment="1" applyProtection="1">
      <alignment horizontal="right" vertical="center"/>
      <protection locked="0"/>
    </xf>
    <xf numFmtId="0" fontId="5" fillId="11" borderId="50" xfId="0" applyFont="1" applyFill="1" applyBorder="1" applyAlignment="1" applyProtection="1">
      <alignment vertical="center"/>
      <protection locked="0"/>
    </xf>
    <xf numFmtId="4" fontId="44" fillId="5" borderId="68" xfId="0" applyNumberFormat="1" applyFont="1" applyFill="1" applyBorder="1" applyAlignment="1" applyProtection="1">
      <alignment vertical="center"/>
      <protection hidden="1"/>
    </xf>
    <xf numFmtId="4" fontId="4" fillId="5" borderId="74" xfId="0" applyNumberFormat="1" applyFont="1" applyFill="1" applyBorder="1" applyAlignment="1" applyProtection="1">
      <alignment vertical="center"/>
      <protection hidden="1"/>
    </xf>
    <xf numFmtId="4" fontId="4" fillId="5" borderId="75" xfId="0" applyNumberFormat="1" applyFont="1" applyFill="1" applyBorder="1" applyAlignment="1" applyProtection="1">
      <alignment vertical="center"/>
      <protection hidden="1"/>
    </xf>
    <xf numFmtId="4" fontId="4" fillId="5" borderId="78" xfId="0" applyNumberFormat="1" applyFont="1" applyFill="1" applyBorder="1" applyAlignment="1" applyProtection="1">
      <alignment vertical="center"/>
      <protection hidden="1"/>
    </xf>
    <xf numFmtId="0" fontId="2" fillId="0" borderId="69" xfId="0" applyFont="1" applyBorder="1" applyAlignment="1" applyProtection="1">
      <alignment vertical="center"/>
      <protection locked="0"/>
    </xf>
    <xf numFmtId="4" fontId="2" fillId="0" borderId="69" xfId="0" applyNumberFormat="1" applyFont="1" applyBorder="1" applyAlignment="1" applyProtection="1">
      <alignment vertical="center"/>
      <protection locked="0"/>
    </xf>
    <xf numFmtId="0" fontId="2" fillId="0" borderId="0" xfId="0" applyFont="1" applyAlignment="1" applyProtection="1">
      <alignment vertical="center"/>
      <protection locked="0"/>
    </xf>
    <xf numFmtId="1" fontId="2" fillId="0" borderId="92" xfId="0" applyNumberFormat="1" applyFont="1" applyBorder="1" applyAlignment="1" applyProtection="1">
      <alignment horizontal="center" vertical="center"/>
      <protection hidden="1"/>
    </xf>
    <xf numFmtId="49" fontId="2" fillId="0" borderId="92" xfId="0" applyNumberFormat="1" applyFont="1" applyBorder="1" applyAlignment="1" applyProtection="1">
      <alignment horizontal="center" vertical="center"/>
      <protection hidden="1"/>
    </xf>
    <xf numFmtId="49" fontId="5" fillId="28" borderId="92" xfId="0" applyNumberFormat="1" applyFont="1" applyFill="1" applyBorder="1" applyAlignment="1" applyProtection="1">
      <alignment horizontal="center" vertical="center"/>
      <protection locked="0"/>
    </xf>
    <xf numFmtId="49" fontId="5" fillId="5" borderId="92" xfId="0" applyNumberFormat="1" applyFont="1" applyFill="1" applyBorder="1" applyAlignment="1" applyProtection="1">
      <alignment vertical="center"/>
      <protection hidden="1"/>
    </xf>
    <xf numFmtId="49" fontId="2" fillId="4" borderId="75" xfId="0" applyNumberFormat="1" applyFont="1" applyFill="1" applyBorder="1" applyAlignment="1" applyProtection="1">
      <alignment horizontal="center" vertical="center"/>
      <protection hidden="1"/>
    </xf>
    <xf numFmtId="49" fontId="2" fillId="4" borderId="74" xfId="0" applyNumberFormat="1" applyFont="1" applyFill="1" applyBorder="1" applyAlignment="1" applyProtection="1">
      <alignment horizontal="center" vertical="center"/>
      <protection hidden="1"/>
    </xf>
    <xf numFmtId="49" fontId="2" fillId="4" borderId="74" xfId="0" applyNumberFormat="1" applyFont="1" applyFill="1" applyBorder="1" applyAlignment="1" applyProtection="1">
      <alignment horizontal="right" vertical="center"/>
      <protection hidden="1"/>
    </xf>
    <xf numFmtId="168" fontId="2" fillId="4" borderId="242" xfId="0" applyNumberFormat="1" applyFont="1" applyFill="1" applyBorder="1" applyAlignment="1" applyProtection="1">
      <alignment horizontal="center" vertical="center"/>
      <protection locked="0"/>
    </xf>
    <xf numFmtId="0" fontId="2" fillId="2" borderId="92" xfId="0" applyFont="1" applyFill="1" applyBorder="1" applyAlignment="1" applyProtection="1">
      <alignment horizontal="center" vertical="center"/>
      <protection hidden="1"/>
    </xf>
    <xf numFmtId="3" fontId="5" fillId="12" borderId="92" xfId="0" applyNumberFormat="1" applyFont="1" applyFill="1" applyBorder="1" applyAlignment="1" applyProtection="1">
      <alignment horizontal="center" vertical="center"/>
      <protection hidden="1"/>
    </xf>
    <xf numFmtId="3" fontId="50" fillId="0" borderId="0" xfId="0" applyNumberFormat="1" applyFont="1" applyAlignment="1" applyProtection="1">
      <alignment horizontal="center" vertical="center"/>
      <protection hidden="1"/>
    </xf>
    <xf numFmtId="3" fontId="2" fillId="5" borderId="0" xfId="0" applyNumberFormat="1" applyFont="1" applyFill="1" applyAlignment="1" applyProtection="1">
      <alignment vertical="center"/>
      <protection hidden="1"/>
    </xf>
    <xf numFmtId="0" fontId="2" fillId="0" borderId="243" xfId="0" applyFont="1" applyBorder="1" applyAlignment="1" applyProtection="1">
      <alignment horizontal="center" vertical="center"/>
      <protection locked="0"/>
    </xf>
    <xf numFmtId="4" fontId="2" fillId="11" borderId="244" xfId="0" applyNumberFormat="1" applyFont="1" applyFill="1" applyBorder="1" applyAlignment="1">
      <alignment vertical="center"/>
    </xf>
    <xf numFmtId="4" fontId="2" fillId="12" borderId="245" xfId="0" applyNumberFormat="1" applyFont="1" applyFill="1" applyBorder="1" applyAlignment="1">
      <alignment vertical="center"/>
    </xf>
    <xf numFmtId="1" fontId="2" fillId="5" borderId="246" xfId="0" applyNumberFormat="1" applyFont="1" applyFill="1" applyBorder="1" applyAlignment="1" applyProtection="1">
      <alignment horizontal="center" vertical="center"/>
      <protection hidden="1"/>
    </xf>
    <xf numFmtId="4" fontId="2" fillId="0" borderId="0" xfId="0" applyNumberFormat="1" applyFont="1" applyAlignment="1" applyProtection="1">
      <alignment vertical="center"/>
      <protection locked="0"/>
    </xf>
    <xf numFmtId="49" fontId="7" fillId="6" borderId="247" xfId="0" applyNumberFormat="1" applyFont="1" applyFill="1" applyBorder="1" applyAlignment="1" applyProtection="1">
      <alignment horizontal="center" vertical="center" wrapText="1"/>
      <protection hidden="1"/>
    </xf>
    <xf numFmtId="0" fontId="2" fillId="0" borderId="0" xfId="0" applyFont="1" applyAlignment="1" applyProtection="1">
      <alignment horizontal="center"/>
      <protection locked="0"/>
    </xf>
    <xf numFmtId="4" fontId="2" fillId="5" borderId="2" xfId="0" applyNumberFormat="1" applyFont="1" applyFill="1" applyBorder="1" applyAlignment="1" applyProtection="1">
      <alignment horizontal="center" vertical="center"/>
      <protection hidden="1"/>
    </xf>
    <xf numFmtId="4" fontId="5" fillId="11" borderId="50" xfId="0" applyNumberFormat="1" applyFont="1" applyFill="1" applyBorder="1" applyAlignment="1" applyProtection="1">
      <alignment wrapText="1"/>
      <protection locked="0"/>
    </xf>
    <xf numFmtId="0" fontId="41" fillId="14" borderId="46" xfId="0" applyFont="1" applyFill="1" applyBorder="1" applyAlignment="1" applyProtection="1">
      <alignment horizontal="center" vertical="center" textRotation="90" wrapText="1"/>
      <protection hidden="1"/>
    </xf>
    <xf numFmtId="0" fontId="5" fillId="0" borderId="31" xfId="0" applyFont="1" applyBorder="1" applyProtection="1">
      <protection hidden="1"/>
    </xf>
    <xf numFmtId="4" fontId="114" fillId="14" borderId="248" xfId="0" applyNumberFormat="1" applyFont="1" applyFill="1" applyBorder="1" applyProtection="1">
      <protection hidden="1"/>
    </xf>
    <xf numFmtId="4" fontId="7" fillId="2" borderId="249" xfId="0" applyNumberFormat="1" applyFont="1" applyFill="1" applyBorder="1" applyProtection="1">
      <protection hidden="1"/>
    </xf>
    <xf numFmtId="0" fontId="6" fillId="0" borderId="31" xfId="0" applyFont="1" applyBorder="1" applyAlignment="1" applyProtection="1">
      <alignment horizontal="center" vertical="center"/>
      <protection hidden="1"/>
    </xf>
    <xf numFmtId="0" fontId="6" fillId="0" borderId="32" xfId="0" applyFont="1" applyBorder="1" applyAlignment="1" applyProtection="1">
      <alignment horizontal="center" vertical="center"/>
      <protection hidden="1"/>
    </xf>
    <xf numFmtId="0" fontId="28" fillId="0" borderId="24" xfId="0" applyFont="1" applyBorder="1" applyAlignment="1" applyProtection="1">
      <alignment horizontal="left"/>
      <protection hidden="1"/>
    </xf>
    <xf numFmtId="0" fontId="29" fillId="0" borderId="31" xfId="0" applyFont="1" applyBorder="1" applyAlignment="1" applyProtection="1">
      <alignment horizontal="left"/>
      <protection hidden="1"/>
    </xf>
    <xf numFmtId="0" fontId="15" fillId="0" borderId="31" xfId="0" applyFont="1" applyBorder="1" applyAlignment="1" applyProtection="1">
      <alignment horizontal="left"/>
      <protection hidden="1"/>
    </xf>
    <xf numFmtId="0" fontId="13" fillId="0" borderId="31" xfId="0" applyFont="1" applyBorder="1" applyAlignment="1" applyProtection="1">
      <alignment horizontal="center"/>
      <protection hidden="1"/>
    </xf>
    <xf numFmtId="0" fontId="28" fillId="0" borderId="94" xfId="0" applyFont="1" applyBorder="1" applyAlignment="1" applyProtection="1">
      <alignment horizontal="left"/>
      <protection hidden="1"/>
    </xf>
    <xf numFmtId="0" fontId="29" fillId="0" borderId="32" xfId="0" applyFont="1" applyBorder="1" applyAlignment="1" applyProtection="1">
      <alignment horizontal="left"/>
      <protection hidden="1"/>
    </xf>
    <xf numFmtId="0" fontId="15" fillId="0" borderId="32" xfId="0" applyFont="1" applyBorder="1" applyAlignment="1" applyProtection="1">
      <alignment horizontal="left"/>
      <protection hidden="1"/>
    </xf>
    <xf numFmtId="0" fontId="5" fillId="0" borderId="32" xfId="0" applyFont="1" applyBorder="1" applyProtection="1">
      <protection hidden="1"/>
    </xf>
    <xf numFmtId="0" fontId="6" fillId="0" borderId="32" xfId="0" applyFont="1" applyBorder="1" applyAlignment="1" applyProtection="1">
      <alignment horizontal="center"/>
      <protection hidden="1"/>
    </xf>
    <xf numFmtId="4" fontId="36" fillId="0" borderId="250" xfId="0" quotePrefix="1" applyNumberFormat="1" applyFont="1" applyBorder="1" applyAlignment="1" applyProtection="1">
      <alignment vertical="center"/>
      <protection hidden="1"/>
    </xf>
    <xf numFmtId="0" fontId="7" fillId="11" borderId="251" xfId="0" applyFont="1" applyFill="1" applyBorder="1" applyAlignment="1" applyProtection="1">
      <alignment horizontal="center"/>
      <protection locked="0"/>
    </xf>
    <xf numFmtId="0" fontId="7" fillId="0" borderId="252" xfId="0" applyFont="1" applyBorder="1" applyAlignment="1" applyProtection="1">
      <alignment horizontal="center"/>
      <protection locked="0"/>
    </xf>
    <xf numFmtId="0" fontId="5" fillId="10" borderId="229" xfId="0" applyFont="1" applyFill="1" applyBorder="1" applyAlignment="1" applyProtection="1">
      <alignment vertical="center"/>
      <protection locked="0"/>
    </xf>
    <xf numFmtId="0" fontId="5" fillId="0" borderId="253" xfId="0" applyFont="1" applyBorder="1" applyAlignment="1" applyProtection="1">
      <alignment vertical="center"/>
      <protection locked="0"/>
    </xf>
    <xf numFmtId="0" fontId="5" fillId="8" borderId="254" xfId="0" applyFont="1" applyFill="1" applyBorder="1" applyAlignment="1" applyProtection="1">
      <alignment horizontal="center"/>
      <protection locked="0"/>
    </xf>
    <xf numFmtId="0" fontId="49" fillId="0" borderId="61" xfId="0" applyFont="1" applyBorder="1" applyAlignment="1" applyProtection="1">
      <alignment horizontal="center" vertical="center" wrapText="1"/>
      <protection hidden="1"/>
    </xf>
    <xf numFmtId="4" fontId="82" fillId="12" borderId="6" xfId="0" applyNumberFormat="1" applyFont="1" applyFill="1" applyBorder="1" applyAlignment="1" applyProtection="1">
      <alignment horizontal="right"/>
      <protection hidden="1"/>
    </xf>
    <xf numFmtId="4" fontId="82" fillId="0" borderId="6" xfId="0" applyNumberFormat="1" applyFont="1" applyBorder="1" applyAlignment="1" applyProtection="1">
      <alignment horizontal="right"/>
      <protection hidden="1"/>
    </xf>
    <xf numFmtId="0" fontId="5" fillId="0" borderId="50" xfId="0" applyFont="1" applyBorder="1"/>
    <xf numFmtId="0" fontId="5" fillId="0" borderId="50" xfId="0" applyFont="1" applyBorder="1" applyAlignment="1">
      <alignment horizontal="center"/>
    </xf>
    <xf numFmtId="0" fontId="5" fillId="11" borderId="52" xfId="0" applyFont="1" applyFill="1" applyBorder="1" applyProtection="1">
      <protection locked="0"/>
    </xf>
    <xf numFmtId="0" fontId="22" fillId="11" borderId="51" xfId="0" applyFont="1" applyFill="1" applyBorder="1" applyProtection="1">
      <protection locked="0"/>
    </xf>
    <xf numFmtId="0" fontId="5" fillId="0" borderId="52" xfId="0" applyFont="1" applyBorder="1" applyProtection="1">
      <protection locked="0"/>
    </xf>
    <xf numFmtId="0" fontId="5" fillId="11" borderId="71" xfId="0" applyFont="1" applyFill="1" applyBorder="1" applyProtection="1">
      <protection locked="0"/>
    </xf>
    <xf numFmtId="0" fontId="5" fillId="4" borderId="50" xfId="0" applyFont="1" applyFill="1" applyBorder="1" applyAlignment="1" applyProtection="1">
      <alignment vertical="center"/>
      <protection locked="0"/>
    </xf>
    <xf numFmtId="0" fontId="5" fillId="10" borderId="255" xfId="0" applyFont="1" applyFill="1" applyBorder="1" applyAlignment="1" applyProtection="1">
      <alignment vertical="center"/>
      <protection locked="0"/>
    </xf>
    <xf numFmtId="0" fontId="5" fillId="0" borderId="17" xfId="0" applyFont="1" applyBorder="1" applyAlignment="1" applyProtection="1">
      <alignment horizontal="right" vertical="center"/>
      <protection locked="0"/>
    </xf>
    <xf numFmtId="0" fontId="5" fillId="0" borderId="50" xfId="0" applyFont="1" applyBorder="1" applyAlignment="1" applyProtection="1">
      <alignment horizontal="right" vertical="center"/>
      <protection locked="0"/>
    </xf>
    <xf numFmtId="49" fontId="5" fillId="4" borderId="71" xfId="0" applyNumberFormat="1" applyFont="1" applyFill="1" applyBorder="1" applyAlignment="1" applyProtection="1">
      <alignment horizontal="center"/>
      <protection locked="0"/>
    </xf>
    <xf numFmtId="0" fontId="5" fillId="4" borderId="20" xfId="0" applyFont="1" applyFill="1" applyBorder="1" applyAlignment="1" applyProtection="1">
      <alignment horizontal="center"/>
      <protection locked="0"/>
    </xf>
    <xf numFmtId="0" fontId="5" fillId="11" borderId="17" xfId="0" applyFont="1" applyFill="1" applyBorder="1" applyProtection="1">
      <protection locked="0"/>
    </xf>
    <xf numFmtId="0" fontId="5" fillId="0" borderId="205" xfId="0" applyFont="1" applyBorder="1" applyProtection="1">
      <protection locked="0"/>
    </xf>
    <xf numFmtId="0" fontId="5" fillId="0" borderId="256" xfId="0" applyFont="1" applyBorder="1" applyAlignment="1" applyProtection="1">
      <alignment vertical="center"/>
      <protection locked="0"/>
    </xf>
    <xf numFmtId="0" fontId="5" fillId="11" borderId="0" xfId="0" applyFont="1" applyFill="1" applyAlignment="1" applyProtection="1">
      <alignment vertical="center"/>
      <protection locked="0"/>
    </xf>
    <xf numFmtId="0" fontId="5" fillId="0" borderId="0" xfId="0" applyFont="1" applyAlignment="1" applyProtection="1">
      <alignment vertical="center"/>
      <protection locked="0"/>
    </xf>
    <xf numFmtId="14" fontId="5" fillId="0" borderId="50" xfId="0" applyNumberFormat="1" applyFont="1" applyBorder="1" applyAlignment="1" applyProtection="1">
      <alignment vertical="center"/>
      <protection locked="0"/>
    </xf>
    <xf numFmtId="4" fontId="7" fillId="0" borderId="213" xfId="0" applyNumberFormat="1" applyFont="1" applyBorder="1" applyProtection="1">
      <protection hidden="1"/>
    </xf>
    <xf numFmtId="4" fontId="21" fillId="0" borderId="213" xfId="0" applyNumberFormat="1" applyFont="1" applyBorder="1" applyProtection="1">
      <protection hidden="1"/>
    </xf>
    <xf numFmtId="4" fontId="5" fillId="0" borderId="229" xfId="0" applyNumberFormat="1" applyFont="1" applyBorder="1" applyProtection="1">
      <protection locked="0"/>
    </xf>
    <xf numFmtId="4" fontId="20" fillId="0" borderId="229" xfId="0" applyNumberFormat="1" applyFont="1" applyBorder="1" applyProtection="1">
      <protection locked="0"/>
    </xf>
    <xf numFmtId="3" fontId="20" fillId="0" borderId="229" xfId="0" applyNumberFormat="1" applyFont="1" applyBorder="1" applyAlignment="1" applyProtection="1">
      <alignment horizontal="right"/>
      <protection locked="0"/>
    </xf>
    <xf numFmtId="0" fontId="28" fillId="0" borderId="46" xfId="0" applyFont="1" applyBorder="1" applyAlignment="1" applyProtection="1">
      <alignment horizontal="center" vertical="center" textRotation="90" wrapText="1"/>
      <protection hidden="1"/>
    </xf>
    <xf numFmtId="0" fontId="113" fillId="2" borderId="3" xfId="0" applyFont="1" applyFill="1" applyBorder="1" applyAlignment="1" applyProtection="1">
      <alignment horizontal="center" vertical="center" wrapText="1"/>
      <protection hidden="1"/>
    </xf>
    <xf numFmtId="4" fontId="7" fillId="10" borderId="3" xfId="0" applyNumberFormat="1" applyFont="1" applyFill="1" applyBorder="1" applyProtection="1">
      <protection hidden="1"/>
    </xf>
    <xf numFmtId="4" fontId="20" fillId="10" borderId="3" xfId="0" applyNumberFormat="1" applyFont="1" applyFill="1" applyBorder="1" applyProtection="1">
      <protection locked="0"/>
    </xf>
    <xf numFmtId="4" fontId="5" fillId="10" borderId="0" xfId="0" applyNumberFormat="1" applyFont="1" applyFill="1" applyProtection="1">
      <protection locked="0"/>
    </xf>
    <xf numFmtId="3" fontId="20" fillId="10" borderId="0" xfId="0" applyNumberFormat="1" applyFont="1" applyFill="1" applyAlignment="1" applyProtection="1">
      <alignment horizontal="right"/>
      <protection locked="0"/>
    </xf>
    <xf numFmtId="10" fontId="24" fillId="10" borderId="0" xfId="0" applyNumberFormat="1" applyFont="1" applyFill="1" applyProtection="1">
      <protection locked="0"/>
    </xf>
    <xf numFmtId="0" fontId="2" fillId="10" borderId="3" xfId="0" applyFont="1" applyFill="1" applyBorder="1" applyAlignment="1" applyProtection="1">
      <alignment horizontal="right" wrapText="1"/>
      <protection hidden="1"/>
    </xf>
    <xf numFmtId="0" fontId="66" fillId="14" borderId="46" xfId="0" applyFont="1" applyFill="1" applyBorder="1" applyAlignment="1" applyProtection="1">
      <alignment horizontal="center" vertical="center" wrapText="1"/>
      <protection hidden="1"/>
    </xf>
    <xf numFmtId="4" fontId="4" fillId="21" borderId="3" xfId="0" applyNumberFormat="1" applyFont="1" applyFill="1" applyBorder="1" applyAlignment="1" applyProtection="1">
      <alignment vertical="center"/>
      <protection hidden="1"/>
    </xf>
    <xf numFmtId="4" fontId="4" fillId="5" borderId="3" xfId="0" applyNumberFormat="1" applyFont="1" applyFill="1" applyBorder="1" applyAlignment="1" applyProtection="1">
      <alignment vertical="center"/>
      <protection hidden="1"/>
    </xf>
    <xf numFmtId="4" fontId="4" fillId="21" borderId="5" xfId="0" applyNumberFormat="1" applyFont="1" applyFill="1" applyBorder="1" applyAlignment="1" applyProtection="1">
      <alignment vertical="center"/>
      <protection hidden="1"/>
    </xf>
    <xf numFmtId="4" fontId="4" fillId="5" borderId="7" xfId="0" applyNumberFormat="1" applyFont="1" applyFill="1" applyBorder="1" applyAlignment="1" applyProtection="1">
      <alignment vertical="center"/>
      <protection hidden="1"/>
    </xf>
    <xf numFmtId="3" fontId="13" fillId="0" borderId="0" xfId="0" applyNumberFormat="1" applyFont="1" applyAlignment="1" applyProtection="1">
      <alignment horizontal="center" vertical="center"/>
      <protection hidden="1"/>
    </xf>
    <xf numFmtId="0" fontId="6" fillId="12" borderId="99" xfId="0" applyFont="1" applyFill="1" applyBorder="1" applyAlignment="1" applyProtection="1">
      <alignment horizontal="center" vertical="center" wrapText="1"/>
      <protection hidden="1"/>
    </xf>
    <xf numFmtId="0" fontId="6" fillId="0" borderId="66" xfId="0" applyFont="1" applyBorder="1" applyAlignment="1" applyProtection="1">
      <alignment horizontal="center" vertical="center"/>
      <protection hidden="1"/>
    </xf>
    <xf numFmtId="0" fontId="5" fillId="0" borderId="257" xfId="0" applyFont="1" applyBorder="1" applyAlignment="1" applyProtection="1">
      <alignment horizontal="center" vertical="center" wrapText="1"/>
      <protection hidden="1"/>
    </xf>
    <xf numFmtId="4" fontId="5" fillId="0" borderId="258" xfId="0" quotePrefix="1" applyNumberFormat="1" applyFont="1" applyBorder="1" applyProtection="1">
      <protection hidden="1"/>
    </xf>
    <xf numFmtId="4" fontId="13" fillId="11" borderId="258" xfId="0" applyNumberFormat="1" applyFont="1" applyFill="1" applyBorder="1" applyProtection="1">
      <protection hidden="1"/>
    </xf>
    <xf numFmtId="4" fontId="5" fillId="0" borderId="258" xfId="0" applyNumberFormat="1" applyFont="1" applyBorder="1" applyProtection="1">
      <protection hidden="1"/>
    </xf>
    <xf numFmtId="4" fontId="5" fillId="0" borderId="131" xfId="0" applyNumberFormat="1" applyFont="1" applyBorder="1" applyProtection="1">
      <protection hidden="1"/>
    </xf>
    <xf numFmtId="4" fontId="5" fillId="0" borderId="259" xfId="0" applyNumberFormat="1" applyFont="1" applyBorder="1" applyProtection="1">
      <protection hidden="1"/>
    </xf>
    <xf numFmtId="4" fontId="13" fillId="11" borderId="131" xfId="0" applyNumberFormat="1" applyFont="1" applyFill="1" applyBorder="1" applyProtection="1">
      <protection hidden="1"/>
    </xf>
    <xf numFmtId="0" fontId="6" fillId="0" borderId="260" xfId="0" applyFont="1" applyBorder="1" applyAlignment="1" applyProtection="1">
      <alignment horizontal="center" vertical="center"/>
      <protection hidden="1"/>
    </xf>
    <xf numFmtId="0" fontId="13" fillId="0" borderId="257" xfId="0" applyFont="1" applyBorder="1" applyAlignment="1" applyProtection="1">
      <alignment horizontal="center" vertical="center" wrapText="1"/>
      <protection hidden="1"/>
    </xf>
    <xf numFmtId="4" fontId="91" fillId="13" borderId="258" xfId="0" applyNumberFormat="1" applyFont="1" applyFill="1" applyBorder="1" applyAlignment="1" applyProtection="1">
      <alignment horizontal="right"/>
      <protection hidden="1"/>
    </xf>
    <xf numFmtId="4" fontId="91" fillId="20" borderId="258" xfId="0" applyNumberFormat="1" applyFont="1" applyFill="1" applyBorder="1" applyAlignment="1" applyProtection="1">
      <alignment horizontal="right"/>
      <protection hidden="1"/>
    </xf>
    <xf numFmtId="172" fontId="31" fillId="0" borderId="261" xfId="0" applyNumberFormat="1" applyFont="1" applyBorder="1" applyAlignment="1" applyProtection="1">
      <alignment horizontal="center" vertical="center" wrapText="1"/>
      <protection hidden="1"/>
    </xf>
    <xf numFmtId="0" fontId="31" fillId="0" borderId="261" xfId="0" applyFont="1" applyBorder="1" applyAlignment="1" applyProtection="1">
      <alignment horizontal="center" vertical="center" wrapText="1"/>
      <protection hidden="1"/>
    </xf>
    <xf numFmtId="4" fontId="5" fillId="13" borderId="7" xfId="0" applyNumberFormat="1" applyFont="1" applyFill="1" applyBorder="1" applyProtection="1">
      <protection hidden="1"/>
    </xf>
    <xf numFmtId="4" fontId="81" fillId="11" borderId="131" xfId="0" applyNumberFormat="1" applyFont="1" applyFill="1" applyBorder="1" applyAlignment="1" applyProtection="1">
      <alignment horizontal="right" vertical="center"/>
      <protection hidden="1"/>
    </xf>
    <xf numFmtId="4" fontId="82" fillId="0" borderId="61" xfId="0" applyNumberFormat="1" applyFont="1" applyBorder="1" applyAlignment="1" applyProtection="1">
      <alignment horizontal="right" vertical="center"/>
      <protection hidden="1"/>
    </xf>
    <xf numFmtId="4" fontId="82" fillId="11" borderId="116" xfId="0" applyNumberFormat="1" applyFont="1" applyFill="1" applyBorder="1" applyAlignment="1" applyProtection="1">
      <alignment horizontal="right" vertical="center"/>
      <protection hidden="1"/>
    </xf>
    <xf numFmtId="4" fontId="85" fillId="11" borderId="116" xfId="0" applyNumberFormat="1" applyFont="1" applyFill="1" applyBorder="1" applyAlignment="1" applyProtection="1">
      <alignment horizontal="right"/>
      <protection hidden="1"/>
    </xf>
    <xf numFmtId="0" fontId="118" fillId="0" borderId="65" xfId="0" applyFont="1" applyBorder="1" applyAlignment="1" applyProtection="1">
      <alignment vertical="center" wrapText="1"/>
      <protection hidden="1"/>
    </xf>
    <xf numFmtId="4" fontId="81" fillId="0" borderId="131" xfId="0" applyNumberFormat="1" applyFont="1" applyBorder="1" applyAlignment="1" applyProtection="1">
      <alignment horizontal="right" vertical="center"/>
      <protection hidden="1"/>
    </xf>
    <xf numFmtId="4" fontId="81" fillId="0" borderId="61" xfId="0" applyNumberFormat="1" applyFont="1" applyBorder="1" applyAlignment="1" applyProtection="1">
      <alignment horizontal="right" vertical="center"/>
      <protection hidden="1"/>
    </xf>
    <xf numFmtId="0" fontId="84" fillId="11" borderId="0" xfId="0" applyFont="1" applyFill="1" applyAlignment="1" applyProtection="1">
      <alignment vertical="center"/>
      <protection hidden="1"/>
    </xf>
    <xf numFmtId="4" fontId="20" fillId="11" borderId="67" xfId="0" applyNumberFormat="1" applyFont="1" applyFill="1" applyBorder="1" applyProtection="1">
      <protection locked="0"/>
    </xf>
    <xf numFmtId="4" fontId="5" fillId="11" borderId="66" xfId="0" applyNumberFormat="1" applyFont="1" applyFill="1" applyBorder="1" applyProtection="1">
      <protection locked="0"/>
    </xf>
    <xf numFmtId="10" fontId="24" fillId="7" borderId="66" xfId="0" applyNumberFormat="1" applyFont="1" applyFill="1" applyBorder="1" applyProtection="1">
      <protection locked="0"/>
    </xf>
    <xf numFmtId="0" fontId="2" fillId="0" borderId="59" xfId="0" applyFont="1" applyBorder="1" applyAlignment="1" applyProtection="1">
      <alignment horizontal="center" wrapText="1"/>
      <protection hidden="1"/>
    </xf>
    <xf numFmtId="4" fontId="20" fillId="11" borderId="226" xfId="0" applyNumberFormat="1" applyFont="1" applyFill="1" applyBorder="1" applyProtection="1">
      <protection locked="0"/>
    </xf>
    <xf numFmtId="4" fontId="5" fillId="11" borderId="224" xfId="0" applyNumberFormat="1" applyFont="1" applyFill="1" applyBorder="1" applyProtection="1">
      <protection locked="0"/>
    </xf>
    <xf numFmtId="10" fontId="24" fillId="7" borderId="224" xfId="0" applyNumberFormat="1" applyFont="1" applyFill="1" applyBorder="1" applyProtection="1">
      <protection locked="0"/>
    </xf>
    <xf numFmtId="0" fontId="2" fillId="0" borderId="262" xfId="0" applyFont="1" applyBorder="1" applyAlignment="1" applyProtection="1">
      <alignment horizontal="center" wrapText="1"/>
      <protection hidden="1"/>
    </xf>
    <xf numFmtId="0" fontId="2" fillId="0" borderId="263" xfId="0" applyFont="1" applyBorder="1" applyAlignment="1" applyProtection="1">
      <alignment horizontal="center" wrapText="1"/>
      <protection hidden="1"/>
    </xf>
    <xf numFmtId="0" fontId="5" fillId="0" borderId="264" xfId="0" applyFont="1" applyBorder="1" applyAlignment="1" applyProtection="1">
      <alignment vertical="center"/>
      <protection locked="0"/>
    </xf>
    <xf numFmtId="4" fontId="7" fillId="0" borderId="6" xfId="0" applyNumberFormat="1" applyFont="1" applyBorder="1" applyProtection="1">
      <protection hidden="1"/>
    </xf>
    <xf numFmtId="4" fontId="7" fillId="11" borderId="265" xfId="0" applyNumberFormat="1" applyFont="1" applyFill="1" applyBorder="1" applyProtection="1">
      <protection hidden="1"/>
    </xf>
    <xf numFmtId="4" fontId="7" fillId="0" borderId="266" xfId="0" applyNumberFormat="1" applyFont="1" applyBorder="1" applyProtection="1">
      <protection hidden="1"/>
    </xf>
    <xf numFmtId="4" fontId="7" fillId="11" borderId="6" xfId="0" applyNumberFormat="1" applyFont="1" applyFill="1" applyBorder="1" applyProtection="1">
      <protection hidden="1"/>
    </xf>
    <xf numFmtId="4" fontId="7" fillId="0" borderId="249" xfId="0" applyNumberFormat="1" applyFont="1" applyBorder="1" applyProtection="1">
      <protection hidden="1"/>
    </xf>
    <xf numFmtId="4" fontId="20" fillId="0" borderId="59" xfId="0" applyNumberFormat="1" applyFont="1" applyBorder="1" applyProtection="1">
      <protection locked="0"/>
    </xf>
    <xf numFmtId="4" fontId="20" fillId="11" borderId="267" xfId="0" applyNumberFormat="1" applyFont="1" applyFill="1" applyBorder="1" applyProtection="1">
      <protection locked="0"/>
    </xf>
    <xf numFmtId="4" fontId="20" fillId="0" borderId="268" xfId="0" applyNumberFormat="1" applyFont="1" applyBorder="1" applyProtection="1">
      <protection locked="0"/>
    </xf>
    <xf numFmtId="4" fontId="5" fillId="11" borderId="269" xfId="0" applyNumberFormat="1" applyFont="1" applyFill="1" applyBorder="1" applyProtection="1">
      <protection locked="0"/>
    </xf>
    <xf numFmtId="4" fontId="5" fillId="0" borderId="270" xfId="0" applyNumberFormat="1" applyFont="1" applyBorder="1" applyProtection="1">
      <protection locked="0"/>
    </xf>
    <xf numFmtId="3" fontId="20" fillId="11" borderId="269" xfId="0" applyNumberFormat="1" applyFont="1" applyFill="1" applyBorder="1" applyAlignment="1" applyProtection="1">
      <alignment horizontal="right"/>
      <protection locked="0"/>
    </xf>
    <xf numFmtId="3" fontId="20" fillId="0" borderId="270" xfId="0" applyNumberFormat="1" applyFont="1" applyBorder="1" applyAlignment="1" applyProtection="1">
      <alignment horizontal="right"/>
      <protection locked="0"/>
    </xf>
    <xf numFmtId="10" fontId="24" fillId="7" borderId="269" xfId="0" applyNumberFormat="1" applyFont="1" applyFill="1" applyBorder="1" applyProtection="1">
      <protection locked="0"/>
    </xf>
    <xf numFmtId="10" fontId="24" fillId="7" borderId="270" xfId="0" applyNumberFormat="1" applyFont="1" applyFill="1" applyBorder="1" applyProtection="1">
      <protection locked="0"/>
    </xf>
    <xf numFmtId="4" fontId="5" fillId="11" borderId="265" xfId="0" applyNumberFormat="1" applyFont="1" applyFill="1" applyBorder="1" applyProtection="1">
      <protection locked="0"/>
    </xf>
    <xf numFmtId="4" fontId="5" fillId="0" borderId="266" xfId="0" applyNumberFormat="1" applyFont="1" applyBorder="1" applyProtection="1">
      <protection locked="0"/>
    </xf>
    <xf numFmtId="4" fontId="5" fillId="11" borderId="6" xfId="0" applyNumberFormat="1" applyFont="1" applyFill="1" applyBorder="1" applyProtection="1">
      <protection locked="0"/>
    </xf>
    <xf numFmtId="4" fontId="5" fillId="0" borderId="6" xfId="0" applyNumberFormat="1" applyFont="1" applyBorder="1" applyProtection="1">
      <protection locked="0"/>
    </xf>
    <xf numFmtId="0" fontId="2" fillId="0" borderId="271" xfId="0" applyFont="1" applyBorder="1" applyAlignment="1" applyProtection="1">
      <alignment horizontal="center" wrapText="1"/>
      <protection hidden="1"/>
    </xf>
    <xf numFmtId="0" fontId="2" fillId="0" borderId="272" xfId="0" applyFont="1" applyBorder="1" applyAlignment="1" applyProtection="1">
      <alignment horizontal="center" wrapText="1"/>
      <protection hidden="1"/>
    </xf>
    <xf numFmtId="2" fontId="7" fillId="5" borderId="273" xfId="0" applyNumberFormat="1" applyFont="1" applyFill="1" applyBorder="1" applyAlignment="1" applyProtection="1">
      <alignment vertical="center"/>
      <protection locked="0"/>
    </xf>
    <xf numFmtId="4" fontId="4" fillId="5" borderId="274" xfId="0" applyNumberFormat="1" applyFont="1" applyFill="1" applyBorder="1" applyAlignment="1" applyProtection="1">
      <alignment vertical="center"/>
      <protection hidden="1"/>
    </xf>
    <xf numFmtId="0" fontId="2" fillId="0" borderId="269" xfId="0" applyFont="1" applyBorder="1" applyAlignment="1" applyProtection="1">
      <alignment horizontal="center" vertical="center" textRotation="90" wrapText="1"/>
      <protection hidden="1"/>
    </xf>
    <xf numFmtId="0" fontId="2" fillId="0" borderId="270" xfId="0" applyFont="1" applyBorder="1" applyAlignment="1" applyProtection="1">
      <alignment horizontal="center" vertical="center" textRotation="90" wrapText="1"/>
      <protection hidden="1"/>
    </xf>
    <xf numFmtId="0" fontId="2" fillId="0" borderId="269" xfId="0" applyFont="1" applyBorder="1" applyAlignment="1" applyProtection="1">
      <alignment horizontal="center" vertical="center" wrapText="1"/>
      <protection hidden="1"/>
    </xf>
    <xf numFmtId="0" fontId="2" fillId="0" borderId="270" xfId="0" applyFont="1" applyBorder="1" applyAlignment="1" applyProtection="1">
      <alignment horizontal="center" vertical="center" wrapText="1"/>
      <protection hidden="1"/>
    </xf>
    <xf numFmtId="4" fontId="2" fillId="11" borderId="275" xfId="0" applyNumberFormat="1" applyFont="1" applyFill="1" applyBorder="1"/>
    <xf numFmtId="4" fontId="2" fillId="12" borderId="74" xfId="0" applyNumberFormat="1" applyFont="1" applyFill="1" applyBorder="1"/>
    <xf numFmtId="3" fontId="2" fillId="5" borderId="276" xfId="0" applyNumberFormat="1" applyFont="1" applyFill="1" applyBorder="1" applyAlignment="1" applyProtection="1">
      <alignment horizontal="center"/>
      <protection hidden="1"/>
    </xf>
    <xf numFmtId="4" fontId="13" fillId="11" borderId="277" xfId="0" applyNumberFormat="1" applyFont="1" applyFill="1" applyBorder="1" applyProtection="1">
      <protection locked="0"/>
    </xf>
    <xf numFmtId="4" fontId="13" fillId="0" borderId="278" xfId="0" applyNumberFormat="1" applyFont="1" applyBorder="1" applyProtection="1">
      <protection locked="0"/>
    </xf>
    <xf numFmtId="4" fontId="2" fillId="11" borderId="279" xfId="0" applyNumberFormat="1" applyFont="1" applyFill="1" applyBorder="1"/>
    <xf numFmtId="4" fontId="2" fillId="12" borderId="244" xfId="0" applyNumberFormat="1" applyFont="1" applyFill="1" applyBorder="1"/>
    <xf numFmtId="0" fontId="7" fillId="11" borderId="280" xfId="0" applyFont="1" applyFill="1" applyBorder="1" applyAlignment="1" applyProtection="1">
      <alignment horizontal="center"/>
      <protection locked="0"/>
    </xf>
    <xf numFmtId="0" fontId="7" fillId="0" borderId="281" xfId="0" applyFont="1" applyBorder="1" applyAlignment="1" applyProtection="1">
      <alignment horizontal="center"/>
      <protection locked="0"/>
    </xf>
    <xf numFmtId="0" fontId="5" fillId="0" borderId="282" xfId="0" applyFont="1" applyBorder="1" applyProtection="1">
      <protection locked="0"/>
    </xf>
    <xf numFmtId="0" fontId="5" fillId="0" borderId="282" xfId="0" quotePrefix="1" applyFont="1" applyBorder="1" applyProtection="1">
      <protection locked="0"/>
    </xf>
    <xf numFmtId="4" fontId="7" fillId="11" borderId="277" xfId="0" applyNumberFormat="1" applyFont="1" applyFill="1" applyBorder="1" applyProtection="1">
      <protection locked="0"/>
    </xf>
    <xf numFmtId="4" fontId="7" fillId="0" borderId="278" xfId="0" applyNumberFormat="1" applyFont="1" applyBorder="1" applyProtection="1">
      <protection locked="0"/>
    </xf>
    <xf numFmtId="4" fontId="117" fillId="14" borderId="283" xfId="0" applyNumberFormat="1" applyFont="1" applyFill="1" applyBorder="1" applyProtection="1">
      <protection hidden="1"/>
    </xf>
    <xf numFmtId="4" fontId="7" fillId="26" borderId="284" xfId="0" applyNumberFormat="1" applyFont="1" applyFill="1" applyBorder="1" applyProtection="1">
      <protection hidden="1"/>
    </xf>
    <xf numFmtId="4" fontId="4" fillId="5" borderId="266" xfId="0" applyNumberFormat="1" applyFont="1" applyFill="1" applyBorder="1" applyProtection="1">
      <protection hidden="1"/>
    </xf>
    <xf numFmtId="4" fontId="20" fillId="11" borderId="285" xfId="0" applyNumberFormat="1" applyFont="1" applyFill="1" applyBorder="1" applyProtection="1">
      <protection locked="0"/>
    </xf>
    <xf numFmtId="4" fontId="21" fillId="0" borderId="286" xfId="0" applyNumberFormat="1" applyFont="1" applyBorder="1" applyProtection="1">
      <protection hidden="1"/>
    </xf>
    <xf numFmtId="4" fontId="5" fillId="11" borderId="287" xfId="0" applyNumberFormat="1" applyFont="1" applyFill="1" applyBorder="1" applyProtection="1">
      <protection locked="0"/>
    </xf>
    <xf numFmtId="4" fontId="5" fillId="0" borderId="288" xfId="0" applyNumberFormat="1" applyFont="1" applyBorder="1" applyProtection="1">
      <protection locked="0"/>
    </xf>
    <xf numFmtId="10" fontId="24" fillId="7" borderId="288" xfId="0" applyNumberFormat="1" applyFont="1" applyFill="1" applyBorder="1" applyProtection="1">
      <protection locked="0"/>
    </xf>
    <xf numFmtId="4" fontId="20" fillId="0" borderId="288" xfId="0" applyNumberFormat="1" applyFont="1" applyBorder="1" applyProtection="1">
      <protection locked="0"/>
    </xf>
    <xf numFmtId="3" fontId="20" fillId="11" borderId="287" xfId="0" applyNumberFormat="1" applyFont="1" applyFill="1" applyBorder="1" applyAlignment="1" applyProtection="1">
      <alignment horizontal="right"/>
      <protection locked="0"/>
    </xf>
    <xf numFmtId="3" fontId="20" fillId="0" borderId="288" xfId="0" applyNumberFormat="1" applyFont="1" applyBorder="1" applyAlignment="1" applyProtection="1">
      <alignment horizontal="right"/>
      <protection locked="0"/>
    </xf>
    <xf numFmtId="10" fontId="24" fillId="7" borderId="287" xfId="0" applyNumberFormat="1" applyFont="1" applyFill="1" applyBorder="1" applyProtection="1">
      <protection locked="0"/>
    </xf>
    <xf numFmtId="4" fontId="5" fillId="11" borderId="283" xfId="0" applyNumberFormat="1" applyFont="1" applyFill="1" applyBorder="1" applyProtection="1">
      <protection locked="0"/>
    </xf>
    <xf numFmtId="4" fontId="5" fillId="0" borderId="284" xfId="0" applyNumberFormat="1" applyFont="1" applyBorder="1" applyProtection="1">
      <protection locked="0"/>
    </xf>
    <xf numFmtId="0" fontId="2" fillId="0" borderId="285" xfId="0" applyFont="1" applyBorder="1" applyAlignment="1" applyProtection="1">
      <alignment horizontal="center" wrapText="1"/>
      <protection hidden="1"/>
    </xf>
    <xf numFmtId="0" fontId="2" fillId="0" borderId="289" xfId="0" applyFont="1" applyBorder="1" applyAlignment="1" applyProtection="1">
      <alignment horizontal="center" wrapText="1"/>
      <protection hidden="1"/>
    </xf>
    <xf numFmtId="4" fontId="4" fillId="0" borderId="59" xfId="0" applyNumberFormat="1" applyFont="1" applyBorder="1" applyAlignment="1" applyProtection="1">
      <alignment horizontal="center" vertical="center"/>
      <protection locked="0"/>
    </xf>
    <xf numFmtId="4" fontId="4" fillId="5" borderId="59" xfId="0" applyNumberFormat="1" applyFont="1" applyFill="1" applyBorder="1" applyAlignment="1" applyProtection="1">
      <alignment vertical="center"/>
      <protection hidden="1"/>
    </xf>
    <xf numFmtId="49" fontId="7" fillId="6" borderId="285" xfId="0" applyNumberFormat="1" applyFont="1" applyFill="1" applyBorder="1" applyAlignment="1" applyProtection="1">
      <alignment horizontal="center" vertical="center" wrapText="1"/>
      <protection hidden="1"/>
    </xf>
    <xf numFmtId="49" fontId="7" fillId="6" borderId="286" xfId="0" applyNumberFormat="1" applyFont="1" applyFill="1" applyBorder="1" applyAlignment="1" applyProtection="1">
      <alignment horizontal="center" vertical="center" wrapText="1"/>
      <protection hidden="1"/>
    </xf>
    <xf numFmtId="0" fontId="7" fillId="11" borderId="290" xfId="0" applyFont="1" applyFill="1" applyBorder="1" applyAlignment="1" applyProtection="1">
      <alignment horizontal="center"/>
      <protection locked="0"/>
    </xf>
    <xf numFmtId="0" fontId="7" fillId="0" borderId="291" xfId="0" applyFont="1" applyBorder="1" applyAlignment="1" applyProtection="1">
      <alignment horizontal="center"/>
      <protection locked="0"/>
    </xf>
    <xf numFmtId="0" fontId="5" fillId="0" borderId="292" xfId="0" applyFont="1" applyBorder="1" applyProtection="1">
      <protection locked="0"/>
    </xf>
    <xf numFmtId="0" fontId="5" fillId="0" borderId="17" xfId="0" applyFont="1" applyBorder="1" applyAlignment="1" applyProtection="1">
      <alignment vertical="center"/>
      <protection locked="0"/>
    </xf>
    <xf numFmtId="4" fontId="7" fillId="11" borderId="293" xfId="0" applyNumberFormat="1" applyFont="1" applyFill="1" applyBorder="1" applyProtection="1">
      <protection locked="0"/>
    </xf>
    <xf numFmtId="4" fontId="7" fillId="0" borderId="294" xfId="0" applyNumberFormat="1" applyFont="1" applyBorder="1" applyAlignment="1" applyProtection="1">
      <alignment vertical="center"/>
      <protection locked="0"/>
    </xf>
    <xf numFmtId="0" fontId="36" fillId="0" borderId="282" xfId="0" applyFont="1" applyBorder="1" applyProtection="1">
      <protection locked="0"/>
    </xf>
    <xf numFmtId="4" fontId="27" fillId="12" borderId="7" xfId="0" applyNumberFormat="1" applyFont="1" applyFill="1" applyBorder="1" applyAlignment="1" applyProtection="1">
      <alignment horizontal="right"/>
      <protection hidden="1"/>
    </xf>
    <xf numFmtId="4" fontId="27" fillId="0" borderId="7" xfId="0" applyNumberFormat="1" applyFont="1" applyBorder="1" applyAlignment="1" applyProtection="1">
      <alignment horizontal="right"/>
      <protection hidden="1"/>
    </xf>
    <xf numFmtId="0" fontId="27" fillId="0" borderId="118" xfId="0" applyFont="1" applyBorder="1" applyProtection="1">
      <protection hidden="1"/>
    </xf>
    <xf numFmtId="0" fontId="81" fillId="0" borderId="115" xfId="0" applyFont="1" applyBorder="1" applyAlignment="1" applyProtection="1">
      <alignment horizontal="left" vertical="center"/>
      <protection hidden="1"/>
    </xf>
    <xf numFmtId="0" fontId="27" fillId="0" borderId="121" xfId="0" applyFont="1" applyBorder="1" applyAlignment="1" applyProtection="1">
      <alignment horizontal="center"/>
      <protection hidden="1"/>
    </xf>
    <xf numFmtId="0" fontId="27" fillId="4" borderId="295" xfId="0" applyFont="1" applyFill="1" applyBorder="1" applyAlignment="1" applyProtection="1">
      <alignment horizontal="left" vertical="center"/>
      <protection hidden="1"/>
    </xf>
    <xf numFmtId="0" fontId="0" fillId="0" borderId="0" xfId="0" applyAlignment="1">
      <alignment vertical="center"/>
    </xf>
    <xf numFmtId="4" fontId="31" fillId="12" borderId="296" xfId="0" applyNumberFormat="1" applyFont="1" applyFill="1" applyBorder="1" applyAlignment="1" applyProtection="1">
      <alignment horizontal="center" vertical="center"/>
      <protection hidden="1"/>
    </xf>
    <xf numFmtId="4" fontId="0" fillId="0" borderId="0" xfId="0" applyNumberFormat="1" applyAlignment="1">
      <alignment vertical="center"/>
    </xf>
    <xf numFmtId="4" fontId="31" fillId="12" borderId="297" xfId="0" applyNumberFormat="1" applyFont="1" applyFill="1" applyBorder="1" applyAlignment="1" applyProtection="1">
      <alignment horizontal="center" vertical="center"/>
      <protection hidden="1"/>
    </xf>
    <xf numFmtId="4" fontId="31" fillId="12" borderId="298" xfId="0" applyNumberFormat="1" applyFont="1" applyFill="1" applyBorder="1" applyAlignment="1" applyProtection="1">
      <alignment horizontal="center" vertical="center"/>
      <protection hidden="1"/>
    </xf>
    <xf numFmtId="0" fontId="31" fillId="28" borderId="212" xfId="0" applyFont="1" applyFill="1" applyBorder="1" applyAlignment="1" applyProtection="1">
      <alignment horizontal="right" vertical="center" wrapText="1"/>
      <protection hidden="1"/>
    </xf>
    <xf numFmtId="4" fontId="31" fillId="28" borderId="296" xfId="0" applyNumberFormat="1" applyFont="1" applyFill="1" applyBorder="1" applyAlignment="1" applyProtection="1">
      <alignment horizontal="center" vertical="center"/>
      <protection hidden="1"/>
    </xf>
    <xf numFmtId="4" fontId="31" fillId="28" borderId="298" xfId="0" applyNumberFormat="1" applyFont="1" applyFill="1" applyBorder="1" applyAlignment="1" applyProtection="1">
      <alignment horizontal="center" vertical="center"/>
      <protection hidden="1"/>
    </xf>
    <xf numFmtId="4" fontId="31" fillId="28" borderId="297" xfId="0" applyNumberFormat="1" applyFont="1" applyFill="1" applyBorder="1" applyAlignment="1" applyProtection="1">
      <alignment horizontal="center" vertical="center"/>
      <protection hidden="1"/>
    </xf>
    <xf numFmtId="0" fontId="31" fillId="4" borderId="212" xfId="0" applyFont="1" applyFill="1" applyBorder="1" applyAlignment="1" applyProtection="1">
      <alignment horizontal="right" vertical="center" wrapText="1"/>
      <protection hidden="1"/>
    </xf>
    <xf numFmtId="4" fontId="31" fillId="4" borderId="296" xfId="0" applyNumberFormat="1" applyFont="1" applyFill="1" applyBorder="1" applyAlignment="1" applyProtection="1">
      <alignment horizontal="center" vertical="center"/>
      <protection hidden="1"/>
    </xf>
    <xf numFmtId="4" fontId="31" fillId="4" borderId="298" xfId="0" applyNumberFormat="1" applyFont="1" applyFill="1" applyBorder="1" applyAlignment="1" applyProtection="1">
      <alignment horizontal="center" vertical="center"/>
      <protection hidden="1"/>
    </xf>
    <xf numFmtId="4" fontId="31" fillId="4" borderId="297" xfId="0" applyNumberFormat="1" applyFont="1" applyFill="1" applyBorder="1" applyAlignment="1" applyProtection="1">
      <alignment horizontal="center" vertical="center"/>
      <protection hidden="1"/>
    </xf>
    <xf numFmtId="0" fontId="119" fillId="0" borderId="110" xfId="0" applyFont="1" applyBorder="1" applyAlignment="1" applyProtection="1">
      <alignment horizontal="center"/>
      <protection hidden="1"/>
    </xf>
    <xf numFmtId="4" fontId="119" fillId="13" borderId="4" xfId="0" applyNumberFormat="1" applyFont="1" applyFill="1" applyBorder="1" applyAlignment="1" applyProtection="1">
      <alignment horizontal="right" vertical="center" wrapText="1"/>
      <protection hidden="1"/>
    </xf>
    <xf numFmtId="4" fontId="119" fillId="12" borderId="111" xfId="0" applyNumberFormat="1" applyFont="1" applyFill="1" applyBorder="1" applyAlignment="1" applyProtection="1">
      <alignment horizontal="right" vertical="center" wrapText="1"/>
      <protection hidden="1"/>
    </xf>
    <xf numFmtId="4" fontId="119" fillId="0" borderId="112" xfId="0" applyNumberFormat="1" applyFont="1" applyBorder="1" applyAlignment="1" applyProtection="1">
      <alignment horizontal="right" vertical="center" wrapText="1"/>
      <protection hidden="1"/>
    </xf>
    <xf numFmtId="4" fontId="119" fillId="0" borderId="112" xfId="0" applyNumberFormat="1" applyFont="1" applyBorder="1" applyAlignment="1" applyProtection="1">
      <alignment horizontal="right"/>
      <protection hidden="1"/>
    </xf>
    <xf numFmtId="4" fontId="31" fillId="0" borderId="41" xfId="0" applyNumberFormat="1" applyFont="1" applyBorder="1" applyAlignment="1" applyProtection="1">
      <alignment vertical="center" wrapText="1"/>
      <protection locked="0"/>
    </xf>
    <xf numFmtId="4" fontId="75" fillId="11" borderId="148" xfId="0" applyNumberFormat="1" applyFont="1" applyFill="1" applyBorder="1" applyAlignment="1" applyProtection="1">
      <alignment horizontal="right" vertical="center" wrapText="1"/>
      <protection locked="0"/>
    </xf>
    <xf numFmtId="4" fontId="75" fillId="11" borderId="41" xfId="0" applyNumberFormat="1" applyFont="1" applyFill="1" applyBorder="1" applyAlignment="1" applyProtection="1">
      <alignment horizontal="right" vertical="center" wrapText="1"/>
      <protection locked="0"/>
    </xf>
    <xf numFmtId="4" fontId="31" fillId="11" borderId="11" xfId="0" applyNumberFormat="1" applyFont="1" applyFill="1" applyBorder="1" applyAlignment="1" applyProtection="1">
      <alignment vertical="center" wrapText="1"/>
      <protection locked="0"/>
    </xf>
    <xf numFmtId="4" fontId="75" fillId="11" borderId="41" xfId="0" applyNumberFormat="1" applyFont="1" applyFill="1" applyBorder="1" applyAlignment="1" applyProtection="1">
      <alignment vertical="center" wrapText="1"/>
      <protection locked="0"/>
    </xf>
    <xf numFmtId="0" fontId="5" fillId="10" borderId="255" xfId="0" applyFont="1" applyFill="1" applyBorder="1" applyAlignment="1" applyProtection="1">
      <alignment horizontal="center" vertical="center" textRotation="90" wrapText="1"/>
      <protection locked="0"/>
    </xf>
    <xf numFmtId="4" fontId="5" fillId="0" borderId="73" xfId="0" applyNumberFormat="1" applyFont="1" applyBorder="1" applyAlignment="1" applyProtection="1">
      <alignment horizontal="left"/>
      <protection hidden="1"/>
    </xf>
    <xf numFmtId="4" fontId="5" fillId="0" borderId="299" xfId="0" applyNumberFormat="1" applyFont="1" applyBorder="1" applyAlignment="1" applyProtection="1">
      <alignment horizontal="left"/>
      <protection hidden="1"/>
    </xf>
    <xf numFmtId="0" fontId="13" fillId="0" borderId="300" xfId="0" applyFont="1" applyBorder="1" applyAlignment="1" applyProtection="1">
      <alignment horizontal="center" vertical="center" wrapText="1"/>
      <protection hidden="1"/>
    </xf>
    <xf numFmtId="0" fontId="5" fillId="0" borderId="301" xfId="0" applyFont="1" applyBorder="1" applyAlignment="1" applyProtection="1">
      <alignment horizontal="left"/>
      <protection hidden="1"/>
    </xf>
    <xf numFmtId="0" fontId="31" fillId="0" borderId="302" xfId="0" applyFont="1" applyBorder="1" applyAlignment="1" applyProtection="1">
      <alignment horizontal="center" vertical="center" wrapText="1"/>
      <protection hidden="1"/>
    </xf>
    <xf numFmtId="4" fontId="5" fillId="0" borderId="303" xfId="0" applyNumberFormat="1" applyFont="1" applyBorder="1" applyProtection="1">
      <protection hidden="1"/>
    </xf>
    <xf numFmtId="3" fontId="30" fillId="2" borderId="3" xfId="0" applyNumberFormat="1" applyFont="1" applyFill="1" applyBorder="1" applyAlignment="1" applyProtection="1">
      <alignment horizontal="center" vertical="center" wrapText="1"/>
      <protection hidden="1"/>
    </xf>
    <xf numFmtId="3" fontId="13" fillId="13" borderId="4" xfId="0" applyNumberFormat="1" applyFont="1" applyFill="1" applyBorder="1" applyAlignment="1" applyProtection="1">
      <alignment horizontal="center" vertical="center" wrapText="1"/>
      <protection hidden="1"/>
    </xf>
    <xf numFmtId="3" fontId="31" fillId="0" borderId="112" xfId="0" applyNumberFormat="1" applyFont="1" applyBorder="1" applyAlignment="1" applyProtection="1">
      <alignment horizontal="center" vertical="center" wrapText="1"/>
      <protection hidden="1"/>
    </xf>
    <xf numFmtId="3" fontId="31" fillId="0" borderId="4" xfId="0" applyNumberFormat="1" applyFont="1" applyBorder="1" applyAlignment="1" applyProtection="1">
      <alignment horizontal="center" vertical="center" wrapText="1"/>
      <protection hidden="1"/>
    </xf>
    <xf numFmtId="3" fontId="31" fillId="12" borderId="111" xfId="0" applyNumberFormat="1"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protection hidden="1"/>
    </xf>
    <xf numFmtId="0" fontId="13" fillId="4" borderId="6" xfId="0" applyFont="1" applyFill="1" applyBorder="1" applyAlignment="1" applyProtection="1">
      <alignment horizontal="center" vertical="center"/>
      <protection hidden="1"/>
    </xf>
    <xf numFmtId="0" fontId="31" fillId="4" borderId="13" xfId="0" applyFont="1" applyFill="1" applyBorder="1" applyAlignment="1" applyProtection="1">
      <alignment horizontal="center" vertical="center"/>
      <protection hidden="1"/>
    </xf>
    <xf numFmtId="0" fontId="13" fillId="4" borderId="13" xfId="0" applyFont="1" applyFill="1" applyBorder="1" applyAlignment="1" applyProtection="1">
      <alignment horizontal="center" vertical="center"/>
      <protection hidden="1"/>
    </xf>
    <xf numFmtId="4" fontId="13" fillId="4" borderId="131" xfId="0" applyNumberFormat="1" applyFont="1" applyFill="1" applyBorder="1" applyAlignment="1" applyProtection="1">
      <alignment vertical="center"/>
      <protection hidden="1"/>
    </xf>
    <xf numFmtId="4" fontId="13" fillId="4" borderId="7" xfId="0" applyNumberFormat="1" applyFont="1" applyFill="1" applyBorder="1" applyAlignment="1" applyProtection="1">
      <alignment vertical="center"/>
      <protection hidden="1"/>
    </xf>
    <xf numFmtId="4" fontId="91" fillId="13" borderId="7" xfId="0" applyNumberFormat="1" applyFont="1" applyFill="1" applyBorder="1" applyAlignment="1" applyProtection="1">
      <alignment horizontal="right" vertical="center"/>
      <protection hidden="1"/>
    </xf>
    <xf numFmtId="4" fontId="90" fillId="13" borderId="61" xfId="0" applyNumberFormat="1" applyFont="1" applyFill="1" applyBorder="1" applyAlignment="1" applyProtection="1">
      <alignment horizontal="right" vertical="center"/>
      <protection hidden="1"/>
    </xf>
    <xf numFmtId="0" fontId="31" fillId="4" borderId="304" xfId="0" applyFont="1" applyFill="1" applyBorder="1" applyAlignment="1" applyProtection="1">
      <alignment horizontal="center" vertical="center"/>
      <protection hidden="1"/>
    </xf>
    <xf numFmtId="4" fontId="91" fillId="12" borderId="7" xfId="0" applyNumberFormat="1" applyFont="1" applyFill="1" applyBorder="1" applyAlignment="1" applyProtection="1">
      <alignment horizontal="right" vertical="center"/>
      <protection hidden="1"/>
    </xf>
    <xf numFmtId="4" fontId="91" fillId="12" borderId="7" xfId="0" applyNumberFormat="1" applyFont="1" applyFill="1" applyBorder="1" applyAlignment="1" applyProtection="1">
      <alignment horizontal="center" vertical="center"/>
      <protection hidden="1"/>
    </xf>
    <xf numFmtId="4" fontId="90" fillId="12" borderId="61" xfId="0" applyNumberFormat="1" applyFont="1" applyFill="1" applyBorder="1" applyAlignment="1" applyProtection="1">
      <alignment horizontal="center" vertical="center"/>
      <protection hidden="1"/>
    </xf>
    <xf numFmtId="4" fontId="6" fillId="0" borderId="0" xfId="0" quotePrefix="1" applyNumberFormat="1" applyFont="1" applyAlignment="1" applyProtection="1">
      <alignment vertical="center"/>
      <protection hidden="1"/>
    </xf>
    <xf numFmtId="0" fontId="31" fillId="4" borderId="44" xfId="0" applyFont="1" applyFill="1" applyBorder="1" applyAlignment="1" applyProtection="1">
      <alignment horizontal="center" vertical="center"/>
      <protection hidden="1"/>
    </xf>
    <xf numFmtId="0" fontId="13" fillId="4" borderId="44" xfId="0" applyFont="1" applyFill="1" applyBorder="1" applyAlignment="1" applyProtection="1">
      <alignment horizontal="center" vertical="center"/>
      <protection hidden="1"/>
    </xf>
    <xf numFmtId="4" fontId="91" fillId="20" borderId="7" xfId="0" applyNumberFormat="1" applyFont="1" applyFill="1" applyBorder="1" applyAlignment="1" applyProtection="1">
      <alignment horizontal="right" vertical="center"/>
      <protection hidden="1"/>
    </xf>
    <xf numFmtId="0" fontId="40" fillId="4" borderId="72" xfId="0" applyFont="1" applyFill="1" applyBorder="1" applyAlignment="1" applyProtection="1">
      <alignment horizontal="center" vertical="center"/>
      <protection hidden="1"/>
    </xf>
    <xf numFmtId="0" fontId="31" fillId="0" borderId="110" xfId="0" applyFont="1" applyBorder="1" applyAlignment="1" applyProtection="1">
      <alignment horizontal="center" vertical="center" wrapText="1"/>
      <protection hidden="1"/>
    </xf>
    <xf numFmtId="49" fontId="7" fillId="6" borderId="305" xfId="0" applyNumberFormat="1" applyFont="1" applyFill="1" applyBorder="1" applyAlignment="1" applyProtection="1">
      <alignment horizontal="center" vertical="center" wrapText="1"/>
      <protection hidden="1"/>
    </xf>
    <xf numFmtId="49" fontId="7" fillId="6" borderId="306" xfId="0" applyNumberFormat="1" applyFont="1" applyFill="1" applyBorder="1" applyAlignment="1" applyProtection="1">
      <alignment horizontal="center" vertical="center" wrapText="1"/>
      <protection hidden="1"/>
    </xf>
    <xf numFmtId="0" fontId="13" fillId="0" borderId="42" xfId="0" applyFont="1" applyBorder="1" applyAlignment="1" applyProtection="1">
      <alignment horizontal="center" vertical="center" wrapText="1"/>
      <protection hidden="1"/>
    </xf>
    <xf numFmtId="4" fontId="91" fillId="12" borderId="3" xfId="0" applyNumberFormat="1" applyFont="1" applyFill="1" applyBorder="1" applyAlignment="1" applyProtection="1">
      <alignment horizontal="right"/>
      <protection hidden="1"/>
    </xf>
    <xf numFmtId="4" fontId="91" fillId="13" borderId="3" xfId="0" applyNumberFormat="1" applyFont="1" applyFill="1" applyBorder="1" applyAlignment="1" applyProtection="1">
      <alignment horizontal="right"/>
      <protection hidden="1"/>
    </xf>
    <xf numFmtId="4" fontId="91" fillId="20" borderId="3" xfId="0" applyNumberFormat="1" applyFont="1" applyFill="1" applyBorder="1" applyAlignment="1" applyProtection="1">
      <alignment horizontal="right"/>
      <protection hidden="1"/>
    </xf>
    <xf numFmtId="0" fontId="31" fillId="0" borderId="119" xfId="0" applyFont="1" applyBorder="1" applyAlignment="1" applyProtection="1">
      <alignment horizontal="center" vertical="center" wrapText="1"/>
      <protection hidden="1"/>
    </xf>
    <xf numFmtId="0" fontId="6" fillId="0" borderId="66" xfId="0" applyFont="1" applyBorder="1" applyProtection="1">
      <protection hidden="1"/>
    </xf>
    <xf numFmtId="0" fontId="6" fillId="0" borderId="58" xfId="0" applyFont="1" applyBorder="1" applyProtection="1">
      <protection hidden="1"/>
    </xf>
    <xf numFmtId="4" fontId="91" fillId="12" borderId="3" xfId="0" applyNumberFormat="1" applyFont="1" applyFill="1" applyBorder="1" applyAlignment="1" applyProtection="1">
      <alignment horizontal="center" vertical="center"/>
      <protection hidden="1"/>
    </xf>
    <xf numFmtId="4" fontId="91" fillId="13" borderId="3" xfId="0" applyNumberFormat="1" applyFont="1" applyFill="1" applyBorder="1" applyAlignment="1" applyProtection="1">
      <alignment horizontal="right" vertical="center"/>
      <protection hidden="1"/>
    </xf>
    <xf numFmtId="4" fontId="91" fillId="20" borderId="3" xfId="0" applyNumberFormat="1" applyFont="1" applyFill="1" applyBorder="1" applyAlignment="1" applyProtection="1">
      <alignment horizontal="right" vertical="center"/>
      <protection hidden="1"/>
    </xf>
    <xf numFmtId="0" fontId="13" fillId="0" borderId="307" xfId="0" applyFont="1" applyBorder="1" applyAlignment="1" applyProtection="1">
      <alignment horizontal="center" vertical="center" wrapText="1"/>
      <protection hidden="1"/>
    </xf>
    <xf numFmtId="0" fontId="13" fillId="0" borderId="308" xfId="0" applyFont="1" applyBorder="1" applyAlignment="1" applyProtection="1">
      <alignment horizontal="center" vertical="center" wrapText="1"/>
      <protection hidden="1"/>
    </xf>
    <xf numFmtId="0" fontId="13" fillId="0" borderId="309" xfId="0" applyFont="1" applyBorder="1" applyAlignment="1" applyProtection="1">
      <alignment horizontal="center" vertical="center" wrapText="1"/>
      <protection hidden="1"/>
    </xf>
    <xf numFmtId="0" fontId="6" fillId="0" borderId="58" xfId="0" applyFont="1" applyBorder="1" applyAlignment="1" applyProtection="1">
      <alignment horizontal="center" vertical="center"/>
      <protection hidden="1"/>
    </xf>
    <xf numFmtId="4" fontId="14" fillId="11" borderId="59" xfId="0" applyNumberFormat="1" applyFont="1" applyFill="1" applyBorder="1" applyAlignment="1" applyProtection="1">
      <alignment horizontal="center"/>
      <protection hidden="1"/>
    </xf>
    <xf numFmtId="4" fontId="91" fillId="12" borderId="258" xfId="0" applyNumberFormat="1" applyFont="1" applyFill="1" applyBorder="1" applyAlignment="1" applyProtection="1">
      <alignment horizontal="center" vertical="center"/>
      <protection hidden="1"/>
    </xf>
    <xf numFmtId="4" fontId="91" fillId="12" borderId="59" xfId="0" applyNumberFormat="1" applyFont="1" applyFill="1" applyBorder="1" applyAlignment="1" applyProtection="1">
      <alignment horizontal="center" vertical="center"/>
      <protection hidden="1"/>
    </xf>
    <xf numFmtId="4" fontId="5" fillId="0" borderId="59" xfId="0" applyNumberFormat="1" applyFont="1" applyBorder="1" applyProtection="1">
      <protection hidden="1"/>
    </xf>
    <xf numFmtId="4" fontId="5" fillId="0" borderId="59" xfId="0" quotePrefix="1" applyNumberFormat="1" applyFont="1" applyBorder="1" applyProtection="1">
      <protection hidden="1"/>
    </xf>
    <xf numFmtId="4" fontId="13" fillId="11" borderId="59" xfId="0" applyNumberFormat="1" applyFont="1" applyFill="1" applyBorder="1" applyProtection="1">
      <protection hidden="1"/>
    </xf>
    <xf numFmtId="4" fontId="91" fillId="13" borderId="258" xfId="0" applyNumberFormat="1" applyFont="1" applyFill="1" applyBorder="1" applyAlignment="1" applyProtection="1">
      <alignment horizontal="right" vertical="center"/>
      <protection hidden="1"/>
    </xf>
    <xf numFmtId="4" fontId="91" fillId="13" borderId="59" xfId="0" applyNumberFormat="1" applyFont="1" applyFill="1" applyBorder="1" applyAlignment="1" applyProtection="1">
      <alignment horizontal="right" vertical="center"/>
      <protection hidden="1"/>
    </xf>
    <xf numFmtId="4" fontId="5" fillId="0" borderId="310" xfId="0" applyNumberFormat="1" applyFont="1" applyBorder="1" applyProtection="1">
      <protection hidden="1"/>
    </xf>
    <xf numFmtId="4" fontId="5" fillId="0" borderId="311" xfId="0" applyNumberFormat="1" applyFont="1" applyBorder="1" applyProtection="1">
      <protection hidden="1"/>
    </xf>
    <xf numFmtId="0" fontId="6" fillId="0" borderId="312" xfId="0" applyFont="1" applyBorder="1" applyAlignment="1" applyProtection="1">
      <alignment horizontal="center"/>
      <protection hidden="1"/>
    </xf>
    <xf numFmtId="0" fontId="6" fillId="0" borderId="313" xfId="0" applyFont="1" applyBorder="1" applyAlignment="1" applyProtection="1">
      <alignment horizontal="center"/>
      <protection hidden="1"/>
    </xf>
    <xf numFmtId="0" fontId="6" fillId="0" borderId="314" xfId="0" applyFont="1" applyBorder="1" applyAlignment="1" applyProtection="1">
      <alignment horizontal="center"/>
      <protection hidden="1"/>
    </xf>
    <xf numFmtId="0" fontId="13" fillId="0" borderId="315" xfId="0" applyFont="1" applyBorder="1" applyAlignment="1" applyProtection="1">
      <alignment horizontal="center" vertical="center" wrapText="1"/>
      <protection hidden="1"/>
    </xf>
    <xf numFmtId="0" fontId="13" fillId="0" borderId="316" xfId="0" applyFont="1" applyBorder="1" applyAlignment="1" applyProtection="1">
      <alignment horizontal="center" vertical="center" wrapText="1"/>
      <protection hidden="1"/>
    </xf>
    <xf numFmtId="4" fontId="13" fillId="4" borderId="258" xfId="0" applyNumberFormat="1" applyFont="1" applyFill="1" applyBorder="1" applyAlignment="1" applyProtection="1">
      <alignment vertical="center"/>
      <protection hidden="1"/>
    </xf>
    <xf numFmtId="4" fontId="13" fillId="4" borderId="3" xfId="0" applyNumberFormat="1" applyFont="1" applyFill="1" applyBorder="1" applyAlignment="1" applyProtection="1">
      <alignment vertical="center"/>
      <protection hidden="1"/>
    </xf>
    <xf numFmtId="0" fontId="13" fillId="4" borderId="265" xfId="0" applyFont="1" applyFill="1" applyBorder="1" applyAlignment="1" applyProtection="1">
      <alignment horizontal="center"/>
      <protection hidden="1"/>
    </xf>
    <xf numFmtId="0" fontId="13" fillId="0" borderId="317" xfId="0" applyFont="1" applyBorder="1" applyAlignment="1" applyProtection="1">
      <alignment horizontal="center" vertical="center" wrapText="1"/>
      <protection hidden="1"/>
    </xf>
    <xf numFmtId="0" fontId="13" fillId="0" borderId="318" xfId="0" applyFont="1" applyBorder="1" applyAlignment="1" applyProtection="1">
      <alignment horizontal="center" vertical="center" wrapText="1"/>
      <protection hidden="1"/>
    </xf>
    <xf numFmtId="0" fontId="6" fillId="0" borderId="319" xfId="0" applyFont="1" applyBorder="1" applyAlignment="1" applyProtection="1">
      <alignment horizontal="center" vertical="center"/>
      <protection hidden="1"/>
    </xf>
    <xf numFmtId="0" fontId="13" fillId="0" borderId="320" xfId="0" applyFont="1" applyBorder="1" applyAlignment="1" applyProtection="1">
      <alignment horizontal="center" vertical="center" wrapText="1"/>
      <protection hidden="1"/>
    </xf>
    <xf numFmtId="4" fontId="13" fillId="11" borderId="116" xfId="0" applyNumberFormat="1" applyFont="1" applyFill="1" applyBorder="1" applyProtection="1">
      <protection hidden="1"/>
    </xf>
    <xf numFmtId="4" fontId="91" fillId="12" borderId="116" xfId="0" applyNumberFormat="1" applyFont="1" applyFill="1" applyBorder="1" applyAlignment="1" applyProtection="1">
      <alignment horizontal="right"/>
      <protection hidden="1"/>
    </xf>
    <xf numFmtId="4" fontId="7" fillId="11" borderId="116" xfId="0" applyNumberFormat="1" applyFont="1" applyFill="1" applyBorder="1" applyProtection="1">
      <protection hidden="1"/>
    </xf>
    <xf numFmtId="4" fontId="91" fillId="20" borderId="116" xfId="0" applyNumberFormat="1" applyFont="1" applyFill="1" applyBorder="1" applyAlignment="1" applyProtection="1">
      <alignment horizontal="right"/>
      <protection hidden="1"/>
    </xf>
    <xf numFmtId="0" fontId="31" fillId="0" borderId="321" xfId="0" applyFont="1" applyBorder="1" applyAlignment="1" applyProtection="1">
      <alignment horizontal="center" vertical="center" wrapText="1"/>
      <protection hidden="1"/>
    </xf>
    <xf numFmtId="0" fontId="6" fillId="0" borderId="320" xfId="0" applyFont="1" applyBorder="1" applyAlignment="1" applyProtection="1">
      <alignment horizontal="center"/>
      <protection hidden="1"/>
    </xf>
    <xf numFmtId="4" fontId="31" fillId="11" borderId="321" xfId="0" applyNumberFormat="1" applyFont="1" applyFill="1" applyBorder="1" applyProtection="1">
      <protection hidden="1"/>
    </xf>
    <xf numFmtId="4" fontId="13" fillId="4" borderId="116" xfId="0" applyNumberFormat="1" applyFont="1" applyFill="1" applyBorder="1" applyAlignment="1" applyProtection="1">
      <alignment vertical="center"/>
      <protection hidden="1"/>
    </xf>
    <xf numFmtId="4" fontId="7" fillId="11" borderId="322" xfId="0" applyNumberFormat="1" applyFont="1" applyFill="1" applyBorder="1" applyProtection="1">
      <protection hidden="1"/>
    </xf>
    <xf numFmtId="0" fontId="6" fillId="0" borderId="319" xfId="0" applyFont="1" applyBorder="1" applyProtection="1">
      <protection hidden="1"/>
    </xf>
    <xf numFmtId="0" fontId="6" fillId="24" borderId="42" xfId="0" applyFont="1" applyFill="1" applyBorder="1" applyAlignment="1" applyProtection="1">
      <alignment vertical="center"/>
      <protection hidden="1"/>
    </xf>
    <xf numFmtId="0" fontId="6" fillId="18" borderId="92" xfId="0" applyFont="1" applyFill="1" applyBorder="1" applyAlignment="1" applyProtection="1">
      <alignment vertical="center"/>
      <protection hidden="1"/>
    </xf>
    <xf numFmtId="0" fontId="6" fillId="18" borderId="70" xfId="0" applyFont="1" applyFill="1" applyBorder="1" applyAlignment="1" applyProtection="1">
      <alignment vertical="center"/>
      <protection hidden="1"/>
    </xf>
    <xf numFmtId="4" fontId="77" fillId="18" borderId="70" xfId="0" applyNumberFormat="1" applyFont="1" applyFill="1" applyBorder="1" applyAlignment="1" applyProtection="1">
      <alignment vertical="center"/>
      <protection hidden="1"/>
    </xf>
    <xf numFmtId="0" fontId="6" fillId="18" borderId="0" xfId="0" applyFont="1" applyFill="1" applyAlignment="1" applyProtection="1">
      <alignment vertical="center"/>
      <protection hidden="1"/>
    </xf>
    <xf numFmtId="4" fontId="6" fillId="24" borderId="42" xfId="0" applyNumberFormat="1" applyFont="1" applyFill="1" applyBorder="1" applyAlignment="1" applyProtection="1">
      <alignment vertical="center"/>
      <protection hidden="1"/>
    </xf>
    <xf numFmtId="0" fontId="6" fillId="18" borderId="58" xfId="0" applyFont="1" applyFill="1" applyBorder="1" applyAlignment="1" applyProtection="1">
      <alignment vertical="center"/>
      <protection hidden="1"/>
    </xf>
    <xf numFmtId="4" fontId="91" fillId="0" borderId="323" xfId="0" applyNumberFormat="1" applyFont="1" applyBorder="1" applyAlignment="1" applyProtection="1">
      <alignment horizontal="right"/>
      <protection hidden="1"/>
    </xf>
    <xf numFmtId="3" fontId="108" fillId="0" borderId="112" xfId="0" applyNumberFormat="1" applyFont="1" applyBorder="1" applyAlignment="1" applyProtection="1">
      <alignment horizontal="center" vertical="center" wrapText="1"/>
      <protection hidden="1"/>
    </xf>
    <xf numFmtId="0" fontId="6" fillId="0" borderId="42" xfId="0" applyFont="1" applyBorder="1" applyAlignment="1" applyProtection="1">
      <alignment horizontal="center" vertical="center" wrapText="1"/>
      <protection hidden="1"/>
    </xf>
    <xf numFmtId="0" fontId="6" fillId="0" borderId="32" xfId="0" applyFont="1" applyBorder="1" applyAlignment="1">
      <alignment horizontal="center"/>
    </xf>
    <xf numFmtId="0" fontId="13" fillId="0" borderId="26" xfId="0" applyFont="1" applyBorder="1" applyAlignment="1">
      <alignment horizontal="center" vertical="center" wrapText="1"/>
    </xf>
    <xf numFmtId="0" fontId="13" fillId="0" borderId="0" xfId="0" applyFont="1" applyAlignment="1">
      <alignment horizontal="center" vertical="center" textRotation="90" wrapText="1"/>
    </xf>
    <xf numFmtId="0" fontId="6" fillId="0" borderId="93" xfId="0" applyFont="1" applyBorder="1" applyAlignment="1">
      <alignment horizontal="center"/>
    </xf>
    <xf numFmtId="49" fontId="6" fillId="0" borderId="125" xfId="0" applyNumberFormat="1" applyFont="1" applyBorder="1" applyAlignment="1" applyProtection="1">
      <alignment horizontal="center" vertical="center" wrapText="1"/>
      <protection locked="0"/>
    </xf>
    <xf numFmtId="0" fontId="13" fillId="0" borderId="42" xfId="0" applyFont="1" applyBorder="1" applyAlignment="1">
      <alignment horizontal="center" vertical="center" wrapText="1"/>
    </xf>
    <xf numFmtId="4" fontId="6" fillId="0" borderId="42" xfId="0" applyNumberFormat="1" applyFont="1" applyBorder="1" applyAlignment="1" applyProtection="1">
      <alignment vertical="center" wrapText="1"/>
      <protection locked="0"/>
    </xf>
    <xf numFmtId="10" fontId="31" fillId="2" borderId="324" xfId="0" applyNumberFormat="1" applyFont="1" applyFill="1" applyBorder="1" applyAlignment="1">
      <alignment vertical="center"/>
    </xf>
    <xf numFmtId="10" fontId="31" fillId="2" borderId="325" xfId="0" applyNumberFormat="1" applyFont="1" applyFill="1" applyBorder="1" applyAlignment="1">
      <alignment vertical="center"/>
    </xf>
    <xf numFmtId="0" fontId="7" fillId="8" borderId="152" xfId="0" applyFont="1" applyFill="1" applyBorder="1" applyAlignment="1" applyProtection="1">
      <alignment horizontal="center"/>
      <protection hidden="1"/>
    </xf>
    <xf numFmtId="0" fontId="5" fillId="8" borderId="35" xfId="0" applyFont="1" applyFill="1" applyBorder="1" applyAlignment="1" applyProtection="1">
      <alignment horizontal="center"/>
      <protection hidden="1"/>
    </xf>
    <xf numFmtId="0" fontId="21" fillId="8" borderId="144" xfId="0" applyFont="1" applyFill="1" applyBorder="1" applyAlignment="1" applyProtection="1">
      <alignment horizontal="center"/>
      <protection hidden="1"/>
    </xf>
    <xf numFmtId="0" fontId="5" fillId="8" borderId="41" xfId="0" applyFont="1" applyFill="1" applyBorder="1" applyAlignment="1" applyProtection="1">
      <alignment horizontal="center"/>
      <protection hidden="1"/>
    </xf>
    <xf numFmtId="0" fontId="21" fillId="8" borderId="189" xfId="0" applyFont="1" applyFill="1" applyBorder="1" applyAlignment="1" applyProtection="1">
      <alignment horizontal="center"/>
      <protection hidden="1"/>
    </xf>
    <xf numFmtId="16" fontId="21" fillId="8" borderId="150" xfId="0" quotePrefix="1" applyNumberFormat="1" applyFont="1" applyFill="1" applyBorder="1" applyAlignment="1" applyProtection="1">
      <alignment horizontal="center"/>
      <protection hidden="1"/>
    </xf>
    <xf numFmtId="0" fontId="5" fillId="8" borderId="37" xfId="0" applyFont="1" applyFill="1" applyBorder="1" applyAlignment="1" applyProtection="1">
      <alignment horizontal="center"/>
      <protection hidden="1"/>
    </xf>
    <xf numFmtId="176" fontId="120" fillId="2" borderId="33" xfId="0" applyNumberFormat="1" applyFont="1" applyFill="1" applyBorder="1" applyAlignment="1" applyProtection="1">
      <alignment horizontal="center"/>
      <protection hidden="1"/>
    </xf>
    <xf numFmtId="3" fontId="7" fillId="0" borderId="7" xfId="0" applyNumberFormat="1" applyFont="1" applyBorder="1" applyAlignment="1" applyProtection="1">
      <alignment horizontal="center"/>
      <protection hidden="1"/>
    </xf>
    <xf numFmtId="3" fontId="24" fillId="7" borderId="7" xfId="0" applyNumberFormat="1" applyFont="1" applyFill="1" applyBorder="1" applyAlignment="1" applyProtection="1">
      <alignment horizontal="center"/>
      <protection hidden="1"/>
    </xf>
    <xf numFmtId="0" fontId="30" fillId="7" borderId="2" xfId="0" applyFont="1" applyFill="1" applyBorder="1" applyAlignment="1" applyProtection="1">
      <alignment horizontal="right"/>
      <protection hidden="1"/>
    </xf>
    <xf numFmtId="0" fontId="28" fillId="7" borderId="33" xfId="0" applyFont="1" applyFill="1" applyBorder="1" applyAlignment="1" applyProtection="1">
      <alignment horizontal="center"/>
      <protection hidden="1"/>
    </xf>
    <xf numFmtId="3" fontId="4" fillId="0" borderId="7" xfId="0" applyNumberFormat="1" applyFont="1" applyBorder="1" applyAlignment="1" applyProtection="1">
      <alignment horizontal="center"/>
      <protection hidden="1"/>
    </xf>
    <xf numFmtId="0" fontId="0" fillId="0" borderId="0" xfId="0" applyAlignment="1">
      <alignment horizontal="center"/>
    </xf>
    <xf numFmtId="0" fontId="75" fillId="0" borderId="147" xfId="0" applyFont="1" applyBorder="1" applyAlignment="1" applyProtection="1">
      <alignment vertical="center" wrapText="1"/>
      <protection hidden="1"/>
    </xf>
    <xf numFmtId="0" fontId="5" fillId="0" borderId="70" xfId="0" applyFont="1" applyBorder="1" applyAlignment="1">
      <alignment horizontal="center" vertical="center" wrapText="1"/>
    </xf>
    <xf numFmtId="4" fontId="4" fillId="5" borderId="64" xfId="0" applyNumberFormat="1" applyFont="1" applyFill="1" applyBorder="1" applyAlignment="1" applyProtection="1">
      <alignment vertical="center"/>
      <protection hidden="1"/>
    </xf>
    <xf numFmtId="4" fontId="4" fillId="5" borderId="98" xfId="0" applyNumberFormat="1" applyFont="1" applyFill="1" applyBorder="1" applyAlignment="1" applyProtection="1">
      <alignment vertical="center"/>
      <protection hidden="1"/>
    </xf>
    <xf numFmtId="4" fontId="44" fillId="5" borderId="326" xfId="0" applyNumberFormat="1" applyFont="1" applyFill="1" applyBorder="1" applyAlignment="1" applyProtection="1">
      <alignment vertical="center"/>
      <protection hidden="1"/>
    </xf>
    <xf numFmtId="4" fontId="20" fillId="0" borderId="327" xfId="0" applyNumberFormat="1" applyFont="1" applyBorder="1" applyProtection="1">
      <protection locked="0"/>
    </xf>
    <xf numFmtId="4" fontId="5" fillId="0" borderId="328" xfId="0" applyNumberFormat="1" applyFont="1" applyBorder="1" applyProtection="1">
      <protection locked="0"/>
    </xf>
    <xf numFmtId="10" fontId="42" fillId="7" borderId="328" xfId="0" applyNumberFormat="1" applyFont="1" applyFill="1" applyBorder="1" applyProtection="1">
      <protection locked="0"/>
    </xf>
    <xf numFmtId="3" fontId="20" fillId="0" borderId="328" xfId="0" applyNumberFormat="1" applyFont="1" applyBorder="1" applyAlignment="1" applyProtection="1">
      <alignment horizontal="right"/>
      <protection locked="0"/>
    </xf>
    <xf numFmtId="10" fontId="24" fillId="7" borderId="328" xfId="0" applyNumberFormat="1" applyFont="1" applyFill="1" applyBorder="1" applyProtection="1">
      <protection locked="0"/>
    </xf>
    <xf numFmtId="4" fontId="4" fillId="0" borderId="328" xfId="0" applyNumberFormat="1" applyFont="1" applyBorder="1" applyAlignment="1" applyProtection="1">
      <alignment horizontal="center" vertical="center"/>
      <protection locked="0"/>
    </xf>
    <xf numFmtId="4" fontId="4" fillId="13" borderId="3" xfId="0" applyNumberFormat="1" applyFont="1" applyFill="1" applyBorder="1" applyAlignment="1" applyProtection="1">
      <alignment vertical="center"/>
      <protection hidden="1"/>
    </xf>
    <xf numFmtId="4" fontId="4" fillId="13" borderId="7" xfId="0" applyNumberFormat="1" applyFont="1" applyFill="1" applyBorder="1" applyAlignment="1" applyProtection="1">
      <alignment vertical="center"/>
      <protection hidden="1"/>
    </xf>
    <xf numFmtId="4" fontId="4" fillId="28" borderId="3" xfId="0" applyNumberFormat="1" applyFont="1" applyFill="1" applyBorder="1" applyAlignment="1" applyProtection="1">
      <alignment vertical="center"/>
      <protection hidden="1"/>
    </xf>
    <xf numFmtId="4" fontId="4" fillId="28" borderId="5" xfId="0" applyNumberFormat="1" applyFont="1" applyFill="1" applyBorder="1" applyAlignment="1" applyProtection="1">
      <alignment vertical="center"/>
      <protection hidden="1"/>
    </xf>
    <xf numFmtId="4" fontId="4" fillId="28" borderId="7" xfId="0" applyNumberFormat="1" applyFont="1" applyFill="1" applyBorder="1" applyAlignment="1" applyProtection="1">
      <alignment vertical="center"/>
      <protection hidden="1"/>
    </xf>
    <xf numFmtId="0" fontId="36" fillId="26" borderId="329" xfId="0" applyFont="1" applyFill="1" applyBorder="1" applyAlignment="1">
      <alignment horizontal="right"/>
    </xf>
    <xf numFmtId="4" fontId="36" fillId="26" borderId="330" xfId="0" applyNumberFormat="1" applyFont="1" applyFill="1" applyBorder="1"/>
    <xf numFmtId="0" fontId="36" fillId="26" borderId="331" xfId="0" applyFont="1" applyFill="1" applyBorder="1" applyAlignment="1">
      <alignment horizontal="right"/>
    </xf>
    <xf numFmtId="4" fontId="36" fillId="26" borderId="332" xfId="0" applyNumberFormat="1" applyFont="1" applyFill="1" applyBorder="1"/>
    <xf numFmtId="0" fontId="64" fillId="26" borderId="331" xfId="0" applyFont="1" applyFill="1" applyBorder="1" applyAlignment="1">
      <alignment horizontal="right"/>
    </xf>
    <xf numFmtId="4" fontId="64" fillId="26" borderId="332" xfId="0" applyNumberFormat="1" applyFont="1" applyFill="1" applyBorder="1"/>
    <xf numFmtId="0" fontId="43" fillId="26" borderId="333" xfId="0" applyFont="1" applyFill="1" applyBorder="1" applyAlignment="1">
      <alignment horizontal="right"/>
    </xf>
    <xf numFmtId="4" fontId="30" fillId="26" borderId="334" xfId="0" applyNumberFormat="1" applyFont="1" applyFill="1" applyBorder="1"/>
    <xf numFmtId="4" fontId="5" fillId="25" borderId="2" xfId="0" applyNumberFormat="1" applyFont="1" applyFill="1" applyBorder="1"/>
    <xf numFmtId="4" fontId="5" fillId="28" borderId="2" xfId="0" applyNumberFormat="1" applyFont="1" applyFill="1" applyBorder="1"/>
    <xf numFmtId="4" fontId="5" fillId="28" borderId="11" xfId="0" applyNumberFormat="1" applyFont="1" applyFill="1" applyBorder="1"/>
    <xf numFmtId="4" fontId="22" fillId="0" borderId="70" xfId="0" applyNumberFormat="1" applyFont="1" applyBorder="1"/>
    <xf numFmtId="4" fontId="7" fillId="4" borderId="46" xfId="0" applyNumberFormat="1" applyFont="1" applyFill="1" applyBorder="1" applyAlignment="1" applyProtection="1">
      <alignment horizontal="right"/>
      <protection hidden="1"/>
    </xf>
    <xf numFmtId="4" fontId="20" fillId="4" borderId="46" xfId="0" applyNumberFormat="1" applyFont="1" applyFill="1" applyBorder="1" applyAlignment="1" applyProtection="1">
      <alignment horizontal="right"/>
      <protection locked="0"/>
    </xf>
    <xf numFmtId="4" fontId="5" fillId="4" borderId="48" xfId="0" applyNumberFormat="1" applyFont="1" applyFill="1" applyBorder="1" applyAlignment="1" applyProtection="1">
      <alignment horizontal="right"/>
      <protection locked="0"/>
    </xf>
    <xf numFmtId="0" fontId="50" fillId="0" borderId="103" xfId="0" applyFont="1" applyBorder="1" applyAlignment="1" applyProtection="1">
      <alignment wrapText="1"/>
      <protection hidden="1"/>
    </xf>
    <xf numFmtId="4" fontId="5" fillId="0" borderId="103" xfId="0" applyNumberFormat="1" applyFont="1" applyBorder="1" applyProtection="1">
      <protection locked="0"/>
    </xf>
    <xf numFmtId="4" fontId="20" fillId="0" borderId="103" xfId="0" applyNumberFormat="1" applyFont="1" applyBorder="1" applyProtection="1">
      <protection locked="0"/>
    </xf>
    <xf numFmtId="3" fontId="20" fillId="0" borderId="103" xfId="0" applyNumberFormat="1" applyFont="1" applyBorder="1" applyAlignment="1" applyProtection="1">
      <alignment horizontal="right"/>
      <protection locked="0"/>
    </xf>
    <xf numFmtId="10" fontId="24" fillId="7" borderId="103" xfId="0" applyNumberFormat="1" applyFont="1" applyFill="1" applyBorder="1" applyProtection="1">
      <protection locked="0"/>
    </xf>
    <xf numFmtId="166" fontId="117" fillId="14" borderId="283" xfId="0" applyNumberFormat="1" applyFont="1" applyFill="1" applyBorder="1" applyProtection="1">
      <protection hidden="1"/>
    </xf>
    <xf numFmtId="166" fontId="7" fillId="26" borderId="284" xfId="0" applyNumberFormat="1" applyFont="1" applyFill="1" applyBorder="1" applyProtection="1">
      <protection hidden="1"/>
    </xf>
    <xf numFmtId="167" fontId="24" fillId="7" borderId="48" xfId="0" applyNumberFormat="1" applyFont="1" applyFill="1" applyBorder="1" applyProtection="1">
      <protection locked="0"/>
    </xf>
    <xf numFmtId="166" fontId="7" fillId="26" borderId="6" xfId="0" applyNumberFormat="1" applyFont="1" applyFill="1" applyBorder="1" applyProtection="1">
      <protection hidden="1"/>
    </xf>
    <xf numFmtId="166" fontId="7" fillId="26" borderId="185" xfId="0" applyNumberFormat="1" applyFont="1" applyFill="1" applyBorder="1" applyProtection="1">
      <protection hidden="1"/>
    </xf>
    <xf numFmtId="166" fontId="117" fillId="14" borderId="76" xfId="0" applyNumberFormat="1" applyFont="1" applyFill="1" applyBorder="1" applyProtection="1">
      <protection hidden="1"/>
    </xf>
    <xf numFmtId="166" fontId="7" fillId="26" borderId="130" xfId="0" applyNumberFormat="1" applyFont="1" applyFill="1" applyBorder="1" applyProtection="1">
      <protection hidden="1"/>
    </xf>
    <xf numFmtId="2" fontId="24" fillId="7" borderId="7" xfId="0" applyNumberFormat="1" applyFont="1" applyFill="1" applyBorder="1" applyAlignment="1" applyProtection="1">
      <alignment horizontal="center"/>
      <protection hidden="1"/>
    </xf>
    <xf numFmtId="4" fontId="2" fillId="0" borderId="55" xfId="0" applyNumberFormat="1" applyFont="1" applyBorder="1" applyProtection="1">
      <protection locked="0"/>
    </xf>
    <xf numFmtId="0" fontId="2" fillId="0" borderId="7" xfId="0" applyFont="1" applyBorder="1" applyAlignment="1" applyProtection="1">
      <alignment horizontal="right" wrapText="1"/>
      <protection hidden="1"/>
    </xf>
    <xf numFmtId="0" fontId="7" fillId="0" borderId="335" xfId="0" applyFont="1" applyBorder="1" applyAlignment="1" applyProtection="1">
      <alignment horizontal="center"/>
      <protection locked="0"/>
    </xf>
    <xf numFmtId="167" fontId="24" fillId="7" borderId="0" xfId="0" applyNumberFormat="1" applyFont="1" applyFill="1" applyProtection="1">
      <protection locked="0"/>
    </xf>
    <xf numFmtId="0" fontId="50" fillId="11" borderId="3" xfId="0" applyFont="1" applyFill="1" applyBorder="1" applyAlignment="1" applyProtection="1">
      <alignment horizontal="center" vertical="center" wrapText="1"/>
      <protection hidden="1"/>
    </xf>
    <xf numFmtId="4" fontId="20" fillId="0" borderId="2" xfId="0" applyNumberFormat="1" applyFont="1" applyBorder="1" applyProtection="1">
      <protection locked="0"/>
    </xf>
    <xf numFmtId="4" fontId="5" fillId="0" borderId="92" xfId="0" applyNumberFormat="1" applyFont="1" applyBorder="1" applyProtection="1">
      <protection locked="0"/>
    </xf>
    <xf numFmtId="10" fontId="42" fillId="7" borderId="92" xfId="0" applyNumberFormat="1" applyFont="1" applyFill="1" applyBorder="1" applyProtection="1">
      <protection locked="0"/>
    </xf>
    <xf numFmtId="3" fontId="20" fillId="0" borderId="92" xfId="0" applyNumberFormat="1" applyFont="1" applyBorder="1" applyAlignment="1" applyProtection="1">
      <alignment horizontal="right"/>
      <protection locked="0"/>
    </xf>
    <xf numFmtId="2" fontId="24" fillId="7" borderId="2" xfId="0" applyNumberFormat="1" applyFont="1" applyFill="1" applyBorder="1" applyAlignment="1" applyProtection="1">
      <alignment horizontal="center"/>
      <protection hidden="1"/>
    </xf>
    <xf numFmtId="4" fontId="2" fillId="0" borderId="33" xfId="0" applyNumberFormat="1" applyFont="1" applyBorder="1" applyProtection="1">
      <protection locked="0"/>
    </xf>
    <xf numFmtId="166" fontId="42" fillId="7" borderId="48" xfId="0" applyNumberFormat="1" applyFont="1" applyFill="1" applyBorder="1" applyProtection="1">
      <protection locked="0"/>
    </xf>
    <xf numFmtId="166" fontId="114" fillId="14" borderId="248" xfId="0" applyNumberFormat="1" applyFont="1" applyFill="1" applyBorder="1" applyProtection="1">
      <protection hidden="1"/>
    </xf>
    <xf numFmtId="166" fontId="7" fillId="2" borderId="6" xfId="0" applyNumberFormat="1" applyFont="1" applyFill="1" applyBorder="1" applyProtection="1">
      <protection hidden="1"/>
    </xf>
    <xf numFmtId="166" fontId="7" fillId="2" borderId="185" xfId="0" applyNumberFormat="1" applyFont="1" applyFill="1" applyBorder="1" applyProtection="1">
      <protection hidden="1"/>
    </xf>
    <xf numFmtId="166" fontId="114" fillId="14" borderId="82" xfId="0" applyNumberFormat="1" applyFont="1" applyFill="1" applyBorder="1" applyProtection="1">
      <protection hidden="1"/>
    </xf>
    <xf numFmtId="166" fontId="7" fillId="2" borderId="130" xfId="0" applyNumberFormat="1" applyFont="1" applyFill="1" applyBorder="1" applyProtection="1">
      <protection hidden="1"/>
    </xf>
    <xf numFmtId="166" fontId="42" fillId="7" borderId="0" xfId="0" applyNumberFormat="1" applyFont="1" applyFill="1" applyProtection="1">
      <protection locked="0"/>
    </xf>
    <xf numFmtId="166" fontId="114" fillId="14" borderId="6" xfId="0" applyNumberFormat="1" applyFont="1" applyFill="1" applyBorder="1" applyProtection="1">
      <protection hidden="1"/>
    </xf>
    <xf numFmtId="166" fontId="120" fillId="14" borderId="48" xfId="0" applyNumberFormat="1" applyFont="1" applyFill="1" applyBorder="1" applyProtection="1">
      <protection locked="0"/>
    </xf>
    <xf numFmtId="166" fontId="7" fillId="2" borderId="249" xfId="0" applyNumberFormat="1" applyFont="1" applyFill="1" applyBorder="1" applyProtection="1">
      <protection hidden="1"/>
    </xf>
    <xf numFmtId="166" fontId="7" fillId="2" borderId="336" xfId="0" applyNumberFormat="1" applyFont="1" applyFill="1" applyBorder="1" applyProtection="1">
      <protection hidden="1"/>
    </xf>
    <xf numFmtId="166" fontId="114" fillId="14" borderId="223" xfId="0" applyNumberFormat="1" applyFont="1" applyFill="1" applyBorder="1" applyProtection="1">
      <protection hidden="1"/>
    </xf>
    <xf numFmtId="0" fontId="114" fillId="14" borderId="2" xfId="0" applyFont="1" applyFill="1" applyBorder="1" applyProtection="1">
      <protection hidden="1"/>
    </xf>
    <xf numFmtId="0" fontId="30" fillId="6" borderId="0" xfId="0" applyFont="1" applyFill="1"/>
    <xf numFmtId="179" fontId="30" fillId="6" borderId="70" xfId="0" applyNumberFormat="1" applyFont="1" applyFill="1" applyBorder="1"/>
    <xf numFmtId="0" fontId="114" fillId="18" borderId="0" xfId="0" applyFont="1" applyFill="1"/>
    <xf numFmtId="4" fontId="114" fillId="18" borderId="70" xfId="0" applyNumberFormat="1" applyFont="1" applyFill="1" applyBorder="1"/>
    <xf numFmtId="179" fontId="114" fillId="18" borderId="70" xfId="0" applyNumberFormat="1" applyFont="1" applyFill="1" applyBorder="1"/>
    <xf numFmtId="0" fontId="5" fillId="2" borderId="40" xfId="0" applyFont="1" applyFill="1" applyBorder="1" applyAlignment="1">
      <alignment wrapText="1"/>
    </xf>
    <xf numFmtId="0" fontId="7" fillId="4" borderId="337" xfId="0" applyFont="1" applyFill="1" applyBorder="1"/>
    <xf numFmtId="4" fontId="6" fillId="11" borderId="149" xfId="0" applyNumberFormat="1" applyFont="1" applyFill="1" applyBorder="1" applyAlignment="1" applyProtection="1">
      <alignment vertical="center" wrapText="1"/>
      <protection locked="0"/>
    </xf>
    <xf numFmtId="4" fontId="6" fillId="11" borderId="2" xfId="0" applyNumberFormat="1" applyFont="1" applyFill="1" applyBorder="1" applyAlignment="1" applyProtection="1">
      <alignment vertical="center" wrapText="1"/>
      <protection locked="0"/>
    </xf>
    <xf numFmtId="4" fontId="6" fillId="11" borderId="151" xfId="0" applyNumberFormat="1" applyFont="1" applyFill="1" applyBorder="1" applyAlignment="1" applyProtection="1">
      <alignment vertical="center" wrapText="1"/>
      <protection locked="0"/>
    </xf>
    <xf numFmtId="4" fontId="6" fillId="11" borderId="8" xfId="0" applyNumberFormat="1" applyFont="1" applyFill="1" applyBorder="1" applyAlignment="1" applyProtection="1">
      <alignment vertical="center" wrapText="1"/>
      <protection locked="0"/>
    </xf>
    <xf numFmtId="176" fontId="120" fillId="14" borderId="33" xfId="0" applyNumberFormat="1" applyFont="1" applyFill="1" applyBorder="1" applyAlignment="1" applyProtection="1">
      <alignment horizontal="center"/>
      <protection hidden="1"/>
    </xf>
    <xf numFmtId="0" fontId="7" fillId="5" borderId="38" xfId="0" applyFont="1" applyFill="1" applyBorder="1"/>
    <xf numFmtId="4" fontId="5" fillId="5" borderId="57" xfId="0" applyNumberFormat="1" applyFont="1" applyFill="1" applyBorder="1"/>
    <xf numFmtId="0" fontId="5" fillId="0" borderId="151" xfId="0" applyFont="1" applyBorder="1" applyAlignment="1">
      <alignment horizontal="center" vertical="center" wrapText="1"/>
    </xf>
    <xf numFmtId="4" fontId="5" fillId="8" borderId="338" xfId="0" applyNumberFormat="1" applyFont="1" applyFill="1" applyBorder="1"/>
    <xf numFmtId="4" fontId="7" fillId="5" borderId="105" xfId="0" applyNumberFormat="1" applyFont="1" applyFill="1" applyBorder="1"/>
    <xf numFmtId="0" fontId="7" fillId="5" borderId="23" xfId="0" applyFont="1" applyFill="1" applyBorder="1"/>
    <xf numFmtId="4" fontId="7" fillId="5" borderId="39" xfId="0" applyNumberFormat="1" applyFont="1" applyFill="1" applyBorder="1"/>
    <xf numFmtId="0" fontId="4" fillId="0" borderId="3" xfId="0" applyFont="1" applyBorder="1" applyAlignment="1" applyProtection="1">
      <alignment horizontal="center" vertical="center" textRotation="90" wrapText="1"/>
      <protection hidden="1"/>
    </xf>
    <xf numFmtId="49" fontId="7" fillId="6" borderId="33" xfId="0" applyNumberFormat="1" applyFont="1" applyFill="1" applyBorder="1" applyAlignment="1" applyProtection="1">
      <alignment horizontal="center" vertical="center" wrapText="1"/>
      <protection hidden="1"/>
    </xf>
    <xf numFmtId="0" fontId="13" fillId="2" borderId="2" xfId="0" applyFont="1" applyFill="1" applyBorder="1" applyAlignment="1">
      <alignment horizontal="center"/>
    </xf>
    <xf numFmtId="0" fontId="4" fillId="2" borderId="0" xfId="0" applyFont="1" applyFill="1"/>
    <xf numFmtId="1" fontId="6" fillId="0" borderId="24" xfId="0" applyNumberFormat="1" applyFont="1" applyBorder="1" applyAlignment="1">
      <alignment vertical="center" wrapText="1"/>
    </xf>
    <xf numFmtId="0" fontId="6" fillId="0" borderId="31" xfId="0" applyFont="1" applyBorder="1" applyAlignment="1">
      <alignment vertical="center" wrapText="1"/>
    </xf>
    <xf numFmtId="0" fontId="6" fillId="12" borderId="0" xfId="0" applyFont="1" applyFill="1" applyAlignment="1">
      <alignment wrapText="1"/>
    </xf>
    <xf numFmtId="0" fontId="6" fillId="12" borderId="0" xfId="0" applyFont="1" applyFill="1"/>
    <xf numFmtId="4" fontId="31" fillId="2" borderId="339" xfId="0" applyNumberFormat="1" applyFont="1" applyFill="1" applyBorder="1" applyAlignment="1">
      <alignment vertical="center"/>
    </xf>
    <xf numFmtId="1" fontId="6" fillId="0" borderId="94" xfId="0" applyNumberFormat="1" applyFont="1" applyBorder="1" applyAlignment="1">
      <alignment vertical="center" wrapText="1"/>
    </xf>
    <xf numFmtId="4" fontId="6" fillId="0" borderId="32" xfId="0" applyNumberFormat="1" applyFont="1" applyBorder="1" applyAlignment="1">
      <alignment vertical="center" wrapText="1"/>
    </xf>
    <xf numFmtId="4" fontId="31" fillId="2" borderId="340" xfId="0" applyNumberFormat="1" applyFont="1" applyFill="1" applyBorder="1" applyAlignment="1">
      <alignment vertical="center"/>
    </xf>
    <xf numFmtId="1" fontId="6" fillId="13" borderId="341" xfId="0" applyNumberFormat="1" applyFont="1" applyFill="1" applyBorder="1" applyAlignment="1">
      <alignment vertical="center" wrapText="1"/>
    </xf>
    <xf numFmtId="0" fontId="6" fillId="13" borderId="123" xfId="0" applyFont="1" applyFill="1" applyBorder="1" applyAlignment="1">
      <alignment vertical="center" wrapText="1"/>
    </xf>
    <xf numFmtId="0" fontId="13" fillId="13" borderId="123" xfId="0" applyFont="1" applyFill="1" applyBorder="1" applyAlignment="1">
      <alignment horizontal="center" vertical="center" wrapText="1"/>
    </xf>
    <xf numFmtId="0" fontId="6" fillId="13" borderId="123" xfId="0" applyFont="1" applyFill="1" applyBorder="1"/>
    <xf numFmtId="0" fontId="6" fillId="13" borderId="342" xfId="0" applyFont="1" applyFill="1" applyBorder="1"/>
    <xf numFmtId="1" fontId="6" fillId="13" borderId="343" xfId="0" applyNumberFormat="1" applyFont="1" applyFill="1" applyBorder="1" applyAlignment="1" applyProtection="1">
      <alignment horizontal="center" vertical="center" wrapText="1"/>
      <protection locked="0"/>
    </xf>
    <xf numFmtId="0" fontId="6" fillId="13" borderId="140" xfId="0" applyFont="1" applyFill="1" applyBorder="1" applyAlignment="1" applyProtection="1">
      <alignment horizontal="center" vertical="center" wrapText="1"/>
      <protection hidden="1"/>
    </xf>
    <xf numFmtId="0" fontId="6" fillId="13" borderId="155" xfId="0" applyFont="1" applyFill="1" applyBorder="1" applyAlignment="1" applyProtection="1">
      <alignment vertical="center" wrapText="1"/>
      <protection hidden="1"/>
    </xf>
    <xf numFmtId="4" fontId="6" fillId="13" borderId="140" xfId="0" applyNumberFormat="1" applyFont="1" applyFill="1" applyBorder="1" applyAlignment="1" applyProtection="1">
      <alignment vertical="center" wrapText="1"/>
      <protection locked="0"/>
    </xf>
    <xf numFmtId="4" fontId="6" fillId="13" borderId="141" xfId="0" applyNumberFormat="1" applyFont="1" applyFill="1" applyBorder="1" applyAlignment="1" applyProtection="1">
      <alignment vertical="center" wrapText="1"/>
      <protection locked="0"/>
    </xf>
    <xf numFmtId="0" fontId="6" fillId="13" borderId="0" xfId="0" applyFont="1" applyFill="1" applyAlignment="1">
      <alignment vertical="center"/>
    </xf>
    <xf numFmtId="0" fontId="6" fillId="13" borderId="47" xfId="0" applyFont="1" applyFill="1" applyBorder="1" applyAlignment="1">
      <alignment vertical="center"/>
    </xf>
    <xf numFmtId="1" fontId="6" fillId="13" borderId="344" xfId="0" applyNumberFormat="1" applyFont="1" applyFill="1" applyBorder="1" applyAlignment="1" applyProtection="1">
      <alignment horizontal="center" vertical="center" wrapText="1"/>
      <protection locked="0"/>
    </xf>
    <xf numFmtId="0" fontId="6" fillId="13" borderId="33" xfId="0" applyFont="1" applyFill="1" applyBorder="1" applyAlignment="1" applyProtection="1">
      <alignment horizontal="center" vertical="center" wrapText="1"/>
      <protection hidden="1"/>
    </xf>
    <xf numFmtId="0" fontId="6" fillId="13" borderId="156" xfId="0" applyFont="1" applyFill="1" applyBorder="1" applyAlignment="1" applyProtection="1">
      <alignment vertical="center" wrapText="1"/>
      <protection hidden="1"/>
    </xf>
    <xf numFmtId="4" fontId="6" fillId="13" borderId="33" xfId="0" applyNumberFormat="1" applyFont="1" applyFill="1" applyBorder="1" applyAlignment="1" applyProtection="1">
      <alignment vertical="center" wrapText="1"/>
      <protection locked="0"/>
    </xf>
    <xf numFmtId="4" fontId="31" fillId="13" borderId="41" xfId="0" applyNumberFormat="1" applyFont="1" applyFill="1" applyBorder="1" applyAlignment="1" applyProtection="1">
      <alignment vertical="center" wrapText="1"/>
      <protection locked="0"/>
    </xf>
    <xf numFmtId="1" fontId="6" fillId="13" borderId="345" xfId="0" applyNumberFormat="1" applyFont="1" applyFill="1" applyBorder="1" applyAlignment="1" applyProtection="1">
      <alignment horizontal="center" vertical="center" wrapText="1"/>
      <protection locked="0"/>
    </xf>
    <xf numFmtId="0" fontId="75" fillId="13" borderId="147" xfId="0" applyFont="1" applyFill="1" applyBorder="1" applyAlignment="1" applyProtection="1">
      <alignment vertical="center" wrapText="1"/>
      <protection hidden="1"/>
    </xf>
    <xf numFmtId="4" fontId="75" fillId="13" borderId="147" xfId="0" applyNumberFormat="1" applyFont="1" applyFill="1" applyBorder="1" applyAlignment="1" applyProtection="1">
      <alignment vertical="center" wrapText="1"/>
      <protection locked="0"/>
    </xf>
    <xf numFmtId="4" fontId="75" fillId="13" borderId="148" xfId="0" applyNumberFormat="1" applyFont="1" applyFill="1" applyBorder="1" applyAlignment="1" applyProtection="1">
      <alignment horizontal="right" vertical="center" wrapText="1"/>
      <protection locked="0"/>
    </xf>
    <xf numFmtId="1" fontId="6" fillId="13" borderId="131" xfId="0" applyNumberFormat="1" applyFont="1" applyFill="1" applyBorder="1" applyAlignment="1" applyProtection="1">
      <alignment horizontal="center" vertical="center" wrapText="1"/>
      <protection locked="0"/>
    </xf>
    <xf numFmtId="0" fontId="6" fillId="13" borderId="2" xfId="0" applyFont="1" applyFill="1" applyBorder="1" applyAlignment="1" applyProtection="1">
      <alignment vertical="center" wrapText="1"/>
      <protection hidden="1"/>
    </xf>
    <xf numFmtId="4" fontId="6" fillId="13" borderId="2" xfId="0" applyNumberFormat="1" applyFont="1" applyFill="1" applyBorder="1" applyAlignment="1" applyProtection="1">
      <alignment vertical="center" wrapText="1"/>
      <protection locked="0"/>
    </xf>
    <xf numFmtId="4" fontId="6" fillId="13" borderId="41" xfId="0" applyNumberFormat="1" applyFont="1" applyFill="1" applyBorder="1" applyAlignment="1" applyProtection="1">
      <alignment vertical="center" wrapText="1"/>
      <protection locked="0"/>
    </xf>
    <xf numFmtId="4" fontId="72" fillId="13" borderId="165" xfId="0" applyNumberFormat="1" applyFont="1" applyFill="1" applyBorder="1" applyAlignment="1" applyProtection="1">
      <alignment horizontal="right" vertical="center"/>
      <protection locked="0"/>
    </xf>
    <xf numFmtId="4" fontId="72" fillId="13" borderId="346" xfId="0" applyNumberFormat="1" applyFont="1" applyFill="1" applyBorder="1" applyAlignment="1" applyProtection="1">
      <alignment horizontal="right" vertical="center"/>
      <protection locked="0"/>
    </xf>
    <xf numFmtId="1" fontId="6" fillId="0" borderId="48" xfId="0" applyNumberFormat="1" applyFont="1" applyBorder="1" applyAlignment="1">
      <alignment vertical="center" wrapText="1"/>
    </xf>
    <xf numFmtId="0" fontId="6" fillId="13" borderId="0" xfId="0" applyFont="1" applyFill="1" applyAlignment="1">
      <alignment vertical="center" wrapText="1"/>
    </xf>
    <xf numFmtId="0" fontId="13" fillId="13" borderId="0" xfId="0" applyFont="1" applyFill="1" applyAlignment="1">
      <alignment horizontal="center" vertical="center" wrapText="1"/>
    </xf>
    <xf numFmtId="4" fontId="31" fillId="2" borderId="347" xfId="0" applyNumberFormat="1" applyFont="1" applyFill="1" applyBorder="1" applyAlignment="1">
      <alignment vertical="center"/>
    </xf>
    <xf numFmtId="1" fontId="6" fillId="0" borderId="348" xfId="0" applyNumberFormat="1" applyFont="1" applyBorder="1" applyAlignment="1">
      <alignment vertical="center" wrapText="1"/>
    </xf>
    <xf numFmtId="0" fontId="6" fillId="0" borderId="42" xfId="0" applyFont="1" applyBorder="1" applyAlignment="1">
      <alignment vertical="center" wrapText="1"/>
    </xf>
    <xf numFmtId="4" fontId="6" fillId="0" borderId="42" xfId="0" applyNumberFormat="1" applyFont="1" applyBorder="1" applyAlignment="1">
      <alignment vertical="center" wrapText="1"/>
    </xf>
    <xf numFmtId="10" fontId="31" fillId="2" borderId="349" xfId="0" applyNumberFormat="1" applyFont="1" applyFill="1" applyBorder="1" applyAlignment="1">
      <alignment vertical="center"/>
    </xf>
    <xf numFmtId="0" fontId="6" fillId="12" borderId="149" xfId="0" applyFont="1" applyFill="1" applyBorder="1" applyAlignment="1" applyProtection="1">
      <alignment horizontal="center" vertical="center" wrapText="1"/>
      <protection locked="0"/>
    </xf>
    <xf numFmtId="0" fontId="6" fillId="0" borderId="149" xfId="0" applyFont="1" applyBorder="1"/>
    <xf numFmtId="0" fontId="6" fillId="0" borderId="35" xfId="0" applyFont="1" applyBorder="1"/>
    <xf numFmtId="0" fontId="6" fillId="12" borderId="2" xfId="0" applyFont="1" applyFill="1" applyBorder="1" applyAlignment="1" applyProtection="1">
      <alignment horizontal="center" vertical="center" wrapText="1"/>
      <protection locked="0"/>
    </xf>
    <xf numFmtId="0" fontId="6" fillId="0" borderId="41" xfId="0" applyFont="1" applyBorder="1"/>
    <xf numFmtId="0" fontId="6" fillId="12" borderId="151" xfId="0" applyFont="1" applyFill="1" applyBorder="1" applyAlignment="1" applyProtection="1">
      <alignment horizontal="center" vertical="center" wrapText="1"/>
      <protection locked="0"/>
    </xf>
    <xf numFmtId="4" fontId="31" fillId="11" borderId="37" xfId="0" applyNumberFormat="1" applyFont="1" applyFill="1" applyBorder="1" applyAlignment="1">
      <alignment vertical="center"/>
    </xf>
    <xf numFmtId="0" fontId="0" fillId="13" borderId="144" xfId="0" applyFill="1" applyBorder="1"/>
    <xf numFmtId="0" fontId="0" fillId="13" borderId="2" xfId="0" applyFill="1" applyBorder="1"/>
    <xf numFmtId="4" fontId="1" fillId="13" borderId="2" xfId="0" applyNumberFormat="1" applyFont="1" applyFill="1" applyBorder="1"/>
    <xf numFmtId="4" fontId="0" fillId="13" borderId="2" xfId="0" applyNumberFormat="1" applyFill="1" applyBorder="1"/>
    <xf numFmtId="0" fontId="0" fillId="4" borderId="144" xfId="0" applyFill="1" applyBorder="1"/>
    <xf numFmtId="4" fontId="1" fillId="0" borderId="149" xfId="0" applyNumberFormat="1" applyFont="1" applyBorder="1"/>
    <xf numFmtId="4" fontId="1" fillId="0" borderId="2" xfId="0" applyNumberFormat="1" applyFont="1" applyBorder="1"/>
    <xf numFmtId="4" fontId="1" fillId="11" borderId="2" xfId="0" applyNumberFormat="1" applyFont="1" applyFill="1" applyBorder="1"/>
    <xf numFmtId="4" fontId="1" fillId="0" borderId="151" xfId="0" applyNumberFormat="1" applyFont="1" applyBorder="1"/>
    <xf numFmtId="4" fontId="6" fillId="13" borderId="0" xfId="0" applyNumberFormat="1" applyFont="1" applyFill="1" applyAlignment="1">
      <alignment vertical="top" wrapText="1"/>
    </xf>
    <xf numFmtId="0" fontId="0" fillId="13" borderId="0" xfId="0" applyFill="1" applyAlignment="1">
      <alignment vertical="top" wrapText="1"/>
    </xf>
    <xf numFmtId="4" fontId="0" fillId="13" borderId="0" xfId="0" applyNumberFormat="1" applyFill="1" applyAlignment="1">
      <alignment vertical="top"/>
    </xf>
    <xf numFmtId="4" fontId="121" fillId="17" borderId="350" xfId="0" applyNumberFormat="1" applyFont="1" applyFill="1" applyBorder="1"/>
    <xf numFmtId="0" fontId="0" fillId="0" borderId="350" xfId="0" applyBorder="1"/>
    <xf numFmtId="4" fontId="121" fillId="0" borderId="0" xfId="0" applyNumberFormat="1" applyFont="1"/>
    <xf numFmtId="0" fontId="33" fillId="0" borderId="1" xfId="219" applyFont="1" applyBorder="1" applyAlignment="1">
      <alignment wrapText="1"/>
    </xf>
    <xf numFmtId="0" fontId="33" fillId="0" borderId="1" xfId="219" applyFont="1" applyBorder="1" applyAlignment="1">
      <alignment horizontal="right" wrapText="1"/>
    </xf>
    <xf numFmtId="0" fontId="33" fillId="0" borderId="214" xfId="219" applyFont="1" applyBorder="1" applyAlignment="1">
      <alignment horizontal="right" wrapText="1"/>
    </xf>
    <xf numFmtId="0" fontId="6" fillId="0" borderId="0" xfId="63"/>
    <xf numFmtId="0" fontId="122" fillId="0" borderId="1" xfId="211" applyFont="1" applyBorder="1" applyAlignment="1">
      <alignment wrapText="1"/>
    </xf>
    <xf numFmtId="0" fontId="122" fillId="0" borderId="1" xfId="211" applyFont="1" applyBorder="1" applyAlignment="1">
      <alignment horizontal="right" wrapText="1"/>
    </xf>
    <xf numFmtId="4" fontId="6" fillId="0" borderId="0" xfId="63" applyNumberFormat="1"/>
    <xf numFmtId="2" fontId="125" fillId="0" borderId="0" xfId="61" applyNumberFormat="1"/>
    <xf numFmtId="0" fontId="125" fillId="0" borderId="0" xfId="61"/>
    <xf numFmtId="0" fontId="6" fillId="0" borderId="0" xfId="0" quotePrefix="1" applyFont="1" applyAlignment="1" applyProtection="1">
      <alignment horizontal="center" vertical="center"/>
      <protection hidden="1"/>
    </xf>
    <xf numFmtId="3" fontId="6" fillId="0" borderId="0" xfId="0" applyNumberFormat="1" applyFont="1" applyAlignment="1" applyProtection="1">
      <alignment horizontal="center" vertical="center" wrapText="1"/>
      <protection hidden="1"/>
    </xf>
    <xf numFmtId="14" fontId="6" fillId="0" borderId="0" xfId="0" applyNumberFormat="1" applyFont="1" applyAlignment="1" applyProtection="1">
      <alignment horizontal="center" vertical="center"/>
      <protection hidden="1"/>
    </xf>
    <xf numFmtId="0" fontId="7" fillId="4" borderId="0" xfId="0" applyFont="1" applyFill="1" applyAlignment="1" applyProtection="1">
      <alignment horizontal="center" vertical="center" wrapText="1"/>
      <protection hidden="1"/>
    </xf>
    <xf numFmtId="3" fontId="5" fillId="0" borderId="0" xfId="0" applyNumberFormat="1" applyFont="1" applyAlignment="1" applyProtection="1">
      <alignment horizontal="left" vertical="center" wrapText="1"/>
      <protection hidden="1"/>
    </xf>
    <xf numFmtId="0" fontId="0" fillId="0" borderId="0" xfId="0" applyAlignment="1" applyProtection="1">
      <alignment vertical="center"/>
      <protection hidden="1"/>
    </xf>
    <xf numFmtId="3" fontId="7" fillId="0" borderId="0" xfId="0" applyNumberFormat="1" applyFont="1" applyAlignment="1" applyProtection="1">
      <alignment horizontal="left" vertical="center" wrapText="1"/>
      <protection hidden="1"/>
    </xf>
    <xf numFmtId="0" fontId="13" fillId="0" borderId="0" xfId="0" applyFont="1" applyAlignment="1" applyProtection="1">
      <alignment vertical="center"/>
      <protection hidden="1"/>
    </xf>
    <xf numFmtId="0" fontId="10" fillId="0" borderId="132" xfId="0" applyFont="1" applyBorder="1" applyAlignment="1" applyProtection="1">
      <alignment horizontal="center" vertical="center"/>
      <protection hidden="1"/>
    </xf>
    <xf numFmtId="4" fontId="6" fillId="0" borderId="0" xfId="0" applyNumberFormat="1" applyFont="1" applyAlignment="1">
      <alignment vertical="center" wrapText="1"/>
    </xf>
    <xf numFmtId="0" fontId="17" fillId="0" borderId="0" xfId="222" applyAlignment="1">
      <alignment vertical="center" wrapText="1"/>
    </xf>
    <xf numFmtId="4" fontId="17" fillId="0" borderId="0" xfId="222" applyNumberFormat="1" applyAlignment="1">
      <alignment horizontal="right" vertical="center" wrapText="1"/>
    </xf>
    <xf numFmtId="0" fontId="0" fillId="13" borderId="0" xfId="0" applyFill="1" applyAlignment="1">
      <alignment vertical="center"/>
    </xf>
    <xf numFmtId="4" fontId="6" fillId="13" borderId="0" xfId="0" applyNumberFormat="1" applyFont="1" applyFill="1" applyAlignment="1">
      <alignment vertical="center" wrapText="1"/>
    </xf>
    <xf numFmtId="4" fontId="0" fillId="13" borderId="0" xfId="0" applyNumberFormat="1" applyFill="1" applyAlignment="1">
      <alignment vertical="center"/>
    </xf>
    <xf numFmtId="0" fontId="126" fillId="0" borderId="1" xfId="0" applyFont="1" applyBorder="1" applyAlignment="1" applyProtection="1">
      <alignment horizontal="left" vertical="center" wrapText="1"/>
      <protection locked="0"/>
    </xf>
    <xf numFmtId="0" fontId="127" fillId="0" borderId="1" xfId="0" applyFont="1" applyBorder="1" applyAlignment="1" applyProtection="1">
      <alignment horizontal="left" vertical="center" wrapText="1"/>
      <protection locked="0"/>
    </xf>
    <xf numFmtId="184" fontId="7" fillId="0" borderId="0" xfId="0" applyNumberFormat="1" applyFont="1" applyAlignment="1" applyProtection="1">
      <alignment vertical="center"/>
      <protection hidden="1"/>
    </xf>
    <xf numFmtId="0" fontId="128" fillId="4" borderId="0" xfId="0" applyFont="1" applyFill="1" applyAlignment="1" applyProtection="1">
      <alignment horizontal="center" vertical="center" wrapText="1"/>
      <protection hidden="1"/>
    </xf>
    <xf numFmtId="0" fontId="17" fillId="0" borderId="0" xfId="218" applyAlignment="1" applyProtection="1">
      <alignment vertical="center" wrapText="1"/>
      <protection hidden="1"/>
    </xf>
    <xf numFmtId="0" fontId="17" fillId="0" borderId="1" xfId="224" applyBorder="1" applyAlignment="1" applyProtection="1">
      <alignment horizontal="right" vertical="center" wrapText="1"/>
      <protection hidden="1"/>
    </xf>
    <xf numFmtId="0" fontId="126" fillId="0" borderId="1" xfId="0" applyFont="1" applyBorder="1" applyAlignment="1" applyProtection="1">
      <alignment horizontal="left" vertical="center" wrapText="1"/>
      <protection hidden="1"/>
    </xf>
    <xf numFmtId="4" fontId="127" fillId="0" borderId="1" xfId="0" applyNumberFormat="1" applyFont="1" applyBorder="1" applyAlignment="1" applyProtection="1">
      <alignment horizontal="right" vertical="center" wrapText="1"/>
      <protection hidden="1"/>
    </xf>
    <xf numFmtId="0" fontId="127" fillId="0" borderId="1" xfId="0" applyFont="1" applyBorder="1" applyAlignment="1" applyProtection="1">
      <alignment horizontal="left" vertical="center" wrapText="1"/>
      <protection hidden="1"/>
    </xf>
    <xf numFmtId="0" fontId="33" fillId="0" borderId="0" xfId="223" applyFont="1" applyAlignment="1" applyProtection="1">
      <alignment horizontal="center" wrapText="1"/>
      <protection hidden="1"/>
    </xf>
    <xf numFmtId="0" fontId="17" fillId="0" borderId="0" xfId="218" applyAlignment="1" applyProtection="1">
      <alignment wrapText="1"/>
      <protection hidden="1"/>
    </xf>
    <xf numFmtId="0" fontId="17" fillId="0" borderId="1" xfId="224" applyBorder="1" applyAlignment="1" applyProtection="1">
      <alignment horizontal="right" wrapText="1"/>
      <protection hidden="1"/>
    </xf>
    <xf numFmtId="0" fontId="17" fillId="0" borderId="1" xfId="224" applyBorder="1" applyAlignment="1" applyProtection="1">
      <alignment wrapText="1"/>
      <protection hidden="1"/>
    </xf>
    <xf numFmtId="49" fontId="6" fillId="0" borderId="0" xfId="0" applyNumberFormat="1" applyFont="1" applyAlignment="1" applyProtection="1">
      <alignment horizontal="center" vertical="center"/>
      <protection hidden="1"/>
    </xf>
    <xf numFmtId="49" fontId="6" fillId="0" borderId="0" xfId="0" applyNumberFormat="1" applyFont="1" applyAlignment="1" applyProtection="1">
      <alignment horizontal="center" vertical="center" wrapText="1"/>
      <protection hidden="1"/>
    </xf>
    <xf numFmtId="0" fontId="6" fillId="0" borderId="0" xfId="223" applyFont="1" applyAlignment="1" applyProtection="1">
      <alignment horizontal="center" vertical="center" wrapText="1"/>
      <protection hidden="1"/>
    </xf>
    <xf numFmtId="0" fontId="6" fillId="0" borderId="0" xfId="218" applyFont="1" applyAlignment="1" applyProtection="1">
      <alignment horizontal="center" vertical="center" wrapText="1"/>
      <protection hidden="1"/>
    </xf>
    <xf numFmtId="0" fontId="6" fillId="0" borderId="0" xfId="224" quotePrefix="1" applyFont="1" applyAlignment="1" applyProtection="1">
      <alignment horizontal="center" vertical="center" wrapText="1"/>
      <protection hidden="1"/>
    </xf>
    <xf numFmtId="0" fontId="17" fillId="0" borderId="351" xfId="224" applyBorder="1" applyAlignment="1" applyProtection="1">
      <alignment horizontal="right" wrapText="1"/>
      <protection hidden="1"/>
    </xf>
    <xf numFmtId="0" fontId="17" fillId="0" borderId="351" xfId="224" applyBorder="1" applyAlignment="1" applyProtection="1">
      <alignment wrapText="1"/>
      <protection hidden="1"/>
    </xf>
    <xf numFmtId="3" fontId="5" fillId="0" borderId="0" xfId="0" applyNumberFormat="1" applyFont="1" applyAlignment="1" applyProtection="1">
      <alignment horizontal="left" vertical="center" wrapText="1"/>
      <protection locked="0"/>
    </xf>
    <xf numFmtId="0" fontId="33" fillId="0" borderId="0" xfId="223" applyFont="1" applyAlignment="1" applyProtection="1">
      <alignment horizontal="center" vertical="center" wrapText="1"/>
      <protection locked="0"/>
    </xf>
    <xf numFmtId="0" fontId="17" fillId="0" borderId="0" xfId="218" applyAlignment="1" applyProtection="1">
      <alignment vertical="center" wrapText="1"/>
      <protection locked="0"/>
    </xf>
    <xf numFmtId="0" fontId="0" fillId="0" borderId="0" xfId="0" applyAlignment="1" applyProtection="1">
      <alignment vertical="center"/>
      <protection locked="0"/>
    </xf>
    <xf numFmtId="0" fontId="17" fillId="0" borderId="1" xfId="224" applyBorder="1" applyAlignment="1" applyProtection="1">
      <alignment vertical="center" wrapText="1"/>
      <protection locked="0"/>
    </xf>
    <xf numFmtId="0" fontId="33" fillId="0" borderId="0" xfId="223" applyFont="1" applyAlignment="1" applyProtection="1">
      <alignment horizontal="center"/>
      <protection hidden="1"/>
    </xf>
    <xf numFmtId="0" fontId="17" fillId="0" borderId="0" xfId="218" applyProtection="1">
      <protection hidden="1"/>
    </xf>
    <xf numFmtId="0" fontId="17" fillId="0" borderId="0" xfId="224" applyAlignment="1" applyProtection="1">
      <alignment horizontal="right"/>
      <protection hidden="1"/>
    </xf>
    <xf numFmtId="0" fontId="17" fillId="0" borderId="0" xfId="224" applyProtection="1">
      <protection hidden="1"/>
    </xf>
    <xf numFmtId="0" fontId="17" fillId="0" borderId="0" xfId="223" applyFont="1" applyAlignment="1" applyProtection="1">
      <alignment horizontal="center" vertical="center" wrapText="1"/>
      <protection locked="0"/>
    </xf>
    <xf numFmtId="0" fontId="6" fillId="29" borderId="0" xfId="223" applyFont="1" applyFill="1" applyAlignment="1" applyProtection="1">
      <alignment horizontal="center" vertical="center" wrapText="1"/>
      <protection locked="0"/>
    </xf>
    <xf numFmtId="0" fontId="17" fillId="30" borderId="0" xfId="223" applyFont="1" applyFill="1" applyAlignment="1" applyProtection="1">
      <alignment horizontal="center" vertical="center" wrapText="1"/>
      <protection locked="0"/>
    </xf>
    <xf numFmtId="0" fontId="109" fillId="28" borderId="2" xfId="0" applyFont="1" applyFill="1" applyBorder="1" applyAlignment="1" applyProtection="1">
      <alignment horizontal="center" vertical="center"/>
      <protection hidden="1"/>
    </xf>
    <xf numFmtId="0" fontId="2" fillId="0" borderId="69"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13" fillId="28" borderId="0" xfId="0" applyFont="1" applyFill="1" applyProtection="1">
      <protection hidden="1"/>
    </xf>
    <xf numFmtId="0" fontId="5" fillId="26" borderId="60" xfId="0" applyFont="1" applyFill="1" applyBorder="1" applyProtection="1">
      <protection locked="0"/>
    </xf>
    <xf numFmtId="0" fontId="5" fillId="26" borderId="50" xfId="0" applyFont="1" applyFill="1" applyBorder="1" applyProtection="1">
      <protection locked="0"/>
    </xf>
    <xf numFmtId="0" fontId="130" fillId="0" borderId="1" xfId="212" applyFont="1" applyBorder="1" applyAlignment="1">
      <alignment wrapText="1"/>
    </xf>
    <xf numFmtId="0" fontId="130" fillId="0" borderId="1" xfId="212" applyFont="1" applyBorder="1" applyAlignment="1">
      <alignment horizontal="right" wrapText="1"/>
    </xf>
    <xf numFmtId="0" fontId="38" fillId="0" borderId="0" xfId="0" applyFont="1" applyAlignment="1">
      <alignment horizontal="right"/>
    </xf>
    <xf numFmtId="0" fontId="38" fillId="0" borderId="0" xfId="0" applyFont="1" applyAlignment="1">
      <alignment horizontal="right" vertical="center"/>
    </xf>
    <xf numFmtId="0" fontId="0" fillId="10" borderId="0" xfId="0" applyFill="1" applyAlignment="1">
      <alignment horizontal="center"/>
    </xf>
    <xf numFmtId="0" fontId="13" fillId="10" borderId="0" xfId="0" applyFont="1" applyFill="1" applyAlignment="1">
      <alignment horizontal="center"/>
    </xf>
    <xf numFmtId="0" fontId="0" fillId="10" borderId="0" xfId="0" applyFill="1" applyAlignment="1">
      <alignment horizontal="right"/>
    </xf>
    <xf numFmtId="3" fontId="17" fillId="0" borderId="0" xfId="221" applyNumberFormat="1" applyAlignment="1">
      <alignment vertical="center" wrapText="1"/>
    </xf>
    <xf numFmtId="3" fontId="0" fillId="0" borderId="0" xfId="0" applyNumberFormat="1"/>
    <xf numFmtId="3" fontId="17" fillId="0" borderId="0" xfId="208" applyNumberFormat="1" applyAlignment="1">
      <alignment wrapText="1"/>
    </xf>
    <xf numFmtId="0" fontId="0" fillId="4" borderId="152" xfId="0" applyFill="1" applyBorder="1"/>
    <xf numFmtId="0" fontId="122" fillId="23" borderId="45" xfId="216" applyFont="1" applyFill="1" applyBorder="1" applyAlignment="1">
      <alignment horizontal="center"/>
    </xf>
    <xf numFmtId="4" fontId="6" fillId="0" borderId="149" xfId="0" applyNumberFormat="1" applyFont="1" applyBorder="1"/>
    <xf numFmtId="4" fontId="5" fillId="0" borderId="149" xfId="0" applyNumberFormat="1" applyFont="1" applyBorder="1"/>
    <xf numFmtId="4" fontId="0" fillId="4" borderId="35" xfId="0" applyNumberFormat="1" applyFill="1" applyBorder="1"/>
    <xf numFmtId="4" fontId="6" fillId="0" borderId="2" xfId="0" applyNumberFormat="1" applyFont="1" applyBorder="1"/>
    <xf numFmtId="4" fontId="0" fillId="4" borderId="41" xfId="0" applyNumberFormat="1" applyFill="1" applyBorder="1"/>
    <xf numFmtId="4" fontId="6" fillId="13" borderId="2" xfId="0" applyNumberFormat="1" applyFont="1" applyFill="1" applyBorder="1"/>
    <xf numFmtId="4" fontId="0" fillId="13" borderId="41" xfId="0" applyNumberFormat="1" applyFill="1" applyBorder="1"/>
    <xf numFmtId="0" fontId="0" fillId="11" borderId="144" xfId="0" applyFill="1" applyBorder="1"/>
    <xf numFmtId="4" fontId="6" fillId="11" borderId="2" xfId="0" applyNumberFormat="1" applyFont="1" applyFill="1" applyBorder="1"/>
    <xf numFmtId="4" fontId="5" fillId="11" borderId="2" xfId="0" applyNumberFormat="1" applyFont="1" applyFill="1" applyBorder="1"/>
    <xf numFmtId="4" fontId="0" fillId="11" borderId="41" xfId="0" applyNumberFormat="1" applyFill="1" applyBorder="1"/>
    <xf numFmtId="4" fontId="6" fillId="0" borderId="151" xfId="0" applyNumberFormat="1" applyFont="1" applyBorder="1"/>
    <xf numFmtId="4" fontId="5" fillId="0" borderId="151" xfId="0" applyNumberFormat="1" applyFont="1" applyBorder="1"/>
    <xf numFmtId="4" fontId="0" fillId="4" borderId="37" xfId="0" applyNumberFormat="1" applyFill="1" applyBorder="1"/>
    <xf numFmtId="0" fontId="6" fillId="0" borderId="2" xfId="62" applyBorder="1" applyAlignment="1" applyProtection="1">
      <alignment horizontal="center" vertical="center"/>
      <protection hidden="1"/>
    </xf>
    <xf numFmtId="3" fontId="6" fillId="0" borderId="2" xfId="62" applyNumberFormat="1" applyBorder="1" applyAlignment="1" applyProtection="1">
      <alignment horizontal="left" vertical="center" wrapText="1"/>
      <protection hidden="1"/>
    </xf>
    <xf numFmtId="0" fontId="131" fillId="0" borderId="2" xfId="0" applyFont="1" applyBorder="1"/>
    <xf numFmtId="0" fontId="169" fillId="57" borderId="2" xfId="59" applyBorder="1"/>
    <xf numFmtId="0" fontId="6" fillId="0" borderId="2" xfId="62" applyBorder="1" applyAlignment="1" applyProtection="1">
      <alignment vertical="center"/>
      <protection hidden="1"/>
    </xf>
    <xf numFmtId="0" fontId="6" fillId="0" borderId="2" xfId="62" applyBorder="1" applyAlignment="1" applyProtection="1">
      <alignment horizontal="left" vertical="center" wrapText="1"/>
      <protection hidden="1"/>
    </xf>
    <xf numFmtId="0" fontId="6" fillId="2" borderId="2" xfId="62" applyFill="1" applyBorder="1" applyAlignment="1" applyProtection="1">
      <alignment horizontal="center" vertical="center"/>
      <protection hidden="1"/>
    </xf>
    <xf numFmtId="3" fontId="6" fillId="2" borderId="2" xfId="62" applyNumberFormat="1" applyFill="1" applyBorder="1" applyAlignment="1" applyProtection="1">
      <alignment horizontal="left" vertical="center" wrapText="1"/>
      <protection hidden="1"/>
    </xf>
    <xf numFmtId="0" fontId="6" fillId="2" borderId="2" xfId="62" applyFill="1" applyBorder="1" applyAlignment="1" applyProtection="1">
      <alignment vertical="center"/>
      <protection hidden="1"/>
    </xf>
    <xf numFmtId="0" fontId="6" fillId="17" borderId="2" xfId="62" applyFill="1" applyBorder="1" applyAlignment="1" applyProtection="1">
      <alignment horizontal="center" vertical="center"/>
      <protection hidden="1"/>
    </xf>
    <xf numFmtId="3" fontId="6" fillId="17" borderId="2" xfId="62" applyNumberFormat="1" applyFill="1" applyBorder="1" applyAlignment="1" applyProtection="1">
      <alignment horizontal="left" vertical="center" wrapText="1"/>
      <protection hidden="1"/>
    </xf>
    <xf numFmtId="0" fontId="6" fillId="17" borderId="2" xfId="62" applyFill="1" applyBorder="1" applyAlignment="1" applyProtection="1">
      <alignment vertical="center"/>
      <protection hidden="1"/>
    </xf>
    <xf numFmtId="0" fontId="6" fillId="2" borderId="2" xfId="62" applyFill="1" applyBorder="1" applyAlignment="1" applyProtection="1">
      <alignment horizontal="right" vertical="center"/>
      <protection hidden="1"/>
    </xf>
    <xf numFmtId="0" fontId="122" fillId="0" borderId="1" xfId="213" applyFont="1" applyBorder="1" applyAlignment="1">
      <alignment wrapText="1"/>
    </xf>
    <xf numFmtId="0" fontId="122" fillId="0" borderId="1" xfId="213" applyFont="1" applyBorder="1" applyAlignment="1">
      <alignment horizontal="right" wrapText="1"/>
    </xf>
    <xf numFmtId="0" fontId="122" fillId="0" borderId="1" xfId="210" applyFont="1" applyBorder="1" applyAlignment="1">
      <alignment wrapText="1"/>
    </xf>
    <xf numFmtId="0" fontId="33" fillId="0" borderId="1" xfId="209" applyFont="1" applyBorder="1" applyAlignment="1">
      <alignment wrapText="1"/>
    </xf>
    <xf numFmtId="0" fontId="122" fillId="0" borderId="1" xfId="210" applyFont="1" applyBorder="1" applyAlignment="1">
      <alignment horizontal="right" wrapText="1"/>
    </xf>
    <xf numFmtId="0" fontId="30" fillId="0" borderId="352" xfId="0" applyFont="1" applyBorder="1" applyAlignment="1" applyProtection="1">
      <alignment horizontal="right" vertical="center"/>
      <protection locked="0"/>
    </xf>
    <xf numFmtId="0" fontId="5" fillId="0" borderId="32" xfId="0" applyFont="1" applyBorder="1" applyAlignment="1" applyProtection="1">
      <alignment horizontal="right" vertical="center"/>
      <protection locked="0"/>
    </xf>
    <xf numFmtId="0" fontId="9" fillId="0" borderId="0" xfId="0" applyFont="1" applyAlignment="1">
      <alignment horizontal="right"/>
    </xf>
    <xf numFmtId="0" fontId="9" fillId="0" borderId="0" xfId="0" applyFont="1"/>
    <xf numFmtId="0" fontId="21" fillId="13" borderId="144" xfId="0" applyFont="1" applyFill="1" applyBorder="1" applyAlignment="1" applyProtection="1">
      <alignment horizontal="left"/>
      <protection hidden="1"/>
    </xf>
    <xf numFmtId="0" fontId="5" fillId="13" borderId="41" xfId="0" applyFont="1" applyFill="1" applyBorder="1" applyAlignment="1" applyProtection="1">
      <alignment horizontal="center"/>
      <protection hidden="1"/>
    </xf>
    <xf numFmtId="4" fontId="6" fillId="15" borderId="117" xfId="0" applyNumberFormat="1" applyFont="1" applyFill="1" applyBorder="1" applyAlignment="1" applyProtection="1">
      <alignment horizontal="right"/>
      <protection hidden="1"/>
    </xf>
    <xf numFmtId="4" fontId="13" fillId="15" borderId="79" xfId="0" applyNumberFormat="1" applyFont="1" applyFill="1" applyBorder="1" applyAlignment="1" applyProtection="1">
      <alignment horizontal="right"/>
      <protection hidden="1"/>
    </xf>
    <xf numFmtId="0" fontId="13" fillId="0" borderId="0" xfId="0" applyFont="1" applyAlignment="1" applyProtection="1">
      <alignment horizontal="center"/>
      <protection hidden="1"/>
    </xf>
    <xf numFmtId="0" fontId="27" fillId="0" borderId="115" xfId="0" applyFont="1" applyBorder="1" applyAlignment="1" applyProtection="1">
      <alignment horizontal="left" vertical="center"/>
      <protection hidden="1"/>
    </xf>
    <xf numFmtId="4" fontId="81" fillId="13" borderId="116" xfId="0" applyNumberFormat="1" applyFont="1" applyFill="1" applyBorder="1" applyAlignment="1" applyProtection="1">
      <alignment horizontal="right" vertical="center"/>
      <protection hidden="1"/>
    </xf>
    <xf numFmtId="0" fontId="74" fillId="15" borderId="115" xfId="0" applyFont="1" applyFill="1" applyBorder="1" applyAlignment="1" applyProtection="1">
      <alignment horizontal="right"/>
      <protection hidden="1"/>
    </xf>
    <xf numFmtId="4" fontId="27" fillId="15" borderId="116" xfId="0" applyNumberFormat="1" applyFont="1" applyFill="1" applyBorder="1" applyAlignment="1" applyProtection="1">
      <alignment horizontal="center" vertical="center"/>
      <protection hidden="1"/>
    </xf>
    <xf numFmtId="4" fontId="27" fillId="15" borderId="213" xfId="0" applyNumberFormat="1" applyFont="1" applyFill="1" applyBorder="1" applyAlignment="1" applyProtection="1">
      <alignment horizontal="center" vertical="center"/>
      <protection hidden="1"/>
    </xf>
    <xf numFmtId="4" fontId="27" fillId="15" borderId="61" xfId="0" applyNumberFormat="1" applyFont="1" applyFill="1" applyBorder="1" applyAlignment="1" applyProtection="1">
      <alignment horizontal="right" vertical="center"/>
      <protection hidden="1"/>
    </xf>
    <xf numFmtId="4" fontId="6" fillId="15" borderId="116" xfId="0" applyNumberFormat="1" applyFont="1" applyFill="1" applyBorder="1" applyAlignment="1" applyProtection="1">
      <alignment horizontal="right"/>
      <protection hidden="1"/>
    </xf>
    <xf numFmtId="0" fontId="13" fillId="0" borderId="0" xfId="0" applyFont="1" applyAlignment="1" applyProtection="1">
      <alignment horizontal="center" vertical="center"/>
      <protection hidden="1"/>
    </xf>
    <xf numFmtId="0" fontId="6" fillId="15" borderId="115" xfId="0" applyFont="1" applyFill="1" applyBorder="1" applyProtection="1">
      <protection hidden="1"/>
    </xf>
    <xf numFmtId="4" fontId="6" fillId="13" borderId="116" xfId="0" applyNumberFormat="1" applyFont="1" applyFill="1" applyBorder="1" applyAlignment="1" applyProtection="1">
      <alignment horizontal="right" vertical="center"/>
      <protection hidden="1"/>
    </xf>
    <xf numFmtId="0" fontId="6" fillId="15" borderId="118" xfId="0" applyFont="1" applyFill="1" applyBorder="1" applyProtection="1">
      <protection hidden="1"/>
    </xf>
    <xf numFmtId="4" fontId="5" fillId="2" borderId="0" xfId="0" applyNumberFormat="1" applyFont="1" applyFill="1" applyProtection="1">
      <protection hidden="1"/>
    </xf>
    <xf numFmtId="0" fontId="33" fillId="0" borderId="1" xfId="209" applyFont="1" applyBorder="1" applyAlignment="1">
      <alignment horizontal="right" wrapText="1"/>
    </xf>
    <xf numFmtId="3" fontId="0" fillId="2" borderId="0" xfId="0" applyNumberFormat="1" applyFill="1"/>
    <xf numFmtId="0" fontId="33" fillId="2" borderId="1" xfId="209" applyFont="1" applyFill="1" applyBorder="1" applyAlignment="1">
      <alignment horizontal="right" wrapText="1"/>
    </xf>
    <xf numFmtId="0" fontId="122" fillId="0" borderId="0" xfId="210" applyFont="1" applyAlignment="1">
      <alignment wrapText="1"/>
    </xf>
    <xf numFmtId="0" fontId="130" fillId="0" borderId="0" xfId="212" applyFont="1" applyAlignment="1">
      <alignment wrapText="1"/>
    </xf>
    <xf numFmtId="0" fontId="33" fillId="0" borderId="0" xfId="209" applyFont="1" applyAlignment="1">
      <alignment wrapText="1"/>
    </xf>
    <xf numFmtId="0" fontId="122" fillId="0" borderId="0" xfId="210" applyFont="1" applyAlignment="1">
      <alignment horizontal="right" wrapText="1"/>
    </xf>
    <xf numFmtId="0" fontId="127" fillId="0" borderId="0" xfId="0" applyFont="1" applyAlignment="1" applyProtection="1">
      <alignment horizontal="left" vertical="center" wrapText="1"/>
      <protection hidden="1"/>
    </xf>
    <xf numFmtId="0" fontId="116" fillId="0" borderId="0" xfId="224" applyFont="1" applyAlignment="1" applyProtection="1">
      <alignment horizontal="right" vertical="center" wrapText="1"/>
      <protection hidden="1"/>
    </xf>
    <xf numFmtId="0" fontId="116" fillId="0" borderId="0" xfId="224" applyFont="1" applyAlignment="1" applyProtection="1">
      <alignment vertical="center" wrapText="1"/>
      <protection locked="0"/>
    </xf>
    <xf numFmtId="0" fontId="127" fillId="0" borderId="0" xfId="0" applyFont="1" applyAlignment="1" applyProtection="1">
      <alignment horizontal="left" vertical="center" wrapText="1"/>
      <protection locked="0"/>
    </xf>
    <xf numFmtId="4" fontId="127" fillId="0" borderId="0" xfId="0" applyNumberFormat="1" applyFont="1" applyAlignment="1" applyProtection="1">
      <alignment horizontal="right" vertical="center" wrapText="1"/>
      <protection hidden="1"/>
    </xf>
    <xf numFmtId="0" fontId="10" fillId="0" borderId="38" xfId="0" applyFont="1" applyBorder="1" applyAlignment="1" applyProtection="1">
      <alignment horizontal="center" vertical="center" wrapText="1"/>
      <protection hidden="1"/>
    </xf>
    <xf numFmtId="0" fontId="2" fillId="0" borderId="69" xfId="0" applyFont="1" applyBorder="1" applyAlignment="1" applyProtection="1">
      <alignment horizontal="right" vertical="center"/>
      <protection locked="0"/>
    </xf>
    <xf numFmtId="0" fontId="74" fillId="17" borderId="115" xfId="0" applyFont="1" applyFill="1" applyBorder="1" applyAlignment="1" applyProtection="1">
      <alignment horizontal="left"/>
      <protection hidden="1"/>
    </xf>
    <xf numFmtId="0" fontId="6" fillId="17" borderId="118" xfId="0" applyFont="1" applyFill="1" applyBorder="1" applyProtection="1">
      <protection hidden="1"/>
    </xf>
    <xf numFmtId="0" fontId="33" fillId="23" borderId="45" xfId="219" applyFont="1" applyFill="1" applyBorder="1" applyAlignment="1" applyProtection="1">
      <alignment horizontal="center" wrapText="1"/>
      <protection hidden="1"/>
    </xf>
    <xf numFmtId="0" fontId="4" fillId="0" borderId="353" xfId="0" applyFont="1" applyBorder="1" applyAlignment="1" applyProtection="1">
      <alignment horizontal="center" vertical="center"/>
      <protection hidden="1"/>
    </xf>
    <xf numFmtId="0" fontId="4" fillId="19" borderId="0" xfId="0" applyFont="1" applyFill="1" applyAlignment="1" applyProtection="1">
      <alignment horizontal="center" vertical="center"/>
      <protection hidden="1"/>
    </xf>
    <xf numFmtId="0" fontId="33" fillId="23" borderId="45" xfId="219" applyFont="1" applyFill="1" applyBorder="1" applyAlignment="1" applyProtection="1">
      <alignment horizontal="center"/>
      <protection hidden="1"/>
    </xf>
    <xf numFmtId="0" fontId="5" fillId="0" borderId="354" xfId="0" applyFont="1" applyBorder="1" applyAlignment="1" applyProtection="1">
      <alignment horizontal="center"/>
      <protection hidden="1"/>
    </xf>
    <xf numFmtId="0" fontId="5" fillId="19" borderId="0" xfId="0" applyFont="1" applyFill="1" applyAlignment="1" applyProtection="1">
      <alignment horizontal="center"/>
      <protection hidden="1"/>
    </xf>
    <xf numFmtId="0" fontId="33" fillId="23" borderId="45" xfId="219" applyFont="1" applyFill="1" applyBorder="1" applyAlignment="1" applyProtection="1">
      <alignment horizontal="center" vertical="center"/>
      <protection hidden="1"/>
    </xf>
    <xf numFmtId="0" fontId="33" fillId="0" borderId="0" xfId="219" applyFont="1" applyAlignment="1" applyProtection="1">
      <alignment horizontal="center" vertical="center"/>
      <protection hidden="1"/>
    </xf>
    <xf numFmtId="0" fontId="33" fillId="0" borderId="354" xfId="219" applyFont="1" applyBorder="1" applyAlignment="1" applyProtection="1">
      <alignment horizontal="center" vertical="center"/>
      <protection hidden="1"/>
    </xf>
    <xf numFmtId="0" fontId="33" fillId="19" borderId="0" xfId="219" applyFont="1" applyFill="1" applyAlignment="1" applyProtection="1">
      <alignment horizontal="center" vertical="center"/>
      <protection hidden="1"/>
    </xf>
    <xf numFmtId="0" fontId="141" fillId="0" borderId="0" xfId="219" applyFont="1" applyAlignment="1" applyProtection="1">
      <alignment horizontal="center" vertical="center"/>
      <protection hidden="1"/>
    </xf>
    <xf numFmtId="0" fontId="142"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5" fillId="11" borderId="0" xfId="0" applyFont="1" applyFill="1" applyProtection="1">
      <protection hidden="1"/>
    </xf>
    <xf numFmtId="0" fontId="5" fillId="11" borderId="354" xfId="0" applyFont="1" applyFill="1" applyBorder="1" applyProtection="1">
      <protection hidden="1"/>
    </xf>
    <xf numFmtId="0" fontId="5" fillId="19" borderId="0" xfId="0" applyFont="1" applyFill="1" applyProtection="1">
      <protection hidden="1"/>
    </xf>
    <xf numFmtId="0" fontId="5" fillId="11" borderId="0" xfId="0" applyFont="1" applyFill="1" applyAlignment="1" applyProtection="1">
      <alignment horizontal="center"/>
      <protection hidden="1"/>
    </xf>
    <xf numFmtId="0" fontId="5" fillId="0" borderId="354" xfId="0" applyFont="1" applyBorder="1" applyProtection="1">
      <protection hidden="1"/>
    </xf>
    <xf numFmtId="0" fontId="4" fillId="0" borderId="0" xfId="0" applyFont="1" applyAlignment="1" applyProtection="1">
      <alignment horizontal="center" vertical="center" wrapText="1"/>
      <protection hidden="1"/>
    </xf>
    <xf numFmtId="0" fontId="5" fillId="0" borderId="354" xfId="0" applyFont="1" applyBorder="1" applyAlignment="1" applyProtection="1">
      <alignment horizontal="center" vertical="center" wrapText="1"/>
      <protection hidden="1"/>
    </xf>
    <xf numFmtId="0" fontId="5" fillId="0" borderId="354" xfId="0" applyFont="1" applyBorder="1" applyAlignment="1" applyProtection="1">
      <alignment horizontal="center" vertical="center"/>
      <protection hidden="1"/>
    </xf>
    <xf numFmtId="0" fontId="5" fillId="19" borderId="0" xfId="0" applyFont="1" applyFill="1" applyAlignment="1" applyProtection="1">
      <alignment horizontal="center" vertical="center"/>
      <protection hidden="1"/>
    </xf>
    <xf numFmtId="0" fontId="72" fillId="4" borderId="0" xfId="71" applyFont="1" applyFill="1" applyAlignment="1" applyProtection="1">
      <alignment horizontal="center" vertical="center" wrapText="1"/>
      <protection hidden="1"/>
    </xf>
    <xf numFmtId="0" fontId="72" fillId="4" borderId="354" xfId="71"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5" fillId="0" borderId="354" xfId="0" applyFont="1" applyBorder="1" applyAlignment="1" applyProtection="1">
      <alignment vertical="center"/>
      <protection hidden="1"/>
    </xf>
    <xf numFmtId="0" fontId="5" fillId="19" borderId="0" xfId="0" applyFont="1" applyFill="1" applyAlignment="1" applyProtection="1">
      <alignment vertical="center"/>
      <protection hidden="1"/>
    </xf>
    <xf numFmtId="17" fontId="5" fillId="0" borderId="0" xfId="0" quotePrefix="1" applyNumberFormat="1" applyFont="1" applyAlignment="1" applyProtection="1">
      <alignment vertical="center"/>
      <protection hidden="1"/>
    </xf>
    <xf numFmtId="17" fontId="6" fillId="0" borderId="0" xfId="0" applyNumberFormat="1" applyFont="1" applyAlignment="1" applyProtection="1">
      <alignment vertical="center" wrapText="1"/>
      <protection hidden="1"/>
    </xf>
    <xf numFmtId="17" fontId="5" fillId="0" borderId="0" xfId="0" quotePrefix="1" applyNumberFormat="1" applyFont="1" applyAlignment="1" applyProtection="1">
      <alignment horizontal="center" vertical="center"/>
      <protection hidden="1"/>
    </xf>
    <xf numFmtId="0" fontId="5" fillId="0" borderId="66" xfId="0" applyFont="1" applyBorder="1" applyAlignment="1" applyProtection="1">
      <alignment vertical="center"/>
      <protection hidden="1"/>
    </xf>
    <xf numFmtId="4" fontId="4" fillId="11" borderId="0" xfId="71" applyNumberFormat="1" applyFont="1" applyFill="1" applyProtection="1">
      <protection hidden="1"/>
    </xf>
    <xf numFmtId="0" fontId="35" fillId="23" borderId="45" xfId="209" applyFont="1" applyFill="1" applyBorder="1" applyAlignment="1" applyProtection="1">
      <alignment horizontal="center"/>
      <protection hidden="1"/>
    </xf>
    <xf numFmtId="4" fontId="0" fillId="0" borderId="0" xfId="0" applyNumberFormat="1" applyProtection="1">
      <protection hidden="1"/>
    </xf>
    <xf numFmtId="4" fontId="0" fillId="0" borderId="354" xfId="0" applyNumberFormat="1" applyBorder="1" applyProtection="1">
      <protection hidden="1"/>
    </xf>
    <xf numFmtId="4" fontId="0" fillId="13" borderId="355" xfId="0" applyNumberFormat="1" applyFill="1" applyBorder="1" applyProtection="1">
      <protection hidden="1"/>
    </xf>
    <xf numFmtId="4" fontId="0" fillId="13" borderId="356" xfId="0" applyNumberFormat="1" applyFill="1" applyBorder="1" applyProtection="1">
      <protection hidden="1"/>
    </xf>
    <xf numFmtId="4" fontId="0" fillId="13" borderId="357" xfId="0" applyNumberFormat="1" applyFill="1" applyBorder="1" applyProtection="1">
      <protection hidden="1"/>
    </xf>
    <xf numFmtId="0" fontId="0" fillId="13" borderId="357" xfId="0" applyFill="1" applyBorder="1" applyProtection="1">
      <protection hidden="1"/>
    </xf>
    <xf numFmtId="4" fontId="0" fillId="17" borderId="0" xfId="0" applyNumberFormat="1" applyFill="1" applyProtection="1">
      <protection hidden="1"/>
    </xf>
    <xf numFmtId="4" fontId="0" fillId="5" borderId="0" xfId="0" applyNumberFormat="1" applyFill="1" applyProtection="1">
      <protection hidden="1"/>
    </xf>
    <xf numFmtId="4" fontId="0" fillId="13" borderId="358" xfId="0" applyNumberFormat="1" applyFill="1" applyBorder="1" applyProtection="1">
      <protection hidden="1"/>
    </xf>
    <xf numFmtId="4" fontId="0" fillId="13" borderId="354" xfId="0" applyNumberFormat="1" applyFill="1" applyBorder="1" applyProtection="1">
      <protection hidden="1"/>
    </xf>
    <xf numFmtId="4" fontId="0" fillId="13" borderId="0" xfId="0" applyNumberFormat="1" applyFill="1" applyProtection="1">
      <protection hidden="1"/>
    </xf>
    <xf numFmtId="0" fontId="0" fillId="13" borderId="0" xfId="0" applyFill="1" applyProtection="1">
      <protection hidden="1"/>
    </xf>
    <xf numFmtId="4" fontId="13" fillId="11" borderId="57" xfId="0" applyNumberFormat="1" applyFont="1" applyFill="1" applyBorder="1" applyProtection="1">
      <protection hidden="1"/>
    </xf>
    <xf numFmtId="4" fontId="13" fillId="13" borderId="359" xfId="0" applyNumberFormat="1" applyFont="1" applyFill="1" applyBorder="1" applyProtection="1">
      <protection hidden="1"/>
    </xf>
    <xf numFmtId="4" fontId="0" fillId="13" borderId="360" xfId="0" applyNumberFormat="1" applyFill="1" applyBorder="1" applyProtection="1">
      <protection hidden="1"/>
    </xf>
    <xf numFmtId="4" fontId="0" fillId="13" borderId="361" xfId="0" applyNumberFormat="1" applyFill="1" applyBorder="1" applyProtection="1">
      <protection hidden="1"/>
    </xf>
    <xf numFmtId="4" fontId="0" fillId="13" borderId="362" xfId="0" applyNumberFormat="1" applyFill="1" applyBorder="1" applyProtection="1">
      <protection hidden="1"/>
    </xf>
    <xf numFmtId="0" fontId="0" fillId="13" borderId="362" xfId="0" applyFill="1" applyBorder="1" applyProtection="1">
      <protection hidden="1"/>
    </xf>
    <xf numFmtId="4" fontId="0" fillId="11" borderId="354" xfId="0" applyNumberFormat="1" applyFill="1" applyBorder="1" applyProtection="1">
      <protection hidden="1"/>
    </xf>
    <xf numFmtId="4" fontId="0" fillId="11" borderId="0" xfId="0" applyNumberFormat="1" applyFill="1" applyProtection="1">
      <protection hidden="1"/>
    </xf>
    <xf numFmtId="4" fontId="0" fillId="11" borderId="57" xfId="0" applyNumberFormat="1" applyFill="1" applyBorder="1" applyProtection="1">
      <protection hidden="1"/>
    </xf>
    <xf numFmtId="4" fontId="13" fillId="11" borderId="43" xfId="0" applyNumberFormat="1" applyFont="1" applyFill="1" applyBorder="1" applyProtection="1">
      <protection hidden="1"/>
    </xf>
    <xf numFmtId="4" fontId="13" fillId="11" borderId="363" xfId="0" applyNumberFormat="1" applyFont="1" applyFill="1" applyBorder="1" applyProtection="1">
      <protection hidden="1"/>
    </xf>
    <xf numFmtId="4" fontId="4" fillId="11" borderId="65" xfId="71" applyNumberFormat="1" applyFont="1" applyFill="1" applyBorder="1" applyProtection="1">
      <protection hidden="1"/>
    </xf>
    <xf numFmtId="4" fontId="0" fillId="5" borderId="65" xfId="0" applyNumberFormat="1" applyFill="1" applyBorder="1" applyProtection="1">
      <protection hidden="1"/>
    </xf>
    <xf numFmtId="0" fontId="33" fillId="23" borderId="181" xfId="219" applyFont="1" applyFill="1" applyBorder="1" applyAlignment="1" applyProtection="1">
      <alignment horizontal="center"/>
      <protection hidden="1"/>
    </xf>
    <xf numFmtId="4" fontId="0" fillId="2" borderId="0" xfId="0" applyNumberFormat="1" applyFill="1" applyProtection="1">
      <protection hidden="1"/>
    </xf>
    <xf numFmtId="0" fontId="135" fillId="0" borderId="0" xfId="210" applyFont="1" applyAlignment="1" applyProtection="1">
      <alignment horizontal="center"/>
      <protection hidden="1"/>
    </xf>
    <xf numFmtId="0" fontId="5" fillId="0" borderId="313" xfId="0" applyFont="1" applyBorder="1" applyProtection="1">
      <protection hidden="1"/>
    </xf>
    <xf numFmtId="0" fontId="5" fillId="0" borderId="314" xfId="0" applyFont="1" applyBorder="1" applyProtection="1">
      <protection hidden="1"/>
    </xf>
    <xf numFmtId="0" fontId="0" fillId="0" borderId="364" xfId="0" applyBorder="1" applyProtection="1">
      <protection hidden="1"/>
    </xf>
    <xf numFmtId="0" fontId="0" fillId="0" borderId="312" xfId="0" applyBorder="1" applyProtection="1">
      <protection hidden="1"/>
    </xf>
    <xf numFmtId="0" fontId="0" fillId="0" borderId="313" xfId="0" applyBorder="1" applyProtection="1">
      <protection hidden="1"/>
    </xf>
    <xf numFmtId="0" fontId="0" fillId="0" borderId="314" xfId="0" applyBorder="1" applyProtection="1">
      <protection hidden="1"/>
    </xf>
    <xf numFmtId="0" fontId="5" fillId="0" borderId="66" xfId="0" applyFont="1" applyBorder="1" applyProtection="1">
      <protection hidden="1"/>
    </xf>
    <xf numFmtId="0" fontId="0" fillId="0" borderId="58" xfId="0" applyBorder="1" applyProtection="1">
      <protection hidden="1"/>
    </xf>
    <xf numFmtId="0" fontId="0" fillId="31" borderId="0" xfId="0" applyFill="1" applyProtection="1">
      <protection hidden="1"/>
    </xf>
    <xf numFmtId="0" fontId="0" fillId="31" borderId="58" xfId="0" applyFill="1" applyBorder="1" applyProtection="1">
      <protection hidden="1"/>
    </xf>
    <xf numFmtId="0" fontId="5" fillId="0" borderId="312" xfId="0" applyFont="1" applyBorder="1" applyProtection="1">
      <protection hidden="1"/>
    </xf>
    <xf numFmtId="0" fontId="6" fillId="0" borderId="0" xfId="210" applyFont="1" applyAlignment="1" applyProtection="1">
      <alignment horizontal="center"/>
      <protection hidden="1"/>
    </xf>
    <xf numFmtId="0" fontId="72" fillId="8" borderId="0" xfId="0" applyFont="1" applyFill="1" applyAlignment="1" applyProtection="1">
      <alignment horizontal="center" vertical="center"/>
      <protection hidden="1"/>
    </xf>
    <xf numFmtId="0" fontId="72" fillId="8" borderId="0" xfId="210" applyFont="1" applyFill="1" applyAlignment="1" applyProtection="1">
      <alignment horizontal="center" vertical="center"/>
      <protection hidden="1"/>
    </xf>
    <xf numFmtId="0" fontId="6" fillId="0" borderId="24" xfId="210" applyFont="1" applyBorder="1" applyAlignment="1" applyProtection="1">
      <alignment horizontal="center"/>
      <protection hidden="1"/>
    </xf>
    <xf numFmtId="0" fontId="143" fillId="16" borderId="1" xfId="209" applyFont="1" applyFill="1" applyBorder="1" applyAlignment="1" applyProtection="1">
      <alignment horizontal="center" vertical="center" wrapText="1"/>
      <protection hidden="1"/>
    </xf>
    <xf numFmtId="0" fontId="6" fillId="0" borderId="26" xfId="210" applyFont="1" applyBorder="1" applyAlignment="1" applyProtection="1">
      <alignment horizontal="center"/>
      <protection hidden="1"/>
    </xf>
    <xf numFmtId="0" fontId="5" fillId="0" borderId="25" xfId="0" applyFont="1" applyBorder="1" applyProtection="1">
      <protection hidden="1"/>
    </xf>
    <xf numFmtId="0" fontId="135" fillId="0" borderId="94" xfId="210" applyFont="1" applyBorder="1" applyAlignment="1" applyProtection="1">
      <alignment horizontal="center"/>
      <protection hidden="1"/>
    </xf>
    <xf numFmtId="0" fontId="35" fillId="23" borderId="45" xfId="219" applyFont="1" applyFill="1" applyBorder="1" applyAlignment="1" applyProtection="1">
      <alignment horizontal="center"/>
      <protection locked="0"/>
    </xf>
    <xf numFmtId="0" fontId="35" fillId="0" borderId="1" xfId="209" applyFont="1" applyBorder="1" applyAlignment="1" applyProtection="1">
      <alignment wrapText="1"/>
      <protection locked="0"/>
    </xf>
    <xf numFmtId="0" fontId="0" fillId="0" borderId="0" xfId="0" applyProtection="1">
      <protection locked="0"/>
    </xf>
    <xf numFmtId="0" fontId="35" fillId="0" borderId="365" xfId="209" applyFont="1" applyBorder="1" applyAlignment="1" applyProtection="1">
      <alignment wrapText="1"/>
      <protection locked="0"/>
    </xf>
    <xf numFmtId="0" fontId="38" fillId="0" borderId="0" xfId="0" applyFont="1" applyProtection="1">
      <protection locked="0"/>
    </xf>
    <xf numFmtId="0" fontId="17" fillId="0" borderId="1" xfId="210" applyBorder="1" applyAlignment="1" applyProtection="1">
      <alignment wrapText="1"/>
      <protection locked="0"/>
    </xf>
    <xf numFmtId="0" fontId="35" fillId="0" borderId="0" xfId="209" applyFont="1" applyProtection="1">
      <protection locked="0"/>
    </xf>
    <xf numFmtId="0" fontId="35" fillId="0" borderId="1" xfId="209" applyFont="1" applyBorder="1" applyAlignment="1" applyProtection="1">
      <alignment horizontal="right" wrapText="1"/>
      <protection locked="0"/>
    </xf>
    <xf numFmtId="0" fontId="35" fillId="0" borderId="0" xfId="219" applyFont="1" applyProtection="1">
      <protection locked="0"/>
    </xf>
    <xf numFmtId="0" fontId="35" fillId="23" borderId="45" xfId="209" applyFont="1" applyFill="1" applyBorder="1" applyAlignment="1" applyProtection="1">
      <alignment horizontal="center"/>
      <protection locked="0"/>
    </xf>
    <xf numFmtId="0" fontId="35" fillId="0" borderId="365" xfId="209" applyFont="1" applyBorder="1" applyAlignment="1" applyProtection="1">
      <alignment horizontal="right" wrapText="1"/>
      <protection locked="0"/>
    </xf>
    <xf numFmtId="0" fontId="1" fillId="0" borderId="0" xfId="210" applyFont="1" applyAlignment="1" applyProtection="1">
      <alignment horizontal="center"/>
      <protection locked="0"/>
    </xf>
    <xf numFmtId="0" fontId="1" fillId="0" borderId="0" xfId="210" applyFont="1" applyAlignment="1" applyProtection="1">
      <alignment horizontal="right" wrapText="1"/>
      <protection locked="0"/>
    </xf>
    <xf numFmtId="0" fontId="1" fillId="0" borderId="0" xfId="210" applyFont="1" applyProtection="1">
      <protection locked="0"/>
    </xf>
    <xf numFmtId="0" fontId="1" fillId="0" borderId="0" xfId="210" applyFont="1" applyAlignment="1" applyProtection="1">
      <alignment wrapText="1"/>
      <protection locked="0"/>
    </xf>
    <xf numFmtId="177" fontId="1" fillId="0" borderId="0" xfId="210" applyNumberFormat="1" applyFont="1" applyAlignment="1" applyProtection="1">
      <alignment horizontal="right" wrapText="1"/>
      <protection locked="0"/>
    </xf>
    <xf numFmtId="0" fontId="35" fillId="0" borderId="0" xfId="219" applyFont="1" applyProtection="1">
      <protection hidden="1"/>
    </xf>
    <xf numFmtId="0" fontId="33" fillId="0" borderId="1" xfId="209" applyFont="1" applyBorder="1" applyAlignment="1" applyProtection="1">
      <alignment wrapText="1"/>
      <protection hidden="1"/>
    </xf>
    <xf numFmtId="0" fontId="33" fillId="0" borderId="1" xfId="209" applyFont="1" applyBorder="1" applyAlignment="1" applyProtection="1">
      <alignment horizontal="right" wrapText="1"/>
      <protection hidden="1"/>
    </xf>
    <xf numFmtId="0" fontId="33" fillId="0" borderId="0" xfId="219" applyFont="1" applyProtection="1">
      <protection hidden="1"/>
    </xf>
    <xf numFmtId="0" fontId="35" fillId="0" borderId="1" xfId="219" applyFont="1" applyBorder="1" applyAlignment="1" applyProtection="1">
      <alignment wrapText="1"/>
      <protection locked="0"/>
    </xf>
    <xf numFmtId="0" fontId="33" fillId="0" borderId="1" xfId="219" applyFont="1" applyBorder="1" applyAlignment="1" applyProtection="1">
      <alignment wrapText="1"/>
      <protection locked="0"/>
    </xf>
    <xf numFmtId="0" fontId="35" fillId="0" borderId="1" xfId="219" applyFont="1" applyBorder="1" applyAlignment="1" applyProtection="1">
      <alignment horizontal="right" wrapText="1"/>
      <protection locked="0"/>
    </xf>
    <xf numFmtId="0" fontId="35" fillId="23" borderId="45" xfId="209" applyFont="1" applyFill="1" applyBorder="1" applyAlignment="1" applyProtection="1">
      <alignment horizontal="center" wrapText="1"/>
      <protection locked="0"/>
    </xf>
    <xf numFmtId="0" fontId="35" fillId="0" borderId="1" xfId="219" applyFont="1" applyBorder="1" applyAlignment="1" applyProtection="1">
      <alignment wrapText="1"/>
      <protection hidden="1"/>
    </xf>
    <xf numFmtId="0" fontId="35" fillId="0" borderId="1" xfId="219" applyFont="1" applyBorder="1" applyAlignment="1" applyProtection="1">
      <alignment horizontal="right" wrapText="1"/>
      <protection hidden="1"/>
    </xf>
    <xf numFmtId="0" fontId="136" fillId="16" borderId="1" xfId="209" applyFont="1" applyFill="1" applyBorder="1" applyAlignment="1" applyProtection="1">
      <alignment horizontal="center" vertical="center" wrapText="1"/>
      <protection hidden="1"/>
    </xf>
    <xf numFmtId="166" fontId="5" fillId="0" borderId="0" xfId="0" applyNumberFormat="1" applyFont="1" applyProtection="1">
      <protection locked="0"/>
    </xf>
    <xf numFmtId="0" fontId="5" fillId="0" borderId="0" xfId="0" applyFont="1" applyAlignment="1" applyProtection="1">
      <alignment horizontal="center" vertical="center" wrapText="1"/>
      <protection hidden="1"/>
    </xf>
    <xf numFmtId="0" fontId="144" fillId="31" borderId="366" xfId="0" applyFont="1" applyFill="1" applyBorder="1" applyAlignment="1" applyProtection="1">
      <alignment horizontal="center" vertical="center" wrapText="1"/>
      <protection locked="0"/>
    </xf>
    <xf numFmtId="0" fontId="138" fillId="0" borderId="0" xfId="0" applyFont="1" applyAlignment="1" applyProtection="1">
      <alignment horizontal="center" vertical="center"/>
      <protection hidden="1"/>
    </xf>
    <xf numFmtId="0" fontId="5" fillId="0" borderId="26" xfId="0" applyFont="1" applyBorder="1" applyAlignment="1">
      <alignment vertical="center"/>
    </xf>
    <xf numFmtId="3" fontId="5" fillId="13" borderId="37" xfId="0" applyNumberFormat="1" applyFont="1" applyFill="1" applyBorder="1" applyAlignment="1">
      <alignment horizontal="center" vertical="center"/>
    </xf>
    <xf numFmtId="3" fontId="5" fillId="13" borderId="35" xfId="0" applyNumberFormat="1" applyFont="1" applyFill="1" applyBorder="1" applyAlignment="1">
      <alignment horizontal="center"/>
    </xf>
    <xf numFmtId="0" fontId="4" fillId="0" borderId="0" xfId="0" applyFont="1" applyAlignment="1" applyProtection="1">
      <alignment horizontal="right" vertical="center" wrapText="1"/>
      <protection hidden="1"/>
    </xf>
    <xf numFmtId="0" fontId="5" fillId="0" borderId="366" xfId="0" applyFont="1" applyBorder="1" applyAlignment="1" applyProtection="1">
      <alignment horizontal="center"/>
      <protection hidden="1"/>
    </xf>
    <xf numFmtId="0" fontId="144" fillId="31" borderId="366" xfId="0" applyFont="1" applyFill="1" applyBorder="1" applyAlignment="1" applyProtection="1">
      <alignment horizontal="center" vertical="center" wrapText="1"/>
      <protection hidden="1"/>
    </xf>
    <xf numFmtId="10" fontId="5" fillId="0" borderId="0" xfId="0" applyNumberFormat="1" applyFont="1" applyAlignment="1" applyProtection="1">
      <alignment horizontal="center"/>
      <protection hidden="1"/>
    </xf>
    <xf numFmtId="3" fontId="5" fillId="0" borderId="0" xfId="0" applyNumberFormat="1" applyFont="1" applyAlignment="1" applyProtection="1">
      <alignment horizontal="center"/>
      <protection hidden="1"/>
    </xf>
    <xf numFmtId="170" fontId="5" fillId="0" borderId="0" xfId="0" applyNumberFormat="1" applyFont="1" applyProtection="1">
      <protection hidden="1"/>
    </xf>
    <xf numFmtId="3" fontId="5" fillId="0" borderId="0" xfId="0" applyNumberFormat="1" applyFont="1" applyAlignment="1" applyProtection="1">
      <alignment horizontal="right"/>
      <protection hidden="1"/>
    </xf>
    <xf numFmtId="0" fontId="23" fillId="0" borderId="0" xfId="0" applyFont="1" applyProtection="1">
      <protection hidden="1"/>
    </xf>
    <xf numFmtId="0" fontId="5" fillId="0" borderId="2" xfId="0" applyFont="1" applyBorder="1" applyAlignment="1" applyProtection="1">
      <alignment horizontal="center"/>
      <protection hidden="1"/>
    </xf>
    <xf numFmtId="166" fontId="5" fillId="0" borderId="0" xfId="0" applyNumberFormat="1" applyFont="1" applyProtection="1">
      <protection hidden="1"/>
    </xf>
    <xf numFmtId="17" fontId="5" fillId="0" borderId="0" xfId="0" applyNumberFormat="1" applyFont="1" applyProtection="1">
      <protection hidden="1"/>
    </xf>
    <xf numFmtId="0" fontId="42" fillId="0" borderId="0" xfId="0" applyFont="1" applyProtection="1">
      <protection hidden="1"/>
    </xf>
    <xf numFmtId="0" fontId="5" fillId="0" borderId="24" xfId="0" quotePrefix="1" applyFont="1" applyBorder="1" applyProtection="1">
      <protection hidden="1"/>
    </xf>
    <xf numFmtId="0" fontId="5" fillId="0" borderId="26" xfId="0" applyFont="1" applyBorder="1" applyAlignment="1" applyProtection="1">
      <alignment horizontal="center"/>
      <protection hidden="1"/>
    </xf>
    <xf numFmtId="0" fontId="5" fillId="0" borderId="27" xfId="0" applyFont="1" applyBorder="1" applyAlignment="1" applyProtection="1">
      <alignment horizontal="center"/>
      <protection hidden="1"/>
    </xf>
    <xf numFmtId="0" fontId="5" fillId="0" borderId="26" xfId="0" applyFont="1" applyBorder="1" applyProtection="1">
      <protection hidden="1"/>
    </xf>
    <xf numFmtId="0" fontId="5" fillId="0" borderId="27" xfId="0" applyFont="1" applyBorder="1" applyProtection="1">
      <protection hidden="1"/>
    </xf>
    <xf numFmtId="166" fontId="116" fillId="4" borderId="2" xfId="0" applyNumberFormat="1" applyFont="1" applyFill="1" applyBorder="1" applyAlignment="1" applyProtection="1">
      <alignment horizontal="center" vertical="center"/>
      <protection locked="0"/>
    </xf>
    <xf numFmtId="0" fontId="5" fillId="0" borderId="26" xfId="0" quotePrefix="1" applyFont="1" applyBorder="1" applyProtection="1">
      <protection hidden="1"/>
    </xf>
    <xf numFmtId="166" fontId="116" fillId="4" borderId="5" xfId="0" applyNumberFormat="1" applyFont="1" applyFill="1" applyBorder="1" applyAlignment="1" applyProtection="1">
      <alignment horizontal="center" vertical="center"/>
      <protection locked="0"/>
    </xf>
    <xf numFmtId="3" fontId="5" fillId="0" borderId="0" xfId="0" quotePrefix="1" applyNumberFormat="1" applyFont="1" applyAlignment="1" applyProtection="1">
      <alignment horizontal="center"/>
      <protection hidden="1"/>
    </xf>
    <xf numFmtId="0" fontId="24" fillId="0" borderId="0" xfId="0" applyFont="1" applyAlignment="1" applyProtection="1">
      <alignment horizontal="right"/>
      <protection hidden="1"/>
    </xf>
    <xf numFmtId="166" fontId="6" fillId="13" borderId="2" xfId="0" quotePrefix="1" applyNumberFormat="1" applyFont="1" applyFill="1" applyBorder="1" applyAlignment="1" applyProtection="1">
      <alignment horizontal="center" vertical="center"/>
      <protection hidden="1"/>
    </xf>
    <xf numFmtId="166" fontId="6" fillId="13" borderId="5" xfId="0" quotePrefix="1" applyNumberFormat="1" applyFont="1" applyFill="1" applyBorder="1" applyAlignment="1" applyProtection="1">
      <alignment horizontal="center" vertical="center"/>
      <protection hidden="1"/>
    </xf>
    <xf numFmtId="0" fontId="5" fillId="0" borderId="24" xfId="0" applyFont="1" applyBorder="1" applyProtection="1">
      <protection hidden="1"/>
    </xf>
    <xf numFmtId="0" fontId="7" fillId="0" borderId="31" xfId="0" applyFont="1" applyBorder="1" applyAlignment="1" applyProtection="1">
      <alignment vertical="center"/>
      <protection hidden="1"/>
    </xf>
    <xf numFmtId="0" fontId="7" fillId="0" borderId="31" xfId="0" applyFont="1" applyBorder="1" applyAlignment="1" applyProtection="1">
      <alignment horizontal="center" vertical="center"/>
      <protection hidden="1"/>
    </xf>
    <xf numFmtId="0" fontId="32" fillId="32" borderId="38" xfId="0" applyFont="1" applyFill="1" applyBorder="1" applyProtection="1">
      <protection hidden="1"/>
    </xf>
    <xf numFmtId="166" fontId="32" fillId="32" borderId="31" xfId="0" applyNumberFormat="1" applyFont="1" applyFill="1" applyBorder="1" applyProtection="1">
      <protection hidden="1"/>
    </xf>
    <xf numFmtId="17" fontId="32" fillId="32" borderId="65" xfId="0" applyNumberFormat="1" applyFont="1" applyFill="1" applyBorder="1" applyProtection="1">
      <protection hidden="1"/>
    </xf>
    <xf numFmtId="0" fontId="5" fillId="0" borderId="367" xfId="0" applyFont="1" applyBorder="1" applyProtection="1">
      <protection hidden="1"/>
    </xf>
    <xf numFmtId="0" fontId="5" fillId="0" borderId="368" xfId="0" applyFont="1" applyBorder="1" applyProtection="1">
      <protection hidden="1"/>
    </xf>
    <xf numFmtId="0" fontId="30" fillId="0" borderId="352" xfId="0" applyFont="1" applyBorder="1" applyAlignment="1" applyProtection="1">
      <alignment vertical="center"/>
      <protection hidden="1"/>
    </xf>
    <xf numFmtId="0" fontId="30" fillId="0" borderId="352" xfId="0" applyFont="1" applyBorder="1" applyAlignment="1" applyProtection="1">
      <alignment horizontal="center" vertical="center"/>
      <protection hidden="1"/>
    </xf>
    <xf numFmtId="0" fontId="5" fillId="0" borderId="26" xfId="0" applyFont="1" applyBorder="1" applyAlignment="1" applyProtection="1">
      <alignment vertical="center"/>
      <protection hidden="1"/>
    </xf>
    <xf numFmtId="0" fontId="30" fillId="0" borderId="0" xfId="0" applyFont="1" applyAlignment="1" applyProtection="1">
      <alignment vertical="center"/>
      <protection hidden="1"/>
    </xf>
    <xf numFmtId="0" fontId="5" fillId="0" borderId="369" xfId="0" applyFont="1" applyBorder="1" applyProtection="1">
      <protection hidden="1"/>
    </xf>
    <xf numFmtId="0" fontId="5" fillId="0" borderId="352" xfId="0" applyFont="1" applyBorder="1" applyProtection="1">
      <protection hidden="1"/>
    </xf>
    <xf numFmtId="0" fontId="5" fillId="0" borderId="24" xfId="0" applyFont="1" applyBorder="1" applyAlignment="1" applyProtection="1">
      <alignment vertical="center"/>
      <protection hidden="1"/>
    </xf>
    <xf numFmtId="0" fontId="28" fillId="0" borderId="31" xfId="0" applyFont="1" applyBorder="1" applyAlignment="1" applyProtection="1">
      <alignment horizontal="center" vertical="center"/>
      <protection hidden="1"/>
    </xf>
    <xf numFmtId="0" fontId="5" fillId="0" borderId="94" xfId="0" applyFont="1" applyBorder="1" applyProtection="1">
      <protection hidden="1"/>
    </xf>
    <xf numFmtId="0" fontId="5" fillId="0" borderId="93" xfId="0" applyFont="1" applyBorder="1" applyProtection="1">
      <protection hidden="1"/>
    </xf>
    <xf numFmtId="0" fontId="43" fillId="25" borderId="94" xfId="0" applyFont="1" applyFill="1" applyBorder="1" applyAlignment="1" applyProtection="1">
      <alignment vertical="center"/>
      <protection hidden="1"/>
    </xf>
    <xf numFmtId="0" fontId="41" fillId="25" borderId="32" xfId="0" applyFont="1" applyFill="1" applyBorder="1" applyAlignment="1" applyProtection="1">
      <alignment horizontal="center" vertical="center"/>
      <protection locked="0"/>
    </xf>
    <xf numFmtId="4" fontId="30" fillId="25" borderId="32" xfId="0" applyNumberFormat="1" applyFont="1" applyFill="1" applyBorder="1" applyAlignment="1" applyProtection="1">
      <alignment vertical="center"/>
      <protection hidden="1"/>
    </xf>
    <xf numFmtId="0" fontId="30" fillId="25" borderId="32" xfId="0" applyFont="1" applyFill="1" applyBorder="1" applyAlignment="1" applyProtection="1">
      <alignment horizontal="center" vertical="center"/>
      <protection hidden="1"/>
    </xf>
    <xf numFmtId="0" fontId="7" fillId="0" borderId="93" xfId="0" applyFont="1" applyBorder="1" applyAlignment="1" applyProtection="1">
      <alignment horizontal="center" vertical="center"/>
      <protection hidden="1"/>
    </xf>
    <xf numFmtId="0" fontId="5" fillId="0" borderId="94" xfId="0" applyFont="1" applyBorder="1" applyAlignment="1" applyProtection="1">
      <alignment horizontal="center"/>
      <protection hidden="1"/>
    </xf>
    <xf numFmtId="0" fontId="5" fillId="0" borderId="93" xfId="0" applyFont="1" applyBorder="1" applyAlignment="1" applyProtection="1">
      <alignment horizontal="center"/>
      <protection hidden="1"/>
    </xf>
    <xf numFmtId="0" fontId="23" fillId="0" borderId="32" xfId="0" applyFont="1" applyBorder="1" applyProtection="1">
      <protection hidden="1"/>
    </xf>
    <xf numFmtId="0" fontId="100" fillId="0" borderId="0" xfId="0" applyFont="1" applyAlignment="1" applyProtection="1">
      <alignment vertical="center"/>
      <protection hidden="1"/>
    </xf>
    <xf numFmtId="9" fontId="7" fillId="0" borderId="0" xfId="0" applyNumberFormat="1" applyFont="1" applyAlignment="1" applyProtection="1">
      <alignment vertical="center"/>
      <protection hidden="1"/>
    </xf>
    <xf numFmtId="0" fontId="24" fillId="14" borderId="0" xfId="0" applyFont="1" applyFill="1" applyAlignment="1" applyProtection="1">
      <alignment vertical="center"/>
      <protection hidden="1"/>
    </xf>
    <xf numFmtId="0" fontId="5" fillId="0" borderId="370" xfId="0" applyFont="1" applyBorder="1" applyAlignment="1" applyProtection="1">
      <alignment horizontal="center" vertical="center" wrapText="1"/>
      <protection hidden="1"/>
    </xf>
    <xf numFmtId="0" fontId="5" fillId="0" borderId="24" xfId="0" applyFont="1" applyBorder="1" applyAlignment="1" applyProtection="1">
      <alignment horizontal="center" vertical="center"/>
      <protection hidden="1"/>
    </xf>
    <xf numFmtId="0" fontId="5" fillId="0" borderId="31" xfId="0" applyFont="1" applyBorder="1" applyAlignment="1" applyProtection="1">
      <alignment vertical="center"/>
      <protection hidden="1"/>
    </xf>
    <xf numFmtId="0" fontId="24" fillId="27" borderId="25" xfId="0" applyFont="1" applyFill="1" applyBorder="1" applyAlignment="1" applyProtection="1">
      <alignment horizontal="center" vertical="center"/>
      <protection hidden="1"/>
    </xf>
    <xf numFmtId="10" fontId="5" fillId="13" borderId="2" xfId="0" applyNumberFormat="1" applyFont="1" applyFill="1" applyBorder="1" applyAlignment="1" applyProtection="1">
      <alignment horizontal="right" vertical="center"/>
      <protection locked="0"/>
    </xf>
    <xf numFmtId="0" fontId="5" fillId="0" borderId="106" xfId="0" applyFont="1" applyBorder="1" applyAlignment="1" applyProtection="1">
      <alignment horizontal="center"/>
      <protection hidden="1"/>
    </xf>
    <xf numFmtId="4" fontId="5" fillId="0" borderId="31" xfId="0" applyNumberFormat="1" applyFont="1" applyBorder="1" applyProtection="1">
      <protection hidden="1"/>
    </xf>
    <xf numFmtId="4" fontId="5" fillId="11" borderId="31" xfId="0" applyNumberFormat="1" applyFont="1" applyFill="1" applyBorder="1" applyProtection="1">
      <protection hidden="1"/>
    </xf>
    <xf numFmtId="4" fontId="5" fillId="0" borderId="25" xfId="0" applyNumberFormat="1" applyFont="1" applyBorder="1" applyProtection="1">
      <protection hidden="1"/>
    </xf>
    <xf numFmtId="171" fontId="5" fillId="0" borderId="235" xfId="0" applyNumberFormat="1" applyFont="1" applyBorder="1" applyAlignment="1" applyProtection="1">
      <alignment horizontal="right"/>
      <protection hidden="1"/>
    </xf>
    <xf numFmtId="0" fontId="5" fillId="0" borderId="371" xfId="0" applyFont="1" applyBorder="1" applyAlignment="1" applyProtection="1">
      <alignment horizontal="center"/>
      <protection hidden="1"/>
    </xf>
    <xf numFmtId="0" fontId="5" fillId="0" borderId="372" xfId="0" applyFont="1" applyBorder="1" applyAlignment="1" applyProtection="1">
      <alignment horizontal="center"/>
      <protection hidden="1"/>
    </xf>
    <xf numFmtId="0" fontId="5" fillId="0" borderId="31" xfId="0" applyFont="1" applyBorder="1" applyAlignment="1" applyProtection="1">
      <alignment horizontal="center"/>
      <protection hidden="1"/>
    </xf>
    <xf numFmtId="0" fontId="5" fillId="0" borderId="25" xfId="0" applyFont="1" applyBorder="1" applyAlignment="1" applyProtection="1">
      <alignment horizontal="center"/>
      <protection hidden="1"/>
    </xf>
    <xf numFmtId="4" fontId="5" fillId="2" borderId="0" xfId="0" applyNumberFormat="1" applyFont="1" applyFill="1" applyAlignment="1" applyProtection="1">
      <alignment horizontal="right"/>
      <protection hidden="1"/>
    </xf>
    <xf numFmtId="0" fontId="5" fillId="0" borderId="121" xfId="0" applyFont="1" applyBorder="1" applyAlignment="1" applyProtection="1">
      <alignment horizontal="center"/>
      <protection hidden="1"/>
    </xf>
    <xf numFmtId="0" fontId="24" fillId="27" borderId="27" xfId="0" applyFont="1" applyFill="1" applyBorder="1" applyAlignment="1" applyProtection="1">
      <alignment horizontal="center"/>
      <protection hidden="1"/>
    </xf>
    <xf numFmtId="0" fontId="5" fillId="0" borderId="132" xfId="0" applyFont="1" applyBorder="1" applyAlignment="1" applyProtection="1">
      <alignment horizontal="center"/>
      <protection hidden="1"/>
    </xf>
    <xf numFmtId="4" fontId="5" fillId="11" borderId="0" xfId="0" applyNumberFormat="1" applyFont="1" applyFill="1" applyProtection="1">
      <protection hidden="1"/>
    </xf>
    <xf numFmtId="4" fontId="5" fillId="0" borderId="27" xfId="0" applyNumberFormat="1" applyFont="1" applyBorder="1" applyProtection="1">
      <protection hidden="1"/>
    </xf>
    <xf numFmtId="10" fontId="5" fillId="0" borderId="0" xfId="0" applyNumberFormat="1" applyFont="1" applyProtection="1">
      <protection hidden="1"/>
    </xf>
    <xf numFmtId="0" fontId="5" fillId="0" borderId="232" xfId="0" applyFont="1" applyBorder="1" applyProtection="1">
      <protection hidden="1"/>
    </xf>
    <xf numFmtId="0" fontId="5" fillId="0" borderId="233" xfId="0" applyFont="1" applyBorder="1" applyProtection="1">
      <protection hidden="1"/>
    </xf>
    <xf numFmtId="4" fontId="5" fillId="0" borderId="0" xfId="0" applyNumberFormat="1" applyFont="1" applyAlignment="1" applyProtection="1">
      <alignment horizontal="right"/>
      <protection hidden="1"/>
    </xf>
    <xf numFmtId="4" fontId="5" fillId="0" borderId="27" xfId="0" applyNumberFormat="1" applyFont="1" applyBorder="1" applyAlignment="1" applyProtection="1">
      <alignment horizontal="right"/>
      <protection hidden="1"/>
    </xf>
    <xf numFmtId="10" fontId="41" fillId="7" borderId="121" xfId="0" applyNumberFormat="1" applyFont="1" applyFill="1" applyBorder="1" applyAlignment="1" applyProtection="1">
      <alignment horizontal="center"/>
      <protection hidden="1"/>
    </xf>
    <xf numFmtId="0" fontId="30" fillId="0" borderId="0" xfId="0" applyFont="1" applyProtection="1">
      <protection hidden="1"/>
    </xf>
    <xf numFmtId="0" fontId="112" fillId="26" borderId="25" xfId="0" applyFont="1" applyFill="1" applyBorder="1" applyAlignment="1" applyProtection="1">
      <alignment horizontal="center"/>
      <protection hidden="1"/>
    </xf>
    <xf numFmtId="171" fontId="5" fillId="0" borderId="235" xfId="0" applyNumberFormat="1" applyFont="1" applyBorder="1" applyAlignment="1" applyProtection="1">
      <alignment horizontal="center"/>
      <protection hidden="1"/>
    </xf>
    <xf numFmtId="173" fontId="5" fillId="0" borderId="0" xfId="0" applyNumberFormat="1" applyFont="1" applyAlignment="1" applyProtection="1">
      <alignment horizontal="center"/>
      <protection hidden="1"/>
    </xf>
    <xf numFmtId="173" fontId="5" fillId="0" borderId="27" xfId="0" applyNumberFormat="1" applyFont="1" applyBorder="1" applyAlignment="1" applyProtection="1">
      <alignment horizontal="center"/>
      <protection hidden="1"/>
    </xf>
    <xf numFmtId="0" fontId="5" fillId="0" borderId="32" xfId="0" applyFont="1" applyBorder="1" applyAlignment="1" applyProtection="1">
      <alignment horizontal="center"/>
      <protection hidden="1"/>
    </xf>
    <xf numFmtId="2" fontId="5" fillId="17" borderId="0" xfId="0" applyNumberFormat="1" applyFont="1" applyFill="1" applyProtection="1">
      <protection hidden="1"/>
    </xf>
    <xf numFmtId="10" fontId="5" fillId="2" borderId="0" xfId="0" applyNumberFormat="1" applyFont="1" applyFill="1" applyProtection="1">
      <protection hidden="1"/>
    </xf>
    <xf numFmtId="10" fontId="66" fillId="7" borderId="0" xfId="0" applyNumberFormat="1" applyFont="1" applyFill="1" applyProtection="1">
      <protection hidden="1"/>
    </xf>
    <xf numFmtId="4" fontId="5" fillId="0" borderId="93" xfId="0" applyNumberFormat="1" applyFont="1" applyBorder="1" applyProtection="1">
      <protection hidden="1"/>
    </xf>
    <xf numFmtId="10" fontId="7" fillId="2" borderId="26" xfId="0" applyNumberFormat="1" applyFont="1" applyFill="1" applyBorder="1" applyAlignment="1" applyProtection="1">
      <alignment horizontal="center"/>
      <protection hidden="1"/>
    </xf>
    <xf numFmtId="0" fontId="5" fillId="11" borderId="27" xfId="0" applyFont="1" applyFill="1" applyBorder="1" applyProtection="1">
      <protection hidden="1"/>
    </xf>
    <xf numFmtId="0" fontId="5" fillId="13" borderId="2" xfId="0" applyFont="1" applyFill="1" applyBorder="1" applyProtection="1">
      <protection locked="0"/>
    </xf>
    <xf numFmtId="10" fontId="5" fillId="13" borderId="2" xfId="0" applyNumberFormat="1" applyFont="1" applyFill="1" applyBorder="1" applyAlignment="1" applyProtection="1">
      <alignment vertical="center"/>
      <protection hidden="1"/>
    </xf>
    <xf numFmtId="0" fontId="5" fillId="0" borderId="373" xfId="0" applyFont="1" applyBorder="1" applyAlignment="1" applyProtection="1">
      <alignment horizontal="center"/>
      <protection hidden="1"/>
    </xf>
    <xf numFmtId="4" fontId="5" fillId="0" borderId="32" xfId="0" applyNumberFormat="1" applyFont="1" applyBorder="1" applyProtection="1">
      <protection hidden="1"/>
    </xf>
    <xf numFmtId="4" fontId="5" fillId="11" borderId="32" xfId="0" applyNumberFormat="1" applyFont="1" applyFill="1" applyBorder="1" applyProtection="1">
      <protection hidden="1"/>
    </xf>
    <xf numFmtId="10" fontId="4" fillId="26" borderId="374" xfId="0" applyNumberFormat="1" applyFont="1" applyFill="1" applyBorder="1" applyAlignment="1" applyProtection="1">
      <alignment horizontal="center"/>
      <protection hidden="1"/>
    </xf>
    <xf numFmtId="10" fontId="5" fillId="26" borderId="309" xfId="0" applyNumberFormat="1" applyFont="1" applyFill="1" applyBorder="1" applyProtection="1">
      <protection hidden="1"/>
    </xf>
    <xf numFmtId="0" fontId="7" fillId="0" borderId="31" xfId="0" applyFont="1" applyBorder="1" applyAlignment="1" applyProtection="1">
      <alignment horizontal="center"/>
      <protection hidden="1"/>
    </xf>
    <xf numFmtId="0" fontId="5" fillId="13" borderId="31" xfId="0" applyFont="1" applyFill="1" applyBorder="1" applyAlignment="1" applyProtection="1">
      <alignment horizontal="right"/>
      <protection hidden="1"/>
    </xf>
    <xf numFmtId="10" fontId="7" fillId="11" borderId="26" xfId="0" applyNumberFormat="1" applyFont="1" applyFill="1" applyBorder="1" applyAlignment="1" applyProtection="1">
      <alignment horizontal="center"/>
      <protection hidden="1"/>
    </xf>
    <xf numFmtId="10" fontId="5" fillId="27" borderId="0" xfId="0" applyNumberFormat="1" applyFont="1" applyFill="1" applyProtection="1">
      <protection hidden="1"/>
    </xf>
    <xf numFmtId="0" fontId="5" fillId="0" borderId="94" xfId="0" applyFont="1" applyBorder="1" applyAlignment="1" applyProtection="1">
      <alignment horizontal="right"/>
      <protection hidden="1"/>
    </xf>
    <xf numFmtId="9" fontId="7" fillId="0" borderId="32" xfId="0" applyNumberFormat="1" applyFont="1" applyBorder="1" applyAlignment="1" applyProtection="1">
      <alignment horizontal="center"/>
      <protection hidden="1"/>
    </xf>
    <xf numFmtId="2" fontId="7" fillId="4" borderId="32" xfId="0" applyNumberFormat="1" applyFont="1" applyFill="1" applyBorder="1" applyProtection="1">
      <protection hidden="1"/>
    </xf>
    <xf numFmtId="0" fontId="5" fillId="0" borderId="0" xfId="0" applyFont="1" applyAlignment="1" applyProtection="1">
      <alignment horizontal="right"/>
      <protection hidden="1"/>
    </xf>
    <xf numFmtId="179" fontId="7" fillId="28" borderId="140" xfId="0" applyNumberFormat="1" applyFont="1" applyFill="1" applyBorder="1" applyAlignment="1" applyProtection="1">
      <alignment vertical="center"/>
      <protection hidden="1"/>
    </xf>
    <xf numFmtId="10" fontId="5" fillId="27" borderId="27" xfId="0" applyNumberFormat="1" applyFont="1" applyFill="1" applyBorder="1" applyAlignment="1" applyProtection="1">
      <alignment horizontal="center"/>
      <protection hidden="1"/>
    </xf>
    <xf numFmtId="173" fontId="5" fillId="0" borderId="65" xfId="0" applyNumberFormat="1" applyFont="1" applyBorder="1" applyAlignment="1" applyProtection="1">
      <alignment horizontal="center"/>
      <protection hidden="1"/>
    </xf>
    <xf numFmtId="179" fontId="7" fillId="28" borderId="92" xfId="0" applyNumberFormat="1" applyFont="1" applyFill="1" applyBorder="1" applyAlignment="1" applyProtection="1">
      <alignment vertical="center"/>
      <protection hidden="1"/>
    </xf>
    <xf numFmtId="2" fontId="5" fillId="12" borderId="65" xfId="0" applyNumberFormat="1" applyFont="1" applyFill="1" applyBorder="1" applyProtection="1">
      <protection hidden="1"/>
    </xf>
    <xf numFmtId="10" fontId="7" fillId="11" borderId="38" xfId="0" applyNumberFormat="1" applyFont="1" applyFill="1" applyBorder="1" applyAlignment="1" applyProtection="1">
      <alignment horizontal="center"/>
      <protection hidden="1"/>
    </xf>
    <xf numFmtId="10" fontId="5" fillId="27" borderId="65" xfId="0" applyNumberFormat="1" applyFont="1" applyFill="1" applyBorder="1" applyProtection="1">
      <protection hidden="1"/>
    </xf>
    <xf numFmtId="10" fontId="5" fillId="2" borderId="43" xfId="0" applyNumberFormat="1" applyFont="1" applyFill="1" applyBorder="1" applyProtection="1">
      <protection hidden="1"/>
    </xf>
    <xf numFmtId="2" fontId="5" fillId="12" borderId="0" xfId="0" applyNumberFormat="1" applyFont="1" applyFill="1" applyProtection="1">
      <protection hidden="1"/>
    </xf>
    <xf numFmtId="4" fontId="5" fillId="13" borderId="2" xfId="0" applyNumberFormat="1" applyFont="1" applyFill="1" applyBorder="1" applyProtection="1">
      <protection hidden="1"/>
    </xf>
    <xf numFmtId="10" fontId="137" fillId="31" borderId="26" xfId="0" applyNumberFormat="1" applyFont="1" applyFill="1" applyBorder="1" applyAlignment="1" applyProtection="1">
      <alignment horizontal="center"/>
      <protection hidden="1"/>
    </xf>
    <xf numFmtId="0" fontId="23" fillId="0" borderId="0" xfId="0" applyFont="1" applyAlignment="1" applyProtection="1">
      <alignment vertical="center"/>
      <protection hidden="1"/>
    </xf>
    <xf numFmtId="0" fontId="5" fillId="12" borderId="0" xfId="0" applyFont="1" applyFill="1" applyAlignment="1" applyProtection="1">
      <alignment horizontal="center"/>
      <protection hidden="1"/>
    </xf>
    <xf numFmtId="0" fontId="5" fillId="0" borderId="0" xfId="0" applyFont="1" applyAlignment="1" applyProtection="1">
      <alignment horizontal="right" vertical="center"/>
      <protection hidden="1"/>
    </xf>
    <xf numFmtId="10" fontId="108" fillId="13" borderId="2" xfId="0" applyNumberFormat="1" applyFont="1" applyFill="1" applyBorder="1" applyAlignment="1" applyProtection="1">
      <alignment vertical="center"/>
      <protection hidden="1"/>
    </xf>
    <xf numFmtId="10" fontId="42" fillId="21" borderId="2" xfId="0" applyNumberFormat="1" applyFont="1" applyFill="1" applyBorder="1" applyAlignment="1" applyProtection="1">
      <alignment vertical="center"/>
      <protection hidden="1"/>
    </xf>
    <xf numFmtId="10" fontId="105" fillId="11" borderId="2" xfId="0" applyNumberFormat="1" applyFont="1" applyFill="1" applyBorder="1" applyAlignment="1" applyProtection="1">
      <alignment horizontal="center" vertical="center"/>
      <protection hidden="1"/>
    </xf>
    <xf numFmtId="0" fontId="5" fillId="12" borderId="2" xfId="0" applyFont="1" applyFill="1" applyBorder="1" applyAlignment="1" applyProtection="1">
      <alignment horizontal="center" vertical="center"/>
      <protection hidden="1"/>
    </xf>
    <xf numFmtId="10" fontId="5" fillId="12" borderId="2" xfId="0" applyNumberFormat="1" applyFont="1" applyFill="1" applyBorder="1" applyAlignment="1" applyProtection="1">
      <alignment horizontal="center" vertical="center"/>
      <protection hidden="1"/>
    </xf>
    <xf numFmtId="0" fontId="5" fillId="0" borderId="373" xfId="0" applyFont="1" applyBorder="1" applyAlignment="1" applyProtection="1">
      <alignment horizontal="center"/>
      <protection locked="0"/>
    </xf>
    <xf numFmtId="0" fontId="5" fillId="0" borderId="32" xfId="0" applyFont="1" applyBorder="1" applyProtection="1">
      <protection locked="0"/>
    </xf>
    <xf numFmtId="10" fontId="2" fillId="13" borderId="2" xfId="0" applyNumberFormat="1" applyFont="1" applyFill="1" applyBorder="1" applyAlignment="1" applyProtection="1">
      <alignment vertical="center"/>
      <protection hidden="1"/>
    </xf>
    <xf numFmtId="10" fontId="49" fillId="21" borderId="2" xfId="0" applyNumberFormat="1" applyFont="1" applyFill="1" applyBorder="1" applyAlignment="1" applyProtection="1">
      <alignment vertical="center"/>
      <protection hidden="1"/>
    </xf>
    <xf numFmtId="10" fontId="5" fillId="12" borderId="2" xfId="0" applyNumberFormat="1" applyFont="1" applyFill="1" applyBorder="1" applyAlignment="1" applyProtection="1">
      <alignment horizontal="center"/>
      <protection hidden="1"/>
    </xf>
    <xf numFmtId="10" fontId="5" fillId="13" borderId="2" xfId="0" applyNumberFormat="1" applyFont="1" applyFill="1" applyBorder="1" applyProtection="1">
      <protection hidden="1"/>
    </xf>
    <xf numFmtId="10" fontId="42" fillId="21" borderId="2" xfId="0" applyNumberFormat="1" applyFont="1" applyFill="1" applyBorder="1" applyProtection="1">
      <protection hidden="1"/>
    </xf>
    <xf numFmtId="0" fontId="5" fillId="4" borderId="0" xfId="0" applyFont="1" applyFill="1" applyAlignment="1" applyProtection="1">
      <alignment vertical="center"/>
      <protection hidden="1"/>
    </xf>
    <xf numFmtId="0" fontId="7" fillId="4" borderId="0" xfId="0" applyFont="1" applyFill="1" applyAlignment="1" applyProtection="1">
      <alignment horizontal="center" vertical="center"/>
      <protection hidden="1"/>
    </xf>
    <xf numFmtId="10" fontId="2" fillId="13" borderId="0" xfId="0" applyNumberFormat="1" applyFont="1" applyFill="1" applyAlignment="1" applyProtection="1">
      <alignment vertical="center"/>
      <protection hidden="1"/>
    </xf>
    <xf numFmtId="10" fontId="49" fillId="21" borderId="0" xfId="0" applyNumberFormat="1" applyFont="1" applyFill="1" applyAlignment="1" applyProtection="1">
      <alignment vertical="center"/>
      <protection hidden="1"/>
    </xf>
    <xf numFmtId="0" fontId="5" fillId="12" borderId="2" xfId="0" applyFont="1" applyFill="1" applyBorder="1" applyProtection="1">
      <protection hidden="1"/>
    </xf>
    <xf numFmtId="0" fontId="5" fillId="0" borderId="106" xfId="0" applyFont="1" applyBorder="1" applyProtection="1">
      <protection hidden="1"/>
    </xf>
    <xf numFmtId="4" fontId="5" fillId="0" borderId="43" xfId="0" applyNumberFormat="1" applyFont="1" applyBorder="1" applyProtection="1">
      <protection hidden="1"/>
    </xf>
    <xf numFmtId="0" fontId="5" fillId="0" borderId="24" xfId="0" applyFont="1" applyBorder="1" applyAlignment="1" applyProtection="1">
      <alignment horizontal="right"/>
      <protection hidden="1"/>
    </xf>
    <xf numFmtId="0" fontId="5" fillId="0" borderId="139" xfId="0" applyFont="1" applyBorder="1" applyAlignment="1" applyProtection="1">
      <alignment horizontal="center" vertical="center" wrapText="1"/>
      <protection hidden="1"/>
    </xf>
    <xf numFmtId="0" fontId="5" fillId="0" borderId="140" xfId="0" applyFont="1" applyBorder="1" applyAlignment="1" applyProtection="1">
      <alignment horizontal="center" vertical="center" wrapText="1"/>
      <protection hidden="1"/>
    </xf>
    <xf numFmtId="0" fontId="5" fillId="0" borderId="141" xfId="0" applyFont="1" applyBorder="1" applyAlignment="1" applyProtection="1">
      <alignment horizontal="center" vertical="center"/>
      <protection hidden="1"/>
    </xf>
    <xf numFmtId="0" fontId="13" fillId="0" borderId="375" xfId="0" applyFont="1" applyBorder="1" applyAlignment="1" applyProtection="1">
      <alignment horizontal="center" vertical="center"/>
      <protection hidden="1"/>
    </xf>
    <xf numFmtId="0" fontId="5" fillId="0" borderId="26" xfId="0" applyFont="1" applyBorder="1" applyAlignment="1" applyProtection="1">
      <alignment horizontal="right"/>
      <protection hidden="1"/>
    </xf>
    <xf numFmtId="10" fontId="5" fillId="4" borderId="376" xfId="0" applyNumberFormat="1" applyFont="1" applyFill="1" applyBorder="1" applyAlignment="1" applyProtection="1">
      <alignment horizontal="center" vertical="center"/>
      <protection hidden="1"/>
    </xf>
    <xf numFmtId="10" fontId="5" fillId="4" borderId="377" xfId="0" applyNumberFormat="1" applyFont="1" applyFill="1" applyBorder="1" applyAlignment="1" applyProtection="1">
      <alignment horizontal="center" vertical="center"/>
      <protection hidden="1"/>
    </xf>
    <xf numFmtId="10" fontId="5" fillId="4" borderId="338" xfId="0" applyNumberFormat="1" applyFont="1" applyFill="1" applyBorder="1" applyAlignment="1" applyProtection="1">
      <alignment horizontal="center" vertical="center"/>
      <protection hidden="1"/>
    </xf>
    <xf numFmtId="0" fontId="5" fillId="0" borderId="132" xfId="0" applyFont="1" applyBorder="1" applyProtection="1">
      <protection hidden="1"/>
    </xf>
    <xf numFmtId="0" fontId="5" fillId="0" borderId="24" xfId="0" applyFont="1" applyBorder="1" applyAlignment="1" applyProtection="1">
      <alignment horizontal="center"/>
      <protection hidden="1"/>
    </xf>
    <xf numFmtId="0" fontId="5" fillId="0" borderId="26" xfId="0" applyFont="1" applyBorder="1" applyAlignment="1" applyProtection="1">
      <alignment horizontal="left" vertical="center"/>
      <protection hidden="1"/>
    </xf>
    <xf numFmtId="0" fontId="5" fillId="0" borderId="26" xfId="0" applyFont="1" applyBorder="1" applyAlignment="1" applyProtection="1">
      <alignment horizontal="right" vertical="center"/>
      <protection hidden="1"/>
    </xf>
    <xf numFmtId="4" fontId="5" fillId="0" borderId="0" xfId="0" applyNumberFormat="1" applyFont="1" applyAlignment="1" applyProtection="1">
      <alignment vertical="center"/>
      <protection hidden="1"/>
    </xf>
    <xf numFmtId="0" fontId="5" fillId="0" borderId="373" xfId="0" applyFont="1" applyBorder="1" applyProtection="1">
      <protection hidden="1"/>
    </xf>
    <xf numFmtId="0" fontId="111" fillId="0" borderId="32" xfId="0" applyFont="1" applyBorder="1" applyAlignment="1" applyProtection="1">
      <alignment horizontal="center" vertical="center"/>
      <protection hidden="1"/>
    </xf>
    <xf numFmtId="0" fontId="5" fillId="0" borderId="98" xfId="0" applyFont="1" applyBorder="1" applyProtection="1">
      <protection hidden="1"/>
    </xf>
    <xf numFmtId="0" fontId="5" fillId="0" borderId="64" xfId="0" applyFont="1" applyBorder="1" applyProtection="1">
      <protection hidden="1"/>
    </xf>
    <xf numFmtId="0" fontId="5" fillId="0" borderId="378" xfId="0" applyFont="1" applyBorder="1" applyProtection="1">
      <protection hidden="1"/>
    </xf>
    <xf numFmtId="0" fontId="5" fillId="0" borderId="56" xfId="0" applyFont="1" applyBorder="1" applyProtection="1">
      <protection hidden="1"/>
    </xf>
    <xf numFmtId="0" fontId="5" fillId="0" borderId="56" xfId="0" applyFont="1" applyBorder="1" applyAlignment="1" applyProtection="1">
      <alignment horizontal="center"/>
      <protection hidden="1"/>
    </xf>
    <xf numFmtId="0" fontId="5" fillId="0" borderId="379" xfId="0" applyFont="1" applyBorder="1" applyAlignment="1" applyProtection="1">
      <alignment horizontal="center"/>
      <protection hidden="1"/>
    </xf>
    <xf numFmtId="4" fontId="5" fillId="0" borderId="56" xfId="0" applyNumberFormat="1" applyFont="1" applyBorder="1" applyProtection="1">
      <protection hidden="1"/>
    </xf>
    <xf numFmtId="4" fontId="5" fillId="11" borderId="56" xfId="0" applyNumberFormat="1" applyFont="1" applyFill="1" applyBorder="1" applyProtection="1">
      <protection hidden="1"/>
    </xf>
    <xf numFmtId="4" fontId="5" fillId="0" borderId="380" xfId="0" applyNumberFormat="1" applyFont="1" applyBorder="1" applyProtection="1">
      <protection hidden="1"/>
    </xf>
    <xf numFmtId="0" fontId="5" fillId="0" borderId="70" xfId="0" applyFont="1" applyBorder="1" applyProtection="1">
      <protection hidden="1"/>
    </xf>
    <xf numFmtId="0" fontId="23" fillId="0" borderId="0" xfId="0" applyFont="1" applyAlignment="1" applyProtection="1">
      <alignment horizontal="center"/>
      <protection hidden="1"/>
    </xf>
    <xf numFmtId="0" fontId="5" fillId="0" borderId="52" xfId="0" applyFont="1" applyBorder="1" applyProtection="1">
      <protection hidden="1"/>
    </xf>
    <xf numFmtId="0" fontId="5" fillId="0" borderId="50" xfId="0" applyFont="1" applyBorder="1" applyProtection="1">
      <protection hidden="1"/>
    </xf>
    <xf numFmtId="0" fontId="5" fillId="0" borderId="50" xfId="0" applyFont="1" applyBorder="1" applyAlignment="1" applyProtection="1">
      <alignment horizontal="center"/>
      <protection hidden="1"/>
    </xf>
    <xf numFmtId="0" fontId="5" fillId="0" borderId="381" xfId="0" applyFont="1" applyBorder="1" applyAlignment="1" applyProtection="1">
      <alignment horizontal="center"/>
      <protection hidden="1"/>
    </xf>
    <xf numFmtId="4" fontId="5" fillId="0" borderId="50" xfId="0" applyNumberFormat="1" applyFont="1" applyBorder="1" applyProtection="1">
      <protection hidden="1"/>
    </xf>
    <xf numFmtId="4" fontId="5" fillId="11" borderId="50" xfId="0" applyNumberFormat="1" applyFont="1" applyFill="1" applyBorder="1" applyProtection="1">
      <protection hidden="1"/>
    </xf>
    <xf numFmtId="4" fontId="5" fillId="0" borderId="80" xfId="0" applyNumberFormat="1" applyFont="1" applyBorder="1" applyProtection="1">
      <protection hidden="1"/>
    </xf>
    <xf numFmtId="0" fontId="5" fillId="0" borderId="382" xfId="0" applyFont="1" applyBorder="1" applyProtection="1">
      <protection hidden="1"/>
    </xf>
    <xf numFmtId="0" fontId="5" fillId="0" borderId="383" xfId="0" applyFont="1" applyBorder="1" applyProtection="1">
      <protection hidden="1"/>
    </xf>
    <xf numFmtId="0" fontId="5" fillId="0" borderId="383" xfId="0" applyFont="1" applyBorder="1" applyAlignment="1" applyProtection="1">
      <alignment horizontal="center"/>
      <protection hidden="1"/>
    </xf>
    <xf numFmtId="0" fontId="5" fillId="0" borderId="384" xfId="0" applyFont="1" applyBorder="1" applyAlignment="1" applyProtection="1">
      <alignment horizontal="center"/>
      <protection hidden="1"/>
    </xf>
    <xf numFmtId="4" fontId="5" fillId="0" borderId="383" xfId="0" applyNumberFormat="1" applyFont="1" applyBorder="1" applyProtection="1">
      <protection hidden="1"/>
    </xf>
    <xf numFmtId="4" fontId="5" fillId="11" borderId="383" xfId="0" applyNumberFormat="1" applyFont="1" applyFill="1" applyBorder="1" applyProtection="1">
      <protection hidden="1"/>
    </xf>
    <xf numFmtId="4" fontId="5" fillId="0" borderId="385" xfId="0" applyNumberFormat="1" applyFont="1" applyBorder="1" applyProtection="1">
      <protection hidden="1"/>
    </xf>
    <xf numFmtId="0" fontId="5" fillId="0" borderId="386" xfId="0" applyFont="1" applyBorder="1" applyProtection="1">
      <protection hidden="1"/>
    </xf>
    <xf numFmtId="0" fontId="5" fillId="0" borderId="387" xfId="0" applyFont="1" applyBorder="1" applyProtection="1">
      <protection hidden="1"/>
    </xf>
    <xf numFmtId="0" fontId="5" fillId="0" borderId="387" xfId="0" applyFont="1" applyBorder="1" applyAlignment="1" applyProtection="1">
      <alignment horizontal="center"/>
      <protection hidden="1"/>
    </xf>
    <xf numFmtId="0" fontId="5" fillId="0" borderId="388" xfId="0" applyFont="1" applyBorder="1" applyAlignment="1" applyProtection="1">
      <alignment horizontal="center"/>
      <protection hidden="1"/>
    </xf>
    <xf numFmtId="4" fontId="5" fillId="0" borderId="387" xfId="0" applyNumberFormat="1" applyFont="1" applyBorder="1" applyProtection="1">
      <protection hidden="1"/>
    </xf>
    <xf numFmtId="4" fontId="5" fillId="11" borderId="387" xfId="0" applyNumberFormat="1" applyFont="1" applyFill="1" applyBorder="1" applyProtection="1">
      <protection hidden="1"/>
    </xf>
    <xf numFmtId="4" fontId="5" fillId="0" borderId="389" xfId="0" applyNumberFormat="1" applyFont="1" applyBorder="1" applyProtection="1">
      <protection hidden="1"/>
    </xf>
    <xf numFmtId="0" fontId="5" fillId="0" borderId="390" xfId="0" applyFont="1" applyBorder="1" applyProtection="1">
      <protection hidden="1"/>
    </xf>
    <xf numFmtId="0" fontId="5" fillId="0" borderId="391" xfId="0" applyFont="1" applyBorder="1" applyProtection="1">
      <protection hidden="1"/>
    </xf>
    <xf numFmtId="0" fontId="5" fillId="0" borderId="391" xfId="0" applyFont="1" applyBorder="1" applyAlignment="1" applyProtection="1">
      <alignment horizontal="center"/>
      <protection hidden="1"/>
    </xf>
    <xf numFmtId="0" fontId="5" fillId="0" borderId="392" xfId="0" applyFont="1" applyBorder="1" applyAlignment="1" applyProtection="1">
      <alignment horizontal="center"/>
      <protection hidden="1"/>
    </xf>
    <xf numFmtId="4" fontId="5" fillId="0" borderId="391" xfId="0" applyNumberFormat="1" applyFont="1" applyBorder="1" applyProtection="1">
      <protection hidden="1"/>
    </xf>
    <xf numFmtId="4" fontId="5" fillId="11" borderId="391" xfId="0" applyNumberFormat="1" applyFont="1" applyFill="1" applyBorder="1" applyProtection="1">
      <protection hidden="1"/>
    </xf>
    <xf numFmtId="4" fontId="5" fillId="0" borderId="393" xfId="0" applyNumberFormat="1" applyFont="1" applyBorder="1" applyProtection="1">
      <protection hidden="1"/>
    </xf>
    <xf numFmtId="0" fontId="5" fillId="0" borderId="209" xfId="0" applyFont="1" applyBorder="1" applyAlignment="1" applyProtection="1">
      <alignment horizontal="center"/>
      <protection hidden="1"/>
    </xf>
    <xf numFmtId="4" fontId="5" fillId="0" borderId="64" xfId="0" applyNumberFormat="1" applyFont="1" applyBorder="1" applyProtection="1">
      <protection hidden="1"/>
    </xf>
    <xf numFmtId="4" fontId="5" fillId="11" borderId="64" xfId="0" applyNumberFormat="1" applyFont="1" applyFill="1" applyBorder="1" applyProtection="1">
      <protection hidden="1"/>
    </xf>
    <xf numFmtId="0" fontId="5" fillId="0" borderId="394" xfId="0" applyFont="1" applyBorder="1" applyProtection="1">
      <protection hidden="1"/>
    </xf>
    <xf numFmtId="0" fontId="5" fillId="0" borderId="69" xfId="0" applyFont="1" applyBorder="1" applyProtection="1">
      <protection hidden="1"/>
    </xf>
    <xf numFmtId="0" fontId="5" fillId="0" borderId="395" xfId="0" applyFont="1" applyBorder="1" applyAlignment="1" applyProtection="1">
      <alignment horizontal="center"/>
      <protection hidden="1"/>
    </xf>
    <xf numFmtId="4" fontId="5" fillId="0" borderId="69" xfId="0" applyNumberFormat="1" applyFont="1" applyBorder="1" applyProtection="1">
      <protection hidden="1"/>
    </xf>
    <xf numFmtId="4" fontId="5" fillId="11" borderId="69" xfId="0" applyNumberFormat="1" applyFont="1" applyFill="1" applyBorder="1" applyProtection="1">
      <protection hidden="1"/>
    </xf>
    <xf numFmtId="4" fontId="5" fillId="0" borderId="396" xfId="0" applyNumberFormat="1" applyFont="1" applyBorder="1" applyProtection="1">
      <protection hidden="1"/>
    </xf>
    <xf numFmtId="4" fontId="5" fillId="0" borderId="24" xfId="0" applyNumberFormat="1" applyFont="1" applyBorder="1" applyProtection="1">
      <protection hidden="1"/>
    </xf>
    <xf numFmtId="4" fontId="5" fillId="0" borderId="26" xfId="0" applyNumberFormat="1" applyFont="1" applyBorder="1" applyProtection="1">
      <protection hidden="1"/>
    </xf>
    <xf numFmtId="0" fontId="5" fillId="0" borderId="397" xfId="0" applyFont="1" applyBorder="1" applyProtection="1">
      <protection hidden="1"/>
    </xf>
    <xf numFmtId="4" fontId="5" fillId="0" borderId="94" xfId="0" applyNumberFormat="1" applyFont="1" applyBorder="1" applyProtection="1">
      <protection hidden="1"/>
    </xf>
    <xf numFmtId="0" fontId="57" fillId="0" borderId="0" xfId="0" applyFont="1" applyProtection="1">
      <protection hidden="1"/>
    </xf>
    <xf numFmtId="3" fontId="5" fillId="0" borderId="398" xfId="0" applyNumberFormat="1" applyFont="1" applyBorder="1" applyAlignment="1" applyProtection="1">
      <alignment horizontal="center"/>
      <protection hidden="1"/>
    </xf>
    <xf numFmtId="0" fontId="5" fillId="0" borderId="399" xfId="0" applyFont="1" applyBorder="1" applyProtection="1">
      <protection hidden="1"/>
    </xf>
    <xf numFmtId="0" fontId="5" fillId="0" borderId="400" xfId="0" applyFont="1" applyBorder="1" applyProtection="1">
      <protection hidden="1"/>
    </xf>
    <xf numFmtId="0" fontId="5" fillId="0" borderId="400" xfId="0" applyFont="1" applyBorder="1" applyAlignment="1" applyProtection="1">
      <alignment horizontal="center"/>
      <protection hidden="1"/>
    </xf>
    <xf numFmtId="0" fontId="5" fillId="0" borderId="401" xfId="0" applyFont="1" applyBorder="1" applyAlignment="1" applyProtection="1">
      <alignment horizontal="center"/>
      <protection hidden="1"/>
    </xf>
    <xf numFmtId="4" fontId="5" fillId="0" borderId="400" xfId="0" applyNumberFormat="1" applyFont="1" applyBorder="1" applyProtection="1">
      <protection hidden="1"/>
    </xf>
    <xf numFmtId="4" fontId="5" fillId="11" borderId="400" xfId="0" applyNumberFormat="1" applyFont="1" applyFill="1" applyBorder="1" applyProtection="1">
      <protection hidden="1"/>
    </xf>
    <xf numFmtId="3" fontId="5" fillId="0" borderId="400" xfId="0" applyNumberFormat="1" applyFont="1" applyBorder="1" applyAlignment="1" applyProtection="1">
      <alignment horizontal="center"/>
      <protection hidden="1"/>
    </xf>
    <xf numFmtId="0" fontId="5" fillId="0" borderId="38" xfId="0" applyFont="1" applyBorder="1" applyProtection="1">
      <protection hidden="1"/>
    </xf>
    <xf numFmtId="0" fontId="5" fillId="0" borderId="65" xfId="0" applyFont="1" applyBorder="1" applyProtection="1">
      <protection hidden="1"/>
    </xf>
    <xf numFmtId="0" fontId="5" fillId="0" borderId="65" xfId="0" applyFont="1" applyBorder="1" applyAlignment="1" applyProtection="1">
      <alignment horizontal="center"/>
      <protection hidden="1"/>
    </xf>
    <xf numFmtId="0" fontId="5" fillId="0" borderId="402" xfId="0" applyFont="1" applyBorder="1" applyAlignment="1" applyProtection="1">
      <alignment horizontal="center"/>
      <protection hidden="1"/>
    </xf>
    <xf numFmtId="4" fontId="5" fillId="0" borderId="65" xfId="0" applyNumberFormat="1" applyFont="1" applyBorder="1" applyProtection="1">
      <protection hidden="1"/>
    </xf>
    <xf numFmtId="4" fontId="5" fillId="11" borderId="65" xfId="0" applyNumberFormat="1" applyFont="1" applyFill="1" applyBorder="1" applyProtection="1">
      <protection hidden="1"/>
    </xf>
    <xf numFmtId="3" fontId="5" fillId="0" borderId="65" xfId="0" applyNumberFormat="1" applyFont="1" applyBorder="1" applyAlignment="1" applyProtection="1">
      <alignment horizontal="center"/>
      <protection hidden="1"/>
    </xf>
    <xf numFmtId="3" fontId="5" fillId="0" borderId="106" xfId="0" applyNumberFormat="1" applyFont="1" applyBorder="1" applyAlignment="1" applyProtection="1">
      <alignment horizontal="center"/>
      <protection hidden="1"/>
    </xf>
    <xf numFmtId="3" fontId="5" fillId="0" borderId="132" xfId="0" applyNumberFormat="1" applyFont="1" applyBorder="1" applyAlignment="1" applyProtection="1">
      <alignment horizontal="center"/>
      <protection hidden="1"/>
    </xf>
    <xf numFmtId="3" fontId="5" fillId="0" borderId="401" xfId="0" applyNumberFormat="1" applyFont="1" applyBorder="1" applyAlignment="1" applyProtection="1">
      <alignment horizontal="center"/>
      <protection hidden="1"/>
    </xf>
    <xf numFmtId="4" fontId="57" fillId="0" borderId="0" xfId="0" applyNumberFormat="1" applyFont="1" applyProtection="1">
      <protection hidden="1"/>
    </xf>
    <xf numFmtId="0" fontId="98" fillId="0" borderId="0" xfId="0" applyFont="1" applyAlignment="1" applyProtection="1">
      <alignment horizontal="center"/>
      <protection hidden="1"/>
    </xf>
    <xf numFmtId="3" fontId="98" fillId="0" borderId="0" xfId="0" applyNumberFormat="1" applyFont="1" applyAlignment="1" applyProtection="1">
      <alignment horizontal="center"/>
      <protection hidden="1"/>
    </xf>
    <xf numFmtId="16" fontId="5" fillId="0" borderId="106" xfId="0" applyNumberFormat="1" applyFont="1" applyBorder="1" applyAlignment="1" applyProtection="1">
      <alignment horizontal="center"/>
      <protection hidden="1"/>
    </xf>
    <xf numFmtId="9" fontId="5" fillId="4" borderId="0" xfId="0" applyNumberFormat="1" applyFont="1" applyFill="1" applyProtection="1">
      <protection hidden="1"/>
    </xf>
    <xf numFmtId="9" fontId="5" fillId="0" borderId="32" xfId="0" applyNumberFormat="1" applyFont="1" applyBorder="1" applyProtection="1">
      <protection hidden="1"/>
    </xf>
    <xf numFmtId="0" fontId="5" fillId="0" borderId="373" xfId="0" quotePrefix="1" applyFont="1" applyBorder="1" applyAlignment="1" applyProtection="1">
      <alignment horizontal="center"/>
      <protection hidden="1"/>
    </xf>
    <xf numFmtId="0" fontId="145" fillId="0" borderId="0" xfId="0" applyFont="1" applyAlignment="1" applyProtection="1">
      <alignment horizontal="right" vertical="center"/>
      <protection hidden="1"/>
    </xf>
    <xf numFmtId="0" fontId="145" fillId="0" borderId="0" xfId="0" applyFont="1" applyAlignment="1" applyProtection="1">
      <alignment horizontal="center" vertical="center"/>
      <protection locked="0" hidden="1"/>
    </xf>
    <xf numFmtId="0" fontId="146" fillId="0" borderId="0" xfId="0" applyFont="1" applyAlignment="1">
      <alignment horizontal="center"/>
    </xf>
    <xf numFmtId="3" fontId="5" fillId="0" borderId="152" xfId="0" applyNumberFormat="1" applyFont="1" applyBorder="1"/>
    <xf numFmtId="3" fontId="5" fillId="0" borderId="144" xfId="0" applyNumberFormat="1" applyFont="1" applyBorder="1"/>
    <xf numFmtId="3" fontId="5" fillId="0" borderId="150" xfId="0" applyNumberFormat="1" applyFont="1" applyBorder="1"/>
    <xf numFmtId="0" fontId="134" fillId="5" borderId="33" xfId="0" applyFont="1" applyFill="1" applyBorder="1" applyAlignment="1" applyProtection="1">
      <alignment horizontal="center" vertical="center"/>
      <protection hidden="1"/>
    </xf>
    <xf numFmtId="0" fontId="5" fillId="4" borderId="2" xfId="0" applyFont="1" applyFill="1" applyBorder="1" applyProtection="1">
      <protection locked="0"/>
    </xf>
    <xf numFmtId="0" fontId="7" fillId="33" borderId="2" xfId="0" applyFont="1" applyFill="1" applyBorder="1" applyAlignment="1" applyProtection="1">
      <alignment horizontal="center" vertical="center"/>
      <protection hidden="1"/>
    </xf>
    <xf numFmtId="3" fontId="7" fillId="33" borderId="2" xfId="0" applyNumberFormat="1" applyFont="1" applyFill="1" applyBorder="1" applyAlignment="1" applyProtection="1">
      <alignment horizontal="left" vertical="center" wrapText="1"/>
      <protection hidden="1"/>
    </xf>
    <xf numFmtId="0" fontId="33" fillId="33" borderId="2" xfId="223" applyFont="1" applyFill="1" applyBorder="1" applyAlignment="1" applyProtection="1">
      <alignment horizontal="center" vertical="center" wrapText="1"/>
      <protection locked="0"/>
    </xf>
    <xf numFmtId="0" fontId="7" fillId="33" borderId="2" xfId="0" applyFont="1" applyFill="1" applyBorder="1" applyAlignment="1" applyProtection="1">
      <alignment vertical="center"/>
      <protection hidden="1"/>
    </xf>
    <xf numFmtId="0" fontId="116" fillId="33" borderId="2" xfId="218" applyFont="1" applyFill="1" applyBorder="1" applyAlignment="1" applyProtection="1">
      <alignment vertical="center" wrapText="1"/>
      <protection hidden="1"/>
    </xf>
    <xf numFmtId="0" fontId="13" fillId="33" borderId="2" xfId="0" applyFont="1" applyFill="1" applyBorder="1" applyAlignment="1" applyProtection="1">
      <alignment vertical="center"/>
      <protection hidden="1"/>
    </xf>
    <xf numFmtId="184" fontId="7" fillId="33" borderId="2" xfId="0" applyNumberFormat="1" applyFont="1" applyFill="1" applyBorder="1" applyAlignment="1" applyProtection="1">
      <alignment vertical="center"/>
      <protection hidden="1"/>
    </xf>
    <xf numFmtId="0" fontId="127" fillId="33" borderId="2" xfId="0" applyFont="1" applyFill="1" applyBorder="1" applyAlignment="1" applyProtection="1">
      <alignment horizontal="left" vertical="center" wrapText="1"/>
      <protection hidden="1"/>
    </xf>
    <xf numFmtId="0" fontId="139" fillId="33" borderId="2" xfId="224" applyFont="1" applyFill="1" applyBorder="1" applyAlignment="1" applyProtection="1">
      <alignment horizontal="right" vertical="center" wrapText="1"/>
      <protection hidden="1"/>
    </xf>
    <xf numFmtId="0" fontId="116" fillId="33" borderId="2" xfId="224" applyFont="1" applyFill="1" applyBorder="1" applyAlignment="1" applyProtection="1">
      <alignment vertical="center" wrapText="1"/>
      <protection locked="0"/>
    </xf>
    <xf numFmtId="0" fontId="127" fillId="33" borderId="2" xfId="0" applyFont="1" applyFill="1" applyBorder="1" applyAlignment="1" applyProtection="1">
      <alignment horizontal="left" vertical="center" wrapText="1"/>
      <protection locked="0"/>
    </xf>
    <xf numFmtId="0" fontId="5" fillId="33" borderId="2" xfId="0" applyFont="1" applyFill="1" applyBorder="1" applyAlignment="1" applyProtection="1">
      <alignment horizontal="center" vertical="center"/>
      <protection hidden="1"/>
    </xf>
    <xf numFmtId="0" fontId="5" fillId="33" borderId="2" xfId="0" applyFont="1" applyFill="1" applyBorder="1" applyAlignment="1" applyProtection="1">
      <alignment vertical="center"/>
      <protection locked="0"/>
    </xf>
    <xf numFmtId="3" fontId="5" fillId="33" borderId="2" xfId="0" applyNumberFormat="1" applyFont="1" applyFill="1" applyBorder="1" applyAlignment="1" applyProtection="1">
      <alignment horizontal="left" vertical="center" wrapText="1"/>
      <protection locked="0"/>
    </xf>
    <xf numFmtId="0" fontId="116" fillId="33" borderId="2" xfId="224" applyFont="1" applyFill="1" applyBorder="1" applyAlignment="1" applyProtection="1">
      <alignment horizontal="right" vertical="center" wrapText="1"/>
      <protection hidden="1"/>
    </xf>
    <xf numFmtId="0" fontId="7" fillId="8" borderId="38" xfId="0" applyFont="1" applyFill="1" applyBorder="1" applyAlignment="1" applyProtection="1">
      <alignment horizontal="right" vertical="center"/>
      <protection locked="0"/>
    </xf>
    <xf numFmtId="171" fontId="7" fillId="8" borderId="234" xfId="0" applyNumberFormat="1" applyFont="1" applyFill="1" applyBorder="1" applyAlignment="1" applyProtection="1">
      <alignment horizontal="center" vertical="center"/>
      <protection locked="0"/>
    </xf>
    <xf numFmtId="4" fontId="147" fillId="0" borderId="0" xfId="0" applyNumberFormat="1" applyFont="1" applyAlignment="1" applyProtection="1">
      <alignment horizontal="right" vertical="center" wrapText="1"/>
      <protection hidden="1"/>
    </xf>
    <xf numFmtId="0" fontId="137" fillId="31" borderId="103" xfId="0" applyFont="1" applyFill="1" applyBorder="1" applyProtection="1">
      <protection hidden="1"/>
    </xf>
    <xf numFmtId="4" fontId="120" fillId="14" borderId="48" xfId="0" applyNumberFormat="1" applyFont="1" applyFill="1" applyBorder="1" applyProtection="1">
      <protection locked="0"/>
    </xf>
    <xf numFmtId="4" fontId="20" fillId="13" borderId="48" xfId="0" applyNumberFormat="1" applyFont="1" applyFill="1" applyBorder="1" applyAlignment="1" applyProtection="1">
      <alignment horizontal="right"/>
      <protection locked="0"/>
    </xf>
    <xf numFmtId="4" fontId="24" fillId="7" borderId="48" xfId="0" applyNumberFormat="1" applyFont="1" applyFill="1" applyBorder="1" applyProtection="1">
      <protection locked="0"/>
    </xf>
    <xf numFmtId="4" fontId="2" fillId="0" borderId="46" xfId="0" applyNumberFormat="1" applyFont="1" applyBorder="1" applyAlignment="1" applyProtection="1">
      <alignment horizontal="center" wrapText="1"/>
      <protection hidden="1"/>
    </xf>
    <xf numFmtId="4" fontId="7" fillId="6" borderId="3" xfId="0" applyNumberFormat="1" applyFont="1" applyFill="1" applyBorder="1" applyAlignment="1" applyProtection="1">
      <alignment horizontal="center" vertical="center" wrapText="1"/>
      <protection hidden="1"/>
    </xf>
    <xf numFmtId="4" fontId="7" fillId="0" borderId="169" xfId="0" applyNumberFormat="1" applyFont="1" applyBorder="1" applyAlignment="1" applyProtection="1">
      <alignment horizontal="center"/>
      <protection locked="0"/>
    </xf>
    <xf numFmtId="4" fontId="5" fillId="13" borderId="71" xfId="0" applyNumberFormat="1" applyFont="1" applyFill="1" applyBorder="1" applyAlignment="1" applyProtection="1">
      <alignment horizontal="right"/>
      <protection locked="0"/>
    </xf>
    <xf numFmtId="0" fontId="6" fillId="0" borderId="0" xfId="60"/>
    <xf numFmtId="0" fontId="13" fillId="0" borderId="0" xfId="60" applyFont="1" applyAlignment="1">
      <alignment horizontal="center"/>
    </xf>
    <xf numFmtId="4" fontId="6" fillId="0" borderId="0" xfId="60" applyNumberFormat="1"/>
    <xf numFmtId="0" fontId="16" fillId="0" borderId="0" xfId="0" applyFont="1" applyAlignment="1" applyProtection="1">
      <alignment horizontal="left" vertical="center"/>
      <protection hidden="1"/>
    </xf>
    <xf numFmtId="0" fontId="5" fillId="0" borderId="0" xfId="0" applyFont="1" applyAlignment="1" applyProtection="1">
      <alignment horizontal="left" vertical="center"/>
      <protection hidden="1"/>
    </xf>
    <xf numFmtId="0" fontId="20" fillId="0" borderId="0" xfId="0" applyFont="1" applyAlignment="1" applyProtection="1">
      <alignment horizontal="left" vertical="center"/>
      <protection hidden="1"/>
    </xf>
    <xf numFmtId="0" fontId="6" fillId="12" borderId="0" xfId="0" applyFont="1" applyFill="1" applyAlignment="1" applyProtection="1">
      <alignment horizontal="left" vertical="center" wrapText="1"/>
      <protection hidden="1"/>
    </xf>
    <xf numFmtId="0" fontId="1" fillId="0" borderId="0" xfId="0" applyFont="1" applyAlignment="1" applyProtection="1">
      <alignment horizontal="left" vertical="center"/>
      <protection hidden="1"/>
    </xf>
    <xf numFmtId="0" fontId="54" fillId="0" borderId="0" xfId="0" applyFont="1" applyAlignment="1" applyProtection="1">
      <alignment horizontal="left" vertical="center"/>
      <protection hidden="1"/>
    </xf>
    <xf numFmtId="0" fontId="6" fillId="0" borderId="97" xfId="0" applyFont="1" applyBorder="1" applyAlignment="1" applyProtection="1">
      <alignment horizontal="center" vertical="center" wrapText="1"/>
      <protection hidden="1"/>
    </xf>
    <xf numFmtId="0" fontId="27" fillId="0" borderId="344" xfId="0" applyFont="1" applyBorder="1" applyAlignment="1" applyProtection="1">
      <alignment horizontal="center" vertical="center" textRotation="90" wrapText="1"/>
      <protection hidden="1"/>
    </xf>
    <xf numFmtId="0" fontId="7" fillId="0" borderId="0" xfId="0" applyFont="1" applyAlignment="1" applyProtection="1">
      <alignment horizontal="left" vertical="top" wrapText="1"/>
      <protection hidden="1"/>
    </xf>
    <xf numFmtId="1" fontId="5" fillId="4" borderId="71" xfId="0" applyNumberFormat="1" applyFont="1" applyFill="1" applyBorder="1" applyAlignment="1" applyProtection="1">
      <alignment horizontal="center" vertical="center"/>
      <protection locked="0"/>
    </xf>
    <xf numFmtId="4" fontId="5" fillId="0" borderId="60" xfId="0" applyNumberFormat="1" applyFont="1" applyBorder="1" applyAlignment="1" applyProtection="1">
      <alignment vertical="center"/>
      <protection locked="0"/>
    </xf>
    <xf numFmtId="0" fontId="15" fillId="11" borderId="50" xfId="0" applyFont="1" applyFill="1" applyBorder="1" applyProtection="1">
      <protection locked="0"/>
    </xf>
    <xf numFmtId="0" fontId="15" fillId="0" borderId="60" xfId="0" applyFont="1" applyBorder="1" applyProtection="1">
      <protection locked="0"/>
    </xf>
    <xf numFmtId="4" fontId="5" fillId="11" borderId="81" xfId="0" applyNumberFormat="1" applyFont="1" applyFill="1" applyBorder="1" applyAlignment="1" applyProtection="1">
      <alignment horizontal="right" vertical="center"/>
      <protection locked="0"/>
    </xf>
    <xf numFmtId="4" fontId="5" fillId="0" borderId="50" xfId="0" applyNumberFormat="1" applyFont="1" applyBorder="1" applyAlignment="1" applyProtection="1">
      <alignment horizontal="right" vertical="center"/>
      <protection locked="0"/>
    </xf>
    <xf numFmtId="49" fontId="7" fillId="6" borderId="46" xfId="0" applyNumberFormat="1" applyFont="1" applyFill="1" applyBorder="1" applyAlignment="1" applyProtection="1">
      <alignment horizontal="right" vertical="center" wrapText="1"/>
      <protection hidden="1"/>
    </xf>
    <xf numFmtId="0" fontId="29" fillId="34" borderId="0" xfId="0" applyFont="1" applyFill="1" applyAlignment="1" applyProtection="1">
      <alignment horizontal="left"/>
      <protection hidden="1"/>
    </xf>
    <xf numFmtId="0" fontId="15" fillId="34" borderId="0" xfId="0" applyFont="1" applyFill="1" applyAlignment="1" applyProtection="1">
      <alignment horizontal="left"/>
      <protection hidden="1"/>
    </xf>
    <xf numFmtId="0" fontId="16" fillId="34" borderId="0" xfId="0" applyFont="1" applyFill="1" applyProtection="1">
      <protection hidden="1"/>
    </xf>
    <xf numFmtId="0" fontId="21" fillId="34" borderId="0" xfId="0" applyFont="1" applyFill="1" applyAlignment="1" applyProtection="1">
      <alignment horizontal="center" vertical="center"/>
      <protection hidden="1"/>
    </xf>
    <xf numFmtId="0" fontId="5" fillId="34" borderId="0" xfId="0" applyFont="1" applyFill="1" applyAlignment="1" applyProtection="1">
      <alignment horizontal="center" vertical="center"/>
      <protection hidden="1"/>
    </xf>
    <xf numFmtId="0" fontId="20" fillId="34" borderId="0" xfId="0" applyFont="1" applyFill="1" applyAlignment="1" applyProtection="1">
      <alignment horizontal="center" vertical="center"/>
      <protection hidden="1"/>
    </xf>
    <xf numFmtId="0" fontId="7" fillId="0" borderId="31" xfId="0" applyFont="1" applyBorder="1" applyAlignment="1" applyProtection="1">
      <alignment vertical="top" wrapText="1"/>
      <protection hidden="1"/>
    </xf>
    <xf numFmtId="0" fontId="7" fillId="0" borderId="0" xfId="0" applyFont="1" applyAlignment="1" applyProtection="1">
      <alignment vertical="top" wrapText="1"/>
      <protection hidden="1"/>
    </xf>
    <xf numFmtId="0" fontId="7" fillId="0" borderId="31" xfId="0" applyFont="1" applyBorder="1" applyAlignment="1" applyProtection="1">
      <alignment vertical="top"/>
      <protection hidden="1"/>
    </xf>
    <xf numFmtId="0" fontId="7" fillId="0" borderId="0" xfId="0" applyFont="1" applyAlignment="1" applyProtection="1">
      <alignment vertical="top"/>
      <protection hidden="1"/>
    </xf>
    <xf numFmtId="0" fontId="6" fillId="0" borderId="403" xfId="0" applyFont="1" applyBorder="1" applyAlignment="1" applyProtection="1">
      <alignment horizontal="right" vertical="center"/>
      <protection hidden="1"/>
    </xf>
    <xf numFmtId="0" fontId="77" fillId="0" borderId="404" xfId="0" applyFont="1" applyBorder="1" applyAlignment="1" applyProtection="1">
      <alignment horizontal="right" vertical="center"/>
      <protection hidden="1"/>
    </xf>
    <xf numFmtId="0" fontId="77" fillId="0" borderId="404" xfId="0" applyFont="1" applyBorder="1" applyAlignment="1" applyProtection="1">
      <alignment horizontal="center"/>
      <protection hidden="1"/>
    </xf>
    <xf numFmtId="0" fontId="78" fillId="0" borderId="404" xfId="0" applyFont="1" applyBorder="1" applyAlignment="1" applyProtection="1">
      <alignment horizontal="right" vertical="center"/>
      <protection hidden="1"/>
    </xf>
    <xf numFmtId="4" fontId="78" fillId="0" borderId="405" xfId="0" applyNumberFormat="1" applyFont="1" applyBorder="1" applyProtection="1">
      <protection hidden="1"/>
    </xf>
    <xf numFmtId="0" fontId="6" fillId="0" borderId="406" xfId="0" applyFont="1" applyBorder="1" applyAlignment="1" applyProtection="1">
      <alignment horizontal="right" vertical="center"/>
      <protection hidden="1"/>
    </xf>
    <xf numFmtId="0" fontId="77" fillId="0" borderId="407" xfId="0" applyFont="1" applyBorder="1" applyAlignment="1" applyProtection="1">
      <alignment horizontal="right" vertical="center"/>
      <protection hidden="1"/>
    </xf>
    <xf numFmtId="4" fontId="77" fillId="0" borderId="407" xfId="0" applyNumberFormat="1" applyFont="1" applyBorder="1" applyAlignment="1" applyProtection="1">
      <alignment vertical="center"/>
      <protection hidden="1"/>
    </xf>
    <xf numFmtId="4" fontId="77" fillId="0" borderId="408" xfId="0" applyNumberFormat="1" applyFont="1" applyBorder="1" applyAlignment="1" applyProtection="1">
      <alignment vertical="center"/>
      <protection hidden="1"/>
    </xf>
    <xf numFmtId="0" fontId="21" fillId="34" borderId="0" xfId="0" applyFont="1" applyFill="1" applyAlignment="1" applyProtection="1">
      <alignment horizontal="left" vertical="center"/>
      <protection hidden="1"/>
    </xf>
    <xf numFmtId="0" fontId="5" fillId="34" borderId="0" xfId="0" applyFont="1" applyFill="1" applyAlignment="1" applyProtection="1">
      <alignment horizontal="left" vertical="center"/>
      <protection hidden="1"/>
    </xf>
    <xf numFmtId="0" fontId="74" fillId="15" borderId="115" xfId="0" applyFont="1" applyFill="1" applyBorder="1" applyAlignment="1" applyProtection="1">
      <alignment horizontal="left"/>
      <protection hidden="1"/>
    </xf>
    <xf numFmtId="4" fontId="6" fillId="15" borderId="7" xfId="0" applyNumberFormat="1" applyFont="1" applyFill="1" applyBorder="1" applyAlignment="1" applyProtection="1">
      <alignment horizontal="right"/>
      <protection hidden="1"/>
    </xf>
    <xf numFmtId="0" fontId="25" fillId="2" borderId="26" xfId="0" applyFont="1" applyFill="1" applyBorder="1" applyAlignment="1" applyProtection="1">
      <alignment horizontal="center"/>
      <protection hidden="1"/>
    </xf>
    <xf numFmtId="0" fontId="27" fillId="28" borderId="115" xfId="0" applyFont="1" applyFill="1" applyBorder="1" applyAlignment="1" applyProtection="1">
      <alignment horizontal="right" vertical="center"/>
      <protection hidden="1"/>
    </xf>
    <xf numFmtId="0" fontId="27" fillId="28" borderId="115" xfId="0" applyFont="1" applyFill="1" applyBorder="1" applyAlignment="1" applyProtection="1">
      <alignment horizontal="left" vertical="center"/>
      <protection hidden="1"/>
    </xf>
    <xf numFmtId="4" fontId="6" fillId="28" borderId="117" xfId="0" applyNumberFormat="1" applyFont="1" applyFill="1" applyBorder="1" applyAlignment="1" applyProtection="1">
      <alignment horizontal="right"/>
      <protection hidden="1"/>
    </xf>
    <xf numFmtId="4" fontId="13" fillId="28" borderId="79" xfId="0" applyNumberFormat="1" applyFont="1" applyFill="1" applyBorder="1" applyAlignment="1" applyProtection="1">
      <alignment horizontal="right"/>
      <protection hidden="1"/>
    </xf>
    <xf numFmtId="0" fontId="13" fillId="28" borderId="0" xfId="0" applyFont="1" applyFill="1" applyAlignment="1" applyProtection="1">
      <alignment horizontal="center"/>
      <protection hidden="1"/>
    </xf>
    <xf numFmtId="0" fontId="6" fillId="28" borderId="0" xfId="0" applyFont="1" applyFill="1" applyProtection="1">
      <protection hidden="1"/>
    </xf>
    <xf numFmtId="0" fontId="74" fillId="28" borderId="115" xfId="0" applyFont="1" applyFill="1" applyBorder="1" applyAlignment="1" applyProtection="1">
      <alignment horizontal="right"/>
      <protection hidden="1"/>
    </xf>
    <xf numFmtId="0" fontId="27" fillId="28" borderId="115" xfId="0" applyFont="1" applyFill="1" applyBorder="1" applyAlignment="1" applyProtection="1">
      <alignment horizontal="left"/>
      <protection hidden="1"/>
    </xf>
    <xf numFmtId="4" fontId="6" fillId="28" borderId="116" xfId="0" applyNumberFormat="1" applyFont="1" applyFill="1" applyBorder="1" applyAlignment="1" applyProtection="1">
      <alignment horizontal="right"/>
      <protection hidden="1"/>
    </xf>
    <xf numFmtId="0" fontId="13" fillId="28" borderId="0" xfId="0" applyFont="1" applyFill="1" applyAlignment="1" applyProtection="1">
      <alignment horizontal="center" vertical="center"/>
      <protection hidden="1"/>
    </xf>
    <xf numFmtId="0" fontId="6" fillId="28" borderId="0" xfId="0" applyFont="1" applyFill="1" applyAlignment="1" applyProtection="1">
      <alignment vertical="center"/>
      <protection hidden="1"/>
    </xf>
    <xf numFmtId="4" fontId="27" fillId="15" borderId="116" xfId="0" applyNumberFormat="1" applyFont="1" applyFill="1" applyBorder="1" applyAlignment="1" applyProtection="1">
      <alignment horizontal="center"/>
      <protection hidden="1"/>
    </xf>
    <xf numFmtId="4" fontId="6" fillId="15" borderId="29" xfId="0" applyNumberFormat="1" applyFont="1" applyFill="1" applyBorder="1" applyAlignment="1" applyProtection="1">
      <alignment horizontal="right"/>
      <protection hidden="1"/>
    </xf>
    <xf numFmtId="0" fontId="151" fillId="15" borderId="33" xfId="0" applyFont="1" applyFill="1" applyBorder="1" applyAlignment="1" applyProtection="1">
      <alignment horizontal="center" vertical="center" wrapText="1"/>
      <protection hidden="1"/>
    </xf>
    <xf numFmtId="0" fontId="140" fillId="15" borderId="96" xfId="0" applyFont="1" applyFill="1" applyBorder="1" applyAlignment="1" applyProtection="1">
      <alignment horizontal="center" vertical="center" wrapText="1"/>
      <protection hidden="1"/>
    </xf>
    <xf numFmtId="4" fontId="5" fillId="15" borderId="7" xfId="0" quotePrefix="1" applyNumberFormat="1" applyFont="1" applyFill="1" applyBorder="1" applyProtection="1">
      <protection hidden="1"/>
    </xf>
    <xf numFmtId="4" fontId="5" fillId="15" borderId="7" xfId="0" applyNumberFormat="1" applyFont="1" applyFill="1" applyBorder="1" applyProtection="1">
      <protection hidden="1"/>
    </xf>
    <xf numFmtId="4" fontId="13" fillId="15" borderId="19" xfId="0" applyNumberFormat="1" applyFont="1" applyFill="1" applyBorder="1" applyProtection="1">
      <protection hidden="1"/>
    </xf>
    <xf numFmtId="0" fontId="6" fillId="0" borderId="409" xfId="0" applyFont="1" applyBorder="1" applyAlignment="1" applyProtection="1">
      <alignment horizontal="center"/>
      <protection hidden="1"/>
    </xf>
    <xf numFmtId="4" fontId="5" fillId="0" borderId="410" xfId="0" applyNumberFormat="1" applyFont="1" applyBorder="1" applyProtection="1">
      <protection hidden="1"/>
    </xf>
    <xf numFmtId="0" fontId="16" fillId="0" borderId="0" xfId="0" applyFont="1"/>
    <xf numFmtId="4" fontId="16" fillId="0" borderId="47" xfId="0" applyNumberFormat="1" applyFont="1" applyBorder="1"/>
    <xf numFmtId="0" fontId="5" fillId="0" borderId="101" xfId="0" applyFont="1" applyBorder="1" applyAlignment="1" applyProtection="1">
      <alignment horizontal="center" vertical="center" wrapText="1"/>
      <protection hidden="1"/>
    </xf>
    <xf numFmtId="0" fontId="6" fillId="24" borderId="411" xfId="0" applyFont="1" applyFill="1" applyBorder="1" applyAlignment="1" applyProtection="1">
      <alignment vertical="center"/>
      <protection hidden="1"/>
    </xf>
    <xf numFmtId="4" fontId="13" fillId="4" borderId="59" xfId="0" applyNumberFormat="1" applyFont="1" applyFill="1" applyBorder="1" applyAlignment="1" applyProtection="1">
      <alignment vertical="center"/>
      <protection hidden="1"/>
    </xf>
    <xf numFmtId="0" fontId="13" fillId="4" borderId="266" xfId="0" applyFont="1" applyFill="1" applyBorder="1" applyAlignment="1" applyProtection="1">
      <alignment horizontal="center"/>
      <protection hidden="1"/>
    </xf>
    <xf numFmtId="0" fontId="13" fillId="0" borderId="412" xfId="0" applyFont="1" applyBorder="1" applyAlignment="1" applyProtection="1">
      <alignment horizontal="center" vertical="center" wrapText="1"/>
      <protection hidden="1"/>
    </xf>
    <xf numFmtId="0" fontId="13" fillId="0" borderId="352" xfId="0" applyFont="1" applyBorder="1" applyAlignment="1" applyProtection="1">
      <alignment horizontal="center" vertical="center" wrapText="1"/>
      <protection hidden="1"/>
    </xf>
    <xf numFmtId="0" fontId="90" fillId="0" borderId="0" xfId="0" applyFont="1" applyAlignment="1" applyProtection="1">
      <alignment horizontal="center" vertical="center" wrapText="1"/>
      <protection hidden="1"/>
    </xf>
    <xf numFmtId="4" fontId="13" fillId="0" borderId="0" xfId="0" applyNumberFormat="1" applyFont="1" applyAlignment="1" applyProtection="1">
      <alignment horizontal="center" wrapText="1"/>
      <protection hidden="1"/>
    </xf>
    <xf numFmtId="0" fontId="6" fillId="0" borderId="413" xfId="0" applyFont="1" applyBorder="1" applyAlignment="1" applyProtection="1">
      <alignment horizontal="center" vertical="center"/>
      <protection hidden="1"/>
    </xf>
    <xf numFmtId="0" fontId="13" fillId="0" borderId="414" xfId="0" applyFont="1" applyBorder="1" applyAlignment="1" applyProtection="1">
      <alignment horizontal="center" vertical="center" wrapText="1"/>
      <protection hidden="1"/>
    </xf>
    <xf numFmtId="4" fontId="6" fillId="12" borderId="96" xfId="0" applyNumberFormat="1" applyFont="1" applyFill="1" applyBorder="1" applyAlignment="1" applyProtection="1">
      <alignment horizontal="center" vertical="center" wrapText="1"/>
      <protection hidden="1"/>
    </xf>
    <xf numFmtId="0" fontId="6" fillId="18" borderId="413" xfId="0" applyFont="1" applyFill="1" applyBorder="1" applyAlignment="1" applyProtection="1">
      <alignment vertical="center"/>
      <protection hidden="1"/>
    </xf>
    <xf numFmtId="4" fontId="32" fillId="18" borderId="415" xfId="0" applyNumberFormat="1" applyFont="1" applyFill="1" applyBorder="1" applyAlignment="1" applyProtection="1">
      <alignment vertical="center"/>
      <protection hidden="1"/>
    </xf>
    <xf numFmtId="4" fontId="14" fillId="11" borderId="410" xfId="0" applyNumberFormat="1" applyFont="1" applyFill="1" applyBorder="1" applyAlignment="1" applyProtection="1">
      <alignment horizontal="center"/>
      <protection hidden="1"/>
    </xf>
    <xf numFmtId="4" fontId="91" fillId="12" borderId="410" xfId="0" applyNumberFormat="1" applyFont="1" applyFill="1" applyBorder="1" applyAlignment="1" applyProtection="1">
      <alignment horizontal="center" vertical="center"/>
      <protection hidden="1"/>
    </xf>
    <xf numFmtId="4" fontId="91" fillId="12" borderId="2" xfId="0" applyNumberFormat="1" applyFont="1" applyFill="1" applyBorder="1" applyAlignment="1" applyProtection="1">
      <alignment horizontal="center" vertical="center"/>
      <protection hidden="1"/>
    </xf>
    <xf numFmtId="4" fontId="91" fillId="12" borderId="116" xfId="0" applyNumberFormat="1" applyFont="1" applyFill="1" applyBorder="1" applyAlignment="1" applyProtection="1">
      <alignment horizontal="center" vertical="center"/>
      <protection hidden="1"/>
    </xf>
    <xf numFmtId="4" fontId="90" fillId="12" borderId="0" xfId="0" applyNumberFormat="1" applyFont="1" applyFill="1" applyAlignment="1" applyProtection="1">
      <alignment horizontal="center" vertical="center"/>
      <protection hidden="1"/>
    </xf>
    <xf numFmtId="4" fontId="16" fillId="0" borderId="0" xfId="0" applyNumberFormat="1" applyFont="1"/>
    <xf numFmtId="4" fontId="5" fillId="0" borderId="410" xfId="0" quotePrefix="1" applyNumberFormat="1" applyFont="1" applyBorder="1" applyProtection="1">
      <protection hidden="1"/>
    </xf>
    <xf numFmtId="4" fontId="36" fillId="0" borderId="0" xfId="0" quotePrefix="1" applyNumberFormat="1" applyFont="1" applyAlignment="1" applyProtection="1">
      <alignment vertical="center"/>
      <protection hidden="1"/>
    </xf>
    <xf numFmtId="4" fontId="13" fillId="11" borderId="410" xfId="0" applyNumberFormat="1" applyFont="1" applyFill="1" applyBorder="1" applyProtection="1">
      <protection hidden="1"/>
    </xf>
    <xf numFmtId="4" fontId="91" fillId="13" borderId="410" xfId="0" applyNumberFormat="1" applyFont="1" applyFill="1" applyBorder="1" applyAlignment="1" applyProtection="1">
      <alignment horizontal="right" vertical="center"/>
      <protection hidden="1"/>
    </xf>
    <xf numFmtId="4" fontId="91" fillId="13" borderId="2" xfId="0" applyNumberFormat="1" applyFont="1" applyFill="1" applyBorder="1" applyAlignment="1" applyProtection="1">
      <alignment horizontal="right" vertical="center"/>
      <protection hidden="1"/>
    </xf>
    <xf numFmtId="4" fontId="91" fillId="13" borderId="116" xfId="0" applyNumberFormat="1" applyFont="1" applyFill="1" applyBorder="1" applyAlignment="1" applyProtection="1">
      <alignment horizontal="right" vertical="center"/>
      <protection hidden="1"/>
    </xf>
    <xf numFmtId="4" fontId="90" fillId="13" borderId="0" xfId="0" applyNumberFormat="1" applyFont="1" applyFill="1" applyAlignment="1" applyProtection="1">
      <alignment horizontal="right" vertical="center"/>
      <protection hidden="1"/>
    </xf>
    <xf numFmtId="0" fontId="36" fillId="0" borderId="0" xfId="0" applyFont="1"/>
    <xf numFmtId="4" fontId="36" fillId="0" borderId="47" xfId="0" applyNumberFormat="1" applyFont="1" applyBorder="1"/>
    <xf numFmtId="4" fontId="91" fillId="20" borderId="410" xfId="0" applyNumberFormat="1" applyFont="1" applyFill="1" applyBorder="1" applyAlignment="1" applyProtection="1">
      <alignment horizontal="right"/>
      <protection hidden="1"/>
    </xf>
    <xf numFmtId="4" fontId="90" fillId="20" borderId="0" xfId="0" applyNumberFormat="1" applyFont="1" applyFill="1" applyAlignment="1" applyProtection="1">
      <alignment horizontal="right"/>
      <protection hidden="1"/>
    </xf>
    <xf numFmtId="0" fontId="31" fillId="0" borderId="416" xfId="0" applyFont="1" applyBorder="1" applyAlignment="1" applyProtection="1">
      <alignment horizontal="center" vertical="center" wrapText="1"/>
      <protection hidden="1"/>
    </xf>
    <xf numFmtId="0" fontId="31" fillId="11" borderId="8" xfId="0" applyFont="1" applyFill="1" applyBorder="1" applyAlignment="1" applyProtection="1">
      <alignment horizontal="center" vertical="center" wrapText="1"/>
      <protection hidden="1"/>
    </xf>
    <xf numFmtId="4" fontId="5" fillId="0" borderId="417" xfId="0" applyNumberFormat="1" applyFont="1" applyBorder="1" applyProtection="1">
      <protection hidden="1"/>
    </xf>
    <xf numFmtId="4" fontId="5" fillId="0" borderId="151" xfId="0" applyNumberFormat="1" applyFont="1" applyBorder="1" applyProtection="1">
      <protection hidden="1"/>
    </xf>
    <xf numFmtId="4" fontId="5" fillId="11" borderId="151" xfId="0" applyNumberFormat="1" applyFont="1" applyFill="1" applyBorder="1" applyProtection="1">
      <protection hidden="1"/>
    </xf>
    <xf numFmtId="0" fontId="6" fillId="0" borderId="413" xfId="0" applyFont="1" applyBorder="1" applyProtection="1">
      <protection hidden="1"/>
    </xf>
    <xf numFmtId="0" fontId="13" fillId="0" borderId="71" xfId="0" applyFont="1" applyBorder="1" applyAlignment="1" applyProtection="1">
      <alignment horizontal="right"/>
      <protection hidden="1"/>
    </xf>
    <xf numFmtId="4" fontId="13" fillId="0" borderId="71" xfId="0" applyNumberFormat="1" applyFont="1" applyBorder="1" applyProtection="1">
      <protection hidden="1"/>
    </xf>
    <xf numFmtId="4" fontId="13" fillId="0" borderId="50" xfId="0" applyNumberFormat="1" applyFont="1" applyBorder="1" applyProtection="1">
      <protection hidden="1"/>
    </xf>
    <xf numFmtId="4" fontId="13" fillId="15" borderId="50" xfId="0" applyNumberFormat="1" applyFont="1" applyFill="1" applyBorder="1" applyProtection="1">
      <protection hidden="1"/>
    </xf>
    <xf numFmtId="4" fontId="13" fillId="15" borderId="17" xfId="0" applyNumberFormat="1" applyFont="1" applyFill="1" applyBorder="1" applyProtection="1">
      <protection hidden="1"/>
    </xf>
    <xf numFmtId="4" fontId="91" fillId="15" borderId="2" xfId="0" applyNumberFormat="1" applyFont="1" applyFill="1" applyBorder="1" applyAlignment="1" applyProtection="1">
      <alignment horizontal="right"/>
      <protection hidden="1"/>
    </xf>
    <xf numFmtId="0" fontId="13" fillId="15" borderId="33" xfId="0" applyFont="1" applyFill="1" applyBorder="1" applyAlignment="1" applyProtection="1">
      <alignment horizontal="center" vertical="center" wrapText="1"/>
      <protection hidden="1"/>
    </xf>
    <xf numFmtId="0" fontId="6" fillId="15" borderId="0" xfId="0" applyFont="1" applyFill="1" applyAlignment="1" applyProtection="1">
      <alignment horizontal="center" vertical="center"/>
      <protection hidden="1"/>
    </xf>
    <xf numFmtId="0" fontId="6" fillId="15" borderId="96" xfId="0" applyFont="1" applyFill="1" applyBorder="1" applyAlignment="1" applyProtection="1">
      <alignment horizontal="center" vertical="center" wrapText="1"/>
      <protection hidden="1"/>
    </xf>
    <xf numFmtId="4" fontId="63" fillId="15" borderId="7" xfId="0" applyNumberFormat="1" applyFont="1" applyFill="1" applyBorder="1" applyProtection="1">
      <protection hidden="1"/>
    </xf>
    <xf numFmtId="4" fontId="5" fillId="0" borderId="55" xfId="0" applyNumberFormat="1" applyFont="1" applyBorder="1" applyProtection="1">
      <protection hidden="1"/>
    </xf>
    <xf numFmtId="4" fontId="5" fillId="0" borderId="98" xfId="0" applyNumberFormat="1" applyFont="1" applyBorder="1" applyProtection="1">
      <protection hidden="1"/>
    </xf>
    <xf numFmtId="4" fontId="77" fillId="18" borderId="319" xfId="0" applyNumberFormat="1" applyFont="1" applyFill="1" applyBorder="1" applyAlignment="1" applyProtection="1">
      <alignment vertical="center"/>
      <protection hidden="1"/>
    </xf>
    <xf numFmtId="4" fontId="13" fillId="4" borderId="116" xfId="0" applyNumberFormat="1" applyFont="1" applyFill="1" applyBorder="1" applyProtection="1">
      <protection hidden="1"/>
    </xf>
    <xf numFmtId="0" fontId="152" fillId="0" borderId="33" xfId="0" applyFont="1" applyBorder="1" applyAlignment="1" applyProtection="1">
      <alignment horizontal="center" vertical="center" wrapText="1"/>
      <protection hidden="1"/>
    </xf>
    <xf numFmtId="0" fontId="153" fillId="0" borderId="0" xfId="0" applyFont="1" applyAlignment="1" applyProtection="1">
      <alignment horizontal="center" vertical="center"/>
      <protection hidden="1"/>
    </xf>
    <xf numFmtId="0" fontId="153" fillId="0" borderId="96" xfId="0" applyFont="1" applyBorder="1" applyAlignment="1" applyProtection="1">
      <alignment horizontal="center" vertical="center" wrapText="1"/>
      <protection hidden="1"/>
    </xf>
    <xf numFmtId="0" fontId="154" fillId="0" borderId="33" xfId="0" applyFont="1" applyBorder="1" applyAlignment="1" applyProtection="1">
      <alignment horizontal="center" vertical="center" wrapText="1"/>
      <protection hidden="1"/>
    </xf>
    <xf numFmtId="0" fontId="155" fillId="0" borderId="0" xfId="0" applyFont="1" applyAlignment="1" applyProtection="1">
      <alignment horizontal="center" vertical="center"/>
      <protection hidden="1"/>
    </xf>
    <xf numFmtId="0" fontId="155" fillId="0" borderId="96" xfId="0" applyFont="1" applyBorder="1" applyAlignment="1" applyProtection="1">
      <alignment horizontal="center" vertical="center" wrapText="1"/>
      <protection hidden="1"/>
    </xf>
    <xf numFmtId="0" fontId="155" fillId="0" borderId="0" xfId="0" quotePrefix="1" applyFont="1" applyAlignment="1" applyProtection="1">
      <alignment horizontal="center" vertical="center"/>
      <protection hidden="1"/>
    </xf>
    <xf numFmtId="0" fontId="153" fillId="0" borderId="0" xfId="0" quotePrefix="1" applyFont="1" applyAlignment="1" applyProtection="1">
      <alignment horizontal="center" vertical="center"/>
      <protection hidden="1"/>
    </xf>
    <xf numFmtId="0" fontId="31" fillId="0" borderId="8" xfId="0" quotePrefix="1" applyFont="1" applyBorder="1" applyAlignment="1" applyProtection="1">
      <alignment horizontal="center" vertical="center" wrapText="1"/>
      <protection hidden="1"/>
    </xf>
    <xf numFmtId="4" fontId="98" fillId="11" borderId="55" xfId="0" applyNumberFormat="1" applyFont="1" applyFill="1" applyBorder="1" applyAlignment="1" applyProtection="1">
      <alignment horizontal="center"/>
      <protection hidden="1"/>
    </xf>
    <xf numFmtId="4" fontId="146" fillId="18" borderId="103" xfId="0" applyNumberFormat="1" applyFont="1" applyFill="1" applyBorder="1" applyAlignment="1" applyProtection="1">
      <alignment vertical="center"/>
      <protection hidden="1"/>
    </xf>
    <xf numFmtId="4" fontId="156" fillId="18" borderId="103" xfId="0" applyNumberFormat="1" applyFont="1" applyFill="1" applyBorder="1" applyAlignment="1" applyProtection="1">
      <alignment vertical="center"/>
      <protection hidden="1"/>
    </xf>
    <xf numFmtId="4" fontId="146" fillId="18" borderId="103" xfId="0" applyNumberFormat="1" applyFont="1" applyFill="1" applyBorder="1" applyAlignment="1" applyProtection="1">
      <alignment horizontal="right" vertical="center"/>
      <protection hidden="1"/>
    </xf>
    <xf numFmtId="4" fontId="156" fillId="18" borderId="103" xfId="0" applyNumberFormat="1" applyFont="1" applyFill="1" applyBorder="1" applyAlignment="1" applyProtection="1">
      <alignment horizontal="right" vertical="center"/>
      <protection hidden="1"/>
    </xf>
    <xf numFmtId="4" fontId="156" fillId="18" borderId="260" xfId="0" applyNumberFormat="1" applyFont="1" applyFill="1" applyBorder="1" applyAlignment="1" applyProtection="1">
      <alignment horizontal="right" vertical="center"/>
      <protection hidden="1"/>
    </xf>
    <xf numFmtId="4" fontId="146" fillId="18" borderId="260" xfId="0" applyNumberFormat="1" applyFont="1" applyFill="1" applyBorder="1" applyAlignment="1" applyProtection="1">
      <alignment horizontal="right" vertical="center"/>
      <protection hidden="1"/>
    </xf>
    <xf numFmtId="4" fontId="5" fillId="0" borderId="258" xfId="0" quotePrefix="1" applyNumberFormat="1" applyFont="1" applyBorder="1" applyAlignment="1" applyProtection="1">
      <alignment horizontal="right"/>
      <protection hidden="1"/>
    </xf>
    <xf numFmtId="4" fontId="5" fillId="0" borderId="7" xfId="0" quotePrefix="1" applyNumberFormat="1" applyFont="1" applyBorder="1" applyAlignment="1" applyProtection="1">
      <alignment horizontal="right"/>
      <protection hidden="1"/>
    </xf>
    <xf numFmtId="4" fontId="5" fillId="0" borderId="59" xfId="0" quotePrefix="1" applyNumberFormat="1" applyFont="1" applyBorder="1" applyAlignment="1" applyProtection="1">
      <alignment horizontal="right"/>
      <protection hidden="1"/>
    </xf>
    <xf numFmtId="4" fontId="5" fillId="0" borderId="3" xfId="0" quotePrefix="1" applyNumberFormat="1" applyFont="1" applyBorder="1" applyAlignment="1" applyProtection="1">
      <alignment horizontal="right"/>
      <protection hidden="1"/>
    </xf>
    <xf numFmtId="4" fontId="13" fillId="4" borderId="258" xfId="0" applyNumberFormat="1" applyFont="1" applyFill="1" applyBorder="1" applyAlignment="1" applyProtection="1">
      <alignment horizontal="right" vertical="center"/>
      <protection hidden="1"/>
    </xf>
    <xf numFmtId="4" fontId="13" fillId="4" borderId="7" xfId="0" applyNumberFormat="1" applyFont="1" applyFill="1" applyBorder="1" applyAlignment="1" applyProtection="1">
      <alignment horizontal="right" vertical="center"/>
      <protection hidden="1"/>
    </xf>
    <xf numFmtId="4" fontId="13" fillId="4" borderId="59" xfId="0" applyNumberFormat="1" applyFont="1" applyFill="1" applyBorder="1" applyAlignment="1" applyProtection="1">
      <alignment horizontal="right" vertical="center"/>
      <protection hidden="1"/>
    </xf>
    <xf numFmtId="4" fontId="13" fillId="4" borderId="3" xfId="0" applyNumberFormat="1" applyFont="1" applyFill="1" applyBorder="1" applyAlignment="1" applyProtection="1">
      <alignment horizontal="right" vertical="center"/>
      <protection hidden="1"/>
    </xf>
    <xf numFmtId="4" fontId="5" fillId="0" borderId="258" xfId="0" applyNumberFormat="1" applyFont="1" applyBorder="1" applyAlignment="1" applyProtection="1">
      <alignment horizontal="right"/>
      <protection hidden="1"/>
    </xf>
    <xf numFmtId="4" fontId="5" fillId="0" borderId="7" xfId="0" applyNumberFormat="1" applyFont="1" applyBorder="1" applyAlignment="1" applyProtection="1">
      <alignment horizontal="right"/>
      <protection hidden="1"/>
    </xf>
    <xf numFmtId="4" fontId="5" fillId="0" borderId="59" xfId="0" applyNumberFormat="1" applyFont="1" applyBorder="1" applyAlignment="1" applyProtection="1">
      <alignment horizontal="right"/>
      <protection hidden="1"/>
    </xf>
    <xf numFmtId="4" fontId="5" fillId="0" borderId="3" xfId="0" applyNumberFormat="1" applyFont="1" applyBorder="1" applyAlignment="1" applyProtection="1">
      <alignment horizontal="right"/>
      <protection hidden="1"/>
    </xf>
    <xf numFmtId="4" fontId="13" fillId="0" borderId="50" xfId="0" applyNumberFormat="1" applyFont="1" applyBorder="1" applyAlignment="1" applyProtection="1">
      <alignment horizontal="right"/>
      <protection hidden="1"/>
    </xf>
    <xf numFmtId="4" fontId="13" fillId="0" borderId="418" xfId="0" applyNumberFormat="1" applyFont="1" applyBorder="1" applyAlignment="1" applyProtection="1">
      <alignment horizontal="right"/>
      <protection hidden="1"/>
    </xf>
    <xf numFmtId="4" fontId="13" fillId="0" borderId="19" xfId="0" applyNumberFormat="1" applyFont="1" applyBorder="1" applyAlignment="1" applyProtection="1">
      <alignment horizontal="right"/>
      <protection hidden="1"/>
    </xf>
    <xf numFmtId="4" fontId="13" fillId="0" borderId="419" xfId="0" applyNumberFormat="1" applyFont="1" applyBorder="1" applyAlignment="1" applyProtection="1">
      <alignment horizontal="right"/>
      <protection hidden="1"/>
    </xf>
    <xf numFmtId="4" fontId="13" fillId="0" borderId="420" xfId="0" applyNumberFormat="1" applyFont="1" applyBorder="1" applyAlignment="1" applyProtection="1">
      <alignment horizontal="right"/>
      <protection hidden="1"/>
    </xf>
    <xf numFmtId="4" fontId="13" fillId="0" borderId="22" xfId="0" applyNumberFormat="1" applyFont="1" applyBorder="1" applyAlignment="1" applyProtection="1">
      <alignment horizontal="right"/>
      <protection hidden="1"/>
    </xf>
    <xf numFmtId="4" fontId="13" fillId="0" borderId="421" xfId="0" applyNumberFormat="1" applyFont="1" applyBorder="1" applyAlignment="1" applyProtection="1">
      <alignment horizontal="right"/>
      <protection hidden="1"/>
    </xf>
    <xf numFmtId="4" fontId="6" fillId="24" borderId="320" xfId="0" applyNumberFormat="1" applyFont="1" applyFill="1" applyBorder="1" applyAlignment="1" applyProtection="1">
      <alignment horizontal="right" vertical="center"/>
      <protection hidden="1"/>
    </xf>
    <xf numFmtId="4" fontId="13" fillId="11" borderId="116" xfId="0" applyNumberFormat="1" applyFont="1" applyFill="1" applyBorder="1" applyAlignment="1" applyProtection="1">
      <alignment horizontal="right"/>
      <protection hidden="1"/>
    </xf>
    <xf numFmtId="4" fontId="13" fillId="4" borderId="116" xfId="0" applyNumberFormat="1" applyFont="1" applyFill="1" applyBorder="1" applyAlignment="1" applyProtection="1">
      <alignment horizontal="right" vertical="center"/>
      <protection hidden="1"/>
    </xf>
    <xf numFmtId="4" fontId="7" fillId="11" borderId="116" xfId="0" applyNumberFormat="1" applyFont="1" applyFill="1" applyBorder="1" applyAlignment="1" applyProtection="1">
      <alignment horizontal="right"/>
      <protection hidden="1"/>
    </xf>
    <xf numFmtId="4" fontId="31" fillId="11" borderId="321" xfId="0" applyNumberFormat="1" applyFont="1" applyFill="1" applyBorder="1" applyAlignment="1" applyProtection="1">
      <alignment horizontal="right"/>
      <protection hidden="1"/>
    </xf>
    <xf numFmtId="4" fontId="7" fillId="11" borderId="210" xfId="0" applyNumberFormat="1" applyFont="1" applyFill="1" applyBorder="1" applyAlignment="1" applyProtection="1">
      <alignment horizontal="right"/>
      <protection hidden="1"/>
    </xf>
    <xf numFmtId="4" fontId="13" fillId="0" borderId="422" xfId="0" applyNumberFormat="1" applyFont="1" applyBorder="1" applyAlignment="1" applyProtection="1">
      <alignment horizontal="right"/>
      <protection hidden="1"/>
    </xf>
    <xf numFmtId="4" fontId="13" fillId="0" borderId="423" xfId="0" applyNumberFormat="1" applyFont="1" applyBorder="1" applyAlignment="1" applyProtection="1">
      <alignment horizontal="right"/>
      <protection hidden="1"/>
    </xf>
    <xf numFmtId="4" fontId="13" fillId="0" borderId="424" xfId="0" applyNumberFormat="1" applyFont="1" applyBorder="1" applyAlignment="1" applyProtection="1">
      <alignment horizontal="right"/>
      <protection hidden="1"/>
    </xf>
    <xf numFmtId="4" fontId="156" fillId="18" borderId="425" xfId="0" applyNumberFormat="1" applyFont="1" applyFill="1" applyBorder="1" applyAlignment="1" applyProtection="1">
      <alignment horizontal="right" vertical="center"/>
      <protection hidden="1"/>
    </xf>
    <xf numFmtId="0" fontId="6" fillId="18" borderId="426" xfId="0" applyFont="1" applyFill="1" applyBorder="1" applyAlignment="1" applyProtection="1">
      <alignment horizontal="right" vertical="center"/>
      <protection hidden="1"/>
    </xf>
    <xf numFmtId="0" fontId="6" fillId="18" borderId="427" xfId="0" applyFont="1" applyFill="1" applyBorder="1" applyAlignment="1" applyProtection="1">
      <alignment horizontal="right" vertical="center"/>
      <protection hidden="1"/>
    </xf>
    <xf numFmtId="4" fontId="146" fillId="18" borderId="258" xfId="0" applyNumberFormat="1" applyFont="1" applyFill="1" applyBorder="1" applyAlignment="1" applyProtection="1">
      <alignment horizontal="right" vertical="center"/>
      <protection hidden="1"/>
    </xf>
    <xf numFmtId="4" fontId="14" fillId="11" borderId="2" xfId="0" applyNumberFormat="1" applyFont="1" applyFill="1" applyBorder="1" applyAlignment="1" applyProtection="1">
      <alignment horizontal="right"/>
      <protection hidden="1"/>
    </xf>
    <xf numFmtId="4" fontId="14" fillId="11" borderId="138" xfId="0" applyNumberFormat="1" applyFont="1" applyFill="1" applyBorder="1" applyAlignment="1" applyProtection="1">
      <alignment horizontal="right"/>
      <protection hidden="1"/>
    </xf>
    <xf numFmtId="4" fontId="5" fillId="0" borderId="2" xfId="0" applyNumberFormat="1" applyFont="1" applyBorder="1" applyAlignment="1" applyProtection="1">
      <alignment horizontal="right"/>
      <protection hidden="1"/>
    </xf>
    <xf numFmtId="4" fontId="5" fillId="0" borderId="138" xfId="0" applyNumberFormat="1" applyFont="1" applyBorder="1" applyAlignment="1" applyProtection="1">
      <alignment horizontal="right"/>
      <protection hidden="1"/>
    </xf>
    <xf numFmtId="4" fontId="5" fillId="0" borderId="428" xfId="0" applyNumberFormat="1" applyFont="1" applyBorder="1" applyAlignment="1" applyProtection="1">
      <alignment horizontal="right"/>
      <protection hidden="1"/>
    </xf>
    <xf numFmtId="4" fontId="5" fillId="0" borderId="263" xfId="0" applyNumberFormat="1" applyFont="1" applyBorder="1" applyAlignment="1" applyProtection="1">
      <alignment horizontal="right"/>
      <protection hidden="1"/>
    </xf>
    <xf numFmtId="4" fontId="13" fillId="0" borderId="204" xfId="0" applyNumberFormat="1" applyFont="1" applyBorder="1" applyAlignment="1" applyProtection="1">
      <alignment horizontal="right"/>
      <protection hidden="1"/>
    </xf>
    <xf numFmtId="4" fontId="13" fillId="0" borderId="282" xfId="0" applyNumberFormat="1" applyFont="1" applyBorder="1" applyAlignment="1" applyProtection="1">
      <alignment horizontal="right"/>
      <protection hidden="1"/>
    </xf>
    <xf numFmtId="4" fontId="13" fillId="0" borderId="81" xfId="0" applyNumberFormat="1" applyFont="1" applyBorder="1" applyAlignment="1" applyProtection="1">
      <alignment horizontal="right"/>
      <protection hidden="1"/>
    </xf>
    <xf numFmtId="4" fontId="13" fillId="0" borderId="17" xfId="0" applyNumberFormat="1" applyFont="1" applyBorder="1" applyAlignment="1" applyProtection="1">
      <alignment horizontal="right"/>
      <protection hidden="1"/>
    </xf>
    <xf numFmtId="4" fontId="13" fillId="0" borderId="256" xfId="0" applyNumberFormat="1" applyFont="1" applyBorder="1" applyAlignment="1" applyProtection="1">
      <alignment horizontal="right"/>
      <protection hidden="1"/>
    </xf>
    <xf numFmtId="4" fontId="13" fillId="2" borderId="0" xfId="0" applyNumberFormat="1" applyFont="1" applyFill="1" applyProtection="1">
      <protection hidden="1"/>
    </xf>
    <xf numFmtId="4" fontId="13" fillId="0" borderId="0" xfId="0" applyNumberFormat="1" applyFont="1" applyAlignment="1" applyProtection="1">
      <alignment horizontal="right"/>
      <protection hidden="1"/>
    </xf>
    <xf numFmtId="4" fontId="13" fillId="0" borderId="18" xfId="0" applyNumberFormat="1" applyFont="1" applyBorder="1" applyAlignment="1" applyProtection="1">
      <alignment horizontal="right"/>
      <protection hidden="1"/>
    </xf>
    <xf numFmtId="4" fontId="13" fillId="0" borderId="429" xfId="0" applyNumberFormat="1" applyFont="1" applyBorder="1" applyAlignment="1" applyProtection="1">
      <alignment horizontal="right"/>
      <protection hidden="1"/>
    </xf>
    <xf numFmtId="4" fontId="75" fillId="0" borderId="0" xfId="0" applyNumberFormat="1" applyFont="1" applyAlignment="1" applyProtection="1">
      <alignment horizontal="right"/>
      <protection hidden="1"/>
    </xf>
    <xf numFmtId="4" fontId="13" fillId="2" borderId="0" xfId="0" applyNumberFormat="1" applyFont="1" applyFill="1" applyAlignment="1" applyProtection="1">
      <alignment horizontal="right"/>
      <protection hidden="1"/>
    </xf>
    <xf numFmtId="0" fontId="13" fillId="0" borderId="22" xfId="0" applyFont="1" applyBorder="1" applyAlignment="1" applyProtection="1">
      <alignment horizontal="right"/>
      <protection hidden="1"/>
    </xf>
    <xf numFmtId="0" fontId="13" fillId="0" borderId="421" xfId="0" applyFont="1" applyBorder="1" applyAlignment="1" applyProtection="1">
      <alignment horizontal="right"/>
      <protection hidden="1"/>
    </xf>
    <xf numFmtId="4" fontId="13" fillId="0" borderId="430" xfId="0" applyNumberFormat="1" applyFont="1" applyBorder="1" applyAlignment="1" applyProtection="1">
      <alignment horizontal="right"/>
      <protection hidden="1"/>
    </xf>
    <xf numFmtId="4" fontId="13" fillId="0" borderId="71" xfId="0" applyNumberFormat="1" applyFont="1" applyBorder="1" applyAlignment="1" applyProtection="1">
      <alignment horizontal="right"/>
      <protection hidden="1"/>
    </xf>
    <xf numFmtId="4" fontId="13" fillId="0" borderId="431" xfId="0" applyNumberFormat="1" applyFont="1" applyBorder="1" applyAlignment="1" applyProtection="1">
      <alignment horizontal="right"/>
      <protection hidden="1"/>
    </xf>
    <xf numFmtId="4" fontId="13" fillId="0" borderId="432" xfId="0" applyNumberFormat="1" applyFont="1" applyBorder="1" applyAlignment="1" applyProtection="1">
      <alignment horizontal="right"/>
      <protection hidden="1"/>
    </xf>
    <xf numFmtId="3" fontId="7" fillId="0" borderId="38" xfId="0" applyNumberFormat="1" applyFont="1" applyBorder="1" applyAlignment="1" applyProtection="1">
      <alignment horizontal="center"/>
      <protection hidden="1"/>
    </xf>
    <xf numFmtId="3" fontId="7" fillId="0" borderId="65" xfId="0" applyNumberFormat="1" applyFont="1" applyBorder="1" applyAlignment="1" applyProtection="1">
      <alignment horizontal="center"/>
      <protection hidden="1"/>
    </xf>
    <xf numFmtId="0" fontId="7" fillId="0" borderId="433" xfId="0" applyFont="1" applyBorder="1" applyAlignment="1" applyProtection="1">
      <alignment horizontal="center"/>
      <protection hidden="1"/>
    </xf>
    <xf numFmtId="4" fontId="7" fillId="0" borderId="434" xfId="0" applyNumberFormat="1" applyFont="1" applyBorder="1" applyAlignment="1" applyProtection="1">
      <alignment horizontal="left"/>
      <protection hidden="1"/>
    </xf>
    <xf numFmtId="4" fontId="7" fillId="0" borderId="435" xfId="0" applyNumberFormat="1" applyFont="1" applyBorder="1" applyProtection="1">
      <protection hidden="1"/>
    </xf>
    <xf numFmtId="4" fontId="7" fillId="0" borderId="153" xfId="0" applyNumberFormat="1" applyFont="1" applyBorder="1" applyProtection="1">
      <protection hidden="1"/>
    </xf>
    <xf numFmtId="4" fontId="57" fillId="11" borderId="153" xfId="0" applyNumberFormat="1" applyFont="1" applyFill="1" applyBorder="1" applyAlignment="1" applyProtection="1">
      <alignment horizontal="center"/>
      <protection hidden="1"/>
    </xf>
    <xf numFmtId="4" fontId="7" fillId="11" borderId="153" xfId="0" applyNumberFormat="1" applyFont="1" applyFill="1" applyBorder="1" applyProtection="1">
      <protection hidden="1"/>
    </xf>
    <xf numFmtId="4" fontId="7" fillId="0" borderId="65" xfId="0" applyNumberFormat="1" applyFont="1" applyBorder="1" applyProtection="1">
      <protection hidden="1"/>
    </xf>
    <xf numFmtId="4" fontId="7" fillId="0" borderId="436" xfId="0" applyNumberFormat="1" applyFont="1" applyBorder="1" applyProtection="1">
      <protection hidden="1"/>
    </xf>
    <xf numFmtId="4" fontId="7" fillId="0" borderId="437" xfId="0" applyNumberFormat="1" applyFont="1" applyBorder="1" applyProtection="1">
      <protection hidden="1"/>
    </xf>
    <xf numFmtId="4" fontId="7" fillId="11" borderId="438" xfId="0" applyNumberFormat="1" applyFont="1" applyFill="1" applyBorder="1" applyProtection="1">
      <protection hidden="1"/>
    </xf>
    <xf numFmtId="4" fontId="7" fillId="0" borderId="439" xfId="0" applyNumberFormat="1" applyFont="1" applyBorder="1" applyProtection="1">
      <protection hidden="1"/>
    </xf>
    <xf numFmtId="4" fontId="7" fillId="0" borderId="154" xfId="0" applyNumberFormat="1" applyFont="1" applyBorder="1" applyProtection="1">
      <protection hidden="1"/>
    </xf>
    <xf numFmtId="4" fontId="7" fillId="11" borderId="154" xfId="0" applyNumberFormat="1" applyFont="1" applyFill="1" applyBorder="1" applyProtection="1">
      <protection hidden="1"/>
    </xf>
    <xf numFmtId="3" fontId="7" fillId="0" borderId="38" xfId="0" applyNumberFormat="1" applyFont="1" applyBorder="1" applyAlignment="1" applyProtection="1">
      <alignment horizontal="center" vertical="center"/>
      <protection hidden="1"/>
    </xf>
    <xf numFmtId="0" fontId="5" fillId="0" borderId="65" xfId="0" applyFont="1" applyBorder="1" applyAlignment="1" applyProtection="1">
      <alignment vertical="center"/>
      <protection hidden="1"/>
    </xf>
    <xf numFmtId="3" fontId="7" fillId="0" borderId="433" xfId="0" applyNumberFormat="1" applyFont="1" applyBorder="1" applyAlignment="1" applyProtection="1">
      <alignment horizontal="center" vertical="center"/>
      <protection hidden="1"/>
    </xf>
    <xf numFmtId="0" fontId="7" fillId="0" borderId="433" xfId="0" applyFont="1" applyBorder="1" applyAlignment="1" applyProtection="1">
      <alignment horizontal="left" vertical="center"/>
      <protection hidden="1"/>
    </xf>
    <xf numFmtId="4" fontId="7" fillId="0" borderId="435" xfId="0" quotePrefix="1" applyNumberFormat="1" applyFont="1" applyBorder="1" applyAlignment="1" applyProtection="1">
      <alignment vertical="center"/>
      <protection hidden="1"/>
    </xf>
    <xf numFmtId="4" fontId="7" fillId="0" borderId="153" xfId="0" quotePrefix="1" applyNumberFormat="1" applyFont="1" applyBorder="1" applyAlignment="1" applyProtection="1">
      <alignment vertical="center"/>
      <protection hidden="1"/>
    </xf>
    <xf numFmtId="4" fontId="7" fillId="11" borderId="153" xfId="0" applyNumberFormat="1" applyFont="1" applyFill="1" applyBorder="1" applyAlignment="1" applyProtection="1">
      <alignment vertical="center"/>
      <protection hidden="1"/>
    </xf>
    <xf numFmtId="4" fontId="5" fillId="11" borderId="153" xfId="0" quotePrefix="1" applyNumberFormat="1" applyFont="1" applyFill="1" applyBorder="1" applyAlignment="1" applyProtection="1">
      <alignment vertical="center"/>
      <protection hidden="1"/>
    </xf>
    <xf numFmtId="4" fontId="7" fillId="0" borderId="65" xfId="0" quotePrefix="1" applyNumberFormat="1" applyFont="1" applyBorder="1" applyAlignment="1" applyProtection="1">
      <alignment vertical="center"/>
      <protection hidden="1"/>
    </xf>
    <xf numFmtId="4" fontId="7" fillId="0" borderId="436" xfId="0" quotePrefix="1" applyNumberFormat="1" applyFont="1" applyBorder="1" applyAlignment="1" applyProtection="1">
      <alignment vertical="center"/>
      <protection hidden="1"/>
    </xf>
    <xf numFmtId="4" fontId="7" fillId="0" borderId="437" xfId="0" quotePrefix="1" applyNumberFormat="1" applyFont="1" applyBorder="1" applyAlignment="1" applyProtection="1">
      <alignment vertical="center"/>
      <protection hidden="1"/>
    </xf>
    <xf numFmtId="4" fontId="7" fillId="0" borderId="438" xfId="0" quotePrefix="1" applyNumberFormat="1" applyFont="1" applyBorder="1" applyAlignment="1" applyProtection="1">
      <alignment vertical="center"/>
      <protection hidden="1"/>
    </xf>
    <xf numFmtId="4" fontId="7" fillId="0" borderId="439" xfId="0" quotePrefix="1" applyNumberFormat="1" applyFont="1" applyBorder="1" applyAlignment="1" applyProtection="1">
      <alignment vertical="center"/>
      <protection hidden="1"/>
    </xf>
    <xf numFmtId="4" fontId="7" fillId="0" borderId="154" xfId="0" quotePrefix="1" applyNumberFormat="1" applyFont="1" applyBorder="1" applyAlignment="1" applyProtection="1">
      <alignment vertical="center"/>
      <protection hidden="1"/>
    </xf>
    <xf numFmtId="4" fontId="13" fillId="10" borderId="50" xfId="0" applyNumberFormat="1" applyFont="1" applyFill="1" applyBorder="1" applyProtection="1">
      <protection hidden="1"/>
    </xf>
    <xf numFmtId="4" fontId="13" fillId="10" borderId="50" xfId="0" applyNumberFormat="1" applyFont="1" applyFill="1" applyBorder="1" applyAlignment="1" applyProtection="1">
      <alignment horizontal="right"/>
      <protection hidden="1"/>
    </xf>
    <xf numFmtId="0" fontId="7" fillId="0" borderId="440" xfId="0" applyFont="1" applyBorder="1" applyAlignment="1" applyProtection="1">
      <alignment horizontal="center"/>
      <protection hidden="1"/>
    </xf>
    <xf numFmtId="4" fontId="5" fillId="0" borderId="211" xfId="0" applyNumberFormat="1" applyFont="1" applyBorder="1" applyAlignment="1" applyProtection="1">
      <alignment horizontal="left"/>
      <protection hidden="1"/>
    </xf>
    <xf numFmtId="4" fontId="5" fillId="11" borderId="55" xfId="0" applyNumberFormat="1" applyFont="1" applyFill="1" applyBorder="1" applyProtection="1">
      <protection hidden="1"/>
    </xf>
    <xf numFmtId="4" fontId="5" fillId="0" borderId="33" xfId="0" applyNumberFormat="1" applyFont="1" applyBorder="1" applyProtection="1">
      <protection hidden="1"/>
    </xf>
    <xf numFmtId="4" fontId="5" fillId="0" borderId="55" xfId="0" quotePrefix="1" applyNumberFormat="1" applyFont="1" applyBorder="1" applyProtection="1">
      <protection hidden="1"/>
    </xf>
    <xf numFmtId="0" fontId="7" fillId="0" borderId="134" xfId="0" applyFont="1" applyBorder="1" applyAlignment="1" applyProtection="1">
      <alignment horizontal="center"/>
      <protection hidden="1"/>
    </xf>
    <xf numFmtId="0" fontId="7" fillId="0" borderId="64" xfId="0" applyFont="1" applyBorder="1" applyAlignment="1" applyProtection="1">
      <alignment horizontal="center"/>
      <protection hidden="1"/>
    </xf>
    <xf numFmtId="4" fontId="5" fillId="0" borderId="440" xfId="0" applyNumberFormat="1" applyFont="1" applyBorder="1" applyAlignment="1" applyProtection="1">
      <alignment horizontal="center"/>
      <protection hidden="1"/>
    </xf>
    <xf numFmtId="4" fontId="98" fillId="11" borderId="103" xfId="0" applyNumberFormat="1" applyFont="1" applyFill="1" applyBorder="1" applyAlignment="1" applyProtection="1">
      <alignment horizontal="center"/>
      <protection hidden="1"/>
    </xf>
    <xf numFmtId="4" fontId="5" fillId="11" borderId="103" xfId="0" applyNumberFormat="1" applyFont="1" applyFill="1" applyBorder="1" applyProtection="1">
      <protection hidden="1"/>
    </xf>
    <xf numFmtId="4" fontId="5" fillId="0" borderId="55" xfId="0" applyNumberFormat="1" applyFont="1" applyBorder="1" applyAlignment="1" applyProtection="1">
      <alignment horizontal="right"/>
      <protection hidden="1"/>
    </xf>
    <xf numFmtId="4" fontId="5" fillId="0" borderId="272" xfId="0" applyNumberFormat="1" applyFont="1" applyBorder="1" applyAlignment="1" applyProtection="1">
      <alignment horizontal="right"/>
      <protection hidden="1"/>
    </xf>
    <xf numFmtId="4" fontId="5" fillId="0" borderId="64" xfId="0" applyNumberFormat="1" applyFont="1" applyBorder="1" applyAlignment="1" applyProtection="1">
      <alignment horizontal="right"/>
      <protection hidden="1"/>
    </xf>
    <xf numFmtId="4" fontId="5" fillId="0" borderId="33" xfId="0" applyNumberFormat="1" applyFont="1" applyBorder="1" applyAlignment="1" applyProtection="1">
      <alignment horizontal="right"/>
      <protection hidden="1"/>
    </xf>
    <xf numFmtId="4" fontId="13" fillId="11" borderId="23" xfId="0" applyNumberFormat="1" applyFont="1" applyFill="1" applyBorder="1" applyProtection="1">
      <protection hidden="1"/>
    </xf>
    <xf numFmtId="4" fontId="13" fillId="11" borderId="6" xfId="0" applyNumberFormat="1" applyFont="1" applyFill="1" applyBorder="1" applyProtection="1">
      <protection hidden="1"/>
    </xf>
    <xf numFmtId="4" fontId="92" fillId="11" borderId="13" xfId="0" applyNumberFormat="1" applyFont="1" applyFill="1" applyBorder="1" applyAlignment="1" applyProtection="1">
      <alignment horizontal="center"/>
      <protection hidden="1"/>
    </xf>
    <xf numFmtId="4" fontId="92" fillId="11" borderId="13" xfId="0" applyNumberFormat="1" applyFont="1" applyFill="1" applyBorder="1" applyProtection="1">
      <protection hidden="1"/>
    </xf>
    <xf numFmtId="4" fontId="40" fillId="11" borderId="15" xfId="0" applyNumberFormat="1" applyFont="1" applyFill="1" applyBorder="1" applyProtection="1">
      <protection hidden="1"/>
    </xf>
    <xf numFmtId="4" fontId="13" fillId="11" borderId="130" xfId="0" applyNumberFormat="1" applyFont="1" applyFill="1" applyBorder="1" applyProtection="1">
      <protection hidden="1"/>
    </xf>
    <xf numFmtId="4" fontId="14" fillId="11" borderId="130" xfId="0" applyNumberFormat="1" applyFont="1" applyFill="1" applyBorder="1" applyAlignment="1" applyProtection="1">
      <alignment horizontal="center"/>
      <protection hidden="1"/>
    </xf>
    <xf numFmtId="4" fontId="13" fillId="11" borderId="441" xfId="0" applyNumberFormat="1" applyFont="1" applyFill="1" applyBorder="1" applyProtection="1">
      <protection hidden="1"/>
    </xf>
    <xf numFmtId="4" fontId="13" fillId="11" borderId="266" xfId="0" applyNumberFormat="1" applyFont="1" applyFill="1" applyBorder="1" applyProtection="1">
      <protection hidden="1"/>
    </xf>
    <xf numFmtId="4" fontId="13" fillId="11" borderId="117" xfId="0" applyNumberFormat="1" applyFont="1" applyFill="1" applyBorder="1" applyAlignment="1" applyProtection="1">
      <alignment horizontal="right"/>
      <protection hidden="1"/>
    </xf>
    <xf numFmtId="4" fontId="13" fillId="11" borderId="11" xfId="0" applyNumberFormat="1" applyFont="1" applyFill="1" applyBorder="1" applyProtection="1">
      <protection hidden="1"/>
    </xf>
    <xf numFmtId="4" fontId="13" fillId="11" borderId="76" xfId="0" applyNumberFormat="1" applyFont="1" applyFill="1" applyBorder="1" applyProtection="1">
      <protection hidden="1"/>
    </xf>
    <xf numFmtId="4" fontId="13" fillId="11" borderId="441" xfId="0" applyNumberFormat="1" applyFont="1" applyFill="1" applyBorder="1" applyAlignment="1" applyProtection="1">
      <alignment horizontal="right"/>
      <protection hidden="1"/>
    </xf>
    <xf numFmtId="4" fontId="13" fillId="11" borderId="11" xfId="0" applyNumberFormat="1" applyFont="1" applyFill="1" applyBorder="1" applyAlignment="1" applyProtection="1">
      <alignment horizontal="right"/>
      <protection hidden="1"/>
    </xf>
    <xf numFmtId="4" fontId="13" fillId="11" borderId="442" xfId="0" applyNumberFormat="1" applyFont="1" applyFill="1" applyBorder="1" applyAlignment="1" applyProtection="1">
      <alignment horizontal="right"/>
      <protection hidden="1"/>
    </xf>
    <xf numFmtId="3" fontId="7" fillId="0" borderId="433" xfId="0" applyNumberFormat="1" applyFont="1" applyBorder="1" applyAlignment="1" applyProtection="1">
      <alignment horizontal="center"/>
      <protection hidden="1"/>
    </xf>
    <xf numFmtId="0" fontId="7" fillId="0" borderId="433" xfId="0" applyFont="1" applyBorder="1" applyAlignment="1" applyProtection="1">
      <alignment horizontal="left"/>
      <protection hidden="1"/>
    </xf>
    <xf numFmtId="0" fontId="7" fillId="0" borderId="443" xfId="0" applyFont="1" applyBorder="1" applyAlignment="1" applyProtection="1">
      <alignment horizontal="left"/>
      <protection hidden="1"/>
    </xf>
    <xf numFmtId="4" fontId="98" fillId="11" borderId="153" xfId="0" applyNumberFormat="1" applyFont="1" applyFill="1" applyBorder="1" applyAlignment="1" applyProtection="1">
      <alignment horizontal="center"/>
      <protection hidden="1"/>
    </xf>
    <xf numFmtId="4" fontId="5" fillId="11" borderId="153" xfId="0" applyNumberFormat="1" applyFont="1" applyFill="1" applyBorder="1" applyProtection="1">
      <protection hidden="1"/>
    </xf>
    <xf numFmtId="4" fontId="7" fillId="0" borderId="436" xfId="0" applyNumberFormat="1" applyFont="1" applyBorder="1" applyAlignment="1" applyProtection="1">
      <alignment horizontal="right"/>
      <protection hidden="1"/>
    </xf>
    <xf numFmtId="4" fontId="7" fillId="0" borderId="153" xfId="0" applyNumberFormat="1" applyFont="1" applyBorder="1" applyAlignment="1" applyProtection="1">
      <alignment horizontal="right"/>
      <protection hidden="1"/>
    </xf>
    <xf numFmtId="4" fontId="7" fillId="0" borderId="437" xfId="0" applyNumberFormat="1" applyFont="1" applyBorder="1" applyAlignment="1" applyProtection="1">
      <alignment horizontal="right"/>
      <protection hidden="1"/>
    </xf>
    <xf numFmtId="4" fontId="7" fillId="0" borderId="65" xfId="0" applyNumberFormat="1" applyFont="1" applyBorder="1" applyAlignment="1" applyProtection="1">
      <alignment horizontal="right"/>
      <protection hidden="1"/>
    </xf>
    <xf numFmtId="4" fontId="7" fillId="0" borderId="187" xfId="0" applyNumberFormat="1" applyFont="1" applyBorder="1" applyProtection="1">
      <protection hidden="1"/>
    </xf>
    <xf numFmtId="4" fontId="7" fillId="0" borderId="154" xfId="0" applyNumberFormat="1" applyFont="1" applyBorder="1" applyAlignment="1" applyProtection="1">
      <alignment horizontal="right"/>
      <protection hidden="1"/>
    </xf>
    <xf numFmtId="4" fontId="7" fillId="0" borderId="444" xfId="0" applyNumberFormat="1" applyFont="1" applyBorder="1" applyAlignment="1" applyProtection="1">
      <alignment horizontal="right"/>
      <protection hidden="1"/>
    </xf>
    <xf numFmtId="4" fontId="5" fillId="11" borderId="154" xfId="0" applyNumberFormat="1" applyFont="1" applyFill="1" applyBorder="1" applyProtection="1">
      <protection hidden="1"/>
    </xf>
    <xf numFmtId="4" fontId="7" fillId="0" borderId="43" xfId="0" applyNumberFormat="1" applyFont="1" applyBorder="1" applyProtection="1">
      <protection hidden="1"/>
    </xf>
    <xf numFmtId="4" fontId="5" fillId="11" borderId="55" xfId="0" quotePrefix="1" applyNumberFormat="1" applyFont="1" applyFill="1" applyBorder="1" applyProtection="1">
      <protection hidden="1"/>
    </xf>
    <xf numFmtId="4" fontId="7" fillId="11" borderId="55" xfId="0" applyNumberFormat="1" applyFont="1" applyFill="1" applyBorder="1" applyProtection="1">
      <protection hidden="1"/>
    </xf>
    <xf numFmtId="4" fontId="5" fillId="0" borderId="64" xfId="0" quotePrefix="1" applyNumberFormat="1" applyFont="1" applyBorder="1" applyProtection="1">
      <protection hidden="1"/>
    </xf>
    <xf numFmtId="4" fontId="5" fillId="0" borderId="428" xfId="0" quotePrefix="1" applyNumberFormat="1" applyFont="1" applyBorder="1" applyAlignment="1" applyProtection="1">
      <alignment horizontal="right"/>
      <protection hidden="1"/>
    </xf>
    <xf numFmtId="4" fontId="5" fillId="0" borderId="55" xfId="0" quotePrefix="1" applyNumberFormat="1" applyFont="1" applyBorder="1" applyAlignment="1" applyProtection="1">
      <alignment horizontal="right"/>
      <protection hidden="1"/>
    </xf>
    <xf numFmtId="4" fontId="5" fillId="0" borderId="272" xfId="0" quotePrefix="1" applyNumberFormat="1" applyFont="1" applyBorder="1" applyAlignment="1" applyProtection="1">
      <alignment horizontal="right"/>
      <protection hidden="1"/>
    </xf>
    <xf numFmtId="4" fontId="5" fillId="0" borderId="64" xfId="0" quotePrefix="1" applyNumberFormat="1" applyFont="1" applyBorder="1" applyAlignment="1" applyProtection="1">
      <alignment horizontal="right"/>
      <protection hidden="1"/>
    </xf>
    <xf numFmtId="4" fontId="5" fillId="0" borderId="33" xfId="0" quotePrefix="1" applyNumberFormat="1" applyFont="1" applyBorder="1" applyProtection="1">
      <protection hidden="1"/>
    </xf>
    <xf numFmtId="4" fontId="5" fillId="0" borderId="98" xfId="0" quotePrefix="1" applyNumberFormat="1" applyFont="1" applyBorder="1" applyProtection="1">
      <protection hidden="1"/>
    </xf>
    <xf numFmtId="4" fontId="5" fillId="0" borderId="33" xfId="0" quotePrefix="1" applyNumberFormat="1" applyFont="1" applyBorder="1" applyAlignment="1" applyProtection="1">
      <alignment horizontal="right"/>
      <protection hidden="1"/>
    </xf>
    <xf numFmtId="4" fontId="5" fillId="0" borderId="263" xfId="0" quotePrefix="1" applyNumberFormat="1" applyFont="1" applyBorder="1" applyAlignment="1" applyProtection="1">
      <alignment horizontal="right"/>
      <protection hidden="1"/>
    </xf>
    <xf numFmtId="4" fontId="57" fillId="11" borderId="154" xfId="0" applyNumberFormat="1" applyFont="1" applyFill="1" applyBorder="1" applyAlignment="1" applyProtection="1">
      <alignment horizontal="center"/>
      <protection hidden="1"/>
    </xf>
    <xf numFmtId="4" fontId="7" fillId="0" borderId="154" xfId="0" applyNumberFormat="1" applyFont="1" applyBorder="1"/>
    <xf numFmtId="4" fontId="7" fillId="0" borderId="39" xfId="0" applyNumberFormat="1" applyFont="1" applyBorder="1"/>
    <xf numFmtId="4" fontId="7" fillId="0" borderId="444" xfId="0" applyNumberFormat="1" applyFont="1" applyBorder="1"/>
    <xf numFmtId="0" fontId="0" fillId="0" borderId="58" xfId="0" applyBorder="1"/>
    <xf numFmtId="4" fontId="156" fillId="18" borderId="0" xfId="0" applyNumberFormat="1" applyFont="1" applyFill="1" applyAlignment="1" applyProtection="1">
      <alignment horizontal="right" vertical="center"/>
      <protection hidden="1"/>
    </xf>
    <xf numFmtId="4" fontId="146" fillId="18" borderId="0" xfId="0" applyNumberFormat="1" applyFont="1" applyFill="1" applyAlignment="1" applyProtection="1">
      <alignment horizontal="right" vertical="center"/>
      <protection hidden="1"/>
    </xf>
    <xf numFmtId="4" fontId="156" fillId="18" borderId="445" xfId="0" applyNumberFormat="1" applyFont="1" applyFill="1" applyBorder="1" applyAlignment="1" applyProtection="1">
      <alignment horizontal="right" vertical="center"/>
      <protection hidden="1"/>
    </xf>
    <xf numFmtId="0" fontId="0" fillId="0" borderId="438" xfId="0" applyBorder="1" applyAlignment="1">
      <alignment horizontal="right"/>
    </xf>
    <xf numFmtId="0" fontId="0" fillId="10" borderId="117" xfId="0" applyFill="1" applyBorder="1" applyAlignment="1">
      <alignment horizontal="right"/>
    </xf>
    <xf numFmtId="4" fontId="7" fillId="0" borderId="65" xfId="0" applyNumberFormat="1" applyFont="1" applyBorder="1"/>
    <xf numFmtId="4" fontId="156" fillId="18" borderId="426" xfId="0" applyNumberFormat="1" applyFont="1" applyFill="1" applyBorder="1" applyAlignment="1" applyProtection="1">
      <alignment horizontal="right" vertical="center"/>
      <protection hidden="1"/>
    </xf>
    <xf numFmtId="4" fontId="146" fillId="18" borderId="2" xfId="0" applyNumberFormat="1" applyFont="1" applyFill="1" applyBorder="1" applyAlignment="1" applyProtection="1">
      <alignment horizontal="right" vertical="center"/>
      <protection hidden="1"/>
    </xf>
    <xf numFmtId="4" fontId="32" fillId="18" borderId="319" xfId="0" applyNumberFormat="1" applyFont="1" applyFill="1" applyBorder="1" applyAlignment="1" applyProtection="1">
      <alignment horizontal="right" vertical="center"/>
      <protection hidden="1"/>
    </xf>
    <xf numFmtId="4" fontId="7" fillId="0" borderId="438" xfId="0" applyNumberFormat="1" applyFont="1" applyBorder="1" applyAlignment="1" applyProtection="1">
      <alignment horizontal="right"/>
      <protection hidden="1"/>
    </xf>
    <xf numFmtId="4" fontId="7" fillId="13" borderId="116" xfId="0" applyNumberFormat="1" applyFont="1" applyFill="1" applyBorder="1" applyAlignment="1" applyProtection="1">
      <alignment horizontal="right"/>
      <protection hidden="1"/>
    </xf>
    <xf numFmtId="0" fontId="31" fillId="0" borderId="321" xfId="0" applyFont="1" applyBorder="1" applyAlignment="1" applyProtection="1">
      <alignment horizontal="right" vertical="center" wrapText="1"/>
      <protection hidden="1"/>
    </xf>
    <xf numFmtId="4" fontId="13" fillId="0" borderId="319" xfId="0" applyNumberFormat="1" applyFont="1" applyBorder="1" applyAlignment="1" applyProtection="1">
      <alignment horizontal="right"/>
      <protection hidden="1"/>
    </xf>
    <xf numFmtId="4" fontId="114" fillId="14" borderId="117" xfId="0" applyNumberFormat="1" applyFont="1" applyFill="1" applyBorder="1" applyAlignment="1" applyProtection="1">
      <alignment horizontal="right"/>
      <protection hidden="1"/>
    </xf>
    <xf numFmtId="4" fontId="115" fillId="14" borderId="423" xfId="0" applyNumberFormat="1" applyFont="1" applyFill="1" applyBorder="1" applyAlignment="1" applyProtection="1">
      <alignment horizontal="right"/>
      <protection hidden="1"/>
    </xf>
    <xf numFmtId="0" fontId="6" fillId="0" borderId="319" xfId="0" applyFont="1" applyBorder="1" applyAlignment="1" applyProtection="1">
      <alignment horizontal="right"/>
      <protection hidden="1"/>
    </xf>
    <xf numFmtId="0" fontId="6" fillId="0" borderId="320" xfId="0" applyFont="1" applyBorder="1" applyAlignment="1" applyProtection="1">
      <alignment horizontal="right"/>
      <protection hidden="1"/>
    </xf>
    <xf numFmtId="4" fontId="5" fillId="0" borderId="11" xfId="0" applyNumberFormat="1" applyFont="1" applyBorder="1" applyAlignment="1" applyProtection="1">
      <alignment horizontal="right"/>
      <protection hidden="1"/>
    </xf>
    <xf numFmtId="4" fontId="7" fillId="0" borderId="154" xfId="0" applyNumberFormat="1" applyFont="1" applyBorder="1" applyAlignment="1">
      <alignment horizontal="right"/>
    </xf>
    <xf numFmtId="0" fontId="5" fillId="0" borderId="197" xfId="0" applyFont="1" applyBorder="1" applyAlignment="1" applyProtection="1">
      <alignment horizontal="center" vertical="center"/>
      <protection locked="0"/>
    </xf>
    <xf numFmtId="17" fontId="28" fillId="4" borderId="337" xfId="0" applyNumberFormat="1" applyFont="1" applyFill="1" applyBorder="1" applyAlignment="1" applyProtection="1">
      <alignment horizontal="center" vertical="center"/>
      <protection locked="0"/>
    </xf>
    <xf numFmtId="166" fontId="28" fillId="4" borderId="111" xfId="0" quotePrefix="1" applyNumberFormat="1" applyFont="1" applyFill="1" applyBorder="1" applyAlignment="1" applyProtection="1">
      <alignment horizontal="center" vertical="center"/>
      <protection locked="0"/>
    </xf>
    <xf numFmtId="14" fontId="28" fillId="4" borderId="111" xfId="0" quotePrefix="1" applyNumberFormat="1" applyFont="1" applyFill="1" applyBorder="1" applyAlignment="1" applyProtection="1">
      <alignment vertical="center"/>
      <protection locked="0"/>
    </xf>
    <xf numFmtId="4" fontId="13" fillId="10" borderId="17" xfId="0" applyNumberFormat="1" applyFont="1" applyFill="1" applyBorder="1" applyAlignment="1" applyProtection="1">
      <alignment horizontal="right"/>
      <protection hidden="1"/>
    </xf>
    <xf numFmtId="4" fontId="7" fillId="0" borderId="42" xfId="0" applyNumberFormat="1" applyFont="1" applyBorder="1" applyAlignment="1" applyProtection="1">
      <alignment horizontal="center"/>
      <protection hidden="1"/>
    </xf>
    <xf numFmtId="4" fontId="7" fillId="0" borderId="447" xfId="0" applyNumberFormat="1" applyFont="1" applyBorder="1" applyAlignment="1" applyProtection="1">
      <alignment horizontal="center"/>
      <protection hidden="1"/>
    </xf>
    <xf numFmtId="4" fontId="7" fillId="0" borderId="42" xfId="0" applyNumberFormat="1" applyFont="1" applyBorder="1" applyProtection="1">
      <protection hidden="1"/>
    </xf>
    <xf numFmtId="4" fontId="7" fillId="0" borderId="448" xfId="0" applyNumberFormat="1" applyFont="1" applyBorder="1" applyAlignment="1" applyProtection="1">
      <alignment horizontal="right"/>
      <protection hidden="1"/>
    </xf>
    <xf numFmtId="4" fontId="7" fillId="10" borderId="65" xfId="0" applyNumberFormat="1" applyFont="1" applyFill="1" applyBorder="1" applyProtection="1">
      <protection hidden="1"/>
    </xf>
    <xf numFmtId="4" fontId="7" fillId="10" borderId="65" xfId="0" applyNumberFormat="1" applyFont="1" applyFill="1" applyBorder="1" applyAlignment="1" applyProtection="1">
      <alignment horizontal="right"/>
      <protection hidden="1"/>
    </xf>
    <xf numFmtId="4" fontId="36" fillId="0" borderId="0" xfId="0" applyNumberFormat="1" applyFont="1" applyAlignment="1" applyProtection="1">
      <alignment horizontal="right"/>
      <protection hidden="1"/>
    </xf>
    <xf numFmtId="4" fontId="7" fillId="0" borderId="0" xfId="0" applyNumberFormat="1" applyFont="1" applyAlignment="1" applyProtection="1">
      <alignment horizontal="right"/>
      <protection hidden="1"/>
    </xf>
    <xf numFmtId="4" fontId="7" fillId="0" borderId="449" xfId="0" applyNumberFormat="1" applyFont="1" applyBorder="1"/>
    <xf numFmtId="4" fontId="7" fillId="0" borderId="438" xfId="0" applyNumberFormat="1" applyFont="1" applyBorder="1"/>
    <xf numFmtId="4" fontId="7" fillId="0" borderId="450" xfId="0" applyNumberFormat="1" applyFont="1" applyBorder="1"/>
    <xf numFmtId="4" fontId="7" fillId="0" borderId="437" xfId="0" applyNumberFormat="1" applyFont="1" applyBorder="1"/>
    <xf numFmtId="4" fontId="7" fillId="0" borderId="439" xfId="0" applyNumberFormat="1" applyFont="1" applyBorder="1"/>
    <xf numFmtId="0" fontId="0" fillId="10" borderId="0" xfId="0" applyFill="1"/>
    <xf numFmtId="4" fontId="13" fillId="11" borderId="13" xfId="0" applyNumberFormat="1" applyFont="1" applyFill="1" applyBorder="1" applyAlignment="1" applyProtection="1">
      <alignment horizontal="center"/>
      <protection hidden="1"/>
    </xf>
    <xf numFmtId="3" fontId="7" fillId="0" borderId="194" xfId="0" applyNumberFormat="1" applyFont="1" applyBorder="1" applyAlignment="1" applyProtection="1">
      <alignment horizontal="center"/>
      <protection hidden="1"/>
    </xf>
    <xf numFmtId="0" fontId="13" fillId="28" borderId="0" xfId="0" applyFont="1" applyFill="1" applyAlignment="1" applyProtection="1">
      <alignment horizontal="right"/>
      <protection hidden="1"/>
    </xf>
    <xf numFmtId="49" fontId="5" fillId="0" borderId="0" xfId="0" applyNumberFormat="1" applyFont="1"/>
    <xf numFmtId="172" fontId="31" fillId="0" borderId="8" xfId="0" quotePrefix="1" applyNumberFormat="1" applyFont="1" applyBorder="1" applyAlignment="1" applyProtection="1">
      <alignment horizontal="center" vertical="center" wrapText="1"/>
      <protection hidden="1"/>
    </xf>
    <xf numFmtId="3" fontId="177" fillId="11" borderId="451" xfId="0" applyNumberFormat="1" applyFont="1" applyFill="1" applyBorder="1" applyAlignment="1" applyProtection="1">
      <alignment horizontal="center"/>
      <protection hidden="1"/>
    </xf>
    <xf numFmtId="0" fontId="13" fillId="0" borderId="452" xfId="0" applyFont="1" applyBorder="1" applyAlignment="1" applyProtection="1">
      <alignment horizontal="center" vertical="center" wrapText="1"/>
      <protection hidden="1"/>
    </xf>
    <xf numFmtId="0" fontId="177" fillId="0" borderId="0" xfId="0" applyFont="1" applyProtection="1">
      <protection hidden="1"/>
    </xf>
    <xf numFmtId="0" fontId="177" fillId="0" borderId="0" xfId="0" applyFont="1" applyAlignment="1" applyProtection="1">
      <alignment vertical="center"/>
      <protection hidden="1"/>
    </xf>
    <xf numFmtId="0" fontId="95" fillId="0" borderId="0" xfId="0" applyFont="1" applyAlignment="1" applyProtection="1">
      <alignment vertical="center"/>
      <protection hidden="1"/>
    </xf>
    <xf numFmtId="0" fontId="13" fillId="26" borderId="0" xfId="0" quotePrefix="1" applyFont="1" applyFill="1" applyAlignment="1" applyProtection="1">
      <alignment horizontal="right" vertical="center"/>
      <protection hidden="1"/>
    </xf>
    <xf numFmtId="0" fontId="13" fillId="26" borderId="0" xfId="0" quotePrefix="1" applyFont="1" applyFill="1" applyAlignment="1" applyProtection="1">
      <alignment horizontal="left" vertical="top"/>
      <protection hidden="1"/>
    </xf>
    <xf numFmtId="0" fontId="33" fillId="0" borderId="1" xfId="209" applyFont="1" applyBorder="1" applyAlignment="1" applyProtection="1">
      <alignment wrapText="1"/>
      <protection locked="0"/>
    </xf>
    <xf numFmtId="0" fontId="5" fillId="0" borderId="232" xfId="0" applyFont="1" applyBorder="1" applyAlignment="1" applyProtection="1">
      <alignment vertical="center" wrapText="1"/>
      <protection hidden="1"/>
    </xf>
    <xf numFmtId="14" fontId="5" fillId="0" borderId="0" xfId="0" applyNumberFormat="1" applyFont="1" applyAlignment="1" applyProtection="1">
      <alignment vertical="center"/>
      <protection hidden="1"/>
    </xf>
    <xf numFmtId="1" fontId="10" fillId="4" borderId="2" xfId="0" applyNumberFormat="1" applyFont="1" applyFill="1" applyBorder="1" applyAlignment="1" applyProtection="1">
      <alignment horizontal="center" vertical="center"/>
      <protection locked="0"/>
    </xf>
    <xf numFmtId="10" fontId="5" fillId="0" borderId="0" xfId="0" applyNumberFormat="1" applyFont="1" applyAlignment="1" applyProtection="1">
      <alignment horizontal="center" vertical="center"/>
      <protection hidden="1"/>
    </xf>
    <xf numFmtId="3" fontId="5" fillId="0" borderId="0" xfId="0" applyNumberFormat="1" applyFont="1" applyAlignment="1" applyProtection="1">
      <alignment horizontal="center" vertical="center"/>
      <protection hidden="1"/>
    </xf>
    <xf numFmtId="170" fontId="5" fillId="0" borderId="0" xfId="0" applyNumberFormat="1" applyFont="1" applyAlignment="1" applyProtection="1">
      <alignment vertical="center"/>
      <protection hidden="1"/>
    </xf>
    <xf numFmtId="3" fontId="5" fillId="0" borderId="0" xfId="0" applyNumberFormat="1" applyFont="1" applyAlignment="1" applyProtection="1">
      <alignment horizontal="right" vertical="center"/>
      <protection hidden="1"/>
    </xf>
    <xf numFmtId="0" fontId="5" fillId="0" borderId="136" xfId="0" applyFont="1" applyBorder="1" applyAlignment="1" applyProtection="1">
      <alignment horizontal="center" vertical="center"/>
      <protection hidden="1"/>
    </xf>
    <xf numFmtId="0" fontId="24" fillId="27" borderId="27" xfId="0" applyFont="1" applyFill="1" applyBorder="1" applyAlignment="1" applyProtection="1">
      <alignment horizontal="center" vertical="center"/>
      <protection hidden="1"/>
    </xf>
    <xf numFmtId="0" fontId="5" fillId="26" borderId="353" xfId="0" applyFont="1" applyFill="1" applyBorder="1" applyAlignment="1" applyProtection="1">
      <alignment horizontal="center" vertical="center" wrapText="1"/>
      <protection hidden="1"/>
    </xf>
    <xf numFmtId="10" fontId="5" fillId="26" borderId="353" xfId="0" applyNumberFormat="1" applyFont="1" applyFill="1" applyBorder="1" applyAlignment="1" applyProtection="1">
      <alignment horizontal="center" vertical="center" wrapText="1"/>
      <protection hidden="1"/>
    </xf>
    <xf numFmtId="17" fontId="5" fillId="0" borderId="98" xfId="0" applyNumberFormat="1" applyFont="1" applyBorder="1" applyProtection="1">
      <protection hidden="1"/>
    </xf>
    <xf numFmtId="0" fontId="5" fillId="0" borderId="55" xfId="0" applyFont="1" applyBorder="1" applyProtection="1">
      <protection hidden="1"/>
    </xf>
    <xf numFmtId="0" fontId="5" fillId="0" borderId="103" xfId="0" applyFont="1" applyBorder="1" applyProtection="1">
      <protection hidden="1"/>
    </xf>
    <xf numFmtId="0" fontId="5" fillId="58" borderId="0" xfId="0" applyFont="1" applyFill="1" applyProtection="1">
      <protection hidden="1"/>
    </xf>
    <xf numFmtId="0" fontId="5" fillId="0" borderId="76" xfId="0" applyFont="1" applyBorder="1" applyProtection="1">
      <protection hidden="1"/>
    </xf>
    <xf numFmtId="0" fontId="5" fillId="0" borderId="130" xfId="0" applyFont="1" applyBorder="1" applyProtection="1">
      <protection hidden="1"/>
    </xf>
    <xf numFmtId="0" fontId="5" fillId="59" borderId="53" xfId="0" applyFont="1" applyFill="1" applyBorder="1" applyProtection="1">
      <protection locked="0"/>
    </xf>
    <xf numFmtId="0" fontId="7" fillId="0" borderId="0" xfId="0" applyFont="1" applyAlignment="1" applyProtection="1">
      <alignment horizontal="right" vertical="center"/>
      <protection locked="0"/>
    </xf>
    <xf numFmtId="0" fontId="178" fillId="0" borderId="94" xfId="0" applyFont="1" applyBorder="1" applyAlignment="1" applyProtection="1">
      <alignment horizontal="center"/>
      <protection hidden="1"/>
    </xf>
    <xf numFmtId="0" fontId="5" fillId="4" borderId="51" xfId="0" applyFont="1" applyFill="1" applyBorder="1" applyAlignment="1" applyProtection="1">
      <alignment horizontal="center"/>
      <protection locked="0"/>
    </xf>
    <xf numFmtId="14" fontId="28" fillId="4" borderId="446" xfId="0" quotePrefix="1" applyNumberFormat="1" applyFont="1" applyFill="1" applyBorder="1" applyAlignment="1" applyProtection="1">
      <alignment vertical="center"/>
      <protection locked="0"/>
    </xf>
    <xf numFmtId="17" fontId="32" fillId="27" borderId="0" xfId="0" applyNumberFormat="1" applyFont="1" applyFill="1" applyProtection="1">
      <protection locked="0"/>
    </xf>
    <xf numFmtId="0" fontId="7" fillId="0" borderId="0" xfId="0" applyFont="1" applyAlignment="1" applyProtection="1">
      <alignment horizontal="right" vertical="center" wrapText="1"/>
      <protection locked="0"/>
    </xf>
    <xf numFmtId="185" fontId="5" fillId="0" borderId="0" xfId="0" applyNumberFormat="1" applyFont="1" applyProtection="1">
      <protection hidden="1"/>
    </xf>
    <xf numFmtId="3" fontId="5" fillId="0" borderId="0" xfId="0" applyNumberFormat="1" applyFont="1" applyProtection="1">
      <protection hidden="1"/>
    </xf>
    <xf numFmtId="164" fontId="5" fillId="0" borderId="0" xfId="0" applyNumberFormat="1" applyFont="1" applyProtection="1">
      <protection hidden="1"/>
    </xf>
    <xf numFmtId="0" fontId="7" fillId="60" borderId="0" xfId="0" applyFont="1" applyFill="1" applyProtection="1">
      <protection hidden="1"/>
    </xf>
    <xf numFmtId="0" fontId="181" fillId="61" borderId="0" xfId="0" applyFont="1" applyFill="1" applyProtection="1">
      <protection hidden="1"/>
    </xf>
    <xf numFmtId="0" fontId="5" fillId="62" borderId="0" xfId="0" applyFont="1" applyFill="1" applyProtection="1">
      <protection hidden="1"/>
    </xf>
    <xf numFmtId="164" fontId="5" fillId="62" borderId="0" xfId="0" applyNumberFormat="1" applyFont="1" applyFill="1" applyProtection="1">
      <protection hidden="1"/>
    </xf>
    <xf numFmtId="0" fontId="6" fillId="0" borderId="31" xfId="60" applyBorder="1"/>
    <xf numFmtId="0" fontId="13" fillId="0" borderId="31" xfId="60" applyFont="1" applyBorder="1" applyAlignment="1">
      <alignment horizontal="center"/>
    </xf>
    <xf numFmtId="0" fontId="13" fillId="0" borderId="25" xfId="60" applyFont="1" applyBorder="1" applyAlignment="1">
      <alignment horizontal="center"/>
    </xf>
    <xf numFmtId="0" fontId="13" fillId="0" borderId="27" xfId="60" applyFont="1" applyBorder="1" applyAlignment="1">
      <alignment horizontal="center"/>
    </xf>
    <xf numFmtId="0" fontId="148" fillId="56" borderId="0" xfId="42" applyFont="1" applyBorder="1"/>
    <xf numFmtId="185" fontId="148" fillId="56" borderId="0" xfId="42" applyNumberFormat="1" applyFont="1" applyBorder="1"/>
    <xf numFmtId="185" fontId="148" fillId="56" borderId="27" xfId="42" applyNumberFormat="1" applyFont="1" applyBorder="1"/>
    <xf numFmtId="0" fontId="1" fillId="8" borderId="42" xfId="60" applyFont="1" applyFill="1" applyBorder="1"/>
    <xf numFmtId="185" fontId="1" fillId="8" borderId="42" xfId="60" applyNumberFormat="1" applyFont="1" applyFill="1" applyBorder="1"/>
    <xf numFmtId="185" fontId="1" fillId="8" borderId="126" xfId="60" applyNumberFormat="1" applyFont="1" applyFill="1" applyBorder="1"/>
    <xf numFmtId="185" fontId="72" fillId="0" borderId="27" xfId="60" applyNumberFormat="1" applyFont="1" applyBorder="1"/>
    <xf numFmtId="0" fontId="1" fillId="0" borderId="27" xfId="0" applyFont="1" applyBorder="1"/>
    <xf numFmtId="0" fontId="1" fillId="0" borderId="32" xfId="0" applyFont="1" applyBorder="1"/>
    <xf numFmtId="0" fontId="1" fillId="0" borderId="93" xfId="0" applyFont="1" applyBorder="1"/>
    <xf numFmtId="0" fontId="7" fillId="63" borderId="54" xfId="0" applyFont="1" applyFill="1" applyBorder="1" applyAlignment="1" applyProtection="1">
      <alignment horizontal="center"/>
      <protection locked="0"/>
    </xf>
    <xf numFmtId="3" fontId="5" fillId="13" borderId="71" xfId="0" applyNumberFormat="1" applyFont="1" applyFill="1" applyBorder="1" applyAlignment="1" applyProtection="1">
      <alignment horizontal="right"/>
      <protection locked="0"/>
    </xf>
    <xf numFmtId="0" fontId="5" fillId="63" borderId="495" xfId="0" applyFont="1" applyFill="1" applyBorder="1" applyProtection="1">
      <protection locked="0"/>
    </xf>
    <xf numFmtId="0" fontId="5" fillId="63" borderId="51" xfId="0" applyFont="1" applyFill="1" applyBorder="1" applyProtection="1">
      <protection locked="0"/>
    </xf>
    <xf numFmtId="0" fontId="182" fillId="13" borderId="71" xfId="0" applyFont="1" applyFill="1" applyBorder="1" applyAlignment="1" applyProtection="1">
      <alignment vertical="center"/>
      <protection locked="0"/>
    </xf>
    <xf numFmtId="0" fontId="5" fillId="63" borderId="495" xfId="0" applyFont="1" applyFill="1" applyBorder="1" applyAlignment="1" applyProtection="1">
      <alignment vertical="center"/>
      <protection locked="0"/>
    </xf>
    <xf numFmtId="0" fontId="5" fillId="63" borderId="51" xfId="0" applyFont="1" applyFill="1" applyBorder="1" applyAlignment="1" applyProtection="1">
      <alignment vertical="center"/>
      <protection locked="0"/>
    </xf>
    <xf numFmtId="0" fontId="1" fillId="0" borderId="0" xfId="60" applyFont="1"/>
    <xf numFmtId="0" fontId="6" fillId="0" borderId="24" xfId="60" applyBorder="1"/>
    <xf numFmtId="0" fontId="6" fillId="0" borderId="26" xfId="60" applyBorder="1"/>
    <xf numFmtId="0" fontId="148" fillId="56" borderId="26" xfId="42" applyFont="1" applyBorder="1"/>
    <xf numFmtId="0" fontId="1" fillId="8" borderId="26" xfId="60" applyFont="1" applyFill="1" applyBorder="1"/>
    <xf numFmtId="0" fontId="72" fillId="0" borderId="0" xfId="60" applyFont="1"/>
    <xf numFmtId="185" fontId="72" fillId="0" borderId="0" xfId="60" applyNumberFormat="1" applyFont="1"/>
    <xf numFmtId="0" fontId="1" fillId="0" borderId="26" xfId="0" applyFont="1" applyBorder="1"/>
    <xf numFmtId="185" fontId="185" fillId="0" borderId="0" xfId="60" applyNumberFormat="1" applyFont="1"/>
    <xf numFmtId="0" fontId="1" fillId="0" borderId="94" xfId="0" applyFont="1" applyBorder="1"/>
    <xf numFmtId="0" fontId="13" fillId="0" borderId="31" xfId="60" applyFont="1" applyBorder="1" applyAlignment="1">
      <alignment horizontal="center" vertical="center" wrapText="1"/>
    </xf>
    <xf numFmtId="0" fontId="33" fillId="0" borderId="0" xfId="219" applyFont="1" applyProtection="1">
      <protection locked="0"/>
    </xf>
    <xf numFmtId="0" fontId="180" fillId="0" borderId="0" xfId="0" applyFont="1" applyAlignment="1" applyProtection="1">
      <alignment horizontal="right" vertical="center"/>
      <protection locked="0"/>
    </xf>
    <xf numFmtId="0" fontId="187" fillId="8" borderId="38" xfId="0" applyFont="1" applyFill="1" applyBorder="1" applyAlignment="1" applyProtection="1">
      <alignment horizontal="right" vertical="center"/>
      <protection locked="0"/>
    </xf>
    <xf numFmtId="171" fontId="187" fillId="8" borderId="234" xfId="0" applyNumberFormat="1" applyFont="1" applyFill="1" applyBorder="1" applyAlignment="1" applyProtection="1">
      <alignment horizontal="center" vertical="center"/>
      <protection locked="0"/>
    </xf>
    <xf numFmtId="0" fontId="7" fillId="64" borderId="0" xfId="0" applyFont="1" applyFill="1" applyAlignment="1" applyProtection="1">
      <alignment horizontal="right" vertical="center" wrapText="1"/>
      <protection locked="0"/>
    </xf>
    <xf numFmtId="0" fontId="7" fillId="64" borderId="38" xfId="0" applyFont="1" applyFill="1" applyBorder="1" applyAlignment="1" applyProtection="1">
      <alignment horizontal="right" vertical="center"/>
      <protection locked="0"/>
    </xf>
    <xf numFmtId="171" fontId="7" fillId="64" borderId="234" xfId="0" applyNumberFormat="1" applyFont="1" applyFill="1" applyBorder="1" applyAlignment="1" applyProtection="1">
      <alignment horizontal="center" vertical="center"/>
      <protection locked="0"/>
    </xf>
    <xf numFmtId="0" fontId="7" fillId="63" borderId="0" xfId="0" applyFont="1" applyFill="1" applyAlignment="1" applyProtection="1">
      <alignment horizontal="right" vertical="center" wrapText="1"/>
      <protection locked="0"/>
    </xf>
    <xf numFmtId="0" fontId="7" fillId="63" borderId="38" xfId="0" applyFont="1" applyFill="1" applyBorder="1" applyAlignment="1" applyProtection="1">
      <alignment horizontal="right" vertical="center"/>
      <protection locked="0"/>
    </xf>
    <xf numFmtId="171" fontId="7" fillId="63" borderId="234" xfId="0" applyNumberFormat="1" applyFont="1" applyFill="1" applyBorder="1" applyAlignment="1" applyProtection="1">
      <alignment horizontal="center" vertical="center"/>
      <protection locked="0"/>
    </xf>
    <xf numFmtId="0" fontId="7" fillId="65" borderId="0" xfId="0" applyFont="1" applyFill="1" applyAlignment="1" applyProtection="1">
      <alignment horizontal="right" vertical="center" wrapText="1"/>
      <protection locked="0"/>
    </xf>
    <xf numFmtId="0" fontId="7" fillId="65" borderId="38" xfId="0" applyFont="1" applyFill="1" applyBorder="1" applyAlignment="1" applyProtection="1">
      <alignment horizontal="right" vertical="center"/>
      <protection locked="0"/>
    </xf>
    <xf numFmtId="171" fontId="7" fillId="65" borderId="234" xfId="0" applyNumberFormat="1" applyFont="1" applyFill="1" applyBorder="1" applyAlignment="1" applyProtection="1">
      <alignment horizontal="center" vertical="center"/>
      <protection locked="0"/>
    </xf>
    <xf numFmtId="0" fontId="180" fillId="0" borderId="0" xfId="0" applyFont="1" applyAlignment="1" applyProtection="1">
      <alignment horizontal="right" vertical="center"/>
      <protection hidden="1"/>
    </xf>
    <xf numFmtId="0" fontId="187" fillId="0" borderId="0" xfId="0" applyFont="1" applyAlignment="1" applyProtection="1">
      <alignment horizontal="right" vertical="center" wrapText="1"/>
      <protection locked="0"/>
    </xf>
    <xf numFmtId="0" fontId="33" fillId="0" borderId="1" xfId="209" applyFont="1" applyBorder="1" applyAlignment="1" applyProtection="1">
      <alignment horizontal="right" wrapText="1"/>
      <protection locked="0"/>
    </xf>
    <xf numFmtId="0" fontId="188" fillId="16" borderId="1" xfId="209" applyFont="1" applyFill="1" applyBorder="1" applyAlignment="1" applyProtection="1">
      <alignment horizontal="center" vertical="center" wrapText="1"/>
      <protection hidden="1"/>
    </xf>
    <xf numFmtId="0" fontId="33" fillId="0" borderId="0" xfId="209" applyFont="1" applyProtection="1">
      <protection locked="0"/>
    </xf>
    <xf numFmtId="0" fontId="188" fillId="16" borderId="1" xfId="209" applyFont="1" applyFill="1" applyBorder="1" applyAlignment="1" applyProtection="1">
      <alignment horizontal="center" vertical="center" wrapText="1"/>
      <protection locked="0"/>
    </xf>
    <xf numFmtId="0" fontId="33" fillId="0" borderId="1" xfId="219" applyFont="1" applyBorder="1" applyAlignment="1" applyProtection="1">
      <alignment wrapText="1"/>
      <protection hidden="1"/>
    </xf>
    <xf numFmtId="17" fontId="41" fillId="0" borderId="0" xfId="0" applyNumberFormat="1" applyFont="1" applyAlignment="1" applyProtection="1">
      <alignment horizontal="center"/>
      <protection locked="0"/>
    </xf>
    <xf numFmtId="166" fontId="5" fillId="0" borderId="0" xfId="0" applyNumberFormat="1" applyFont="1" applyAlignment="1" applyProtection="1">
      <alignment horizontal="center"/>
      <protection hidden="1"/>
    </xf>
    <xf numFmtId="0" fontId="5" fillId="0" borderId="0" xfId="0" applyFont="1" applyAlignment="1" applyProtection="1">
      <alignment horizontal="right" vertical="center" wrapText="1"/>
      <protection locked="0"/>
    </xf>
    <xf numFmtId="0" fontId="7" fillId="66" borderId="0" xfId="0" applyFont="1" applyFill="1" applyAlignment="1" applyProtection="1">
      <alignment wrapText="1"/>
      <protection hidden="1"/>
    </xf>
    <xf numFmtId="0" fontId="5" fillId="25" borderId="2" xfId="0" applyFont="1" applyFill="1" applyBorder="1" applyProtection="1">
      <protection locked="0"/>
    </xf>
    <xf numFmtId="171" fontId="5" fillId="25" borderId="2" xfId="0" applyNumberFormat="1" applyFont="1" applyFill="1" applyBorder="1" applyAlignment="1" applyProtection="1">
      <alignment horizontal="center"/>
      <protection locked="0"/>
    </xf>
    <xf numFmtId="171" fontId="5" fillId="25" borderId="496" xfId="0" applyNumberFormat="1" applyFont="1" applyFill="1" applyBorder="1" applyAlignment="1" applyProtection="1">
      <alignment horizontal="center"/>
      <protection locked="0"/>
    </xf>
    <xf numFmtId="4" fontId="5" fillId="67" borderId="1" xfId="209" applyNumberFormat="1" applyFont="1" applyFill="1" applyBorder="1" applyAlignment="1" applyProtection="1">
      <alignment horizontal="right" wrapText="1"/>
      <protection hidden="1"/>
    </xf>
    <xf numFmtId="4" fontId="33" fillId="67" borderId="1" xfId="219" applyNumberFormat="1" applyFont="1" applyFill="1" applyBorder="1" applyAlignment="1" applyProtection="1">
      <alignment horizontal="right" wrapText="1"/>
      <protection locked="0"/>
    </xf>
    <xf numFmtId="4" fontId="35" fillId="67" borderId="1" xfId="219" applyNumberFormat="1" applyFont="1" applyFill="1" applyBorder="1" applyAlignment="1" applyProtection="1">
      <alignment horizontal="right" wrapText="1"/>
      <protection locked="0"/>
    </xf>
    <xf numFmtId="4" fontId="5" fillId="67" borderId="1" xfId="219" applyNumberFormat="1" applyFont="1" applyFill="1" applyBorder="1" applyAlignment="1" applyProtection="1">
      <alignment horizontal="right" wrapText="1"/>
      <protection locked="0"/>
    </xf>
    <xf numFmtId="4" fontId="35" fillId="67" borderId="1" xfId="209" applyNumberFormat="1" applyFont="1" applyFill="1" applyBorder="1" applyAlignment="1" applyProtection="1">
      <alignment horizontal="right" wrapText="1"/>
      <protection locked="0"/>
    </xf>
    <xf numFmtId="4" fontId="33" fillId="67" borderId="1" xfId="209" applyNumberFormat="1" applyFont="1" applyFill="1" applyBorder="1" applyAlignment="1" applyProtection="1">
      <alignment horizontal="right" wrapText="1"/>
      <protection locked="0"/>
    </xf>
    <xf numFmtId="0" fontId="35" fillId="67" borderId="1" xfId="209" applyFont="1" applyFill="1" applyBorder="1" applyAlignment="1" applyProtection="1">
      <alignment horizontal="right" wrapText="1"/>
      <protection locked="0"/>
    </xf>
    <xf numFmtId="4" fontId="5" fillId="67" borderId="1" xfId="209" applyNumberFormat="1" applyFont="1" applyFill="1" applyBorder="1" applyAlignment="1" applyProtection="1">
      <alignment horizontal="right" wrapText="1"/>
      <protection locked="0"/>
    </xf>
    <xf numFmtId="14" fontId="5" fillId="0" borderId="0" xfId="0" applyNumberFormat="1" applyFont="1" applyProtection="1">
      <protection hidden="1"/>
    </xf>
    <xf numFmtId="0" fontId="5" fillId="0" borderId="0" xfId="0" applyFont="1" applyAlignment="1">
      <alignment horizontal="center" vertical="center" textRotation="90" wrapText="1"/>
    </xf>
    <xf numFmtId="9" fontId="5" fillId="0" borderId="31" xfId="0" applyNumberFormat="1" applyFont="1" applyBorder="1" applyProtection="1">
      <protection hidden="1"/>
    </xf>
    <xf numFmtId="0" fontId="5" fillId="0" borderId="497" xfId="0" applyFont="1" applyBorder="1" applyProtection="1">
      <protection hidden="1"/>
    </xf>
    <xf numFmtId="0" fontId="5" fillId="0" borderId="498" xfId="0" applyFont="1" applyBorder="1" applyProtection="1">
      <protection hidden="1"/>
    </xf>
    <xf numFmtId="0" fontId="5" fillId="0" borderId="499" xfId="0" applyFont="1" applyBorder="1" applyProtection="1">
      <protection hidden="1"/>
    </xf>
    <xf numFmtId="0" fontId="33" fillId="0" borderId="365" xfId="209" applyFont="1" applyBorder="1" applyAlignment="1" applyProtection="1">
      <alignment wrapText="1"/>
      <protection locked="0"/>
    </xf>
    <xf numFmtId="0" fontId="1" fillId="0" borderId="0" xfId="0" applyFont="1" applyProtection="1">
      <protection locked="0"/>
    </xf>
    <xf numFmtId="0" fontId="5" fillId="0" borderId="0" xfId="0" applyFont="1" applyAlignment="1" applyProtection="1">
      <alignment horizontal="left" vertical="center" wrapText="1"/>
      <protection hidden="1"/>
    </xf>
    <xf numFmtId="184" fontId="5" fillId="0" borderId="0" xfId="0" applyNumberFormat="1" applyFont="1" applyAlignment="1" applyProtection="1">
      <alignment vertical="center"/>
      <protection hidden="1"/>
    </xf>
    <xf numFmtId="0" fontId="189" fillId="2" borderId="1" xfId="224" applyFont="1" applyFill="1" applyBorder="1" applyAlignment="1" applyProtection="1">
      <alignment horizontal="right" vertical="center" wrapText="1"/>
      <protection hidden="1"/>
    </xf>
    <xf numFmtId="184" fontId="5" fillId="0" borderId="0" xfId="0" applyNumberFormat="1" applyFont="1" applyAlignment="1" applyProtection="1">
      <alignment horizontal="right" vertical="center" wrapText="1"/>
      <protection hidden="1"/>
    </xf>
    <xf numFmtId="16" fontId="126" fillId="0" borderId="1" xfId="0" quotePrefix="1" applyNumberFormat="1" applyFont="1" applyBorder="1" applyAlignment="1" applyProtection="1">
      <alignment horizontal="left" vertical="center" wrapText="1"/>
      <protection hidden="1"/>
    </xf>
    <xf numFmtId="3" fontId="5" fillId="0" borderId="0" xfId="0" applyNumberFormat="1" applyFont="1" applyAlignment="1" applyProtection="1">
      <alignment horizontal="left" vertical="top" wrapText="1"/>
      <protection hidden="1"/>
    </xf>
    <xf numFmtId="0" fontId="126" fillId="0" borderId="0" xfId="0" applyFont="1" applyAlignment="1" applyProtection="1">
      <alignment horizontal="left" vertical="center" wrapText="1"/>
      <protection hidden="1"/>
    </xf>
    <xf numFmtId="0" fontId="17" fillId="0" borderId="0" xfId="224" applyAlignment="1" applyProtection="1">
      <alignment horizontal="right" vertical="center" wrapText="1"/>
      <protection hidden="1"/>
    </xf>
    <xf numFmtId="0" fontId="17" fillId="0" borderId="0" xfId="224" applyAlignment="1" applyProtection="1">
      <alignment vertical="center" wrapText="1"/>
      <protection locked="0"/>
    </xf>
    <xf numFmtId="0" fontId="126" fillId="0" borderId="0" xfId="0" applyFont="1" applyAlignment="1" applyProtection="1">
      <alignment horizontal="left" vertical="center" wrapText="1"/>
      <protection locked="0"/>
    </xf>
    <xf numFmtId="0" fontId="5" fillId="68" borderId="0" xfId="0" applyFont="1" applyFill="1" applyProtection="1">
      <protection locked="0"/>
    </xf>
    <xf numFmtId="171" fontId="5" fillId="68" borderId="0" xfId="0" applyNumberFormat="1" applyFont="1" applyFill="1" applyAlignment="1" applyProtection="1">
      <alignment horizontal="center"/>
      <protection locked="0"/>
    </xf>
    <xf numFmtId="173" fontId="5" fillId="68" borderId="0" xfId="0" applyNumberFormat="1" applyFont="1" applyFill="1" applyAlignment="1" applyProtection="1">
      <alignment horizontal="center"/>
      <protection hidden="1"/>
    </xf>
    <xf numFmtId="0" fontId="5" fillId="25" borderId="33" xfId="0" applyFont="1" applyFill="1" applyBorder="1" applyProtection="1">
      <protection locked="0"/>
    </xf>
    <xf numFmtId="171" fontId="5" fillId="25" borderId="33" xfId="0" applyNumberFormat="1" applyFont="1" applyFill="1" applyBorder="1" applyAlignment="1" applyProtection="1">
      <alignment horizontal="center"/>
      <protection locked="0"/>
    </xf>
    <xf numFmtId="171" fontId="5" fillId="25" borderId="500" xfId="0" applyNumberFormat="1" applyFont="1" applyFill="1" applyBorder="1" applyAlignment="1" applyProtection="1">
      <alignment horizontal="center"/>
      <protection locked="0"/>
    </xf>
    <xf numFmtId="173" fontId="5" fillId="0" borderId="498" xfId="0" applyNumberFormat="1" applyFont="1" applyBorder="1" applyAlignment="1" applyProtection="1">
      <alignment horizontal="center"/>
      <protection hidden="1"/>
    </xf>
    <xf numFmtId="0" fontId="187" fillId="8" borderId="499" xfId="0" applyFont="1" applyFill="1" applyBorder="1" applyAlignment="1" applyProtection="1">
      <alignment horizontal="right" vertical="center"/>
      <protection locked="0"/>
    </xf>
    <xf numFmtId="171" fontId="187" fillId="8" borderId="501" xfId="0" applyNumberFormat="1" applyFont="1" applyFill="1" applyBorder="1" applyAlignment="1" applyProtection="1">
      <alignment horizontal="center" vertical="center"/>
      <protection locked="0"/>
    </xf>
    <xf numFmtId="0" fontId="7" fillId="68" borderId="0" xfId="0" applyFont="1" applyFill="1" applyAlignment="1" applyProtection="1">
      <alignment wrapText="1"/>
      <protection hidden="1"/>
    </xf>
    <xf numFmtId="179" fontId="7" fillId="68" borderId="0" xfId="0" applyNumberFormat="1" applyFont="1" applyFill="1" applyAlignment="1" applyProtection="1">
      <alignment vertical="center"/>
      <protection hidden="1"/>
    </xf>
    <xf numFmtId="2" fontId="5" fillId="68" borderId="0" xfId="0" applyNumberFormat="1" applyFont="1" applyFill="1" applyProtection="1">
      <protection hidden="1"/>
    </xf>
    <xf numFmtId="4" fontId="5" fillId="63" borderId="51" xfId="0" applyNumberFormat="1" applyFont="1" applyFill="1" applyBorder="1" applyProtection="1">
      <protection locked="0"/>
    </xf>
    <xf numFmtId="0" fontId="39" fillId="0" borderId="0" xfId="0" applyFont="1" applyAlignment="1">
      <alignment horizontal="left" vertical="center" wrapText="1"/>
    </xf>
    <xf numFmtId="4" fontId="13" fillId="0" borderId="337" xfId="0" applyNumberFormat="1" applyFont="1" applyBorder="1" applyAlignment="1" applyProtection="1">
      <alignment horizontal="center"/>
      <protection hidden="1"/>
    </xf>
    <xf numFmtId="4" fontId="13" fillId="0" borderId="446" xfId="0" applyNumberFormat="1" applyFont="1" applyBorder="1" applyAlignment="1" applyProtection="1">
      <alignment horizontal="center"/>
      <protection hidden="1"/>
    </xf>
    <xf numFmtId="0" fontId="119" fillId="0" borderId="38" xfId="0" applyFont="1" applyBorder="1" applyAlignment="1" applyProtection="1">
      <alignment horizontal="center" vertical="center" wrapText="1"/>
      <protection hidden="1"/>
    </xf>
    <xf numFmtId="0" fontId="119" fillId="0" borderId="43" xfId="0" applyFont="1" applyBorder="1" applyAlignment="1" applyProtection="1">
      <alignment horizontal="center" vertical="center" wrapText="1"/>
      <protection hidden="1"/>
    </xf>
    <xf numFmtId="0" fontId="119" fillId="0" borderId="65" xfId="0" applyFont="1" applyBorder="1" applyAlignment="1" applyProtection="1">
      <alignment horizontal="center" vertical="center" wrapText="1"/>
      <protection hidden="1"/>
    </xf>
    <xf numFmtId="0" fontId="13" fillId="0" borderId="0" xfId="0" applyFont="1" applyAlignment="1" applyProtection="1">
      <alignment horizontal="center" textRotation="90"/>
      <protection hidden="1"/>
    </xf>
    <xf numFmtId="0" fontId="150" fillId="28" borderId="26" xfId="0" applyFont="1" applyFill="1" applyBorder="1" applyAlignment="1" applyProtection="1">
      <alignment horizontal="center" vertical="center" wrapText="1"/>
      <protection hidden="1"/>
    </xf>
    <xf numFmtId="0" fontId="150" fillId="28" borderId="27" xfId="0" applyFont="1" applyFill="1" applyBorder="1" applyAlignment="1" applyProtection="1">
      <alignment horizontal="center" vertical="center" wrapText="1"/>
      <protection hidden="1"/>
    </xf>
    <xf numFmtId="0" fontId="25" fillId="28" borderId="26" xfId="0" applyFont="1" applyFill="1" applyBorder="1" applyAlignment="1" applyProtection="1">
      <alignment horizontal="center" vertical="center" wrapText="1"/>
      <protection hidden="1"/>
    </xf>
    <xf numFmtId="0" fontId="40" fillId="0" borderId="38" xfId="0" applyFont="1" applyBorder="1" applyAlignment="1" applyProtection="1">
      <alignment horizontal="center" vertical="center"/>
      <protection hidden="1"/>
    </xf>
    <xf numFmtId="0" fontId="40" fillId="0" borderId="43" xfId="0" applyFont="1" applyBorder="1" applyAlignment="1" applyProtection="1">
      <alignment horizontal="center" vertical="center"/>
      <protection hidden="1"/>
    </xf>
    <xf numFmtId="0" fontId="6" fillId="0" borderId="0" xfId="0" applyFont="1" applyAlignment="1" applyProtection="1">
      <alignment horizontal="center" textRotation="90" wrapText="1"/>
      <protection hidden="1"/>
    </xf>
    <xf numFmtId="0" fontId="6" fillId="0" borderId="0" xfId="0" applyFont="1" applyAlignment="1" applyProtection="1">
      <alignment horizontal="center" textRotation="90"/>
      <protection hidden="1"/>
    </xf>
    <xf numFmtId="0" fontId="6" fillId="0" borderId="136" xfId="0" applyFont="1" applyBorder="1" applyAlignment="1" applyProtection="1">
      <alignment horizontal="center" textRotation="90"/>
      <protection hidden="1"/>
    </xf>
    <xf numFmtId="0" fontId="6" fillId="0" borderId="121" xfId="0" applyFont="1" applyBorder="1" applyAlignment="1" applyProtection="1">
      <alignment horizontal="center" textRotation="90"/>
      <protection hidden="1"/>
    </xf>
    <xf numFmtId="0" fontId="6" fillId="0" borderId="136" xfId="0" applyFont="1" applyBorder="1" applyAlignment="1" applyProtection="1">
      <alignment horizontal="center" textRotation="90" wrapText="1"/>
      <protection hidden="1"/>
    </xf>
    <xf numFmtId="0" fontId="6" fillId="0" borderId="24" xfId="0" applyFont="1" applyBorder="1" applyAlignment="1" applyProtection="1">
      <alignment horizontal="center" textRotation="90" wrapText="1"/>
      <protection hidden="1"/>
    </xf>
    <xf numFmtId="0" fontId="6" fillId="0" borderId="25" xfId="0" applyFont="1" applyBorder="1" applyAlignment="1" applyProtection="1">
      <alignment horizontal="center" textRotation="90" wrapText="1"/>
      <protection hidden="1"/>
    </xf>
    <xf numFmtId="0" fontId="6" fillId="0" borderId="26" xfId="0" applyFont="1" applyBorder="1" applyAlignment="1" applyProtection="1">
      <alignment horizontal="center" textRotation="90" wrapText="1"/>
      <protection hidden="1"/>
    </xf>
    <xf numFmtId="0" fontId="6" fillId="0" borderId="27" xfId="0" applyFont="1" applyBorder="1" applyAlignment="1" applyProtection="1">
      <alignment horizontal="center" textRotation="90" wrapText="1"/>
      <protection hidden="1"/>
    </xf>
    <xf numFmtId="0" fontId="6" fillId="2" borderId="94" xfId="0" applyFont="1" applyFill="1" applyBorder="1" applyAlignment="1" applyProtection="1">
      <alignment vertical="center" wrapText="1"/>
      <protection hidden="1"/>
    </xf>
    <xf numFmtId="0" fontId="6" fillId="2" borderId="93" xfId="0" applyFont="1" applyFill="1" applyBorder="1" applyAlignment="1" applyProtection="1">
      <alignment vertical="center" wrapText="1"/>
      <protection hidden="1"/>
    </xf>
    <xf numFmtId="4" fontId="61" fillId="0" borderId="128" xfId="0" applyNumberFormat="1" applyFont="1" applyBorder="1" applyAlignment="1" applyProtection="1">
      <alignment horizontal="center"/>
      <protection hidden="1"/>
    </xf>
    <xf numFmtId="4" fontId="61" fillId="0" borderId="453" xfId="0" applyNumberFormat="1" applyFont="1" applyBorder="1" applyAlignment="1" applyProtection="1">
      <alignment horizontal="center"/>
      <protection hidden="1"/>
    </xf>
    <xf numFmtId="0" fontId="60" fillId="0" borderId="0" xfId="0" applyFont="1" applyAlignment="1" applyProtection="1">
      <alignment horizontal="center" textRotation="90"/>
      <protection hidden="1"/>
    </xf>
    <xf numFmtId="0" fontId="150" fillId="28" borderId="26" xfId="0" applyFont="1" applyFill="1" applyBorder="1" applyAlignment="1" applyProtection="1">
      <alignment horizontal="center" vertical="center"/>
      <protection hidden="1"/>
    </xf>
    <xf numFmtId="0" fontId="150" fillId="28" borderId="27" xfId="0" applyFont="1" applyFill="1" applyBorder="1" applyAlignment="1" applyProtection="1">
      <alignment horizontal="center" vertical="center"/>
      <protection hidden="1"/>
    </xf>
    <xf numFmtId="0" fontId="13" fillId="0" borderId="0" xfId="0" applyFont="1" applyAlignment="1" applyProtection="1">
      <alignment horizontal="center" vertical="center" wrapText="1"/>
      <protection hidden="1"/>
    </xf>
    <xf numFmtId="0" fontId="13" fillId="0" borderId="103" xfId="0" applyFont="1" applyBorder="1" applyAlignment="1" applyProtection="1">
      <alignment horizontal="center" vertical="center" wrapText="1"/>
      <protection hidden="1"/>
    </xf>
    <xf numFmtId="0" fontId="6" fillId="0" borderId="125" xfId="0" applyFont="1" applyBorder="1" applyAlignment="1" applyProtection="1">
      <alignment horizontal="center" vertical="center" wrapText="1"/>
      <protection hidden="1"/>
    </xf>
    <xf numFmtId="0" fontId="6" fillId="0" borderId="42" xfId="0" applyFont="1" applyBorder="1" applyAlignment="1" applyProtection="1">
      <alignment horizontal="center" vertical="center" wrapText="1"/>
      <protection hidden="1"/>
    </xf>
    <xf numFmtId="0" fontId="6" fillId="0" borderId="97" xfId="0" applyFont="1" applyBorder="1" applyAlignment="1" applyProtection="1">
      <alignment horizontal="center" vertical="center" wrapText="1"/>
      <protection hidden="1"/>
    </xf>
    <xf numFmtId="0" fontId="27" fillId="4" borderId="454" xfId="0" applyFont="1" applyFill="1" applyBorder="1" applyAlignment="1" applyProtection="1">
      <alignment horizontal="center" vertical="center" wrapText="1"/>
      <protection hidden="1"/>
    </xf>
    <xf numFmtId="0" fontId="27" fillId="4" borderId="455" xfId="0" applyFont="1" applyFill="1" applyBorder="1" applyAlignment="1" applyProtection="1">
      <alignment horizontal="center" vertical="center" wrapText="1"/>
      <protection hidden="1"/>
    </xf>
    <xf numFmtId="0" fontId="27" fillId="4" borderId="456" xfId="0" applyFont="1" applyFill="1" applyBorder="1" applyAlignment="1" applyProtection="1">
      <alignment horizontal="center" vertical="center" wrapText="1"/>
      <protection hidden="1"/>
    </xf>
    <xf numFmtId="0" fontId="5" fillId="0" borderId="94" xfId="0" applyFont="1" applyBorder="1" applyAlignment="1" applyProtection="1">
      <alignment horizontal="center"/>
      <protection hidden="1"/>
    </xf>
    <xf numFmtId="0" fontId="5" fillId="0" borderId="32" xfId="0" applyFont="1" applyBorder="1" applyAlignment="1" applyProtection="1">
      <alignment horizontal="center"/>
      <protection hidden="1"/>
    </xf>
    <xf numFmtId="0" fontId="5" fillId="0" borderId="93" xfId="0" applyFont="1" applyBorder="1" applyAlignment="1" applyProtection="1">
      <alignment horizontal="center"/>
      <protection hidden="1"/>
    </xf>
    <xf numFmtId="0" fontId="5" fillId="0" borderId="232" xfId="0" applyFont="1" applyBorder="1" applyAlignment="1" applyProtection="1">
      <alignment horizontal="center" vertical="center" wrapText="1"/>
      <protection hidden="1"/>
    </xf>
    <xf numFmtId="0" fontId="5" fillId="0" borderId="103" xfId="0" applyFont="1" applyBorder="1" applyAlignment="1" applyProtection="1">
      <alignment horizontal="center" vertical="center" wrapText="1"/>
      <protection hidden="1"/>
    </xf>
    <xf numFmtId="0" fontId="5" fillId="0" borderId="7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498"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31" xfId="0" applyFont="1" applyBorder="1" applyAlignment="1" applyProtection="1">
      <alignment horizontal="center"/>
      <protection hidden="1"/>
    </xf>
    <xf numFmtId="0" fontId="5" fillId="0" borderId="25" xfId="0" applyFont="1" applyBorder="1" applyAlignment="1" applyProtection="1">
      <alignment horizontal="center"/>
      <protection hidden="1"/>
    </xf>
    <xf numFmtId="0" fontId="31" fillId="12" borderId="457" xfId="0" applyFont="1" applyFill="1" applyBorder="1" applyAlignment="1" applyProtection="1">
      <alignment horizontal="center" vertical="center" wrapText="1"/>
      <protection hidden="1"/>
    </xf>
    <xf numFmtId="0" fontId="31" fillId="12" borderId="458" xfId="0" applyFont="1" applyFill="1" applyBorder="1" applyAlignment="1" applyProtection="1">
      <alignment horizontal="center" vertical="center" wrapText="1"/>
      <protection hidden="1"/>
    </xf>
    <xf numFmtId="0" fontId="5" fillId="0" borderId="24" xfId="0" applyFont="1" applyBorder="1" applyAlignment="1" applyProtection="1">
      <alignment horizontal="left" wrapText="1"/>
      <protection hidden="1"/>
    </xf>
    <xf numFmtId="0" fontId="5" fillId="0" borderId="31" xfId="0" applyFont="1" applyBorder="1" applyAlignment="1" applyProtection="1">
      <alignment horizontal="left" wrapText="1"/>
      <protection hidden="1"/>
    </xf>
    <xf numFmtId="0" fontId="5" fillId="0" borderId="27" xfId="0" applyFont="1" applyBorder="1" applyAlignment="1" applyProtection="1">
      <alignment vertical="center" wrapText="1"/>
      <protection hidden="1"/>
    </xf>
    <xf numFmtId="0" fontId="5" fillId="0" borderId="27" xfId="0" applyFont="1" applyBorder="1" applyAlignment="1" applyProtection="1">
      <alignment vertical="center"/>
      <protection hidden="1"/>
    </xf>
    <xf numFmtId="0" fontId="5" fillId="0" borderId="461" xfId="0" applyFont="1" applyBorder="1" applyAlignment="1" applyProtection="1">
      <alignment horizontal="center" wrapText="1"/>
      <protection hidden="1"/>
    </xf>
    <xf numFmtId="0" fontId="5" fillId="0" borderId="462" xfId="0" applyFont="1" applyBorder="1" applyAlignment="1" applyProtection="1">
      <alignment horizontal="center" wrapText="1"/>
      <protection hidden="1"/>
    </xf>
    <xf numFmtId="14" fontId="41" fillId="14" borderId="26" xfId="0" applyNumberFormat="1" applyFont="1" applyFill="1" applyBorder="1" applyAlignment="1" applyProtection="1">
      <alignment horizontal="center"/>
      <protection locked="0"/>
    </xf>
    <xf numFmtId="14" fontId="41" fillId="14" borderId="0" xfId="0" applyNumberFormat="1" applyFont="1" applyFill="1" applyAlignment="1" applyProtection="1">
      <alignment horizontal="center"/>
      <protection locked="0"/>
    </xf>
    <xf numFmtId="14" fontId="41" fillId="14" borderId="27" xfId="0" applyNumberFormat="1" applyFont="1" applyFill="1" applyBorder="1" applyAlignment="1" applyProtection="1">
      <alignment horizontal="center"/>
      <protection locked="0"/>
    </xf>
    <xf numFmtId="0" fontId="24" fillId="14" borderId="26" xfId="0" applyFont="1" applyFill="1" applyBorder="1" applyAlignment="1" applyProtection="1">
      <alignment horizontal="center"/>
      <protection hidden="1"/>
    </xf>
    <xf numFmtId="0" fontId="24" fillId="14" borderId="0" xfId="0" applyFont="1" applyFill="1" applyAlignment="1" applyProtection="1">
      <alignment horizontal="center"/>
      <protection hidden="1"/>
    </xf>
    <xf numFmtId="0" fontId="24" fillId="14" borderId="27" xfId="0" applyFont="1" applyFill="1" applyBorder="1" applyAlignment="1" applyProtection="1">
      <alignment horizontal="center"/>
      <protection hidden="1"/>
    </xf>
    <xf numFmtId="0" fontId="137" fillId="31" borderId="0" xfId="0" applyFont="1" applyFill="1" applyAlignment="1" applyProtection="1">
      <alignment horizontal="center"/>
      <protection hidden="1"/>
    </xf>
    <xf numFmtId="0" fontId="137" fillId="31" borderId="103" xfId="0" applyFont="1" applyFill="1" applyBorder="1" applyAlignment="1" applyProtection="1">
      <alignment horizontal="center"/>
      <protection hidden="1"/>
    </xf>
    <xf numFmtId="0" fontId="5" fillId="0" borderId="0" xfId="0" quotePrefix="1" applyFont="1" applyAlignment="1" applyProtection="1">
      <alignment horizontal="center" vertical="center" wrapText="1"/>
      <protection hidden="1"/>
    </xf>
    <xf numFmtId="0" fontId="42" fillId="14" borderId="26" xfId="0" applyFont="1" applyFill="1" applyBorder="1" applyAlignment="1" applyProtection="1">
      <alignment horizontal="center"/>
      <protection hidden="1"/>
    </xf>
    <xf numFmtId="0" fontId="42" fillId="14" borderId="0" xfId="0" applyFont="1" applyFill="1" applyAlignment="1" applyProtection="1">
      <alignment horizontal="center"/>
      <protection hidden="1"/>
    </xf>
    <xf numFmtId="0" fontId="7" fillId="0" borderId="24" xfId="0" applyFont="1" applyBorder="1" applyAlignment="1" applyProtection="1">
      <alignment horizontal="center" vertical="center"/>
      <protection hidden="1"/>
    </xf>
    <xf numFmtId="0" fontId="7" fillId="0" borderId="25" xfId="0" applyFont="1" applyBorder="1" applyAlignment="1" applyProtection="1">
      <alignment horizontal="center" vertical="center"/>
      <protection hidden="1"/>
    </xf>
    <xf numFmtId="0" fontId="5" fillId="0" borderId="65" xfId="0" applyFont="1" applyBorder="1" applyAlignment="1" applyProtection="1">
      <alignment horizontal="center" vertical="center"/>
      <protection hidden="1"/>
    </xf>
    <xf numFmtId="0" fontId="5" fillId="0" borderId="43" xfId="0" applyFont="1" applyBorder="1" applyAlignment="1" applyProtection="1">
      <alignment horizontal="center" vertical="center"/>
      <protection hidden="1"/>
    </xf>
    <xf numFmtId="0" fontId="5" fillId="0" borderId="459" xfId="0" applyFont="1" applyBorder="1" applyAlignment="1" applyProtection="1">
      <alignment horizontal="center" vertical="center"/>
      <protection hidden="1"/>
    </xf>
    <xf numFmtId="0" fontId="5" fillId="0" borderId="460" xfId="0" applyFont="1" applyBorder="1" applyAlignment="1" applyProtection="1">
      <alignment horizontal="center" vertical="center"/>
      <protection hidden="1"/>
    </xf>
    <xf numFmtId="0" fontId="49" fillId="14" borderId="24" xfId="0" applyFont="1" applyFill="1" applyBorder="1" applyAlignment="1" applyProtection="1">
      <alignment horizontal="center"/>
      <protection locked="0"/>
    </xf>
    <xf numFmtId="0" fontId="49" fillId="14" borderId="31" xfId="0" applyFont="1" applyFill="1" applyBorder="1" applyAlignment="1" applyProtection="1">
      <alignment horizontal="center"/>
      <protection locked="0"/>
    </xf>
    <xf numFmtId="0" fontId="49" fillId="14" borderId="25" xfId="0" applyFont="1" applyFill="1" applyBorder="1" applyAlignment="1" applyProtection="1">
      <alignment horizontal="center"/>
      <protection locked="0"/>
    </xf>
    <xf numFmtId="0" fontId="5" fillId="0" borderId="0" xfId="0" applyFont="1" applyAlignment="1" applyProtection="1">
      <alignment horizontal="center" vertical="center" textRotation="90" wrapText="1"/>
      <protection hidden="1"/>
    </xf>
    <xf numFmtId="0" fontId="2" fillId="0" borderId="0" xfId="0" applyFont="1" applyAlignment="1" applyProtection="1">
      <alignment horizontal="center" vertical="center" wrapText="1"/>
      <protection hidden="1"/>
    </xf>
    <xf numFmtId="0" fontId="42" fillId="31" borderId="0" xfId="0" applyFont="1" applyFill="1" applyAlignment="1" applyProtection="1">
      <alignment horizontal="center" vertical="center" textRotation="90" wrapText="1"/>
      <protection hidden="1"/>
    </xf>
    <xf numFmtId="0" fontId="5" fillId="0" borderId="46"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5" fillId="0" borderId="61" xfId="0" applyFont="1" applyBorder="1" applyAlignment="1" applyProtection="1">
      <alignment horizontal="center" vertical="center" wrapText="1"/>
      <protection hidden="1"/>
    </xf>
    <xf numFmtId="0" fontId="4" fillId="0" borderId="33" xfId="0" applyFont="1" applyBorder="1" applyAlignment="1">
      <alignment horizontal="center" vertical="center" wrapText="1"/>
    </xf>
    <xf numFmtId="0" fontId="4" fillId="0" borderId="92" xfId="0" applyFont="1" applyBorder="1" applyAlignment="1">
      <alignment horizontal="center" vertical="center" wrapText="1"/>
    </xf>
    <xf numFmtId="0" fontId="4" fillId="0" borderId="463" xfId="0" applyFont="1" applyBorder="1" applyAlignment="1">
      <alignment horizontal="center" vertical="center" wrapText="1"/>
    </xf>
    <xf numFmtId="0" fontId="4" fillId="3" borderId="5" xfId="0" applyFont="1" applyFill="1" applyBorder="1" applyAlignment="1" applyProtection="1">
      <alignment horizontal="center" vertical="center" wrapText="1"/>
      <protection hidden="1"/>
    </xf>
    <xf numFmtId="0" fontId="4" fillId="3" borderId="3" xfId="0" applyFont="1" applyFill="1" applyBorder="1" applyAlignment="1" applyProtection="1">
      <alignment horizontal="center" vertical="center" wrapText="1"/>
      <protection hidden="1"/>
    </xf>
    <xf numFmtId="0" fontId="4" fillId="3" borderId="61" xfId="0" applyFont="1" applyFill="1" applyBorder="1" applyAlignment="1" applyProtection="1">
      <alignment horizontal="center" vertical="center" wrapText="1"/>
      <protection hidden="1"/>
    </xf>
    <xf numFmtId="4" fontId="2" fillId="2" borderId="64" xfId="0" applyNumberFormat="1" applyFont="1" applyFill="1" applyBorder="1" applyAlignment="1" applyProtection="1">
      <alignment horizontal="center" vertical="center" wrapText="1"/>
      <protection hidden="1"/>
    </xf>
    <xf numFmtId="0" fontId="0" fillId="2" borderId="464" xfId="0" applyFill="1" applyBorder="1" applyAlignment="1">
      <alignment horizontal="center" vertical="center" wrapText="1"/>
    </xf>
    <xf numFmtId="0" fontId="4" fillId="5" borderId="331" xfId="0" applyFont="1" applyFill="1" applyBorder="1" applyAlignment="1" applyProtection="1">
      <alignment horizontal="center" vertical="center"/>
      <protection locked="0"/>
    </xf>
    <xf numFmtId="0" fontId="4" fillId="5" borderId="465" xfId="0" applyFont="1" applyFill="1" applyBorder="1" applyAlignment="1" applyProtection="1">
      <alignment horizontal="center" vertical="center"/>
      <protection locked="0"/>
    </xf>
    <xf numFmtId="4" fontId="2" fillId="2" borderId="464" xfId="0" applyNumberFormat="1" applyFont="1" applyFill="1" applyBorder="1" applyAlignment="1" applyProtection="1">
      <alignment horizontal="center" vertical="center" wrapText="1"/>
      <protection hidden="1"/>
    </xf>
    <xf numFmtId="3" fontId="2" fillId="5" borderId="84" xfId="0" applyNumberFormat="1" applyFont="1" applyFill="1" applyBorder="1" applyAlignment="1" applyProtection="1">
      <alignment horizontal="center" vertical="center"/>
      <protection hidden="1"/>
    </xf>
    <xf numFmtId="3" fontId="2" fillId="5" borderId="120" xfId="0" applyNumberFormat="1" applyFont="1" applyFill="1" applyBorder="1" applyAlignment="1" applyProtection="1">
      <alignment horizontal="center" vertical="center"/>
      <protection hidden="1"/>
    </xf>
    <xf numFmtId="3" fontId="2" fillId="5" borderId="48" xfId="0" applyNumberFormat="1" applyFont="1" applyFill="1" applyBorder="1" applyAlignment="1" applyProtection="1">
      <alignment horizontal="center" vertical="center"/>
      <protection hidden="1"/>
    </xf>
    <xf numFmtId="3" fontId="2" fillId="5" borderId="47" xfId="0" applyNumberFormat="1" applyFont="1" applyFill="1" applyBorder="1" applyAlignment="1" applyProtection="1">
      <alignment horizontal="center" vertical="center"/>
      <protection hidden="1"/>
    </xf>
    <xf numFmtId="0" fontId="4" fillId="3" borderId="213" xfId="0" applyFont="1" applyFill="1" applyBorder="1" applyAlignment="1" applyProtection="1">
      <alignment horizontal="center" vertical="center" wrapText="1"/>
      <protection hidden="1"/>
    </xf>
    <xf numFmtId="0" fontId="4" fillId="3" borderId="29" xfId="0" applyFont="1" applyFill="1" applyBorder="1" applyAlignment="1" applyProtection="1">
      <alignment horizontal="center" vertical="center" wrapText="1"/>
      <protection hidden="1"/>
    </xf>
    <xf numFmtId="0" fontId="4" fillId="3" borderId="46" xfId="0" applyFont="1" applyFill="1" applyBorder="1" applyAlignment="1" applyProtection="1">
      <alignment horizontal="center" vertical="center" wrapText="1"/>
      <protection hidden="1"/>
    </xf>
    <xf numFmtId="0" fontId="4" fillId="3" borderId="7" xfId="0" applyFont="1" applyFill="1" applyBorder="1" applyAlignment="1" applyProtection="1">
      <alignment horizontal="center" vertical="center" wrapText="1"/>
      <protection hidden="1"/>
    </xf>
    <xf numFmtId="3" fontId="5" fillId="5" borderId="33" xfId="0" applyNumberFormat="1" applyFont="1" applyFill="1" applyBorder="1" applyAlignment="1" applyProtection="1">
      <alignment horizontal="center" vertical="center"/>
      <protection hidden="1"/>
    </xf>
    <xf numFmtId="3" fontId="5" fillId="5" borderId="92" xfId="0" applyNumberFormat="1" applyFont="1" applyFill="1" applyBorder="1" applyAlignment="1" applyProtection="1">
      <alignment horizontal="center" vertical="center"/>
      <protection hidden="1"/>
    </xf>
    <xf numFmtId="3" fontId="2" fillId="5" borderId="98" xfId="0" applyNumberFormat="1" applyFont="1" applyFill="1" applyBorder="1" applyAlignment="1" applyProtection="1">
      <alignment horizontal="center" vertical="center"/>
      <protection hidden="1"/>
    </xf>
    <xf numFmtId="3" fontId="2" fillId="5" borderId="70" xfId="0" applyNumberFormat="1" applyFont="1" applyFill="1" applyBorder="1" applyAlignment="1" applyProtection="1">
      <alignment horizontal="center" vertical="center"/>
      <protection hidden="1"/>
    </xf>
    <xf numFmtId="3" fontId="2" fillId="5" borderId="84" xfId="0" applyNumberFormat="1" applyFont="1" applyFill="1" applyBorder="1" applyAlignment="1" applyProtection="1">
      <alignment horizontal="center" vertical="center" wrapText="1" shrinkToFit="1"/>
      <protection hidden="1"/>
    </xf>
    <xf numFmtId="3" fontId="2" fillId="5" borderId="64" xfId="0" applyNumberFormat="1" applyFont="1" applyFill="1" applyBorder="1" applyAlignment="1" applyProtection="1">
      <alignment horizontal="center" vertical="center" shrinkToFit="1"/>
      <protection hidden="1"/>
    </xf>
    <xf numFmtId="3" fontId="2" fillId="5" borderId="120" xfId="0" applyNumberFormat="1" applyFont="1" applyFill="1" applyBorder="1" applyAlignment="1" applyProtection="1">
      <alignment horizontal="center" vertical="center" shrinkToFit="1"/>
      <protection hidden="1"/>
    </xf>
    <xf numFmtId="3" fontId="2" fillId="5" borderId="466" xfId="0" applyNumberFormat="1" applyFont="1" applyFill="1" applyBorder="1" applyAlignment="1" applyProtection="1">
      <alignment horizontal="center" vertical="center" shrinkToFit="1"/>
      <protection hidden="1"/>
    </xf>
    <xf numFmtId="3" fontId="2" fillId="5" borderId="464" xfId="0" applyNumberFormat="1" applyFont="1" applyFill="1" applyBorder="1" applyAlignment="1" applyProtection="1">
      <alignment horizontal="center" vertical="center" shrinkToFit="1"/>
      <protection hidden="1"/>
    </xf>
    <xf numFmtId="3" fontId="2" fillId="5" borderId="467" xfId="0" applyNumberFormat="1" applyFont="1" applyFill="1" applyBorder="1" applyAlignment="1" applyProtection="1">
      <alignment horizontal="center" vertical="center" shrinkToFit="1"/>
      <protection hidden="1"/>
    </xf>
    <xf numFmtId="3" fontId="59" fillId="4" borderId="76" xfId="0" applyNumberFormat="1" applyFont="1" applyFill="1" applyBorder="1" applyAlignment="1" applyProtection="1">
      <alignment horizontal="center" vertical="center" wrapText="1"/>
      <protection locked="0"/>
    </xf>
    <xf numFmtId="3" fontId="59" fillId="4" borderId="6" xfId="0" applyNumberFormat="1" applyFont="1" applyFill="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0" fillId="0" borderId="0" xfId="0"/>
    <xf numFmtId="0" fontId="2" fillId="0" borderId="3" xfId="0" applyFont="1" applyBorder="1" applyAlignment="1" applyProtection="1">
      <alignment horizontal="center" vertical="center" textRotation="90" wrapText="1"/>
      <protection hidden="1"/>
    </xf>
    <xf numFmtId="0" fontId="2" fillId="0" borderId="61" xfId="0" applyFont="1" applyBorder="1" applyAlignment="1" applyProtection="1">
      <alignment horizontal="center" vertical="center" textRotation="90" wrapText="1"/>
      <protection hidden="1"/>
    </xf>
    <xf numFmtId="0" fontId="5" fillId="15" borderId="46" xfId="0" applyFont="1" applyFill="1" applyBorder="1" applyAlignment="1" applyProtection="1">
      <alignment horizontal="center" vertical="center" wrapText="1"/>
      <protection hidden="1"/>
    </xf>
    <xf numFmtId="0" fontId="5" fillId="15" borderId="3" xfId="0" applyFont="1" applyFill="1" applyBorder="1" applyAlignment="1" applyProtection="1">
      <alignment horizontal="center" vertical="center" wrapText="1"/>
      <protection hidden="1"/>
    </xf>
    <xf numFmtId="0" fontId="5" fillId="15" borderId="61" xfId="0" applyFont="1" applyFill="1" applyBorder="1" applyAlignment="1" applyProtection="1">
      <alignment horizontal="center" vertical="center" wrapText="1"/>
      <protection hidden="1"/>
    </xf>
    <xf numFmtId="0" fontId="22" fillId="0" borderId="46" xfId="0" applyFont="1" applyBorder="1" applyAlignment="1" applyProtection="1">
      <alignment horizontal="center" vertical="center" wrapText="1"/>
      <protection hidden="1"/>
    </xf>
    <xf numFmtId="0" fontId="22" fillId="0" borderId="3" xfId="0" applyFont="1" applyBorder="1" applyAlignment="1" applyProtection="1">
      <alignment horizontal="center" vertical="center" wrapText="1"/>
      <protection hidden="1"/>
    </xf>
    <xf numFmtId="169" fontId="5" fillId="0" borderId="33" xfId="0" applyNumberFormat="1" applyFont="1" applyBorder="1" applyAlignment="1" applyProtection="1">
      <alignment horizontal="center" vertical="center" textRotation="90" wrapText="1"/>
      <protection hidden="1"/>
    </xf>
    <xf numFmtId="169" fontId="5" fillId="0" borderId="11" xfId="0" applyNumberFormat="1" applyFont="1" applyBorder="1" applyAlignment="1" applyProtection="1">
      <alignment horizontal="center" vertical="center" textRotation="90" wrapText="1"/>
      <protection hidden="1"/>
    </xf>
    <xf numFmtId="0" fontId="5" fillId="0" borderId="5" xfId="0" applyFont="1" applyBorder="1" applyAlignment="1" applyProtection="1">
      <alignment horizontal="center" vertical="center" wrapText="1"/>
      <protection hidden="1"/>
    </xf>
    <xf numFmtId="0" fontId="51" fillId="0" borderId="84" xfId="0" applyFont="1" applyBorder="1" applyAlignment="1" applyProtection="1">
      <alignment horizontal="center" vertical="center" textRotation="90" wrapText="1"/>
      <protection hidden="1"/>
    </xf>
    <xf numFmtId="0" fontId="51" fillId="0" borderId="82" xfId="0" applyFont="1" applyBorder="1" applyAlignment="1" applyProtection="1">
      <alignment horizontal="center" vertical="center" textRotation="90" wrapText="1"/>
      <protection hidden="1"/>
    </xf>
    <xf numFmtId="0" fontId="2" fillId="0" borderId="5" xfId="0" applyFont="1" applyBorder="1" applyAlignment="1" applyProtection="1">
      <alignment horizontal="center" vertical="center" wrapText="1"/>
      <protection hidden="1"/>
    </xf>
    <xf numFmtId="0" fontId="6" fillId="0" borderId="61" xfId="0" applyFont="1" applyBorder="1" applyAlignment="1">
      <alignment horizontal="center" vertical="center" wrapText="1"/>
    </xf>
    <xf numFmtId="0" fontId="27" fillId="0" borderId="267" xfId="0" applyFont="1" applyBorder="1" applyAlignment="1" applyProtection="1">
      <alignment horizontal="center" vertical="center" wrapText="1"/>
      <protection hidden="1"/>
    </xf>
    <xf numFmtId="0" fontId="27" fillId="0" borderId="268" xfId="0" applyFont="1" applyBorder="1" applyAlignment="1" applyProtection="1">
      <alignment horizontal="center" vertical="center" wrapText="1"/>
      <protection hidden="1"/>
    </xf>
    <xf numFmtId="0" fontId="5" fillId="0" borderId="328" xfId="0" applyFont="1" applyBorder="1" applyAlignment="1" applyProtection="1">
      <alignment horizontal="center" vertical="center" textRotation="90" wrapText="1"/>
      <protection hidden="1"/>
    </xf>
    <xf numFmtId="0" fontId="5" fillId="0" borderId="468" xfId="0" applyFont="1" applyBorder="1" applyAlignment="1" applyProtection="1">
      <alignment horizontal="center" vertical="center" textRotation="90" wrapText="1"/>
      <protection hidden="1"/>
    </xf>
    <xf numFmtId="0" fontId="7" fillId="0" borderId="62" xfId="0" applyFont="1" applyBorder="1" applyAlignment="1" applyProtection="1">
      <alignment horizontal="center"/>
      <protection locked="0"/>
    </xf>
    <xf numFmtId="0" fontId="7" fillId="0" borderId="469" xfId="0" applyFont="1" applyBorder="1" applyAlignment="1" applyProtection="1">
      <alignment horizontal="center"/>
      <protection locked="0"/>
    </xf>
    <xf numFmtId="0" fontId="4" fillId="3" borderId="67" xfId="0" applyFont="1" applyFill="1" applyBorder="1" applyAlignment="1" applyProtection="1">
      <alignment horizontal="center" vertical="center" wrapText="1"/>
      <protection hidden="1"/>
    </xf>
    <xf numFmtId="0" fontId="4" fillId="3" borderId="59" xfId="0" applyFont="1" applyFill="1" applyBorder="1" applyAlignment="1" applyProtection="1">
      <alignment horizontal="center" vertical="center" wrapText="1"/>
      <protection hidden="1"/>
    </xf>
    <xf numFmtId="3" fontId="22" fillId="5" borderId="64" xfId="0" applyNumberFormat="1" applyFont="1" applyFill="1" applyBorder="1" applyAlignment="1" applyProtection="1">
      <alignment horizontal="center" vertical="center" wrapText="1"/>
      <protection hidden="1"/>
    </xf>
    <xf numFmtId="3" fontId="22" fillId="5" borderId="120" xfId="0" applyNumberFormat="1" applyFont="1" applyFill="1" applyBorder="1" applyAlignment="1" applyProtection="1">
      <alignment horizontal="center" vertical="center" wrapText="1"/>
      <protection hidden="1"/>
    </xf>
    <xf numFmtId="3" fontId="22" fillId="5" borderId="464" xfId="0" applyNumberFormat="1" applyFont="1" applyFill="1" applyBorder="1" applyAlignment="1" applyProtection="1">
      <alignment horizontal="center" vertical="center" wrapText="1"/>
      <protection hidden="1"/>
    </xf>
    <xf numFmtId="3" fontId="22" fillId="5" borderId="467" xfId="0" applyNumberFormat="1" applyFont="1" applyFill="1" applyBorder="1" applyAlignment="1" applyProtection="1">
      <alignment horizontal="center" vertical="center" wrapText="1"/>
      <protection hidden="1"/>
    </xf>
    <xf numFmtId="3" fontId="37" fillId="5" borderId="84" xfId="0" applyNumberFormat="1" applyFont="1" applyFill="1" applyBorder="1" applyAlignment="1" applyProtection="1">
      <alignment horizontal="center" vertical="center" wrapText="1"/>
      <protection hidden="1"/>
    </xf>
    <xf numFmtId="3" fontId="37" fillId="5" borderId="64" xfId="0" applyNumberFormat="1" applyFont="1" applyFill="1" applyBorder="1" applyAlignment="1" applyProtection="1">
      <alignment horizontal="center" vertical="center" wrapText="1"/>
      <protection hidden="1"/>
    </xf>
    <xf numFmtId="3" fontId="37" fillId="5" borderId="120" xfId="0" applyNumberFormat="1" applyFont="1" applyFill="1" applyBorder="1" applyAlignment="1" applyProtection="1">
      <alignment horizontal="center" vertical="center" wrapText="1"/>
      <protection hidden="1"/>
    </xf>
    <xf numFmtId="3" fontId="37" fillId="5" borderId="48" xfId="0" applyNumberFormat="1" applyFont="1" applyFill="1" applyBorder="1" applyAlignment="1" applyProtection="1">
      <alignment horizontal="center" vertical="center" wrapText="1"/>
      <protection hidden="1"/>
    </xf>
    <xf numFmtId="3" fontId="37" fillId="5" borderId="0" xfId="0" applyNumberFormat="1" applyFont="1" applyFill="1" applyAlignment="1" applyProtection="1">
      <alignment horizontal="center" vertical="center" wrapText="1"/>
      <protection hidden="1"/>
    </xf>
    <xf numFmtId="3" fontId="37" fillId="5" borderId="47" xfId="0" applyNumberFormat="1" applyFont="1" applyFill="1" applyBorder="1" applyAlignment="1" applyProtection="1">
      <alignment horizontal="center" vertical="center" wrapText="1"/>
      <protection hidden="1"/>
    </xf>
    <xf numFmtId="0" fontId="4" fillId="15" borderId="5" xfId="0" applyFont="1" applyFill="1" applyBorder="1" applyAlignment="1" applyProtection="1">
      <alignment horizontal="center" vertical="center"/>
      <protection hidden="1"/>
    </xf>
    <xf numFmtId="0" fontId="4" fillId="15" borderId="3" xfId="0" applyFont="1" applyFill="1" applyBorder="1" applyAlignment="1" applyProtection="1">
      <alignment horizontal="center" vertical="center"/>
      <protection hidden="1"/>
    </xf>
    <xf numFmtId="0" fontId="4" fillId="15" borderId="46" xfId="0" applyFont="1" applyFill="1" applyBorder="1" applyAlignment="1" applyProtection="1">
      <alignment horizontal="center" vertical="center" wrapText="1"/>
      <protection hidden="1"/>
    </xf>
    <xf numFmtId="0" fontId="4" fillId="15" borderId="217" xfId="0" applyFont="1" applyFill="1" applyBorder="1" applyAlignment="1" applyProtection="1">
      <alignment horizontal="center" vertical="center" wrapText="1"/>
      <protection hidden="1"/>
    </xf>
    <xf numFmtId="3" fontId="2" fillId="5" borderId="64" xfId="0" applyNumberFormat="1" applyFont="1" applyFill="1" applyBorder="1" applyAlignment="1" applyProtection="1">
      <alignment horizontal="center" vertical="center"/>
      <protection hidden="1"/>
    </xf>
    <xf numFmtId="3" fontId="2" fillId="5" borderId="0" xfId="0" applyNumberFormat="1" applyFont="1" applyFill="1" applyAlignment="1" applyProtection="1">
      <alignment horizontal="center" vertical="center"/>
      <protection hidden="1"/>
    </xf>
    <xf numFmtId="3" fontId="2" fillId="5" borderId="133" xfId="0" applyNumberFormat="1" applyFont="1" applyFill="1" applyBorder="1" applyAlignment="1" applyProtection="1">
      <alignment horizontal="center" vertical="center"/>
      <protection hidden="1"/>
    </xf>
    <xf numFmtId="3" fontId="2" fillId="5" borderId="27" xfId="0" applyNumberFormat="1" applyFont="1" applyFill="1" applyBorder="1" applyAlignment="1" applyProtection="1">
      <alignment horizontal="center" vertical="center"/>
      <protection hidden="1"/>
    </xf>
    <xf numFmtId="0" fontId="4" fillId="5" borderId="74" xfId="0" applyFont="1" applyFill="1" applyBorder="1" applyAlignment="1" applyProtection="1">
      <alignment horizontal="center" vertical="center"/>
      <protection locked="0"/>
    </xf>
    <xf numFmtId="0" fontId="4" fillId="5" borderId="240" xfId="0" applyFont="1" applyFill="1" applyBorder="1" applyAlignment="1" applyProtection="1">
      <alignment horizontal="center" vertical="center"/>
      <protection locked="0"/>
    </xf>
    <xf numFmtId="0" fontId="37" fillId="0" borderId="64" xfId="0" applyFont="1" applyBorder="1" applyAlignment="1">
      <alignment vertical="center"/>
    </xf>
    <xf numFmtId="0" fontId="37" fillId="0" borderId="48" xfId="0" applyFont="1" applyBorder="1" applyAlignment="1">
      <alignment vertical="center"/>
    </xf>
    <xf numFmtId="0" fontId="37" fillId="0" borderId="0" xfId="0" applyFont="1" applyAlignment="1">
      <alignment vertical="center"/>
    </xf>
    <xf numFmtId="3" fontId="59" fillId="4" borderId="185" xfId="0" applyNumberFormat="1" applyFont="1" applyFill="1" applyBorder="1" applyAlignment="1" applyProtection="1">
      <alignment horizontal="center" vertical="center" wrapText="1"/>
      <protection locked="0"/>
    </xf>
    <xf numFmtId="0" fontId="2" fillId="0" borderId="61" xfId="0" applyFont="1" applyBorder="1" applyAlignment="1" applyProtection="1">
      <alignment horizontal="center" vertical="center" wrapText="1"/>
      <protection hidden="1"/>
    </xf>
    <xf numFmtId="0" fontId="0" fillId="0" borderId="0" xfId="0" applyAlignment="1">
      <alignment horizontal="center" vertical="center" wrapText="1"/>
    </xf>
    <xf numFmtId="0" fontId="2" fillId="0" borderId="46" xfId="0" applyFont="1" applyBorder="1" applyAlignment="1" applyProtection="1">
      <alignment horizontal="center" wrapText="1"/>
      <protection hidden="1"/>
    </xf>
    <xf numFmtId="0" fontId="2" fillId="0" borderId="3" xfId="0" applyFont="1" applyBorder="1" applyAlignment="1" applyProtection="1">
      <alignment horizontal="center" wrapText="1"/>
      <protection hidden="1"/>
    </xf>
    <xf numFmtId="0" fontId="2" fillId="0" borderId="61" xfId="0" applyFont="1" applyBorder="1" applyAlignment="1" applyProtection="1">
      <alignment horizontal="center" wrapText="1"/>
      <protection hidden="1"/>
    </xf>
    <xf numFmtId="0" fontId="7" fillId="0" borderId="0" xfId="0" applyFont="1" applyAlignment="1" applyProtection="1">
      <alignment horizontal="center"/>
      <protection hidden="1"/>
    </xf>
    <xf numFmtId="0" fontId="2" fillId="0" borderId="46"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10" fillId="0" borderId="470" xfId="0" applyFont="1" applyBorder="1" applyAlignment="1" applyProtection="1">
      <alignment horizontal="center" vertical="center" wrapText="1"/>
      <protection hidden="1"/>
    </xf>
    <xf numFmtId="0" fontId="4" fillId="4" borderId="46" xfId="0" applyFont="1" applyFill="1" applyBorder="1" applyAlignment="1" applyProtection="1">
      <alignment horizontal="center" vertical="center" wrapText="1"/>
      <protection hidden="1"/>
    </xf>
    <xf numFmtId="0" fontId="4" fillId="4" borderId="217" xfId="0" applyFont="1" applyFill="1" applyBorder="1" applyAlignment="1" applyProtection="1">
      <alignment horizontal="center" vertical="center" wrapText="1"/>
      <protection hidden="1"/>
    </xf>
    <xf numFmtId="0" fontId="2" fillId="0" borderId="7" xfId="0" applyFont="1" applyBorder="1" applyAlignment="1" applyProtection="1">
      <alignment horizontal="center" wrapText="1"/>
      <protection hidden="1"/>
    </xf>
    <xf numFmtId="0" fontId="2" fillId="0" borderId="217" xfId="0" applyFont="1" applyBorder="1" applyAlignment="1" applyProtection="1">
      <alignment horizontal="center" wrapText="1"/>
      <protection hidden="1"/>
    </xf>
    <xf numFmtId="0" fontId="2" fillId="0" borderId="5" xfId="0" applyFont="1" applyBorder="1" applyAlignment="1" applyProtection="1">
      <alignment horizontal="center" wrapText="1"/>
      <protection hidden="1"/>
    </xf>
    <xf numFmtId="3" fontId="21" fillId="4" borderId="3" xfId="0" applyNumberFormat="1" applyFont="1" applyFill="1" applyBorder="1" applyAlignment="1" applyProtection="1">
      <alignment horizontal="center" vertical="center" wrapText="1"/>
      <protection locked="0"/>
    </xf>
    <xf numFmtId="3" fontId="21" fillId="4" borderId="61" xfId="0" applyNumberFormat="1" applyFont="1" applyFill="1" applyBorder="1" applyAlignment="1" applyProtection="1">
      <alignment horizontal="center" vertical="center" wrapText="1"/>
      <protection locked="0"/>
    </xf>
    <xf numFmtId="3" fontId="5" fillId="0" borderId="5" xfId="0" applyNumberFormat="1" applyFont="1" applyBorder="1" applyAlignment="1" applyProtection="1">
      <alignment horizontal="center" vertical="center" wrapText="1"/>
      <protection locked="0"/>
    </xf>
    <xf numFmtId="3" fontId="5" fillId="0" borderId="3" xfId="0" applyNumberFormat="1" applyFont="1" applyBorder="1" applyAlignment="1" applyProtection="1">
      <alignment horizontal="center" vertical="center" wrapText="1"/>
      <protection locked="0"/>
    </xf>
    <xf numFmtId="3" fontId="21" fillId="4" borderId="5" xfId="0" applyNumberFormat="1" applyFont="1" applyFill="1" applyBorder="1" applyAlignment="1" applyProtection="1">
      <alignment horizontal="center" vertical="center" wrapText="1"/>
      <protection locked="0"/>
    </xf>
    <xf numFmtId="3" fontId="21" fillId="4" borderId="7"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xf>
    <xf numFmtId="0" fontId="20" fillId="0" borderId="0" xfId="0" applyFont="1" applyAlignment="1" applyProtection="1">
      <alignment horizontal="center"/>
      <protection hidden="1"/>
    </xf>
    <xf numFmtId="0" fontId="27" fillId="0" borderId="0" xfId="0" applyFont="1" applyAlignment="1">
      <alignment horizontal="center" vertical="center"/>
    </xf>
    <xf numFmtId="0" fontId="27" fillId="0" borderId="0" xfId="0" applyFont="1" applyAlignment="1" applyProtection="1">
      <alignment horizontal="center"/>
      <protection hidden="1"/>
    </xf>
    <xf numFmtId="0" fontId="27" fillId="0" borderId="0" xfId="0" applyFont="1" applyAlignment="1">
      <alignment horizontal="center" vertical="center" wrapText="1"/>
    </xf>
    <xf numFmtId="0" fontId="27" fillId="0" borderId="6" xfId="0" applyFont="1" applyBorder="1" applyAlignment="1">
      <alignment horizontal="center" vertical="center" wrapText="1"/>
    </xf>
    <xf numFmtId="0" fontId="4" fillId="0" borderId="0" xfId="0" applyFont="1" applyAlignment="1" applyProtection="1">
      <alignment horizontal="center" vertical="center" wrapText="1"/>
      <protection hidden="1"/>
    </xf>
    <xf numFmtId="4" fontId="51" fillId="0" borderId="84" xfId="0" applyNumberFormat="1" applyFont="1" applyBorder="1" applyAlignment="1" applyProtection="1">
      <alignment horizontal="center" vertical="center" textRotation="90" wrapText="1"/>
      <protection hidden="1"/>
    </xf>
    <xf numFmtId="4" fontId="51" fillId="0" borderId="82" xfId="0" applyNumberFormat="1" applyFont="1" applyBorder="1" applyAlignment="1" applyProtection="1">
      <alignment horizontal="center" vertical="center" textRotation="90" wrapText="1"/>
      <protection hidden="1"/>
    </xf>
    <xf numFmtId="0" fontId="43" fillId="0" borderId="2" xfId="0" applyFont="1" applyBorder="1" applyAlignment="1" applyProtection="1">
      <alignment horizontal="center" vertical="center" textRotation="90" wrapText="1"/>
      <protection hidden="1"/>
    </xf>
    <xf numFmtId="0" fontId="36" fillId="0" borderId="2" xfId="0" applyFont="1" applyBorder="1" applyAlignment="1" applyProtection="1">
      <alignment horizontal="center" vertical="center" textRotation="90" wrapText="1"/>
      <protection hidden="1"/>
    </xf>
    <xf numFmtId="0" fontId="7" fillId="5" borderId="5" xfId="0" applyFont="1" applyFill="1" applyBorder="1" applyAlignment="1" applyProtection="1">
      <alignment horizontal="center"/>
      <protection hidden="1"/>
    </xf>
    <xf numFmtId="0" fontId="7" fillId="5" borderId="3" xfId="0" applyFont="1" applyFill="1" applyBorder="1" applyAlignment="1" applyProtection="1">
      <alignment horizontal="center"/>
      <protection hidden="1"/>
    </xf>
    <xf numFmtId="0" fontId="7" fillId="5" borderId="7" xfId="0" applyFont="1" applyFill="1" applyBorder="1" applyAlignment="1" applyProtection="1">
      <alignment horizontal="center"/>
      <protection hidden="1"/>
    </xf>
    <xf numFmtId="49" fontId="5" fillId="0" borderId="92" xfId="0" applyNumberFormat="1" applyFont="1" applyBorder="1" applyAlignment="1" applyProtection="1">
      <alignment horizontal="center" vertical="center" textRotation="90" wrapText="1"/>
      <protection hidden="1"/>
    </xf>
    <xf numFmtId="49" fontId="5" fillId="0" borderId="11" xfId="0" applyNumberFormat="1" applyFont="1" applyBorder="1" applyAlignment="1" applyProtection="1">
      <alignment horizontal="center" vertical="center" textRotation="90" wrapText="1"/>
      <protection hidden="1"/>
    </xf>
    <xf numFmtId="0" fontId="5" fillId="0" borderId="33" xfId="0" applyFont="1" applyBorder="1" applyAlignment="1" applyProtection="1">
      <alignment horizontal="center" vertical="center" textRotation="90" wrapText="1"/>
      <protection hidden="1"/>
    </xf>
    <xf numFmtId="0" fontId="5" fillId="0" borderId="11" xfId="0" applyFont="1" applyBorder="1" applyAlignment="1" applyProtection="1">
      <alignment horizontal="center" vertical="center" textRotation="90" wrapText="1"/>
      <protection hidden="1"/>
    </xf>
    <xf numFmtId="0" fontId="7" fillId="2" borderId="5" xfId="0" applyFont="1" applyFill="1" applyBorder="1" applyAlignment="1" applyProtection="1">
      <alignment horizontal="center"/>
      <protection hidden="1"/>
    </xf>
    <xf numFmtId="0" fontId="7" fillId="2" borderId="3" xfId="0" applyFont="1" applyFill="1" applyBorder="1" applyAlignment="1" applyProtection="1">
      <alignment horizontal="center"/>
      <protection hidden="1"/>
    </xf>
    <xf numFmtId="0" fontId="7" fillId="2" borderId="7" xfId="0" applyFont="1" applyFill="1" applyBorder="1" applyAlignment="1" applyProtection="1">
      <alignment horizontal="center"/>
      <protection hidden="1"/>
    </xf>
    <xf numFmtId="49" fontId="7" fillId="2" borderId="5" xfId="0" applyNumberFormat="1" applyFont="1" applyFill="1" applyBorder="1" applyAlignment="1" applyProtection="1">
      <alignment horizontal="center"/>
      <protection hidden="1"/>
    </xf>
    <xf numFmtId="49" fontId="7" fillId="2" borderId="3" xfId="0" applyNumberFormat="1" applyFont="1" applyFill="1" applyBorder="1" applyAlignment="1" applyProtection="1">
      <alignment horizontal="center"/>
      <protection hidden="1"/>
    </xf>
    <xf numFmtId="49" fontId="7" fillId="2" borderId="7" xfId="0" applyNumberFormat="1" applyFont="1" applyFill="1" applyBorder="1" applyAlignment="1" applyProtection="1">
      <alignment horizontal="center"/>
      <protection hidden="1"/>
    </xf>
    <xf numFmtId="15" fontId="5" fillId="6" borderId="92" xfId="0" applyNumberFormat="1" applyFont="1" applyFill="1" applyBorder="1" applyAlignment="1" applyProtection="1">
      <alignment horizontal="center" vertical="center" textRotation="90" wrapText="1"/>
      <protection hidden="1"/>
    </xf>
    <xf numFmtId="15" fontId="5" fillId="6" borderId="11" xfId="0" applyNumberFormat="1" applyFont="1" applyFill="1" applyBorder="1" applyAlignment="1" applyProtection="1">
      <alignment horizontal="center" vertical="center" textRotation="90" wrapText="1"/>
      <protection hidden="1"/>
    </xf>
    <xf numFmtId="0" fontId="5" fillId="0" borderId="92" xfId="0" applyFont="1" applyBorder="1" applyAlignment="1" applyProtection="1">
      <alignment horizontal="center" vertical="center" textRotation="90" wrapText="1"/>
      <protection hidden="1"/>
    </xf>
    <xf numFmtId="0" fontId="5" fillId="0" borderId="6" xfId="0" applyFont="1" applyBorder="1" applyAlignment="1" applyProtection="1">
      <alignment horizontal="center" vertical="center" textRotation="90" wrapText="1"/>
      <protection hidden="1"/>
    </xf>
    <xf numFmtId="15" fontId="5" fillId="0" borderId="92" xfId="0" applyNumberFormat="1" applyFont="1" applyBorder="1" applyAlignment="1" applyProtection="1">
      <alignment horizontal="center" vertical="center" textRotation="90" wrapText="1"/>
      <protection hidden="1"/>
    </xf>
    <xf numFmtId="15" fontId="5" fillId="0" borderId="11" xfId="0" applyNumberFormat="1" applyFont="1" applyBorder="1" applyAlignment="1" applyProtection="1">
      <alignment horizontal="center" vertical="center" textRotation="90" wrapText="1"/>
      <protection hidden="1"/>
    </xf>
    <xf numFmtId="0" fontId="2" fillId="0" borderId="33" xfId="0" applyFont="1" applyBorder="1" applyAlignment="1" applyProtection="1">
      <alignment horizontal="center" vertical="center" textRotation="90" wrapText="1"/>
      <protection hidden="1"/>
    </xf>
    <xf numFmtId="0" fontId="2" fillId="0" borderId="92" xfId="0" applyFont="1" applyBorder="1" applyAlignment="1" applyProtection="1">
      <alignment horizontal="center" vertical="center" textRotation="90" wrapText="1"/>
      <protection hidden="1"/>
    </xf>
    <xf numFmtId="0" fontId="2" fillId="0" borderId="11" xfId="0" applyFont="1" applyBorder="1" applyAlignment="1" applyProtection="1">
      <alignment horizontal="center" vertical="center" textRotation="90" wrapText="1"/>
      <protection hidden="1"/>
    </xf>
    <xf numFmtId="0" fontId="2" fillId="0" borderId="98" xfId="0" applyFont="1" applyBorder="1" applyAlignment="1" applyProtection="1">
      <alignment horizontal="center" vertical="center" textRotation="90" wrapText="1"/>
      <protection hidden="1"/>
    </xf>
    <xf numFmtId="0" fontId="2" fillId="0" borderId="76" xfId="0" applyFont="1" applyBorder="1" applyAlignment="1" applyProtection="1">
      <alignment horizontal="center" vertical="center" textRotation="90" wrapText="1"/>
      <protection hidden="1"/>
    </xf>
    <xf numFmtId="0" fontId="5" fillId="0" borderId="55" xfId="0" applyFont="1" applyBorder="1" applyAlignment="1" applyProtection="1">
      <alignment horizontal="center" vertical="center" textRotation="90" wrapText="1"/>
      <protection hidden="1"/>
    </xf>
    <xf numFmtId="0" fontId="5" fillId="0" borderId="130" xfId="0" applyFont="1" applyBorder="1" applyAlignment="1" applyProtection="1">
      <alignment horizontal="center" vertical="center" textRotation="90" wrapText="1"/>
      <protection hidden="1"/>
    </xf>
    <xf numFmtId="49" fontId="5" fillId="0" borderId="98" xfId="0" applyNumberFormat="1" applyFont="1" applyBorder="1" applyAlignment="1" applyProtection="1">
      <alignment horizontal="center" vertical="center" textRotation="90" wrapText="1"/>
      <protection hidden="1"/>
    </xf>
    <xf numFmtId="49" fontId="5" fillId="0" borderId="76" xfId="0" applyNumberFormat="1" applyFont="1" applyBorder="1" applyAlignment="1" applyProtection="1">
      <alignment horizontal="center" vertical="center" textRotation="90" wrapText="1"/>
      <protection hidden="1"/>
    </xf>
    <xf numFmtId="49" fontId="5" fillId="0" borderId="33" xfId="0" applyNumberFormat="1" applyFont="1" applyBorder="1" applyAlignment="1" applyProtection="1">
      <alignment horizontal="center" vertical="center" textRotation="90" wrapText="1"/>
      <protection hidden="1"/>
    </xf>
    <xf numFmtId="0" fontId="2" fillId="8" borderId="36" xfId="0" applyFont="1" applyFill="1" applyBorder="1" applyAlignment="1" applyProtection="1">
      <alignment horizontal="center"/>
      <protection hidden="1"/>
    </xf>
    <xf numFmtId="0" fontId="2" fillId="8" borderId="178" xfId="0" applyFont="1" applyFill="1" applyBorder="1" applyAlignment="1" applyProtection="1">
      <alignment horizontal="center"/>
      <protection hidden="1"/>
    </xf>
    <xf numFmtId="0" fontId="2" fillId="8" borderId="474" xfId="0" applyFont="1" applyFill="1" applyBorder="1" applyAlignment="1" applyProtection="1">
      <alignment horizontal="center"/>
      <protection hidden="1"/>
    </xf>
    <xf numFmtId="49" fontId="45" fillId="4" borderId="33" xfId="0" applyNumberFormat="1" applyFont="1" applyFill="1" applyBorder="1" applyAlignment="1" applyProtection="1">
      <alignment horizontal="center" vertical="center"/>
      <protection hidden="1"/>
    </xf>
    <xf numFmtId="49" fontId="45" fillId="4" borderId="11" xfId="0" applyNumberFormat="1" applyFont="1" applyFill="1" applyBorder="1" applyAlignment="1" applyProtection="1">
      <alignment horizontal="center" vertical="center"/>
      <protection hidden="1"/>
    </xf>
    <xf numFmtId="0" fontId="24" fillId="7" borderId="34" xfId="0" applyFont="1" applyFill="1" applyBorder="1" applyAlignment="1" applyProtection="1">
      <alignment horizontal="center"/>
      <protection hidden="1"/>
    </xf>
    <xf numFmtId="0" fontId="24" fillId="7" borderId="470" xfId="0" applyFont="1" applyFill="1" applyBorder="1" applyAlignment="1" applyProtection="1">
      <alignment horizontal="center"/>
      <protection hidden="1"/>
    </xf>
    <xf numFmtId="0" fontId="24" fillId="7" borderId="475" xfId="0" applyFont="1" applyFill="1" applyBorder="1" applyAlignment="1" applyProtection="1">
      <alignment horizontal="center"/>
      <protection hidden="1"/>
    </xf>
    <xf numFmtId="0" fontId="2" fillId="8" borderId="40" xfId="0" applyFont="1" applyFill="1" applyBorder="1" applyAlignment="1" applyProtection="1">
      <alignment horizontal="center"/>
      <protection hidden="1"/>
    </xf>
    <xf numFmtId="0" fontId="2" fillId="8" borderId="3" xfId="0" applyFont="1" applyFill="1" applyBorder="1" applyAlignment="1" applyProtection="1">
      <alignment horizontal="center"/>
      <protection hidden="1"/>
    </xf>
    <xf numFmtId="0" fontId="2" fillId="8" borderId="323" xfId="0" applyFont="1" applyFill="1" applyBorder="1" applyAlignment="1" applyProtection="1">
      <alignment horizontal="center"/>
      <protection hidden="1"/>
    </xf>
    <xf numFmtId="0" fontId="5" fillId="12" borderId="98" xfId="0" applyFont="1" applyFill="1" applyBorder="1" applyAlignment="1" applyProtection="1">
      <alignment horizontal="center" vertical="center" textRotation="90" wrapText="1"/>
      <protection hidden="1"/>
    </xf>
    <xf numFmtId="0" fontId="5" fillId="12" borderId="76" xfId="0" applyFont="1" applyFill="1" applyBorder="1" applyAlignment="1" applyProtection="1">
      <alignment horizontal="center" vertical="center" textRotation="90" wrapText="1"/>
      <protection hidden="1"/>
    </xf>
    <xf numFmtId="1" fontId="2" fillId="11" borderId="5" xfId="0" applyNumberFormat="1" applyFont="1" applyFill="1" applyBorder="1" applyAlignment="1" applyProtection="1">
      <alignment horizontal="center" wrapText="1"/>
      <protection hidden="1"/>
    </xf>
    <xf numFmtId="1" fontId="2" fillId="11" borderId="3" xfId="0" applyNumberFormat="1" applyFont="1" applyFill="1" applyBorder="1" applyAlignment="1" applyProtection="1">
      <alignment horizontal="center" wrapText="1"/>
      <protection hidden="1"/>
    </xf>
    <xf numFmtId="1" fontId="2" fillId="11" borderId="7" xfId="0" applyNumberFormat="1" applyFont="1" applyFill="1" applyBorder="1" applyAlignment="1" applyProtection="1">
      <alignment horizontal="center" wrapText="1"/>
      <protection hidden="1"/>
    </xf>
    <xf numFmtId="0" fontId="5" fillId="10" borderId="5" xfId="0" applyFont="1" applyFill="1" applyBorder="1" applyAlignment="1" applyProtection="1">
      <alignment horizontal="center" wrapText="1"/>
      <protection hidden="1"/>
    </xf>
    <xf numFmtId="0" fontId="5" fillId="10" borderId="3" xfId="0" applyFont="1" applyFill="1" applyBorder="1" applyAlignment="1" applyProtection="1">
      <alignment horizontal="center" wrapText="1"/>
      <protection hidden="1"/>
    </xf>
    <xf numFmtId="0" fontId="5" fillId="10" borderId="7" xfId="0" applyFont="1" applyFill="1" applyBorder="1" applyAlignment="1" applyProtection="1">
      <alignment horizontal="center" wrapText="1"/>
      <protection hidden="1"/>
    </xf>
    <xf numFmtId="0" fontId="2" fillId="0" borderId="55" xfId="0" applyFont="1" applyBorder="1" applyAlignment="1" applyProtection="1">
      <alignment horizontal="center" vertical="center" textRotation="90" wrapText="1"/>
      <protection hidden="1"/>
    </xf>
    <xf numFmtId="0" fontId="2" fillId="0" borderId="103" xfId="0" applyFont="1" applyBorder="1" applyAlignment="1" applyProtection="1">
      <alignment horizontal="center" vertical="center" textRotation="90" wrapText="1"/>
      <protection hidden="1"/>
    </xf>
    <xf numFmtId="0" fontId="2" fillId="11" borderId="46" xfId="0" applyFont="1" applyFill="1" applyBorder="1" applyAlignment="1" applyProtection="1">
      <alignment horizontal="center" wrapText="1"/>
      <protection hidden="1"/>
    </xf>
    <xf numFmtId="0" fontId="2" fillId="11" borderId="3" xfId="0" applyFont="1" applyFill="1" applyBorder="1" applyAlignment="1" applyProtection="1">
      <alignment horizontal="center" wrapText="1"/>
      <protection hidden="1"/>
    </xf>
    <xf numFmtId="0" fontId="5" fillId="10" borderId="476" xfId="0" applyFont="1" applyFill="1" applyBorder="1" applyAlignment="1" applyProtection="1">
      <alignment horizontal="center" vertical="center" textRotation="90" wrapText="1"/>
      <protection hidden="1"/>
    </xf>
    <xf numFmtId="0" fontId="5" fillId="10" borderId="477" xfId="0" applyFont="1" applyFill="1" applyBorder="1" applyAlignment="1" applyProtection="1">
      <alignment horizontal="center" vertical="center" textRotation="90" wrapText="1"/>
      <protection hidden="1"/>
    </xf>
    <xf numFmtId="0" fontId="7" fillId="0" borderId="0" xfId="0" applyFont="1" applyAlignment="1" applyProtection="1">
      <alignment horizontal="center" vertical="center" textRotation="90" wrapText="1"/>
      <protection hidden="1"/>
    </xf>
    <xf numFmtId="0" fontId="7" fillId="0" borderId="6" xfId="0" applyFont="1" applyBorder="1" applyAlignment="1" applyProtection="1">
      <alignment horizontal="center" vertical="center" textRotation="90" wrapText="1"/>
      <protection hidden="1"/>
    </xf>
    <xf numFmtId="0" fontId="5" fillId="0" borderId="64" xfId="0" applyFont="1" applyBorder="1" applyAlignment="1" applyProtection="1">
      <alignment horizontal="center" vertical="center" textRotation="90" wrapText="1"/>
      <protection hidden="1"/>
    </xf>
    <xf numFmtId="0" fontId="2" fillId="0" borderId="5" xfId="0" applyFont="1" applyBorder="1" applyAlignment="1" applyProtection="1">
      <alignment horizontal="center" vertical="center" textRotation="90" wrapText="1"/>
      <protection hidden="1"/>
    </xf>
    <xf numFmtId="0" fontId="2" fillId="0" borderId="7" xfId="0" applyFont="1" applyBorder="1" applyAlignment="1" applyProtection="1">
      <alignment horizontal="center" vertical="center" textRotation="90" wrapText="1"/>
      <protection hidden="1"/>
    </xf>
    <xf numFmtId="0" fontId="5" fillId="0" borderId="471" xfId="0" applyFont="1" applyBorder="1" applyAlignment="1" applyProtection="1">
      <alignment horizontal="center" vertical="center" wrapText="1"/>
      <protection hidden="1"/>
    </xf>
    <xf numFmtId="0" fontId="5" fillId="0" borderId="472" xfId="0" applyFont="1" applyBorder="1" applyAlignment="1" applyProtection="1">
      <alignment horizontal="center" vertical="center" wrapText="1"/>
      <protection hidden="1"/>
    </xf>
    <xf numFmtId="0" fontId="5" fillId="0" borderId="473" xfId="0" applyFont="1" applyBorder="1" applyAlignment="1" applyProtection="1">
      <alignment horizontal="center" vertical="center" wrapText="1"/>
      <protection hidden="1"/>
    </xf>
    <xf numFmtId="0" fontId="5" fillId="0" borderId="211" xfId="0" applyFont="1" applyBorder="1" applyAlignment="1" applyProtection="1">
      <alignment horizontal="center" vertical="center" textRotation="90" wrapText="1"/>
      <protection hidden="1"/>
    </xf>
    <xf numFmtId="0" fontId="5" fillId="0" borderId="15" xfId="0" applyFont="1" applyBorder="1" applyAlignment="1" applyProtection="1">
      <alignment horizontal="center" vertical="center" textRotation="90" wrapText="1"/>
      <protection hidden="1"/>
    </xf>
    <xf numFmtId="0" fontId="22" fillId="11" borderId="55" xfId="0" applyFont="1" applyFill="1" applyBorder="1" applyAlignment="1" applyProtection="1">
      <alignment horizontal="center" vertical="center" textRotation="90" wrapText="1"/>
      <protection hidden="1"/>
    </xf>
    <xf numFmtId="0" fontId="22" fillId="11" borderId="11" xfId="0" applyFont="1" applyFill="1" applyBorder="1" applyAlignment="1" applyProtection="1">
      <alignment horizontal="center" vertical="center" textRotation="90" wrapText="1"/>
      <protection hidden="1"/>
    </xf>
    <xf numFmtId="0" fontId="5" fillId="19" borderId="5" xfId="0" applyFont="1" applyFill="1" applyBorder="1" applyAlignment="1" applyProtection="1">
      <alignment horizontal="center" wrapText="1"/>
      <protection hidden="1"/>
    </xf>
    <xf numFmtId="0" fontId="5" fillId="19" borderId="3" xfId="0" applyFont="1" applyFill="1" applyBorder="1" applyAlignment="1" applyProtection="1">
      <alignment horizontal="center" wrapText="1"/>
      <protection hidden="1"/>
    </xf>
    <xf numFmtId="0" fontId="5" fillId="19" borderId="7" xfId="0" applyFont="1" applyFill="1" applyBorder="1" applyAlignment="1" applyProtection="1">
      <alignment horizontal="center" wrapText="1"/>
      <protection hidden="1"/>
    </xf>
    <xf numFmtId="0" fontId="52" fillId="0" borderId="3" xfId="0" applyFont="1" applyBorder="1" applyAlignment="1" applyProtection="1">
      <alignment horizontal="center" vertical="center" wrapText="1"/>
      <protection hidden="1"/>
    </xf>
    <xf numFmtId="0" fontId="52" fillId="0" borderId="61" xfId="0" applyFont="1" applyBorder="1" applyAlignment="1" applyProtection="1">
      <alignment horizontal="center" vertical="center" wrapText="1"/>
      <protection hidden="1"/>
    </xf>
    <xf numFmtId="0" fontId="2" fillId="0" borderId="84" xfId="0" applyFont="1" applyBorder="1" applyAlignment="1" applyProtection="1">
      <alignment horizontal="center" vertical="center" textRotation="90" wrapText="1"/>
      <protection hidden="1"/>
    </xf>
    <xf numFmtId="0" fontId="2" fillId="0" borderId="48" xfId="0" applyFont="1" applyBorder="1" applyAlignment="1" applyProtection="1">
      <alignment horizontal="center" vertical="center" textRotation="90" wrapText="1"/>
      <protection hidden="1"/>
    </xf>
    <xf numFmtId="0" fontId="2" fillId="0" borderId="470" xfId="0" applyFont="1" applyBorder="1" applyAlignment="1" applyProtection="1">
      <alignment horizontal="center" vertical="center" wrapText="1"/>
      <protection hidden="1"/>
    </xf>
    <xf numFmtId="0" fontId="2" fillId="0" borderId="478" xfId="0" applyFont="1" applyBorder="1" applyAlignment="1" applyProtection="1">
      <alignment horizontal="center" vertical="center" wrapText="1"/>
      <protection hidden="1"/>
    </xf>
    <xf numFmtId="0" fontId="5" fillId="0" borderId="7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5" fillId="0" borderId="47" xfId="0" applyFont="1" applyBorder="1" applyAlignment="1" applyProtection="1">
      <alignment horizontal="center" vertical="center" wrapText="1"/>
      <protection hidden="1"/>
    </xf>
    <xf numFmtId="0" fontId="5" fillId="0" borderId="76" xfId="0" applyFont="1" applyBorder="1" applyAlignment="1" applyProtection="1">
      <alignment horizontal="center" vertical="center" wrapText="1"/>
      <protection hidden="1"/>
    </xf>
    <xf numFmtId="0" fontId="5" fillId="0" borderId="6" xfId="0" applyFont="1" applyBorder="1" applyAlignment="1" applyProtection="1">
      <alignment horizontal="center" vertical="center" wrapText="1"/>
      <protection hidden="1"/>
    </xf>
    <xf numFmtId="0" fontId="5" fillId="0" borderId="185"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textRotation="90" wrapText="1"/>
      <protection hidden="1"/>
    </xf>
    <xf numFmtId="0" fontId="5" fillId="0" borderId="61" xfId="0" applyFont="1" applyBorder="1" applyAlignment="1" applyProtection="1">
      <alignment horizontal="center" vertical="center" textRotation="90" wrapText="1"/>
      <protection hidden="1"/>
    </xf>
    <xf numFmtId="0" fontId="2" fillId="0" borderId="0" xfId="0" applyFont="1" applyAlignment="1" applyProtection="1">
      <alignment horizontal="center"/>
      <protection hidden="1"/>
    </xf>
    <xf numFmtId="0" fontId="5" fillId="0" borderId="67" xfId="0" applyFont="1" applyBorder="1" applyAlignment="1" applyProtection="1">
      <alignment horizontal="center" vertical="center" wrapText="1"/>
      <protection hidden="1"/>
    </xf>
    <xf numFmtId="0" fontId="5" fillId="0" borderId="59" xfId="0" applyFont="1" applyBorder="1" applyAlignment="1" applyProtection="1">
      <alignment horizontal="center" vertical="center" wrapText="1"/>
      <protection hidden="1"/>
    </xf>
    <xf numFmtId="0" fontId="5" fillId="0" borderId="7" xfId="0" applyFont="1" applyBorder="1" applyAlignment="1" applyProtection="1">
      <alignment horizontal="center" vertical="center" wrapText="1"/>
      <protection hidden="1"/>
    </xf>
    <xf numFmtId="0" fontId="105" fillId="12" borderId="67" xfId="0" applyFont="1" applyFill="1" applyBorder="1" applyAlignment="1" applyProtection="1">
      <alignment horizontal="center" vertical="center" wrapText="1"/>
      <protection hidden="1"/>
    </xf>
    <xf numFmtId="0" fontId="105" fillId="12" borderId="59" xfId="0" applyFont="1" applyFill="1" applyBorder="1" applyAlignment="1" applyProtection="1">
      <alignment horizontal="center" vertical="center" wrapText="1"/>
      <protection hidden="1"/>
    </xf>
    <xf numFmtId="0" fontId="2" fillId="15" borderId="5" xfId="0" applyFont="1" applyFill="1" applyBorder="1" applyAlignment="1" applyProtection="1">
      <alignment horizontal="center" vertical="center" wrapText="1"/>
      <protection hidden="1"/>
    </xf>
    <xf numFmtId="0" fontId="2" fillId="15" borderId="61" xfId="0" applyFont="1" applyFill="1" applyBorder="1" applyAlignment="1" applyProtection="1">
      <alignment horizontal="center" vertical="center" wrapText="1"/>
      <protection hidden="1"/>
    </xf>
    <xf numFmtId="0" fontId="5" fillId="13" borderId="5" xfId="0" applyFont="1" applyFill="1" applyBorder="1" applyAlignment="1" applyProtection="1">
      <alignment horizontal="center" vertical="center" wrapText="1"/>
      <protection hidden="1"/>
    </xf>
    <xf numFmtId="0" fontId="5" fillId="13" borderId="3" xfId="0" applyFont="1" applyFill="1" applyBorder="1" applyAlignment="1" applyProtection="1">
      <alignment horizontal="center" vertical="center" wrapText="1"/>
      <protection hidden="1"/>
    </xf>
    <xf numFmtId="0" fontId="5" fillId="0" borderId="226" xfId="0" applyFont="1" applyBorder="1" applyAlignment="1" applyProtection="1">
      <alignment horizontal="center" vertical="center" wrapText="1"/>
      <protection hidden="1"/>
    </xf>
    <xf numFmtId="0" fontId="10" fillId="0" borderId="479" xfId="0" applyFont="1" applyBorder="1" applyAlignment="1" applyProtection="1">
      <alignment horizontal="center" vertical="center" wrapText="1"/>
      <protection hidden="1"/>
    </xf>
    <xf numFmtId="0" fontId="10" fillId="0" borderId="480" xfId="0" applyFont="1" applyBorder="1" applyAlignment="1" applyProtection="1">
      <alignment horizontal="center" vertical="center" wrapText="1"/>
      <protection hidden="1"/>
    </xf>
    <xf numFmtId="0" fontId="10" fillId="0" borderId="481" xfId="0" applyFont="1" applyBorder="1" applyAlignment="1" applyProtection="1">
      <alignment horizontal="center" vertical="center" wrapText="1"/>
      <protection hidden="1"/>
    </xf>
    <xf numFmtId="0" fontId="10" fillId="0" borderId="482" xfId="0" applyFont="1" applyBorder="1" applyAlignment="1" applyProtection="1">
      <alignment horizontal="center" vertical="center" wrapText="1"/>
      <protection hidden="1"/>
    </xf>
    <xf numFmtId="0" fontId="36" fillId="0" borderId="130" xfId="0" applyFont="1" applyBorder="1" applyAlignment="1" applyProtection="1">
      <alignment horizontal="center" vertical="center" textRotation="90" wrapText="1"/>
      <protection hidden="1"/>
    </xf>
    <xf numFmtId="0" fontId="36" fillId="0" borderId="11" xfId="0" applyFont="1" applyBorder="1" applyAlignment="1" applyProtection="1">
      <alignment horizontal="center" vertical="center" textRotation="90" wrapText="1"/>
      <protection hidden="1"/>
    </xf>
    <xf numFmtId="0" fontId="149" fillId="35" borderId="2" xfId="0" applyFont="1" applyFill="1" applyBorder="1" applyAlignment="1" applyProtection="1">
      <alignment horizontal="center" vertical="center" textRotation="90" wrapText="1"/>
      <protection hidden="1"/>
    </xf>
    <xf numFmtId="49" fontId="2" fillId="5" borderId="33" xfId="0" applyNumberFormat="1" applyFont="1" applyFill="1" applyBorder="1" applyAlignment="1" applyProtection="1">
      <alignment horizontal="center" vertical="center"/>
      <protection hidden="1"/>
    </xf>
    <xf numFmtId="49" fontId="2" fillId="5" borderId="92" xfId="0" applyNumberFormat="1" applyFont="1" applyFill="1" applyBorder="1" applyAlignment="1" applyProtection="1">
      <alignment horizontal="center" vertical="center"/>
      <protection hidden="1"/>
    </xf>
    <xf numFmtId="1" fontId="2" fillId="5" borderId="33" xfId="0" applyNumberFormat="1" applyFont="1" applyFill="1" applyBorder="1" applyAlignment="1" applyProtection="1">
      <alignment horizontal="center" vertical="center"/>
      <protection hidden="1"/>
    </xf>
    <xf numFmtId="1" fontId="2" fillId="5" borderId="92" xfId="0" applyNumberFormat="1" applyFont="1" applyFill="1" applyBorder="1" applyAlignment="1" applyProtection="1">
      <alignment horizontal="center" vertical="center"/>
      <protection hidden="1"/>
    </xf>
    <xf numFmtId="0" fontId="56" fillId="5" borderId="33" xfId="0" applyFont="1" applyFill="1" applyBorder="1" applyAlignment="1" applyProtection="1">
      <alignment horizontal="center" vertical="center"/>
      <protection hidden="1"/>
    </xf>
    <xf numFmtId="0" fontId="56" fillId="5" borderId="92" xfId="0" applyFont="1" applyFill="1" applyBorder="1" applyAlignment="1" applyProtection="1">
      <alignment horizontal="center" vertical="center"/>
      <protection hidden="1"/>
    </xf>
    <xf numFmtId="3" fontId="2" fillId="5" borderId="33" xfId="0" applyNumberFormat="1" applyFont="1" applyFill="1" applyBorder="1" applyAlignment="1" applyProtection="1">
      <alignment horizontal="center" vertical="center"/>
      <protection hidden="1"/>
    </xf>
    <xf numFmtId="3" fontId="2" fillId="5" borderId="92" xfId="0" applyNumberFormat="1" applyFont="1" applyFill="1" applyBorder="1" applyAlignment="1" applyProtection="1">
      <alignment horizontal="center" vertical="center"/>
      <protection hidden="1"/>
    </xf>
    <xf numFmtId="3" fontId="2" fillId="5" borderId="211" xfId="0" applyNumberFormat="1" applyFont="1" applyFill="1" applyBorder="1" applyAlignment="1" applyProtection="1">
      <alignment horizontal="center" vertical="center"/>
      <protection hidden="1"/>
    </xf>
    <xf numFmtId="3" fontId="2" fillId="5" borderId="230" xfId="0" applyNumberFormat="1" applyFont="1" applyFill="1" applyBorder="1" applyAlignment="1" applyProtection="1">
      <alignment horizontal="center" vertical="center"/>
      <protection hidden="1"/>
    </xf>
    <xf numFmtId="0" fontId="37" fillId="0" borderId="55" xfId="0" applyFont="1" applyBorder="1" applyAlignment="1">
      <alignment vertical="center"/>
    </xf>
    <xf numFmtId="0" fontId="37" fillId="0" borderId="103" xfId="0" applyFont="1" applyBorder="1" applyAlignment="1">
      <alignment vertical="center"/>
    </xf>
    <xf numFmtId="1" fontId="2" fillId="5" borderId="84" xfId="0" applyNumberFormat="1" applyFont="1" applyFill="1" applyBorder="1" applyAlignment="1" applyProtection="1">
      <alignment horizontal="center" vertical="center"/>
      <protection hidden="1"/>
    </xf>
    <xf numFmtId="1" fontId="2" fillId="5" borderId="64" xfId="0" applyNumberFormat="1" applyFont="1" applyFill="1" applyBorder="1" applyAlignment="1" applyProtection="1">
      <alignment horizontal="center" vertical="center"/>
      <protection hidden="1"/>
    </xf>
    <xf numFmtId="1" fontId="2" fillId="5" borderId="120" xfId="0" applyNumberFormat="1" applyFont="1" applyFill="1" applyBorder="1" applyAlignment="1" applyProtection="1">
      <alignment horizontal="center" vertical="center"/>
      <protection hidden="1"/>
    </xf>
    <xf numFmtId="1" fontId="2" fillId="5" borderId="466" xfId="0" applyNumberFormat="1" applyFont="1" applyFill="1" applyBorder="1" applyAlignment="1" applyProtection="1">
      <alignment horizontal="center" vertical="center"/>
      <protection hidden="1"/>
    </xf>
    <xf numFmtId="1" fontId="2" fillId="5" borderId="464" xfId="0" applyNumberFormat="1" applyFont="1" applyFill="1" applyBorder="1" applyAlignment="1" applyProtection="1">
      <alignment horizontal="center" vertical="center"/>
      <protection hidden="1"/>
    </xf>
    <xf numFmtId="1" fontId="2" fillId="5" borderId="467" xfId="0" applyNumberFormat="1" applyFont="1" applyFill="1" applyBorder="1" applyAlignment="1" applyProtection="1">
      <alignment horizontal="center" vertical="center"/>
      <protection hidden="1"/>
    </xf>
    <xf numFmtId="0" fontId="37" fillId="0" borderId="120" xfId="0" applyFont="1" applyBorder="1" applyAlignment="1">
      <alignment vertical="center"/>
    </xf>
    <xf numFmtId="0" fontId="37" fillId="0" borderId="47" xfId="0" applyFont="1" applyBorder="1" applyAlignment="1">
      <alignment vertical="center"/>
    </xf>
    <xf numFmtId="3" fontId="50" fillId="0" borderId="33" xfId="0" applyNumberFormat="1" applyFont="1" applyBorder="1" applyAlignment="1" applyProtection="1">
      <alignment horizontal="center" vertical="center"/>
      <protection hidden="1"/>
    </xf>
    <xf numFmtId="3" fontId="50" fillId="0" borderId="92" xfId="0" applyNumberFormat="1" applyFont="1" applyBorder="1" applyAlignment="1" applyProtection="1">
      <alignment horizontal="center" vertical="center"/>
      <protection hidden="1"/>
    </xf>
    <xf numFmtId="3" fontId="113" fillId="17" borderId="476" xfId="0" applyNumberFormat="1" applyFont="1" applyFill="1" applyBorder="1" applyAlignment="1" applyProtection="1">
      <alignment horizontal="center" vertical="center" wrapText="1"/>
      <protection hidden="1"/>
    </xf>
    <xf numFmtId="3" fontId="113" fillId="17" borderId="483" xfId="0" applyNumberFormat="1" applyFont="1" applyFill="1" applyBorder="1" applyAlignment="1" applyProtection="1">
      <alignment horizontal="center" vertical="center" wrapText="1"/>
      <protection hidden="1"/>
    </xf>
    <xf numFmtId="3" fontId="2" fillId="5" borderId="55" xfId="0" applyNumberFormat="1" applyFont="1" applyFill="1" applyBorder="1" applyAlignment="1" applyProtection="1">
      <alignment horizontal="center" vertical="center"/>
      <protection hidden="1"/>
    </xf>
    <xf numFmtId="3" fontId="2" fillId="5" borderId="103" xfId="0" applyNumberFormat="1" applyFont="1" applyFill="1" applyBorder="1" applyAlignment="1" applyProtection="1">
      <alignment horizontal="center" vertical="center"/>
      <protection hidden="1"/>
    </xf>
    <xf numFmtId="0" fontId="2" fillId="28" borderId="5" xfId="0" applyFont="1" applyFill="1" applyBorder="1" applyAlignment="1" applyProtection="1">
      <alignment horizontal="center" vertical="center" wrapText="1"/>
      <protection hidden="1"/>
    </xf>
    <xf numFmtId="0" fontId="2" fillId="28" borderId="323" xfId="0" applyFont="1" applyFill="1" applyBorder="1" applyAlignment="1" applyProtection="1">
      <alignment horizontal="center" vertical="center" wrapText="1"/>
      <protection hidden="1"/>
    </xf>
    <xf numFmtId="0" fontId="4" fillId="15" borderId="82" xfId="0" applyFont="1" applyFill="1" applyBorder="1" applyAlignment="1" applyProtection="1">
      <alignment horizontal="center" vertical="center" wrapText="1"/>
      <protection hidden="1"/>
    </xf>
    <xf numFmtId="0" fontId="4" fillId="15" borderId="6" xfId="0" applyFont="1" applyFill="1" applyBorder="1" applyAlignment="1" applyProtection="1">
      <alignment horizontal="center" vertical="center" wrapText="1"/>
      <protection hidden="1"/>
    </xf>
    <xf numFmtId="0" fontId="4" fillId="15" borderId="130" xfId="0" applyFont="1" applyFill="1" applyBorder="1" applyAlignment="1" applyProtection="1">
      <alignment horizontal="center" vertical="center" wrapText="1"/>
      <protection hidden="1"/>
    </xf>
    <xf numFmtId="0" fontId="4" fillId="15" borderId="3" xfId="0" applyFont="1" applyFill="1" applyBorder="1" applyAlignment="1" applyProtection="1">
      <alignment horizontal="center" vertical="center" wrapText="1"/>
      <protection hidden="1"/>
    </xf>
    <xf numFmtId="0" fontId="4" fillId="15" borderId="61" xfId="0" applyFont="1" applyFill="1" applyBorder="1" applyAlignment="1" applyProtection="1">
      <alignment horizontal="center" vertical="center" wrapText="1"/>
      <protection hidden="1"/>
    </xf>
    <xf numFmtId="3" fontId="50" fillId="5" borderId="84" xfId="0" applyNumberFormat="1" applyFont="1" applyFill="1" applyBorder="1" applyAlignment="1" applyProtection="1">
      <alignment horizontal="center" vertical="center" wrapText="1"/>
      <protection hidden="1"/>
    </xf>
    <xf numFmtId="3" fontId="50" fillId="5" borderId="64" xfId="0" applyNumberFormat="1" applyFont="1" applyFill="1" applyBorder="1" applyAlignment="1" applyProtection="1">
      <alignment horizontal="center" vertical="center" wrapText="1"/>
      <protection hidden="1"/>
    </xf>
    <xf numFmtId="3" fontId="50" fillId="5" borderId="120" xfId="0" applyNumberFormat="1" applyFont="1" applyFill="1" applyBorder="1" applyAlignment="1" applyProtection="1">
      <alignment horizontal="center" vertical="center" wrapText="1"/>
      <protection hidden="1"/>
    </xf>
    <xf numFmtId="3" fontId="50" fillId="5" borderId="466" xfId="0" applyNumberFormat="1" applyFont="1" applyFill="1" applyBorder="1" applyAlignment="1" applyProtection="1">
      <alignment horizontal="center" vertical="center" wrapText="1"/>
      <protection hidden="1"/>
    </xf>
    <xf numFmtId="3" fontId="50" fillId="5" borderId="464" xfId="0" applyNumberFormat="1" applyFont="1" applyFill="1" applyBorder="1" applyAlignment="1" applyProtection="1">
      <alignment horizontal="center" vertical="center" wrapText="1"/>
      <protection hidden="1"/>
    </xf>
    <xf numFmtId="3" fontId="50" fillId="5" borderId="467" xfId="0" applyNumberFormat="1" applyFont="1" applyFill="1" applyBorder="1" applyAlignment="1" applyProtection="1">
      <alignment horizontal="center" vertical="center" wrapText="1"/>
      <protection hidden="1"/>
    </xf>
    <xf numFmtId="0" fontId="4" fillId="15" borderId="73" xfId="0" applyFont="1" applyFill="1" applyBorder="1" applyAlignment="1" applyProtection="1">
      <alignment horizontal="center" vertical="center" wrapText="1"/>
      <protection hidden="1"/>
    </xf>
    <xf numFmtId="0" fontId="4" fillId="3" borderId="226" xfId="0" applyFont="1" applyFill="1" applyBorder="1" applyAlignment="1" applyProtection="1">
      <alignment horizontal="center" vertical="center" wrapText="1"/>
      <protection hidden="1"/>
    </xf>
    <xf numFmtId="0" fontId="2" fillId="28" borderId="7" xfId="0" applyFont="1" applyFill="1" applyBorder="1" applyAlignment="1" applyProtection="1">
      <alignment horizontal="center" vertical="center" wrapText="1"/>
      <protection hidden="1"/>
    </xf>
    <xf numFmtId="0" fontId="2" fillId="28" borderId="3" xfId="0" applyFont="1" applyFill="1" applyBorder="1" applyAlignment="1" applyProtection="1">
      <alignment horizontal="center" vertical="center" wrapText="1"/>
      <protection hidden="1"/>
    </xf>
    <xf numFmtId="0" fontId="2" fillId="0" borderId="64" xfId="0" applyFont="1" applyBorder="1" applyAlignment="1" applyProtection="1">
      <alignment horizontal="center" vertical="center" wrapText="1"/>
      <protection locked="0"/>
    </xf>
    <xf numFmtId="0" fontId="2" fillId="0" borderId="64" xfId="0" applyFont="1" applyBorder="1" applyAlignment="1" applyProtection="1">
      <alignment horizontal="center" vertical="center"/>
      <protection locked="0"/>
    </xf>
    <xf numFmtId="0" fontId="2" fillId="0" borderId="464" xfId="0" applyFont="1" applyBorder="1" applyAlignment="1" applyProtection="1">
      <alignment horizontal="center" vertical="center"/>
      <protection locked="0"/>
    </xf>
    <xf numFmtId="0" fontId="109" fillId="5" borderId="84" xfId="0" applyFont="1" applyFill="1" applyBorder="1" applyAlignment="1" applyProtection="1">
      <alignment horizontal="center" vertical="center" wrapText="1"/>
      <protection locked="0"/>
    </xf>
    <xf numFmtId="0" fontId="109" fillId="5" borderId="120" xfId="0" applyFont="1" applyFill="1" applyBorder="1" applyAlignment="1" applyProtection="1">
      <alignment horizontal="center" vertical="center" wrapText="1"/>
      <protection locked="0"/>
    </xf>
    <xf numFmtId="0" fontId="109" fillId="5" borderId="466" xfId="0" applyFont="1" applyFill="1" applyBorder="1" applyAlignment="1" applyProtection="1">
      <alignment horizontal="center" vertical="center" wrapText="1"/>
      <protection locked="0"/>
    </xf>
    <xf numFmtId="0" fontId="109" fillId="5" borderId="467" xfId="0" applyFont="1" applyFill="1" applyBorder="1" applyAlignment="1" applyProtection="1">
      <alignment horizontal="center" vertical="center" wrapText="1"/>
      <protection locked="0"/>
    </xf>
    <xf numFmtId="4" fontId="2" fillId="2" borderId="84" xfId="0" applyNumberFormat="1" applyFont="1" applyFill="1" applyBorder="1" applyAlignment="1" applyProtection="1">
      <alignment horizontal="center" vertical="center" wrapText="1"/>
      <protection hidden="1"/>
    </xf>
    <xf numFmtId="0" fontId="0" fillId="2" borderId="466" xfId="0" applyFill="1" applyBorder="1" applyAlignment="1">
      <alignment horizontal="center" vertical="center" wrapText="1"/>
    </xf>
    <xf numFmtId="0" fontId="27" fillId="0" borderId="344" xfId="0" applyFont="1" applyBorder="1" applyAlignment="1" applyProtection="1">
      <alignment horizontal="center" vertical="center" textRotation="90" wrapText="1"/>
      <protection hidden="1"/>
    </xf>
    <xf numFmtId="0" fontId="27" fillId="0" borderId="259" xfId="0" applyFont="1" applyBorder="1" applyAlignment="1" applyProtection="1">
      <alignment horizontal="center" vertical="center" textRotation="90" wrapText="1"/>
      <protection hidden="1"/>
    </xf>
    <xf numFmtId="0" fontId="2" fillId="24" borderId="46" xfId="0" applyFont="1" applyFill="1" applyBorder="1" applyAlignment="1" applyProtection="1">
      <alignment horizontal="center" vertical="center" wrapText="1"/>
      <protection hidden="1"/>
    </xf>
    <xf numFmtId="0" fontId="2" fillId="24" borderId="3" xfId="0" applyFont="1" applyFill="1" applyBorder="1" applyAlignment="1" applyProtection="1">
      <alignment horizontal="center" vertical="center" wrapText="1"/>
      <protection hidden="1"/>
    </xf>
    <xf numFmtId="0" fontId="2" fillId="24" borderId="61" xfId="0" applyFont="1" applyFill="1" applyBorder="1" applyAlignment="1" applyProtection="1">
      <alignment horizontal="center" vertical="center" wrapText="1"/>
      <protection hidden="1"/>
    </xf>
    <xf numFmtId="0" fontId="7" fillId="0" borderId="169" xfId="0" applyFont="1" applyBorder="1" applyAlignment="1" applyProtection="1">
      <alignment horizontal="center"/>
      <protection locked="0"/>
    </xf>
    <xf numFmtId="0" fontId="7" fillId="0" borderId="171" xfId="0" applyFont="1" applyBorder="1" applyAlignment="1" applyProtection="1">
      <alignment horizontal="center"/>
      <protection locked="0"/>
    </xf>
    <xf numFmtId="49" fontId="10" fillId="4" borderId="2" xfId="0" applyNumberFormat="1" applyFont="1" applyFill="1" applyBorder="1" applyAlignment="1" applyProtection="1">
      <alignment horizontal="center" vertical="center"/>
      <protection hidden="1"/>
    </xf>
    <xf numFmtId="49" fontId="6" fillId="0" borderId="2" xfId="0" applyNumberFormat="1" applyFont="1" applyBorder="1" applyAlignment="1">
      <alignment vertical="center"/>
    </xf>
    <xf numFmtId="49" fontId="7" fillId="2" borderId="64" xfId="0" applyNumberFormat="1" applyFont="1" applyFill="1" applyBorder="1" applyAlignment="1" applyProtection="1">
      <alignment horizontal="center"/>
      <protection hidden="1"/>
    </xf>
    <xf numFmtId="49" fontId="7" fillId="2" borderId="55" xfId="0" applyNumberFormat="1" applyFont="1" applyFill="1" applyBorder="1" applyAlignment="1" applyProtection="1">
      <alignment horizontal="center"/>
      <protection hidden="1"/>
    </xf>
    <xf numFmtId="1" fontId="2" fillId="11" borderId="76" xfId="0" applyNumberFormat="1" applyFont="1" applyFill="1" applyBorder="1" applyAlignment="1" applyProtection="1">
      <alignment horizontal="center" wrapText="1"/>
      <protection hidden="1"/>
    </xf>
    <xf numFmtId="1" fontId="2" fillId="11" borderId="6" xfId="0" applyNumberFormat="1" applyFont="1" applyFill="1" applyBorder="1" applyAlignment="1" applyProtection="1">
      <alignment horizontal="center" wrapText="1"/>
      <protection hidden="1"/>
    </xf>
    <xf numFmtId="0" fontId="5" fillId="12" borderId="33" xfId="0" applyFont="1" applyFill="1" applyBorder="1" applyAlignment="1" applyProtection="1">
      <alignment horizontal="center" vertical="center" textRotation="90" wrapText="1"/>
      <protection hidden="1"/>
    </xf>
    <xf numFmtId="0" fontId="5" fillId="12" borderId="11" xfId="0" applyFont="1" applyFill="1" applyBorder="1" applyAlignment="1" applyProtection="1">
      <alignment horizontal="center" vertical="center" textRotation="90" wrapText="1"/>
      <protection hidden="1"/>
    </xf>
    <xf numFmtId="1" fontId="19" fillId="0" borderId="33" xfId="0" applyNumberFormat="1" applyFont="1" applyBorder="1" applyAlignment="1" applyProtection="1">
      <alignment horizontal="center" vertical="center" textRotation="90" wrapText="1"/>
      <protection hidden="1"/>
    </xf>
    <xf numFmtId="1" fontId="19" fillId="0" borderId="11" xfId="0" applyNumberFormat="1" applyFont="1" applyBorder="1" applyAlignment="1" applyProtection="1">
      <alignment horizontal="center" vertical="center" textRotation="90" wrapText="1"/>
      <protection hidden="1"/>
    </xf>
    <xf numFmtId="0" fontId="5" fillId="10" borderId="6" xfId="0" applyFont="1" applyFill="1" applyBorder="1" applyAlignment="1" applyProtection="1">
      <alignment horizontal="center" wrapText="1"/>
      <protection hidden="1"/>
    </xf>
    <xf numFmtId="0" fontId="5" fillId="10" borderId="130" xfId="0" applyFont="1" applyFill="1" applyBorder="1" applyAlignment="1" applyProtection="1">
      <alignment horizontal="center" wrapText="1"/>
      <protection hidden="1"/>
    </xf>
    <xf numFmtId="0" fontId="4" fillId="15" borderId="46" xfId="0" applyFont="1" applyFill="1" applyBorder="1" applyAlignment="1" applyProtection="1">
      <alignment horizontal="center" vertical="center"/>
      <protection hidden="1"/>
    </xf>
    <xf numFmtId="0" fontId="6" fillId="0" borderId="5" xfId="0" applyFont="1" applyBorder="1" applyAlignment="1">
      <alignment horizontal="center" vertical="center" wrapText="1"/>
    </xf>
    <xf numFmtId="0" fontId="0" fillId="0" borderId="61" xfId="0" applyBorder="1" applyAlignment="1">
      <alignment horizontal="center" vertical="center" wrapText="1"/>
    </xf>
    <xf numFmtId="0" fontId="4" fillId="15" borderId="185" xfId="0" applyFont="1" applyFill="1" applyBorder="1" applyAlignment="1" applyProtection="1">
      <alignment horizontal="center" vertical="center" wrapText="1"/>
      <protection hidden="1"/>
    </xf>
    <xf numFmtId="0" fontId="44" fillId="0" borderId="3" xfId="0" applyFont="1" applyBorder="1" applyAlignment="1" applyProtection="1">
      <alignment horizontal="center" wrapText="1"/>
      <protection hidden="1"/>
    </xf>
    <xf numFmtId="0" fontId="44" fillId="0" borderId="61" xfId="0" applyFont="1" applyBorder="1" applyAlignment="1" applyProtection="1">
      <alignment horizontal="center" wrapText="1"/>
      <protection hidden="1"/>
    </xf>
    <xf numFmtId="0" fontId="5" fillId="0" borderId="2" xfId="0" applyFont="1" applyBorder="1" applyAlignment="1" applyProtection="1">
      <alignment horizontal="center" vertical="center" textRotation="90" wrapText="1"/>
      <protection hidden="1"/>
    </xf>
    <xf numFmtId="0" fontId="36" fillId="0" borderId="7" xfId="0" applyFont="1" applyBorder="1" applyAlignment="1" applyProtection="1">
      <alignment horizontal="center" vertical="center" textRotation="90" wrapText="1"/>
      <protection hidden="1"/>
    </xf>
    <xf numFmtId="0" fontId="4" fillId="0" borderId="484" xfId="0" applyFont="1" applyBorder="1" applyAlignment="1" applyProtection="1">
      <alignment horizontal="center" vertical="center" wrapText="1"/>
      <protection hidden="1"/>
    </xf>
    <xf numFmtId="0" fontId="4" fillId="0" borderId="32" xfId="0" applyFont="1" applyBorder="1" applyAlignment="1" applyProtection="1">
      <alignment horizontal="center" vertical="center" wrapText="1"/>
      <protection hidden="1"/>
    </xf>
    <xf numFmtId="0" fontId="16" fillId="0" borderId="272" xfId="0" applyFont="1" applyBorder="1" applyAlignment="1" applyProtection="1">
      <alignment horizontal="center" vertical="center" textRotation="90" wrapText="1"/>
      <protection hidden="1"/>
    </xf>
    <xf numFmtId="0" fontId="16" fillId="0" borderId="266" xfId="0" applyFont="1" applyBorder="1" applyAlignment="1" applyProtection="1">
      <alignment horizontal="center" vertical="center" textRotation="90" wrapText="1"/>
      <protection hidden="1"/>
    </xf>
    <xf numFmtId="0" fontId="105" fillId="12" borderId="479" xfId="0" applyFont="1" applyFill="1" applyBorder="1" applyAlignment="1" applyProtection="1">
      <alignment horizontal="center" vertical="center" wrapText="1"/>
      <protection hidden="1"/>
    </xf>
    <xf numFmtId="0" fontId="105" fillId="12" borderId="480" xfId="0" applyFont="1" applyFill="1" applyBorder="1" applyAlignment="1" applyProtection="1">
      <alignment horizontal="center" vertical="center" wrapText="1"/>
      <protection hidden="1"/>
    </xf>
    <xf numFmtId="0" fontId="5" fillId="0" borderId="84" xfId="0" applyFont="1" applyBorder="1" applyAlignment="1" applyProtection="1">
      <alignment horizontal="center" vertical="center" wrapText="1"/>
      <protection hidden="1"/>
    </xf>
    <xf numFmtId="0" fontId="5" fillId="0" borderId="64" xfId="0" applyFont="1" applyBorder="1" applyAlignment="1" applyProtection="1">
      <alignment horizontal="center" vertical="center" wrapText="1"/>
      <protection hidden="1"/>
    </xf>
    <xf numFmtId="0" fontId="5" fillId="0" borderId="120" xfId="0" applyFont="1" applyBorder="1" applyAlignment="1" applyProtection="1">
      <alignment horizontal="center" vertical="center" wrapText="1"/>
      <protection hidden="1"/>
    </xf>
    <xf numFmtId="0" fontId="27" fillId="15" borderId="344" xfId="0" applyFont="1" applyFill="1" applyBorder="1" applyAlignment="1" applyProtection="1">
      <alignment horizontal="center" vertical="center" textRotation="90" wrapText="1"/>
      <protection hidden="1"/>
    </xf>
    <xf numFmtId="0" fontId="27" fillId="15" borderId="259" xfId="0" applyFont="1" applyFill="1" applyBorder="1" applyAlignment="1" applyProtection="1">
      <alignment horizontal="center" vertical="center" textRotation="90" wrapText="1"/>
      <protection hidden="1"/>
    </xf>
    <xf numFmtId="0" fontId="2" fillId="15" borderId="98" xfId="0" applyFont="1" applyFill="1" applyBorder="1" applyAlignment="1" applyProtection="1">
      <alignment horizontal="center" vertical="center" wrapText="1"/>
      <protection hidden="1"/>
    </xf>
    <xf numFmtId="0" fontId="2" fillId="15" borderId="120" xfId="0" applyFont="1" applyFill="1" applyBorder="1" applyAlignment="1" applyProtection="1">
      <alignment horizontal="center" vertical="center" wrapText="1"/>
      <protection hidden="1"/>
    </xf>
    <xf numFmtId="0" fontId="2" fillId="15" borderId="76" xfId="0" applyFont="1" applyFill="1" applyBorder="1" applyAlignment="1" applyProtection="1">
      <alignment horizontal="center" vertical="center" wrapText="1"/>
      <protection hidden="1"/>
    </xf>
    <xf numFmtId="0" fontId="2" fillId="15" borderId="185" xfId="0" applyFont="1" applyFill="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61" xfId="0" applyFont="1" applyBorder="1" applyAlignment="1" applyProtection="1">
      <alignment horizontal="center" vertical="center" wrapText="1"/>
      <protection hidden="1"/>
    </xf>
    <xf numFmtId="0" fontId="6" fillId="0" borderId="76" xfId="0" applyFont="1" applyBorder="1" applyAlignment="1" applyProtection="1">
      <alignment horizontal="center" vertical="center" wrapText="1"/>
      <protection hidden="1"/>
    </xf>
    <xf numFmtId="0" fontId="6" fillId="0" borderId="185" xfId="0" applyFont="1" applyBorder="1" applyAlignment="1" applyProtection="1">
      <alignment horizontal="center" vertical="center" wrapText="1"/>
      <protection hidden="1"/>
    </xf>
    <xf numFmtId="0" fontId="2" fillId="0" borderId="98" xfId="0" applyFont="1" applyBorder="1" applyAlignment="1" applyProtection="1">
      <alignment horizontal="center" vertical="center" wrapText="1"/>
      <protection hidden="1"/>
    </xf>
    <xf numFmtId="0" fontId="2" fillId="0" borderId="120" xfId="0" applyFont="1" applyBorder="1" applyAlignment="1" applyProtection="1">
      <alignment horizontal="center" vertical="center" wrapText="1"/>
      <protection hidden="1"/>
    </xf>
    <xf numFmtId="0" fontId="2" fillId="0" borderId="76" xfId="0" applyFont="1" applyBorder="1" applyAlignment="1" applyProtection="1">
      <alignment horizontal="center" vertical="center" wrapText="1"/>
      <protection hidden="1"/>
    </xf>
    <xf numFmtId="0" fontId="2" fillId="0" borderId="185" xfId="0" applyFont="1" applyBorder="1" applyAlignment="1" applyProtection="1">
      <alignment horizontal="center" vertical="center" wrapText="1"/>
      <protection hidden="1"/>
    </xf>
    <xf numFmtId="0" fontId="49" fillId="0" borderId="5" xfId="0" applyFont="1" applyBorder="1" applyAlignment="1" applyProtection="1">
      <alignment horizontal="center" vertical="center" wrapText="1"/>
      <protection hidden="1"/>
    </xf>
    <xf numFmtId="0" fontId="49" fillId="0" borderId="61" xfId="0" applyFont="1" applyBorder="1" applyAlignment="1" applyProtection="1">
      <alignment horizontal="center" vertical="center" wrapText="1"/>
      <protection hidden="1"/>
    </xf>
    <xf numFmtId="0" fontId="13" fillId="0" borderId="46" xfId="0" applyFont="1" applyBorder="1" applyAlignment="1" applyProtection="1">
      <alignment horizontal="center" vertical="center" wrapText="1"/>
      <protection hidden="1"/>
    </xf>
    <xf numFmtId="0" fontId="13" fillId="0" borderId="3" xfId="0" applyFont="1" applyBorder="1" applyAlignment="1" applyProtection="1">
      <alignment horizontal="center" vertical="center" wrapText="1"/>
      <protection hidden="1"/>
    </xf>
    <xf numFmtId="0" fontId="13" fillId="0" borderId="61" xfId="0" applyFont="1" applyBorder="1" applyAlignment="1" applyProtection="1">
      <alignment horizontal="center" vertical="center" wrapText="1"/>
      <protection hidden="1"/>
    </xf>
    <xf numFmtId="0" fontId="5" fillId="0" borderId="103" xfId="0" applyFont="1" applyBorder="1" applyAlignment="1" applyProtection="1">
      <alignment horizontal="center" vertical="center" textRotation="90" wrapText="1"/>
      <protection hidden="1"/>
    </xf>
    <xf numFmtId="49" fontId="5" fillId="0" borderId="70" xfId="0" applyNumberFormat="1" applyFont="1" applyBorder="1" applyAlignment="1" applyProtection="1">
      <alignment horizontal="center" vertical="center" textRotation="90" wrapText="1"/>
      <protection hidden="1"/>
    </xf>
    <xf numFmtId="0" fontId="4" fillId="3" borderId="82" xfId="0" applyFont="1" applyFill="1" applyBorder="1" applyAlignment="1" applyProtection="1">
      <alignment horizontal="center" vertical="center" wrapText="1"/>
      <protection hidden="1"/>
    </xf>
    <xf numFmtId="0" fontId="4" fillId="3" borderId="130" xfId="0" applyFont="1" applyFill="1" applyBorder="1" applyAlignment="1" applyProtection="1">
      <alignment horizontal="center" vertical="center" wrapText="1"/>
      <protection hidden="1"/>
    </xf>
    <xf numFmtId="0" fontId="7" fillId="0" borderId="46" xfId="0" applyFont="1" applyBorder="1" applyAlignment="1" applyProtection="1">
      <alignment horizontal="center" vertical="center" wrapText="1"/>
      <protection hidden="1"/>
    </xf>
    <xf numFmtId="0" fontId="4" fillId="3" borderId="76" xfId="0" applyFont="1" applyFill="1" applyBorder="1" applyAlignment="1" applyProtection="1">
      <alignment horizontal="center" vertical="center" wrapText="1"/>
      <protection hidden="1"/>
    </xf>
    <xf numFmtId="0" fontId="4" fillId="3" borderId="6" xfId="0" applyFont="1" applyFill="1" applyBorder="1" applyAlignment="1" applyProtection="1">
      <alignment horizontal="center" vertical="center" wrapText="1"/>
      <protection hidden="1"/>
    </xf>
    <xf numFmtId="4" fontId="40" fillId="0" borderId="0" xfId="0" applyNumberFormat="1" applyFont="1" applyAlignment="1" applyProtection="1">
      <alignment horizontal="center" vertical="center" wrapText="1"/>
      <protection locked="0"/>
    </xf>
    <xf numFmtId="0" fontId="10" fillId="0" borderId="485" xfId="0" applyFont="1" applyBorder="1" applyAlignment="1" applyProtection="1">
      <alignment horizontal="center" vertical="center" wrapText="1"/>
      <protection hidden="1"/>
    </xf>
    <xf numFmtId="0" fontId="10" fillId="0" borderId="486" xfId="0" applyFont="1" applyBorder="1" applyAlignment="1" applyProtection="1">
      <alignment horizontal="center" vertical="center" wrapText="1"/>
      <protection hidden="1"/>
    </xf>
    <xf numFmtId="0" fontId="10" fillId="0" borderId="287" xfId="0" applyFont="1" applyBorder="1" applyAlignment="1" applyProtection="1">
      <alignment horizontal="center" vertical="center" wrapText="1"/>
      <protection hidden="1"/>
    </xf>
    <xf numFmtId="0" fontId="10" fillId="0" borderId="288" xfId="0" applyFont="1" applyBorder="1" applyAlignment="1" applyProtection="1">
      <alignment horizontal="center" vertical="center" wrapText="1"/>
      <protection hidden="1"/>
    </xf>
    <xf numFmtId="0" fontId="10" fillId="0" borderId="283" xfId="0" applyFont="1" applyBorder="1" applyAlignment="1" applyProtection="1">
      <alignment horizontal="center" vertical="center" wrapText="1"/>
      <protection hidden="1"/>
    </xf>
    <xf numFmtId="0" fontId="10" fillId="0" borderId="284" xfId="0" applyFont="1" applyBorder="1" applyAlignment="1" applyProtection="1">
      <alignment horizontal="center" vertical="center" wrapText="1"/>
      <protection hidden="1"/>
    </xf>
    <xf numFmtId="0" fontId="10" fillId="0" borderId="487" xfId="0" applyFont="1" applyBorder="1" applyAlignment="1" applyProtection="1">
      <alignment horizontal="center" vertical="center" wrapText="1"/>
      <protection hidden="1"/>
    </xf>
    <xf numFmtId="0" fontId="5" fillId="13" borderId="82" xfId="0" applyFont="1" applyFill="1" applyBorder="1" applyAlignment="1" applyProtection="1">
      <alignment horizontal="center" vertical="center" wrapText="1"/>
      <protection hidden="1"/>
    </xf>
    <xf numFmtId="0" fontId="5" fillId="13" borderId="6" xfId="0" applyFont="1" applyFill="1" applyBorder="1" applyAlignment="1" applyProtection="1">
      <alignment horizontal="center" vertical="center" wrapText="1"/>
      <protection hidden="1"/>
    </xf>
    <xf numFmtId="0" fontId="22" fillId="11" borderId="33" xfId="0" applyFont="1" applyFill="1" applyBorder="1" applyAlignment="1" applyProtection="1">
      <alignment horizontal="center" vertical="center" textRotation="90" wrapText="1"/>
      <protection hidden="1"/>
    </xf>
    <xf numFmtId="0" fontId="5" fillId="0" borderId="120" xfId="0" applyFont="1" applyBorder="1" applyAlignment="1" applyProtection="1">
      <alignment horizontal="center" vertical="center" textRotation="90" wrapText="1"/>
      <protection hidden="1"/>
    </xf>
    <xf numFmtId="0" fontId="5" fillId="0" borderId="185" xfId="0" applyFont="1" applyBorder="1" applyAlignment="1" applyProtection="1">
      <alignment horizontal="center" vertical="center" textRotation="90" wrapText="1"/>
      <protection hidden="1"/>
    </xf>
    <xf numFmtId="0" fontId="21" fillId="0" borderId="0" xfId="0" applyFont="1" applyAlignment="1" applyProtection="1">
      <alignment horizontal="center"/>
      <protection hidden="1"/>
    </xf>
    <xf numFmtId="0" fontId="54" fillId="0" borderId="0" xfId="0" applyFont="1" applyAlignment="1" applyProtection="1">
      <alignment horizontal="center"/>
      <protection hidden="1"/>
    </xf>
    <xf numFmtId="0" fontId="21" fillId="0" borderId="0" xfId="0" applyFont="1" applyAlignment="1" applyProtection="1">
      <alignment horizontal="center" vertical="center" wrapText="1"/>
      <protection hidden="1"/>
    </xf>
    <xf numFmtId="0" fontId="5" fillId="15" borderId="0" xfId="0" applyFont="1" applyFill="1" applyAlignment="1" applyProtection="1">
      <alignment horizontal="center"/>
      <protection hidden="1"/>
    </xf>
    <xf numFmtId="0" fontId="7" fillId="0" borderId="0" xfId="0" applyFont="1" applyAlignment="1" applyProtection="1">
      <alignment horizontal="center" vertical="center" wrapText="1"/>
      <protection hidden="1"/>
    </xf>
    <xf numFmtId="0" fontId="73" fillId="0" borderId="31"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43" xfId="0" applyFont="1" applyBorder="1" applyAlignment="1">
      <alignment horizontal="center" vertical="center" wrapText="1"/>
    </xf>
    <xf numFmtId="0" fontId="73" fillId="0" borderId="65" xfId="0" applyFont="1" applyBorder="1" applyAlignment="1">
      <alignment horizontal="center" vertical="center" wrapText="1"/>
    </xf>
    <xf numFmtId="0" fontId="41" fillId="14" borderId="94" xfId="0" applyFont="1" applyFill="1" applyBorder="1" applyAlignment="1">
      <alignment horizontal="center"/>
    </xf>
    <xf numFmtId="0" fontId="41" fillId="14" borderId="32" xfId="0" applyFont="1" applyFill="1" applyBorder="1" applyAlignment="1">
      <alignment horizontal="center"/>
    </xf>
    <xf numFmtId="0" fontId="52" fillId="0" borderId="0" xfId="0" applyFont="1" applyAlignment="1">
      <alignment horizontal="center"/>
    </xf>
    <xf numFmtId="4" fontId="104" fillId="0" borderId="24" xfId="0" applyNumberFormat="1" applyFont="1" applyBorder="1" applyAlignment="1">
      <alignment horizontal="center"/>
    </xf>
    <xf numFmtId="4" fontId="104" fillId="0" borderId="31" xfId="0" applyNumberFormat="1" applyFont="1" applyBorder="1" applyAlignment="1">
      <alignment horizontal="center"/>
    </xf>
    <xf numFmtId="4" fontId="104" fillId="0" borderId="25" xfId="0" applyNumberFormat="1" applyFont="1" applyBorder="1" applyAlignment="1">
      <alignment horizontal="center"/>
    </xf>
    <xf numFmtId="0" fontId="13" fillId="13" borderId="24" xfId="0" applyFont="1" applyFill="1" applyBorder="1" applyAlignment="1">
      <alignment horizontal="center"/>
    </xf>
    <xf numFmtId="0" fontId="13" fillId="13" borderId="31" xfId="0" applyFont="1" applyFill="1" applyBorder="1" applyAlignment="1">
      <alignment horizontal="center"/>
    </xf>
    <xf numFmtId="0" fontId="13" fillId="13" borderId="25" xfId="0" applyFont="1" applyFill="1" applyBorder="1" applyAlignment="1">
      <alignment horizontal="center"/>
    </xf>
    <xf numFmtId="0" fontId="6" fillId="0" borderId="94" xfId="0" applyFont="1" applyBorder="1" applyAlignment="1">
      <alignment horizontal="center"/>
    </xf>
    <xf numFmtId="0" fontId="6" fillId="0" borderId="32" xfId="0" applyFont="1" applyBorder="1" applyAlignment="1">
      <alignment horizontal="center"/>
    </xf>
    <xf numFmtId="0" fontId="41" fillId="18" borderId="0" xfId="0" applyFont="1" applyFill="1" applyAlignment="1">
      <alignment horizontal="center"/>
    </xf>
    <xf numFmtId="0" fontId="13" fillId="0" borderId="38" xfId="0" applyFont="1" applyBorder="1" applyAlignment="1" applyProtection="1">
      <alignment horizontal="center" vertical="center" wrapText="1"/>
      <protection hidden="1"/>
    </xf>
    <xf numFmtId="0" fontId="13" fillId="0" borderId="65" xfId="0" applyFont="1" applyBorder="1" applyAlignment="1" applyProtection="1">
      <alignment horizontal="center" vertical="center" wrapText="1"/>
      <protection hidden="1"/>
    </xf>
    <xf numFmtId="0" fontId="13" fillId="0" borderId="43" xfId="0" applyFont="1" applyBorder="1" applyAlignment="1" applyProtection="1">
      <alignment horizontal="center" vertical="center" wrapText="1"/>
      <protection hidden="1"/>
    </xf>
    <xf numFmtId="0" fontId="13" fillId="0" borderId="24" xfId="0" applyFont="1" applyBorder="1" applyAlignment="1">
      <alignment horizontal="center"/>
    </xf>
    <xf numFmtId="0" fontId="13" fillId="0" borderId="31" xfId="0" applyFont="1" applyBorder="1" applyAlignment="1">
      <alignment horizontal="center"/>
    </xf>
    <xf numFmtId="0" fontId="13" fillId="0" borderId="25" xfId="0" applyFont="1" applyBorder="1" applyAlignment="1">
      <alignment horizontal="center"/>
    </xf>
    <xf numFmtId="0" fontId="13" fillId="0" borderId="38" xfId="0" applyFont="1" applyBorder="1" applyAlignment="1">
      <alignment horizontal="center"/>
    </xf>
    <xf numFmtId="0" fontId="13" fillId="0" borderId="65" xfId="0" applyFont="1" applyBorder="1" applyAlignment="1">
      <alignment horizontal="center"/>
    </xf>
    <xf numFmtId="0" fontId="13" fillId="0" borderId="43" xfId="0" applyFont="1" applyBorder="1" applyAlignment="1">
      <alignment horizontal="center"/>
    </xf>
    <xf numFmtId="0" fontId="9" fillId="0" borderId="0" xfId="0" applyFont="1" applyAlignment="1">
      <alignment horizontal="center"/>
    </xf>
    <xf numFmtId="0" fontId="11" fillId="0" borderId="65" xfId="0" applyFont="1" applyBorder="1" applyAlignment="1">
      <alignment horizontal="center" vertical="center" wrapText="1"/>
    </xf>
    <xf numFmtId="0" fontId="10" fillId="0" borderId="65" xfId="0" applyFont="1" applyBorder="1" applyAlignment="1">
      <alignment horizontal="center" vertical="center" wrapText="1"/>
    </xf>
    <xf numFmtId="0" fontId="13" fillId="0" borderId="24" xfId="0" applyFont="1" applyBorder="1" applyAlignment="1">
      <alignment horizontal="center" vertical="center"/>
    </xf>
    <xf numFmtId="0" fontId="13" fillId="0" borderId="31" xfId="0" applyFont="1" applyBorder="1" applyAlignment="1">
      <alignment horizontal="center" vertical="center"/>
    </xf>
    <xf numFmtId="0" fontId="13" fillId="0" borderId="25" xfId="0" applyFont="1" applyBorder="1" applyAlignment="1">
      <alignment horizontal="center" vertical="center"/>
    </xf>
    <xf numFmtId="0" fontId="13" fillId="0" borderId="488" xfId="0" applyFont="1" applyBorder="1" applyAlignment="1">
      <alignment horizontal="center" vertical="center"/>
    </xf>
    <xf numFmtId="0" fontId="13" fillId="0" borderId="489" xfId="0" applyFont="1" applyBorder="1" applyAlignment="1">
      <alignment horizontal="center" vertical="center"/>
    </xf>
    <xf numFmtId="0" fontId="13" fillId="0" borderId="490" xfId="0" applyFont="1" applyBorder="1" applyAlignment="1">
      <alignment horizontal="center" vertical="center"/>
    </xf>
    <xf numFmtId="0" fontId="9" fillId="0" borderId="24" xfId="0" applyFont="1" applyBorder="1" applyAlignment="1">
      <alignment horizontal="center" vertical="center" wrapText="1"/>
    </xf>
    <xf numFmtId="0" fontId="9" fillId="0" borderId="491"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455" xfId="0" applyFont="1" applyBorder="1" applyAlignment="1">
      <alignment horizontal="center" vertical="center" wrapText="1"/>
    </xf>
    <xf numFmtId="0" fontId="9" fillId="0" borderId="94" xfId="0" applyFont="1" applyBorder="1" applyAlignment="1">
      <alignment horizontal="center" vertical="center" wrapText="1"/>
    </xf>
    <xf numFmtId="0" fontId="9" fillId="0" borderId="492" xfId="0" applyFont="1" applyBorder="1" applyAlignment="1">
      <alignment horizontal="center" vertical="center" wrapText="1"/>
    </xf>
    <xf numFmtId="49" fontId="32" fillId="24" borderId="33" xfId="0" applyNumberFormat="1" applyFont="1" applyFill="1" applyBorder="1" applyAlignment="1">
      <alignment horizontal="center" vertical="center"/>
    </xf>
    <xf numFmtId="49" fontId="32" fillId="24" borderId="98" xfId="0" applyNumberFormat="1" applyFont="1" applyFill="1" applyBorder="1" applyAlignment="1">
      <alignment horizontal="center" vertical="center"/>
    </xf>
    <xf numFmtId="49" fontId="32" fillId="24" borderId="64" xfId="0" applyNumberFormat="1" applyFont="1" applyFill="1" applyBorder="1" applyAlignment="1">
      <alignment horizontal="center" vertical="center"/>
    </xf>
    <xf numFmtId="49" fontId="32" fillId="24" borderId="55" xfId="0" applyNumberFormat="1" applyFont="1" applyFill="1" applyBorder="1" applyAlignment="1">
      <alignment horizontal="center" vertical="center"/>
    </xf>
    <xf numFmtId="49" fontId="41" fillId="3" borderId="0" xfId="0" applyNumberFormat="1" applyFont="1" applyFill="1" applyAlignment="1">
      <alignment horizontal="center" vertical="center"/>
    </xf>
    <xf numFmtId="1" fontId="35" fillId="0" borderId="0" xfId="0" applyNumberFormat="1" applyFont="1" applyAlignment="1">
      <alignment horizontal="center" vertical="center" textRotation="90" wrapText="1"/>
    </xf>
    <xf numFmtId="1" fontId="35" fillId="0" borderId="0" xfId="0" applyNumberFormat="1" applyFont="1" applyAlignment="1">
      <alignment horizontal="center" vertical="center" wrapText="1"/>
    </xf>
    <xf numFmtId="49" fontId="32" fillId="3" borderId="98" xfId="0" applyNumberFormat="1" applyFont="1" applyFill="1" applyBorder="1" applyAlignment="1">
      <alignment horizontal="center" vertical="center"/>
    </xf>
    <xf numFmtId="49" fontId="32" fillId="3" borderId="64" xfId="0" applyNumberFormat="1" applyFont="1" applyFill="1" applyBorder="1" applyAlignment="1">
      <alignment horizontal="center" vertical="center"/>
    </xf>
    <xf numFmtId="49" fontId="32" fillId="3" borderId="55" xfId="0" applyNumberFormat="1" applyFont="1" applyFill="1" applyBorder="1" applyAlignment="1">
      <alignment horizontal="center" vertical="center"/>
    </xf>
    <xf numFmtId="49" fontId="6" fillId="15" borderId="98" xfId="0" applyNumberFormat="1" applyFont="1" applyFill="1" applyBorder="1" applyAlignment="1">
      <alignment horizontal="center" vertical="center"/>
    </xf>
    <xf numFmtId="49" fontId="6" fillId="15" borderId="55" xfId="0" applyNumberFormat="1" applyFont="1" applyFill="1" applyBorder="1" applyAlignment="1">
      <alignment horizontal="center" vertical="center"/>
    </xf>
    <xf numFmtId="49" fontId="6" fillId="15" borderId="0" xfId="0" applyNumberFormat="1" applyFont="1" applyFill="1" applyAlignment="1">
      <alignment horizontal="center" vertical="center"/>
    </xf>
    <xf numFmtId="49" fontId="13" fillId="15" borderId="98" xfId="0" applyNumberFormat="1" applyFont="1" applyFill="1" applyBorder="1" applyAlignment="1">
      <alignment horizontal="center" vertical="center"/>
    </xf>
    <xf numFmtId="49" fontId="13" fillId="15" borderId="55" xfId="0" applyNumberFormat="1" applyFont="1" applyFill="1" applyBorder="1" applyAlignment="1">
      <alignment horizontal="center" vertical="center"/>
    </xf>
    <xf numFmtId="0" fontId="134" fillId="0" borderId="0" xfId="0" applyFont="1" applyAlignment="1" applyProtection="1">
      <alignment horizontal="center" vertical="center" wrapText="1"/>
      <protection hidden="1"/>
    </xf>
    <xf numFmtId="4" fontId="6" fillId="13" borderId="357" xfId="0" applyNumberFormat="1" applyFont="1" applyFill="1" applyBorder="1" applyAlignment="1" applyProtection="1">
      <alignment horizontal="center" vertical="center" textRotation="90" wrapText="1"/>
      <protection hidden="1"/>
    </xf>
    <xf numFmtId="4" fontId="6" fillId="13" borderId="0" xfId="0" applyNumberFormat="1" applyFont="1" applyFill="1" applyAlignment="1" applyProtection="1">
      <alignment horizontal="center" vertical="center" textRotation="90" wrapText="1"/>
      <protection hidden="1"/>
    </xf>
    <xf numFmtId="4" fontId="6" fillId="13" borderId="362" xfId="0" applyNumberFormat="1" applyFont="1" applyFill="1" applyBorder="1" applyAlignment="1" applyProtection="1">
      <alignment horizontal="center" vertical="center" textRotation="90" wrapText="1"/>
      <protection hidden="1"/>
    </xf>
    <xf numFmtId="4" fontId="6" fillId="2" borderId="0" xfId="0" applyNumberFormat="1" applyFont="1" applyFill="1" applyAlignment="1" applyProtection="1">
      <alignment horizontal="center" textRotation="90" wrapText="1"/>
      <protection hidden="1"/>
    </xf>
    <xf numFmtId="0" fontId="5" fillId="0" borderId="27" xfId="0" applyFont="1" applyBorder="1" applyAlignment="1" applyProtection="1">
      <alignment horizontal="center"/>
      <protection hidden="1"/>
    </xf>
    <xf numFmtId="0" fontId="5" fillId="0" borderId="32" xfId="0" applyFont="1" applyBorder="1" applyAlignment="1" applyProtection="1">
      <alignment horizontal="center" vertical="center"/>
      <protection hidden="1"/>
    </xf>
    <xf numFmtId="0" fontId="5" fillId="0" borderId="93" xfId="0" applyFont="1" applyBorder="1" applyAlignment="1" applyProtection="1">
      <alignment horizontal="center" vertical="center"/>
      <protection hidden="1"/>
    </xf>
    <xf numFmtId="0" fontId="6" fillId="0" borderId="55" xfId="0" applyFont="1" applyBorder="1" applyAlignment="1">
      <alignment horizontal="center" vertical="center"/>
    </xf>
    <xf numFmtId="0" fontId="0" fillId="0" borderId="130" xfId="0" applyBorder="1" applyAlignment="1">
      <alignment horizontal="center" vertical="center"/>
    </xf>
    <xf numFmtId="0" fontId="13" fillId="0" borderId="0" xfId="0" applyFont="1" applyAlignment="1">
      <alignment horizontal="center"/>
    </xf>
  </cellXfs>
  <cellStyles count="247">
    <cellStyle name="20 % - Accent1 2" xfId="1" xr:uid="{00000000-0005-0000-0000-000000000000}"/>
    <cellStyle name="20 % - Accent1 2 2" xfId="2" xr:uid="{00000000-0005-0000-0000-000001000000}"/>
    <cellStyle name="20 % - Accent2 2" xfId="3" xr:uid="{00000000-0005-0000-0000-000002000000}"/>
    <cellStyle name="20 % - Accent2 2 2" xfId="4" xr:uid="{00000000-0005-0000-0000-000003000000}"/>
    <cellStyle name="20 % - Accent3 2" xfId="5" xr:uid="{00000000-0005-0000-0000-000004000000}"/>
    <cellStyle name="20 % - Accent3 2 2" xfId="6" xr:uid="{00000000-0005-0000-0000-000005000000}"/>
    <cellStyle name="20 % - Accent4 2" xfId="7" xr:uid="{00000000-0005-0000-0000-000006000000}"/>
    <cellStyle name="20 % - Accent4 2 2" xfId="8" xr:uid="{00000000-0005-0000-0000-000007000000}"/>
    <cellStyle name="20 % - Accent5 2" xfId="9" xr:uid="{00000000-0005-0000-0000-000008000000}"/>
    <cellStyle name="20 % - Accent5 2 2" xfId="10" xr:uid="{00000000-0005-0000-0000-000009000000}"/>
    <cellStyle name="20 % - Accent6 2" xfId="11" xr:uid="{00000000-0005-0000-0000-00000A000000}"/>
    <cellStyle name="20 % - Accent6 2 2" xfId="12" xr:uid="{00000000-0005-0000-0000-00000B000000}"/>
    <cellStyle name="40 % - Accent1 2" xfId="13" xr:uid="{00000000-0005-0000-0000-00000C000000}"/>
    <cellStyle name="40 % - Accent1 2 2" xfId="14" xr:uid="{00000000-0005-0000-0000-00000D000000}"/>
    <cellStyle name="40 % - Accent2 2" xfId="15" xr:uid="{00000000-0005-0000-0000-00000E000000}"/>
    <cellStyle name="40 % - Accent2 2 2" xfId="16" xr:uid="{00000000-0005-0000-0000-00000F000000}"/>
    <cellStyle name="40 % - Accent3 2" xfId="17" xr:uid="{00000000-0005-0000-0000-000010000000}"/>
    <cellStyle name="40 % - Accent3 2 2" xfId="18" xr:uid="{00000000-0005-0000-0000-000011000000}"/>
    <cellStyle name="40 % - Accent4 2" xfId="19" xr:uid="{00000000-0005-0000-0000-000012000000}"/>
    <cellStyle name="40 % - Accent4 2 2" xfId="20" xr:uid="{00000000-0005-0000-0000-000013000000}"/>
    <cellStyle name="40 % - Accent5 2" xfId="21" xr:uid="{00000000-0005-0000-0000-000014000000}"/>
    <cellStyle name="40 % - Accent5 2 2" xfId="22" xr:uid="{00000000-0005-0000-0000-000015000000}"/>
    <cellStyle name="40 % - Accent6 2" xfId="23" xr:uid="{00000000-0005-0000-0000-000016000000}"/>
    <cellStyle name="40 % - Accent6 2 2" xfId="24" xr:uid="{00000000-0005-0000-0000-000017000000}"/>
    <cellStyle name="Accent1" xfId="25" builtinId="29" customBuiltin="1"/>
    <cellStyle name="Accent2" xfId="26" builtinId="33" customBuiltin="1"/>
    <cellStyle name="Accent3" xfId="27" builtinId="37" customBuiltin="1"/>
    <cellStyle name="Accent4" xfId="28" builtinId="41" customBuiltin="1"/>
    <cellStyle name="Accent5" xfId="29" builtinId="45" customBuiltin="1"/>
    <cellStyle name="Accent6" xfId="30" builtinId="49" customBuiltin="1"/>
    <cellStyle name="Catégorie du tableau croisé" xfId="31" xr:uid="{00000000-0005-0000-0000-00001E000000}"/>
    <cellStyle name="Champ du tableau croisé" xfId="32" xr:uid="{00000000-0005-0000-0000-00001F000000}"/>
    <cellStyle name="Coin du tableau croisé" xfId="33" xr:uid="{00000000-0005-0000-0000-000020000000}"/>
    <cellStyle name="Commentaire 2" xfId="34" xr:uid="{00000000-0005-0000-0000-000021000000}"/>
    <cellStyle name="Commentaire 2 2" xfId="35" xr:uid="{00000000-0005-0000-0000-000022000000}"/>
    <cellStyle name="Commentaire 2 2 2" xfId="36" xr:uid="{00000000-0005-0000-0000-000023000000}"/>
    <cellStyle name="Commentaire 2 3" xfId="37" xr:uid="{00000000-0005-0000-0000-000024000000}"/>
    <cellStyle name="ConditionalStyle_10" xfId="38" xr:uid="{00000000-0005-0000-0000-000025000000}"/>
    <cellStyle name="Excel Built-in Hyperlink" xfId="39" xr:uid="{00000000-0005-0000-0000-000026000000}"/>
    <cellStyle name="Excel Built-in Normal" xfId="40" xr:uid="{00000000-0005-0000-0000-000027000000}"/>
    <cellStyle name="Excel Built-in Percent" xfId="41" xr:uid="{00000000-0005-0000-0000-000028000000}"/>
    <cellStyle name="Good" xfId="42" builtinId="26"/>
    <cellStyle name="Heading" xfId="43" xr:uid="{00000000-0005-0000-0000-00002A000000}"/>
    <cellStyle name="Heading1" xfId="44" xr:uid="{00000000-0005-0000-0000-00002B000000}"/>
    <cellStyle name="Hyperlink" xfId="45" builtinId="8"/>
    <cellStyle name="Lien hypertexte 2" xfId="46" xr:uid="{00000000-0005-0000-0000-00002D000000}"/>
    <cellStyle name="Lien hypertexte 2 2" xfId="47" xr:uid="{00000000-0005-0000-0000-00002E000000}"/>
    <cellStyle name="Lien hypertexte 2 2 2" xfId="48" xr:uid="{00000000-0005-0000-0000-00002F000000}"/>
    <cellStyle name="Lien hypertexte 2 3" xfId="49" xr:uid="{00000000-0005-0000-0000-000030000000}"/>
    <cellStyle name="Lien hypertexte 3" xfId="50" xr:uid="{00000000-0005-0000-0000-000031000000}"/>
    <cellStyle name="Lien hypertexte 3 2" xfId="51" xr:uid="{00000000-0005-0000-0000-000032000000}"/>
    <cellStyle name="Lien hypertexte 3 2 2" xfId="52" xr:uid="{00000000-0005-0000-0000-000033000000}"/>
    <cellStyle name="Lien hypertexte 3 3" xfId="53" xr:uid="{00000000-0005-0000-0000-000034000000}"/>
    <cellStyle name="Lien hypertexte 4" xfId="54" xr:uid="{00000000-0005-0000-0000-000035000000}"/>
    <cellStyle name="Lien hypertexte 5" xfId="55" xr:uid="{00000000-0005-0000-0000-000036000000}"/>
    <cellStyle name="Lien hypertexte 6" xfId="56" xr:uid="{00000000-0005-0000-0000-000037000000}"/>
    <cellStyle name="Milliers 2" xfId="57" xr:uid="{00000000-0005-0000-0000-000038000000}"/>
    <cellStyle name="Milliers 2 2" xfId="58" xr:uid="{00000000-0005-0000-0000-000039000000}"/>
    <cellStyle name="Neutral" xfId="59" builtinId="28"/>
    <cellStyle name="Normal" xfId="0" builtinId="0"/>
    <cellStyle name="Normal 10" xfId="60" xr:uid="{00000000-0005-0000-0000-00003C000000}"/>
    <cellStyle name="Normal 11" xfId="61" xr:uid="{00000000-0005-0000-0000-00003D000000}"/>
    <cellStyle name="Normal 12" xfId="62" xr:uid="{00000000-0005-0000-0000-00003E000000}"/>
    <cellStyle name="Normal 2" xfId="63" xr:uid="{00000000-0005-0000-0000-00003F000000}"/>
    <cellStyle name="Normal 2 2" xfId="64" xr:uid="{00000000-0005-0000-0000-000040000000}"/>
    <cellStyle name="Normal 2 2 2" xfId="65" xr:uid="{00000000-0005-0000-0000-000041000000}"/>
    <cellStyle name="Normal 2 2 3" xfId="66" xr:uid="{00000000-0005-0000-0000-000042000000}"/>
    <cellStyle name="Normal 2 2 3 2" xfId="67" xr:uid="{00000000-0005-0000-0000-000043000000}"/>
    <cellStyle name="Normal 2 2 4" xfId="68" xr:uid="{00000000-0005-0000-0000-000044000000}"/>
    <cellStyle name="Normal 2 2 4 2" xfId="69" xr:uid="{00000000-0005-0000-0000-000045000000}"/>
    <cellStyle name="Normal 2 2 5" xfId="70" xr:uid="{00000000-0005-0000-0000-000046000000}"/>
    <cellStyle name="Normal 2 3" xfId="71" xr:uid="{00000000-0005-0000-0000-000047000000}"/>
    <cellStyle name="Normal 2 4" xfId="72" xr:uid="{00000000-0005-0000-0000-000048000000}"/>
    <cellStyle name="Normal 2 4 2" xfId="73" xr:uid="{00000000-0005-0000-0000-000049000000}"/>
    <cellStyle name="Normal 2 5" xfId="74" xr:uid="{00000000-0005-0000-0000-00004A000000}"/>
    <cellStyle name="Normal 2 5 2" xfId="75" xr:uid="{00000000-0005-0000-0000-00004B000000}"/>
    <cellStyle name="Normal 2 6" xfId="76" xr:uid="{00000000-0005-0000-0000-00004C000000}"/>
    <cellStyle name="Normal 2 6 2" xfId="77" xr:uid="{00000000-0005-0000-0000-00004D000000}"/>
    <cellStyle name="Normal 2 7" xfId="78" xr:uid="{00000000-0005-0000-0000-00004E000000}"/>
    <cellStyle name="Normal 2 7 2" xfId="79" xr:uid="{00000000-0005-0000-0000-00004F000000}"/>
    <cellStyle name="Normal 2 8" xfId="80" xr:uid="{00000000-0005-0000-0000-000050000000}"/>
    <cellStyle name="Normal 2 8 2" xfId="81" xr:uid="{00000000-0005-0000-0000-000051000000}"/>
    <cellStyle name="Normal 3" xfId="82" xr:uid="{00000000-0005-0000-0000-000052000000}"/>
    <cellStyle name="Normal 3 10" xfId="83" xr:uid="{00000000-0005-0000-0000-000053000000}"/>
    <cellStyle name="Normal 3 11" xfId="84" xr:uid="{00000000-0005-0000-0000-000054000000}"/>
    <cellStyle name="Normal 3 2" xfId="85" xr:uid="{00000000-0005-0000-0000-000055000000}"/>
    <cellStyle name="Normal 3 2 2" xfId="86" xr:uid="{00000000-0005-0000-0000-000056000000}"/>
    <cellStyle name="Normal 3 2 2 2" xfId="87" xr:uid="{00000000-0005-0000-0000-000057000000}"/>
    <cellStyle name="Normal 3 2 2 2 2" xfId="88" xr:uid="{00000000-0005-0000-0000-000058000000}"/>
    <cellStyle name="Normal 3 2 2 2 2 2" xfId="89" xr:uid="{00000000-0005-0000-0000-000059000000}"/>
    <cellStyle name="Normal 3 2 2 2 2 3" xfId="90" xr:uid="{00000000-0005-0000-0000-00005A000000}"/>
    <cellStyle name="Normal 3 2 2 2 3" xfId="91" xr:uid="{00000000-0005-0000-0000-00005B000000}"/>
    <cellStyle name="Normal 3 2 2 2 4" xfId="92" xr:uid="{00000000-0005-0000-0000-00005C000000}"/>
    <cellStyle name="Normal 3 2 2 3" xfId="93" xr:uid="{00000000-0005-0000-0000-00005D000000}"/>
    <cellStyle name="Normal 3 2 2 4" xfId="94" xr:uid="{00000000-0005-0000-0000-00005E000000}"/>
    <cellStyle name="Normal 3 2 2 4 2" xfId="95" xr:uid="{00000000-0005-0000-0000-00005F000000}"/>
    <cellStyle name="Normal 3 2 2 4 2 2" xfId="96" xr:uid="{00000000-0005-0000-0000-000060000000}"/>
    <cellStyle name="Normal 3 2 2 4 2 3" xfId="97" xr:uid="{00000000-0005-0000-0000-000061000000}"/>
    <cellStyle name="Normal 3 2 2 4 3" xfId="98" xr:uid="{00000000-0005-0000-0000-000062000000}"/>
    <cellStyle name="Normal 3 2 2 4 4" xfId="99" xr:uid="{00000000-0005-0000-0000-000063000000}"/>
    <cellStyle name="Normal 3 2 2 5" xfId="100" xr:uid="{00000000-0005-0000-0000-000064000000}"/>
    <cellStyle name="Normal 3 2 2 5 2" xfId="101" xr:uid="{00000000-0005-0000-0000-000065000000}"/>
    <cellStyle name="Normal 3 2 2 5 3" xfId="102" xr:uid="{00000000-0005-0000-0000-000066000000}"/>
    <cellStyle name="Normal 3 2 2 6" xfId="103" xr:uid="{00000000-0005-0000-0000-000067000000}"/>
    <cellStyle name="Normal 3 2 2 7" xfId="104" xr:uid="{00000000-0005-0000-0000-000068000000}"/>
    <cellStyle name="Normal 3 2 3" xfId="105" xr:uid="{00000000-0005-0000-0000-000069000000}"/>
    <cellStyle name="Normal 3 2 3 2" xfId="106" xr:uid="{00000000-0005-0000-0000-00006A000000}"/>
    <cellStyle name="Normal 3 2 3 2 2" xfId="107" xr:uid="{00000000-0005-0000-0000-00006B000000}"/>
    <cellStyle name="Normal 3 2 3 2 2 2" xfId="108" xr:uid="{00000000-0005-0000-0000-00006C000000}"/>
    <cellStyle name="Normal 3 2 3 2 2 3" xfId="109" xr:uid="{00000000-0005-0000-0000-00006D000000}"/>
    <cellStyle name="Normal 3 2 3 2 3" xfId="110" xr:uid="{00000000-0005-0000-0000-00006E000000}"/>
    <cellStyle name="Normal 3 2 3 2 4" xfId="111" xr:uid="{00000000-0005-0000-0000-00006F000000}"/>
    <cellStyle name="Normal 3 2 3 3" xfId="112" xr:uid="{00000000-0005-0000-0000-000070000000}"/>
    <cellStyle name="Normal 3 2 3 4" xfId="113" xr:uid="{00000000-0005-0000-0000-000071000000}"/>
    <cellStyle name="Normal 3 2 3 4 2" xfId="114" xr:uid="{00000000-0005-0000-0000-000072000000}"/>
    <cellStyle name="Normal 3 2 3 4 2 2" xfId="115" xr:uid="{00000000-0005-0000-0000-000073000000}"/>
    <cellStyle name="Normal 3 2 3 4 2 3" xfId="116" xr:uid="{00000000-0005-0000-0000-000074000000}"/>
    <cellStyle name="Normal 3 2 3 4 3" xfId="117" xr:uid="{00000000-0005-0000-0000-000075000000}"/>
    <cellStyle name="Normal 3 2 3 4 4" xfId="118" xr:uid="{00000000-0005-0000-0000-000076000000}"/>
    <cellStyle name="Normal 3 2 3 5" xfId="119" xr:uid="{00000000-0005-0000-0000-000077000000}"/>
    <cellStyle name="Normal 3 2 3 5 2" xfId="120" xr:uid="{00000000-0005-0000-0000-000078000000}"/>
    <cellStyle name="Normal 3 2 3 5 3" xfId="121" xr:uid="{00000000-0005-0000-0000-000079000000}"/>
    <cellStyle name="Normal 3 2 3 6" xfId="122" xr:uid="{00000000-0005-0000-0000-00007A000000}"/>
    <cellStyle name="Normal 3 2 3 7" xfId="123" xr:uid="{00000000-0005-0000-0000-00007B000000}"/>
    <cellStyle name="Normal 3 2 4" xfId="124" xr:uid="{00000000-0005-0000-0000-00007C000000}"/>
    <cellStyle name="Normal 3 2 4 2" xfId="125" xr:uid="{00000000-0005-0000-0000-00007D000000}"/>
    <cellStyle name="Normal 3 2 4 2 2" xfId="126" xr:uid="{00000000-0005-0000-0000-00007E000000}"/>
    <cellStyle name="Normal 3 2 4 2 3" xfId="127" xr:uid="{00000000-0005-0000-0000-00007F000000}"/>
    <cellStyle name="Normal 3 2 4 3" xfId="128" xr:uid="{00000000-0005-0000-0000-000080000000}"/>
    <cellStyle name="Normal 3 2 4 4" xfId="129" xr:uid="{00000000-0005-0000-0000-000081000000}"/>
    <cellStyle name="Normal 3 2 5" xfId="130" xr:uid="{00000000-0005-0000-0000-000082000000}"/>
    <cellStyle name="Normal 3 2 6" xfId="131" xr:uid="{00000000-0005-0000-0000-000083000000}"/>
    <cellStyle name="Normal 3 2 6 2" xfId="132" xr:uid="{00000000-0005-0000-0000-000084000000}"/>
    <cellStyle name="Normal 3 2 6 2 2" xfId="133" xr:uid="{00000000-0005-0000-0000-000085000000}"/>
    <cellStyle name="Normal 3 2 6 2 3" xfId="134" xr:uid="{00000000-0005-0000-0000-000086000000}"/>
    <cellStyle name="Normal 3 2 6 3" xfId="135" xr:uid="{00000000-0005-0000-0000-000087000000}"/>
    <cellStyle name="Normal 3 2 6 4" xfId="136" xr:uid="{00000000-0005-0000-0000-000088000000}"/>
    <cellStyle name="Normal 3 2 7" xfId="137" xr:uid="{00000000-0005-0000-0000-000089000000}"/>
    <cellStyle name="Normal 3 2 7 2" xfId="138" xr:uid="{00000000-0005-0000-0000-00008A000000}"/>
    <cellStyle name="Normal 3 2 7 3" xfId="139" xr:uid="{00000000-0005-0000-0000-00008B000000}"/>
    <cellStyle name="Normal 3 2 8" xfId="140" xr:uid="{00000000-0005-0000-0000-00008C000000}"/>
    <cellStyle name="Normal 3 2 9" xfId="141" xr:uid="{00000000-0005-0000-0000-00008D000000}"/>
    <cellStyle name="Normal 3 3" xfId="142" xr:uid="{00000000-0005-0000-0000-00008E000000}"/>
    <cellStyle name="Normal 3 3 2" xfId="143" xr:uid="{00000000-0005-0000-0000-00008F000000}"/>
    <cellStyle name="Normal 3 3 2 2" xfId="144" xr:uid="{00000000-0005-0000-0000-000090000000}"/>
    <cellStyle name="Normal 3 3 2 2 2" xfId="145" xr:uid="{00000000-0005-0000-0000-000091000000}"/>
    <cellStyle name="Normal 3 3 2 2 3" xfId="146" xr:uid="{00000000-0005-0000-0000-000092000000}"/>
    <cellStyle name="Normal 3 3 2 3" xfId="147" xr:uid="{00000000-0005-0000-0000-000093000000}"/>
    <cellStyle name="Normal 3 3 2 4" xfId="148" xr:uid="{00000000-0005-0000-0000-000094000000}"/>
    <cellStyle name="Normal 3 3 3" xfId="149" xr:uid="{00000000-0005-0000-0000-000095000000}"/>
    <cellStyle name="Normal 3 3 4" xfId="150" xr:uid="{00000000-0005-0000-0000-000096000000}"/>
    <cellStyle name="Normal 3 3 4 2" xfId="151" xr:uid="{00000000-0005-0000-0000-000097000000}"/>
    <cellStyle name="Normal 3 3 4 2 2" xfId="152" xr:uid="{00000000-0005-0000-0000-000098000000}"/>
    <cellStyle name="Normal 3 3 4 2 3" xfId="153" xr:uid="{00000000-0005-0000-0000-000099000000}"/>
    <cellStyle name="Normal 3 3 4 3" xfId="154" xr:uid="{00000000-0005-0000-0000-00009A000000}"/>
    <cellStyle name="Normal 3 3 4 4" xfId="155" xr:uid="{00000000-0005-0000-0000-00009B000000}"/>
    <cellStyle name="Normal 3 3 5" xfId="156" xr:uid="{00000000-0005-0000-0000-00009C000000}"/>
    <cellStyle name="Normal 3 3 5 2" xfId="157" xr:uid="{00000000-0005-0000-0000-00009D000000}"/>
    <cellStyle name="Normal 3 3 5 3" xfId="158" xr:uid="{00000000-0005-0000-0000-00009E000000}"/>
    <cellStyle name="Normal 3 3 6" xfId="159" xr:uid="{00000000-0005-0000-0000-00009F000000}"/>
    <cellStyle name="Normal 3 3 7" xfId="160" xr:uid="{00000000-0005-0000-0000-0000A0000000}"/>
    <cellStyle name="Normal 3 4" xfId="161" xr:uid="{00000000-0005-0000-0000-0000A1000000}"/>
    <cellStyle name="Normal 3 4 2" xfId="162" xr:uid="{00000000-0005-0000-0000-0000A2000000}"/>
    <cellStyle name="Normal 3 4 2 2" xfId="163" xr:uid="{00000000-0005-0000-0000-0000A3000000}"/>
    <cellStyle name="Normal 3 4 2 2 2" xfId="164" xr:uid="{00000000-0005-0000-0000-0000A4000000}"/>
    <cellStyle name="Normal 3 4 2 2 3" xfId="165" xr:uid="{00000000-0005-0000-0000-0000A5000000}"/>
    <cellStyle name="Normal 3 4 2 3" xfId="166" xr:uid="{00000000-0005-0000-0000-0000A6000000}"/>
    <cellStyle name="Normal 3 4 2 4" xfId="167" xr:uid="{00000000-0005-0000-0000-0000A7000000}"/>
    <cellStyle name="Normal 3 4 3" xfId="168" xr:uid="{00000000-0005-0000-0000-0000A8000000}"/>
    <cellStyle name="Normal 3 4 4" xfId="169" xr:uid="{00000000-0005-0000-0000-0000A9000000}"/>
    <cellStyle name="Normal 3 4 4 2" xfId="170" xr:uid="{00000000-0005-0000-0000-0000AA000000}"/>
    <cellStyle name="Normal 3 4 4 2 2" xfId="171" xr:uid="{00000000-0005-0000-0000-0000AB000000}"/>
    <cellStyle name="Normal 3 4 4 2 3" xfId="172" xr:uid="{00000000-0005-0000-0000-0000AC000000}"/>
    <cellStyle name="Normal 3 4 4 3" xfId="173" xr:uid="{00000000-0005-0000-0000-0000AD000000}"/>
    <cellStyle name="Normal 3 4 4 4" xfId="174" xr:uid="{00000000-0005-0000-0000-0000AE000000}"/>
    <cellStyle name="Normal 3 4 5" xfId="175" xr:uid="{00000000-0005-0000-0000-0000AF000000}"/>
    <cellStyle name="Normal 3 4 5 2" xfId="176" xr:uid="{00000000-0005-0000-0000-0000B0000000}"/>
    <cellStyle name="Normal 3 4 5 3" xfId="177" xr:uid="{00000000-0005-0000-0000-0000B1000000}"/>
    <cellStyle name="Normal 3 4 6" xfId="178" xr:uid="{00000000-0005-0000-0000-0000B2000000}"/>
    <cellStyle name="Normal 3 4 7" xfId="179" xr:uid="{00000000-0005-0000-0000-0000B3000000}"/>
    <cellStyle name="Normal 3 5" xfId="180" xr:uid="{00000000-0005-0000-0000-0000B4000000}"/>
    <cellStyle name="Normal 3 5 2" xfId="181" xr:uid="{00000000-0005-0000-0000-0000B5000000}"/>
    <cellStyle name="Normal 3 5 2 2" xfId="182" xr:uid="{00000000-0005-0000-0000-0000B6000000}"/>
    <cellStyle name="Normal 3 5 2 3" xfId="183" xr:uid="{00000000-0005-0000-0000-0000B7000000}"/>
    <cellStyle name="Normal 3 5 3" xfId="184" xr:uid="{00000000-0005-0000-0000-0000B8000000}"/>
    <cellStyle name="Normal 3 5 4" xfId="185" xr:uid="{00000000-0005-0000-0000-0000B9000000}"/>
    <cellStyle name="Normal 3 6" xfId="186" xr:uid="{00000000-0005-0000-0000-0000BA000000}"/>
    <cellStyle name="Normal 3 7" xfId="187" xr:uid="{00000000-0005-0000-0000-0000BB000000}"/>
    <cellStyle name="Normal 3 7 2" xfId="188" xr:uid="{00000000-0005-0000-0000-0000BC000000}"/>
    <cellStyle name="Normal 3 7 2 2" xfId="189" xr:uid="{00000000-0005-0000-0000-0000BD000000}"/>
    <cellStyle name="Normal 3 7 2 3" xfId="190" xr:uid="{00000000-0005-0000-0000-0000BE000000}"/>
    <cellStyle name="Normal 3 7 3" xfId="191" xr:uid="{00000000-0005-0000-0000-0000BF000000}"/>
    <cellStyle name="Normal 3 7 4" xfId="192" xr:uid="{00000000-0005-0000-0000-0000C0000000}"/>
    <cellStyle name="Normal 3 8" xfId="193" xr:uid="{00000000-0005-0000-0000-0000C1000000}"/>
    <cellStyle name="Normal 3 8 2" xfId="194" xr:uid="{00000000-0005-0000-0000-0000C2000000}"/>
    <cellStyle name="Normal 3 8 3" xfId="195" xr:uid="{00000000-0005-0000-0000-0000C3000000}"/>
    <cellStyle name="Normal 3 9" xfId="196" xr:uid="{00000000-0005-0000-0000-0000C4000000}"/>
    <cellStyle name="Normal 4" xfId="197" xr:uid="{00000000-0005-0000-0000-0000C5000000}"/>
    <cellStyle name="Normal 4 2" xfId="198" xr:uid="{00000000-0005-0000-0000-0000C6000000}"/>
    <cellStyle name="Normal 5" xfId="199" xr:uid="{00000000-0005-0000-0000-0000C7000000}"/>
    <cellStyle name="Normal 5 2" xfId="200" xr:uid="{00000000-0005-0000-0000-0000C8000000}"/>
    <cellStyle name="Normal 6" xfId="201" xr:uid="{00000000-0005-0000-0000-0000C9000000}"/>
    <cellStyle name="Normal 7" xfId="202" xr:uid="{00000000-0005-0000-0000-0000CA000000}"/>
    <cellStyle name="Normal 7 2" xfId="203" xr:uid="{00000000-0005-0000-0000-0000CB000000}"/>
    <cellStyle name="Normal 8" xfId="204" xr:uid="{00000000-0005-0000-0000-0000CC000000}"/>
    <cellStyle name="Normal 8 2" xfId="205" xr:uid="{00000000-0005-0000-0000-0000CD000000}"/>
    <cellStyle name="Normal 9" xfId="206" xr:uid="{00000000-0005-0000-0000-0000CE000000}"/>
    <cellStyle name="Normal_&lt;X_OpvolgingAccess" xfId="207" xr:uid="{00000000-0005-0000-0000-0000CF000000}"/>
    <cellStyle name="Normal_&lt;X_OpvolgingImport" xfId="208" xr:uid="{00000000-0005-0000-0000-0000D0000000}"/>
    <cellStyle name="Normal_BarO-PROV" xfId="209" xr:uid="{00000000-0005-0000-0000-0000D1000000}"/>
    <cellStyle name="Normal_BarR" xfId="210" xr:uid="{00000000-0005-0000-0000-0000D2000000}"/>
    <cellStyle name="Normal_BarR_1" xfId="211" xr:uid="{00000000-0005-0000-0000-0000D3000000}"/>
    <cellStyle name="Normal_BarR_2" xfId="212" xr:uid="{00000000-0005-0000-0000-0000D4000000}"/>
    <cellStyle name="Normal_BarR_3" xfId="213" xr:uid="{00000000-0005-0000-0000-0000D5000000}"/>
    <cellStyle name="Normal_Budgetopvolging  X " xfId="214" xr:uid="{00000000-0005-0000-0000-0000D6000000}"/>
    <cellStyle name="Normal_Extract Supan" xfId="215" xr:uid="{00000000-0005-0000-0000-0000D7000000}"/>
    <cellStyle name="Normal_LCD" xfId="216" xr:uid="{00000000-0005-0000-0000-0000D8000000}"/>
    <cellStyle name="Normal_Ops" xfId="217" xr:uid="{00000000-0005-0000-0000-0000D9000000}"/>
    <cellStyle name="Normal_Sheet1" xfId="218" xr:uid="{00000000-0005-0000-0000-0000DA000000}"/>
    <cellStyle name="Normal_Sheet4" xfId="219" xr:uid="{00000000-0005-0000-0000-0000DB000000}"/>
    <cellStyle name="Normal_Supan" xfId="220" xr:uid="{00000000-0005-0000-0000-0000DC000000}"/>
    <cellStyle name="Normal_X_OpvolgingImport" xfId="221" xr:uid="{00000000-0005-0000-0000-0000DD000000}"/>
    <cellStyle name="Normal_X_SuiviImport" xfId="222" xr:uid="{00000000-0005-0000-0000-0000DE000000}"/>
    <cellStyle name="Normal_Zone" xfId="223" xr:uid="{00000000-0005-0000-0000-0000DF000000}"/>
    <cellStyle name="Normal_Zone_1" xfId="224" xr:uid="{00000000-0005-0000-0000-0000E0000000}"/>
    <cellStyle name="Pourcentage 2" xfId="225" xr:uid="{00000000-0005-0000-0000-0000E1000000}"/>
    <cellStyle name="Pourcentage 2 2" xfId="226" xr:uid="{00000000-0005-0000-0000-0000E2000000}"/>
    <cellStyle name="Pourcentage 3" xfId="227" xr:uid="{00000000-0005-0000-0000-0000E3000000}"/>
    <cellStyle name="Pourcentage 4" xfId="228" xr:uid="{00000000-0005-0000-0000-0000E4000000}"/>
    <cellStyle name="Procent 2" xfId="229" xr:uid="{00000000-0005-0000-0000-0000E5000000}"/>
    <cellStyle name="Result" xfId="230" xr:uid="{00000000-0005-0000-0000-0000E6000000}"/>
    <cellStyle name="Result2" xfId="231" xr:uid="{00000000-0005-0000-0000-0000E7000000}"/>
    <cellStyle name="Résultat du tableau croisé" xfId="232" xr:uid="{00000000-0005-0000-0000-0000E8000000}"/>
    <cellStyle name="Standaard 2" xfId="233" xr:uid="{00000000-0005-0000-0000-0000E9000000}"/>
    <cellStyle name="Standaard 2 2" xfId="234" xr:uid="{00000000-0005-0000-0000-0000EA000000}"/>
    <cellStyle name="Standaard 2 3" xfId="235" xr:uid="{00000000-0005-0000-0000-0000EB000000}"/>
    <cellStyle name="Standaard 3" xfId="236" xr:uid="{00000000-0005-0000-0000-0000EC000000}"/>
    <cellStyle name="Standaard 3 2" xfId="237" xr:uid="{00000000-0005-0000-0000-0000ED000000}"/>
    <cellStyle name="Standaard 4" xfId="238" xr:uid="{00000000-0005-0000-0000-0000EE000000}"/>
    <cellStyle name="Standaard 5" xfId="239" xr:uid="{00000000-0005-0000-0000-0000EF000000}"/>
    <cellStyle name="Standaard 5 2" xfId="240" xr:uid="{00000000-0005-0000-0000-0000F0000000}"/>
    <cellStyle name="Standaard 6" xfId="241" xr:uid="{00000000-0005-0000-0000-0000F1000000}"/>
    <cellStyle name="Standaard 6 2" xfId="242" xr:uid="{00000000-0005-0000-0000-0000F2000000}"/>
    <cellStyle name="Titre 2" xfId="243" xr:uid="{00000000-0005-0000-0000-0000F3000000}"/>
    <cellStyle name="Titre du tableau croisé" xfId="244" xr:uid="{00000000-0005-0000-0000-0000F4000000}"/>
    <cellStyle name="Total" xfId="245" builtinId="25" customBuiltin="1"/>
    <cellStyle name="Valeur du tableau croisé" xfId="246" xr:uid="{00000000-0005-0000-0000-0000F6000000}"/>
  </cellStyles>
  <dxfs count="43">
    <dxf>
      <font>
        <b/>
        <i val="0"/>
        <strike val="0"/>
        <condense val="0"/>
        <extend val="0"/>
        <color indexed="9"/>
      </font>
      <fill>
        <patternFill>
          <bgColor indexed="10"/>
        </patternFill>
      </fill>
    </dxf>
    <dxf>
      <font>
        <b/>
        <i val="0"/>
        <condense val="0"/>
        <extend val="0"/>
        <color indexed="12"/>
      </font>
      <border>
        <left style="thin">
          <color indexed="12"/>
        </left>
        <right style="thin">
          <color indexed="12"/>
        </right>
        <top style="thin">
          <color indexed="12"/>
        </top>
        <bottom style="thin">
          <color indexed="12"/>
        </bottom>
      </border>
    </dxf>
    <dxf>
      <fill>
        <patternFill>
          <bgColor indexed="42"/>
        </patternFill>
      </fill>
    </dxf>
    <dxf>
      <fill>
        <patternFill>
          <bgColor indexed="15"/>
        </patternFill>
      </fill>
    </dxf>
    <dxf>
      <fill>
        <patternFill>
          <bgColor indexed="42"/>
        </patternFill>
      </fill>
    </dxf>
    <dxf>
      <fill>
        <patternFill>
          <bgColor indexed="15"/>
        </patternFill>
      </fill>
    </dxf>
    <dxf>
      <fill>
        <patternFill>
          <bgColor indexed="10"/>
        </patternFill>
      </fill>
    </dxf>
    <dxf>
      <fill>
        <patternFill>
          <bgColor indexed="10"/>
        </patternFill>
      </fill>
    </dxf>
    <dxf>
      <font>
        <b/>
        <i val="0"/>
        <condense val="0"/>
        <extend val="0"/>
        <color indexed="9"/>
      </font>
      <fill>
        <patternFill>
          <bgColor indexed="10"/>
        </patternFill>
      </fill>
    </dxf>
    <dxf>
      <font>
        <b/>
        <i val="0"/>
        <condense val="0"/>
        <extend val="0"/>
        <color indexed="10"/>
      </font>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i val="0"/>
        <color rgb="FF0066FF"/>
      </font>
      <fill>
        <patternFill>
          <bgColor theme="7" tint="0.39994506668294322"/>
        </patternFill>
      </fill>
    </dxf>
    <dxf>
      <font>
        <b val="0"/>
        <i/>
        <strike val="0"/>
        <condense val="0"/>
        <extend val="0"/>
        <color indexed="9"/>
      </font>
      <fill>
        <patternFill>
          <bgColor indexed="10"/>
        </patternFill>
      </fill>
    </dxf>
    <dxf>
      <font>
        <condense val="0"/>
        <extend val="0"/>
        <color indexed="42"/>
      </font>
      <fill>
        <patternFill>
          <bgColor indexed="42"/>
        </patternFill>
      </fill>
    </dxf>
    <dxf>
      <font>
        <b/>
        <i val="0"/>
        <strike val="0"/>
        <condense val="0"/>
        <extend val="0"/>
      </font>
      <fill>
        <patternFill>
          <bgColor indexed="40"/>
        </patternFill>
      </fill>
      <border>
        <left style="dashed">
          <color indexed="64"/>
        </left>
        <right style="dashed">
          <color indexed="64"/>
        </right>
        <top style="dashed">
          <color indexed="64"/>
        </top>
        <bottom style="dashed">
          <color indexed="64"/>
        </bottom>
      </border>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i val="0"/>
        <strike val="0"/>
        <condense val="0"/>
        <extend val="0"/>
      </font>
      <fill>
        <patternFill>
          <bgColor indexed="40"/>
        </patternFill>
      </fill>
      <border>
        <left style="dashed">
          <color indexed="64"/>
        </left>
        <right style="dashed">
          <color indexed="64"/>
        </right>
        <top style="dashed">
          <color indexed="64"/>
        </top>
        <bottom style="dashed">
          <color indexed="64"/>
        </bottom>
      </border>
    </dxf>
    <dxf>
      <font>
        <b val="0"/>
        <i/>
        <strike val="0"/>
        <condense val="0"/>
        <extend val="0"/>
        <color indexed="9"/>
      </font>
      <fill>
        <patternFill>
          <bgColor indexed="10"/>
        </patternFill>
      </fill>
    </dxf>
    <dxf>
      <font>
        <condense val="0"/>
        <extend val="0"/>
        <color indexed="42"/>
      </font>
      <fill>
        <patternFill>
          <bgColor indexed="42"/>
        </patternFill>
      </fill>
    </dxf>
    <dxf>
      <font>
        <b/>
        <i val="0"/>
        <color rgb="FF0066FF"/>
      </font>
      <fill>
        <patternFill>
          <bgColor theme="7" tint="0.39994506668294322"/>
        </patternFill>
      </fill>
    </dxf>
    <dxf>
      <font>
        <b/>
        <i val="0"/>
        <color rgb="FF0066FF"/>
      </font>
      <fill>
        <patternFill>
          <bgColor theme="7" tint="0.39994506668294322"/>
        </patternFill>
      </fill>
    </dxf>
    <dxf>
      <font>
        <b/>
        <i val="0"/>
        <strike val="0"/>
        <condense val="0"/>
        <extend val="0"/>
      </font>
      <fill>
        <patternFill>
          <bgColor indexed="40"/>
        </patternFill>
      </fill>
      <border>
        <left style="dashed">
          <color indexed="64"/>
        </left>
        <right style="dashed">
          <color indexed="64"/>
        </right>
        <top style="dashed">
          <color indexed="64"/>
        </top>
        <bottom style="dashed">
          <color indexed="64"/>
        </bottom>
      </border>
    </dxf>
    <dxf>
      <font>
        <b val="0"/>
        <i/>
        <strike val="0"/>
        <condense val="0"/>
        <extend val="0"/>
        <color indexed="9"/>
      </font>
      <fill>
        <patternFill>
          <bgColor indexed="10"/>
        </patternFill>
      </fill>
    </dxf>
    <dxf>
      <font>
        <condense val="0"/>
        <extend val="0"/>
        <color indexed="42"/>
      </font>
      <fill>
        <patternFill>
          <bgColor indexed="42"/>
        </patternFill>
      </fill>
    </dxf>
    <dxf>
      <font>
        <strike val="0"/>
        <condense val="0"/>
        <extend val="0"/>
        <color indexed="55"/>
      </font>
      <fill>
        <patternFill>
          <bgColor indexed="55"/>
        </patternFill>
      </fill>
    </dxf>
    <dxf>
      <font>
        <strike val="0"/>
        <condense val="0"/>
        <extend val="0"/>
        <color indexed="55"/>
      </font>
      <fill>
        <patternFill>
          <bgColor indexed="55"/>
        </patternFill>
      </fill>
    </dxf>
    <dxf>
      <font>
        <b/>
        <i val="0"/>
        <color rgb="FF0066FF"/>
      </font>
      <fill>
        <patternFill>
          <bgColor theme="7" tint="0.39994506668294322"/>
        </patternFill>
      </fill>
    </dxf>
    <dxf>
      <font>
        <strike val="0"/>
        <condense val="0"/>
        <extend val="0"/>
        <color indexed="55"/>
      </font>
      <fill>
        <patternFill>
          <bgColor indexed="55"/>
        </patternFill>
      </fill>
    </dxf>
    <dxf>
      <font>
        <b/>
        <i val="0"/>
        <color rgb="FF0066FF"/>
      </font>
      <fill>
        <patternFill>
          <bgColor theme="7" tint="0.39994506668294322"/>
        </patternFill>
      </fill>
    </dxf>
    <dxf>
      <font>
        <strike val="0"/>
        <condense val="0"/>
        <extend val="0"/>
        <color indexed="55"/>
      </font>
      <fill>
        <patternFill>
          <bgColor indexed="55"/>
        </patternFill>
      </fill>
    </dxf>
    <dxf>
      <font>
        <strike val="0"/>
        <condense val="0"/>
        <extend val="0"/>
        <color indexed="55"/>
      </font>
      <fill>
        <patternFill>
          <bgColor indexed="55"/>
        </patternFill>
      </fill>
    </dxf>
    <dxf>
      <font>
        <strike val="0"/>
        <condense val="0"/>
        <extend val="0"/>
        <color indexed="55"/>
      </font>
      <fill>
        <patternFill>
          <bgColor indexed="55"/>
        </patternFill>
      </fill>
    </dxf>
    <dxf>
      <fill>
        <patternFill>
          <bgColor rgb="FF0070C0"/>
        </patternFill>
      </fill>
    </dxf>
  </dxfs>
  <tableStyles count="1" defaultTableStyle="TableStyleMedium2" defaultPivotStyle="PivotStyleLight16">
    <tableStyle name="Style de tableau croisé dynamique 1" table="0" count="1" xr9:uid="{00000000-0011-0000-FFFF-FFFF00000000}">
      <tableStyleElement type="pageFieldLabels" dxfId="42"/>
    </tableStyle>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7</xdr:col>
      <xdr:colOff>123825</xdr:colOff>
      <xdr:row>0</xdr:row>
      <xdr:rowOff>76200</xdr:rowOff>
    </xdr:from>
    <xdr:to>
      <xdr:col>7</xdr:col>
      <xdr:colOff>1371600</xdr:colOff>
      <xdr:row>0</xdr:row>
      <xdr:rowOff>704850</xdr:rowOff>
    </xdr:to>
    <xdr:sp macro="[0]!CopieAlgTot" textlink="">
      <xdr:nvSpPr>
        <xdr:cNvPr id="34817" name="AutoShape 1">
          <a:extLst>
            <a:ext uri="{FF2B5EF4-FFF2-40B4-BE49-F238E27FC236}">
              <a16:creationId xmlns:a16="http://schemas.microsoft.com/office/drawing/2014/main" id="{00000000-0008-0000-0100-000001880000}"/>
            </a:ext>
          </a:extLst>
        </xdr:cNvPr>
        <xdr:cNvSpPr>
          <a:spLocks noChangeArrowheads="1"/>
        </xdr:cNvSpPr>
      </xdr:nvSpPr>
      <xdr:spPr bwMode="auto">
        <a:xfrm>
          <a:off x="9725025" y="76200"/>
          <a:ext cx="1247775" cy="628650"/>
        </a:xfrm>
        <a:prstGeom prst="plus">
          <a:avLst>
            <a:gd name="adj" fmla="val 25000"/>
          </a:avLst>
        </a:prstGeom>
        <a:solidFill>
          <a:srgbClr val="FFFFFF"/>
        </a:solidFill>
        <a:ln w="19050" algn="ctr">
          <a:solidFill>
            <a:srgbClr val="0000FF"/>
          </a:solidFill>
          <a:prstDash val="dash"/>
          <a:miter lim="800000"/>
          <a:headEnd/>
          <a:tailEnd type="none" w="lg" len="lg"/>
        </a:ln>
        <a:effectLst/>
      </xdr:spPr>
      <xdr:txBody>
        <a:bodyPr vertOverflow="clip" wrap="square" lIns="27432" tIns="22860" rIns="27432" bIns="0" anchor="t" upright="1"/>
        <a:lstStyle/>
        <a:p>
          <a:pPr algn="ctr" rtl="0">
            <a:defRPr sz="1000"/>
          </a:pPr>
          <a:r>
            <a:rPr lang="en-US" sz="800" b="0" i="0" u="none" strike="noStrike" baseline="0">
              <a:solidFill>
                <a:srgbClr val="0000FF"/>
              </a:solidFill>
              <a:latin typeface="Arial"/>
              <a:cs typeface="Arial"/>
            </a:rPr>
            <a:t>Cliquez  pour copier le TOTAL de l'année</a:t>
          </a:r>
        </a:p>
      </xdr:txBody>
    </xdr:sp>
    <xdr:clientData fPrintsWithSheet="0"/>
  </xdr:twoCellAnchor>
  <xdr:twoCellAnchor>
    <xdr:from>
      <xdr:col>7</xdr:col>
      <xdr:colOff>122704</xdr:colOff>
      <xdr:row>78</xdr:row>
      <xdr:rowOff>50987</xdr:rowOff>
    </xdr:from>
    <xdr:to>
      <xdr:col>7</xdr:col>
      <xdr:colOff>1513354</xdr:colOff>
      <xdr:row>82</xdr:row>
      <xdr:rowOff>112060</xdr:rowOff>
    </xdr:to>
    <xdr:sp macro="[0]!M_2016_NabEchu_Arret2013" textlink="">
      <xdr:nvSpPr>
        <xdr:cNvPr id="34819" name="AutoShape 3">
          <a:extLst>
            <a:ext uri="{FF2B5EF4-FFF2-40B4-BE49-F238E27FC236}">
              <a16:creationId xmlns:a16="http://schemas.microsoft.com/office/drawing/2014/main" id="{00000000-0008-0000-0100-000003880000}"/>
            </a:ext>
          </a:extLst>
        </xdr:cNvPr>
        <xdr:cNvSpPr>
          <a:spLocks noChangeArrowheads="1"/>
        </xdr:cNvSpPr>
      </xdr:nvSpPr>
      <xdr:spPr bwMode="auto">
        <a:xfrm>
          <a:off x="10084733" y="15358222"/>
          <a:ext cx="1390650" cy="688603"/>
        </a:xfrm>
        <a:prstGeom prst="rightArrowCallout">
          <a:avLst>
            <a:gd name="adj1" fmla="val 25000"/>
            <a:gd name="adj2" fmla="val 25000"/>
            <a:gd name="adj3" fmla="val 26449"/>
            <a:gd name="adj4" fmla="val 69861"/>
          </a:avLst>
        </a:prstGeom>
        <a:solidFill>
          <a:srgbClr val="FFCC00"/>
        </a:solidFill>
        <a:ln w="19050" algn="ctr">
          <a:solidFill>
            <a:srgbClr val="0000FF"/>
          </a:solidFill>
          <a:miter lim="800000"/>
          <a:headEnd/>
          <a:tailEnd/>
        </a:ln>
        <a:effectLst/>
      </xdr:spPr>
      <xdr:txBody>
        <a:bodyPr vertOverflow="clip" wrap="square" lIns="27432" tIns="18288" rIns="27432" bIns="0" anchor="t" upright="1"/>
        <a:lstStyle/>
        <a:p>
          <a:pPr algn="ctr" rtl="0">
            <a:defRPr sz="1000"/>
          </a:pPr>
          <a:r>
            <a:rPr lang="en-US" sz="800" b="0" i="0" u="none" strike="noStrike" baseline="0">
              <a:solidFill>
                <a:srgbClr val="000000"/>
              </a:solidFill>
              <a:latin typeface="Arial"/>
              <a:cs typeface="Arial"/>
            </a:rPr>
            <a:t>Estimation</a:t>
          </a:r>
        </a:p>
        <a:p>
          <a:pPr algn="ctr" rtl="0">
            <a:defRPr sz="1000"/>
          </a:pPr>
          <a:r>
            <a:rPr lang="en-US" sz="800" b="0" i="0" u="none" strike="noStrike" baseline="0">
              <a:solidFill>
                <a:srgbClr val="000000"/>
              </a:solidFill>
              <a:latin typeface="Arial"/>
              <a:cs typeface="Arial"/>
            </a:rPr>
            <a:t>reprise</a:t>
          </a:r>
        </a:p>
        <a:p>
          <a:pPr algn="ctr" rtl="0">
            <a:defRPr sz="1000"/>
          </a:pPr>
          <a:r>
            <a:rPr lang="en-US" sz="800" b="0" i="0" u="none" strike="noStrike" baseline="0">
              <a:solidFill>
                <a:srgbClr val="000000"/>
              </a:solidFill>
              <a:latin typeface="Arial"/>
              <a:cs typeface="Arial"/>
            </a:rPr>
            <a:t>Dec X -&gt;X</a:t>
          </a:r>
        </a:p>
        <a:p>
          <a:pPr algn="ctr" rtl="0">
            <a:defRPr sz="1000"/>
          </a:pPr>
          <a:r>
            <a:rPr lang="en-US" sz="800" b="0" i="0" u="none" strike="noStrike" baseline="0">
              <a:solidFill>
                <a:srgbClr val="000000"/>
              </a:solidFill>
              <a:latin typeface="Arial"/>
              <a:cs typeface="Arial"/>
            </a:rPr>
            <a:t>MP payé à terme échu</a:t>
          </a:r>
        </a:p>
      </xdr:txBody>
    </xdr:sp>
    <xdr:clientData fPrintsWithSheet="0"/>
  </xdr:twoCellAnchor>
  <xdr:twoCellAnchor>
    <xdr:from>
      <xdr:col>7</xdr:col>
      <xdr:colOff>78441</xdr:colOff>
      <xdr:row>9</xdr:row>
      <xdr:rowOff>89648</xdr:rowOff>
    </xdr:from>
    <xdr:to>
      <xdr:col>7</xdr:col>
      <xdr:colOff>1636058</xdr:colOff>
      <xdr:row>17</xdr:row>
      <xdr:rowOff>100853</xdr:rowOff>
    </xdr:to>
    <xdr:sp macro="[0]!M_Restore_All_InX" textlink="">
      <xdr:nvSpPr>
        <xdr:cNvPr id="2" name="Striped Right Arrow 1">
          <a:extLst>
            <a:ext uri="{FF2B5EF4-FFF2-40B4-BE49-F238E27FC236}">
              <a16:creationId xmlns:a16="http://schemas.microsoft.com/office/drawing/2014/main" id="{00000000-0008-0000-0100-000002000000}"/>
            </a:ext>
          </a:extLst>
        </xdr:cNvPr>
        <xdr:cNvSpPr/>
      </xdr:nvSpPr>
      <xdr:spPr bwMode="auto">
        <a:xfrm>
          <a:off x="9681882" y="2734236"/>
          <a:ext cx="1557617" cy="1266264"/>
        </a:xfrm>
        <a:prstGeom prst="stripedRightArrow">
          <a:avLst/>
        </a:prstGeom>
        <a:solidFill>
          <a:srgbClr val="FFFF00"/>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t" upright="1"/>
        <a:lstStyle/>
        <a:p>
          <a:pPr algn="l"/>
          <a:r>
            <a:rPr lang="en-US" sz="1100"/>
            <a:t> tout en  X</a:t>
          </a:r>
          <a:br>
            <a:rPr lang="en-US" sz="1100"/>
          </a:br>
          <a:r>
            <a:rPr lang="en-US" sz="1100" baseline="0"/>
            <a:t>X-1 = réguls  + mod9bis Déc N-1</a:t>
          </a:r>
          <a:endParaRPr lang="en-US" sz="1100"/>
        </a:p>
      </xdr:txBody>
    </xdr:sp>
    <xdr:clientData/>
  </xdr:twoCellAnchor>
  <xdr:twoCellAnchor>
    <xdr:from>
      <xdr:col>7</xdr:col>
      <xdr:colOff>11200</xdr:colOff>
      <xdr:row>26</xdr:row>
      <xdr:rowOff>156878</xdr:rowOff>
    </xdr:from>
    <xdr:to>
      <xdr:col>7</xdr:col>
      <xdr:colOff>1591235</xdr:colOff>
      <xdr:row>34</xdr:row>
      <xdr:rowOff>11204</xdr:rowOff>
    </xdr:to>
    <xdr:sp macro="[0]!M_Restore2009" textlink="">
      <xdr:nvSpPr>
        <xdr:cNvPr id="7" name="Striped Right Arrow 6">
          <a:extLst>
            <a:ext uri="{FF2B5EF4-FFF2-40B4-BE49-F238E27FC236}">
              <a16:creationId xmlns:a16="http://schemas.microsoft.com/office/drawing/2014/main" id="{00000000-0008-0000-0100-000007000000}"/>
            </a:ext>
          </a:extLst>
        </xdr:cNvPr>
        <xdr:cNvSpPr/>
      </xdr:nvSpPr>
      <xdr:spPr bwMode="auto">
        <a:xfrm rot="10800000">
          <a:off x="9973229" y="5636554"/>
          <a:ext cx="1580035" cy="1322297"/>
        </a:xfrm>
        <a:prstGeom prst="stripedRightArrow">
          <a:avLst/>
        </a:prstGeom>
        <a:solidFill>
          <a:srgbClr val="FFFF00"/>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t" upright="1"/>
        <a:lstStyle/>
        <a:p>
          <a:pPr algn="l">
            <a:lnSpc>
              <a:spcPts val="900"/>
            </a:lnSpc>
          </a:pPr>
          <a:r>
            <a:rPr lang="en-US" sz="800"/>
            <a:t>situation 2009-avant PLP54</a:t>
          </a:r>
          <a:br>
            <a:rPr lang="en-US" sz="800"/>
          </a:br>
          <a:r>
            <a:rPr lang="en-US" sz="800"/>
            <a:t>X</a:t>
          </a:r>
          <a:r>
            <a:rPr lang="en-US" sz="800" baseline="0"/>
            <a:t>  all ANTI et 11mEchu X-1 DecEchu +1/12Prest</a:t>
          </a:r>
          <a:br>
            <a:rPr lang="en-US" sz="800" baseline="0"/>
          </a:br>
          <a:endParaRPr lang="en-US" sz="800"/>
        </a:p>
      </xdr:txBody>
    </xdr:sp>
    <xdr:clientData/>
  </xdr:twoCellAnchor>
  <xdr:twoCellAnchor>
    <xdr:from>
      <xdr:col>7</xdr:col>
      <xdr:colOff>224118</xdr:colOff>
      <xdr:row>2</xdr:row>
      <xdr:rowOff>0</xdr:rowOff>
    </xdr:from>
    <xdr:to>
      <xdr:col>7</xdr:col>
      <xdr:colOff>1467971</xdr:colOff>
      <xdr:row>4</xdr:row>
      <xdr:rowOff>44823</xdr:rowOff>
    </xdr:to>
    <xdr:sp macro="[0]!NegoCostIsolé" textlink="">
      <xdr:nvSpPr>
        <xdr:cNvPr id="6" name="Down Ribbon 5">
          <a:extLst>
            <a:ext uri="{FF2B5EF4-FFF2-40B4-BE49-F238E27FC236}">
              <a16:creationId xmlns:a16="http://schemas.microsoft.com/office/drawing/2014/main" id="{00000000-0008-0000-0100-000006000000}"/>
            </a:ext>
          </a:extLst>
        </xdr:cNvPr>
        <xdr:cNvSpPr/>
      </xdr:nvSpPr>
      <xdr:spPr bwMode="auto">
        <a:xfrm>
          <a:off x="10006853" y="1098176"/>
          <a:ext cx="1243853" cy="795618"/>
        </a:xfrm>
        <a:prstGeom prst="ribbon">
          <a:avLst>
            <a:gd name="adj1" fmla="val 16667"/>
            <a:gd name="adj2" fmla="val 75000"/>
          </a:avLst>
        </a:prstGeom>
        <a:solidFill>
          <a:schemeClr val="tx2">
            <a:lumMod val="60000"/>
            <a:lumOff val="40000"/>
            <a:alpha val="48000"/>
          </a:schemeClr>
        </a:solidFill>
        <a:ln w="19050" cap="flat" cmpd="sng" algn="ctr">
          <a:solidFill>
            <a:srgbClr val="FFC000">
              <a:alpha val="58000"/>
            </a:srgbClr>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baseline="0"/>
            <a:t>Estimation du Coût de l'Accord Sectoriel</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0</xdr:row>
      <xdr:rowOff>180975</xdr:rowOff>
    </xdr:from>
    <xdr:to>
      <xdr:col>4</xdr:col>
      <xdr:colOff>733425</xdr:colOff>
      <xdr:row>0</xdr:row>
      <xdr:rowOff>180975</xdr:rowOff>
    </xdr:to>
    <xdr:sp macro="" textlink="">
      <xdr:nvSpPr>
        <xdr:cNvPr id="41403" name="Line 1">
          <a:extLst>
            <a:ext uri="{FF2B5EF4-FFF2-40B4-BE49-F238E27FC236}">
              <a16:creationId xmlns:a16="http://schemas.microsoft.com/office/drawing/2014/main" id="{00000000-0008-0000-0400-0000BBA10000}"/>
            </a:ext>
          </a:extLst>
        </xdr:cNvPr>
        <xdr:cNvSpPr>
          <a:spLocks noChangeShapeType="1"/>
        </xdr:cNvSpPr>
      </xdr:nvSpPr>
      <xdr:spPr bwMode="auto">
        <a:xfrm>
          <a:off x="2257425" y="180975"/>
          <a:ext cx="71437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19050</xdr:colOff>
      <xdr:row>0</xdr:row>
      <xdr:rowOff>180975</xdr:rowOff>
    </xdr:from>
    <xdr:to>
      <xdr:col>3</xdr:col>
      <xdr:colOff>676275</xdr:colOff>
      <xdr:row>0</xdr:row>
      <xdr:rowOff>180975</xdr:rowOff>
    </xdr:to>
    <xdr:sp macro="" textlink="">
      <xdr:nvSpPr>
        <xdr:cNvPr id="75796" name="Line 1">
          <a:extLst>
            <a:ext uri="{FF2B5EF4-FFF2-40B4-BE49-F238E27FC236}">
              <a16:creationId xmlns:a16="http://schemas.microsoft.com/office/drawing/2014/main" id="{00000000-0008-0000-0500-000014280100}"/>
            </a:ext>
          </a:extLst>
        </xdr:cNvPr>
        <xdr:cNvSpPr>
          <a:spLocks noChangeShapeType="1"/>
        </xdr:cNvSpPr>
      </xdr:nvSpPr>
      <xdr:spPr bwMode="auto">
        <a:xfrm>
          <a:off x="1619250" y="180975"/>
          <a:ext cx="657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19050</xdr:colOff>
      <xdr:row>0</xdr:row>
      <xdr:rowOff>180975</xdr:rowOff>
    </xdr:from>
    <xdr:to>
      <xdr:col>3</xdr:col>
      <xdr:colOff>676275</xdr:colOff>
      <xdr:row>0</xdr:row>
      <xdr:rowOff>180975</xdr:rowOff>
    </xdr:to>
    <xdr:sp macro="" textlink="">
      <xdr:nvSpPr>
        <xdr:cNvPr id="75797" name="Line 2">
          <a:extLst>
            <a:ext uri="{FF2B5EF4-FFF2-40B4-BE49-F238E27FC236}">
              <a16:creationId xmlns:a16="http://schemas.microsoft.com/office/drawing/2014/main" id="{00000000-0008-0000-0500-000015280100}"/>
            </a:ext>
          </a:extLst>
        </xdr:cNvPr>
        <xdr:cNvSpPr>
          <a:spLocks noChangeShapeType="1"/>
        </xdr:cNvSpPr>
      </xdr:nvSpPr>
      <xdr:spPr bwMode="auto">
        <a:xfrm>
          <a:off x="1619250" y="180975"/>
          <a:ext cx="657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523875</xdr:colOff>
      <xdr:row>9</xdr:row>
      <xdr:rowOff>85725</xdr:rowOff>
    </xdr:from>
    <xdr:to>
      <xdr:col>7</xdr:col>
      <xdr:colOff>914400</xdr:colOff>
      <xdr:row>9</xdr:row>
      <xdr:rowOff>104775</xdr:rowOff>
    </xdr:to>
    <xdr:cxnSp macro="[0]!Lijn10_1">
      <xdr:nvCxnSpPr>
        <xdr:cNvPr id="72319" name="AutoShape 2">
          <a:extLst>
            <a:ext uri="{FF2B5EF4-FFF2-40B4-BE49-F238E27FC236}">
              <a16:creationId xmlns:a16="http://schemas.microsoft.com/office/drawing/2014/main" id="{00000000-0008-0000-0600-00007F1A0100}"/>
            </a:ext>
          </a:extLst>
        </xdr:cNvPr>
        <xdr:cNvCxnSpPr>
          <a:cxnSpLocks noChangeShapeType="1"/>
        </xdr:cNvCxnSpPr>
      </xdr:nvCxnSpPr>
      <xdr:spPr bwMode="auto">
        <a:xfrm flipH="1">
          <a:off x="5467350" y="1857375"/>
          <a:ext cx="2505075" cy="19050"/>
        </a:xfrm>
        <a:prstGeom prst="straightConnector1">
          <a:avLst/>
        </a:prstGeom>
        <a:noFill/>
        <a:ln w="19050">
          <a:solidFill>
            <a:srgbClr val="0000FF"/>
          </a:solidFill>
          <a:prstDash val="dash"/>
          <a:round/>
          <a:headEnd type="oval" w="med" len="med"/>
          <a:tailEnd type="arrow" w="lg" len="lg"/>
        </a:ln>
        <a:extLst>
          <a:ext uri="{909E8E84-426E-40DD-AFC4-6F175D3DCCD1}">
            <a14:hiddenFill xmlns:a14="http://schemas.microsoft.com/office/drawing/2010/main">
              <a:noFill/>
            </a14:hiddenFill>
          </a:ext>
        </a:extLst>
      </xdr:spPr>
    </xdr:cxnSp>
    <xdr:clientData/>
  </xdr:twoCellAnchor>
  <xdr:twoCellAnchor>
    <xdr:from>
      <xdr:col>5</xdr:col>
      <xdr:colOff>647700</xdr:colOff>
      <xdr:row>9</xdr:row>
      <xdr:rowOff>123825</xdr:rowOff>
    </xdr:from>
    <xdr:to>
      <xdr:col>5</xdr:col>
      <xdr:colOff>676275</xdr:colOff>
      <xdr:row>13</xdr:row>
      <xdr:rowOff>114300</xdr:rowOff>
    </xdr:to>
    <xdr:cxnSp macro="">
      <xdr:nvCxnSpPr>
        <xdr:cNvPr id="72320" name="AutoShape 6">
          <a:extLst>
            <a:ext uri="{FF2B5EF4-FFF2-40B4-BE49-F238E27FC236}">
              <a16:creationId xmlns:a16="http://schemas.microsoft.com/office/drawing/2014/main" id="{00000000-0008-0000-0600-0000801A0100}"/>
            </a:ext>
          </a:extLst>
        </xdr:cNvPr>
        <xdr:cNvCxnSpPr>
          <a:cxnSpLocks noChangeShapeType="1"/>
        </xdr:cNvCxnSpPr>
      </xdr:nvCxnSpPr>
      <xdr:spPr bwMode="auto">
        <a:xfrm flipH="1" flipV="1">
          <a:off x="6381750" y="1895475"/>
          <a:ext cx="28575" cy="695325"/>
        </a:xfrm>
        <a:prstGeom prst="straightConnector1">
          <a:avLst/>
        </a:prstGeom>
        <a:noFill/>
        <a:ln w="19050">
          <a:solidFill>
            <a:srgbClr val="0000FF"/>
          </a:solidFill>
          <a:prstDash val="dash"/>
          <a:round/>
          <a:headEnd/>
          <a:tailEnd type="none" w="lg" len="lg"/>
        </a:ln>
        <a:extLst>
          <a:ext uri="{909E8E84-426E-40DD-AFC4-6F175D3DCCD1}">
            <a14:hiddenFill xmlns:a14="http://schemas.microsoft.com/office/drawing/2010/main">
              <a:noFill/>
            </a14:hiddenFill>
          </a:ext>
        </a:extLst>
      </xdr:spPr>
    </xdr:cxnSp>
    <xdr:clientData/>
  </xdr:twoCellAnchor>
  <xdr:twoCellAnchor>
    <xdr:from>
      <xdr:col>5</xdr:col>
      <xdr:colOff>695325</xdr:colOff>
      <xdr:row>11</xdr:row>
      <xdr:rowOff>95250</xdr:rowOff>
    </xdr:from>
    <xdr:to>
      <xdr:col>7</xdr:col>
      <xdr:colOff>942975</xdr:colOff>
      <xdr:row>11</xdr:row>
      <xdr:rowOff>104775</xdr:rowOff>
    </xdr:to>
    <xdr:cxnSp macro="[0]!Lijn10_2">
      <xdr:nvCxnSpPr>
        <xdr:cNvPr id="72321" name="AutoShape 7">
          <a:extLst>
            <a:ext uri="{FF2B5EF4-FFF2-40B4-BE49-F238E27FC236}">
              <a16:creationId xmlns:a16="http://schemas.microsoft.com/office/drawing/2014/main" id="{00000000-0008-0000-0600-0000811A0100}"/>
            </a:ext>
          </a:extLst>
        </xdr:cNvPr>
        <xdr:cNvCxnSpPr>
          <a:cxnSpLocks noChangeShapeType="1"/>
        </xdr:cNvCxnSpPr>
      </xdr:nvCxnSpPr>
      <xdr:spPr bwMode="auto">
        <a:xfrm flipH="1" flipV="1">
          <a:off x="6429375" y="2209800"/>
          <a:ext cx="1571625" cy="9525"/>
        </a:xfrm>
        <a:prstGeom prst="straightConnector1">
          <a:avLst/>
        </a:prstGeom>
        <a:noFill/>
        <a:ln w="19050">
          <a:solidFill>
            <a:srgbClr val="0000FF"/>
          </a:solidFill>
          <a:prstDash val="dash"/>
          <a:round/>
          <a:headEnd type="oval" w="med" len="med"/>
          <a:tailEnd type="none" w="lg" len="lg"/>
        </a:ln>
        <a:extLst>
          <a:ext uri="{909E8E84-426E-40DD-AFC4-6F175D3DCCD1}">
            <a14:hiddenFill xmlns:a14="http://schemas.microsoft.com/office/drawing/2010/main">
              <a:noFill/>
            </a14:hiddenFill>
          </a:ext>
        </a:extLst>
      </xdr:spPr>
    </xdr:cxnSp>
    <xdr:clientData/>
  </xdr:twoCellAnchor>
  <xdr:twoCellAnchor>
    <xdr:from>
      <xdr:col>5</xdr:col>
      <xdr:colOff>647700</xdr:colOff>
      <xdr:row>13</xdr:row>
      <xdr:rowOff>104775</xdr:rowOff>
    </xdr:from>
    <xdr:to>
      <xdr:col>7</xdr:col>
      <xdr:colOff>1019175</xdr:colOff>
      <xdr:row>13</xdr:row>
      <xdr:rowOff>104775</xdr:rowOff>
    </xdr:to>
    <xdr:cxnSp macro="[0]!Lijn10_3">
      <xdr:nvCxnSpPr>
        <xdr:cNvPr id="72322" name="AutoShape 8">
          <a:extLst>
            <a:ext uri="{FF2B5EF4-FFF2-40B4-BE49-F238E27FC236}">
              <a16:creationId xmlns:a16="http://schemas.microsoft.com/office/drawing/2014/main" id="{00000000-0008-0000-0600-0000821A0100}"/>
            </a:ext>
          </a:extLst>
        </xdr:cNvPr>
        <xdr:cNvCxnSpPr>
          <a:cxnSpLocks noChangeShapeType="1"/>
        </xdr:cNvCxnSpPr>
      </xdr:nvCxnSpPr>
      <xdr:spPr bwMode="auto">
        <a:xfrm flipH="1">
          <a:off x="6381750" y="2581275"/>
          <a:ext cx="1695450" cy="0"/>
        </a:xfrm>
        <a:prstGeom prst="straightConnector1">
          <a:avLst/>
        </a:prstGeom>
        <a:noFill/>
        <a:ln w="19050">
          <a:solidFill>
            <a:srgbClr val="0000FF"/>
          </a:solidFill>
          <a:prstDash val="dash"/>
          <a:round/>
          <a:headEnd type="oval" w="med" len="med"/>
          <a:tailEnd type="none" w="lg" len="lg"/>
        </a:ln>
        <a:extLst>
          <a:ext uri="{909E8E84-426E-40DD-AFC4-6F175D3DCCD1}">
            <a14:hiddenFill xmlns:a14="http://schemas.microsoft.com/office/drawing/2010/main">
              <a:noFill/>
            </a14:hiddenFill>
          </a:ext>
        </a:extLst>
      </xdr:spPr>
    </xdr:cxnSp>
    <xdr:clientData/>
  </xdr:twoCellAnchor>
  <xdr:twoCellAnchor>
    <xdr:from>
      <xdr:col>30</xdr:col>
      <xdr:colOff>4972</xdr:colOff>
      <xdr:row>38</xdr:row>
      <xdr:rowOff>1449</xdr:rowOff>
    </xdr:from>
    <xdr:to>
      <xdr:col>32</xdr:col>
      <xdr:colOff>233572</xdr:colOff>
      <xdr:row>38</xdr:row>
      <xdr:rowOff>491951</xdr:rowOff>
    </xdr:to>
    <xdr:sp macro="[0]!IndexApr2022" textlink="">
      <xdr:nvSpPr>
        <xdr:cNvPr id="8" name="Up Arrow Callout 7">
          <a:extLst>
            <a:ext uri="{FF2B5EF4-FFF2-40B4-BE49-F238E27FC236}">
              <a16:creationId xmlns:a16="http://schemas.microsoft.com/office/drawing/2014/main" id="{00000000-0008-0000-0600-000008000000}"/>
            </a:ext>
          </a:extLst>
        </xdr:cNvPr>
        <xdr:cNvSpPr/>
      </xdr:nvSpPr>
      <xdr:spPr bwMode="auto">
        <a:xfrm rot="16200000">
          <a:off x="26073005" y="7532592"/>
          <a:ext cx="490502" cy="1442775"/>
        </a:xfrm>
        <a:prstGeom prst="upArrowCallout">
          <a:avLst>
            <a:gd name="adj1" fmla="val 25000"/>
            <a:gd name="adj2" fmla="val 25000"/>
            <a:gd name="adj3" fmla="val 25000"/>
            <a:gd name="adj4" fmla="val 88095"/>
          </a:avLst>
        </a:prstGeom>
        <a:solidFill>
          <a:schemeClr val="accent3">
            <a:lumMod val="40000"/>
            <a:lumOff val="6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Bureau du plan</a:t>
          </a:r>
          <a:br>
            <a:rPr lang="en-US" sz="1100"/>
          </a:br>
          <a:r>
            <a:rPr lang="en-US" sz="1100"/>
            <a:t>05/04/2022</a:t>
          </a:r>
        </a:p>
      </xdr:txBody>
    </xdr:sp>
    <xdr:clientData/>
  </xdr:twoCellAnchor>
  <xdr:twoCellAnchor>
    <xdr:from>
      <xdr:col>29</xdr:col>
      <xdr:colOff>579791</xdr:colOff>
      <xdr:row>37</xdr:row>
      <xdr:rowOff>57152</xdr:rowOff>
    </xdr:from>
    <xdr:to>
      <xdr:col>32</xdr:col>
      <xdr:colOff>228602</xdr:colOff>
      <xdr:row>37</xdr:row>
      <xdr:rowOff>491953</xdr:rowOff>
    </xdr:to>
    <xdr:sp macro="[0]!BurPlan2022" textlink="">
      <xdr:nvSpPr>
        <xdr:cNvPr id="9" name="Up Arrow Callout 8">
          <a:extLst>
            <a:ext uri="{FF2B5EF4-FFF2-40B4-BE49-F238E27FC236}">
              <a16:creationId xmlns:a16="http://schemas.microsoft.com/office/drawing/2014/main" id="{00000000-0008-0000-0600-000009000000}"/>
            </a:ext>
          </a:extLst>
        </xdr:cNvPr>
        <xdr:cNvSpPr/>
      </xdr:nvSpPr>
      <xdr:spPr bwMode="auto">
        <a:xfrm rot="5400000" flipV="1">
          <a:off x="26040367" y="6908306"/>
          <a:ext cx="434801" cy="1553811"/>
        </a:xfrm>
        <a:prstGeom prst="upArrowCallout">
          <a:avLst>
            <a:gd name="adj1" fmla="val 25000"/>
            <a:gd name="adj2" fmla="val 25000"/>
            <a:gd name="adj3" fmla="val 25000"/>
            <a:gd name="adj4" fmla="val 88095"/>
          </a:avLst>
        </a:prstGeom>
        <a:solidFill>
          <a:schemeClr val="accent6">
            <a:lumMod val="40000"/>
            <a:lumOff val="6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Bureau du plan</a:t>
          </a:r>
          <a:br>
            <a:rPr lang="en-US" sz="1100"/>
          </a:br>
          <a:r>
            <a:rPr lang="en-US" sz="1100"/>
            <a:t> 05/03/21</a:t>
          </a:r>
        </a:p>
      </xdr:txBody>
    </xdr:sp>
    <xdr:clientData/>
  </xdr:twoCellAnchor>
  <xdr:twoCellAnchor>
    <xdr:from>
      <xdr:col>29</xdr:col>
      <xdr:colOff>677105</xdr:colOff>
      <xdr:row>39</xdr:row>
      <xdr:rowOff>8281</xdr:rowOff>
    </xdr:from>
    <xdr:to>
      <xdr:col>32</xdr:col>
      <xdr:colOff>218248</xdr:colOff>
      <xdr:row>39</xdr:row>
      <xdr:rowOff>544285</xdr:rowOff>
    </xdr:to>
    <xdr:sp macro="[0]!IndexMay2022" textlink="">
      <xdr:nvSpPr>
        <xdr:cNvPr id="10" name="Up Arrow Callout 9">
          <a:extLst>
            <a:ext uri="{FF2B5EF4-FFF2-40B4-BE49-F238E27FC236}">
              <a16:creationId xmlns:a16="http://schemas.microsoft.com/office/drawing/2014/main" id="{00000000-0008-0000-0600-00000A000000}"/>
            </a:ext>
          </a:extLst>
        </xdr:cNvPr>
        <xdr:cNvSpPr/>
      </xdr:nvSpPr>
      <xdr:spPr bwMode="auto">
        <a:xfrm rot="16200000">
          <a:off x="26033246" y="8146645"/>
          <a:ext cx="536004" cy="1446143"/>
        </a:xfrm>
        <a:prstGeom prst="upArrowCallout">
          <a:avLst>
            <a:gd name="adj1" fmla="val 25000"/>
            <a:gd name="adj2" fmla="val 25000"/>
            <a:gd name="adj3" fmla="val 25000"/>
            <a:gd name="adj4" fmla="val 88095"/>
          </a:avLst>
        </a:prstGeom>
        <a:solidFill>
          <a:schemeClr val="accent4">
            <a:lumMod val="40000"/>
            <a:lumOff val="6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Bureau</a:t>
          </a:r>
          <a:r>
            <a:rPr lang="en-US" sz="1100" baseline="0"/>
            <a:t> du Plan</a:t>
          </a:r>
          <a:br>
            <a:rPr lang="en-US" sz="1100" baseline="0"/>
          </a:br>
          <a:r>
            <a:rPr lang="en-US" sz="1100" baseline="0"/>
            <a:t>03/05/</a:t>
          </a:r>
          <a:r>
            <a:rPr lang="en-US" sz="1100"/>
            <a:t>2022</a:t>
          </a:r>
        </a:p>
      </xdr:txBody>
    </xdr:sp>
    <xdr:clientData/>
  </xdr:twoCellAnchor>
  <xdr:twoCellAnchor>
    <xdr:from>
      <xdr:col>29</xdr:col>
      <xdr:colOff>651014</xdr:colOff>
      <xdr:row>40</xdr:row>
      <xdr:rowOff>3934</xdr:rowOff>
    </xdr:from>
    <xdr:to>
      <xdr:col>32</xdr:col>
      <xdr:colOff>273330</xdr:colOff>
      <xdr:row>40</xdr:row>
      <xdr:rowOff>207065</xdr:rowOff>
    </xdr:to>
    <xdr:sp macro="" textlink="">
      <xdr:nvSpPr>
        <xdr:cNvPr id="11" name="Up Arrow Callout 10">
          <a:extLst>
            <a:ext uri="{FF2B5EF4-FFF2-40B4-BE49-F238E27FC236}">
              <a16:creationId xmlns:a16="http://schemas.microsoft.com/office/drawing/2014/main" id="{00000000-0008-0000-0600-00000B000000}"/>
            </a:ext>
          </a:extLst>
        </xdr:cNvPr>
        <xdr:cNvSpPr/>
      </xdr:nvSpPr>
      <xdr:spPr bwMode="auto">
        <a:xfrm rot="16200000">
          <a:off x="25349236" y="6671951"/>
          <a:ext cx="203131" cy="1527316"/>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juin 2022</a:t>
          </a:r>
        </a:p>
      </xdr:txBody>
    </xdr:sp>
    <xdr:clientData/>
  </xdr:twoCellAnchor>
  <xdr:twoCellAnchor>
    <xdr:from>
      <xdr:col>29</xdr:col>
      <xdr:colOff>643974</xdr:colOff>
      <xdr:row>41</xdr:row>
      <xdr:rowOff>28781</xdr:rowOff>
    </xdr:from>
    <xdr:to>
      <xdr:col>32</xdr:col>
      <xdr:colOff>281609</xdr:colOff>
      <xdr:row>41</xdr:row>
      <xdr:rowOff>233568</xdr:rowOff>
    </xdr:to>
    <xdr:sp macro="" textlink="">
      <xdr:nvSpPr>
        <xdr:cNvPr id="12" name="Up Arrow Callout 11">
          <a:extLst>
            <a:ext uri="{FF2B5EF4-FFF2-40B4-BE49-F238E27FC236}">
              <a16:creationId xmlns:a16="http://schemas.microsoft.com/office/drawing/2014/main" id="{00000000-0008-0000-0600-00000C000000}"/>
            </a:ext>
          </a:extLst>
        </xdr:cNvPr>
        <xdr:cNvSpPr/>
      </xdr:nvSpPr>
      <xdr:spPr bwMode="auto">
        <a:xfrm rot="16200000">
          <a:off x="25349028" y="6955009"/>
          <a:ext cx="204787" cy="154263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juillet 2022</a:t>
          </a:r>
        </a:p>
      </xdr:txBody>
    </xdr:sp>
    <xdr:clientData/>
  </xdr:twoCellAnchor>
  <xdr:twoCellAnchor>
    <xdr:from>
      <xdr:col>29</xdr:col>
      <xdr:colOff>628653</xdr:colOff>
      <xdr:row>42</xdr:row>
      <xdr:rowOff>31059</xdr:rowOff>
    </xdr:from>
    <xdr:to>
      <xdr:col>32</xdr:col>
      <xdr:colOff>293620</xdr:colOff>
      <xdr:row>42</xdr:row>
      <xdr:rowOff>223630</xdr:rowOff>
    </xdr:to>
    <xdr:sp macro="[0]!IndexAug2022" textlink="">
      <xdr:nvSpPr>
        <xdr:cNvPr id="13" name="Up Arrow Callout 12">
          <a:extLst>
            <a:ext uri="{FF2B5EF4-FFF2-40B4-BE49-F238E27FC236}">
              <a16:creationId xmlns:a16="http://schemas.microsoft.com/office/drawing/2014/main" id="{00000000-0008-0000-0600-00000D000000}"/>
            </a:ext>
          </a:extLst>
        </xdr:cNvPr>
        <xdr:cNvSpPr/>
      </xdr:nvSpPr>
      <xdr:spPr bwMode="auto">
        <a:xfrm rot="16200000">
          <a:off x="25353481" y="7202557"/>
          <a:ext cx="192571" cy="1569967"/>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août</a:t>
          </a:r>
          <a:r>
            <a:rPr lang="en-US" sz="1100" baseline="0"/>
            <a:t> </a:t>
          </a:r>
          <a:r>
            <a:rPr lang="en-US" sz="1100"/>
            <a:t>2022</a:t>
          </a:r>
        </a:p>
      </xdr:txBody>
    </xdr:sp>
    <xdr:clientData/>
  </xdr:twoCellAnchor>
  <xdr:twoCellAnchor>
    <xdr:from>
      <xdr:col>29</xdr:col>
      <xdr:colOff>638175</xdr:colOff>
      <xdr:row>35</xdr:row>
      <xdr:rowOff>63361</xdr:rowOff>
    </xdr:from>
    <xdr:to>
      <xdr:col>32</xdr:col>
      <xdr:colOff>180975</xdr:colOff>
      <xdr:row>35</xdr:row>
      <xdr:rowOff>252413</xdr:rowOff>
    </xdr:to>
    <xdr:sp macro="" textlink="">
      <xdr:nvSpPr>
        <xdr:cNvPr id="14" name="Up Arrow Callout 13">
          <a:extLst>
            <a:ext uri="{FF2B5EF4-FFF2-40B4-BE49-F238E27FC236}">
              <a16:creationId xmlns:a16="http://schemas.microsoft.com/office/drawing/2014/main" id="{00000000-0008-0000-0600-00000E000000}"/>
            </a:ext>
          </a:extLst>
        </xdr:cNvPr>
        <xdr:cNvSpPr/>
      </xdr:nvSpPr>
      <xdr:spPr bwMode="auto">
        <a:xfrm rot="16200000">
          <a:off x="25670599" y="6053862"/>
          <a:ext cx="189052" cy="1447800"/>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janvier 2022</a:t>
          </a:r>
        </a:p>
      </xdr:txBody>
    </xdr:sp>
    <xdr:clientData/>
  </xdr:twoCellAnchor>
  <xdr:twoCellAnchor>
    <xdr:from>
      <xdr:col>29</xdr:col>
      <xdr:colOff>640249</xdr:colOff>
      <xdr:row>43</xdr:row>
      <xdr:rowOff>42655</xdr:rowOff>
    </xdr:from>
    <xdr:to>
      <xdr:col>32</xdr:col>
      <xdr:colOff>305216</xdr:colOff>
      <xdr:row>43</xdr:row>
      <xdr:rowOff>235226</xdr:rowOff>
    </xdr:to>
    <xdr:sp macro="" textlink="">
      <xdr:nvSpPr>
        <xdr:cNvPr id="16" name="Up Arrow Callout 15">
          <a:extLst>
            <a:ext uri="{FF2B5EF4-FFF2-40B4-BE49-F238E27FC236}">
              <a16:creationId xmlns:a16="http://schemas.microsoft.com/office/drawing/2014/main" id="{00000000-0008-0000-0600-000010000000}"/>
            </a:ext>
          </a:extLst>
        </xdr:cNvPr>
        <xdr:cNvSpPr/>
      </xdr:nvSpPr>
      <xdr:spPr bwMode="auto">
        <a:xfrm rot="16200000">
          <a:off x="25365077" y="7479196"/>
          <a:ext cx="192571" cy="1569967"/>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septembre</a:t>
          </a:r>
          <a:r>
            <a:rPr lang="en-US" sz="1100" baseline="0"/>
            <a:t> </a:t>
          </a:r>
          <a:r>
            <a:rPr lang="en-US" sz="1100"/>
            <a:t>2022</a:t>
          </a:r>
        </a:p>
      </xdr:txBody>
    </xdr:sp>
    <xdr:clientData/>
  </xdr:twoCellAnchor>
  <xdr:twoCellAnchor>
    <xdr:from>
      <xdr:col>29</xdr:col>
      <xdr:colOff>632792</xdr:colOff>
      <xdr:row>44</xdr:row>
      <xdr:rowOff>72058</xdr:rowOff>
    </xdr:from>
    <xdr:to>
      <xdr:col>32</xdr:col>
      <xdr:colOff>268357</xdr:colOff>
      <xdr:row>44</xdr:row>
      <xdr:rowOff>254275</xdr:rowOff>
    </xdr:to>
    <xdr:sp macro="" textlink="">
      <xdr:nvSpPr>
        <xdr:cNvPr id="17" name="Up Arrow Callout 16">
          <a:extLst>
            <a:ext uri="{FF2B5EF4-FFF2-40B4-BE49-F238E27FC236}">
              <a16:creationId xmlns:a16="http://schemas.microsoft.com/office/drawing/2014/main" id="{00000000-0008-0000-0600-000011000000}"/>
            </a:ext>
          </a:extLst>
        </xdr:cNvPr>
        <xdr:cNvSpPr/>
      </xdr:nvSpPr>
      <xdr:spPr bwMode="auto">
        <a:xfrm rot="16200000">
          <a:off x="25362591" y="7784409"/>
          <a:ext cx="182217" cy="154056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octobre 2022</a:t>
          </a:r>
        </a:p>
      </xdr:txBody>
    </xdr:sp>
    <xdr:clientData/>
  </xdr:twoCellAnchor>
  <xdr:twoCellAnchor>
    <xdr:from>
      <xdr:col>29</xdr:col>
      <xdr:colOff>613742</xdr:colOff>
      <xdr:row>46</xdr:row>
      <xdr:rowOff>72058</xdr:rowOff>
    </xdr:from>
    <xdr:to>
      <xdr:col>32</xdr:col>
      <xdr:colOff>249307</xdr:colOff>
      <xdr:row>46</xdr:row>
      <xdr:rowOff>254275</xdr:rowOff>
    </xdr:to>
    <xdr:sp macro="" textlink="">
      <xdr:nvSpPr>
        <xdr:cNvPr id="18" name="Up Arrow Callout 16">
          <a:extLst>
            <a:ext uri="{FF2B5EF4-FFF2-40B4-BE49-F238E27FC236}">
              <a16:creationId xmlns:a16="http://schemas.microsoft.com/office/drawing/2014/main" id="{00000000-0008-0000-0600-000012000000}"/>
            </a:ext>
          </a:extLst>
        </xdr:cNvPr>
        <xdr:cNvSpPr/>
      </xdr:nvSpPr>
      <xdr:spPr bwMode="auto">
        <a:xfrm rot="16200000">
          <a:off x="25343541" y="8070159"/>
          <a:ext cx="182217" cy="154056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décembre 2022</a:t>
          </a:r>
        </a:p>
      </xdr:txBody>
    </xdr:sp>
    <xdr:clientData/>
  </xdr:twoCellAnchor>
  <xdr:twoCellAnchor>
    <xdr:from>
      <xdr:col>29</xdr:col>
      <xdr:colOff>632792</xdr:colOff>
      <xdr:row>45</xdr:row>
      <xdr:rowOff>72058</xdr:rowOff>
    </xdr:from>
    <xdr:to>
      <xdr:col>32</xdr:col>
      <xdr:colOff>268357</xdr:colOff>
      <xdr:row>45</xdr:row>
      <xdr:rowOff>254275</xdr:rowOff>
    </xdr:to>
    <xdr:sp macro="" textlink="">
      <xdr:nvSpPr>
        <xdr:cNvPr id="19" name="Up Arrow Callout 16">
          <a:extLst>
            <a:ext uri="{FF2B5EF4-FFF2-40B4-BE49-F238E27FC236}">
              <a16:creationId xmlns:a16="http://schemas.microsoft.com/office/drawing/2014/main" id="{00000000-0008-0000-0600-000013000000}"/>
            </a:ext>
          </a:extLst>
        </xdr:cNvPr>
        <xdr:cNvSpPr/>
      </xdr:nvSpPr>
      <xdr:spPr bwMode="auto">
        <a:xfrm rot="16200000">
          <a:off x="25391166" y="8222559"/>
          <a:ext cx="182217" cy="154056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novembre 2022</a:t>
          </a:r>
        </a:p>
      </xdr:txBody>
    </xdr:sp>
    <xdr:clientData/>
  </xdr:twoCellAnchor>
  <xdr:twoCellAnchor>
    <xdr:from>
      <xdr:col>10</xdr:col>
      <xdr:colOff>0</xdr:colOff>
      <xdr:row>142</xdr:row>
      <xdr:rowOff>0</xdr:rowOff>
    </xdr:from>
    <xdr:to>
      <xdr:col>12</xdr:col>
      <xdr:colOff>638175</xdr:colOff>
      <xdr:row>147</xdr:row>
      <xdr:rowOff>57150</xdr:rowOff>
    </xdr:to>
    <xdr:sp macro="[0]!ToezExportTut.M_MTC_Credit" textlink="">
      <xdr:nvSpPr>
        <xdr:cNvPr id="20" name="Rol: horizontaal 19" descr="Berekening MTC&#10;gedeelte inbegrepen&#10; in art 148/20">
          <a:extLst>
            <a:ext uri="{FF2B5EF4-FFF2-40B4-BE49-F238E27FC236}">
              <a16:creationId xmlns:a16="http://schemas.microsoft.com/office/drawing/2014/main" id="{00000000-0008-0000-0600-000014000000}"/>
            </a:ext>
            <a:ext uri="{C183D7F6-B498-43B3-948B-1728B52AA6E4}">
              <adec:decorative xmlns:adec="http://schemas.microsoft.com/office/drawing/2017/decorative" val="0"/>
            </a:ext>
          </a:extLst>
        </xdr:cNvPr>
        <xdr:cNvSpPr/>
      </xdr:nvSpPr>
      <xdr:spPr bwMode="auto">
        <a:xfrm>
          <a:off x="8963025" y="23955375"/>
          <a:ext cx="2047875" cy="771525"/>
        </a:xfrm>
        <a:prstGeom prst="horizontalScroll">
          <a:avLst/>
        </a:prstGeom>
        <a:solidFill>
          <a:srgbClr xmlns:mc="http://schemas.openxmlformats.org/markup-compatibility/2006" xmlns:a14="http://schemas.microsoft.com/office/drawing/2010/main" val="FFFF00" mc:Ignorable="a14" a14:legacySpreadsheetColorIndex="13"/>
        </a:solidFill>
        <a:ln w="19050" cap="flat" cmpd="sng" algn="ctr">
          <a:solidFill>
            <a:srgbClr xmlns:mc="http://schemas.openxmlformats.org/markup-compatibility/2006" xmlns:a14="http://schemas.microsoft.com/office/drawing/2010/main" val="0000FF" mc:Ignorable="a14" a14:legacySpreadsheetColorIndex="1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r>
            <a:rPr lang="nl-BE" sz="1100"/>
            <a:t>Calcul des Chèques</a:t>
          </a:r>
          <a:r>
            <a:rPr lang="nl-BE" sz="1100" baseline="0"/>
            <a:t> Repas</a:t>
          </a:r>
          <a:r>
            <a:rPr lang="nl-BE" sz="1100"/>
            <a:t> [CHR]</a:t>
          </a:r>
          <a:br>
            <a:rPr lang="nl-BE" sz="1100"/>
          </a:br>
          <a:r>
            <a:rPr lang="nl-BE" sz="1100"/>
            <a:t> n'est</a:t>
          </a:r>
          <a:r>
            <a:rPr lang="nl-BE" sz="1100" baseline="0"/>
            <a:t>  pas (plus)</a:t>
          </a:r>
          <a:br>
            <a:rPr lang="nl-BE" sz="1100"/>
          </a:br>
          <a:r>
            <a:rPr lang="nl-BE" sz="1100"/>
            <a:t>dans l'art 121-48/20 !</a:t>
          </a:r>
        </a:p>
      </xdr:txBody>
    </xdr:sp>
    <xdr:clientData/>
  </xdr:twoCellAnchor>
  <xdr:twoCellAnchor>
    <xdr:from>
      <xdr:col>29</xdr:col>
      <xdr:colOff>657226</xdr:colOff>
      <xdr:row>36</xdr:row>
      <xdr:rowOff>72885</xdr:rowOff>
    </xdr:from>
    <xdr:to>
      <xdr:col>32</xdr:col>
      <xdr:colOff>200026</xdr:colOff>
      <xdr:row>36</xdr:row>
      <xdr:rowOff>424960</xdr:rowOff>
    </xdr:to>
    <xdr:sp macro="[0]!BurPlan2022" textlink="">
      <xdr:nvSpPr>
        <xdr:cNvPr id="21" name="Up Arrow Callout 13">
          <a:extLst>
            <a:ext uri="{FF2B5EF4-FFF2-40B4-BE49-F238E27FC236}">
              <a16:creationId xmlns:a16="http://schemas.microsoft.com/office/drawing/2014/main" id="{00000000-0008-0000-0600-000015000000}"/>
            </a:ext>
          </a:extLst>
        </xdr:cNvPr>
        <xdr:cNvSpPr/>
      </xdr:nvSpPr>
      <xdr:spPr bwMode="auto">
        <a:xfrm rot="16200000">
          <a:off x="25622060" y="6496590"/>
          <a:ext cx="352075" cy="1455127"/>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000"/>
            <a:t>Bureau</a:t>
          </a:r>
          <a:r>
            <a:rPr lang="en-US" sz="1000" baseline="0"/>
            <a:t> du Plan</a:t>
          </a:r>
          <a:br>
            <a:rPr lang="en-US" sz="1000" baseline="0"/>
          </a:br>
          <a:r>
            <a:rPr lang="en-US" sz="1000" baseline="0"/>
            <a:t>05/10/2021</a:t>
          </a:r>
          <a:endParaRPr lang="en-US" sz="10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104775</xdr:colOff>
      <xdr:row>9</xdr:row>
      <xdr:rowOff>19050</xdr:rowOff>
    </xdr:from>
    <xdr:to>
      <xdr:col>3</xdr:col>
      <xdr:colOff>104775</xdr:colOff>
      <xdr:row>9</xdr:row>
      <xdr:rowOff>171450</xdr:rowOff>
    </xdr:to>
    <xdr:sp macro="" textlink="">
      <xdr:nvSpPr>
        <xdr:cNvPr id="72930" name="Line 44">
          <a:extLst>
            <a:ext uri="{FF2B5EF4-FFF2-40B4-BE49-F238E27FC236}">
              <a16:creationId xmlns:a16="http://schemas.microsoft.com/office/drawing/2014/main" id="{00000000-0008-0000-0700-0000E21C0100}"/>
            </a:ext>
          </a:extLst>
        </xdr:cNvPr>
        <xdr:cNvSpPr>
          <a:spLocks noChangeShapeType="1"/>
        </xdr:cNvSpPr>
      </xdr:nvSpPr>
      <xdr:spPr bwMode="auto">
        <a:xfrm flipH="1">
          <a:off x="1009650" y="1400175"/>
          <a:ext cx="0" cy="152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138</xdr:col>
      <xdr:colOff>161925</xdr:colOff>
      <xdr:row>10</xdr:row>
      <xdr:rowOff>914400</xdr:rowOff>
    </xdr:from>
    <xdr:to>
      <xdr:col>138</xdr:col>
      <xdr:colOff>161925</xdr:colOff>
      <xdr:row>11</xdr:row>
      <xdr:rowOff>133350</xdr:rowOff>
    </xdr:to>
    <xdr:sp macro="" textlink="">
      <xdr:nvSpPr>
        <xdr:cNvPr id="72931" name="Line 1397">
          <a:extLst>
            <a:ext uri="{FF2B5EF4-FFF2-40B4-BE49-F238E27FC236}">
              <a16:creationId xmlns:a16="http://schemas.microsoft.com/office/drawing/2014/main" id="{00000000-0008-0000-0700-0000E31C0100}"/>
            </a:ext>
          </a:extLst>
        </xdr:cNvPr>
        <xdr:cNvSpPr>
          <a:spLocks noChangeShapeType="1"/>
        </xdr:cNvSpPr>
      </xdr:nvSpPr>
      <xdr:spPr bwMode="auto">
        <a:xfrm>
          <a:off x="67579875" y="3248025"/>
          <a:ext cx="0" cy="2381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47625</xdr:colOff>
      <xdr:row>10</xdr:row>
      <xdr:rowOff>933450</xdr:rowOff>
    </xdr:from>
    <xdr:to>
      <xdr:col>7</xdr:col>
      <xdr:colOff>962025</xdr:colOff>
      <xdr:row>12</xdr:row>
      <xdr:rowOff>57150</xdr:rowOff>
    </xdr:to>
    <xdr:sp macro="[0]!Filter_Ops" textlink="">
      <xdr:nvSpPr>
        <xdr:cNvPr id="31017" name="AutoShape 3369">
          <a:extLst>
            <a:ext uri="{FF2B5EF4-FFF2-40B4-BE49-F238E27FC236}">
              <a16:creationId xmlns:a16="http://schemas.microsoft.com/office/drawing/2014/main" id="{00000000-0008-0000-0700-000029790000}"/>
            </a:ext>
          </a:extLst>
        </xdr:cNvPr>
        <xdr:cNvSpPr>
          <a:spLocks noChangeArrowheads="1"/>
        </xdr:cNvSpPr>
      </xdr:nvSpPr>
      <xdr:spPr bwMode="auto">
        <a:xfrm>
          <a:off x="2895600" y="3267075"/>
          <a:ext cx="914400" cy="476250"/>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Filter Ops</a:t>
          </a:r>
        </a:p>
      </xdr:txBody>
    </xdr:sp>
    <xdr:clientData/>
  </xdr:twoCellAnchor>
  <xdr:twoCellAnchor>
    <xdr:from>
      <xdr:col>7</xdr:col>
      <xdr:colOff>1133475</xdr:colOff>
      <xdr:row>10</xdr:row>
      <xdr:rowOff>971550</xdr:rowOff>
    </xdr:from>
    <xdr:to>
      <xdr:col>7</xdr:col>
      <xdr:colOff>1790700</xdr:colOff>
      <xdr:row>12</xdr:row>
      <xdr:rowOff>38100</xdr:rowOff>
    </xdr:to>
    <xdr:sp macro="[0]!Filter_OpsExit" textlink="">
      <xdr:nvSpPr>
        <xdr:cNvPr id="31018" name="AutoShape 3370">
          <a:extLst>
            <a:ext uri="{FF2B5EF4-FFF2-40B4-BE49-F238E27FC236}">
              <a16:creationId xmlns:a16="http://schemas.microsoft.com/office/drawing/2014/main" id="{00000000-0008-0000-0700-00002A790000}"/>
            </a:ext>
          </a:extLst>
        </xdr:cNvPr>
        <xdr:cNvSpPr>
          <a:spLocks noChangeArrowheads="1"/>
        </xdr:cNvSpPr>
      </xdr:nvSpPr>
      <xdr:spPr bwMode="auto">
        <a:xfrm>
          <a:off x="3981450" y="3305175"/>
          <a:ext cx="657225" cy="419100"/>
        </a:xfrm>
        <a:prstGeom prst="leftArrow">
          <a:avLst>
            <a:gd name="adj1" fmla="val 50000"/>
            <a:gd name="adj2" fmla="val 39205"/>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18</xdr:col>
      <xdr:colOff>161925</xdr:colOff>
      <xdr:row>8</xdr:row>
      <xdr:rowOff>142875</xdr:rowOff>
    </xdr:from>
    <xdr:to>
      <xdr:col>18</xdr:col>
      <xdr:colOff>161925</xdr:colOff>
      <xdr:row>9</xdr:row>
      <xdr:rowOff>152400</xdr:rowOff>
    </xdr:to>
    <xdr:sp macro="" textlink="">
      <xdr:nvSpPr>
        <xdr:cNvPr id="72934" name="Line 3371">
          <a:extLst>
            <a:ext uri="{FF2B5EF4-FFF2-40B4-BE49-F238E27FC236}">
              <a16:creationId xmlns:a16="http://schemas.microsoft.com/office/drawing/2014/main" id="{00000000-0008-0000-0700-0000E61C0100}"/>
            </a:ext>
          </a:extLst>
        </xdr:cNvPr>
        <xdr:cNvSpPr>
          <a:spLocks noChangeShapeType="1"/>
        </xdr:cNvSpPr>
      </xdr:nvSpPr>
      <xdr:spPr bwMode="auto">
        <a:xfrm flipH="1">
          <a:off x="10763250" y="1371600"/>
          <a:ext cx="0" cy="1619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161925</xdr:colOff>
      <xdr:row>8</xdr:row>
      <xdr:rowOff>142875</xdr:rowOff>
    </xdr:from>
    <xdr:to>
      <xdr:col>18</xdr:col>
      <xdr:colOff>161925</xdr:colOff>
      <xdr:row>9</xdr:row>
      <xdr:rowOff>152400</xdr:rowOff>
    </xdr:to>
    <xdr:sp macro="" textlink="">
      <xdr:nvSpPr>
        <xdr:cNvPr id="72935" name="Line 3372">
          <a:extLst>
            <a:ext uri="{FF2B5EF4-FFF2-40B4-BE49-F238E27FC236}">
              <a16:creationId xmlns:a16="http://schemas.microsoft.com/office/drawing/2014/main" id="{00000000-0008-0000-0700-0000E71C0100}"/>
            </a:ext>
          </a:extLst>
        </xdr:cNvPr>
        <xdr:cNvSpPr>
          <a:spLocks noChangeShapeType="1"/>
        </xdr:cNvSpPr>
      </xdr:nvSpPr>
      <xdr:spPr bwMode="auto">
        <a:xfrm flipH="1">
          <a:off x="10763250" y="1371600"/>
          <a:ext cx="0" cy="1619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47625</xdr:colOff>
      <xdr:row>1</xdr:row>
      <xdr:rowOff>85724</xdr:rowOff>
    </xdr:from>
    <xdr:to>
      <xdr:col>6</xdr:col>
      <xdr:colOff>38100</xdr:colOff>
      <xdr:row>5</xdr:row>
      <xdr:rowOff>133349</xdr:rowOff>
    </xdr:to>
    <xdr:sp macro="[0]!FilterCopieO" textlink="">
      <xdr:nvSpPr>
        <xdr:cNvPr id="9" name="AutoShape 3369">
          <a:extLst>
            <a:ext uri="{FF2B5EF4-FFF2-40B4-BE49-F238E27FC236}">
              <a16:creationId xmlns:a16="http://schemas.microsoft.com/office/drawing/2014/main" id="{00000000-0008-0000-0700-000009000000}"/>
            </a:ext>
          </a:extLst>
        </xdr:cNvPr>
        <xdr:cNvSpPr>
          <a:spLocks noChangeArrowheads="1"/>
        </xdr:cNvSpPr>
      </xdr:nvSpPr>
      <xdr:spPr bwMode="auto">
        <a:xfrm>
          <a:off x="1047750" y="247649"/>
          <a:ext cx="1152525" cy="6572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en-US" sz="1000" b="0" i="0" u="none" strike="noStrike" baseline="0">
              <a:solidFill>
                <a:srgbClr val="000000"/>
              </a:solidFill>
              <a:latin typeface="Arial"/>
              <a:cs typeface="Arial"/>
            </a:rPr>
            <a:t> Save Extract</a:t>
          </a:r>
          <a:br>
            <a:rPr lang="en-US" sz="1000" b="0" i="0" u="none" strike="noStrike" baseline="0">
              <a:solidFill>
                <a:srgbClr val="000000"/>
              </a:solidFill>
              <a:latin typeface="Arial"/>
              <a:cs typeface="Arial"/>
            </a:rPr>
          </a:br>
          <a:r>
            <a:rPr lang="en-US" sz="1000" b="0" i="0" u="none" strike="noStrike" baseline="0">
              <a:solidFill>
                <a:srgbClr val="000000"/>
              </a:solidFill>
              <a:latin typeface="Arial"/>
              <a:cs typeface="Arial"/>
            </a:rPr>
            <a:t>Filter Ops</a:t>
          </a:r>
        </a:p>
      </xdr:txBody>
    </xdr:sp>
    <xdr:clientData/>
  </xdr:twoCellAnchor>
  <xdr:twoCellAnchor>
    <xdr:from>
      <xdr:col>20</xdr:col>
      <xdr:colOff>676275</xdr:colOff>
      <xdr:row>1</xdr:row>
      <xdr:rowOff>38100</xdr:rowOff>
    </xdr:from>
    <xdr:to>
      <xdr:col>25</xdr:col>
      <xdr:colOff>647700</xdr:colOff>
      <xdr:row>5</xdr:row>
      <xdr:rowOff>85725</xdr:rowOff>
    </xdr:to>
    <xdr:sp macro="[0]!FilterCopiezp" textlink="">
      <xdr:nvSpPr>
        <xdr:cNvPr id="11" name="AutoShape 3369">
          <a:extLst>
            <a:ext uri="{FF2B5EF4-FFF2-40B4-BE49-F238E27FC236}">
              <a16:creationId xmlns:a16="http://schemas.microsoft.com/office/drawing/2014/main" id="{00000000-0008-0000-0700-00000B000000}"/>
            </a:ext>
          </a:extLst>
        </xdr:cNvPr>
        <xdr:cNvSpPr>
          <a:spLocks noChangeArrowheads="1"/>
        </xdr:cNvSpPr>
      </xdr:nvSpPr>
      <xdr:spPr bwMode="auto">
        <a:xfrm flipH="1">
          <a:off x="12268200" y="200025"/>
          <a:ext cx="1790700" cy="6572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en-US" sz="1000" b="0" i="0" u="none" strike="noStrike" baseline="0">
              <a:solidFill>
                <a:srgbClr val="000000"/>
              </a:solidFill>
              <a:latin typeface="Arial"/>
              <a:cs typeface="Arial"/>
            </a:rPr>
            <a:t> Save Extract Filtre</a:t>
          </a:r>
          <a:br>
            <a:rPr lang="en-US" sz="1000" b="0" i="0" u="none" strike="noStrike" baseline="0">
              <a:solidFill>
                <a:srgbClr val="000000"/>
              </a:solidFill>
              <a:latin typeface="Arial"/>
              <a:cs typeface="Arial"/>
            </a:rPr>
          </a:br>
          <a:r>
            <a:rPr lang="en-US" sz="1000" b="1" i="0" u="none" strike="noStrike" baseline="0">
              <a:solidFill>
                <a:srgbClr val="000000"/>
              </a:solidFill>
              <a:latin typeface="Arial"/>
              <a:cs typeface="Arial"/>
            </a:rPr>
            <a:t> ZP </a:t>
          </a:r>
          <a:r>
            <a:rPr lang="en-US" sz="1000" b="0" i="0" u="none" strike="noStrike" baseline="0">
              <a:solidFill>
                <a:srgbClr val="000000"/>
              </a:solidFill>
              <a:latin typeface="Arial"/>
              <a:cs typeface="Arial"/>
            </a:rPr>
            <a:t>(Ops+Calog</a:t>
          </a:r>
        </a:p>
      </xdr:txBody>
    </xdr:sp>
    <xdr:clientData/>
  </xdr:twoCellAnchor>
  <xdr:twoCellAnchor>
    <xdr:from>
      <xdr:col>8</xdr:col>
      <xdr:colOff>590550</xdr:colOff>
      <xdr:row>10</xdr:row>
      <xdr:rowOff>581025</xdr:rowOff>
    </xdr:from>
    <xdr:to>
      <xdr:col>11</xdr:col>
      <xdr:colOff>228600</xdr:colOff>
      <xdr:row>15</xdr:row>
      <xdr:rowOff>38100</xdr:rowOff>
    </xdr:to>
    <xdr:sp macro="[0]!M_TransposeAvBarBev" textlink="">
      <xdr:nvSpPr>
        <xdr:cNvPr id="72938" name="Down Arrow 1">
          <a:extLst>
            <a:ext uri="{FF2B5EF4-FFF2-40B4-BE49-F238E27FC236}">
              <a16:creationId xmlns:a16="http://schemas.microsoft.com/office/drawing/2014/main" id="{00000000-0008-0000-0700-0000EA1C0100}"/>
            </a:ext>
          </a:extLst>
        </xdr:cNvPr>
        <xdr:cNvSpPr>
          <a:spLocks noChangeArrowheads="1"/>
        </xdr:cNvSpPr>
      </xdr:nvSpPr>
      <xdr:spPr bwMode="auto">
        <a:xfrm>
          <a:off x="5591175" y="2914650"/>
          <a:ext cx="923925" cy="1600200"/>
        </a:xfrm>
        <a:prstGeom prst="downArrow">
          <a:avLst>
            <a:gd name="adj1" fmla="val 50000"/>
            <a:gd name="adj2" fmla="val 50002"/>
          </a:avLst>
        </a:prstGeom>
        <a:solidFill>
          <a:srgbClr val="B3A2C7">
            <a:alpha val="76077"/>
          </a:srgbClr>
        </a:solidFill>
        <a:ln w="19050" algn="ctr">
          <a:solidFill>
            <a:srgbClr val="0000FF"/>
          </a:solidFill>
          <a:round/>
          <a:headEnd/>
          <a:tailEnd/>
        </a:ln>
      </xdr:spPr>
    </xdr:sp>
    <xdr:clientData/>
  </xdr:twoCellAnchor>
  <xdr:twoCellAnchor>
    <xdr:from>
      <xdr:col>17</xdr:col>
      <xdr:colOff>666750</xdr:colOff>
      <xdr:row>10</xdr:row>
      <xdr:rowOff>942975</xdr:rowOff>
    </xdr:from>
    <xdr:to>
      <xdr:col>20</xdr:col>
      <xdr:colOff>371475</xdr:colOff>
      <xdr:row>12</xdr:row>
      <xdr:rowOff>76199</xdr:rowOff>
    </xdr:to>
    <xdr:sp macro="[0]!Est_Cost_Avanc_Bevord" textlink="">
      <xdr:nvSpPr>
        <xdr:cNvPr id="12" name="Flowchart: Punched Tape 11">
          <a:extLst>
            <a:ext uri="{FF2B5EF4-FFF2-40B4-BE49-F238E27FC236}">
              <a16:creationId xmlns:a16="http://schemas.microsoft.com/office/drawing/2014/main" id="{00000000-0008-0000-0700-00000C000000}"/>
            </a:ext>
          </a:extLst>
        </xdr:cNvPr>
        <xdr:cNvSpPr/>
      </xdr:nvSpPr>
      <xdr:spPr bwMode="auto">
        <a:xfrm>
          <a:off x="10201275" y="3276600"/>
          <a:ext cx="1485900" cy="485774"/>
        </a:xfrm>
        <a:prstGeom prst="flowChartPunchedTape">
          <a:avLst/>
        </a:prstGeom>
        <a:solidFill>
          <a:srgbClr val="FFC000">
            <a:alpha val="29000"/>
          </a:srgb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t" upright="1"/>
        <a:lstStyle/>
        <a:p>
          <a:pPr algn="ctr"/>
          <a:r>
            <a:rPr lang="en-US" sz="900" b="1"/>
            <a:t>Estimation du coût des  </a:t>
          </a:r>
          <a:br>
            <a:rPr lang="en-US" sz="900" b="1"/>
          </a:br>
          <a:r>
            <a:rPr lang="en-US" sz="900" b="1"/>
            <a:t>avancement barémiques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1343025</xdr:colOff>
      <xdr:row>10</xdr:row>
      <xdr:rowOff>1476374</xdr:rowOff>
    </xdr:from>
    <xdr:to>
      <xdr:col>7</xdr:col>
      <xdr:colOff>2162175</xdr:colOff>
      <xdr:row>12</xdr:row>
      <xdr:rowOff>47624</xdr:rowOff>
    </xdr:to>
    <xdr:sp macro="[0]!Filter_CalogExit" textlink="">
      <xdr:nvSpPr>
        <xdr:cNvPr id="26068" name="AutoShape 1492">
          <a:extLst>
            <a:ext uri="{FF2B5EF4-FFF2-40B4-BE49-F238E27FC236}">
              <a16:creationId xmlns:a16="http://schemas.microsoft.com/office/drawing/2014/main" id="{00000000-0008-0000-0800-0000D4650000}"/>
            </a:ext>
          </a:extLst>
        </xdr:cNvPr>
        <xdr:cNvSpPr>
          <a:spLocks noChangeArrowheads="1"/>
        </xdr:cNvSpPr>
      </xdr:nvSpPr>
      <xdr:spPr bwMode="auto">
        <a:xfrm>
          <a:off x="4638675" y="3514724"/>
          <a:ext cx="819150" cy="428625"/>
        </a:xfrm>
        <a:prstGeom prst="leftArrow">
          <a:avLst>
            <a:gd name="adj1" fmla="val 50000"/>
            <a:gd name="adj2" fmla="val 47436"/>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3</xdr:col>
      <xdr:colOff>104775</xdr:colOff>
      <xdr:row>9</xdr:row>
      <xdr:rowOff>19050</xdr:rowOff>
    </xdr:from>
    <xdr:to>
      <xdr:col>3</xdr:col>
      <xdr:colOff>104775</xdr:colOff>
      <xdr:row>9</xdr:row>
      <xdr:rowOff>171450</xdr:rowOff>
    </xdr:to>
    <xdr:sp macro="" textlink="">
      <xdr:nvSpPr>
        <xdr:cNvPr id="74863" name="Line 1493">
          <a:extLst>
            <a:ext uri="{FF2B5EF4-FFF2-40B4-BE49-F238E27FC236}">
              <a16:creationId xmlns:a16="http://schemas.microsoft.com/office/drawing/2014/main" id="{00000000-0008-0000-0800-00006F240100}"/>
            </a:ext>
          </a:extLst>
        </xdr:cNvPr>
        <xdr:cNvSpPr>
          <a:spLocks noChangeShapeType="1"/>
        </xdr:cNvSpPr>
      </xdr:nvSpPr>
      <xdr:spPr bwMode="auto">
        <a:xfrm flipH="1">
          <a:off x="1219200" y="1381125"/>
          <a:ext cx="0" cy="152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161925</xdr:colOff>
      <xdr:row>8</xdr:row>
      <xdr:rowOff>142875</xdr:rowOff>
    </xdr:from>
    <xdr:to>
      <xdr:col>18</xdr:col>
      <xdr:colOff>161925</xdr:colOff>
      <xdr:row>9</xdr:row>
      <xdr:rowOff>152400</xdr:rowOff>
    </xdr:to>
    <xdr:sp macro="" textlink="">
      <xdr:nvSpPr>
        <xdr:cNvPr id="74864" name="Line 1505">
          <a:extLst>
            <a:ext uri="{FF2B5EF4-FFF2-40B4-BE49-F238E27FC236}">
              <a16:creationId xmlns:a16="http://schemas.microsoft.com/office/drawing/2014/main" id="{00000000-0008-0000-0800-000070240100}"/>
            </a:ext>
          </a:extLst>
        </xdr:cNvPr>
        <xdr:cNvSpPr>
          <a:spLocks noChangeShapeType="1"/>
        </xdr:cNvSpPr>
      </xdr:nvSpPr>
      <xdr:spPr bwMode="auto">
        <a:xfrm flipH="1">
          <a:off x="10363200" y="1352550"/>
          <a:ext cx="0" cy="1619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19050</xdr:colOff>
      <xdr:row>10</xdr:row>
      <xdr:rowOff>1457325</xdr:rowOff>
    </xdr:from>
    <xdr:to>
      <xdr:col>7</xdr:col>
      <xdr:colOff>1143000</xdr:colOff>
      <xdr:row>12</xdr:row>
      <xdr:rowOff>38100</xdr:rowOff>
    </xdr:to>
    <xdr:sp macro="[0]!Filter_Calog" textlink="">
      <xdr:nvSpPr>
        <xdr:cNvPr id="26087" name="AutoShape 1511">
          <a:extLst>
            <a:ext uri="{FF2B5EF4-FFF2-40B4-BE49-F238E27FC236}">
              <a16:creationId xmlns:a16="http://schemas.microsoft.com/office/drawing/2014/main" id="{00000000-0008-0000-0800-0000E7650000}"/>
            </a:ext>
          </a:extLst>
        </xdr:cNvPr>
        <xdr:cNvSpPr>
          <a:spLocks noChangeArrowheads="1"/>
        </xdr:cNvSpPr>
      </xdr:nvSpPr>
      <xdr:spPr bwMode="auto">
        <a:xfrm flipV="1">
          <a:off x="3314700" y="3495675"/>
          <a:ext cx="1123950" cy="438150"/>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Filter Calog</a:t>
          </a:r>
        </a:p>
      </xdr:txBody>
    </xdr:sp>
    <xdr:clientData/>
  </xdr:twoCellAnchor>
  <xdr:twoCellAnchor>
    <xdr:from>
      <xdr:col>3</xdr:col>
      <xdr:colOff>409575</xdr:colOff>
      <xdr:row>1</xdr:row>
      <xdr:rowOff>28575</xdr:rowOff>
    </xdr:from>
    <xdr:to>
      <xdr:col>6</xdr:col>
      <xdr:colOff>76200</xdr:colOff>
      <xdr:row>5</xdr:row>
      <xdr:rowOff>76200</xdr:rowOff>
    </xdr:to>
    <xdr:sp macro="[0]!FilterCopieO" textlink="">
      <xdr:nvSpPr>
        <xdr:cNvPr id="8" name="AutoShape 3369">
          <a:extLst>
            <a:ext uri="{FF2B5EF4-FFF2-40B4-BE49-F238E27FC236}">
              <a16:creationId xmlns:a16="http://schemas.microsoft.com/office/drawing/2014/main" id="{00000000-0008-0000-0800-000008000000}"/>
            </a:ext>
          </a:extLst>
        </xdr:cNvPr>
        <xdr:cNvSpPr>
          <a:spLocks noChangeArrowheads="1"/>
        </xdr:cNvSpPr>
      </xdr:nvSpPr>
      <xdr:spPr bwMode="auto">
        <a:xfrm>
          <a:off x="1524000" y="171450"/>
          <a:ext cx="1152525" cy="6572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en-US" sz="1000" b="0" i="0" u="none" strike="noStrike" baseline="0">
              <a:solidFill>
                <a:srgbClr val="000000"/>
              </a:solidFill>
              <a:latin typeface="Arial"/>
              <a:cs typeface="Arial"/>
            </a:rPr>
            <a:t> Save Extract</a:t>
          </a:r>
          <a:br>
            <a:rPr lang="en-US" sz="1000" b="0" i="0" u="none" strike="noStrike" baseline="0">
              <a:solidFill>
                <a:srgbClr val="000000"/>
              </a:solidFill>
              <a:latin typeface="Arial"/>
              <a:cs typeface="Arial"/>
            </a:rPr>
          </a:br>
          <a:r>
            <a:rPr lang="en-US" sz="1000" b="0" i="0" u="none" strike="noStrike" baseline="0">
              <a:solidFill>
                <a:srgbClr val="000000"/>
              </a:solidFill>
              <a:latin typeface="Arial"/>
              <a:cs typeface="Arial"/>
            </a:rPr>
            <a:t>Filter Calog</a:t>
          </a:r>
        </a:p>
      </xdr:txBody>
    </xdr:sp>
    <xdr:clientData/>
  </xdr:twoCellAnchor>
  <xdr:twoCellAnchor>
    <xdr:from>
      <xdr:col>7</xdr:col>
      <xdr:colOff>1495425</xdr:colOff>
      <xdr:row>11</xdr:row>
      <xdr:rowOff>923925</xdr:rowOff>
    </xdr:from>
    <xdr:to>
      <xdr:col>7</xdr:col>
      <xdr:colOff>2200275</xdr:colOff>
      <xdr:row>12</xdr:row>
      <xdr:rowOff>9525</xdr:rowOff>
    </xdr:to>
    <xdr:sp macro="[0]!Filter_CalogExit" textlink="">
      <xdr:nvSpPr>
        <xdr:cNvPr id="11" name="AutoShape 465">
          <a:extLst>
            <a:ext uri="{FF2B5EF4-FFF2-40B4-BE49-F238E27FC236}">
              <a16:creationId xmlns:a16="http://schemas.microsoft.com/office/drawing/2014/main" id="{00000000-0008-0000-0800-00000B000000}"/>
            </a:ext>
          </a:extLst>
        </xdr:cNvPr>
        <xdr:cNvSpPr>
          <a:spLocks noChangeArrowheads="1"/>
        </xdr:cNvSpPr>
      </xdr:nvSpPr>
      <xdr:spPr bwMode="auto">
        <a:xfrm>
          <a:off x="5200650" y="1276350"/>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1495425</xdr:colOff>
      <xdr:row>11</xdr:row>
      <xdr:rowOff>923925</xdr:rowOff>
    </xdr:from>
    <xdr:to>
      <xdr:col>7</xdr:col>
      <xdr:colOff>2200275</xdr:colOff>
      <xdr:row>12</xdr:row>
      <xdr:rowOff>9525</xdr:rowOff>
    </xdr:to>
    <xdr:sp macro="[0]!Filter_CalogExit" textlink="">
      <xdr:nvSpPr>
        <xdr:cNvPr id="12" name="AutoShape 467">
          <a:extLst>
            <a:ext uri="{FF2B5EF4-FFF2-40B4-BE49-F238E27FC236}">
              <a16:creationId xmlns:a16="http://schemas.microsoft.com/office/drawing/2014/main" id="{00000000-0008-0000-0800-00000C000000}"/>
            </a:ext>
          </a:extLst>
        </xdr:cNvPr>
        <xdr:cNvSpPr>
          <a:spLocks noChangeArrowheads="1"/>
        </xdr:cNvSpPr>
      </xdr:nvSpPr>
      <xdr:spPr bwMode="auto">
        <a:xfrm>
          <a:off x="5200650" y="1276350"/>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1447800</xdr:colOff>
      <xdr:row>12</xdr:row>
      <xdr:rowOff>0</xdr:rowOff>
    </xdr:from>
    <xdr:to>
      <xdr:col>7</xdr:col>
      <xdr:colOff>1057275</xdr:colOff>
      <xdr:row>12</xdr:row>
      <xdr:rowOff>28575</xdr:rowOff>
    </xdr:to>
    <xdr:sp macro="[0]!Filter_CalogExit" textlink="">
      <xdr:nvSpPr>
        <xdr:cNvPr id="13" name="AutoShape 468">
          <a:extLst>
            <a:ext uri="{FF2B5EF4-FFF2-40B4-BE49-F238E27FC236}">
              <a16:creationId xmlns:a16="http://schemas.microsoft.com/office/drawing/2014/main" id="{00000000-0008-0000-0800-00000D000000}"/>
            </a:ext>
          </a:extLst>
        </xdr:cNvPr>
        <xdr:cNvSpPr>
          <a:spLocks noChangeArrowheads="1"/>
        </xdr:cNvSpPr>
      </xdr:nvSpPr>
      <xdr:spPr bwMode="auto">
        <a:xfrm>
          <a:off x="5200650" y="1276350"/>
          <a:ext cx="0" cy="2857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8</xdr:col>
      <xdr:colOff>581025</xdr:colOff>
      <xdr:row>10</xdr:row>
      <xdr:rowOff>400050</xdr:rowOff>
    </xdr:from>
    <xdr:to>
      <xdr:col>11</xdr:col>
      <xdr:colOff>285750</xdr:colOff>
      <xdr:row>12</xdr:row>
      <xdr:rowOff>142875</xdr:rowOff>
    </xdr:to>
    <xdr:sp macro="[0]!M_TransposeAvBarBev" textlink="">
      <xdr:nvSpPr>
        <xdr:cNvPr id="74870" name="Down Arrow 1">
          <a:extLst>
            <a:ext uri="{FF2B5EF4-FFF2-40B4-BE49-F238E27FC236}">
              <a16:creationId xmlns:a16="http://schemas.microsoft.com/office/drawing/2014/main" id="{00000000-0008-0000-0800-000076240100}"/>
            </a:ext>
          </a:extLst>
        </xdr:cNvPr>
        <xdr:cNvSpPr>
          <a:spLocks noChangeArrowheads="1"/>
        </xdr:cNvSpPr>
      </xdr:nvSpPr>
      <xdr:spPr bwMode="auto">
        <a:xfrm>
          <a:off x="6086475" y="2438400"/>
          <a:ext cx="923925" cy="1600200"/>
        </a:xfrm>
        <a:prstGeom prst="downArrow">
          <a:avLst>
            <a:gd name="adj1" fmla="val 50000"/>
            <a:gd name="adj2" fmla="val 50002"/>
          </a:avLst>
        </a:prstGeom>
        <a:solidFill>
          <a:srgbClr val="B3A2C7">
            <a:alpha val="76077"/>
          </a:srgbClr>
        </a:solidFill>
        <a:ln w="19050" algn="ctr">
          <a:solidFill>
            <a:srgbClr val="0000FF"/>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0</xdr:row>
      <xdr:rowOff>0</xdr:rowOff>
    </xdr:from>
    <xdr:to>
      <xdr:col>0</xdr:col>
      <xdr:colOff>1524000</xdr:colOff>
      <xdr:row>1</xdr:row>
      <xdr:rowOff>19050</xdr:rowOff>
    </xdr:to>
    <xdr:sp macro="[0]!FilterCopiezp" textlink="">
      <xdr:nvSpPr>
        <xdr:cNvPr id="2" name="AutoShape 3369">
          <a:extLst>
            <a:ext uri="{FF2B5EF4-FFF2-40B4-BE49-F238E27FC236}">
              <a16:creationId xmlns:a16="http://schemas.microsoft.com/office/drawing/2014/main" id="{00000000-0008-0000-0900-000002000000}"/>
            </a:ext>
          </a:extLst>
        </xdr:cNvPr>
        <xdr:cNvSpPr>
          <a:spLocks noChangeArrowheads="1"/>
        </xdr:cNvSpPr>
      </xdr:nvSpPr>
      <xdr:spPr bwMode="auto">
        <a:xfrm>
          <a:off x="38100" y="0"/>
          <a:ext cx="1485900" cy="67627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r" rtl="0">
            <a:defRPr sz="1000"/>
          </a:pPr>
          <a:r>
            <a:rPr lang="en-US" sz="800" b="1" i="0" u="none" strike="noStrike" baseline="0">
              <a:solidFill>
                <a:srgbClr val="000000"/>
              </a:solidFill>
              <a:latin typeface="Arial"/>
              <a:cs typeface="Arial"/>
            </a:rPr>
            <a:t> Save Extract Filtre</a:t>
          </a:r>
          <a:br>
            <a:rPr lang="en-US" sz="800" b="1" i="0" u="none" strike="noStrike" baseline="0">
              <a:solidFill>
                <a:srgbClr val="000000"/>
              </a:solidFill>
              <a:latin typeface="Arial"/>
              <a:cs typeface="Arial"/>
            </a:rPr>
          </a:br>
          <a:r>
            <a:rPr lang="en-US" sz="800" b="1" i="0" u="none" strike="noStrike" baseline="0">
              <a:solidFill>
                <a:srgbClr val="000000"/>
              </a:solidFill>
              <a:latin typeface="Arial"/>
              <a:cs typeface="Arial"/>
            </a:rPr>
            <a:t> ZP (Ops+Calog</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2305050</xdr:colOff>
      <xdr:row>0</xdr:row>
      <xdr:rowOff>0</xdr:rowOff>
    </xdr:from>
    <xdr:to>
      <xdr:col>0</xdr:col>
      <xdr:colOff>2724150</xdr:colOff>
      <xdr:row>0</xdr:row>
      <xdr:rowOff>0</xdr:rowOff>
    </xdr:to>
    <xdr:sp macro="[0]!CalogFilterCopie" textlink="">
      <xdr:nvSpPr>
        <xdr:cNvPr id="18925" name="MCopieFilterCalog">
          <a:extLst>
            <a:ext uri="{FF2B5EF4-FFF2-40B4-BE49-F238E27FC236}">
              <a16:creationId xmlns:a16="http://schemas.microsoft.com/office/drawing/2014/main" id="{00000000-0008-0000-0A00-0000ED490000}"/>
            </a:ext>
          </a:extLst>
        </xdr:cNvPr>
        <xdr:cNvSpPr>
          <a:spLocks noChangeArrowheads="1"/>
        </xdr:cNvSpPr>
      </xdr:nvSpPr>
      <xdr:spPr bwMode="auto">
        <a:xfrm>
          <a:off x="2305050" y="0"/>
          <a:ext cx="419100" cy="0"/>
        </a:xfrm>
        <a:prstGeom prst="chevron">
          <a:avLst>
            <a:gd name="adj" fmla="val -2147483648"/>
          </a:avLst>
        </a:prstGeom>
        <a:solidFill>
          <a:srgbClr val="FFFFFF"/>
        </a:solidFill>
        <a:ln w="9525">
          <a:solidFill>
            <a:srgbClr val="000000"/>
          </a:solidFill>
          <a:miter lim="800000"/>
          <a:headEnd/>
          <a:tailEnd/>
        </a:ln>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29</xdr:col>
      <xdr:colOff>466725</xdr:colOff>
      <xdr:row>0</xdr:row>
      <xdr:rowOff>0</xdr:rowOff>
    </xdr:from>
    <xdr:to>
      <xdr:col>36</xdr:col>
      <xdr:colOff>0</xdr:colOff>
      <xdr:row>0</xdr:row>
      <xdr:rowOff>0</xdr:rowOff>
    </xdr:to>
    <xdr:sp macro="" textlink="">
      <xdr:nvSpPr>
        <xdr:cNvPr id="74286" name="Line 44">
          <a:extLst>
            <a:ext uri="{FF2B5EF4-FFF2-40B4-BE49-F238E27FC236}">
              <a16:creationId xmlns:a16="http://schemas.microsoft.com/office/drawing/2014/main" id="{00000000-0008-0000-0B00-00002E220100}"/>
            </a:ext>
          </a:extLst>
        </xdr:cNvPr>
        <xdr:cNvSpPr>
          <a:spLocks noChangeShapeType="1"/>
        </xdr:cNvSpPr>
      </xdr:nvSpPr>
      <xdr:spPr bwMode="auto">
        <a:xfrm>
          <a:off x="15849600" y="0"/>
          <a:ext cx="201930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428625</xdr:colOff>
      <xdr:row>0</xdr:row>
      <xdr:rowOff>0</xdr:rowOff>
    </xdr:from>
    <xdr:to>
      <xdr:col>28</xdr:col>
      <xdr:colOff>428625</xdr:colOff>
      <xdr:row>0</xdr:row>
      <xdr:rowOff>0</xdr:rowOff>
    </xdr:to>
    <xdr:sp macro="" textlink="">
      <xdr:nvSpPr>
        <xdr:cNvPr id="74287" name="Line 48">
          <a:extLst>
            <a:ext uri="{FF2B5EF4-FFF2-40B4-BE49-F238E27FC236}">
              <a16:creationId xmlns:a16="http://schemas.microsoft.com/office/drawing/2014/main" id="{00000000-0008-0000-0B00-00002F220100}"/>
            </a:ext>
          </a:extLst>
        </xdr:cNvPr>
        <xdr:cNvSpPr>
          <a:spLocks noChangeShapeType="1"/>
        </xdr:cNvSpPr>
      </xdr:nvSpPr>
      <xdr:spPr bwMode="auto">
        <a:xfrm>
          <a:off x="15478125" y="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37</xdr:col>
      <xdr:colOff>9525</xdr:colOff>
      <xdr:row>0</xdr:row>
      <xdr:rowOff>0</xdr:rowOff>
    </xdr:from>
    <xdr:to>
      <xdr:col>37</xdr:col>
      <xdr:colOff>209550</xdr:colOff>
      <xdr:row>0</xdr:row>
      <xdr:rowOff>0</xdr:rowOff>
    </xdr:to>
    <xdr:sp macro="" textlink="">
      <xdr:nvSpPr>
        <xdr:cNvPr id="74288" name="Line 49">
          <a:extLst>
            <a:ext uri="{FF2B5EF4-FFF2-40B4-BE49-F238E27FC236}">
              <a16:creationId xmlns:a16="http://schemas.microsoft.com/office/drawing/2014/main" id="{00000000-0008-0000-0B00-000030220100}"/>
            </a:ext>
          </a:extLst>
        </xdr:cNvPr>
        <xdr:cNvSpPr>
          <a:spLocks noChangeShapeType="1"/>
        </xdr:cNvSpPr>
      </xdr:nvSpPr>
      <xdr:spPr bwMode="auto">
        <a:xfrm flipV="1">
          <a:off x="18468975" y="0"/>
          <a:ext cx="200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419100</xdr:colOff>
      <xdr:row>0</xdr:row>
      <xdr:rowOff>0</xdr:rowOff>
    </xdr:from>
    <xdr:to>
      <xdr:col>35</xdr:col>
      <xdr:colOff>762000</xdr:colOff>
      <xdr:row>0</xdr:row>
      <xdr:rowOff>0</xdr:rowOff>
    </xdr:to>
    <xdr:sp macro="" textlink="">
      <xdr:nvSpPr>
        <xdr:cNvPr id="74289" name="Line 51">
          <a:extLst>
            <a:ext uri="{FF2B5EF4-FFF2-40B4-BE49-F238E27FC236}">
              <a16:creationId xmlns:a16="http://schemas.microsoft.com/office/drawing/2014/main" id="{00000000-0008-0000-0B00-000031220100}"/>
            </a:ext>
          </a:extLst>
        </xdr:cNvPr>
        <xdr:cNvSpPr>
          <a:spLocks noChangeShapeType="1"/>
        </xdr:cNvSpPr>
      </xdr:nvSpPr>
      <xdr:spPr bwMode="auto">
        <a:xfrm>
          <a:off x="17487900" y="0"/>
          <a:ext cx="381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390525</xdr:colOff>
      <xdr:row>0</xdr:row>
      <xdr:rowOff>0</xdr:rowOff>
    </xdr:from>
    <xdr:to>
      <xdr:col>36</xdr:col>
      <xdr:colOff>390525</xdr:colOff>
      <xdr:row>0</xdr:row>
      <xdr:rowOff>0</xdr:rowOff>
    </xdr:to>
    <xdr:sp macro="" textlink="">
      <xdr:nvSpPr>
        <xdr:cNvPr id="74290" name="Line 53">
          <a:extLst>
            <a:ext uri="{FF2B5EF4-FFF2-40B4-BE49-F238E27FC236}">
              <a16:creationId xmlns:a16="http://schemas.microsoft.com/office/drawing/2014/main" id="{00000000-0008-0000-0B00-000032220100}"/>
            </a:ext>
          </a:extLst>
        </xdr:cNvPr>
        <xdr:cNvSpPr>
          <a:spLocks noChangeShapeType="1"/>
        </xdr:cNvSpPr>
      </xdr:nvSpPr>
      <xdr:spPr bwMode="auto">
        <a:xfrm>
          <a:off x="18259425" y="0"/>
          <a:ext cx="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371475</xdr:colOff>
      <xdr:row>0</xdr:row>
      <xdr:rowOff>0</xdr:rowOff>
    </xdr:from>
    <xdr:to>
      <xdr:col>39</xdr:col>
      <xdr:colOff>371475</xdr:colOff>
      <xdr:row>0</xdr:row>
      <xdr:rowOff>0</xdr:rowOff>
    </xdr:to>
    <xdr:sp macro="" textlink="">
      <xdr:nvSpPr>
        <xdr:cNvPr id="74291" name="Line 56">
          <a:extLst>
            <a:ext uri="{FF2B5EF4-FFF2-40B4-BE49-F238E27FC236}">
              <a16:creationId xmlns:a16="http://schemas.microsoft.com/office/drawing/2014/main" id="{00000000-0008-0000-0B00-000033220100}"/>
            </a:ext>
          </a:extLst>
        </xdr:cNvPr>
        <xdr:cNvSpPr>
          <a:spLocks noChangeShapeType="1"/>
        </xdr:cNvSpPr>
      </xdr:nvSpPr>
      <xdr:spPr bwMode="auto">
        <a:xfrm flipH="1" flipV="1">
          <a:off x="19250025" y="0"/>
          <a:ext cx="0" cy="0"/>
        </a:xfrm>
        <a:prstGeom prst="line">
          <a:avLst/>
        </a:prstGeom>
        <a:noFill/>
        <a:ln w="57150" cmpd="thinThick">
          <a:solidFill>
            <a:srgbClr val="000000"/>
          </a:solidFill>
          <a:prstDash val="dashDot"/>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438150</xdr:colOff>
      <xdr:row>0</xdr:row>
      <xdr:rowOff>0</xdr:rowOff>
    </xdr:from>
    <xdr:to>
      <xdr:col>26</xdr:col>
      <xdr:colOff>209550</xdr:colOff>
      <xdr:row>0</xdr:row>
      <xdr:rowOff>0</xdr:rowOff>
    </xdr:to>
    <xdr:sp macro="" textlink="">
      <xdr:nvSpPr>
        <xdr:cNvPr id="74292" name="Line 157">
          <a:extLst>
            <a:ext uri="{FF2B5EF4-FFF2-40B4-BE49-F238E27FC236}">
              <a16:creationId xmlns:a16="http://schemas.microsoft.com/office/drawing/2014/main" id="{00000000-0008-0000-0B00-000034220100}"/>
            </a:ext>
          </a:extLst>
        </xdr:cNvPr>
        <xdr:cNvSpPr>
          <a:spLocks noChangeShapeType="1"/>
        </xdr:cNvSpPr>
      </xdr:nvSpPr>
      <xdr:spPr bwMode="auto">
        <a:xfrm flipH="1">
          <a:off x="14839950" y="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35</xdr:col>
      <xdr:colOff>361950</xdr:colOff>
      <xdr:row>0</xdr:row>
      <xdr:rowOff>0</xdr:rowOff>
    </xdr:from>
    <xdr:to>
      <xdr:col>35</xdr:col>
      <xdr:colOff>209550</xdr:colOff>
      <xdr:row>0</xdr:row>
      <xdr:rowOff>0</xdr:rowOff>
    </xdr:to>
    <xdr:sp macro="" textlink="">
      <xdr:nvSpPr>
        <xdr:cNvPr id="74293" name="Line 158">
          <a:extLst>
            <a:ext uri="{FF2B5EF4-FFF2-40B4-BE49-F238E27FC236}">
              <a16:creationId xmlns:a16="http://schemas.microsoft.com/office/drawing/2014/main" id="{00000000-0008-0000-0B00-000035220100}"/>
            </a:ext>
          </a:extLst>
        </xdr:cNvPr>
        <xdr:cNvSpPr>
          <a:spLocks noChangeShapeType="1"/>
        </xdr:cNvSpPr>
      </xdr:nvSpPr>
      <xdr:spPr bwMode="auto">
        <a:xfrm>
          <a:off x="17868900" y="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466725</xdr:colOff>
      <xdr:row>0</xdr:row>
      <xdr:rowOff>0</xdr:rowOff>
    </xdr:from>
    <xdr:to>
      <xdr:col>29</xdr:col>
      <xdr:colOff>209550</xdr:colOff>
      <xdr:row>0</xdr:row>
      <xdr:rowOff>0</xdr:rowOff>
    </xdr:to>
    <xdr:sp macro="" textlink="">
      <xdr:nvSpPr>
        <xdr:cNvPr id="74294" name="Line 205">
          <a:extLst>
            <a:ext uri="{FF2B5EF4-FFF2-40B4-BE49-F238E27FC236}">
              <a16:creationId xmlns:a16="http://schemas.microsoft.com/office/drawing/2014/main" id="{00000000-0008-0000-0B00-000036220100}"/>
            </a:ext>
          </a:extLst>
        </xdr:cNvPr>
        <xdr:cNvSpPr>
          <a:spLocks noChangeShapeType="1"/>
        </xdr:cNvSpPr>
      </xdr:nvSpPr>
      <xdr:spPr bwMode="auto">
        <a:xfrm flipH="1">
          <a:off x="15849600" y="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96</xdr:col>
      <xdr:colOff>161925</xdr:colOff>
      <xdr:row>13</xdr:row>
      <xdr:rowOff>914400</xdr:rowOff>
    </xdr:from>
    <xdr:to>
      <xdr:col>96</xdr:col>
      <xdr:colOff>161925</xdr:colOff>
      <xdr:row>14</xdr:row>
      <xdr:rowOff>0</xdr:rowOff>
    </xdr:to>
    <xdr:sp macro="" textlink="">
      <xdr:nvSpPr>
        <xdr:cNvPr id="74295" name="Line 302">
          <a:extLst>
            <a:ext uri="{FF2B5EF4-FFF2-40B4-BE49-F238E27FC236}">
              <a16:creationId xmlns:a16="http://schemas.microsoft.com/office/drawing/2014/main" id="{00000000-0008-0000-0B00-000037220100}"/>
            </a:ext>
          </a:extLst>
        </xdr:cNvPr>
        <xdr:cNvSpPr>
          <a:spLocks noChangeShapeType="1"/>
        </xdr:cNvSpPr>
      </xdr:nvSpPr>
      <xdr:spPr bwMode="auto">
        <a:xfrm>
          <a:off x="5187315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98</xdr:col>
      <xdr:colOff>161925</xdr:colOff>
      <xdr:row>13</xdr:row>
      <xdr:rowOff>914400</xdr:rowOff>
    </xdr:from>
    <xdr:to>
      <xdr:col>98</xdr:col>
      <xdr:colOff>161925</xdr:colOff>
      <xdr:row>14</xdr:row>
      <xdr:rowOff>0</xdr:rowOff>
    </xdr:to>
    <xdr:sp macro="" textlink="">
      <xdr:nvSpPr>
        <xdr:cNvPr id="74296" name="Line 303">
          <a:extLst>
            <a:ext uri="{FF2B5EF4-FFF2-40B4-BE49-F238E27FC236}">
              <a16:creationId xmlns:a16="http://schemas.microsoft.com/office/drawing/2014/main" id="{00000000-0008-0000-0B00-000038220100}"/>
            </a:ext>
          </a:extLst>
        </xdr:cNvPr>
        <xdr:cNvSpPr>
          <a:spLocks noChangeShapeType="1"/>
        </xdr:cNvSpPr>
      </xdr:nvSpPr>
      <xdr:spPr bwMode="auto">
        <a:xfrm>
          <a:off x="534162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98</xdr:col>
      <xdr:colOff>161925</xdr:colOff>
      <xdr:row>13</xdr:row>
      <xdr:rowOff>914400</xdr:rowOff>
    </xdr:from>
    <xdr:to>
      <xdr:col>98</xdr:col>
      <xdr:colOff>161925</xdr:colOff>
      <xdr:row>14</xdr:row>
      <xdr:rowOff>0</xdr:rowOff>
    </xdr:to>
    <xdr:sp macro="" textlink="">
      <xdr:nvSpPr>
        <xdr:cNvPr id="74297" name="Line 304">
          <a:extLst>
            <a:ext uri="{FF2B5EF4-FFF2-40B4-BE49-F238E27FC236}">
              <a16:creationId xmlns:a16="http://schemas.microsoft.com/office/drawing/2014/main" id="{00000000-0008-0000-0B00-000039220100}"/>
            </a:ext>
          </a:extLst>
        </xdr:cNvPr>
        <xdr:cNvSpPr>
          <a:spLocks noChangeShapeType="1"/>
        </xdr:cNvSpPr>
      </xdr:nvSpPr>
      <xdr:spPr bwMode="auto">
        <a:xfrm>
          <a:off x="534162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98</xdr:col>
      <xdr:colOff>161925</xdr:colOff>
      <xdr:row>13</xdr:row>
      <xdr:rowOff>914400</xdr:rowOff>
    </xdr:from>
    <xdr:to>
      <xdr:col>98</xdr:col>
      <xdr:colOff>161925</xdr:colOff>
      <xdr:row>14</xdr:row>
      <xdr:rowOff>0</xdr:rowOff>
    </xdr:to>
    <xdr:sp macro="" textlink="">
      <xdr:nvSpPr>
        <xdr:cNvPr id="74298" name="Line 305">
          <a:extLst>
            <a:ext uri="{FF2B5EF4-FFF2-40B4-BE49-F238E27FC236}">
              <a16:creationId xmlns:a16="http://schemas.microsoft.com/office/drawing/2014/main" id="{00000000-0008-0000-0B00-00003A220100}"/>
            </a:ext>
          </a:extLst>
        </xdr:cNvPr>
        <xdr:cNvSpPr>
          <a:spLocks noChangeShapeType="1"/>
        </xdr:cNvSpPr>
      </xdr:nvSpPr>
      <xdr:spPr bwMode="auto">
        <a:xfrm>
          <a:off x="534162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125</xdr:col>
      <xdr:colOff>161925</xdr:colOff>
      <xdr:row>13</xdr:row>
      <xdr:rowOff>914400</xdr:rowOff>
    </xdr:from>
    <xdr:to>
      <xdr:col>125</xdr:col>
      <xdr:colOff>161925</xdr:colOff>
      <xdr:row>14</xdr:row>
      <xdr:rowOff>0</xdr:rowOff>
    </xdr:to>
    <xdr:sp macro="" textlink="">
      <xdr:nvSpPr>
        <xdr:cNvPr id="74299" name="Line 402">
          <a:extLst>
            <a:ext uri="{FF2B5EF4-FFF2-40B4-BE49-F238E27FC236}">
              <a16:creationId xmlns:a16="http://schemas.microsoft.com/office/drawing/2014/main" id="{00000000-0008-0000-0B00-00003B220100}"/>
            </a:ext>
          </a:extLst>
        </xdr:cNvPr>
        <xdr:cNvSpPr>
          <a:spLocks noChangeShapeType="1"/>
        </xdr:cNvSpPr>
      </xdr:nvSpPr>
      <xdr:spPr bwMode="auto">
        <a:xfrm>
          <a:off x="744474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131</xdr:col>
      <xdr:colOff>200025</xdr:colOff>
      <xdr:row>13</xdr:row>
      <xdr:rowOff>914400</xdr:rowOff>
    </xdr:from>
    <xdr:to>
      <xdr:col>131</xdr:col>
      <xdr:colOff>200025</xdr:colOff>
      <xdr:row>14</xdr:row>
      <xdr:rowOff>0</xdr:rowOff>
    </xdr:to>
    <xdr:sp macro="" textlink="">
      <xdr:nvSpPr>
        <xdr:cNvPr id="74300" name="Line 403">
          <a:extLst>
            <a:ext uri="{FF2B5EF4-FFF2-40B4-BE49-F238E27FC236}">
              <a16:creationId xmlns:a16="http://schemas.microsoft.com/office/drawing/2014/main" id="{00000000-0008-0000-0B00-00003C220100}"/>
            </a:ext>
          </a:extLst>
        </xdr:cNvPr>
        <xdr:cNvSpPr>
          <a:spLocks noChangeShapeType="1"/>
        </xdr:cNvSpPr>
      </xdr:nvSpPr>
      <xdr:spPr bwMode="auto">
        <a:xfrm>
          <a:off x="78914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134</xdr:col>
      <xdr:colOff>161925</xdr:colOff>
      <xdr:row>13</xdr:row>
      <xdr:rowOff>914400</xdr:rowOff>
    </xdr:from>
    <xdr:to>
      <xdr:col>134</xdr:col>
      <xdr:colOff>161925</xdr:colOff>
      <xdr:row>14</xdr:row>
      <xdr:rowOff>0</xdr:rowOff>
    </xdr:to>
    <xdr:sp macro="" textlink="">
      <xdr:nvSpPr>
        <xdr:cNvPr id="74301" name="Line 404">
          <a:extLst>
            <a:ext uri="{FF2B5EF4-FFF2-40B4-BE49-F238E27FC236}">
              <a16:creationId xmlns:a16="http://schemas.microsoft.com/office/drawing/2014/main" id="{00000000-0008-0000-0B00-00003D220100}"/>
            </a:ext>
          </a:extLst>
        </xdr:cNvPr>
        <xdr:cNvSpPr>
          <a:spLocks noChangeShapeType="1"/>
        </xdr:cNvSpPr>
      </xdr:nvSpPr>
      <xdr:spPr bwMode="auto">
        <a:xfrm>
          <a:off x="811625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128</xdr:col>
      <xdr:colOff>200025</xdr:colOff>
      <xdr:row>13</xdr:row>
      <xdr:rowOff>914400</xdr:rowOff>
    </xdr:from>
    <xdr:to>
      <xdr:col>128</xdr:col>
      <xdr:colOff>200025</xdr:colOff>
      <xdr:row>14</xdr:row>
      <xdr:rowOff>0</xdr:rowOff>
    </xdr:to>
    <xdr:sp macro="" textlink="">
      <xdr:nvSpPr>
        <xdr:cNvPr id="74302" name="Line 405">
          <a:extLst>
            <a:ext uri="{FF2B5EF4-FFF2-40B4-BE49-F238E27FC236}">
              <a16:creationId xmlns:a16="http://schemas.microsoft.com/office/drawing/2014/main" id="{00000000-0008-0000-0B00-00003E220100}"/>
            </a:ext>
          </a:extLst>
        </xdr:cNvPr>
        <xdr:cNvSpPr>
          <a:spLocks noChangeShapeType="1"/>
        </xdr:cNvSpPr>
      </xdr:nvSpPr>
      <xdr:spPr bwMode="auto">
        <a:xfrm>
          <a:off x="76628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128</xdr:col>
      <xdr:colOff>200025</xdr:colOff>
      <xdr:row>13</xdr:row>
      <xdr:rowOff>914400</xdr:rowOff>
    </xdr:from>
    <xdr:to>
      <xdr:col>128</xdr:col>
      <xdr:colOff>200025</xdr:colOff>
      <xdr:row>14</xdr:row>
      <xdr:rowOff>0</xdr:rowOff>
    </xdr:to>
    <xdr:sp macro="" textlink="">
      <xdr:nvSpPr>
        <xdr:cNvPr id="74303" name="Line 406">
          <a:extLst>
            <a:ext uri="{FF2B5EF4-FFF2-40B4-BE49-F238E27FC236}">
              <a16:creationId xmlns:a16="http://schemas.microsoft.com/office/drawing/2014/main" id="{00000000-0008-0000-0B00-00003F220100}"/>
            </a:ext>
          </a:extLst>
        </xdr:cNvPr>
        <xdr:cNvSpPr>
          <a:spLocks noChangeShapeType="1"/>
        </xdr:cNvSpPr>
      </xdr:nvSpPr>
      <xdr:spPr bwMode="auto">
        <a:xfrm>
          <a:off x="76628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128</xdr:col>
      <xdr:colOff>200025</xdr:colOff>
      <xdr:row>13</xdr:row>
      <xdr:rowOff>914400</xdr:rowOff>
    </xdr:from>
    <xdr:to>
      <xdr:col>128</xdr:col>
      <xdr:colOff>200025</xdr:colOff>
      <xdr:row>14</xdr:row>
      <xdr:rowOff>0</xdr:rowOff>
    </xdr:to>
    <xdr:sp macro="" textlink="">
      <xdr:nvSpPr>
        <xdr:cNvPr id="74304" name="Line 407">
          <a:extLst>
            <a:ext uri="{FF2B5EF4-FFF2-40B4-BE49-F238E27FC236}">
              <a16:creationId xmlns:a16="http://schemas.microsoft.com/office/drawing/2014/main" id="{00000000-0008-0000-0B00-000040220100}"/>
            </a:ext>
          </a:extLst>
        </xdr:cNvPr>
        <xdr:cNvSpPr>
          <a:spLocks noChangeShapeType="1"/>
        </xdr:cNvSpPr>
      </xdr:nvSpPr>
      <xdr:spPr bwMode="auto">
        <a:xfrm>
          <a:off x="76628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130</xdr:col>
      <xdr:colOff>200025</xdr:colOff>
      <xdr:row>13</xdr:row>
      <xdr:rowOff>914400</xdr:rowOff>
    </xdr:from>
    <xdr:to>
      <xdr:col>130</xdr:col>
      <xdr:colOff>200025</xdr:colOff>
      <xdr:row>14</xdr:row>
      <xdr:rowOff>0</xdr:rowOff>
    </xdr:to>
    <xdr:sp macro="" textlink="">
      <xdr:nvSpPr>
        <xdr:cNvPr id="74305" name="Line 414">
          <a:extLst>
            <a:ext uri="{FF2B5EF4-FFF2-40B4-BE49-F238E27FC236}">
              <a16:creationId xmlns:a16="http://schemas.microsoft.com/office/drawing/2014/main" id="{00000000-0008-0000-0B00-000041220100}"/>
            </a:ext>
          </a:extLst>
        </xdr:cNvPr>
        <xdr:cNvSpPr>
          <a:spLocks noChangeShapeType="1"/>
        </xdr:cNvSpPr>
      </xdr:nvSpPr>
      <xdr:spPr bwMode="auto">
        <a:xfrm>
          <a:off x="78152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1381125</xdr:colOff>
      <xdr:row>13</xdr:row>
      <xdr:rowOff>962025</xdr:rowOff>
    </xdr:from>
    <xdr:to>
      <xdr:col>7</xdr:col>
      <xdr:colOff>2105025</xdr:colOff>
      <xdr:row>15</xdr:row>
      <xdr:rowOff>38100</xdr:rowOff>
    </xdr:to>
    <xdr:sp macro="[0]!Filter_OpsExit" textlink="">
      <xdr:nvSpPr>
        <xdr:cNvPr id="5536" name="AutoShape 416">
          <a:extLst>
            <a:ext uri="{FF2B5EF4-FFF2-40B4-BE49-F238E27FC236}">
              <a16:creationId xmlns:a16="http://schemas.microsoft.com/office/drawing/2014/main" id="{00000000-0008-0000-0B00-0000A0150000}"/>
            </a:ext>
          </a:extLst>
        </xdr:cNvPr>
        <xdr:cNvSpPr>
          <a:spLocks noChangeArrowheads="1"/>
        </xdr:cNvSpPr>
      </xdr:nvSpPr>
      <xdr:spPr bwMode="auto">
        <a:xfrm>
          <a:off x="5200650" y="2085975"/>
          <a:ext cx="0" cy="37147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1495425</xdr:colOff>
      <xdr:row>6</xdr:row>
      <xdr:rowOff>923925</xdr:rowOff>
    </xdr:from>
    <xdr:to>
      <xdr:col>7</xdr:col>
      <xdr:colOff>2200275</xdr:colOff>
      <xdr:row>7</xdr:row>
      <xdr:rowOff>9525</xdr:rowOff>
    </xdr:to>
    <xdr:sp macro="[0]!Filter_CalogExit" textlink="">
      <xdr:nvSpPr>
        <xdr:cNvPr id="5585" name="AutoShape 465">
          <a:extLst>
            <a:ext uri="{FF2B5EF4-FFF2-40B4-BE49-F238E27FC236}">
              <a16:creationId xmlns:a16="http://schemas.microsoft.com/office/drawing/2014/main" id="{00000000-0008-0000-0B00-0000D1150000}"/>
            </a:ext>
          </a:extLst>
        </xdr:cNvPr>
        <xdr:cNvSpPr>
          <a:spLocks noChangeArrowheads="1"/>
        </xdr:cNvSpPr>
      </xdr:nvSpPr>
      <xdr:spPr bwMode="auto">
        <a:xfrm>
          <a:off x="5200650" y="1266825"/>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1495425</xdr:colOff>
      <xdr:row>6</xdr:row>
      <xdr:rowOff>923925</xdr:rowOff>
    </xdr:from>
    <xdr:to>
      <xdr:col>7</xdr:col>
      <xdr:colOff>2200275</xdr:colOff>
      <xdr:row>7</xdr:row>
      <xdr:rowOff>9525</xdr:rowOff>
    </xdr:to>
    <xdr:sp macro="[0]!Filter_CalogExit" textlink="">
      <xdr:nvSpPr>
        <xdr:cNvPr id="5587" name="AutoShape 467">
          <a:extLst>
            <a:ext uri="{FF2B5EF4-FFF2-40B4-BE49-F238E27FC236}">
              <a16:creationId xmlns:a16="http://schemas.microsoft.com/office/drawing/2014/main" id="{00000000-0008-0000-0B00-0000D3150000}"/>
            </a:ext>
          </a:extLst>
        </xdr:cNvPr>
        <xdr:cNvSpPr>
          <a:spLocks noChangeArrowheads="1"/>
        </xdr:cNvSpPr>
      </xdr:nvSpPr>
      <xdr:spPr bwMode="auto">
        <a:xfrm>
          <a:off x="5200650" y="1266825"/>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1447800</xdr:colOff>
      <xdr:row>7</xdr:row>
      <xdr:rowOff>0</xdr:rowOff>
    </xdr:from>
    <xdr:to>
      <xdr:col>7</xdr:col>
      <xdr:colOff>1057275</xdr:colOff>
      <xdr:row>7</xdr:row>
      <xdr:rowOff>28575</xdr:rowOff>
    </xdr:to>
    <xdr:sp macro="[0]!Filter_CalogExit" textlink="">
      <xdr:nvSpPr>
        <xdr:cNvPr id="5588" name="AutoShape 468">
          <a:extLst>
            <a:ext uri="{FF2B5EF4-FFF2-40B4-BE49-F238E27FC236}">
              <a16:creationId xmlns:a16="http://schemas.microsoft.com/office/drawing/2014/main" id="{00000000-0008-0000-0B00-0000D4150000}"/>
            </a:ext>
          </a:extLst>
        </xdr:cNvPr>
        <xdr:cNvSpPr>
          <a:spLocks noChangeArrowheads="1"/>
        </xdr:cNvSpPr>
      </xdr:nvSpPr>
      <xdr:spPr bwMode="auto">
        <a:xfrm>
          <a:off x="5200650" y="1266825"/>
          <a:ext cx="0" cy="2857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123264</xdr:colOff>
      <xdr:row>140</xdr:row>
      <xdr:rowOff>123264</xdr:rowOff>
    </xdr:from>
    <xdr:to>
      <xdr:col>8</xdr:col>
      <xdr:colOff>963705</xdr:colOff>
      <xdr:row>145</xdr:row>
      <xdr:rowOff>54348</xdr:rowOff>
    </xdr:to>
    <xdr:sp macro="[0]!Print_Ram_MTC" textlink="">
      <xdr:nvSpPr>
        <xdr:cNvPr id="2" name="Rol: horizontaal 1" descr="Berekening MTC&#10;gedeelte inbegrepen&#10; in art 148/20">
          <a:extLst>
            <a:ext uri="{FF2B5EF4-FFF2-40B4-BE49-F238E27FC236}">
              <a16:creationId xmlns:a16="http://schemas.microsoft.com/office/drawing/2014/main" id="{00000000-0008-0000-0E00-000002000000}"/>
            </a:ext>
            <a:ext uri="{C183D7F6-B498-43B3-948B-1728B52AA6E4}">
              <adec:decorative xmlns:adec="http://schemas.microsoft.com/office/drawing/2017/decorative" val="0"/>
            </a:ext>
          </a:extLst>
        </xdr:cNvPr>
        <xdr:cNvSpPr/>
      </xdr:nvSpPr>
      <xdr:spPr bwMode="auto">
        <a:xfrm>
          <a:off x="10040470" y="24059029"/>
          <a:ext cx="840441" cy="771525"/>
        </a:xfrm>
        <a:prstGeom prst="horizontalScroll">
          <a:avLst/>
        </a:prstGeom>
        <a:solidFill>
          <a:srgbClr xmlns:mc="http://schemas.openxmlformats.org/markup-compatibility/2006" xmlns:a14="http://schemas.microsoft.com/office/drawing/2010/main" val="FFFF00" mc:Ignorable="a14" a14:legacySpreadsheetColorIndex="13"/>
        </a:solidFill>
        <a:ln w="19050" cap="flat" cmpd="sng" algn="ctr">
          <a:solidFill>
            <a:srgbClr xmlns:mc="http://schemas.openxmlformats.org/markup-compatibility/2006" xmlns:a14="http://schemas.microsoft.com/office/drawing/2010/main" val="0000FF" mc:Ignorable="a14" a14:legacySpreadsheetColorIndex="1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r>
            <a:rPr lang="nl-BE" sz="1100"/>
            <a:t>Cheque Repas</a:t>
          </a:r>
          <a:br>
            <a:rPr lang="nl-BE" sz="1100"/>
          </a:br>
          <a:r>
            <a:rPr lang="nl-BE" sz="1100"/>
            <a:t>Print it</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95250</xdr:colOff>
      <xdr:row>9</xdr:row>
      <xdr:rowOff>28575</xdr:rowOff>
    </xdr:from>
    <xdr:to>
      <xdr:col>3</xdr:col>
      <xdr:colOff>533400</xdr:colOff>
      <xdr:row>9</xdr:row>
      <xdr:rowOff>847725</xdr:rowOff>
    </xdr:to>
    <xdr:sp macro="[0]!TutTri1PrepTransfert" textlink="">
      <xdr:nvSpPr>
        <xdr:cNvPr id="35841" name="AutoShape 1">
          <a:extLst>
            <a:ext uri="{FF2B5EF4-FFF2-40B4-BE49-F238E27FC236}">
              <a16:creationId xmlns:a16="http://schemas.microsoft.com/office/drawing/2014/main" id="{00000000-0008-0000-1000-0000018C0000}"/>
            </a:ext>
          </a:extLst>
        </xdr:cNvPr>
        <xdr:cNvSpPr>
          <a:spLocks noChangeArrowheads="1"/>
        </xdr:cNvSpPr>
      </xdr:nvSpPr>
      <xdr:spPr bwMode="auto">
        <a:xfrm>
          <a:off x="95250" y="1533525"/>
          <a:ext cx="2171700" cy="819150"/>
        </a:xfrm>
        <a:prstGeom prst="rightArrow">
          <a:avLst>
            <a:gd name="adj1" fmla="val 50000"/>
            <a:gd name="adj2" fmla="val 66279"/>
          </a:avLst>
        </a:prstGeom>
        <a:solidFill>
          <a:srgbClr val="FFFF00"/>
        </a:solidFill>
        <a:ln w="19050" algn="ctr">
          <a:solidFill>
            <a:srgbClr val="0000FF"/>
          </a:solidFill>
          <a:miter lim="800000"/>
          <a:headEnd/>
          <a:tailEnd type="none" w="lg" len="lg"/>
        </a:ln>
        <a:effectLst/>
      </xdr:spPr>
      <xdr:txBody>
        <a:bodyPr vertOverflow="clip" wrap="square" lIns="36576" tIns="27432" rIns="36576" bIns="0" anchor="t" upright="1"/>
        <a:lstStyle/>
        <a:p>
          <a:pPr algn="ctr" rtl="0">
            <a:defRPr sz="1000"/>
          </a:pPr>
          <a:r>
            <a:rPr lang="en-US" sz="1400" b="0" i="0" u="none" strike="noStrike" baseline="0">
              <a:solidFill>
                <a:srgbClr val="000000"/>
              </a:solidFill>
              <a:latin typeface="Arial"/>
              <a:cs typeface="Arial"/>
            </a:rPr>
            <a:t>1.</a:t>
          </a:r>
          <a:r>
            <a:rPr lang="en-US" sz="800" b="0" i="0" u="none" strike="noStrike" baseline="0">
              <a:solidFill>
                <a:srgbClr val="000000"/>
              </a:solidFill>
              <a:latin typeface="Arial"/>
              <a:cs typeface="Arial"/>
            </a:rPr>
            <a:t> Sélection du Budget Exercice X-1</a:t>
          </a:r>
        </a:p>
        <a:p>
          <a:pPr algn="ctr" rtl="0">
            <a:defRPr sz="1000"/>
          </a:pPr>
          <a:r>
            <a:rPr lang="en-US" sz="800" b="0" i="0" u="none" strike="noStrike" baseline="0">
              <a:solidFill>
                <a:srgbClr val="000000"/>
              </a:solidFill>
              <a:latin typeface="Arial"/>
              <a:cs typeface="Arial"/>
            </a:rPr>
            <a:t>Ex. F.code &amp; Code ec.</a:t>
          </a:r>
        </a:p>
      </xdr:txBody>
    </xdr:sp>
    <xdr:clientData fPrintsWithSheet="0"/>
  </xdr:twoCellAnchor>
  <xdr:twoCellAnchor>
    <xdr:from>
      <xdr:col>0</xdr:col>
      <xdr:colOff>161925</xdr:colOff>
      <xdr:row>51</xdr:row>
      <xdr:rowOff>40821</xdr:rowOff>
    </xdr:from>
    <xdr:to>
      <xdr:col>3</xdr:col>
      <xdr:colOff>400050</xdr:colOff>
      <xdr:row>51</xdr:row>
      <xdr:rowOff>755196</xdr:rowOff>
    </xdr:to>
    <xdr:sp macro="[0]!TutTri2PrepTransfert" textlink="">
      <xdr:nvSpPr>
        <xdr:cNvPr id="35842" name="AutoShape 2">
          <a:extLst>
            <a:ext uri="{FF2B5EF4-FFF2-40B4-BE49-F238E27FC236}">
              <a16:creationId xmlns:a16="http://schemas.microsoft.com/office/drawing/2014/main" id="{00000000-0008-0000-1000-0000028C0000}"/>
            </a:ext>
          </a:extLst>
        </xdr:cNvPr>
        <xdr:cNvSpPr>
          <a:spLocks noChangeArrowheads="1"/>
        </xdr:cNvSpPr>
      </xdr:nvSpPr>
      <xdr:spPr bwMode="auto">
        <a:xfrm>
          <a:off x="161925" y="8848725"/>
          <a:ext cx="1971675" cy="714375"/>
        </a:xfrm>
        <a:prstGeom prst="rightArrow">
          <a:avLst>
            <a:gd name="adj1" fmla="val 50000"/>
            <a:gd name="adj2" fmla="val 69000"/>
          </a:avLst>
        </a:prstGeom>
        <a:solidFill>
          <a:srgbClr val="FFFF00"/>
        </a:solidFill>
        <a:ln w="19050" algn="ctr">
          <a:solidFill>
            <a:srgbClr val="0000FF"/>
          </a:solidFill>
          <a:miter lim="800000"/>
          <a:headEnd/>
          <a:tailEnd type="none" w="lg" len="lg"/>
        </a:ln>
        <a:effectLst/>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3.</a:t>
          </a:r>
          <a:r>
            <a:rPr lang="en-US" sz="800" b="0" i="0" u="none" strike="noStrike" baseline="0">
              <a:solidFill>
                <a:srgbClr val="000000"/>
              </a:solidFill>
              <a:latin typeface="Arial"/>
              <a:cs typeface="Arial"/>
            </a:rPr>
            <a:t> Sélection du Budget Exercice X</a:t>
          </a:r>
        </a:p>
        <a:p>
          <a:pPr algn="ctr" rtl="0">
            <a:defRPr sz="1000"/>
          </a:pPr>
          <a:r>
            <a:rPr lang="en-US" sz="800" b="0" i="0" u="none" strike="noStrike" baseline="0">
              <a:solidFill>
                <a:srgbClr val="000000"/>
              </a:solidFill>
              <a:latin typeface="Arial"/>
              <a:cs typeface="Arial"/>
            </a:rPr>
            <a:t>Ex. F.code &amp; Code ec.</a:t>
          </a:r>
        </a:p>
      </xdr:txBody>
    </xdr:sp>
    <xdr:clientData fPrintsWithSheet="0"/>
  </xdr:twoCellAnchor>
  <xdr:twoCellAnchor>
    <xdr:from>
      <xdr:col>7</xdr:col>
      <xdr:colOff>66675</xdr:colOff>
      <xdr:row>9</xdr:row>
      <xdr:rowOff>104775</xdr:rowOff>
    </xdr:from>
    <xdr:to>
      <xdr:col>8</xdr:col>
      <xdr:colOff>771525</xdr:colOff>
      <xdr:row>9</xdr:row>
      <xdr:rowOff>866775</xdr:rowOff>
    </xdr:to>
    <xdr:sp macro="[0]!Tut2DepCr" textlink="">
      <xdr:nvSpPr>
        <xdr:cNvPr id="35843" name="AutoShape 3">
          <a:extLst>
            <a:ext uri="{FF2B5EF4-FFF2-40B4-BE49-F238E27FC236}">
              <a16:creationId xmlns:a16="http://schemas.microsoft.com/office/drawing/2014/main" id="{00000000-0008-0000-1000-0000038C0000}"/>
            </a:ext>
          </a:extLst>
        </xdr:cNvPr>
        <xdr:cNvSpPr>
          <a:spLocks noChangeArrowheads="1"/>
        </xdr:cNvSpPr>
      </xdr:nvSpPr>
      <xdr:spPr bwMode="auto">
        <a:xfrm>
          <a:off x="9467850" y="1609725"/>
          <a:ext cx="1657350" cy="762000"/>
        </a:xfrm>
        <a:prstGeom prst="leftArrow">
          <a:avLst>
            <a:gd name="adj1" fmla="val 50000"/>
            <a:gd name="adj2" fmla="val 54375"/>
          </a:avLst>
        </a:prstGeom>
        <a:solidFill>
          <a:srgbClr val="FFFF00"/>
        </a:solidFill>
        <a:ln w="19050" algn="ctr">
          <a:solidFill>
            <a:srgbClr val="0000FF"/>
          </a:solidFill>
          <a:miter lim="800000"/>
          <a:headEnd/>
          <a:tailEnd/>
        </a:ln>
        <a:effectLst/>
      </xdr:spPr>
      <xdr:txBody>
        <a:bodyPr vertOverflow="clip" wrap="square" lIns="45720" tIns="32004" rIns="45720" bIns="0" anchor="t" upright="1"/>
        <a:lstStyle/>
        <a:p>
          <a:pPr algn="ctr" rtl="0">
            <a:defRPr sz="1000"/>
          </a:pPr>
          <a:r>
            <a:rPr lang="en-US" sz="1400" b="1" i="0" u="none" strike="noStrike" baseline="0">
              <a:solidFill>
                <a:srgbClr val="000000"/>
              </a:solidFill>
              <a:latin typeface="Arial"/>
              <a:cs typeface="Arial"/>
            </a:rPr>
            <a:t>2</a:t>
          </a:r>
          <a:r>
            <a:rPr lang="en-US" sz="1200" b="1" i="0" u="none" strike="noStrike" baseline="0">
              <a:solidFill>
                <a:srgbClr val="000000"/>
              </a:solidFill>
              <a:latin typeface="Arial"/>
              <a:cs typeface="Arial"/>
            </a:rPr>
            <a:t>. </a:t>
          </a:r>
          <a:r>
            <a:rPr lang="en-US" sz="800" b="1" i="0" u="none" strike="noStrike" baseline="0">
              <a:solidFill>
                <a:srgbClr val="000000"/>
              </a:solidFill>
              <a:latin typeface="Arial"/>
              <a:cs typeface="Arial"/>
            </a:rPr>
            <a:t>Transfert des chiffres</a:t>
          </a:r>
        </a:p>
        <a:p>
          <a:pPr algn="ctr" rtl="0">
            <a:defRPr sz="1000"/>
          </a:pPr>
          <a:r>
            <a:rPr lang="en-US" sz="800" b="1" i="0" u="none" strike="noStrike" baseline="0">
              <a:solidFill>
                <a:srgbClr val="000000"/>
              </a:solidFill>
              <a:latin typeface="Arial"/>
              <a:cs typeface="Arial"/>
            </a:rPr>
            <a:t> exercice X-1</a:t>
          </a:r>
        </a:p>
      </xdr:txBody>
    </xdr:sp>
    <xdr:clientData fPrintsWithSheet="0"/>
  </xdr:twoCellAnchor>
  <xdr:twoCellAnchor>
    <xdr:from>
      <xdr:col>7</xdr:col>
      <xdr:colOff>200025</xdr:colOff>
      <xdr:row>51</xdr:row>
      <xdr:rowOff>31296</xdr:rowOff>
    </xdr:from>
    <xdr:to>
      <xdr:col>8</xdr:col>
      <xdr:colOff>895350</xdr:colOff>
      <xdr:row>51</xdr:row>
      <xdr:rowOff>698046</xdr:rowOff>
    </xdr:to>
    <xdr:sp macro="[0]!Tut4DepCr" textlink="">
      <xdr:nvSpPr>
        <xdr:cNvPr id="35844" name="AutoShape 4">
          <a:extLst>
            <a:ext uri="{FF2B5EF4-FFF2-40B4-BE49-F238E27FC236}">
              <a16:creationId xmlns:a16="http://schemas.microsoft.com/office/drawing/2014/main" id="{00000000-0008-0000-1000-0000048C0000}"/>
            </a:ext>
          </a:extLst>
        </xdr:cNvPr>
        <xdr:cNvSpPr>
          <a:spLocks noChangeArrowheads="1"/>
        </xdr:cNvSpPr>
      </xdr:nvSpPr>
      <xdr:spPr bwMode="auto">
        <a:xfrm>
          <a:off x="9601200" y="8839200"/>
          <a:ext cx="1647825" cy="666750"/>
        </a:xfrm>
        <a:prstGeom prst="leftArrow">
          <a:avLst>
            <a:gd name="adj1" fmla="val 50000"/>
            <a:gd name="adj2" fmla="val 61786"/>
          </a:avLst>
        </a:prstGeom>
        <a:solidFill>
          <a:srgbClr val="FFFF00"/>
        </a:solidFill>
        <a:ln w="19050" algn="ctr">
          <a:solidFill>
            <a:srgbClr val="0000FF"/>
          </a:solidFill>
          <a:miter lim="800000"/>
          <a:headEnd/>
          <a:tailEnd/>
        </a:ln>
        <a:effectLst/>
      </xdr:spPr>
      <xdr:txBody>
        <a:bodyPr vertOverflow="clip" wrap="square" lIns="36576" tIns="27432" rIns="0" bIns="0" anchor="t" upright="1"/>
        <a:lstStyle/>
        <a:p>
          <a:pPr algn="l" rtl="0">
            <a:defRPr sz="1000"/>
          </a:pPr>
          <a:r>
            <a:rPr lang="en-US" sz="1200" b="1" i="0" u="none" strike="noStrike" baseline="0">
              <a:solidFill>
                <a:srgbClr val="000000"/>
              </a:solidFill>
              <a:latin typeface="Arial"/>
              <a:cs typeface="Arial"/>
            </a:rPr>
            <a:t>4</a:t>
          </a:r>
          <a:r>
            <a:rPr lang="en-US" sz="1200" b="0" i="0" u="none" strike="noStrike" baseline="0">
              <a:solidFill>
                <a:srgbClr val="000000"/>
              </a:solidFill>
              <a:latin typeface="Arial"/>
              <a:cs typeface="Arial"/>
            </a:rPr>
            <a:t>.</a:t>
          </a:r>
          <a:r>
            <a:rPr lang="en-US" sz="800" b="1" i="0" u="none" strike="noStrike" baseline="0">
              <a:solidFill>
                <a:srgbClr val="000000"/>
              </a:solidFill>
              <a:latin typeface="Arial"/>
              <a:cs typeface="Arial"/>
            </a:rPr>
            <a:t> Transfert des chiffres</a:t>
          </a:r>
        </a:p>
        <a:p>
          <a:pPr algn="l" rtl="0">
            <a:defRPr sz="1000"/>
          </a:pPr>
          <a:r>
            <a:rPr lang="en-US" sz="800" b="1" i="0" u="none" strike="noStrike" baseline="0">
              <a:solidFill>
                <a:srgbClr val="000000"/>
              </a:solidFill>
              <a:latin typeface="Arial"/>
              <a:cs typeface="Arial"/>
            </a:rPr>
            <a:t>      exercice X</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6</xdr:col>
      <xdr:colOff>28575</xdr:colOff>
      <xdr:row>0</xdr:row>
      <xdr:rowOff>66675</xdr:rowOff>
    </xdr:from>
    <xdr:to>
      <xdr:col>8</xdr:col>
      <xdr:colOff>371475</xdr:colOff>
      <xdr:row>5</xdr:row>
      <xdr:rowOff>47625</xdr:rowOff>
    </xdr:to>
    <xdr:sp macro="[0]!M_ImportBudgetAccessX" textlink="">
      <xdr:nvSpPr>
        <xdr:cNvPr id="36865" name="AutoShape 1">
          <a:extLst>
            <a:ext uri="{FF2B5EF4-FFF2-40B4-BE49-F238E27FC236}">
              <a16:creationId xmlns:a16="http://schemas.microsoft.com/office/drawing/2014/main" id="{00000000-0008-0000-1100-000001900000}"/>
            </a:ext>
          </a:extLst>
        </xdr:cNvPr>
        <xdr:cNvSpPr>
          <a:spLocks noChangeArrowheads="1"/>
        </xdr:cNvSpPr>
      </xdr:nvSpPr>
      <xdr:spPr bwMode="auto">
        <a:xfrm>
          <a:off x="8648700" y="66675"/>
          <a:ext cx="1685925" cy="1028700"/>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CC99FF"/>
        </a:solidFill>
        <a:ln w="15875" algn="ctr">
          <a:solidFill>
            <a:srgbClr val="0000FF"/>
          </a:solidFill>
          <a:prstDash val="sysDot"/>
          <a:miter lim="800000"/>
          <a:headEnd/>
          <a:tailEnd/>
        </a:ln>
        <a:effectLst/>
      </xdr:spPr>
      <xdr:txBody>
        <a:bodyPr vertOverflow="clip" wrap="square" lIns="27432" tIns="22860" rIns="0" bIns="0" anchor="t" upright="1"/>
        <a:lstStyle/>
        <a:p>
          <a:pPr algn="l" rtl="0">
            <a:defRPr sz="1000"/>
          </a:pPr>
          <a:r>
            <a:rPr lang="en-US" sz="900" b="0" i="0" u="none" strike="noStrike" baseline="0">
              <a:solidFill>
                <a:srgbClr val="000000"/>
              </a:solidFill>
              <a:latin typeface="Arial"/>
              <a:cs typeface="Arial"/>
            </a:rPr>
            <a:t>Import 1324 4A</a:t>
          </a:r>
        </a:p>
        <a:p>
          <a:pPr algn="l" rtl="0">
            <a:defRPr sz="1000"/>
          </a:pPr>
          <a:endParaRPr lang="en-US" sz="900" b="0" i="0" u="none" strike="noStrike" baseline="0">
            <a:solidFill>
              <a:srgbClr val="000000"/>
            </a:solidFill>
            <a:latin typeface="Arial"/>
            <a:cs typeface="Arial"/>
          </a:endParaRPr>
        </a:p>
        <a:p>
          <a:pPr algn="l" rtl="0">
            <a:defRPr sz="1000"/>
          </a:pPr>
          <a:r>
            <a:rPr lang="en-US" sz="900" b="0" i="0" u="none" strike="noStrike" baseline="0">
              <a:solidFill>
                <a:srgbClr val="000000"/>
              </a:solidFill>
              <a:latin typeface="Arial"/>
              <a:cs typeface="Arial"/>
            </a:rPr>
            <a:t>Année en Cours  "X"</a:t>
          </a:r>
        </a:p>
        <a:p>
          <a:pPr algn="l" rtl="0">
            <a:defRPr sz="1000"/>
          </a:pPr>
          <a:endParaRPr lang="en-US" sz="900" b="0" i="0" u="none" strike="noStrike" baseline="0">
            <a:solidFill>
              <a:srgbClr val="000000"/>
            </a:solidFill>
            <a:latin typeface="Arial"/>
            <a:cs typeface="Arial"/>
          </a:endParaRPr>
        </a:p>
      </xdr:txBody>
    </xdr:sp>
    <xdr:clientData fPrintsWithSheet="0"/>
  </xdr:twoCellAnchor>
  <xdr:twoCellAnchor>
    <xdr:from>
      <xdr:col>10</xdr:col>
      <xdr:colOff>228600</xdr:colOff>
      <xdr:row>1</xdr:row>
      <xdr:rowOff>85725</xdr:rowOff>
    </xdr:from>
    <xdr:to>
      <xdr:col>10</xdr:col>
      <xdr:colOff>581025</xdr:colOff>
      <xdr:row>4</xdr:row>
      <xdr:rowOff>19050</xdr:rowOff>
    </xdr:to>
    <xdr:sp macro="[0]!M_VideX" textlink="">
      <xdr:nvSpPr>
        <xdr:cNvPr id="37796" name="AutoShape 2">
          <a:extLst>
            <a:ext uri="{FF2B5EF4-FFF2-40B4-BE49-F238E27FC236}">
              <a16:creationId xmlns:a16="http://schemas.microsoft.com/office/drawing/2014/main" id="{00000000-0008-0000-1100-0000A4930000}"/>
            </a:ext>
          </a:extLst>
        </xdr:cNvPr>
        <xdr:cNvSpPr>
          <a:spLocks noChangeArrowheads="1"/>
        </xdr:cNvSpPr>
      </xdr:nvSpPr>
      <xdr:spPr bwMode="auto">
        <a:xfrm>
          <a:off x="12944475" y="257175"/>
          <a:ext cx="352425" cy="638175"/>
        </a:xfrm>
        <a:prstGeom prst="curvedLeftArrow">
          <a:avLst>
            <a:gd name="adj1" fmla="val 36216"/>
            <a:gd name="adj2" fmla="val 72432"/>
            <a:gd name="adj3" fmla="val 33333"/>
          </a:avLst>
        </a:prstGeom>
        <a:solidFill>
          <a:srgbClr val="FFFFFF"/>
        </a:solidFill>
        <a:ln w="6350">
          <a:solidFill>
            <a:srgbClr val="000000"/>
          </a:solidFill>
          <a:miter lim="800000"/>
          <a:headEnd/>
          <a:tailEnd type="none" w="lg" len="lg"/>
        </a:ln>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57150</xdr:colOff>
      <xdr:row>1</xdr:row>
      <xdr:rowOff>9525</xdr:rowOff>
    </xdr:from>
    <xdr:to>
      <xdr:col>9</xdr:col>
      <xdr:colOff>647700</xdr:colOff>
      <xdr:row>4</xdr:row>
      <xdr:rowOff>66675</xdr:rowOff>
    </xdr:to>
    <xdr:sp macro="[0]!M_ImportBudgetAccessX_1" textlink="">
      <xdr:nvSpPr>
        <xdr:cNvPr id="37889" name="AutoShape 1">
          <a:extLst>
            <a:ext uri="{FF2B5EF4-FFF2-40B4-BE49-F238E27FC236}">
              <a16:creationId xmlns:a16="http://schemas.microsoft.com/office/drawing/2014/main" id="{00000000-0008-0000-1200-000001940000}"/>
            </a:ext>
          </a:extLst>
        </xdr:cNvPr>
        <xdr:cNvSpPr>
          <a:spLocks noChangeArrowheads="1"/>
        </xdr:cNvSpPr>
      </xdr:nvSpPr>
      <xdr:spPr bwMode="auto">
        <a:xfrm>
          <a:off x="8372475" y="180975"/>
          <a:ext cx="1724025" cy="9239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3366FF"/>
        </a:solidFill>
        <a:ln w="15875" algn="ctr">
          <a:solidFill>
            <a:srgbClr val="0000FF"/>
          </a:solidFill>
          <a:prstDash val="sysDot"/>
          <a:miter lim="800000"/>
          <a:headEnd/>
          <a:tailEnd/>
        </a:ln>
        <a:effectLst/>
      </xdr:spPr>
      <xdr:txBody>
        <a:bodyPr vertOverflow="clip" wrap="square" lIns="27432" tIns="22860" rIns="0" bIns="0" anchor="t" upright="1"/>
        <a:lstStyle/>
        <a:p>
          <a:pPr algn="l" rtl="0">
            <a:defRPr sz="1000"/>
          </a:pPr>
          <a:r>
            <a:rPr lang="en-US" sz="1000" b="1" i="0" u="none" strike="noStrike" baseline="0">
              <a:solidFill>
                <a:srgbClr val="FFFFFF"/>
              </a:solidFill>
              <a:latin typeface="Arial"/>
              <a:cs typeface="Arial"/>
            </a:rPr>
            <a:t>Import 1324 5A</a:t>
          </a:r>
        </a:p>
        <a:p>
          <a:pPr algn="l" rtl="0">
            <a:defRPr sz="1000"/>
          </a:pPr>
          <a:r>
            <a:rPr lang="en-US" sz="1000" b="1" i="0" u="none" strike="noStrike" baseline="0">
              <a:solidFill>
                <a:srgbClr val="FFFFFF"/>
              </a:solidFill>
              <a:latin typeface="Arial"/>
              <a:cs typeface="Arial"/>
            </a:rPr>
            <a:t>          "X-1"</a:t>
          </a:r>
        </a:p>
        <a:p>
          <a:pPr algn="l" rtl="0">
            <a:defRPr sz="1000"/>
          </a:pPr>
          <a:r>
            <a:rPr lang="en-US" sz="1000" b="1" i="0" u="none" strike="noStrike" baseline="0">
              <a:solidFill>
                <a:srgbClr val="FFFFFF"/>
              </a:solidFill>
              <a:latin typeface="Arial"/>
              <a:cs typeface="Arial"/>
            </a:rPr>
            <a:t>ou     &lt;&gt; "X</a:t>
          </a:r>
        </a:p>
        <a:p>
          <a:pPr algn="l" rtl="0">
            <a:defRPr sz="1000"/>
          </a:pPr>
          <a:endParaRPr lang="en-US" sz="1000" b="1" i="0" u="none" strike="noStrike" baseline="0">
            <a:solidFill>
              <a:srgbClr val="FFFFFF"/>
            </a:solidFill>
            <a:latin typeface="Arial"/>
            <a:cs typeface="Arial"/>
          </a:endParaRPr>
        </a:p>
      </xdr:txBody>
    </xdr:sp>
    <xdr:clientData fPrintsWithSheet="0"/>
  </xdr:twoCellAnchor>
  <xdr:twoCellAnchor>
    <xdr:from>
      <xdr:col>10</xdr:col>
      <xdr:colOff>295275</xdr:colOff>
      <xdr:row>1</xdr:row>
      <xdr:rowOff>95250</xdr:rowOff>
    </xdr:from>
    <xdr:to>
      <xdr:col>10</xdr:col>
      <xdr:colOff>647700</xdr:colOff>
      <xdr:row>3</xdr:row>
      <xdr:rowOff>133350</xdr:rowOff>
    </xdr:to>
    <xdr:sp macro="[0]!M_VideX_1" textlink="">
      <xdr:nvSpPr>
        <xdr:cNvPr id="38820" name="AutoShape 2">
          <a:extLst>
            <a:ext uri="{FF2B5EF4-FFF2-40B4-BE49-F238E27FC236}">
              <a16:creationId xmlns:a16="http://schemas.microsoft.com/office/drawing/2014/main" id="{00000000-0008-0000-1200-0000A4970000}"/>
            </a:ext>
          </a:extLst>
        </xdr:cNvPr>
        <xdr:cNvSpPr>
          <a:spLocks noChangeArrowheads="1"/>
        </xdr:cNvSpPr>
      </xdr:nvSpPr>
      <xdr:spPr bwMode="auto">
        <a:xfrm>
          <a:off x="11944350" y="266700"/>
          <a:ext cx="352425" cy="733425"/>
        </a:xfrm>
        <a:prstGeom prst="curvedLeftArrow">
          <a:avLst>
            <a:gd name="adj1" fmla="val 41622"/>
            <a:gd name="adj2" fmla="val 83243"/>
            <a:gd name="adj3" fmla="val 33333"/>
          </a:avLst>
        </a:prstGeom>
        <a:solidFill>
          <a:srgbClr val="FFFFFF"/>
        </a:solidFill>
        <a:ln w="6350">
          <a:solidFill>
            <a:srgbClr val="000000"/>
          </a:solidFill>
          <a:miter lim="800000"/>
          <a:headEnd/>
          <a:tailEnd type="none" w="lg" len="lg"/>
        </a:ln>
      </xdr:spPr>
    </xdr:sp>
    <xdr:clientData fPrintsWithSheet="0"/>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3</xdr:col>
          <xdr:colOff>0</xdr:colOff>
          <xdr:row>1</xdr:row>
          <xdr:rowOff>0</xdr:rowOff>
        </xdr:to>
        <xdr:sp macro="" textlink="">
          <xdr:nvSpPr>
            <xdr:cNvPr id="7295" name="Button 127" hidden="1">
              <a:extLst>
                <a:ext uri="{63B3BB69-23CF-44E3-9099-C40C66FF867C}">
                  <a14:compatExt spid="_x0000_s7295"/>
                </a:ext>
                <a:ext uri="{FF2B5EF4-FFF2-40B4-BE49-F238E27FC236}">
                  <a16:creationId xmlns:a16="http://schemas.microsoft.com/office/drawing/2014/main" id="{00000000-0008-0000-1300-00007F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FILTRE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0</xdr:row>
          <xdr:rowOff>0</xdr:rowOff>
        </xdr:from>
        <xdr:to>
          <xdr:col>5</xdr:col>
          <xdr:colOff>0</xdr:colOff>
          <xdr:row>1</xdr:row>
          <xdr:rowOff>0</xdr:rowOff>
        </xdr:to>
        <xdr:sp macro="" textlink="">
          <xdr:nvSpPr>
            <xdr:cNvPr id="7296" name="Button 128" hidden="1">
              <a:extLst>
                <a:ext uri="{63B3BB69-23CF-44E3-9099-C40C66FF867C}">
                  <a14:compatExt spid="_x0000_s7296"/>
                </a:ext>
                <a:ext uri="{FF2B5EF4-FFF2-40B4-BE49-F238E27FC236}">
                  <a16:creationId xmlns:a16="http://schemas.microsoft.com/office/drawing/2014/main" id="{00000000-0008-0000-1300-000080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TRIER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0</xdr:colOff>
          <xdr:row>1</xdr:row>
          <xdr:rowOff>0</xdr:rowOff>
        </xdr:to>
        <xdr:sp macro="" textlink="">
          <xdr:nvSpPr>
            <xdr:cNvPr id="13317" name="Button 5" hidden="1">
              <a:extLst>
                <a:ext uri="{63B3BB69-23CF-44E3-9099-C40C66FF867C}">
                  <a14:compatExt spid="_x0000_s13317"/>
                </a:ext>
                <a:ext uri="{FF2B5EF4-FFF2-40B4-BE49-F238E27FC236}">
                  <a16:creationId xmlns:a16="http://schemas.microsoft.com/office/drawing/2014/main" id="{00000000-0008-0000-1500-000005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FILTRE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0</xdr:row>
          <xdr:rowOff>0</xdr:rowOff>
        </xdr:from>
        <xdr:to>
          <xdr:col>7</xdr:col>
          <xdr:colOff>19050</xdr:colOff>
          <xdr:row>1</xdr:row>
          <xdr:rowOff>0</xdr:rowOff>
        </xdr:to>
        <xdr:sp macro="" textlink="">
          <xdr:nvSpPr>
            <xdr:cNvPr id="13383" name="Button 71" hidden="1">
              <a:extLst>
                <a:ext uri="{63B3BB69-23CF-44E3-9099-C40C66FF867C}">
                  <a14:compatExt spid="_x0000_s13383"/>
                </a:ext>
                <a:ext uri="{FF2B5EF4-FFF2-40B4-BE49-F238E27FC236}">
                  <a16:creationId xmlns:a16="http://schemas.microsoft.com/office/drawing/2014/main" id="{00000000-0008-0000-1500-000047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TRIER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1</xdr:col>
      <xdr:colOff>1247775</xdr:colOff>
      <xdr:row>21</xdr:row>
      <xdr:rowOff>95250</xdr:rowOff>
    </xdr:from>
    <xdr:to>
      <xdr:col>3</xdr:col>
      <xdr:colOff>95250</xdr:colOff>
      <xdr:row>26</xdr:row>
      <xdr:rowOff>47625</xdr:rowOff>
    </xdr:to>
    <xdr:sp macro="" textlink="">
      <xdr:nvSpPr>
        <xdr:cNvPr id="33706" name="AutoShape 5">
          <a:extLst>
            <a:ext uri="{FF2B5EF4-FFF2-40B4-BE49-F238E27FC236}">
              <a16:creationId xmlns:a16="http://schemas.microsoft.com/office/drawing/2014/main" id="{00000000-0008-0000-1C00-0000AA830000}"/>
            </a:ext>
          </a:extLst>
        </xdr:cNvPr>
        <xdr:cNvSpPr>
          <a:spLocks noChangeArrowheads="1"/>
        </xdr:cNvSpPr>
      </xdr:nvSpPr>
      <xdr:spPr bwMode="auto">
        <a:xfrm rot="2807083">
          <a:off x="1981200" y="3543300"/>
          <a:ext cx="762000" cy="876300"/>
        </a:xfrm>
        <a:custGeom>
          <a:avLst/>
          <a:gdLst>
            <a:gd name="T0" fmla="*/ 2147483647 w 21600"/>
            <a:gd name="T1" fmla="*/ 2147483647 h 21600"/>
            <a:gd name="T2" fmla="*/ 2147483647 w 21600"/>
            <a:gd name="T3" fmla="*/ 2147483647 h 21600"/>
            <a:gd name="T4" fmla="*/ 0 w 21600"/>
            <a:gd name="T5" fmla="*/ 2147483647 h 21600"/>
            <a:gd name="T6" fmla="*/ 2147483647 w 21600"/>
            <a:gd name="T7" fmla="*/ 0 h 21600"/>
            <a:gd name="T8" fmla="*/ 0 60000 65536"/>
            <a:gd name="T9" fmla="*/ 5898240 60000 65536"/>
            <a:gd name="T10" fmla="*/ 11796480 60000 65536"/>
            <a:gd name="T11" fmla="*/ 17694720 60000 65536"/>
            <a:gd name="T12" fmla="*/ 7903 w 21600"/>
            <a:gd name="T13" fmla="*/ 7903 h 21600"/>
            <a:gd name="T14" fmla="*/ 13697 w 21600"/>
            <a:gd name="T15" fmla="*/ 13697 h 21600"/>
          </a:gdLst>
          <a:ahLst/>
          <a:cxnLst>
            <a:cxn ang="T8">
              <a:pos x="T0" y="T1"/>
            </a:cxn>
            <a:cxn ang="T9">
              <a:pos x="T2" y="T3"/>
            </a:cxn>
            <a:cxn ang="T10">
              <a:pos x="T4" y="T5"/>
            </a:cxn>
            <a:cxn ang="T11">
              <a:pos x="T6" y="T7"/>
            </a:cxn>
          </a:cxnLst>
          <a:rect l="T12" t="T13" r="T14" b="T15"/>
          <a:pathLst>
            <a:path w="21600" h="21600">
              <a:moveTo>
                <a:pt x="7903" y="7903"/>
              </a:moveTo>
              <a:lnTo>
                <a:pt x="9450" y="7903"/>
              </a:lnTo>
              <a:lnTo>
                <a:pt x="9450" y="2700"/>
              </a:lnTo>
              <a:lnTo>
                <a:pt x="8100" y="2700"/>
              </a:lnTo>
              <a:lnTo>
                <a:pt x="10800" y="0"/>
              </a:lnTo>
              <a:lnTo>
                <a:pt x="13500" y="2700"/>
              </a:lnTo>
              <a:lnTo>
                <a:pt x="12150" y="2700"/>
              </a:lnTo>
              <a:lnTo>
                <a:pt x="12150" y="7903"/>
              </a:lnTo>
              <a:lnTo>
                <a:pt x="13697" y="7903"/>
              </a:lnTo>
              <a:lnTo>
                <a:pt x="13697" y="9450"/>
              </a:lnTo>
              <a:lnTo>
                <a:pt x="18900" y="9450"/>
              </a:lnTo>
              <a:lnTo>
                <a:pt x="18900" y="8100"/>
              </a:lnTo>
              <a:lnTo>
                <a:pt x="21600" y="10800"/>
              </a:lnTo>
              <a:lnTo>
                <a:pt x="18900" y="13500"/>
              </a:lnTo>
              <a:lnTo>
                <a:pt x="18900" y="12150"/>
              </a:lnTo>
              <a:lnTo>
                <a:pt x="13697" y="12150"/>
              </a:lnTo>
              <a:lnTo>
                <a:pt x="13697" y="13697"/>
              </a:lnTo>
              <a:lnTo>
                <a:pt x="12150" y="13697"/>
              </a:lnTo>
              <a:lnTo>
                <a:pt x="12150" y="18900"/>
              </a:lnTo>
              <a:lnTo>
                <a:pt x="13500" y="18900"/>
              </a:lnTo>
              <a:lnTo>
                <a:pt x="10800" y="21600"/>
              </a:lnTo>
              <a:lnTo>
                <a:pt x="8100" y="18900"/>
              </a:lnTo>
              <a:lnTo>
                <a:pt x="9450" y="18900"/>
              </a:lnTo>
              <a:lnTo>
                <a:pt x="9450" y="13697"/>
              </a:lnTo>
              <a:lnTo>
                <a:pt x="7903" y="13697"/>
              </a:lnTo>
              <a:lnTo>
                <a:pt x="7903" y="12150"/>
              </a:lnTo>
              <a:lnTo>
                <a:pt x="2700" y="12150"/>
              </a:lnTo>
              <a:lnTo>
                <a:pt x="2700" y="13500"/>
              </a:lnTo>
              <a:lnTo>
                <a:pt x="0" y="10800"/>
              </a:lnTo>
              <a:lnTo>
                <a:pt x="2700" y="8100"/>
              </a:lnTo>
              <a:lnTo>
                <a:pt x="2700" y="9450"/>
              </a:lnTo>
              <a:lnTo>
                <a:pt x="7903" y="9450"/>
              </a:lnTo>
              <a:lnTo>
                <a:pt x="7903" y="7903"/>
              </a:lnTo>
              <a:close/>
            </a:path>
          </a:pathLst>
        </a:custGeom>
        <a:solidFill>
          <a:srgbClr val="FFFFFF"/>
        </a:solidFill>
        <a:ln w="3175" algn="ctr">
          <a:solidFill>
            <a:srgbClr val="000000"/>
          </a:solidFill>
          <a:miter lim="800000"/>
          <a:headEnd/>
          <a:tailEnd type="none" w="lg" len="lg"/>
        </a:ln>
      </xdr:spPr>
    </xdr:sp>
    <xdr:clientData/>
  </xdr:twoCellAnchor>
  <xdr:twoCellAnchor>
    <xdr:from>
      <xdr:col>5</xdr:col>
      <xdr:colOff>419100</xdr:colOff>
      <xdr:row>46</xdr:row>
      <xdr:rowOff>19050</xdr:rowOff>
    </xdr:from>
    <xdr:to>
      <xdr:col>5</xdr:col>
      <xdr:colOff>533400</xdr:colOff>
      <xdr:row>46</xdr:row>
      <xdr:rowOff>133350</xdr:rowOff>
    </xdr:to>
    <xdr:sp macro="" textlink="">
      <xdr:nvSpPr>
        <xdr:cNvPr id="33707" name="AutoShape 6">
          <a:extLst>
            <a:ext uri="{FF2B5EF4-FFF2-40B4-BE49-F238E27FC236}">
              <a16:creationId xmlns:a16="http://schemas.microsoft.com/office/drawing/2014/main" id="{00000000-0008-0000-1C00-0000AB830000}"/>
            </a:ext>
          </a:extLst>
        </xdr:cNvPr>
        <xdr:cNvSpPr>
          <a:spLocks noChangeArrowheads="1"/>
        </xdr:cNvSpPr>
      </xdr:nvSpPr>
      <xdr:spPr bwMode="auto">
        <a:xfrm>
          <a:off x="7143750" y="7724775"/>
          <a:ext cx="114300" cy="114300"/>
        </a:xfrm>
        <a:prstGeom prst="upArrow">
          <a:avLst>
            <a:gd name="adj1" fmla="val 50000"/>
            <a:gd name="adj2" fmla="val 25000"/>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00"/>
        </a:solidFill>
        <a:ln w="19050" cap="flat" cmpd="sng" algn="ctr">
          <a:solidFill>
            <a:srgbClr val="0000FF"/>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D0000"/>
        </a:solidFill>
        <a:ln w="19050" cap="flat" cmpd="sng" algn="ctr">
          <a:solidFill>
            <a:srgbClr val="0C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7.bin"/><Relationship Id="rId1" Type="http://schemas.openxmlformats.org/officeDocument/2006/relationships/hyperlink" Target="https://besafe.ibz.be/fr/prevention-criminalite/gestion_policier/budget-et-gestion-financi&#232;re"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4.xml"/><Relationship Id="rId1" Type="http://schemas.openxmlformats.org/officeDocument/2006/relationships/printerSettings" Target="../printerSettings/printerSettings20.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5.xml"/><Relationship Id="rId1" Type="http://schemas.openxmlformats.org/officeDocument/2006/relationships/printerSettings" Target="../printerSettings/printerSettings21.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Voorblad">
    <pageSetUpPr fitToPage="1"/>
  </sheetPr>
  <dimension ref="A1:J33"/>
  <sheetViews>
    <sheetView showGridLines="0" showRowColHeaders="0" tabSelected="1" zoomScale="106" zoomScaleNormal="106" workbookViewId="0">
      <selection activeCell="C7" sqref="C7"/>
    </sheetView>
  </sheetViews>
  <sheetFormatPr defaultColWidth="0" defaultRowHeight="12.75" zeroHeight="1"/>
  <cols>
    <col min="1" max="1" width="9.140625" customWidth="1"/>
    <col min="2" max="2" width="28.7109375" customWidth="1"/>
    <col min="3" max="8" width="9.140625" customWidth="1"/>
    <col min="9" max="9" width="7.85546875" customWidth="1"/>
    <col min="10" max="10" width="10.140625" customWidth="1"/>
  </cols>
  <sheetData>
    <row r="1" spans="2:9"/>
    <row r="2" spans="2:9" ht="30" customHeight="1">
      <c r="B2" s="479" t="s">
        <v>4074</v>
      </c>
    </row>
    <row r="3" spans="2:9" ht="30" customHeight="1">
      <c r="B3" s="479" t="s">
        <v>4075</v>
      </c>
    </row>
    <row r="4" spans="2:9" ht="30" customHeight="1">
      <c r="B4" s="479" t="str">
        <f>"EXERCICE - " &amp; ANNEE</f>
        <v>EXERCICE - 2027</v>
      </c>
    </row>
    <row r="5" spans="2:9" ht="13.5" customHeight="1" thickBot="1">
      <c r="B5" s="480"/>
      <c r="C5" s="481"/>
      <c r="D5" s="481"/>
      <c r="E5" s="481"/>
      <c r="F5" s="481"/>
      <c r="G5" s="481"/>
      <c r="H5" s="481"/>
    </row>
    <row r="6" spans="2:9" ht="36.75" customHeight="1" thickBot="1"/>
    <row r="7" spans="2:9" ht="19.5" thickTop="1" thickBot="1">
      <c r="B7" s="482" t="s">
        <v>4076</v>
      </c>
      <c r="C7" s="10"/>
    </row>
    <row r="8" spans="2:9"/>
    <row r="9" spans="2:9"/>
    <row r="10" spans="2:9" ht="13.5" thickBot="1">
      <c r="B10" s="483" t="s">
        <v>4077</v>
      </c>
    </row>
    <row r="11" spans="2:9"/>
    <row r="12" spans="2:9">
      <c r="B12" s="484" t="str">
        <f>IF(ISNA(VLOOKUP(ZoneNr,Man_2,4,0))," ",VLOOKUP(C7,Man_2,15,0))</f>
        <v xml:space="preserve"> </v>
      </c>
    </row>
    <row r="13" spans="2:9"/>
    <row r="14" spans="2:9">
      <c r="B14" s="2962" t="str">
        <f>IF(ISNA(VLOOKUP(C7,Man_2,4,0)),"Veuillez mentionner le N° de votre zone. ",VLOOKUP(C7,Man_2,4,0))</f>
        <v xml:space="preserve">Veuillez mentionner le N° de votre zone. </v>
      </c>
      <c r="C14" s="2962"/>
      <c r="D14" s="2962"/>
      <c r="E14" s="2962"/>
      <c r="F14" s="2962"/>
      <c r="G14" s="2962"/>
      <c r="H14" s="2962"/>
      <c r="I14" s="2962"/>
    </row>
    <row r="15" spans="2:9">
      <c r="B15" s="2962"/>
      <c r="C15" s="2962"/>
      <c r="D15" s="2962"/>
      <c r="E15" s="2962"/>
      <c r="F15" s="2962"/>
      <c r="G15" s="2962"/>
      <c r="H15" s="2962"/>
      <c r="I15" s="2962"/>
    </row>
    <row r="16" spans="2:9">
      <c r="B16" s="2962"/>
      <c r="C16" s="2962"/>
      <c r="D16" s="2962"/>
      <c r="E16" s="2962"/>
      <c r="F16" s="2962"/>
      <c r="G16" s="2962"/>
      <c r="H16" s="2962"/>
      <c r="I16" s="2962"/>
    </row>
    <row r="17"/>
    <row r="18"/>
    <row r="19"/>
    <row r="20"/>
    <row r="21"/>
    <row r="22"/>
    <row r="23"/>
    <row r="24"/>
    <row r="25"/>
    <row r="26"/>
    <row r="27"/>
    <row r="28"/>
    <row r="29"/>
    <row r="30"/>
    <row r="31"/>
    <row r="32"/>
    <row r="33" spans="1:10">
      <c r="A33" s="2474">
        <f>IF(AND(ZoneNr&lt;&gt;"",Ops!D1&gt;10),1,0)</f>
        <v>0</v>
      </c>
      <c r="J33" s="29" t="s">
        <v>5151</v>
      </c>
    </row>
  </sheetData>
  <sheetProtection password="E232" sheet="1"/>
  <mergeCells count="1">
    <mergeCell ref="B14:I16"/>
  </mergeCells>
  <phoneticPr fontId="38" type="noConversion"/>
  <pageMargins left="0.75" right="0.75" top="1" bottom="1" header="0.5" footer="0.5"/>
  <pageSetup paperSize="9" scale="7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otGen"/>
  <dimension ref="A1:J100"/>
  <sheetViews>
    <sheetView topLeftCell="E1" zoomScale="85" zoomScaleNormal="85" workbookViewId="0">
      <selection activeCell="J29" sqref="J29"/>
    </sheetView>
  </sheetViews>
  <sheetFormatPr defaultColWidth="11.42578125" defaultRowHeight="12.75" zeroHeight="1"/>
  <cols>
    <col min="1" max="1" width="11.5703125" style="1383" bestFit="1" customWidth="1"/>
    <col min="2" max="2" width="53.140625" style="4" customWidth="1"/>
    <col min="3" max="3" width="18" style="4" bestFit="1" customWidth="1"/>
    <col min="4" max="4" width="14.5703125" style="4" customWidth="1"/>
    <col min="5" max="5" width="17" style="4" customWidth="1"/>
    <col min="6" max="6" width="18" style="4" customWidth="1"/>
    <col min="7" max="7" width="17.140625" style="505" customWidth="1"/>
    <col min="8" max="8" width="27.28515625" customWidth="1"/>
    <col min="9" max="9" width="22.42578125" customWidth="1"/>
  </cols>
  <sheetData>
    <row r="1" spans="1:9" s="1376" customFormat="1" ht="60" customHeight="1" thickBot="1">
      <c r="A1" s="2965" t="e">
        <f>CONCATENATE(VLOOKUP(B2,Man_2,15,0),"
 BUDGET EXERCICE : ",ANNEE,,IF(Ops!E12=1,"",CONCATENATE("  &amp; ",ANNEE-1," totalisés          ")),C71)</f>
        <v>#N/A</v>
      </c>
      <c r="B1" s="2966"/>
      <c r="G1" s="550"/>
      <c r="H1" s="1415"/>
      <c r="I1"/>
    </row>
    <row r="2" spans="1:9" ht="26.25" thickBot="1">
      <c r="A2" s="1377"/>
      <c r="B2" s="1999">
        <f>'Page d''accueil'!C7</f>
        <v>0</v>
      </c>
      <c r="C2" s="553" t="s">
        <v>42</v>
      </c>
      <c r="D2" s="554" t="s">
        <v>40</v>
      </c>
      <c r="E2" s="555" t="s">
        <v>4355</v>
      </c>
      <c r="F2" s="556" t="s">
        <v>43</v>
      </c>
      <c r="G2" s="557" t="s">
        <v>39</v>
      </c>
    </row>
    <row r="3" spans="1:9" ht="58.5" customHeight="1" thickTop="1" thickBot="1">
      <c r="A3" s="1801">
        <f>Ops!D1+Calog!D1</f>
        <v>2</v>
      </c>
      <c r="B3" s="1744" t="s">
        <v>3318</v>
      </c>
      <c r="C3" s="1723"/>
      <c r="D3" s="1726">
        <f>Total_Code!A25</f>
        <v>0</v>
      </c>
      <c r="E3" s="1724" t="str">
        <f>Total_Code!E14</f>
        <v xml:space="preserve"> Stat: 0          Contr: 0</v>
      </c>
      <c r="F3" s="1725" t="str">
        <f>Total_Code!E8</f>
        <v xml:space="preserve"> Stat: 0            Contr: 0               NAPAP: 0</v>
      </c>
      <c r="G3" s="1725" t="str">
        <f>Total_Code!E4</f>
        <v xml:space="preserve"> Stat: 0                  Contr: 0       NAPAP: 0</v>
      </c>
    </row>
    <row r="4" spans="1:9" ht="14.25" thickTop="1" thickBot="1">
      <c r="A4" s="1378"/>
      <c r="B4" s="564"/>
      <c r="C4" s="565" t="s">
        <v>539</v>
      </c>
      <c r="D4" s="566" t="s">
        <v>539</v>
      </c>
      <c r="E4" s="567" t="s">
        <v>539</v>
      </c>
      <c r="F4" s="568" t="s">
        <v>539</v>
      </c>
      <c r="G4" s="569" t="s">
        <v>539</v>
      </c>
    </row>
    <row r="5" spans="1:9" ht="13.5" thickTop="1">
      <c r="A5" s="570" t="str">
        <f>Total_Code!F1</f>
        <v>111-01/00</v>
      </c>
      <c r="B5" s="571" t="s">
        <v>551</v>
      </c>
      <c r="C5" s="572"/>
      <c r="D5" s="573" t="e">
        <f>IF(Total!D5="",0,Total!D5)+IF('Total X-1'!D5="",0,'Total X-1'!D5)</f>
        <v>#N/A</v>
      </c>
      <c r="E5" s="574" t="e">
        <f>IF(Total!E5="",0,Total!E5)+IF('Total X-1'!E5="",0,'Total X-1'!E5)</f>
        <v>#N/A</v>
      </c>
      <c r="F5" s="575" t="e">
        <f>IF(Total!F5="",0,Total!F5)+IF('Total X-1'!F5="",0,'Total X-1'!F5)</f>
        <v>#VALUE!</v>
      </c>
      <c r="G5" s="576" t="e">
        <f t="shared" ref="G5:G25" si="0">SUM(C5:F5)</f>
        <v>#N/A</v>
      </c>
    </row>
    <row r="6" spans="1:9">
      <c r="A6" s="2099" t="s">
        <v>5132</v>
      </c>
      <c r="B6" s="2105" t="s">
        <v>5138</v>
      </c>
      <c r="C6" s="2100"/>
      <c r="D6" s="2101"/>
      <c r="E6" s="2102"/>
      <c r="F6" s="2094">
        <f>Total!F6+'Total X-1'!F6</f>
        <v>0</v>
      </c>
      <c r="G6" s="2095">
        <f t="shared" si="0"/>
        <v>0</v>
      </c>
    </row>
    <row r="7" spans="1:9">
      <c r="A7" s="2099" t="s">
        <v>2675</v>
      </c>
      <c r="B7" s="2105" t="s">
        <v>5139</v>
      </c>
      <c r="C7" s="2100"/>
      <c r="D7" s="2101"/>
      <c r="E7" s="2102"/>
      <c r="F7" s="2094">
        <f>Total!F7+'Total X-1'!F7</f>
        <v>0</v>
      </c>
      <c r="G7" s="2095">
        <f t="shared" si="0"/>
        <v>0</v>
      </c>
    </row>
    <row r="8" spans="1:9">
      <c r="A8" s="570" t="s">
        <v>3900</v>
      </c>
      <c r="B8" s="571" t="s">
        <v>61</v>
      </c>
      <c r="C8" s="572"/>
      <c r="D8" s="573" t="e">
        <f>IF(Total!D8="",0,Total!D8)+IF('Total X-1'!D8="",0,'Total X-1'!D8)</f>
        <v>#N/A</v>
      </c>
      <c r="E8" s="574" t="e">
        <f>IF(Total!E8="",0,Total!E8)+IF('Total X-1'!E8="",0,'Total X-1'!E8)</f>
        <v>#N/A</v>
      </c>
      <c r="F8" s="575" t="e">
        <f>IF(Total!F8="",0,Total!F8)+IF('Total X-1'!F8="",0,'Total X-1'!F8)</f>
        <v>#N/A</v>
      </c>
      <c r="G8" s="576" t="e">
        <f t="shared" si="0"/>
        <v>#N/A</v>
      </c>
    </row>
    <row r="9" spans="1:9">
      <c r="A9" s="577" t="str">
        <f>Total_Code!F1</f>
        <v>111-01/00</v>
      </c>
      <c r="B9" s="578" t="s">
        <v>3052</v>
      </c>
      <c r="C9" s="1160" t="e">
        <f>IF(Total!C9="",0,Total!C9)+IF('Total X-1'!C9="",0,'Total X-1'!C9)</f>
        <v>#N/A</v>
      </c>
      <c r="D9" s="1328">
        <f>IF(Total!D9="",0,Total!D9)+IF('Total X-1'!D9="",0,'Total X-1'!D9)</f>
        <v>0</v>
      </c>
      <c r="E9" s="1327">
        <f>IF(Total!E9="",0,Total!E9)+IF('Total X-1'!E9="",0,'Total X-1'!E9)</f>
        <v>0</v>
      </c>
      <c r="F9" s="581">
        <f>IF(Total!F9="",0,Total!F9)+IF('Total X-1'!F9="",0,'Total X-1'!F9)</f>
        <v>0</v>
      </c>
      <c r="G9" s="576" t="e">
        <f t="shared" si="0"/>
        <v>#N/A</v>
      </c>
    </row>
    <row r="10" spans="1:9">
      <c r="A10" s="577" t="str">
        <f>Total_Code!H1</f>
        <v>111-01/01</v>
      </c>
      <c r="B10" s="578" t="s">
        <v>553</v>
      </c>
      <c r="C10" s="583"/>
      <c r="D10" s="1328">
        <f>IF(Total!D10="",0,Total!D10)+IF('Total X-1'!D10="",0,'Total X-1'!D10)</f>
        <v>0</v>
      </c>
      <c r="E10" s="1327">
        <f>IF(Total!E10="",0,Total!E10)+IF('Total X-1'!E10="",0,'Total X-1'!E10)</f>
        <v>0</v>
      </c>
      <c r="F10" s="584" t="e">
        <f>IF(Total!F10="",0,Total!F10)+IF('Total X-1'!F10="",0,'Total X-1'!F10)</f>
        <v>#N/A</v>
      </c>
      <c r="G10" s="576" t="e">
        <f t="shared" si="0"/>
        <v>#N/A</v>
      </c>
    </row>
    <row r="11" spans="1:9">
      <c r="A11" s="577" t="str">
        <f>Total_Code!I1</f>
        <v>111-01/02</v>
      </c>
      <c r="B11" s="578" t="s">
        <v>554</v>
      </c>
      <c r="C11" s="583"/>
      <c r="D11" s="585" t="e">
        <f>IF(Total!D11="",0,Total!D11)+IF('Total X-1'!D11="",0,'Total X-1'!D11)</f>
        <v>#N/A</v>
      </c>
      <c r="E11" s="586" t="e">
        <f>IF(Total!E11="",0,Total!E11)+IF('Total X-1'!E11="",0,'Total X-1'!E11)</f>
        <v>#N/A</v>
      </c>
      <c r="F11" s="584" t="e">
        <f>IF(Total!F11="",0,Total!F11)+IF('Total X-1'!F11="",0,'Total X-1'!F11)</f>
        <v>#VALUE!</v>
      </c>
      <c r="G11" s="582" t="e">
        <f t="shared" si="0"/>
        <v>#N/A</v>
      </c>
    </row>
    <row r="12" spans="1:9">
      <c r="A12" s="577" t="str">
        <f>Total_Code!J1</f>
        <v>111-01/04</v>
      </c>
      <c r="B12" s="578" t="str">
        <f>FormAide!D10</f>
        <v>Supplément semaine volontaire de 4 jours</v>
      </c>
      <c r="C12" s="583"/>
      <c r="D12" s="585" t="e">
        <f>IF(Total!D12="",0,Total!D12)+IF('Total X-1'!D12="",0,'Total X-1'!D12)</f>
        <v>#N/A</v>
      </c>
      <c r="E12" s="586" t="e">
        <f>IF(Total!E12="",0,Total!E12)+IF('Total X-1'!E12="",0,'Total X-1'!E12)</f>
        <v>#N/A</v>
      </c>
      <c r="F12" s="584" t="e">
        <f>IF(Total!F12="",0,Total!F12)+IF('Total X-1'!F12="",0,'Total X-1'!F12)</f>
        <v>#N/A</v>
      </c>
      <c r="G12" s="582" t="e">
        <f t="shared" si="0"/>
        <v>#N/A</v>
      </c>
    </row>
    <row r="13" spans="1:9">
      <c r="A13" s="577" t="s">
        <v>1998</v>
      </c>
      <c r="B13" s="578" t="s">
        <v>5140</v>
      </c>
      <c r="C13" s="583"/>
      <c r="D13" s="585" t="e">
        <f>IF(Total!D13="",0,Total!D13)+IF('Total X-1'!D13="",0,'Total X-1'!D13)</f>
        <v>#N/A</v>
      </c>
      <c r="E13" s="586" t="e">
        <f>IF(Total!E13="",0,Total!E13)+IF('Total X-1'!E13="",0,'Total X-1'!E13)</f>
        <v>#VALUE!</v>
      </c>
      <c r="F13" s="584" t="e">
        <f>IF(Total!F13="",0,Total!F13)+IF('Total X-1'!F13="",0,'Total X-1'!F13)</f>
        <v>#N/A</v>
      </c>
      <c r="G13" s="582" t="e">
        <f t="shared" si="0"/>
        <v>#N/A</v>
      </c>
    </row>
    <row r="14" spans="1:9">
      <c r="A14" s="570" t="str">
        <f>Total_Code!M1</f>
        <v>111-01/14</v>
      </c>
      <c r="B14" s="587" t="str">
        <f>FormAide!D39</f>
        <v>Prime d'intégration     Niveau D</v>
      </c>
      <c r="C14" s="572"/>
      <c r="D14" s="588" t="e">
        <f>IF(Total!D14="",0,Total!D14)+IF('Total X-1'!D14="",0,'Total X-1'!D14)</f>
        <v>#N/A</v>
      </c>
      <c r="E14" s="589" t="e">
        <f>IF(Total!E14="",0,Total!E14)+IF('Total X-1'!E14="",0,'Total X-1'!E14)</f>
        <v>#N/A</v>
      </c>
      <c r="F14" s="590"/>
      <c r="G14" s="576" t="e">
        <f t="shared" si="0"/>
        <v>#N/A</v>
      </c>
    </row>
    <row r="15" spans="1:9">
      <c r="A15" s="570" t="str">
        <f>Total_Code!N1</f>
        <v>111-01/05</v>
      </c>
      <c r="B15" s="587" t="str">
        <f>FormAide!D26</f>
        <v>Allocation de proximité</v>
      </c>
      <c r="C15" s="572"/>
      <c r="D15" s="1328">
        <f>IF(Total!D15="",0,Total!D15)+IF('Total X-1'!D15="",0,'Total X-1'!D15)</f>
        <v>0</v>
      </c>
      <c r="E15" s="592">
        <f>IF(Total!E15="",0,Total!E15)+IF('Total X-1'!E15="",0,'Total X-1'!E15)</f>
        <v>0</v>
      </c>
      <c r="F15" s="593" t="e">
        <f>IF(Total!F15="",0,Total!F15)+IF('Total X-1'!F15="",0,'Total X-1'!F15)</f>
        <v>#N/A</v>
      </c>
      <c r="G15" s="576" t="e">
        <f t="shared" si="0"/>
        <v>#N/A</v>
      </c>
    </row>
    <row r="16" spans="1:9">
      <c r="A16" s="570" t="str">
        <f>Total_Code!O1</f>
        <v>111-01/06</v>
      </c>
      <c r="B16" s="587" t="str">
        <f>FormAide!D27</f>
        <v>Allocation de motard</v>
      </c>
      <c r="C16" s="572"/>
      <c r="D16" s="1328">
        <f>IF(Total!D16="",0,Total!D16)+IF('Total X-1'!D16="",0,'Total X-1'!D16)</f>
        <v>0</v>
      </c>
      <c r="E16" s="592">
        <f>IF(Total!E16="",0,Total!E16)+IF('Total X-1'!E16="",0,'Total X-1'!E16)</f>
        <v>0</v>
      </c>
      <c r="F16" s="593" t="e">
        <f>IF(Total!F16="",0,Total!F16)+IF('Total X-1'!F16="",0,'Total X-1'!F16)</f>
        <v>#N/A</v>
      </c>
      <c r="G16" s="576" t="e">
        <f t="shared" si="0"/>
        <v>#N/A</v>
      </c>
    </row>
    <row r="17" spans="1:10">
      <c r="A17" s="570" t="str">
        <f>Total_Code!P1</f>
        <v>111-01/07</v>
      </c>
      <c r="B17" s="587" t="str">
        <f>FormAide!D28</f>
        <v>Allocation analyste criminel/stratégique</v>
      </c>
      <c r="C17" s="572"/>
      <c r="D17" s="588" t="e">
        <f>IF(Total!D17="",0,Total!D17)+IF('Total X-1'!D17="",0,'Total X-1'!D17)</f>
        <v>#N/A</v>
      </c>
      <c r="E17" s="589" t="e">
        <f>IF(Total!E17="",0,Total!E17)+IF('Total X-1'!E17="",0,'Total X-1'!E17)</f>
        <v>#N/A</v>
      </c>
      <c r="F17" s="593" t="e">
        <f>IF(Total!F17="",0,Total!F17)+IF('Total X-1'!F17="",0,'Total X-1'!F17)</f>
        <v>#N/A</v>
      </c>
      <c r="G17" s="576" t="e">
        <f t="shared" si="0"/>
        <v>#N/A</v>
      </c>
    </row>
    <row r="18" spans="1:10">
      <c r="A18" s="570" t="str">
        <f>Total_Code!Q1</f>
        <v>111-01/08</v>
      </c>
      <c r="B18" s="587" t="str">
        <f>FormAide!D29</f>
        <v>Instructeur</v>
      </c>
      <c r="C18" s="572"/>
      <c r="D18" s="1328">
        <f>IF(Total!D18="",0,Total!D18)+IF('Total X-1'!D18="",0,'Total X-1'!D18)</f>
        <v>0</v>
      </c>
      <c r="E18" s="592">
        <f>IF(Total!E18="",0,Total!E18)+IF('Total X-1'!E18="",0,'Total X-1'!E18)</f>
        <v>0</v>
      </c>
      <c r="F18" s="593" t="e">
        <f>IF(Total!F18="",0,Total!F18)+IF('Total X-1'!F18="",0,'Total X-1'!F18)</f>
        <v>#N/A</v>
      </c>
      <c r="G18" s="576" t="e">
        <f t="shared" si="0"/>
        <v>#N/A</v>
      </c>
    </row>
    <row r="19" spans="1:10">
      <c r="A19" s="570" t="str">
        <f>Total_Code!R1</f>
        <v>111-01/09</v>
      </c>
      <c r="B19" s="587" t="str">
        <f>FormAide!D30</f>
        <v>Allocation Complémentaire et/ou Compensatoire</v>
      </c>
      <c r="C19" s="572"/>
      <c r="D19" s="1328">
        <f>IF(Total!D19="",0,Total!D19)+IF('Total X-1'!D19="",0,'Total X-1'!D19)</f>
        <v>0</v>
      </c>
      <c r="E19" s="592">
        <f>IF(Total!E19="",0,Total!E19)+IF('Total X-1'!E19="",0,'Total X-1'!E19)</f>
        <v>0</v>
      </c>
      <c r="F19" s="593" t="e">
        <f>IF(Total!F19="",0,Total!F19)+IF('Total X-1'!F19="",0,'Total X-1'!F19)</f>
        <v>#N/A</v>
      </c>
      <c r="G19" s="576" t="e">
        <f t="shared" si="0"/>
        <v>#N/A</v>
      </c>
    </row>
    <row r="20" spans="1:10">
      <c r="A20" s="570" t="str">
        <f>Total_Code!S1</f>
        <v>111-01/40</v>
      </c>
      <c r="B20" s="587" t="str">
        <f>FormAide!D31</f>
        <v>Allocation Bruxelles</v>
      </c>
      <c r="C20" s="572"/>
      <c r="D20" s="588" t="e">
        <f>IF(Total!D20="",0,Total!D20)+IF('Total X-1'!D20="",0,'Total X-1'!D20)</f>
        <v>#N/A</v>
      </c>
      <c r="E20" s="589" t="e">
        <f>IF(Total!E20="",0,Total!E20)+IF('Total X-1'!E20="",0,'Total X-1'!E20)</f>
        <v>#N/A</v>
      </c>
      <c r="F20" s="593" t="e">
        <f>IF(Total!F20="",0,Total!F20)+IF('Total X-1'!F20="",0,'Total X-1'!F20)</f>
        <v>#N/A</v>
      </c>
      <c r="G20" s="576" t="e">
        <f t="shared" si="0"/>
        <v>#N/A</v>
      </c>
      <c r="I20" s="1039"/>
    </row>
    <row r="21" spans="1:10">
      <c r="A21" s="570" t="str">
        <f>Total_Code!T1</f>
        <v>111-01/41</v>
      </c>
      <c r="B21" s="587" t="str">
        <f>FormAide!D32</f>
        <v>Prime d'engagement - Bruxelles</v>
      </c>
      <c r="C21" s="572"/>
      <c r="D21" s="1328">
        <f>IF(Total!D21="",0,Total!D21)+IF('Total X-1'!D21="",0,'Total X-1'!D21)</f>
        <v>0</v>
      </c>
      <c r="E21" s="592">
        <f>IF(Total!E21="",0,Total!E21)+IF('Total X-1'!E21="",0,'Total X-1'!E21)</f>
        <v>0</v>
      </c>
      <c r="F21" s="593" t="e">
        <f>IF(Total!F21="",0,Total!F21)+IF('Total X-1'!F21="",0,'Total X-1'!F21)</f>
        <v>#N/A</v>
      </c>
      <c r="G21" s="576" t="e">
        <f t="shared" si="0"/>
        <v>#N/A</v>
      </c>
    </row>
    <row r="22" spans="1:10">
      <c r="A22" s="570" t="str">
        <f>Total_Code!U1</f>
        <v>111-01/50</v>
      </c>
      <c r="B22" s="587" t="str">
        <f>FormAide!D33</f>
        <v>Allocation de bilinguisme</v>
      </c>
      <c r="C22" s="572"/>
      <c r="D22" s="588" t="e">
        <f>IF(Total!D22="",0,Total!D22)+IF('Total X-1'!D22="",0,'Total X-1'!D22)</f>
        <v>#N/A</v>
      </c>
      <c r="E22" s="589" t="e">
        <f>IF(Total!E22="",0,Total!E22)+IF('Total X-1'!E22="",0,'Total X-1'!E22)</f>
        <v>#N/A</v>
      </c>
      <c r="F22" s="593" t="e">
        <f>IF(Total!F22="",0,Total!F22)+IF('Total X-1'!F22="",0,'Total X-1'!F22)</f>
        <v>#N/A</v>
      </c>
      <c r="G22" s="576" t="e">
        <f t="shared" si="0"/>
        <v>#N/A</v>
      </c>
    </row>
    <row r="23" spans="1:10">
      <c r="A23" s="570" t="str">
        <f>Total_Code!V1</f>
        <v>111-01/51</v>
      </c>
      <c r="B23" s="587" t="str">
        <f>FormAide!D34</f>
        <v>Allocation connnaissance autre langues</v>
      </c>
      <c r="C23" s="572"/>
      <c r="D23" s="588" t="e">
        <f>IF(Total!D23="",0,Total!D23)+IF('Total X-1'!D23="",0,'Total X-1'!D23)</f>
        <v>#N/A</v>
      </c>
      <c r="E23" s="589" t="e">
        <f>IF(Total!E23="",0,Total!E23)+IF('Total X-1'!E23="",0,'Total X-1'!E23)</f>
        <v>#N/A</v>
      </c>
      <c r="F23" s="593" t="e">
        <f>IF(Total!F23="",0,Total!F23)+IF('Total X-1'!F23="",0,'Total X-1'!F23)</f>
        <v>#N/A</v>
      </c>
      <c r="G23" s="576" t="e">
        <f t="shared" si="0"/>
        <v>#N/A</v>
      </c>
    </row>
    <row r="24" spans="1:10">
      <c r="A24" s="570" t="str">
        <f>Total_Code!W1</f>
        <v>111-01/78-79-80-81</v>
      </c>
      <c r="B24" s="587" t="str">
        <f>FormAide!D35</f>
        <v>Allocation de tenue pour Militaires 
&amp; allocation de Maîtrise /Formation /Sélection</v>
      </c>
      <c r="C24" s="572"/>
      <c r="D24" s="588">
        <f>IF(Total!D24="",0,Total!D24)+IF('Total X-1'!D24="",0,'Total X-1'!D24)</f>
        <v>0</v>
      </c>
      <c r="E24" s="589">
        <f>IF(Total!E24="",0,Total!E24)+IF('Total X-1'!E24="",0,'Total X-1'!E24)</f>
        <v>0</v>
      </c>
      <c r="F24" s="590">
        <f>IF(Total!F24="",0,Total!F24)+IF('Total X-1'!F24="",0,'Total X-1'!F24)</f>
        <v>0</v>
      </c>
      <c r="G24" s="576">
        <f t="shared" si="0"/>
        <v>0</v>
      </c>
    </row>
    <row r="25" spans="1:10">
      <c r="A25" s="570" t="str">
        <f>Total_Code!X1</f>
        <v>111-01/82</v>
      </c>
      <c r="B25" s="587" t="str">
        <f>FormAide!D36</f>
        <v>Prime de Dirigeant</v>
      </c>
      <c r="C25" s="572"/>
      <c r="D25" s="588">
        <f>IF(Total!D25="",0,Total!D25)+IF('Total X-1'!D25="",0,'Total X-1'!D25)</f>
        <v>0</v>
      </c>
      <c r="E25" s="589" t="e">
        <f>IF(Total!E25="",0,Total!E25)+IF('Total X-1'!E25="",0,'Total X-1'!E25)</f>
        <v>#N/A</v>
      </c>
      <c r="F25" s="590">
        <f>IF(Total!F25="",0,Total!F25)+IF('Total X-1'!F25="",0,'Total X-1'!F25)</f>
        <v>0</v>
      </c>
      <c r="G25" s="576" t="e">
        <f t="shared" si="0"/>
        <v>#N/A</v>
      </c>
    </row>
    <row r="26" spans="1:10">
      <c r="A26" s="2546" t="s">
        <v>5274</v>
      </c>
      <c r="B26" s="2107" t="str">
        <f>FormAide!D37</f>
        <v>Allocation Fonction Directeur (Classe A4-A5 &amp; CPDiv O7-O8)</v>
      </c>
      <c r="C26" s="2560" t="s">
        <v>5293</v>
      </c>
      <c r="D26" s="1328"/>
      <c r="E26" s="2561" t="e">
        <f>IF(Total!E26="",0,Total!E26)+IF('Total X-1'!E26="",0,'Total X-1'!E26)</f>
        <v>#N/A</v>
      </c>
      <c r="F26" s="2561" t="e">
        <f>IF(Total!F26="",0,Total!F26)+IF('Total X-1'!F26="",0,'Total X-1'!F26)</f>
        <v>#N/A</v>
      </c>
      <c r="G26" s="2095" t="e">
        <f>SUM(E26:F26)</f>
        <v>#N/A</v>
      </c>
      <c r="H26" s="47"/>
      <c r="I26" s="47"/>
      <c r="J26" s="47"/>
    </row>
    <row r="27" spans="1:10" ht="13.5" thickBot="1">
      <c r="A27" s="1313" t="str">
        <f>LEFT(Total_Code!Z1,9)</f>
        <v>111-01/99</v>
      </c>
      <c r="B27" s="1314" t="str">
        <f>FormAide!D41</f>
        <v>Allocation "Fixe"  Montant indexé du moteur salariale</v>
      </c>
      <c r="C27" s="1315">
        <f>IF(Total!C27="",0,Total!C27)+IF('Total X-1'!C27="",0,'Total X-1'!C27)</f>
        <v>0</v>
      </c>
      <c r="D27" s="1316" t="e">
        <f>IF(Total!D27="",0,Total!D27)+IF('Total X-1'!D27="",0,'Total X-1'!D27)</f>
        <v>#N/A</v>
      </c>
      <c r="E27" s="1317" t="e">
        <f>IF(Total!E27="",0,Total!E27)+IF('Total X-1'!E27="",0,'Total X-1'!E27)</f>
        <v>#N/A</v>
      </c>
      <c r="F27" s="1318" t="e">
        <f>IF(Total!F27="",0,Total!F27)+IF('Total X-1'!F27="",0,'Total X-1'!F27)</f>
        <v>#N/A</v>
      </c>
      <c r="G27" s="1319" t="e">
        <f>SUM(C27:F27)</f>
        <v>#N/A</v>
      </c>
    </row>
    <row r="28" spans="1:10" s="1692" customFormat="1" ht="28.5" customHeight="1" thickTop="1" thickBot="1">
      <c r="A28" s="1325"/>
      <c r="B28" s="1326" t="str">
        <f>"Total du code économique  111-01"&amp;IF(D3&gt;0," ou 111-02 (A.P.E)","")</f>
        <v>Total du code économique  111-01</v>
      </c>
      <c r="C28" s="1693" t="e">
        <f>SUM(C5:C27)</f>
        <v>#N/A</v>
      </c>
      <c r="D28" s="1696" t="e">
        <f>SUM(D5:D27)</f>
        <v>#N/A</v>
      </c>
      <c r="E28" s="1695" t="e">
        <f>SUM(E5:E27)</f>
        <v>#N/A</v>
      </c>
      <c r="F28" s="1693" t="e">
        <f>SUM(F5:F27)</f>
        <v>#VALUE!</v>
      </c>
      <c r="G28" s="1693" t="e">
        <f>SUM(G5:G27)</f>
        <v>#N/A</v>
      </c>
      <c r="H28"/>
    </row>
    <row r="29" spans="1:10">
      <c r="A29" s="570" t="str">
        <f>Total_Code!AA1</f>
        <v>111-08/00</v>
      </c>
      <c r="B29" s="1320" t="str">
        <f>FormAide!D16</f>
        <v>Heures supplémentaires</v>
      </c>
      <c r="C29" s="1321"/>
      <c r="D29" s="573" t="e">
        <f>IF(Total!D28="",0,Total!D28)+IF('Total X-1'!D28="",0,'Total X-1'!D28)</f>
        <v>#N/A</v>
      </c>
      <c r="E29" s="574" t="e">
        <f>IF(Total!E28="",0,Total!E28)+IF('Total X-1'!E28="",0,'Total X-1'!E28)</f>
        <v>#N/A</v>
      </c>
      <c r="F29" s="575" t="e">
        <f>IF(Total!F28="",0,Total!F28)+IF('Total X-1'!F28="",0,'Total X-1'!F28)</f>
        <v>#N/A</v>
      </c>
      <c r="G29" s="576" t="e">
        <f t="shared" ref="G29:G38" si="1">SUM(C29:F29)</f>
        <v>#N/A</v>
      </c>
    </row>
    <row r="30" spans="1:10">
      <c r="A30" s="570" t="str">
        <f>Total_Code!AB1</f>
        <v>111-08/01</v>
      </c>
      <c r="B30" s="594" t="str">
        <f>FormAide!D17</f>
        <v>Heures de weekend</v>
      </c>
      <c r="C30" s="572"/>
      <c r="D30" s="588" t="e">
        <f>IF(Total!D29="",0,Total!D29)+IF('Total X-1'!D29="",0,'Total X-1'!D29)</f>
        <v>#N/A</v>
      </c>
      <c r="E30" s="589" t="e">
        <f>IF(Total!E29="",0,Total!E29)+IF('Total X-1'!E29="",0,'Total X-1'!E29)</f>
        <v>#N/A</v>
      </c>
      <c r="F30" s="593" t="e">
        <f>IF(Total!F29="",0,Total!F29)+IF('Total X-1'!F29="",0,'Total X-1'!F29)</f>
        <v>#N/A</v>
      </c>
      <c r="G30" s="576" t="e">
        <f t="shared" si="1"/>
        <v>#N/A</v>
      </c>
    </row>
    <row r="31" spans="1:10">
      <c r="A31" s="570" t="str">
        <f>Total_Code!AC1</f>
        <v>111-08/20</v>
      </c>
      <c r="B31" s="594" t="str">
        <f>FormAide!D18</f>
        <v>Heures de nuit 19:00-22:00</v>
      </c>
      <c r="C31" s="572"/>
      <c r="D31" s="588" t="e">
        <f>IF(Total!D30="",0,Total!D30)+IF('Total X-1'!D30="",0,'Total X-1'!D30)</f>
        <v>#N/A</v>
      </c>
      <c r="E31" s="589" t="e">
        <f>IF(Total!E30="",0,Total!E30)+IF('Total X-1'!E30="",0,'Total X-1'!E30)</f>
        <v>#N/A</v>
      </c>
      <c r="F31" s="593" t="e">
        <f>IF(Total!F30="",0,Total!F30)+IF('Total X-1'!F30="",0,'Total X-1'!F30)</f>
        <v>#N/A</v>
      </c>
      <c r="G31" s="576" t="e">
        <f t="shared" si="1"/>
        <v>#N/A</v>
      </c>
    </row>
    <row r="32" spans="1:10">
      <c r="A32" s="570" t="str">
        <f>Total_Code!AD1</f>
        <v>111-08/21</v>
      </c>
      <c r="B32" s="594" t="str">
        <f>FormAide!D19</f>
        <v>Heures de Nuit  22:00-06:00</v>
      </c>
      <c r="C32" s="572"/>
      <c r="D32" s="588" t="e">
        <f>IF(Total!D31="",0,Total!D31)+IF('Total X-1'!D31="",0,'Total X-1'!D31)</f>
        <v>#N/A</v>
      </c>
      <c r="E32" s="589" t="e">
        <f>IF(Total!E31="",0,Total!E31)+IF('Total X-1'!E31="",0,'Total X-1'!E31)</f>
        <v>#N/A</v>
      </c>
      <c r="F32" s="593" t="e">
        <f>IF(Total!F31="",0,Total!F31)+IF('Total X-1'!F31="",0,'Total X-1'!F31)</f>
        <v>#N/A</v>
      </c>
      <c r="G32" s="576" t="e">
        <f t="shared" si="1"/>
        <v>#N/A</v>
      </c>
    </row>
    <row r="33" spans="1:7">
      <c r="A33" s="570" t="str">
        <f>Total_Code!AE1</f>
        <v>111-08/03</v>
      </c>
      <c r="B33" s="594" t="str">
        <f>FormAide!D20</f>
        <v>Contactable  &amp; Contactable et Rappelable</v>
      </c>
      <c r="C33" s="572"/>
      <c r="D33" s="588" t="e">
        <f>IF(Total!D32="",0,Total!D32)+IF('Total X-1'!D32="",0,'Total X-1'!D32)</f>
        <v>#N/A</v>
      </c>
      <c r="E33" s="589" t="e">
        <f>IF(Total!E32="",0,Total!E32)+IF('Total X-1'!E32="",0,'Total X-1'!E32)</f>
        <v>#N/A</v>
      </c>
      <c r="F33" s="593" t="e">
        <f>IF(Total!F32="",0,Total!F32)+IF('Total X-1'!F32="",0,'Total X-1'!F32)</f>
        <v>#N/A</v>
      </c>
      <c r="G33" s="576" t="e">
        <f t="shared" si="1"/>
        <v>#N/A</v>
      </c>
    </row>
    <row r="34" spans="1:7">
      <c r="A34" s="570" t="str">
        <f>Total_Code!AF1</f>
        <v>111-08/04</v>
      </c>
      <c r="B34" s="594" t="str">
        <f>FormAide!D21</f>
        <v>Service Ininterrompu 24-Heures</v>
      </c>
      <c r="C34" s="572"/>
      <c r="D34" s="1328">
        <f>IF(Total!D33="",0,Total!D33)+IF('Total X-1'!D33="",0,'Total X-1'!D33)</f>
        <v>0</v>
      </c>
      <c r="E34" s="592">
        <f>IF(Total!E33="",0,Total!E33)+IF('Total X-1'!E33="",0,'Total X-1'!E33)</f>
        <v>0</v>
      </c>
      <c r="F34" s="593" t="e">
        <f>IF(Total!F33="",0,Total!F33)+IF('Total X-1'!F33="",0,'Total X-1'!F33)</f>
        <v>#N/A</v>
      </c>
      <c r="G34" s="576" t="e">
        <f t="shared" si="1"/>
        <v>#N/A</v>
      </c>
    </row>
    <row r="35" spans="1:7">
      <c r="A35" s="570" t="str">
        <f>Total_Code!AG1</f>
        <v>111-08/05</v>
      </c>
      <c r="B35" s="594" t="str">
        <f>FormAide!D22</f>
        <v>Allocation d'immigration (demi jour et journée complète)</v>
      </c>
      <c r="C35" s="572"/>
      <c r="D35" s="1328">
        <f>IF(Total!D34="",0,Total!D34)+IF('Total X-1'!D34="",0,'Total X-1'!D34)</f>
        <v>0</v>
      </c>
      <c r="E35" s="592">
        <f>IF(Total!E34="",0,Total!E34)+IF('Total X-1'!E34="",0,'Total X-1'!E34)</f>
        <v>0</v>
      </c>
      <c r="F35" s="593" t="e">
        <f>IF(Total!F34="",0,Total!F34)+IF('Total X-1'!F34="",0,'Total X-1'!F34)</f>
        <v>#N/A</v>
      </c>
      <c r="G35" s="576" t="e">
        <f t="shared" si="1"/>
        <v>#N/A</v>
      </c>
    </row>
    <row r="36" spans="1:7">
      <c r="A36" s="570" t="str">
        <f>Total_Code!AH1</f>
        <v>111-08/06</v>
      </c>
      <c r="B36" s="594" t="str">
        <f>FormAide!D23</f>
        <v>Allocation observateur aérien</v>
      </c>
      <c r="C36" s="572"/>
      <c r="D36" s="1328">
        <f>IF(Total!D35="",0,Total!D35)+IF('Total X-1'!D35="",0,'Total X-1'!D35)</f>
        <v>0</v>
      </c>
      <c r="E36" s="592">
        <f>IF(Total!E35="",0,Total!E35)+IF('Total X-1'!E35="",0,'Total X-1'!E35)</f>
        <v>0</v>
      </c>
      <c r="F36" s="593">
        <f>IF(Total!F35="",0,Total!F35)+IF('Total X-1'!F35="",0,'Total X-1'!F35)</f>
        <v>0</v>
      </c>
      <c r="G36" s="576">
        <f t="shared" si="1"/>
        <v>0</v>
      </c>
    </row>
    <row r="37" spans="1:7">
      <c r="A37" s="570" t="str">
        <f>Total_Code!AI1</f>
        <v>111-08/07</v>
      </c>
      <c r="B37" s="594" t="str">
        <f>FormAide!D24</f>
        <v>Allocation mentor - mission enseignement</v>
      </c>
      <c r="C37" s="572"/>
      <c r="D37" s="588" t="e">
        <f>IF(Total!D36="",0,Total!D36)+IF('Total X-1'!D36="",0,'Total X-1'!D36)</f>
        <v>#N/A</v>
      </c>
      <c r="E37" s="589" t="e">
        <f>IF(Total!E36="",0,Total!E36)+IF('Total X-1'!E36="",0,'Total X-1'!E36)</f>
        <v>#N/A</v>
      </c>
      <c r="F37" s="593" t="e">
        <f>IF(Total!F36="",0,Total!F36)+IF('Total X-1'!F36="",0,'Total X-1'!F36)</f>
        <v>#N/A</v>
      </c>
      <c r="G37" s="576" t="e">
        <f t="shared" si="1"/>
        <v>#N/A</v>
      </c>
    </row>
    <row r="38" spans="1:7" ht="13.5" thickBot="1">
      <c r="A38" s="1313" t="str">
        <f>Total_Code!AJ1</f>
        <v>111-08/90</v>
      </c>
      <c r="B38" s="1314" t="str">
        <f>FormAide!D40</f>
        <v>Allocation Développement de compétences</v>
      </c>
      <c r="C38" s="1322"/>
      <c r="D38" s="1323" t="e">
        <f>IF(Total!D37="",0,Total!D37)+IF('Total X-1'!D37="",0,'Total X-1'!D37)</f>
        <v>#N/A</v>
      </c>
      <c r="E38" s="1317" t="e">
        <f>IF(Total!E37="",0,Total!E37)+IF('Total X-1'!E37="",0,'Total X-1'!E37)</f>
        <v>#N/A</v>
      </c>
      <c r="F38" s="1324">
        <f>IF(Total!F37="",0,Total!F37)+IF('Total X-1'!F37="",0,'Total X-1'!F37)</f>
        <v>0</v>
      </c>
      <c r="G38" s="1319" t="e">
        <f t="shared" si="1"/>
        <v>#N/A</v>
      </c>
    </row>
    <row r="39" spans="1:7" s="1692" customFormat="1" ht="28.5" customHeight="1" thickTop="1" thickBot="1">
      <c r="A39" s="1325"/>
      <c r="B39" s="1697" t="str">
        <f>"Total du code économique  111-08"&amp;IF(D3&gt;0," ou 111-09 (A.P.E)","")</f>
        <v>Total du code économique  111-08</v>
      </c>
      <c r="C39" s="1698">
        <f>SUM(C29:C38)</f>
        <v>0</v>
      </c>
      <c r="D39" s="1699" t="e">
        <f>SUM(D29:D38)</f>
        <v>#N/A</v>
      </c>
      <c r="E39" s="1700" t="e">
        <f>SUM(E29:E38)</f>
        <v>#N/A</v>
      </c>
      <c r="F39" s="1698" t="e">
        <f>SUM(F29:F38)</f>
        <v>#N/A</v>
      </c>
      <c r="G39" s="1698" t="e">
        <f>SUM(G29:G38)</f>
        <v>#N/A</v>
      </c>
    </row>
    <row r="40" spans="1:7">
      <c r="A40" s="570" t="str">
        <f>Total_Code!AK1</f>
        <v>112-01</v>
      </c>
      <c r="B40" s="571" t="str">
        <f>FormAide!D11</f>
        <v>Allocation de vacances + prime copernic</v>
      </c>
      <c r="C40" s="1321"/>
      <c r="D40" s="573" t="e">
        <f>IF(Total!D38="",0,Total!D38)+IF('Total X-1'!D38="",0,'Total X-1'!D38)</f>
        <v>#N/A</v>
      </c>
      <c r="E40" s="574" t="e">
        <f>IF(Total!E38="",0,Total!E38)+IF('Total X-1'!E38="",0,'Total X-1'!E38)</f>
        <v>#N/A</v>
      </c>
      <c r="F40" s="575" t="e">
        <f>IF(Total!F38="",0,Total!F38)+IF('Total X-1'!F38="",0,'Total X-1'!F38)</f>
        <v>#N/A</v>
      </c>
      <c r="G40" s="576" t="e">
        <f t="shared" ref="G40:G53" si="2">SUM(C40:F40)</f>
        <v>#N/A</v>
      </c>
    </row>
    <row r="41" spans="1:7">
      <c r="A41" s="2099" t="s">
        <v>2676</v>
      </c>
      <c r="B41" s="2107" t="s">
        <v>5141</v>
      </c>
      <c r="C41" s="572"/>
      <c r="D41" s="1328"/>
      <c r="E41" s="592"/>
      <c r="F41" s="2103">
        <f>IF(Total!F39="",0,Total!F39)+IF('Total X-1'!F39="",0,'Total X-1'!F39)</f>
        <v>0</v>
      </c>
      <c r="G41" s="2095">
        <f t="shared" si="2"/>
        <v>0</v>
      </c>
    </row>
    <row r="42" spans="1:7">
      <c r="A42" s="570" t="str">
        <f>Total_Code!AL1</f>
        <v>115-01/10</v>
      </c>
      <c r="B42" s="587" t="str">
        <f>FormAide!D48</f>
        <v>Indemnités de déplacement  lieu de travail/maison/ KM</v>
      </c>
      <c r="C42" s="572">
        <f>IF(Total!C40="",0,Total!C40)+IF('Total X-1'!C40="",0,'Total X-1'!C40)</f>
        <v>0</v>
      </c>
      <c r="D42" s="588" t="e">
        <f>IF(Total!D40="",0,Total!D40)+IF('Total X-1'!D40="",0,'Total X-1'!D40)</f>
        <v>#N/A</v>
      </c>
      <c r="E42" s="589" t="e">
        <f>IF(Total!E40="",0,Total!E40)+IF('Total X-1'!E40="",0,'Total X-1'!E40)</f>
        <v>#N/A</v>
      </c>
      <c r="F42" s="593" t="e">
        <f>IF(Total!F40="",0,Total!F40)+IF('Total X-1'!F40="",0,'Total X-1'!F40)</f>
        <v>#N/A</v>
      </c>
      <c r="G42" s="576" t="e">
        <f t="shared" si="2"/>
        <v>#N/A</v>
      </c>
    </row>
    <row r="43" spans="1:7">
      <c r="A43" s="570" t="str">
        <f>Total_Code!AM1</f>
        <v>115-01/11</v>
      </c>
      <c r="B43" s="587" t="str">
        <f>FormAide!D49</f>
        <v>Indemnités de déplacement  lieu de travail/maison/ Abt Soc</v>
      </c>
      <c r="C43" s="572">
        <f>IF(Total!C41="",0,Total!C41)+IF('Total X-1'!C41="",0,'Total X-1'!C41)</f>
        <v>0</v>
      </c>
      <c r="D43" s="588" t="e">
        <f>IF(Total!D41="",0,Total!D41)+IF('Total X-1'!D41="",0,'Total X-1'!D41)</f>
        <v>#N/A</v>
      </c>
      <c r="E43" s="589" t="e">
        <f>IF(Total!E41="",0,Total!E41)+IF('Total X-1'!E41="",0,'Total X-1'!E41)</f>
        <v>#N/A</v>
      </c>
      <c r="F43" s="593" t="e">
        <f>IF(Total!F41="",0,Total!F41)+IF('Total X-1'!F41="",0,'Total X-1'!F41)</f>
        <v>#N/A</v>
      </c>
      <c r="G43" s="576" t="e">
        <f t="shared" si="2"/>
        <v>#N/A</v>
      </c>
    </row>
    <row r="44" spans="1:7">
      <c r="A44" s="570" t="s">
        <v>3678</v>
      </c>
      <c r="B44" s="587" t="s">
        <v>1324</v>
      </c>
      <c r="C44" s="613">
        <f>IF(Total!C42="",0,Total!C42)+IF('Total X-1'!C42="",0,'Total X-1'!C42)</f>
        <v>0</v>
      </c>
      <c r="D44" s="588" t="e">
        <f>IF(Total!D42="",0,Total!D42)+IF('Total X-1'!D42="",0,'Total X-1'!D42)</f>
        <v>#N/A</v>
      </c>
      <c r="E44" s="589" t="e">
        <f>IF(Total!E42="",0,Total!E42)+IF('Total X-1'!E42="",0,'Total X-1'!E42)</f>
        <v>#N/A</v>
      </c>
      <c r="F44" s="593" t="e">
        <f>IF(Total!F42="",0,Total!F42)+IF('Total X-1'!F42="",0,'Total X-1'!F42)</f>
        <v>#N/A</v>
      </c>
      <c r="G44" s="576" t="e">
        <f t="shared" si="2"/>
        <v>#N/A</v>
      </c>
    </row>
    <row r="45" spans="1:7">
      <c r="A45" s="570" t="str">
        <f>Total_Code!AO1</f>
        <v>121-03</v>
      </c>
      <c r="B45" s="587" t="str">
        <f>FormAide!D43</f>
        <v>Indemnité entretien uniforme</v>
      </c>
      <c r="C45" s="572"/>
      <c r="D45" s="1328">
        <f>IF(Total!D43="",0,Total!D43)+IF('Total X-1'!D43="",0,'Total X-1'!D43)</f>
        <v>0</v>
      </c>
      <c r="E45" s="592">
        <f>IF(Total!E43="",0,Total!E43)+IF('Total X-1'!E43="",0,'Total X-1'!E43)</f>
        <v>0</v>
      </c>
      <c r="F45" s="593" t="e">
        <f>IF(Total!F43="",0,Total!F43)+IF('Total X-1'!F43="",0,'Total X-1'!F43)</f>
        <v>#N/A</v>
      </c>
      <c r="G45" s="576" t="e">
        <f t="shared" si="2"/>
        <v>#N/A</v>
      </c>
    </row>
    <row r="46" spans="1:7">
      <c r="A46" s="570" t="str">
        <f>Total_Code!AP1</f>
        <v>121-48/01</v>
      </c>
      <c r="B46" s="587" t="str">
        <f>FormAide!D44</f>
        <v>Indemnité de téléphone</v>
      </c>
      <c r="C46" s="572"/>
      <c r="D46" s="588" t="e">
        <f>IF(Total!D44="",0,Total!D44)+IF('Total X-1'!D44="",0,'Total X-1'!D44)</f>
        <v>#N/A</v>
      </c>
      <c r="E46" s="589" t="e">
        <f>IF(Total!E44="",0,Total!E44)+IF('Total X-1'!E44="",0,'Total X-1'!E44)</f>
        <v>#N/A</v>
      </c>
      <c r="F46" s="593" t="e">
        <f>IF(Total!F44="",0,Total!F44)+IF('Total X-1'!F44="",0,'Total X-1'!F44)</f>
        <v>#N/A</v>
      </c>
      <c r="G46" s="576" t="e">
        <f t="shared" si="2"/>
        <v>#N/A</v>
      </c>
    </row>
    <row r="47" spans="1:7">
      <c r="A47" s="570" t="str">
        <f>Total_Code!AQ1</f>
        <v>121-48/02</v>
      </c>
      <c r="B47" s="587" t="str">
        <f>FormAide!D45</f>
        <v>Indemnité enquête judiciaire - Mensuel</v>
      </c>
      <c r="C47" s="572"/>
      <c r="D47" s="1328">
        <f>IF(Total!D45="",0,Total!D45)+IF('Total X-1'!D45="",0,'Total X-1'!D45)</f>
        <v>0</v>
      </c>
      <c r="E47" s="592">
        <f>IF(Total!E45="",0,Total!E45)+IF('Total X-1'!E45="",0,'Total X-1'!E45)</f>
        <v>0</v>
      </c>
      <c r="F47" s="593" t="e">
        <f>IF(Total!F45="",0,Total!F45)+IF('Total X-1'!F45="",0,'Total X-1'!F45)</f>
        <v>#N/A</v>
      </c>
      <c r="G47" s="576" t="e">
        <f t="shared" si="2"/>
        <v>#N/A</v>
      </c>
    </row>
    <row r="48" spans="1:7">
      <c r="A48" s="570" t="str">
        <f>Total_Code!AR1</f>
        <v>121-48/03</v>
      </c>
      <c r="B48" s="587" t="str">
        <f>FormAide!D51</f>
        <v>Indemnité enquête judiciaire - Journalier</v>
      </c>
      <c r="C48" s="572"/>
      <c r="D48" s="1328">
        <f>IF(Total!D46="",0,Total!D46)+IF('Total X-1'!D46="",0,'Total X-1'!D46)</f>
        <v>0</v>
      </c>
      <c r="E48" s="592">
        <f>IF(Total!E46="",0,Total!E46)+IF('Total X-1'!E46="",0,'Total X-1'!E46)</f>
        <v>0</v>
      </c>
      <c r="F48" s="593" t="e">
        <f>IF(Total!F46="",0,Total!F46)+IF('Total X-1'!F46="",0,'Total X-1'!F46)</f>
        <v>#N/A</v>
      </c>
      <c r="G48" s="576" t="e">
        <f t="shared" si="2"/>
        <v>#N/A</v>
      </c>
    </row>
    <row r="49" spans="1:9">
      <c r="A49" s="570" t="str">
        <f>Total_Code!AS1</f>
        <v>121-48/04</v>
      </c>
      <c r="B49" s="587" t="str">
        <f>FormAide!D46</f>
        <v>Indemnité pour chien policier</v>
      </c>
      <c r="C49" s="572"/>
      <c r="D49" s="1328">
        <f>IF(Total!D47="",0,Total!D47)+IF('Total X-1'!D47="",0,'Total X-1'!D47)</f>
        <v>0</v>
      </c>
      <c r="E49" s="592">
        <f>IF(Total!E47="",0,Total!E47)+IF('Total X-1'!E47="",0,'Total X-1'!E47)</f>
        <v>0</v>
      </c>
      <c r="F49" s="593">
        <f>IF(Total!F47="",0,Total!F47)+IF('Total X-1'!F47="",0,'Total X-1'!F47)</f>
        <v>0</v>
      </c>
      <c r="G49" s="576">
        <f t="shared" si="2"/>
        <v>0</v>
      </c>
    </row>
    <row r="50" spans="1:9">
      <c r="A50" s="2123" t="s">
        <v>2788</v>
      </c>
      <c r="B50" s="2124" t="str">
        <f>IF(ChRepasCheck&lt;&gt;"","Cheques Repas depuis 11/2022","Indemnités de repas : Modèle 9BIS ")</f>
        <v>Cheques Repas depuis 11/2022</v>
      </c>
      <c r="C50" s="572"/>
      <c r="D50" s="588" t="e">
        <f>IF(Total!D48="",0,Total!D48)+IF('Total X-1'!D48="",0,'Total X-1'!D48)</f>
        <v>#N/A</v>
      </c>
      <c r="E50" s="589" t="e">
        <f>IF(Total!E48="",0,Total!E48)+IF('Total X-1'!E48="",0,'Total X-1'!E48)</f>
        <v>#N/A</v>
      </c>
      <c r="F50" s="593" t="e">
        <f>IF(Total!F48="",0,Total!F48)+IF('Total X-1'!F48="",0,'Total X-1'!F48)</f>
        <v>#N/A</v>
      </c>
      <c r="G50" s="576" t="e">
        <f t="shared" si="2"/>
        <v>#N/A</v>
      </c>
    </row>
    <row r="51" spans="1:9">
      <c r="A51" s="570" t="s">
        <v>634</v>
      </c>
      <c r="B51" s="587" t="s">
        <v>495</v>
      </c>
      <c r="C51" s="572"/>
      <c r="D51" s="588" t="e">
        <f>IF(Total!D49="",0,Total!D49)+IF('Total X-1'!D49="",0,'Total X-1'!D49)</f>
        <v>#N/A</v>
      </c>
      <c r="E51" s="589" t="e">
        <f>IF(Total!E49="",0,Total!E49)+IF('Total X-1'!E49="",0,'Total X-1'!E49)</f>
        <v>#N/A</v>
      </c>
      <c r="F51" s="593" t="e">
        <f>IF(Total!F49="",0,Total!F49)+IF('Total X-1'!F49="",0,'Total X-1'!F49)</f>
        <v>#N/A</v>
      </c>
      <c r="G51" s="576" t="e">
        <f t="shared" si="2"/>
        <v>#N/A</v>
      </c>
    </row>
    <row r="52" spans="1:9">
      <c r="A52" s="2123" t="s">
        <v>204</v>
      </c>
      <c r="B52" s="2124" t="str">
        <f xml:space="preserve"> "Indemnités de repas :L096 "</f>
        <v xml:space="preserve">Indemnités de repas :L096 </v>
      </c>
      <c r="C52" s="572"/>
      <c r="D52" s="588" t="e">
        <f>IF(Total!D50="",0,Total!D50)+IF('Total X-1'!D50="",0,'Total X-1'!D50)</f>
        <v>#N/A</v>
      </c>
      <c r="E52" s="589" t="e">
        <f>IF(Total!E50="",0,Total!E50)+IF('Total X-1'!E50="",0,'Total X-1'!E50)</f>
        <v>#N/A</v>
      </c>
      <c r="F52" s="593" t="e">
        <f>IF(Total!F50="",0,Total!F50)+IF('Total X-1'!F50="",0,'Total X-1'!F50)</f>
        <v>#N/A</v>
      </c>
      <c r="G52" s="576" t="e">
        <f t="shared" si="2"/>
        <v>#N/A</v>
      </c>
    </row>
    <row r="53" spans="1:9" ht="13.5" thickBot="1">
      <c r="A53" s="600" t="str">
        <f>Total_Code!AW1</f>
        <v>121-48/99</v>
      </c>
      <c r="B53" s="601" t="str">
        <f>FormAide!D55</f>
        <v>Autres Indemnités</v>
      </c>
      <c r="C53" s="597"/>
      <c r="D53" s="602" t="e">
        <f>IF(Total!D51="",0,Total!D51)+IF('Total X-1'!D51="",0,'Total X-1'!D51)</f>
        <v>#N/A</v>
      </c>
      <c r="E53" s="589" t="e">
        <f>IF(Total!E51="",0,Total!E51)+IF('Total X-1'!E51="",0,'Total X-1'!E51)</f>
        <v>#N/A</v>
      </c>
      <c r="F53" s="593">
        <f>IF(Total!F51="",0,Total!F51)+IF('Total X-1'!F51="",0,'Total X-1'!F51)</f>
        <v>0</v>
      </c>
      <c r="G53" s="576" t="e">
        <f t="shared" si="2"/>
        <v>#N/A</v>
      </c>
    </row>
    <row r="54" spans="1:9" s="1692" customFormat="1" ht="14.25" thickTop="1" thickBot="1">
      <c r="A54" s="1691"/>
      <c r="B54" s="1701" t="str">
        <f>"Total du Code economique  121   "</f>
        <v xml:space="preserve">Total du Code economique  121   </v>
      </c>
      <c r="C54" s="1702"/>
      <c r="D54" s="1703" t="e">
        <f>SUM(D44:D53)</f>
        <v>#N/A</v>
      </c>
      <c r="E54" s="1704" t="e">
        <f>SUM(E44:E53)</f>
        <v>#N/A</v>
      </c>
      <c r="F54" s="1702" t="e">
        <f>SUM(F44:F53)</f>
        <v>#N/A</v>
      </c>
      <c r="G54" s="1702" t="e">
        <f>SUM(G44:G53)</f>
        <v>#N/A</v>
      </c>
      <c r="H54" s="1694"/>
      <c r="I54" s="1694"/>
    </row>
    <row r="55" spans="1:9" s="1692" customFormat="1" ht="25.5">
      <c r="A55" s="605"/>
      <c r="B55" s="606" t="str">
        <f>FormAide!D62</f>
        <v>Partie fixe de l'allocation de fin d'année (AFA)
Base de la charge Patronale &amp; Subvention Sociale II</v>
      </c>
      <c r="C55" s="607">
        <f>IF(Total!C52="",0,Total!C52)+IF('Total X-1'!C52="",0,'Total X-1'!C52)</f>
        <v>0</v>
      </c>
      <c r="D55" s="608" t="e">
        <f>IF(Total!D52="",0,Total!D52)+IF('Total X-1'!D52="",0,'Total X-1'!D52)</f>
        <v>#N/A</v>
      </c>
      <c r="E55" s="609" t="e">
        <f>IF(Total!E52="",0,Total!E52)+IF('Total X-1'!E52="",0,'Total X-1'!E52)</f>
        <v>#VALUE!</v>
      </c>
      <c r="F55" s="610" t="e">
        <f>IF(Total!F52="",0,Total!F52)+IF('Total X-1'!F52="",0,'Total X-1'!F52)</f>
        <v>#N/A</v>
      </c>
      <c r="G55" s="611"/>
    </row>
    <row r="56" spans="1:9" ht="38.25">
      <c r="A56" s="612" t="str">
        <f>Total_Code!AX1</f>
        <v>113-01</v>
      </c>
      <c r="B56" s="578" t="str">
        <f>FormAide!D56</f>
        <v>Cotisations  Patronales Ordinaires sur Allocations Fixes, Traitement, Mandat, Supplém Sem volontaire4jrs &amp; partie fixe AFA"</v>
      </c>
      <c r="C56" s="1160" t="e">
        <f>IF(Total!C53="",0,Total!C53)+IF('Total X-1'!C53="",0,'Total X-1'!C53)</f>
        <v>#N/A</v>
      </c>
      <c r="D56" s="614" t="e">
        <f>IF(Total!D53="",0,Total!D53)+IF('Total X-1'!D53="",0,'Total X-1'!D53)</f>
        <v>#N/A</v>
      </c>
      <c r="E56" s="615" t="e">
        <f>IF(Total!E53="",0,Total!E53)+IF('Total X-1'!E53="",0,'Total X-1'!E53)</f>
        <v>#N/A</v>
      </c>
      <c r="F56" s="616" t="e">
        <f>IF(Total!F53="",0,Total!F53)+IF('Total X-1'!F53="",0,'Total X-1'!F53)</f>
        <v>#VALUE!</v>
      </c>
      <c r="G56" s="617" t="e">
        <f>SUM(C56:F56)</f>
        <v>#N/A</v>
      </c>
    </row>
    <row r="57" spans="1:9" ht="36.75" customHeight="1">
      <c r="A57" s="612" t="str">
        <f>Total_Code!AY1</f>
        <v>113-21</v>
      </c>
      <c r="B57" s="578" t="str">
        <f>FormAide!D57</f>
        <v>Côtisations patronales pensions sur Traitement, Mandat et allocations fixes</v>
      </c>
      <c r="C57" s="618"/>
      <c r="D57" s="614">
        <f>IF(Total!D54="",0,Total!D54)+IF('Total X-1'!D54="",0,'Total X-1'!D54)</f>
        <v>0</v>
      </c>
      <c r="E57" s="615" t="e">
        <f>IF(Total!E54="",0,Total!E54)+IF('Total X-1'!E54="",0,'Total X-1'!E54)</f>
        <v>#N/A</v>
      </c>
      <c r="F57" s="616" t="e">
        <f>IF(Total!F54="",0,Total!F54)+IF('Total X-1'!F54="",0,'Total X-1'!F54)</f>
        <v>#VALUE!</v>
      </c>
      <c r="G57" s="617" t="e">
        <f>SUM(C57:F57)</f>
        <v>#N/A</v>
      </c>
    </row>
    <row r="58" spans="1:9" ht="25.5">
      <c r="A58" s="612" t="str">
        <f>Total_Code!AZ1</f>
        <v>113-08</v>
      </c>
      <c r="B58" s="578" t="str">
        <f>FormAide!D58</f>
        <v>Cotisations patronales ordinaires sur les Allocations Variables</v>
      </c>
      <c r="C58" s="618"/>
      <c r="D58" s="614" t="e">
        <f>IF(Total!D55="",0,Total!D55)+IF('Total X-1'!D55="",0,'Total X-1'!D55)</f>
        <v>#N/A</v>
      </c>
      <c r="E58" s="615" t="e">
        <f>IF(Total!E55="",0,Total!E55)+IF('Total X-1'!E55="",0,'Total X-1'!E55)</f>
        <v>#N/A</v>
      </c>
      <c r="F58" s="616" t="e">
        <f>IF(Total!F55="",0,Total!F55)+IF('Total X-1'!F55="",0,'Total X-1'!F55)</f>
        <v>#N/A</v>
      </c>
      <c r="G58" s="617" t="e">
        <f>SUM(C58:F58)</f>
        <v>#N/A</v>
      </c>
    </row>
    <row r="59" spans="1:9">
      <c r="A59" s="612" t="str">
        <f>Total_Code!BA1</f>
        <v>117-01</v>
      </c>
      <c r="B59" s="578" t="str">
        <f>FormAide!D59</f>
        <v>Primes accidents du travail ( 3 catégories possibles &lt;&gt;%)</v>
      </c>
      <c r="C59" s="618">
        <f>IF(Total!C56="",0,Total!C56)+IF('Total X-1'!C56="",0,'Total X-1'!C56)</f>
        <v>0</v>
      </c>
      <c r="D59" s="614" t="e">
        <f>IF(Total!D56="",0,Total!D56)+IF('Total X-1'!D56="",0,'Total X-1'!D56)</f>
        <v>#N/A</v>
      </c>
      <c r="E59" s="615" t="e">
        <f>IF(Total!E56="",0,Total!E56)+IF('Total X-1'!E56="",0,'Total X-1'!E56)</f>
        <v>#N/A</v>
      </c>
      <c r="F59" s="616" t="e">
        <f>IF(Total!F56="",0,Total!F56)+IF('Total X-1'!F56="",0,'Total X-1'!F56)</f>
        <v>#VALUE!</v>
      </c>
      <c r="G59" s="617" t="e">
        <f>SUM(C59:F59)</f>
        <v>#N/A</v>
      </c>
    </row>
    <row r="60" spans="1:9" ht="13.5" thickBot="1">
      <c r="A60" s="612" t="str">
        <f>Total_Code!BB1</f>
        <v>118-01</v>
      </c>
      <c r="B60" s="578" t="str">
        <f>FormAide!D63</f>
        <v>Total final individuel</v>
      </c>
      <c r="C60" s="1160" t="e">
        <f>IF(Total!C57="",0,Total!C57)+IF('Total X-1'!C57="",0,'Total X-1'!C57)</f>
        <v>#N/A</v>
      </c>
      <c r="D60" s="619" t="e">
        <f>IF(Total!D57="",0,Total!D57)+IF('Total X-1'!D57="",0,'Total X-1'!D57)</f>
        <v>#N/A</v>
      </c>
      <c r="E60" s="615" t="e">
        <f>IF(Total!E57="",0,Total!E57)+IF('Total X-1'!E57="",0,'Total X-1'!E57)</f>
        <v>#N/A</v>
      </c>
      <c r="F60" s="616" t="e">
        <f>IF(Total!F57="",0,Total!F57)+IF('Total X-1'!F57="",0,'Total X-1'!F57)</f>
        <v>#VALUE!</v>
      </c>
      <c r="G60" s="617" t="e">
        <f>SUM(C60:F60)</f>
        <v>#N/A</v>
      </c>
    </row>
    <row r="61" spans="1:9" ht="16.5" thickTop="1" thickBot="1">
      <c r="A61" s="1379"/>
      <c r="B61" s="1705" t="str">
        <f>"TOTAL de " &amp;ANNEE-1&amp;" et de "&amp; ANNEE&amp;" par catégorie"</f>
        <v>TOTAL de 2026 et de 2027 par catégorie</v>
      </c>
      <c r="C61" s="1706" t="e">
        <f>SUM(C5:C27,C29:C38,C40:C60)-C55</f>
        <v>#N/A</v>
      </c>
      <c r="D61" s="1707" t="e">
        <f>SUM(D28,D39,D40:D43,D54,D56:D60)</f>
        <v>#N/A</v>
      </c>
      <c r="E61" s="1708" t="e">
        <f>SUM(E28,E39,E40:E43,E54,E56:E60)</f>
        <v>#N/A</v>
      </c>
      <c r="F61" s="1709" t="e">
        <f>SUM(F28,F39,F40:F43,F54,F56:F60)</f>
        <v>#VALUE!</v>
      </c>
      <c r="G61" s="1709" t="e">
        <f>SUM(G28,G39,G40:G43,G54,G56:G60)</f>
        <v>#N/A</v>
      </c>
    </row>
    <row r="62" spans="1:9" ht="14.25" thickTop="1" thickBot="1">
      <c r="A62" s="1380"/>
      <c r="B62" s="1247" t="s">
        <v>3674</v>
      </c>
      <c r="C62" s="1250"/>
      <c r="D62" s="2963" t="e">
        <f>SUM(D61:E61)</f>
        <v>#N/A</v>
      </c>
      <c r="E62" s="2964"/>
      <c r="F62" s="1248"/>
      <c r="G62" s="1249"/>
    </row>
    <row r="63" spans="1:9" ht="14.25" thickTop="1" thickBot="1">
      <c r="A63" s="1381"/>
      <c r="B63" s="630"/>
      <c r="C63" s="631"/>
      <c r="D63" s="632"/>
      <c r="E63" s="632"/>
      <c r="F63" s="630" t="s">
        <v>2954</v>
      </c>
      <c r="G63" s="633">
        <f>ROUND(ParaN!C13/ParaN!D13*IndW,2)</f>
        <v>0</v>
      </c>
    </row>
    <row r="64" spans="1:9" ht="13.5" thickTop="1">
      <c r="A64" s="1381"/>
      <c r="B64" s="2535"/>
      <c r="C64" s="2536"/>
      <c r="D64" s="2537"/>
      <c r="E64" s="2537"/>
      <c r="F64" s="2538" t="s">
        <v>5281</v>
      </c>
      <c r="G64" s="2539">
        <f>Pl_pat/IndbasePPB_CGL*IndT</f>
        <v>0</v>
      </c>
    </row>
    <row r="65" spans="1:7" ht="13.5" thickBot="1">
      <c r="A65" s="1381"/>
      <c r="B65" s="2540"/>
      <c r="C65" s="2541"/>
      <c r="D65" s="2541"/>
      <c r="E65" s="2542" t="e">
        <f>IF(Total!E62="",0,Total!E62)+IF('Total X-1'!E61="",0,'Total X-1'!E61:E61)</f>
        <v>#N/A</v>
      </c>
      <c r="F65" s="2542" t="e">
        <f>IF(Total!F62="",0,Total!F62)+IF('Total X-1'!F61="",0,'Total X-1'!F61:F61)</f>
        <v>#N/A</v>
      </c>
      <c r="G65" s="2543" t="e">
        <f>Total!G62+'Total X-1'!G61</f>
        <v>#N/A</v>
      </c>
    </row>
    <row r="66" spans="1:7" ht="14.25" thickTop="1" thickBot="1">
      <c r="A66" s="1382"/>
      <c r="B66" s="644"/>
      <c r="C66" s="645"/>
      <c r="D66" s="646"/>
      <c r="E66" s="646"/>
      <c r="F66" s="644" t="str">
        <f>"TOTAL GENERAL de " &amp;ANNEE-1&amp;" et de "&amp; ANNEE</f>
        <v>TOTAL GENERAL de 2026 et de 2027</v>
      </c>
      <c r="G66" s="647" t="e">
        <f>G61-G65</f>
        <v>#N/A</v>
      </c>
    </row>
    <row r="67" spans="1:7" ht="14.25" thickTop="1" thickBot="1">
      <c r="A67" s="1381"/>
      <c r="B67" s="648"/>
      <c r="C67" s="649"/>
      <c r="D67" s="650"/>
      <c r="E67" s="650"/>
      <c r="F67" s="648" t="s">
        <v>3771</v>
      </c>
      <c r="G67" s="651" t="e">
        <f>G66/MPL</f>
        <v>#N/A</v>
      </c>
    </row>
    <row r="68" spans="1:7">
      <c r="C68" s="1329" t="e">
        <f>Total!C58+'Total X-1'!C58-TotalGeneral!C61</f>
        <v>#N/A</v>
      </c>
      <c r="D68" s="1329" t="e">
        <f>Total!D58+'Total X-1'!D58-TotalGeneral!D61</f>
        <v>#N/A</v>
      </c>
      <c r="E68" s="1329" t="e">
        <f>Total!E58+'Total X-1'!E58-TotalGeneral!E61</f>
        <v>#N/A</v>
      </c>
      <c r="F68" s="1329" t="e">
        <f>Total!F58+'Total X-1'!F58-TotalGeneral!F61</f>
        <v>#VALUE!</v>
      </c>
      <c r="G68" s="1329" t="e">
        <f>Total!G58+'Total X-1'!G58-TotalGeneral!G61</f>
        <v>#N/A</v>
      </c>
    </row>
    <row r="69" spans="1:7">
      <c r="C69" s="1330" t="e">
        <f xml:space="preserve"> IF(AND(C68&gt;-0.01,C68&lt;0.01),"Check OK","cs/scr: Not OK")</f>
        <v>#N/A</v>
      </c>
      <c r="D69" s="1330" t="e">
        <f xml:space="preserve"> IF(AND(D68&gt;-0.01,D68&lt;0.01),"Check OK","A.P.E.: Not OK")</f>
        <v>#N/A</v>
      </c>
      <c r="E69" s="1330" t="e">
        <f xml:space="preserve"> IF(AND(E68&gt;-0.01,E68&lt;0.01),"Check OK","Calog: Not OK")</f>
        <v>#N/A</v>
      </c>
      <c r="F69" s="1330" t="e">
        <f xml:space="preserve"> IF(AND(F68&gt;-0.01,F68&lt;0.01),"Check OK","OPS: Not OK  - Mise à jour Tutelle?")</f>
        <v>#VALUE!</v>
      </c>
      <c r="G69" s="1330" t="e">
        <f xml:space="preserve"> IF(AND(G68&gt;-0.01,G68&lt;0.01),"Check OK","TotGen: Not OK")</f>
        <v>#N/A</v>
      </c>
    </row>
    <row r="70" spans="1:7" ht="13.5" thickBot="1">
      <c r="A70"/>
      <c r="B70"/>
      <c r="C70"/>
      <c r="D70"/>
      <c r="E70"/>
      <c r="F70"/>
      <c r="G70" s="1330" t="e">
        <f xml:space="preserve"> IF(G71=0,"Check OK","F61:Not OK")</f>
        <v>#N/A</v>
      </c>
    </row>
    <row r="71" spans="1:7" ht="15.75" thickBot="1">
      <c r="C71" s="2965" t="str">
        <f>IF(ANNEE =2019,"      
 "&amp; ParaN!Z25,"")</f>
        <v/>
      </c>
      <c r="D71" s="2967"/>
      <c r="E71" s="2967"/>
      <c r="F71" s="2967"/>
      <c r="G71" s="1329" t="e">
        <f>'Total X-1'!G62+Total!G63-G66</f>
        <v>#N/A</v>
      </c>
    </row>
    <row r="72" spans="1:7"/>
    <row r="74" spans="1:7" hidden="1">
      <c r="D74"/>
      <c r="E74"/>
      <c r="F74"/>
      <c r="G74"/>
    </row>
    <row r="75" spans="1:7" hidden="1">
      <c r="D75"/>
      <c r="E75"/>
      <c r="F75"/>
      <c r="G75"/>
    </row>
    <row r="76" spans="1:7" hidden="1">
      <c r="D76"/>
      <c r="E76"/>
      <c r="F76"/>
      <c r="G76"/>
    </row>
    <row r="100" spans="5:5" hidden="1">
      <c r="E100" s="505"/>
    </row>
  </sheetData>
  <mergeCells count="3">
    <mergeCell ref="D62:E62"/>
    <mergeCell ref="A1:B1"/>
    <mergeCell ref="C71:F71"/>
  </mergeCells>
  <phoneticPr fontId="38" type="noConversion"/>
  <conditionalFormatting sqref="C45:C51 C57:C59 D47:E49 C5 F24:F25 F9 E15:E19 F14 D28:G28 F38 D45:E45 C39:G39 D15:D16 D9:E10 D18:D19 D21:E21 D34:E36 C40 C54:G54 C8 C10:C25 C42:C43 C53 C27:C38">
    <cfRule type="cellIs" dxfId="41" priority="68" stopIfTrue="1" operator="equal">
      <formula>0</formula>
    </cfRule>
  </conditionalFormatting>
  <conditionalFormatting sqref="C6:E7">
    <cfRule type="cellIs" dxfId="40" priority="36" stopIfTrue="1" operator="equal">
      <formula>0</formula>
    </cfRule>
  </conditionalFormatting>
  <conditionalFormatting sqref="C41:E41">
    <cfRule type="cellIs" dxfId="39" priority="35" stopIfTrue="1" operator="equal">
      <formula>0</formula>
    </cfRule>
  </conditionalFormatting>
  <conditionalFormatting sqref="A50:B50 D50:G50">
    <cfRule type="expression" dxfId="38" priority="31" stopIfTrue="1">
      <formula>ANNEE&gt;=2022</formula>
    </cfRule>
  </conditionalFormatting>
  <conditionalFormatting sqref="C52">
    <cfRule type="cellIs" dxfId="37" priority="30" stopIfTrue="1" operator="equal">
      <formula>0</formula>
    </cfRule>
  </conditionalFormatting>
  <conditionalFormatting sqref="A52:B52 D52:G52">
    <cfRule type="expression" dxfId="36" priority="29" stopIfTrue="1">
      <formula>ANNEE&gt;=2023</formula>
    </cfRule>
  </conditionalFormatting>
  <conditionalFormatting sqref="C26">
    <cfRule type="cellIs" dxfId="35" priority="19" stopIfTrue="1" operator="equal">
      <formula>0</formula>
    </cfRule>
  </conditionalFormatting>
  <conditionalFormatting sqref="D26">
    <cfRule type="cellIs" dxfId="34" priority="18" stopIfTrue="1" operator="equal">
      <formula>0</formula>
    </cfRule>
  </conditionalFormatting>
  <printOptions horizontalCentered="1"/>
  <pageMargins left="0.6692913385826772" right="0.15748031496062992" top="0.31496062992125984" bottom="0.31496062992125984" header="0.15748031496062992" footer="0.15748031496062992"/>
  <pageSetup scale="60" pageOrder="overThenDown" orientation="landscape" r:id="rId1"/>
  <headerFooter alignWithMargins="0">
    <oddHeader>&amp;C&amp;Z&amp;F
&amp;A</oddHeader>
    <oddFooter>&amp;C&amp;P/&amp;N</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lgTot">
    <pageSetUpPr fitToPage="1"/>
  </sheetPr>
  <dimension ref="A1:X125"/>
  <sheetViews>
    <sheetView topLeftCell="A7" zoomScale="85" zoomScaleNormal="85" workbookViewId="0"/>
  </sheetViews>
  <sheetFormatPr defaultColWidth="0" defaultRowHeight="12.75" zeroHeight="1"/>
  <cols>
    <col min="1" max="1" width="11.5703125" style="800" bestFit="1" customWidth="1"/>
    <col min="2" max="2" width="65.85546875" style="4" bestFit="1" customWidth="1"/>
    <col min="3" max="3" width="14" style="4" bestFit="1" customWidth="1"/>
    <col min="4" max="4" width="14.5703125" style="4" customWidth="1"/>
    <col min="5" max="5" width="15.5703125" style="4" bestFit="1" customWidth="1"/>
    <col min="6" max="6" width="18" style="4" customWidth="1"/>
    <col min="7" max="7" width="20.28515625" style="505" customWidth="1"/>
    <col min="8" max="9" width="19.85546875" style="4" customWidth="1"/>
    <col min="10" max="11" width="4.5703125" style="4" hidden="1" customWidth="1"/>
    <col min="12" max="12" width="4.28515625" style="4" hidden="1" customWidth="1"/>
    <col min="13" max="13" width="7.85546875" style="4" bestFit="1" customWidth="1"/>
    <col min="14" max="14" width="1.28515625" style="4" customWidth="1"/>
    <col min="15" max="15" width="6.140625" style="4" customWidth="1"/>
    <col min="16" max="16" width="4.140625" style="4" customWidth="1"/>
    <col min="17" max="17" width="1.28515625" style="4" customWidth="1"/>
    <col min="18" max="18" width="7.85546875" style="4" customWidth="1"/>
    <col min="19" max="19" width="1" style="4" customWidth="1"/>
    <col min="20" max="20" width="5.7109375" style="4" bestFit="1" customWidth="1"/>
    <col min="21" max="22" width="0" style="4" hidden="1" customWidth="1"/>
    <col min="23" max="24" width="10.140625" style="4" hidden="1" customWidth="1"/>
    <col min="25" max="16384" width="0" style="4" hidden="1"/>
  </cols>
  <sheetData>
    <row r="1" spans="1:23" ht="75.75" customHeight="1" thickBot="1">
      <c r="A1" s="780"/>
      <c r="B1" s="2121" t="e">
        <f>CONCATENATE(VLOOKUP(B2,TblZone,4,0),"
 BUDGET EXERCICE : ",ANNEE)</f>
        <v>#N/A</v>
      </c>
      <c r="C1" s="1375"/>
      <c r="D1" s="1375"/>
      <c r="E1" s="1375"/>
      <c r="F1" s="1375"/>
      <c r="G1" s="550"/>
      <c r="H1" s="108"/>
      <c r="I1" s="108"/>
      <c r="J1" s="2968" t="s">
        <v>3732</v>
      </c>
      <c r="K1" s="2968" t="s">
        <v>1421</v>
      </c>
      <c r="L1" s="2968" t="s">
        <v>1422</v>
      </c>
      <c r="M1" s="2976" t="s">
        <v>2627</v>
      </c>
      <c r="N1" s="781"/>
      <c r="O1" s="2979" t="s">
        <v>2629</v>
      </c>
      <c r="P1" s="2980"/>
      <c r="Q1" s="782"/>
      <c r="R1" s="2978" t="s">
        <v>2628</v>
      </c>
      <c r="S1" s="782"/>
      <c r="T1" s="2978" t="s">
        <v>41</v>
      </c>
      <c r="U1" s="2974" t="s">
        <v>330</v>
      </c>
      <c r="V1" s="2974" t="s">
        <v>331</v>
      </c>
    </row>
    <row r="2" spans="1:23" ht="26.25" thickBot="1">
      <c r="A2" s="780"/>
      <c r="B2" s="552">
        <f>'Page d''accueil'!C7</f>
        <v>0</v>
      </c>
      <c r="C2" s="553" t="s">
        <v>42</v>
      </c>
      <c r="D2" s="554" t="s">
        <v>40</v>
      </c>
      <c r="E2" s="555" t="s">
        <v>4355</v>
      </c>
      <c r="F2" s="556" t="s">
        <v>43</v>
      </c>
      <c r="G2" s="557" t="s">
        <v>39</v>
      </c>
      <c r="H2" s="2972" t="s">
        <v>44</v>
      </c>
      <c r="I2" s="2973"/>
      <c r="J2" s="2968"/>
      <c r="K2" s="2968"/>
      <c r="L2" s="2968"/>
      <c r="M2" s="2977"/>
      <c r="N2" s="781"/>
      <c r="O2" s="2981"/>
      <c r="P2" s="2982"/>
      <c r="Q2" s="781"/>
      <c r="R2" s="2977"/>
      <c r="S2" s="781"/>
      <c r="T2" s="2977"/>
      <c r="U2" s="2975"/>
      <c r="V2" s="2975"/>
    </row>
    <row r="3" spans="1:23" ht="14.25" thickTop="1" thickBot="1">
      <c r="A3" s="780"/>
      <c r="B3" s="558" t="s">
        <v>3318</v>
      </c>
      <c r="C3" s="559"/>
      <c r="D3" s="560">
        <f>Total_Code!A25</f>
        <v>0</v>
      </c>
      <c r="E3" s="561">
        <f>Calog!D1-D3</f>
        <v>1</v>
      </c>
      <c r="F3" s="562">
        <f>Ops!D1</f>
        <v>1</v>
      </c>
      <c r="G3" s="563">
        <f>SUM(C3:F3)</f>
        <v>2</v>
      </c>
      <c r="H3" s="109"/>
      <c r="I3" s="110"/>
      <c r="J3" s="2968"/>
      <c r="K3" s="2968"/>
      <c r="L3" s="2968"/>
      <c r="M3" s="2977"/>
      <c r="N3" s="781"/>
      <c r="O3" s="2981"/>
      <c r="P3" s="2982"/>
      <c r="Q3" s="781"/>
      <c r="R3" s="2977"/>
      <c r="S3" s="781"/>
      <c r="T3" s="2977"/>
      <c r="U3" s="2975"/>
      <c r="V3" s="2975"/>
    </row>
    <row r="4" spans="1:23" ht="17.25" customHeight="1" thickTop="1" thickBot="1">
      <c r="A4" s="783"/>
      <c r="B4" s="564"/>
      <c r="C4" s="565" t="s">
        <v>539</v>
      </c>
      <c r="D4" s="566" t="s">
        <v>539</v>
      </c>
      <c r="E4" s="567" t="s">
        <v>539</v>
      </c>
      <c r="F4" s="568" t="s">
        <v>539</v>
      </c>
      <c r="G4" s="569" t="s">
        <v>539</v>
      </c>
      <c r="H4" s="111"/>
      <c r="I4" s="112"/>
      <c r="J4" s="2968"/>
      <c r="K4" s="2968"/>
      <c r="L4" s="2968"/>
      <c r="M4" s="2977"/>
      <c r="N4" s="781"/>
      <c r="O4" s="2981"/>
      <c r="P4" s="2982"/>
      <c r="Q4" s="781"/>
      <c r="R4" s="2977"/>
      <c r="S4" s="781"/>
      <c r="T4" s="2977"/>
      <c r="U4" s="2975"/>
      <c r="V4" s="2975"/>
    </row>
    <row r="5" spans="1:23" ht="13.5" thickTop="1">
      <c r="A5" s="570" t="str">
        <f>Total_Code!F1</f>
        <v>111-01/00</v>
      </c>
      <c r="B5" s="571" t="s">
        <v>551</v>
      </c>
      <c r="C5" s="572"/>
      <c r="D5" s="573" t="e">
        <f>Total_Code!F25</f>
        <v>#N/A</v>
      </c>
      <c r="E5" s="574" t="e">
        <f>Calog!AX1-D5</f>
        <v>#N/A</v>
      </c>
      <c r="F5" s="575" t="e">
        <f>Ops!AX1-F6</f>
        <v>#VALUE!</v>
      </c>
      <c r="G5" s="576" t="e">
        <f t="shared" ref="G5:G57" si="0">SUM(C5:F5)</f>
        <v>#N/A</v>
      </c>
      <c r="H5" s="413" t="e">
        <f>IF(E5+D5=Total_Code!F28,1,"Err_Code Calog-A.P.E.")</f>
        <v>#N/A</v>
      </c>
      <c r="I5" s="414" t="e">
        <f>IF(F5=Total_Code!F27-F6,1,"Err_T_Code Ops")</f>
        <v>#VALUE!</v>
      </c>
      <c r="J5" s="4" t="s">
        <v>3301</v>
      </c>
      <c r="K5" s="4" t="s">
        <v>243</v>
      </c>
      <c r="L5" s="4" t="s">
        <v>243</v>
      </c>
      <c r="M5" s="784" t="s">
        <v>906</v>
      </c>
      <c r="N5" s="521"/>
      <c r="O5" s="785" t="s">
        <v>906</v>
      </c>
      <c r="P5" s="786"/>
      <c r="Q5" s="521"/>
      <c r="R5" s="787"/>
      <c r="S5" s="521"/>
      <c r="T5" s="787"/>
      <c r="U5" s="521"/>
      <c r="V5" s="521"/>
      <c r="W5" s="505" t="e">
        <f>D5+E5</f>
        <v>#N/A</v>
      </c>
    </row>
    <row r="6" spans="1:23" s="2559" customFormat="1" ht="12.75" customHeight="1">
      <c r="A6" s="2555" t="s">
        <v>5132</v>
      </c>
      <c r="B6" s="2556" t="s">
        <v>5138</v>
      </c>
      <c r="C6" s="583"/>
      <c r="D6" s="579"/>
      <c r="E6" s="580"/>
      <c r="F6" s="2557">
        <f>Tutelle1!F22</f>
        <v>0</v>
      </c>
      <c r="G6" s="2552">
        <f t="shared" si="0"/>
        <v>0</v>
      </c>
      <c r="H6" s="2969">
        <f>IF(AND(F6=0,Ops!B3&lt;&gt;0),"Montants de Tutelle1",1)</f>
        <v>1</v>
      </c>
      <c r="I6" s="2970"/>
      <c r="J6" s="2558"/>
    </row>
    <row r="7" spans="1:23" s="2559" customFormat="1" ht="12.75" customHeight="1" thickBot="1">
      <c r="A7" s="2555" t="s">
        <v>2675</v>
      </c>
      <c r="B7" s="2556" t="s">
        <v>5139</v>
      </c>
      <c r="C7" s="583"/>
      <c r="D7" s="579"/>
      <c r="E7" s="580"/>
      <c r="F7" s="2557">
        <f>Tutelle1!F23</f>
        <v>0</v>
      </c>
      <c r="G7" s="2552">
        <f t="shared" si="0"/>
        <v>0</v>
      </c>
      <c r="H7" s="2971">
        <f>IF(AND(F6=0,Ops!B3&lt;&gt;0),"Après Mise à Jour  onglets 'Tutelle'",1)</f>
        <v>1</v>
      </c>
      <c r="I7" s="2970"/>
      <c r="J7" s="2558"/>
    </row>
    <row r="8" spans="1:23">
      <c r="A8" s="570" t="str">
        <f>+A5</f>
        <v>111-01/00</v>
      </c>
      <c r="B8" s="571" t="s">
        <v>61</v>
      </c>
      <c r="C8" s="572"/>
      <c r="D8" s="573" t="e">
        <f>Total_Code!G25</f>
        <v>#N/A</v>
      </c>
      <c r="E8" s="574" t="e">
        <f>Total_Code!G18-D8</f>
        <v>#N/A</v>
      </c>
      <c r="F8" s="575" t="e">
        <f>Total_Code!G12</f>
        <v>#N/A</v>
      </c>
      <c r="G8" s="582" t="e">
        <f t="shared" si="0"/>
        <v>#N/A</v>
      </c>
      <c r="H8" s="413">
        <v>1</v>
      </c>
      <c r="I8" s="414">
        <v>1</v>
      </c>
      <c r="M8" s="1690" t="s">
        <v>2066</v>
      </c>
      <c r="N8" s="521"/>
      <c r="O8" s="785" t="s">
        <v>906</v>
      </c>
      <c r="P8" s="786"/>
      <c r="Q8" s="521"/>
      <c r="R8" s="787"/>
      <c r="S8" s="521"/>
      <c r="T8" s="790" t="s">
        <v>906</v>
      </c>
      <c r="U8" s="521"/>
      <c r="V8" s="521"/>
      <c r="W8" s="505"/>
    </row>
    <row r="9" spans="1:23" s="788" customFormat="1">
      <c r="A9" s="577" t="str">
        <f>Total_Code!F1</f>
        <v>111-01/00</v>
      </c>
      <c r="B9" s="578" t="s">
        <v>3052</v>
      </c>
      <c r="C9" s="1160" t="e">
        <f>Ops!BO9</f>
        <v>#N/A</v>
      </c>
      <c r="D9" s="579"/>
      <c r="E9" s="580"/>
      <c r="F9" s="581"/>
      <c r="G9" s="582" t="e">
        <f t="shared" si="0"/>
        <v>#N/A</v>
      </c>
      <c r="H9" s="459">
        <f>IF(D9+E9=0,1,"no rights")</f>
        <v>1</v>
      </c>
      <c r="I9" s="460" t="e">
        <f>IF(C9=Total_Code!BF5,1,"verg Secr/BPR")</f>
        <v>#N/A</v>
      </c>
      <c r="J9" s="788" t="s">
        <v>3761</v>
      </c>
      <c r="K9" s="789" t="s">
        <v>538</v>
      </c>
      <c r="L9" s="788" t="s">
        <v>2723</v>
      </c>
      <c r="M9" s="790"/>
      <c r="N9" s="502"/>
      <c r="O9" s="791" t="s">
        <v>906</v>
      </c>
      <c r="P9" s="792"/>
      <c r="Q9" s="502"/>
      <c r="R9" s="790"/>
      <c r="S9" s="502"/>
      <c r="T9" s="790" t="s">
        <v>906</v>
      </c>
      <c r="U9" s="502"/>
      <c r="V9" s="502"/>
    </row>
    <row r="10" spans="1:23" s="788" customFormat="1">
      <c r="A10" s="577" t="str">
        <f>Total_Code!H1</f>
        <v>111-01/01</v>
      </c>
      <c r="B10" s="578" t="s">
        <v>553</v>
      </c>
      <c r="C10" s="583"/>
      <c r="D10" s="579"/>
      <c r="E10" s="580"/>
      <c r="F10" s="584">
        <f>Ops!BO1</f>
        <v>0</v>
      </c>
      <c r="G10" s="582">
        <f>SUM(C10:F10)</f>
        <v>0</v>
      </c>
      <c r="H10" s="459">
        <f>IF(D10+E10=0,1,"no rights")</f>
        <v>1</v>
      </c>
      <c r="I10" s="460">
        <f>IF(F10=Total_Code!H27,1,"Err_T_Code Ops")</f>
        <v>1</v>
      </c>
      <c r="J10" s="788" t="s">
        <v>3761</v>
      </c>
      <c r="K10" s="789" t="s">
        <v>538</v>
      </c>
      <c r="L10" s="788" t="s">
        <v>2723</v>
      </c>
      <c r="M10" s="790" t="s">
        <v>906</v>
      </c>
      <c r="N10" s="502"/>
      <c r="O10" s="791" t="s">
        <v>906</v>
      </c>
      <c r="P10" s="792"/>
      <c r="Q10" s="502"/>
      <c r="R10" s="790"/>
      <c r="S10" s="502"/>
      <c r="T10" s="790" t="s">
        <v>906</v>
      </c>
      <c r="U10" s="502"/>
      <c r="V10" s="502"/>
    </row>
    <row r="11" spans="1:23" s="788" customFormat="1">
      <c r="A11" s="577" t="str">
        <f>Total_Code!I1</f>
        <v>111-01/02</v>
      </c>
      <c r="B11" s="578" t="s">
        <v>554</v>
      </c>
      <c r="C11" s="583"/>
      <c r="D11" s="585" t="e">
        <f>Total_Code!I25</f>
        <v>#N/A</v>
      </c>
      <c r="E11" s="586" t="e">
        <f>Calog!BC1-D11</f>
        <v>#N/A</v>
      </c>
      <c r="F11" s="584" t="e">
        <f>Ops!BC1</f>
        <v>#VALUE!</v>
      </c>
      <c r="G11" s="582" t="e">
        <f t="shared" si="0"/>
        <v>#N/A</v>
      </c>
      <c r="H11" s="459" t="e">
        <f>IF(D11+E11=Total_Code!I28,1,"Err_Code Calog-A.P.E.")</f>
        <v>#N/A</v>
      </c>
      <c r="I11" s="460" t="e">
        <f>IF(F11=Total_Code!I27,1,"Err_T_Code Ops")</f>
        <v>#VALUE!</v>
      </c>
      <c r="J11" s="788" t="s">
        <v>4237</v>
      </c>
      <c r="K11" s="788" t="s">
        <v>2722</v>
      </c>
      <c r="L11" s="788" t="s">
        <v>2722</v>
      </c>
      <c r="M11" s="790" t="s">
        <v>1940</v>
      </c>
      <c r="N11" s="502"/>
      <c r="O11" s="791" t="s">
        <v>1940</v>
      </c>
      <c r="P11" s="792"/>
      <c r="Q11" s="502"/>
      <c r="R11" s="790"/>
      <c r="S11" s="502"/>
      <c r="T11" s="790"/>
      <c r="U11" s="502"/>
      <c r="V11" s="502"/>
    </row>
    <row r="12" spans="1:23" s="788" customFormat="1">
      <c r="A12" s="577" t="str">
        <f>Total_Code!J1</f>
        <v>111-01/04</v>
      </c>
      <c r="B12" s="578" t="str">
        <f>FormAide!D10</f>
        <v>Supplément semaine volontaire de 4 jours</v>
      </c>
      <c r="C12" s="583"/>
      <c r="D12" s="585" t="e">
        <f>Total_Code!J25</f>
        <v>#N/A</v>
      </c>
      <c r="E12" s="586" t="e">
        <f>Calog!BG1-D12</f>
        <v>#N/A</v>
      </c>
      <c r="F12" s="584" t="e">
        <f>Ops!BG1</f>
        <v>#N/A</v>
      </c>
      <c r="G12" s="582" t="e">
        <f>SUM(C12:F12)</f>
        <v>#N/A</v>
      </c>
      <c r="H12" s="459" t="e">
        <f>IF(E12+D12=Total_Code!J28,1,"Err_Code Calog-A.P.E.")</f>
        <v>#N/A</v>
      </c>
      <c r="I12" s="460" t="e">
        <f>IF(F12=Total_Code!J27,1,"Err_T_Code Ops")</f>
        <v>#N/A</v>
      </c>
      <c r="J12" s="788" t="s">
        <v>1425</v>
      </c>
      <c r="K12" s="788" t="s">
        <v>1078</v>
      </c>
      <c r="L12" s="788" t="s">
        <v>1078</v>
      </c>
      <c r="M12" s="790" t="s">
        <v>906</v>
      </c>
      <c r="N12" s="502"/>
      <c r="O12" s="791" t="s">
        <v>906</v>
      </c>
      <c r="P12" s="792"/>
      <c r="Q12" s="502"/>
      <c r="R12" s="790"/>
      <c r="S12" s="502"/>
      <c r="T12" s="790" t="s">
        <v>906</v>
      </c>
      <c r="U12" s="502"/>
      <c r="V12" s="502"/>
    </row>
    <row r="13" spans="1:23" s="788" customFormat="1">
      <c r="A13" s="577" t="s">
        <v>1998</v>
      </c>
      <c r="B13" s="587" t="s">
        <v>5140</v>
      </c>
      <c r="C13" s="583"/>
      <c r="D13" s="585" t="e">
        <f>(Total_Code!K25+Total_Code!L25)</f>
        <v>#N/A</v>
      </c>
      <c r="E13" s="586" t="e">
        <f>(Calog!BK1+Calog!BL1)-D13</f>
        <v>#VALUE!</v>
      </c>
      <c r="F13" s="2106" t="e">
        <f>(Ops!BK1+Ops!BL1)-F7</f>
        <v>#N/A</v>
      </c>
      <c r="G13" s="582" t="e">
        <f t="shared" si="0"/>
        <v>#N/A</v>
      </c>
      <c r="H13" s="459" t="e">
        <f>IF(ROUND(E13+D13,2)=ROUND(Total_Code!K28+Total_Code!L28,2),1,"Err_Code Calog-A.P.E.")</f>
        <v>#VALUE!</v>
      </c>
      <c r="I13" s="460" t="e">
        <f>IF(F13=(Total_Code!K27+Total_Code!L27)-F7,1,"Err_T_Code Ops")</f>
        <v>#N/A</v>
      </c>
      <c r="J13" s="788" t="s">
        <v>1658</v>
      </c>
      <c r="K13" s="788" t="s">
        <v>1967</v>
      </c>
      <c r="L13" s="788" t="s">
        <v>1967</v>
      </c>
      <c r="M13" s="790"/>
      <c r="N13" s="502"/>
      <c r="O13" s="791"/>
      <c r="P13" s="792"/>
      <c r="Q13" s="502"/>
      <c r="R13" s="790"/>
      <c r="S13" s="502"/>
      <c r="T13" s="790"/>
      <c r="U13" s="502"/>
      <c r="V13" s="502"/>
    </row>
    <row r="14" spans="1:23">
      <c r="A14" s="570" t="str">
        <f>Total_Code!M1</f>
        <v>111-01/14</v>
      </c>
      <c r="B14" s="587" t="str">
        <f>FormAide!D39</f>
        <v>Prime d'intégration     Niveau D</v>
      </c>
      <c r="C14" s="572"/>
      <c r="D14" s="588" t="e">
        <f>Total_Code!M25</f>
        <v>#N/A</v>
      </c>
      <c r="E14" s="589" t="e">
        <f>Calog!DG1-D14</f>
        <v>#N/A</v>
      </c>
      <c r="F14" s="590"/>
      <c r="G14" s="576" t="e">
        <f>SUM(C14:F14)</f>
        <v>#N/A</v>
      </c>
      <c r="H14" s="413" t="e">
        <f>IF(D14+E14=Total_Code!M28,1,"Err_Code Calog-A.P.E.")</f>
        <v>#N/A</v>
      </c>
      <c r="I14" s="414">
        <f>IF(F14="",1,"no rights")</f>
        <v>1</v>
      </c>
      <c r="J14" s="4" t="s">
        <v>3302</v>
      </c>
      <c r="K14" s="4" t="s">
        <v>1288</v>
      </c>
      <c r="L14" s="4" t="s">
        <v>538</v>
      </c>
      <c r="M14" s="787"/>
      <c r="N14" s="521"/>
      <c r="O14" s="793"/>
      <c r="P14" s="786" t="s">
        <v>906</v>
      </c>
      <c r="Q14" s="521"/>
      <c r="R14" s="787"/>
      <c r="S14" s="521"/>
      <c r="T14" s="787" t="s">
        <v>906</v>
      </c>
      <c r="U14" s="521"/>
      <c r="V14" s="521"/>
    </row>
    <row r="15" spans="1:23">
      <c r="A15" s="570" t="str">
        <f>Total_Code!N1</f>
        <v>111-01/05</v>
      </c>
      <c r="B15" s="587" t="str">
        <f>FormAide!D26</f>
        <v>Allocation de proximité</v>
      </c>
      <c r="C15" s="572"/>
      <c r="D15" s="591"/>
      <c r="E15" s="592"/>
      <c r="F15" s="593" t="e">
        <f>Ops!CU1</f>
        <v>#N/A</v>
      </c>
      <c r="G15" s="576" t="e">
        <f t="shared" si="0"/>
        <v>#N/A</v>
      </c>
      <c r="H15" s="413">
        <f>IF(D15+E15=0,1,"no rights")</f>
        <v>1</v>
      </c>
      <c r="I15" s="414" t="e">
        <f>IF(F15=Total_Code!N27,1,"Err_T_Code Ops")</f>
        <v>#N/A</v>
      </c>
      <c r="J15" s="4" t="s">
        <v>2052</v>
      </c>
      <c r="K15" s="4" t="s">
        <v>538</v>
      </c>
      <c r="L15" s="4" t="s">
        <v>1080</v>
      </c>
      <c r="M15" s="787"/>
      <c r="N15" s="521"/>
      <c r="O15" s="793"/>
      <c r="P15" s="786" t="s">
        <v>906</v>
      </c>
      <c r="Q15" s="521"/>
      <c r="R15" s="787"/>
      <c r="S15" s="521"/>
      <c r="T15" s="787" t="s">
        <v>906</v>
      </c>
      <c r="U15" s="521"/>
      <c r="V15" s="521"/>
    </row>
    <row r="16" spans="1:23">
      <c r="A16" s="570" t="str">
        <f>Total_Code!O1</f>
        <v>111-01/06</v>
      </c>
      <c r="B16" s="587" t="str">
        <f>FormAide!D27</f>
        <v>Allocation de motard</v>
      </c>
      <c r="C16" s="572"/>
      <c r="D16" s="591"/>
      <c r="E16" s="592"/>
      <c r="F16" s="593" t="e">
        <f>Ops!CX1</f>
        <v>#N/A</v>
      </c>
      <c r="G16" s="576" t="e">
        <f>SUM(C16:F16)</f>
        <v>#N/A</v>
      </c>
      <c r="H16" s="413">
        <f>IF(D16+E16=0,1,"no rights")</f>
        <v>1</v>
      </c>
      <c r="I16" s="414" t="e">
        <f>IF(F16=Total_Code!O27,1,"Err_T_Code Ops")</f>
        <v>#N/A</v>
      </c>
      <c r="J16" s="4" t="s">
        <v>2985</v>
      </c>
      <c r="K16" s="4" t="s">
        <v>538</v>
      </c>
      <c r="L16" s="4" t="s">
        <v>1285</v>
      </c>
      <c r="M16" s="787"/>
      <c r="N16" s="521"/>
      <c r="O16" s="793"/>
      <c r="P16" s="786" t="s">
        <v>906</v>
      </c>
      <c r="Q16" s="521"/>
      <c r="R16" s="787"/>
      <c r="S16" s="521"/>
      <c r="T16" s="787" t="s">
        <v>906</v>
      </c>
      <c r="U16" s="521"/>
      <c r="V16" s="521"/>
    </row>
    <row r="17" spans="1:22">
      <c r="A17" s="570" t="str">
        <f>Total_Code!P1</f>
        <v>111-01/07</v>
      </c>
      <c r="B17" s="587" t="str">
        <f>FormAide!D28</f>
        <v>Allocation analyste criminel/stratégique</v>
      </c>
      <c r="C17" s="572"/>
      <c r="D17" s="588" t="e">
        <f>Total_Code!P25</f>
        <v>#N/A</v>
      </c>
      <c r="E17" s="589" t="e">
        <f>Calog!CL1-D17</f>
        <v>#N/A</v>
      </c>
      <c r="F17" s="593">
        <f>Ops!DA1</f>
        <v>0</v>
      </c>
      <c r="G17" s="576" t="e">
        <f>SUM(C17:F17)</f>
        <v>#N/A</v>
      </c>
      <c r="H17" s="413" t="e">
        <f>IF(E17+D17=Total_Code!P28,1,"Err_Code Calog-A.P.E.")</f>
        <v>#N/A</v>
      </c>
      <c r="I17" s="414">
        <f>IF(F17=Total_Code!P27,1,"Err_T_Code Ops")</f>
        <v>1</v>
      </c>
      <c r="J17" s="4" t="s">
        <v>2490</v>
      </c>
      <c r="K17" s="4" t="s">
        <v>2822</v>
      </c>
      <c r="L17" s="4" t="s">
        <v>1287</v>
      </c>
      <c r="M17" s="787"/>
      <c r="N17" s="521"/>
      <c r="O17" s="793"/>
      <c r="P17" s="786" t="s">
        <v>906</v>
      </c>
      <c r="Q17" s="521"/>
      <c r="R17" s="787"/>
      <c r="S17" s="521"/>
      <c r="T17" s="787" t="s">
        <v>906</v>
      </c>
      <c r="U17" s="521"/>
      <c r="V17" s="521"/>
    </row>
    <row r="18" spans="1:22">
      <c r="A18" s="570" t="str">
        <f>Total_Code!Q1</f>
        <v>111-01/08</v>
      </c>
      <c r="B18" s="587" t="str">
        <f>FormAide!D29</f>
        <v>Instructeur</v>
      </c>
      <c r="C18" s="572"/>
      <c r="D18" s="591"/>
      <c r="E18" s="592"/>
      <c r="F18" s="593" t="e">
        <f>Ops!DD1</f>
        <v>#N/A</v>
      </c>
      <c r="G18" s="576" t="e">
        <f>SUM(C18:F18)</f>
        <v>#N/A</v>
      </c>
      <c r="H18" s="413">
        <f>IF(D18+E18=0,1,"no rights")</f>
        <v>1</v>
      </c>
      <c r="I18" s="414" t="e">
        <f>IF(F18=Total_Code!Q27,1,"Err_T_Code Ops")</f>
        <v>#N/A</v>
      </c>
      <c r="J18" s="4" t="s">
        <v>3740</v>
      </c>
      <c r="K18" s="4" t="s">
        <v>538</v>
      </c>
      <c r="L18" s="4" t="s">
        <v>2823</v>
      </c>
      <c r="M18" s="787"/>
      <c r="N18" s="521"/>
      <c r="O18" s="793"/>
      <c r="P18" s="786" t="s">
        <v>906</v>
      </c>
      <c r="Q18" s="521"/>
      <c r="R18" s="787"/>
      <c r="S18" s="521"/>
      <c r="T18" s="787" t="s">
        <v>906</v>
      </c>
      <c r="U18" s="521"/>
      <c r="V18" s="521"/>
    </row>
    <row r="19" spans="1:22">
      <c r="A19" s="570" t="str">
        <f>Total_Code!R1</f>
        <v>111-01/09</v>
      </c>
      <c r="B19" s="587" t="str">
        <f>FormAide!D30</f>
        <v>Allocation Complémentaire et/ou Compensatoire</v>
      </c>
      <c r="C19" s="572"/>
      <c r="D19" s="591"/>
      <c r="E19" s="592"/>
      <c r="F19" s="593" t="e">
        <f>Ops!DG1</f>
        <v>#N/A</v>
      </c>
      <c r="G19" s="576" t="e">
        <f>SUM(C19:F19)</f>
        <v>#N/A</v>
      </c>
      <c r="H19" s="413">
        <f>IF(D19+E19=0,1,"no rights")</f>
        <v>1</v>
      </c>
      <c r="I19" s="414" t="e">
        <f>IF(F19=Total_Code!R27,1,"Err_T_Code Ops")</f>
        <v>#N/A</v>
      </c>
      <c r="J19" s="4" t="s">
        <v>3741</v>
      </c>
      <c r="K19" s="4" t="s">
        <v>538</v>
      </c>
      <c r="L19" s="4" t="s">
        <v>453</v>
      </c>
      <c r="M19" s="787"/>
      <c r="N19" s="521"/>
      <c r="O19" s="793"/>
      <c r="P19" s="786" t="s">
        <v>906</v>
      </c>
      <c r="Q19" s="521"/>
      <c r="R19" s="787"/>
      <c r="S19" s="521"/>
      <c r="T19" s="787" t="s">
        <v>906</v>
      </c>
      <c r="U19" s="521"/>
      <c r="V19" s="521"/>
    </row>
    <row r="20" spans="1:22">
      <c r="A20" s="570" t="str">
        <f>Total_Code!S1</f>
        <v>111-01/40</v>
      </c>
      <c r="B20" s="587" t="str">
        <f>FormAide!D31</f>
        <v>Allocation Bruxelles</v>
      </c>
      <c r="C20" s="572"/>
      <c r="D20" s="588" t="e">
        <f>Total_Code!S25</f>
        <v>#N/A</v>
      </c>
      <c r="E20" s="589" t="e">
        <f>Calog!CO1-D20</f>
        <v>#N/A</v>
      </c>
      <c r="F20" s="593" t="e">
        <f>Ops!DJ1</f>
        <v>#N/A</v>
      </c>
      <c r="G20" s="576" t="e">
        <f t="shared" si="0"/>
        <v>#N/A</v>
      </c>
      <c r="H20" s="413" t="e">
        <f>IF(D20+E20=Total_Code!S28,1,"Err_Code Calog-A.P.E.")</f>
        <v>#N/A</v>
      </c>
      <c r="I20" s="414" t="e">
        <f>IF(F20=Total_Code!S27,1,"Err_T_Code Ops")</f>
        <v>#N/A</v>
      </c>
      <c r="J20" s="4" t="s">
        <v>3742</v>
      </c>
      <c r="K20" s="4" t="s">
        <v>2729</v>
      </c>
      <c r="L20" s="4" t="s">
        <v>2825</v>
      </c>
      <c r="M20" s="787"/>
      <c r="N20" s="521"/>
      <c r="O20" s="793"/>
      <c r="P20" s="786" t="s">
        <v>906</v>
      </c>
      <c r="Q20" s="521"/>
      <c r="R20" s="787"/>
      <c r="S20" s="521"/>
      <c r="T20" s="787" t="s">
        <v>906</v>
      </c>
      <c r="U20" s="521"/>
      <c r="V20" s="521"/>
    </row>
    <row r="21" spans="1:22">
      <c r="A21" s="570" t="str">
        <f>Total_Code!T1</f>
        <v>111-01/41</v>
      </c>
      <c r="B21" s="587" t="str">
        <f>FormAide!D32</f>
        <v>Prime d'engagement - Bruxelles</v>
      </c>
      <c r="C21" s="572"/>
      <c r="D21" s="591"/>
      <c r="E21" s="592"/>
      <c r="F21" s="593" t="e">
        <f>Ops!DM1</f>
        <v>#N/A</v>
      </c>
      <c r="G21" s="576" t="e">
        <f t="shared" si="0"/>
        <v>#N/A</v>
      </c>
      <c r="H21" s="413">
        <f>IF(D21+E21=0,1,"no rights")</f>
        <v>1</v>
      </c>
      <c r="I21" s="414" t="e">
        <f>IF(F21=Total_Code!T27,1,"Err_T_Code Ops")</f>
        <v>#N/A</v>
      </c>
      <c r="J21" s="4" t="s">
        <v>4230</v>
      </c>
      <c r="K21" s="4" t="s">
        <v>538</v>
      </c>
      <c r="L21" s="4" t="s">
        <v>2826</v>
      </c>
      <c r="M21" s="787"/>
      <c r="N21" s="521"/>
      <c r="O21" s="793"/>
      <c r="P21" s="786" t="s">
        <v>906</v>
      </c>
      <c r="Q21" s="521"/>
      <c r="R21" s="787"/>
      <c r="S21" s="521"/>
      <c r="T21" s="787" t="s">
        <v>906</v>
      </c>
      <c r="U21" s="521"/>
      <c r="V21" s="521"/>
    </row>
    <row r="22" spans="1:22">
      <c r="A22" s="570" t="str">
        <f>Total_Code!U1</f>
        <v>111-01/50</v>
      </c>
      <c r="B22" s="587" t="str">
        <f>FormAide!D33</f>
        <v>Allocation de bilinguisme</v>
      </c>
      <c r="C22" s="572"/>
      <c r="D22" s="588" t="e">
        <f>Total_Code!U25</f>
        <v>#N/A</v>
      </c>
      <c r="E22" s="589" t="e">
        <f>Calog!CR1-D22</f>
        <v>#N/A</v>
      </c>
      <c r="F22" s="593" t="e">
        <f>Ops!DQ1</f>
        <v>#N/A</v>
      </c>
      <c r="G22" s="576" t="e">
        <f t="shared" si="0"/>
        <v>#N/A</v>
      </c>
      <c r="H22" s="413" t="e">
        <f>IF(D22+E22=Total_Code!U28,1,"Err_Code Calog-A.P.E.")</f>
        <v>#N/A</v>
      </c>
      <c r="I22" s="414" t="e">
        <f>IF(F22=Total_Code!U27,1,"Err_T_Code Ops")</f>
        <v>#N/A</v>
      </c>
      <c r="J22" s="4" t="s">
        <v>3762</v>
      </c>
      <c r="K22" s="4" t="s">
        <v>948</v>
      </c>
      <c r="L22" s="4" t="s">
        <v>2827</v>
      </c>
      <c r="M22" s="787"/>
      <c r="N22" s="521"/>
      <c r="O22" s="793"/>
      <c r="P22" s="786" t="s">
        <v>906</v>
      </c>
      <c r="Q22" s="521"/>
      <c r="R22" s="787"/>
      <c r="S22" s="521"/>
      <c r="T22" s="787" t="s">
        <v>906</v>
      </c>
      <c r="U22" s="521"/>
      <c r="V22" s="521"/>
    </row>
    <row r="23" spans="1:22">
      <c r="A23" s="570" t="str">
        <f>Total_Code!V1</f>
        <v>111-01/51</v>
      </c>
      <c r="B23" s="587" t="str">
        <f>FormAide!D34</f>
        <v>Allocation connnaissance autre langues</v>
      </c>
      <c r="C23" s="572"/>
      <c r="D23" s="588" t="e">
        <f>Total_Code!V25</f>
        <v>#N/A</v>
      </c>
      <c r="E23" s="589" t="e">
        <f>Calog!CU1-D23</f>
        <v>#N/A</v>
      </c>
      <c r="F23" s="593" t="e">
        <f>Ops!DT1</f>
        <v>#N/A</v>
      </c>
      <c r="G23" s="576" t="e">
        <f t="shared" si="0"/>
        <v>#N/A</v>
      </c>
      <c r="H23" s="413" t="e">
        <f>IF(D23+E23=Total_Code!V28,1,"Err_Code Calog-A.P.E.")</f>
        <v>#N/A</v>
      </c>
      <c r="I23" s="414" t="e">
        <f>IF(F23=Total_Code!V27,1,"Err_T_Code Ops")</f>
        <v>#N/A</v>
      </c>
      <c r="J23" s="4" t="s">
        <v>4231</v>
      </c>
      <c r="K23" s="4" t="s">
        <v>1080</v>
      </c>
      <c r="L23" s="4" t="s">
        <v>2824</v>
      </c>
      <c r="M23" s="787"/>
      <c r="N23" s="521"/>
      <c r="O23" s="793"/>
      <c r="P23" s="786" t="s">
        <v>906</v>
      </c>
      <c r="Q23" s="521"/>
      <c r="R23" s="787"/>
      <c r="S23" s="521"/>
      <c r="T23" s="787" t="s">
        <v>906</v>
      </c>
      <c r="U23" s="521"/>
      <c r="V23" s="521"/>
    </row>
    <row r="24" spans="1:22" ht="25.5">
      <c r="A24" s="570" t="str">
        <f>Total_Code!W1</f>
        <v>111-01/78-79-80-81</v>
      </c>
      <c r="B24" s="578" t="str">
        <f>FormAide!D35</f>
        <v>Allocation de tenue pour Militaires 
&amp; allocation de Maîtrise /Formation /Sélection</v>
      </c>
      <c r="C24" s="572"/>
      <c r="D24" s="588">
        <f>Total_Code!W25</f>
        <v>0</v>
      </c>
      <c r="E24" s="589">
        <f>Calog!CX1-D24</f>
        <v>0</v>
      </c>
      <c r="F24" s="590"/>
      <c r="G24" s="576">
        <f>SUM(C24:F24)</f>
        <v>0</v>
      </c>
      <c r="H24" s="413" t="e">
        <f>IF(D24+E24=Total_Code!W28,1,"Err_Code Calog-A.P.E.")</f>
        <v>#N/A</v>
      </c>
      <c r="I24" s="414">
        <f>IF(F24="",1,"no rights")</f>
        <v>1</v>
      </c>
      <c r="J24" s="4" t="s">
        <v>3763</v>
      </c>
      <c r="K24" s="4" t="s">
        <v>1285</v>
      </c>
      <c r="L24" s="4" t="s">
        <v>538</v>
      </c>
      <c r="M24" s="787"/>
      <c r="N24" s="521"/>
      <c r="O24" s="793"/>
      <c r="P24" s="786" t="s">
        <v>906</v>
      </c>
      <c r="Q24" s="521"/>
      <c r="R24" s="787"/>
      <c r="S24" s="521"/>
      <c r="T24" s="787" t="s">
        <v>906</v>
      </c>
      <c r="U24" s="521"/>
      <c r="V24" s="521"/>
    </row>
    <row r="25" spans="1:22">
      <c r="A25" s="570" t="str">
        <f>Total_Code!X1</f>
        <v>111-01/82</v>
      </c>
      <c r="B25" s="587" t="str">
        <f>FormAide!D36</f>
        <v>Prime de Dirigeant</v>
      </c>
      <c r="C25" s="572"/>
      <c r="D25" s="588">
        <f>Total_Code!X25</f>
        <v>0</v>
      </c>
      <c r="E25" s="589" t="e">
        <f>Calog!DA1-D25</f>
        <v>#N/A</v>
      </c>
      <c r="F25" s="590"/>
      <c r="G25" s="576" t="e">
        <f>SUM(C25:F25)</f>
        <v>#N/A</v>
      </c>
      <c r="H25" s="413" t="e">
        <f>IF(D25+E25=Total_Code!X28,1,"Err_Code Calog-A.P.E.")</f>
        <v>#N/A</v>
      </c>
      <c r="I25" s="414">
        <f>IF(F25="",1,"no rights")</f>
        <v>1</v>
      </c>
      <c r="J25" s="4" t="s">
        <v>3735</v>
      </c>
      <c r="K25" s="4" t="s">
        <v>1287</v>
      </c>
      <c r="L25" s="4" t="s">
        <v>538</v>
      </c>
      <c r="M25" s="787"/>
      <c r="N25" s="521"/>
      <c r="O25" s="793"/>
      <c r="P25" s="786" t="s">
        <v>906</v>
      </c>
      <c r="Q25" s="521"/>
      <c r="R25" s="787"/>
      <c r="S25" s="521"/>
      <c r="T25" s="787" t="s">
        <v>906</v>
      </c>
      <c r="U25" s="521"/>
      <c r="V25" s="521"/>
    </row>
    <row r="26" spans="1:22">
      <c r="A26" s="2546" t="s">
        <v>5274</v>
      </c>
      <c r="B26" s="2107" t="str">
        <f>FormAide!D37</f>
        <v>Allocation Fonction Directeur (Classe A4-A5 &amp; CPDiv O7-O8)</v>
      </c>
      <c r="C26" s="572"/>
      <c r="D26" s="591"/>
      <c r="E26" s="2561" t="e">
        <f>Calog!DD1</f>
        <v>#N/A</v>
      </c>
      <c r="F26" s="2103">
        <f>Ops!DW1</f>
        <v>0</v>
      </c>
      <c r="G26" s="2095" t="e">
        <f>SUM(C26:F26)</f>
        <v>#N/A</v>
      </c>
      <c r="H26" s="413" t="e">
        <f>IF(E26=Total_Code!Y28,1,"Err_Code Calog-GECO")</f>
        <v>#N/A</v>
      </c>
      <c r="I26" s="414">
        <f>IF(F26=Total_Code!Y12,1,"Err_T_Code Ops")</f>
        <v>1</v>
      </c>
      <c r="K26" s="787"/>
      <c r="L26" s="793"/>
      <c r="M26" s="786"/>
      <c r="N26" s="521"/>
      <c r="O26" s="787"/>
      <c r="P26" s="786" t="s">
        <v>906</v>
      </c>
      <c r="Q26" s="787"/>
      <c r="R26" s="787"/>
      <c r="S26" s="521"/>
      <c r="T26" s="787" t="s">
        <v>906</v>
      </c>
    </row>
    <row r="27" spans="1:22" s="788" customFormat="1">
      <c r="A27" s="595" t="str">
        <f>LEFT(Total_Code!Z1,9)</f>
        <v>111-01/99</v>
      </c>
      <c r="B27" s="596" t="str">
        <f>FormAide!D41</f>
        <v>Allocation "Fixe"  Montant indexé du moteur salariale</v>
      </c>
      <c r="C27" s="597"/>
      <c r="D27" s="585" t="e">
        <f>Total_Code!Z25</f>
        <v>#N/A</v>
      </c>
      <c r="E27" s="598" t="e">
        <f>Calog!DM1-D27</f>
        <v>#N/A</v>
      </c>
      <c r="F27" s="599" t="e">
        <f>Ops!DZ1</f>
        <v>#N/A</v>
      </c>
      <c r="G27" s="582" t="e">
        <f>SUM(C27:F27)</f>
        <v>#N/A</v>
      </c>
      <c r="H27" s="413" t="e">
        <f>IF(D27+E27=Total_Code!Z28,1,"Err_Code Calog-A.P.E.")</f>
        <v>#N/A</v>
      </c>
      <c r="I27" s="414" t="e">
        <f>IF(F27=Total_Code!Z27,1,"Err_T_Code Ops")</f>
        <v>#N/A</v>
      </c>
      <c r="J27" s="788" t="s">
        <v>1418</v>
      </c>
      <c r="K27" s="788" t="s">
        <v>2382</v>
      </c>
      <c r="L27" s="788" t="s">
        <v>2828</v>
      </c>
      <c r="M27" s="790"/>
      <c r="N27" s="502"/>
      <c r="O27" s="791"/>
      <c r="P27" s="794" t="s">
        <v>931</v>
      </c>
      <c r="Q27" s="521"/>
      <c r="R27" s="795" t="s">
        <v>931</v>
      </c>
      <c r="S27" s="521"/>
      <c r="T27" s="790" t="s">
        <v>906</v>
      </c>
      <c r="U27" s="502"/>
      <c r="V27" s="502"/>
    </row>
    <row r="28" spans="1:22">
      <c r="A28" s="570" t="str">
        <f>Total_Code!AA1</f>
        <v>111-08/00</v>
      </c>
      <c r="B28" s="594" t="str">
        <f>FormAide!D16</f>
        <v>Heures supplémentaires</v>
      </c>
      <c r="C28" s="572"/>
      <c r="D28" s="588" t="e">
        <f>Total_Code!AA25</f>
        <v>#N/A</v>
      </c>
      <c r="E28" s="589" t="e">
        <f>Calog!BT1-D28</f>
        <v>#N/A</v>
      </c>
      <c r="F28" s="593" t="e">
        <f>Ops!BT1</f>
        <v>#N/A</v>
      </c>
      <c r="G28" s="576" t="e">
        <f t="shared" si="0"/>
        <v>#N/A</v>
      </c>
      <c r="H28" s="413" t="e">
        <f>IF(D28+E28=Total_Code!AA28,1,"Err_Code Calog-A.P.E.")</f>
        <v>#N/A</v>
      </c>
      <c r="I28" s="414" t="e">
        <f>IF(F28=Total_Code!AA27,1,"Err_T_Code Ops")</f>
        <v>#N/A</v>
      </c>
      <c r="J28" s="4" t="s">
        <v>906</v>
      </c>
      <c r="K28" s="4" t="s">
        <v>244</v>
      </c>
      <c r="L28" s="4" t="s">
        <v>244</v>
      </c>
      <c r="M28" s="787"/>
      <c r="N28" s="521"/>
      <c r="O28" s="793"/>
      <c r="P28" s="786"/>
      <c r="Q28" s="521"/>
      <c r="R28" s="787" t="s">
        <v>906</v>
      </c>
      <c r="S28" s="521"/>
      <c r="T28" s="787" t="s">
        <v>906</v>
      </c>
      <c r="U28" s="521"/>
      <c r="V28" s="521"/>
    </row>
    <row r="29" spans="1:22">
      <c r="A29" s="570" t="str">
        <f>Total_Code!AB1</f>
        <v>111-08/01</v>
      </c>
      <c r="B29" s="594" t="str">
        <f>FormAide!D17</f>
        <v>Heures de weekend</v>
      </c>
      <c r="C29" s="572"/>
      <c r="D29" s="588" t="e">
        <f>Total_Code!AB25</f>
        <v>#N/A</v>
      </c>
      <c r="E29" s="589" t="e">
        <f>Calog!BW1-D29</f>
        <v>#N/A</v>
      </c>
      <c r="F29" s="593" t="e">
        <f>Ops!BW1</f>
        <v>#N/A</v>
      </c>
      <c r="G29" s="576" t="e">
        <f t="shared" si="0"/>
        <v>#N/A</v>
      </c>
      <c r="H29" s="413" t="e">
        <f>IF(D29+E29=Total_Code!AB28,1,"Err_Code Calog-A.P.E.")</f>
        <v>#N/A</v>
      </c>
      <c r="I29" s="414" t="e">
        <f>IF(F29=Total_Code!AB27,1,"Err_T_Code Ops")</f>
        <v>#N/A</v>
      </c>
      <c r="J29" s="4" t="s">
        <v>931</v>
      </c>
      <c r="K29" s="4" t="s">
        <v>2724</v>
      </c>
      <c r="L29" s="4" t="s">
        <v>2724</v>
      </c>
      <c r="M29" s="787"/>
      <c r="N29" s="521"/>
      <c r="O29" s="793"/>
      <c r="P29" s="786"/>
      <c r="Q29" s="521"/>
      <c r="R29" s="787" t="s">
        <v>906</v>
      </c>
      <c r="S29" s="521"/>
      <c r="T29" s="787" t="s">
        <v>906</v>
      </c>
      <c r="U29" s="521"/>
      <c r="V29" s="521"/>
    </row>
    <row r="30" spans="1:22">
      <c r="A30" s="570" t="str">
        <f>Total_Code!AC1</f>
        <v>111-08/20</v>
      </c>
      <c r="B30" s="594" t="str">
        <f>FormAide!D18</f>
        <v>Heures de nuit 19:00-22:00</v>
      </c>
      <c r="C30" s="572"/>
      <c r="D30" s="588" t="e">
        <f>Total_Code!AC25</f>
        <v>#N/A</v>
      </c>
      <c r="E30" s="589" t="e">
        <f>Calog!BZ1-D30</f>
        <v>#N/A</v>
      </c>
      <c r="F30" s="593" t="e">
        <f>Ops!BZ1</f>
        <v>#N/A</v>
      </c>
      <c r="G30" s="576" t="e">
        <f t="shared" si="0"/>
        <v>#N/A</v>
      </c>
      <c r="H30" s="413" t="e">
        <f>IF(D30+E30=Total_Code!AC28,1,"Err_Code Calog-A.P.E.")</f>
        <v>#N/A</v>
      </c>
      <c r="I30" s="414" t="e">
        <f>IF(F30=Total_Code!AC27,1,"Err_T_Code Ops")</f>
        <v>#N/A</v>
      </c>
      <c r="J30" s="4" t="s">
        <v>4232</v>
      </c>
      <c r="K30" s="4" t="s">
        <v>245</v>
      </c>
      <c r="L30" s="4" t="s">
        <v>245</v>
      </c>
      <c r="M30" s="787"/>
      <c r="N30" s="521"/>
      <c r="O30" s="793"/>
      <c r="P30" s="786"/>
      <c r="Q30" s="521"/>
      <c r="R30" s="787" t="s">
        <v>906</v>
      </c>
      <c r="S30" s="521"/>
      <c r="T30" s="787" t="s">
        <v>906</v>
      </c>
      <c r="U30" s="521"/>
      <c r="V30" s="521"/>
    </row>
    <row r="31" spans="1:22">
      <c r="A31" s="570" t="str">
        <f>Total_Code!AD1</f>
        <v>111-08/21</v>
      </c>
      <c r="B31" s="594" t="str">
        <f>FormAide!D19</f>
        <v>Heures de Nuit  22:00-06:00</v>
      </c>
      <c r="C31" s="572"/>
      <c r="D31" s="588" t="e">
        <f>Total_Code!AD25</f>
        <v>#N/A</v>
      </c>
      <c r="E31" s="589" t="e">
        <f>Calog!CC1-D31</f>
        <v>#N/A</v>
      </c>
      <c r="F31" s="593" t="e">
        <f>Ops!CC1</f>
        <v>#N/A</v>
      </c>
      <c r="G31" s="576" t="e">
        <f t="shared" si="0"/>
        <v>#N/A</v>
      </c>
      <c r="H31" s="413" t="e">
        <f>IF(D31+E31=Total_Code!AD28,1,"Err_Code Calog-A.P.E.")</f>
        <v>#N/A</v>
      </c>
      <c r="I31" s="414" t="e">
        <f>IF(F31=Total_Code!AD27,1,"Err_T_Code Ops")</f>
        <v>#N/A</v>
      </c>
      <c r="J31" s="4" t="s">
        <v>3733</v>
      </c>
      <c r="K31" s="4" t="s">
        <v>2727</v>
      </c>
      <c r="L31" s="4" t="s">
        <v>2727</v>
      </c>
      <c r="M31" s="787"/>
      <c r="N31" s="521"/>
      <c r="O31" s="793"/>
      <c r="P31" s="786"/>
      <c r="Q31" s="521"/>
      <c r="R31" s="787" t="s">
        <v>906</v>
      </c>
      <c r="S31" s="521"/>
      <c r="T31" s="787" t="s">
        <v>906</v>
      </c>
      <c r="U31" s="521"/>
      <c r="V31" s="521"/>
    </row>
    <row r="32" spans="1:22">
      <c r="A32" s="570" t="str">
        <f>Total_Code!AE1</f>
        <v>111-08/03</v>
      </c>
      <c r="B32" s="594" t="str">
        <f>FormAide!D20</f>
        <v>Contactable  &amp; Contactable et Rappelable</v>
      </c>
      <c r="C32" s="572"/>
      <c r="D32" s="588" t="e">
        <f>Total_Code!AE25</f>
        <v>#N/A</v>
      </c>
      <c r="E32" s="589" t="e">
        <f>Calog!CF1-D32</f>
        <v>#N/A</v>
      </c>
      <c r="F32" s="593" t="e">
        <f>Ops!CF1</f>
        <v>#N/A</v>
      </c>
      <c r="G32" s="576" t="e">
        <f t="shared" si="0"/>
        <v>#N/A</v>
      </c>
      <c r="H32" s="413" t="e">
        <f>IF(D32+E32=Total_Code!AE28,1,"Err_Code Calog-A.P.E.")</f>
        <v>#N/A</v>
      </c>
      <c r="I32" s="414" t="e">
        <f>IF(F32=Total_Code!AE27,1,"Err_T_Code Ops")</f>
        <v>#N/A</v>
      </c>
      <c r="J32" s="4" t="s">
        <v>3734</v>
      </c>
      <c r="K32" s="4" t="s">
        <v>2821</v>
      </c>
      <c r="L32" s="4" t="s">
        <v>2821</v>
      </c>
      <c r="M32" s="787"/>
      <c r="N32" s="521"/>
      <c r="O32" s="793"/>
      <c r="P32" s="786"/>
      <c r="Q32" s="521"/>
      <c r="R32" s="787" t="s">
        <v>906</v>
      </c>
      <c r="S32" s="521"/>
      <c r="T32" s="787" t="s">
        <v>906</v>
      </c>
      <c r="U32" s="521"/>
      <c r="V32" s="521"/>
    </row>
    <row r="33" spans="1:22">
      <c r="A33" s="570" t="str">
        <f>Total_Code!AF1</f>
        <v>111-08/04</v>
      </c>
      <c r="B33" s="594" t="str">
        <f>FormAide!D21</f>
        <v>Service Ininterrompu 24-Heures</v>
      </c>
      <c r="C33" s="572"/>
      <c r="D33" s="591"/>
      <c r="E33" s="592"/>
      <c r="F33" s="593" t="e">
        <f>Ops!CI1</f>
        <v>#N/A</v>
      </c>
      <c r="G33" s="576" t="e">
        <f t="shared" si="0"/>
        <v>#N/A</v>
      </c>
      <c r="H33" s="413">
        <f>IF(D33+E33=0,1,"no rights")</f>
        <v>1</v>
      </c>
      <c r="I33" s="414" t="e">
        <f>IF(F33=Total_Code!AF27,1,"Err_T_Code Ops")</f>
        <v>#N/A</v>
      </c>
      <c r="J33" s="4" t="s">
        <v>3737</v>
      </c>
      <c r="K33" s="4" t="s">
        <v>538</v>
      </c>
      <c r="L33" s="4" t="s">
        <v>452</v>
      </c>
      <c r="M33" s="787"/>
      <c r="N33" s="521"/>
      <c r="O33" s="793"/>
      <c r="P33" s="786"/>
      <c r="Q33" s="521"/>
      <c r="R33" s="787" t="s">
        <v>906</v>
      </c>
      <c r="S33" s="521"/>
      <c r="T33" s="787" t="s">
        <v>906</v>
      </c>
      <c r="U33" s="521"/>
      <c r="V33" s="521"/>
    </row>
    <row r="34" spans="1:22">
      <c r="A34" s="570" t="str">
        <f>Total_Code!AG1</f>
        <v>111-08/05</v>
      </c>
      <c r="B34" s="594" t="str">
        <f>FormAide!D22</f>
        <v>Allocation d'immigration (demi jour et journée complète)</v>
      </c>
      <c r="C34" s="572"/>
      <c r="D34" s="591"/>
      <c r="E34" s="592"/>
      <c r="F34" s="593" t="e">
        <f>Ops!CL1</f>
        <v>#N/A</v>
      </c>
      <c r="G34" s="576" t="e">
        <f t="shared" si="0"/>
        <v>#N/A</v>
      </c>
      <c r="H34" s="413">
        <f>IF(D34+E34=0,1,"no rights")</f>
        <v>1</v>
      </c>
      <c r="I34" s="414" t="e">
        <f>IF(F34=Total_Code!AG27,1,"Err_T_Code Ops")</f>
        <v>#N/A</v>
      </c>
      <c r="J34" s="4" t="s">
        <v>3738</v>
      </c>
      <c r="K34" s="4" t="s">
        <v>538</v>
      </c>
      <c r="L34" s="4" t="s">
        <v>2822</v>
      </c>
      <c r="M34" s="787"/>
      <c r="N34" s="521"/>
      <c r="O34" s="793"/>
      <c r="P34" s="786"/>
      <c r="Q34" s="521"/>
      <c r="R34" s="787" t="s">
        <v>906</v>
      </c>
      <c r="S34" s="521"/>
      <c r="T34" s="787" t="s">
        <v>906</v>
      </c>
      <c r="U34" s="521"/>
      <c r="V34" s="521"/>
    </row>
    <row r="35" spans="1:22">
      <c r="A35" s="570" t="str">
        <f>Total_Code!AH1</f>
        <v>111-08/06</v>
      </c>
      <c r="B35" s="594" t="str">
        <f>FormAide!D23</f>
        <v>Allocation observateur aérien</v>
      </c>
      <c r="C35" s="572"/>
      <c r="D35" s="591"/>
      <c r="E35" s="592"/>
      <c r="F35" s="593">
        <f>Ops!CO1</f>
        <v>0</v>
      </c>
      <c r="G35" s="576">
        <f t="shared" si="0"/>
        <v>0</v>
      </c>
      <c r="H35" s="413">
        <f>IF(D35+E35=0,1,"no rights")</f>
        <v>1</v>
      </c>
      <c r="I35" s="414">
        <f>IF(F35=Total_Code!AH27,1,"Err_T_Code Ops")</f>
        <v>1</v>
      </c>
      <c r="J35" s="4" t="s">
        <v>3743</v>
      </c>
      <c r="K35" s="4" t="s">
        <v>538</v>
      </c>
      <c r="L35" s="4" t="s">
        <v>2729</v>
      </c>
      <c r="M35" s="787"/>
      <c r="N35" s="521"/>
      <c r="O35" s="793"/>
      <c r="P35" s="786"/>
      <c r="Q35" s="521"/>
      <c r="R35" s="787" t="s">
        <v>906</v>
      </c>
      <c r="S35" s="521"/>
      <c r="T35" s="787" t="s">
        <v>906</v>
      </c>
      <c r="U35" s="521"/>
      <c r="V35" s="521"/>
    </row>
    <row r="36" spans="1:22">
      <c r="A36" s="570" t="str">
        <f>Total_Code!AI1</f>
        <v>111-08/07</v>
      </c>
      <c r="B36" s="594" t="str">
        <f>FormAide!D24</f>
        <v>Allocation mentor - mission enseignement</v>
      </c>
      <c r="C36" s="572"/>
      <c r="D36" s="588" t="e">
        <f>Total_Code!AI25</f>
        <v>#N/A</v>
      </c>
      <c r="E36" s="589" t="e">
        <f>Calog!CI1-D36</f>
        <v>#N/A</v>
      </c>
      <c r="F36" s="593" t="e">
        <f>Ops!CR1</f>
        <v>#N/A</v>
      </c>
      <c r="G36" s="576" t="e">
        <f t="shared" si="0"/>
        <v>#N/A</v>
      </c>
      <c r="H36" s="413" t="e">
        <f>IF(D36+E36=Total_Code!AI28,1,"Err_Code Calog-A.P.E.")</f>
        <v>#N/A</v>
      </c>
      <c r="I36" s="414" t="e">
        <f>IF(F36=Total_Code!AI27,1,"Err_T_Code Ops")</f>
        <v>#N/A</v>
      </c>
      <c r="J36" s="4" t="s">
        <v>1415</v>
      </c>
      <c r="K36" s="4" t="s">
        <v>452</v>
      </c>
      <c r="L36" s="4" t="s">
        <v>948</v>
      </c>
      <c r="M36" s="787"/>
      <c r="N36" s="521"/>
      <c r="O36" s="793"/>
      <c r="P36" s="786"/>
      <c r="Q36" s="521"/>
      <c r="R36" s="787" t="s">
        <v>906</v>
      </c>
      <c r="S36" s="521"/>
      <c r="T36" s="787" t="s">
        <v>906</v>
      </c>
      <c r="U36" s="521"/>
      <c r="V36" s="521"/>
    </row>
    <row r="37" spans="1:22">
      <c r="A37" s="570" t="str">
        <f>Total_Code!AJ1</f>
        <v>111-08/90</v>
      </c>
      <c r="B37" s="587" t="str">
        <f>FormAide!D40</f>
        <v>Allocation Développement de compétences</v>
      </c>
      <c r="C37" s="572"/>
      <c r="D37" s="588" t="e">
        <f>Total_Code!AJ25</f>
        <v>#N/A</v>
      </c>
      <c r="E37" s="589" t="e">
        <f>Calog!DJ1-D37</f>
        <v>#N/A</v>
      </c>
      <c r="F37" s="590"/>
      <c r="G37" s="576" t="e">
        <f t="shared" si="0"/>
        <v>#N/A</v>
      </c>
      <c r="H37" s="413" t="e">
        <f>IF(D37+E37=Total_Code!AJ28,1,"Err_Code Calog-A.P.E.")</f>
        <v>#N/A</v>
      </c>
      <c r="I37" s="414">
        <f>IF(F37="",1,"no rights")</f>
        <v>1</v>
      </c>
      <c r="J37" s="4" t="s">
        <v>1417</v>
      </c>
      <c r="K37" s="4" t="s">
        <v>3759</v>
      </c>
      <c r="L37" s="4" t="s">
        <v>538</v>
      </c>
      <c r="M37" s="790" t="s">
        <v>906</v>
      </c>
      <c r="N37" s="521"/>
      <c r="O37" s="793"/>
      <c r="P37" s="786"/>
      <c r="Q37" s="521"/>
      <c r="R37" s="787" t="s">
        <v>906</v>
      </c>
      <c r="S37" s="521"/>
      <c r="T37" s="787" t="s">
        <v>906</v>
      </c>
      <c r="U37" s="521"/>
      <c r="V37" s="521"/>
    </row>
    <row r="38" spans="1:22">
      <c r="A38" s="570" t="str">
        <f>Total_Code!AK1</f>
        <v>112-01</v>
      </c>
      <c r="B38" s="587" t="str">
        <f>FormAide!D11</f>
        <v>Allocation de vacances + prime copernic</v>
      </c>
      <c r="C38" s="572"/>
      <c r="D38" s="588" t="e">
        <f>Total_Code!AK25</f>
        <v>#N/A</v>
      </c>
      <c r="E38" s="589" t="e">
        <f>Calog!BI1-D38</f>
        <v>#N/A</v>
      </c>
      <c r="F38" s="593" t="e">
        <f>Ops!BI1-F39</f>
        <v>#N/A</v>
      </c>
      <c r="G38" s="576" t="e">
        <f t="shared" si="0"/>
        <v>#N/A</v>
      </c>
      <c r="H38" s="413" t="e">
        <f>IF(D38+E38=Total_Code!AK28,1,"Err_Code Calog-A.P.E.")</f>
        <v>#N/A</v>
      </c>
      <c r="I38" s="414" t="e">
        <f>IF(F38=Total_Code!AK27-F39,1,"Err_T_Code Ops")</f>
        <v>#N/A</v>
      </c>
      <c r="J38" s="4" t="s">
        <v>1419</v>
      </c>
      <c r="K38" s="4" t="s">
        <v>540</v>
      </c>
      <c r="L38" s="4" t="s">
        <v>540</v>
      </c>
      <c r="M38" s="787"/>
      <c r="N38" s="521"/>
      <c r="O38" s="793"/>
      <c r="P38" s="786"/>
      <c r="Q38" s="521"/>
      <c r="R38" s="787"/>
      <c r="S38" s="521"/>
      <c r="T38" s="787"/>
      <c r="U38" s="521"/>
      <c r="V38" s="521"/>
    </row>
    <row r="39" spans="1:22" s="2559" customFormat="1" ht="12.75" customHeight="1">
      <c r="A39" s="2555" t="s">
        <v>2676</v>
      </c>
      <c r="B39" s="2556" t="s">
        <v>5141</v>
      </c>
      <c r="C39" s="572"/>
      <c r="D39" s="591"/>
      <c r="E39" s="592"/>
      <c r="F39" s="2557">
        <f>Tutelle1!F25</f>
        <v>0</v>
      </c>
      <c r="G39" s="2552">
        <f>SUM(C39:F39)</f>
        <v>0</v>
      </c>
      <c r="H39" s="2971">
        <f>IF(AND(F39=0,Ops!B3&lt;&gt;0),"Après Mise à Jour  onglets 'Tutelle'",1)</f>
        <v>1</v>
      </c>
      <c r="I39" s="2970"/>
      <c r="J39" s="2558"/>
    </row>
    <row r="40" spans="1:22">
      <c r="A40" s="570" t="str">
        <f>Total_Code!AL1</f>
        <v>115-01/10</v>
      </c>
      <c r="B40" s="587" t="str">
        <f>FormAide!D48</f>
        <v>Indemnités de déplacement  lieu de travail/maison/ KM</v>
      </c>
      <c r="C40" s="572"/>
      <c r="D40" s="588" t="e">
        <f>Total_Code!AL25</f>
        <v>#N/A</v>
      </c>
      <c r="E40" s="589" t="e">
        <f>Calog!DP1-D40</f>
        <v>#N/A</v>
      </c>
      <c r="F40" s="593" t="e">
        <f>Ops!EQ1</f>
        <v>#N/A</v>
      </c>
      <c r="G40" s="576" t="e">
        <f t="shared" ref="G40:G47" si="1">SUM(C40:F40)</f>
        <v>#N/A</v>
      </c>
      <c r="H40" s="413" t="e">
        <f>IF(D40+E40=Total_Code!AL28,1,"Err_Code Calog-A.P.E.")</f>
        <v>#N/A</v>
      </c>
      <c r="I40" s="414" t="e">
        <f>IF(F40=Total_Code!AL27,1,"Err_T_Code Ops")</f>
        <v>#N/A</v>
      </c>
      <c r="J40" s="4" t="s">
        <v>1409</v>
      </c>
      <c r="K40" s="4" t="s">
        <v>339</v>
      </c>
      <c r="L40" s="4" t="s">
        <v>2835</v>
      </c>
      <c r="M40" s="787"/>
      <c r="N40" s="521"/>
      <c r="O40" s="793"/>
      <c r="P40" s="786"/>
      <c r="Q40" s="521"/>
      <c r="R40" s="787"/>
      <c r="S40" s="521"/>
      <c r="T40" s="787"/>
      <c r="U40" s="521"/>
      <c r="V40" s="521" t="s">
        <v>906</v>
      </c>
    </row>
    <row r="41" spans="1:22">
      <c r="A41" s="570" t="str">
        <f>Total_Code!AM1</f>
        <v>115-01/11</v>
      </c>
      <c r="B41" s="587" t="str">
        <f>FormAide!D49</f>
        <v>Indemnités de déplacement  lieu de travail/maison/ Abt Soc</v>
      </c>
      <c r="C41" s="572"/>
      <c r="D41" s="588" t="e">
        <f>Total_Code!AM25</f>
        <v>#N/A</v>
      </c>
      <c r="E41" s="589" t="e">
        <f>Calog!DS1-D41</f>
        <v>#N/A</v>
      </c>
      <c r="F41" s="593" t="e">
        <f>Ops!ET1</f>
        <v>#N/A</v>
      </c>
      <c r="G41" s="576" t="e">
        <f t="shared" si="1"/>
        <v>#N/A</v>
      </c>
      <c r="H41" s="413" t="e">
        <f>IF(D41+E41=Total_Code!AM28,1,"Err_Code Calog-A.P.E.")</f>
        <v>#N/A</v>
      </c>
      <c r="I41" s="414" t="e">
        <f>IF(F41=Total_Code!AM27,1,"Err_T_Code Ops")</f>
        <v>#N/A</v>
      </c>
      <c r="J41" s="4" t="s">
        <v>1410</v>
      </c>
      <c r="K41" s="4" t="s">
        <v>338</v>
      </c>
      <c r="L41" s="4" t="s">
        <v>2834</v>
      </c>
      <c r="M41" s="787"/>
      <c r="N41" s="521"/>
      <c r="O41" s="793"/>
      <c r="P41" s="786"/>
      <c r="Q41" s="521"/>
      <c r="R41" s="787"/>
      <c r="S41" s="521"/>
      <c r="T41" s="787"/>
      <c r="U41" s="521"/>
      <c r="V41" s="521" t="s">
        <v>906</v>
      </c>
    </row>
    <row r="42" spans="1:22">
      <c r="A42" s="570" t="s">
        <v>3678</v>
      </c>
      <c r="B42" s="587" t="s">
        <v>1324</v>
      </c>
      <c r="C42" s="613">
        <f>Ops!EW9</f>
        <v>0</v>
      </c>
      <c r="D42" s="588" t="e">
        <f>Total_Code!AN25</f>
        <v>#N/A</v>
      </c>
      <c r="E42" s="589" t="e">
        <f>Calog!DV1-D42</f>
        <v>#N/A</v>
      </c>
      <c r="F42" s="593" t="e">
        <f>Ops!EW1</f>
        <v>#N/A</v>
      </c>
      <c r="G42" s="576" t="e">
        <f t="shared" si="1"/>
        <v>#N/A</v>
      </c>
      <c r="H42" s="413" t="e">
        <f>IF(D42+E42=Total_Code!AN28,1,"Err_Code Calog-A.P.E.")</f>
        <v>#N/A</v>
      </c>
      <c r="I42" s="414" t="e">
        <f>IF(F42=Total_Code!AN27,1,"Err_T_Code Ops")</f>
        <v>#N/A</v>
      </c>
      <c r="J42" s="4" t="s">
        <v>1411</v>
      </c>
      <c r="K42" s="4" t="s">
        <v>337</v>
      </c>
      <c r="L42" s="4" t="s">
        <v>2837</v>
      </c>
      <c r="M42" s="787"/>
      <c r="N42" s="521"/>
      <c r="O42" s="793"/>
      <c r="P42" s="786"/>
      <c r="Q42" s="521"/>
      <c r="R42" s="787"/>
      <c r="S42" s="521"/>
      <c r="T42" s="787"/>
      <c r="U42" s="521"/>
      <c r="V42" s="521" t="s">
        <v>906</v>
      </c>
    </row>
    <row r="43" spans="1:22">
      <c r="A43" s="570" t="str">
        <f>Total_Code!AO1</f>
        <v>121-03</v>
      </c>
      <c r="B43" s="587" t="str">
        <f>FormAide!D43</f>
        <v>Indemnité entretien uniforme</v>
      </c>
      <c r="C43" s="572"/>
      <c r="D43" s="591"/>
      <c r="E43" s="592"/>
      <c r="F43" s="593" t="e">
        <f>Ops!EC1</f>
        <v>#N/A</v>
      </c>
      <c r="G43" s="576" t="e">
        <f t="shared" si="1"/>
        <v>#N/A</v>
      </c>
      <c r="H43" s="413">
        <f>IF(D43+E43=0,1,"no rights")</f>
        <v>1</v>
      </c>
      <c r="I43" s="414" t="e">
        <f>IF(F43=Total_Code!AO27,1,"Err_T_Code Ops")</f>
        <v>#N/A</v>
      </c>
      <c r="J43" s="4" t="s">
        <v>1412</v>
      </c>
      <c r="K43" s="4" t="s">
        <v>538</v>
      </c>
      <c r="L43" s="4" t="s">
        <v>2833</v>
      </c>
      <c r="M43" s="787"/>
      <c r="N43" s="521"/>
      <c r="O43" s="793"/>
      <c r="P43" s="786"/>
      <c r="Q43" s="521"/>
      <c r="R43" s="787"/>
      <c r="S43" s="521"/>
      <c r="T43" s="787"/>
      <c r="U43" s="521" t="s">
        <v>906</v>
      </c>
      <c r="V43" s="521"/>
    </row>
    <row r="44" spans="1:22">
      <c r="A44" s="570" t="str">
        <f>Total_Code!AP1</f>
        <v>121-48/01</v>
      </c>
      <c r="B44" s="587" t="str">
        <f>FormAide!D44</f>
        <v>Indemnité de téléphone</v>
      </c>
      <c r="C44" s="572"/>
      <c r="D44" s="588" t="e">
        <f>Total_Code!AP25</f>
        <v>#N/A</v>
      </c>
      <c r="E44" s="589" t="e">
        <f>Calog!DY1-D44</f>
        <v>#N/A</v>
      </c>
      <c r="F44" s="593" t="e">
        <f>Ops!EF1</f>
        <v>#N/A</v>
      </c>
      <c r="G44" s="576" t="e">
        <f t="shared" si="1"/>
        <v>#N/A</v>
      </c>
      <c r="H44" s="413" t="e">
        <f>IF(D44+E44=Total_Code!AP28,1,"Err_Code Calog-A.P.E.")</f>
        <v>#N/A</v>
      </c>
      <c r="I44" s="414" t="e">
        <f>IF(F44=Total_Code!AP27,1,"Err_T_Code Ops")</f>
        <v>#N/A</v>
      </c>
      <c r="J44" s="4" t="s">
        <v>3736</v>
      </c>
      <c r="K44" s="4" t="s">
        <v>336</v>
      </c>
      <c r="L44" s="4" t="s">
        <v>748</v>
      </c>
      <c r="M44" s="787"/>
      <c r="N44" s="521"/>
      <c r="O44" s="793"/>
      <c r="P44" s="786"/>
      <c r="Q44" s="521"/>
      <c r="R44" s="787"/>
      <c r="S44" s="521"/>
      <c r="T44" s="787"/>
      <c r="U44" s="521" t="s">
        <v>906</v>
      </c>
      <c r="V44" s="521"/>
    </row>
    <row r="45" spans="1:22">
      <c r="A45" s="570" t="str">
        <f>Total_Code!AQ1</f>
        <v>121-48/02</v>
      </c>
      <c r="B45" s="587" t="str">
        <f>FormAide!D45</f>
        <v>Indemnité enquête judiciaire - Mensuel</v>
      </c>
      <c r="C45" s="572"/>
      <c r="D45" s="591"/>
      <c r="E45" s="592"/>
      <c r="F45" s="593" t="e">
        <f>Ops!EH1</f>
        <v>#N/A</v>
      </c>
      <c r="G45" s="576" t="e">
        <f t="shared" si="1"/>
        <v>#N/A</v>
      </c>
      <c r="H45" s="413">
        <f>IF(D45+E45=0,1,"no rights")</f>
        <v>1</v>
      </c>
      <c r="I45" s="414" t="e">
        <f>IF(F45=Total_Code!AQ27,1,"Err_T_Code Ops")</f>
        <v>#N/A</v>
      </c>
      <c r="J45" s="4" t="s">
        <v>1413</v>
      </c>
      <c r="K45" s="4" t="s">
        <v>538</v>
      </c>
      <c r="L45" s="4" t="s">
        <v>1976</v>
      </c>
      <c r="M45" s="787"/>
      <c r="N45" s="521"/>
      <c r="O45" s="793"/>
      <c r="P45" s="786"/>
      <c r="Q45" s="521"/>
      <c r="R45" s="787"/>
      <c r="S45" s="521"/>
      <c r="T45" s="787"/>
      <c r="U45" s="521" t="s">
        <v>906</v>
      </c>
      <c r="V45" s="521"/>
    </row>
    <row r="46" spans="1:22">
      <c r="A46" s="570" t="str">
        <f>Total_Code!AR1</f>
        <v>121-48/03</v>
      </c>
      <c r="B46" s="587" t="str">
        <f>FormAide!D51</f>
        <v>Indemnité enquête judiciaire - Journalier</v>
      </c>
      <c r="C46" s="572"/>
      <c r="D46" s="591"/>
      <c r="E46" s="592"/>
      <c r="F46" s="593" t="e">
        <f>Ops!EK1</f>
        <v>#N/A</v>
      </c>
      <c r="G46" s="576" t="e">
        <f t="shared" si="1"/>
        <v>#N/A</v>
      </c>
      <c r="H46" s="413">
        <f>IF(D46+E46=0,1,"no rights")</f>
        <v>1</v>
      </c>
      <c r="I46" s="414" t="e">
        <f>IF(F46=Total_Code!AR27,1,"Err_T_Code Ops")</f>
        <v>#N/A</v>
      </c>
      <c r="J46" s="4" t="s">
        <v>1416</v>
      </c>
      <c r="K46" s="4" t="s">
        <v>538</v>
      </c>
      <c r="L46" s="4" t="s">
        <v>4350</v>
      </c>
      <c r="M46" s="787"/>
      <c r="N46" s="521"/>
      <c r="O46" s="793"/>
      <c r="P46" s="786"/>
      <c r="Q46" s="521"/>
      <c r="R46" s="787"/>
      <c r="S46" s="521"/>
      <c r="T46" s="787"/>
      <c r="U46" s="521"/>
      <c r="V46" s="521" t="s">
        <v>906</v>
      </c>
    </row>
    <row r="47" spans="1:22">
      <c r="A47" s="570" t="str">
        <f>Total_Code!AS1</f>
        <v>121-48/04</v>
      </c>
      <c r="B47" s="587" t="str">
        <f>FormAide!D46</f>
        <v>Indemnité pour chien policier</v>
      </c>
      <c r="C47" s="572"/>
      <c r="D47" s="591"/>
      <c r="E47" s="592"/>
      <c r="F47" s="593">
        <f>Ops!EN1</f>
        <v>0</v>
      </c>
      <c r="G47" s="576">
        <f t="shared" si="1"/>
        <v>0</v>
      </c>
      <c r="H47" s="413">
        <f>IF(D47+E47=0,1,"no rights")</f>
        <v>1</v>
      </c>
      <c r="I47" s="414">
        <f>IF(F47=Total_Code!AS27,1,"Err_T_Code Ops")</f>
        <v>1</v>
      </c>
      <c r="J47" s="4" t="s">
        <v>243</v>
      </c>
      <c r="K47" s="4" t="s">
        <v>538</v>
      </c>
      <c r="L47" s="4" t="s">
        <v>2831</v>
      </c>
      <c r="M47" s="787"/>
      <c r="N47" s="521"/>
      <c r="O47" s="793"/>
      <c r="P47" s="786"/>
      <c r="Q47" s="521"/>
      <c r="R47" s="787"/>
      <c r="S47" s="521"/>
      <c r="T47" s="787"/>
      <c r="U47" s="521" t="s">
        <v>906</v>
      </c>
      <c r="V47" s="521"/>
    </row>
    <row r="48" spans="1:22">
      <c r="A48" s="2123" t="s">
        <v>2788</v>
      </c>
      <c r="B48" s="2124" t="str">
        <f>IF(ChRepasCheck&lt;&gt;"","Cheques Repas depuis 11/2022","Indemnités de repas : Modèle 9BIS ")</f>
        <v>Cheques Repas depuis 11/2022</v>
      </c>
      <c r="C48" s="572"/>
      <c r="D48" s="588" t="e">
        <f>Total_Code!AT25</f>
        <v>#N/A</v>
      </c>
      <c r="E48" s="589" t="e">
        <f>Calog!EB1-D48</f>
        <v>#N/A</v>
      </c>
      <c r="F48" s="593" t="e">
        <f>Ops!EZ1</f>
        <v>#N/A</v>
      </c>
      <c r="G48" s="576" t="e">
        <f t="shared" si="0"/>
        <v>#N/A</v>
      </c>
      <c r="H48" s="413" t="e">
        <f>IF(D48+E48=Total_Code!AT28,1,"Err_Code Calog-A.P.E.")</f>
        <v>#N/A</v>
      </c>
      <c r="I48" s="414" t="e">
        <f>IF(F48=Total_Code!AT27,1,"Err_T_Code Ops")</f>
        <v>#N/A</v>
      </c>
      <c r="J48" s="4" t="s">
        <v>1414</v>
      </c>
      <c r="K48" s="4" t="s">
        <v>335</v>
      </c>
      <c r="L48" s="4" t="s">
        <v>2836</v>
      </c>
      <c r="M48" s="787"/>
      <c r="N48" s="521"/>
      <c r="O48" s="793"/>
      <c r="P48" s="786"/>
      <c r="Q48" s="521"/>
      <c r="R48" s="787"/>
      <c r="S48" s="521"/>
      <c r="T48" s="787"/>
      <c r="U48" s="521"/>
      <c r="V48" s="521" t="s">
        <v>906</v>
      </c>
    </row>
    <row r="49" spans="1:22">
      <c r="A49" s="570" t="s">
        <v>634</v>
      </c>
      <c r="B49" s="587" t="s">
        <v>495</v>
      </c>
      <c r="C49" s="572"/>
      <c r="D49" s="588" t="e">
        <f>Total_Code!AU25</f>
        <v>#N/A</v>
      </c>
      <c r="E49" s="589" t="e">
        <f>Calog!EE1-D49</f>
        <v>#N/A</v>
      </c>
      <c r="F49" s="593" t="e">
        <f>Ops!FC1</f>
        <v>#N/A</v>
      </c>
      <c r="G49" s="576" t="e">
        <f>SUM(C49:F49)</f>
        <v>#N/A</v>
      </c>
      <c r="H49" s="413" t="e">
        <f>IF(D49+E49=Total_Code!AU28,1,"Err_Code Calog-A.P.E.")</f>
        <v>#N/A</v>
      </c>
      <c r="I49" s="414" t="e">
        <f>IF(F49=Total_Code!AU27,1,"Err_T_Code Ops")</f>
        <v>#N/A</v>
      </c>
      <c r="J49" s="4" t="s">
        <v>3494</v>
      </c>
      <c r="K49" s="4" t="s">
        <v>334</v>
      </c>
      <c r="L49" s="4" t="s">
        <v>2832</v>
      </c>
      <c r="M49" s="787"/>
      <c r="N49" s="521"/>
      <c r="O49" s="793"/>
      <c r="P49" s="786"/>
      <c r="Q49" s="521"/>
      <c r="R49" s="787"/>
      <c r="S49" s="521"/>
      <c r="T49" s="787"/>
      <c r="U49" s="521"/>
      <c r="V49" s="521" t="s">
        <v>906</v>
      </c>
    </row>
    <row r="50" spans="1:22">
      <c r="A50" s="2123" t="s">
        <v>204</v>
      </c>
      <c r="B50" s="2124" t="s">
        <v>203</v>
      </c>
      <c r="C50" s="572"/>
      <c r="D50" s="588" t="e">
        <f>Total_Code!AV25</f>
        <v>#N/A</v>
      </c>
      <c r="E50" s="589" t="e">
        <f>Calog!EH1-D50</f>
        <v>#N/A</v>
      </c>
      <c r="F50" s="593" t="e">
        <f>Ops!FF1</f>
        <v>#N/A</v>
      </c>
      <c r="G50" s="576" t="e">
        <f>SUM(C50:F50)</f>
        <v>#N/A</v>
      </c>
      <c r="H50" s="413" t="e">
        <f>IF(D50+E50=Total_Code!AV28,1,"Err_Code Calog-A.P.E.")</f>
        <v>#N/A</v>
      </c>
      <c r="I50" s="414" t="e">
        <f>IF(F50=Total_Code!AV27,1,"Err_T_Code Ops")</f>
        <v>#N/A</v>
      </c>
      <c r="M50" s="787"/>
      <c r="N50" s="521"/>
      <c r="O50" s="793"/>
      <c r="P50" s="786"/>
      <c r="Q50" s="521"/>
      <c r="R50" s="787"/>
      <c r="S50" s="521"/>
      <c r="T50" s="787"/>
      <c r="U50" s="521"/>
      <c r="V50" s="521"/>
    </row>
    <row r="51" spans="1:22">
      <c r="A51" s="600" t="str">
        <f>Total_Code!AW1</f>
        <v>121-48/99</v>
      </c>
      <c r="B51" s="601" t="str">
        <f>FormAide!D55</f>
        <v>Autres Indemnités</v>
      </c>
      <c r="C51" s="597"/>
      <c r="D51" s="602" t="e">
        <f>Total_Code!AW25</f>
        <v>#N/A</v>
      </c>
      <c r="E51" s="603" t="e">
        <f>Calog!EK1-D51</f>
        <v>#N/A</v>
      </c>
      <c r="F51" s="604">
        <f>Ops!FI1</f>
        <v>0</v>
      </c>
      <c r="G51" s="576" t="e">
        <f t="shared" si="0"/>
        <v>#N/A</v>
      </c>
      <c r="H51" s="413" t="e">
        <f>IF(D51+E51=Total_Code!AW28,1,"Err_Code Calog-A.P.E.")</f>
        <v>#N/A</v>
      </c>
      <c r="I51" s="414">
        <f>IF(F51=Total_Code!AW27,1,"Err_T_Code Ops")</f>
        <v>1</v>
      </c>
      <c r="J51" s="4" t="s">
        <v>1655</v>
      </c>
      <c r="K51" s="4" t="s">
        <v>333</v>
      </c>
      <c r="L51" s="4" t="s">
        <v>2838</v>
      </c>
      <c r="M51" s="787"/>
      <c r="N51" s="521"/>
      <c r="O51" s="793"/>
      <c r="P51" s="786"/>
      <c r="Q51" s="521"/>
      <c r="R51" s="787"/>
      <c r="S51" s="521"/>
      <c r="T51" s="787"/>
      <c r="U51" s="521" t="s">
        <v>4232</v>
      </c>
      <c r="V51" s="521" t="s">
        <v>4232</v>
      </c>
    </row>
    <row r="52" spans="1:22" s="788" customFormat="1" ht="25.5">
      <c r="A52" s="605"/>
      <c r="B52" s="606" t="str">
        <f>FormAide!D62</f>
        <v>Partie fixe de l'allocation de fin d'année (AFA)
Base de la charge Patronale &amp; Subvention Sociale II</v>
      </c>
      <c r="C52" s="607"/>
      <c r="D52" s="608" t="e">
        <f>Total_Code!BT25</f>
        <v>#N/A</v>
      </c>
      <c r="E52" s="609" t="e">
        <f>Calog!EX1-D52</f>
        <v>#VALUE!</v>
      </c>
      <c r="F52" s="610" t="e">
        <f>Ops!FV1</f>
        <v>#N/A</v>
      </c>
      <c r="G52" s="611"/>
      <c r="H52" s="459" t="e">
        <f>IF(D52+E52=Total_Code!BT28,1,"Err_Code Calog-A.P.E.")</f>
        <v>#N/A</v>
      </c>
      <c r="I52" s="460" t="e">
        <f>IF(F52=Total_Code!BT27,1,"Err_Code Ops")</f>
        <v>#N/A</v>
      </c>
      <c r="J52" s="788" t="s">
        <v>2724</v>
      </c>
      <c r="K52" s="788" t="s">
        <v>2834</v>
      </c>
      <c r="L52" s="788" t="s">
        <v>751</v>
      </c>
      <c r="M52" s="787"/>
      <c r="N52" s="502"/>
      <c r="O52" s="791" t="s">
        <v>906</v>
      </c>
      <c r="P52" s="792"/>
      <c r="Q52" s="502"/>
      <c r="R52" s="790"/>
      <c r="S52" s="502"/>
      <c r="T52" s="790" t="s">
        <v>906</v>
      </c>
      <c r="U52" s="502"/>
      <c r="V52" s="502"/>
    </row>
    <row r="53" spans="1:22" s="796" customFormat="1" ht="26.25" thickBot="1">
      <c r="A53" s="612" t="str">
        <f>Total_Code!AX1</f>
        <v>113-01</v>
      </c>
      <c r="B53" s="578" t="str">
        <f>FormAide!D56</f>
        <v>Cotisations  Patronales Ordinaires sur Allocations Fixes, Traitement, Mandat, Supplém Sem volontaire4jrs &amp; partie fixe AFA"</v>
      </c>
      <c r="C53" s="1160" t="e">
        <f>Ops!FK9</f>
        <v>#N/A</v>
      </c>
      <c r="D53" s="614" t="e">
        <f>Total_Code!AX25</f>
        <v>#N/A</v>
      </c>
      <c r="E53" s="615" t="e">
        <f>Calog!EM1-D53</f>
        <v>#N/A</v>
      </c>
      <c r="F53" s="616" t="e">
        <f>Ops!FK1</f>
        <v>#VALUE!</v>
      </c>
      <c r="G53" s="617" t="e">
        <f t="shared" si="0"/>
        <v>#N/A</v>
      </c>
      <c r="H53" s="456" t="e">
        <f>IF(D53+E53=Total_Code!AX28,1,"Err_Code Calog-A.P.E.")</f>
        <v>#N/A</v>
      </c>
      <c r="I53" s="457" t="e">
        <f>IF(F53=Total_Code!AX27,1,"Err_T_Code Ops")</f>
        <v>#VALUE!</v>
      </c>
      <c r="J53" s="796" t="s">
        <v>1420</v>
      </c>
      <c r="K53" s="796" t="s">
        <v>2829</v>
      </c>
      <c r="L53" s="796" t="s">
        <v>2839</v>
      </c>
      <c r="M53" s="787"/>
      <c r="O53" s="2983" t="s">
        <v>2766</v>
      </c>
      <c r="P53" s="2984"/>
      <c r="R53" s="797"/>
      <c r="T53" s="797"/>
    </row>
    <row r="54" spans="1:22" s="796" customFormat="1" ht="13.5" thickBot="1">
      <c r="A54" s="612" t="str">
        <f>Total_Code!AY1</f>
        <v>113-21</v>
      </c>
      <c r="B54" s="578" t="str">
        <f>FormAide!D57</f>
        <v>Côtisations patronales pensions sur Traitement, Mandat et allocations fixes</v>
      </c>
      <c r="C54" s="618"/>
      <c r="D54" s="614">
        <f>Total_Code!AY25</f>
        <v>0</v>
      </c>
      <c r="E54" s="615" t="e">
        <f>Calog!EO1-D54</f>
        <v>#N/A</v>
      </c>
      <c r="F54" s="616" t="e">
        <f>Ops!FM1</f>
        <v>#VALUE!</v>
      </c>
      <c r="G54" s="617" t="e">
        <f t="shared" si="0"/>
        <v>#N/A</v>
      </c>
      <c r="H54" s="456" t="e">
        <f>IF(D54+E54=Total_Code!AY28,1,"Err_Code Calog-A.P.E.")</f>
        <v>#N/A</v>
      </c>
      <c r="I54" s="457" t="e">
        <f>IF(F54=Total_Code!AY27,1,"Err_T_Code Ops")</f>
        <v>#VALUE!</v>
      </c>
      <c r="J54" s="796" t="s">
        <v>3744</v>
      </c>
      <c r="K54" s="796" t="s">
        <v>4350</v>
      </c>
      <c r="L54" s="796" t="s">
        <v>2840</v>
      </c>
      <c r="M54" s="798" t="s">
        <v>2766</v>
      </c>
      <c r="R54" s="797"/>
      <c r="T54" s="797"/>
    </row>
    <row r="55" spans="1:22" s="796" customFormat="1" ht="13.5" thickBot="1">
      <c r="A55" s="612" t="str">
        <f>Total_Code!AZ1</f>
        <v>113-08</v>
      </c>
      <c r="B55" s="578" t="str">
        <f>FormAide!D58</f>
        <v>Cotisations patronales ordinaires sur les Allocations Variables</v>
      </c>
      <c r="C55" s="618"/>
      <c r="D55" s="614" t="e">
        <f>Total_Code!AZ25</f>
        <v>#N/A</v>
      </c>
      <c r="E55" s="615" t="e">
        <f>Calog!EQ1-D55</f>
        <v>#N/A</v>
      </c>
      <c r="F55" s="616" t="e">
        <f>Ops!FO1</f>
        <v>#N/A</v>
      </c>
      <c r="G55" s="617" t="e">
        <f t="shared" si="0"/>
        <v>#N/A</v>
      </c>
      <c r="H55" s="456" t="e">
        <f>IF(D55+E55=Total_Code!AZ28,1,"Err_Code Calog-A.P.E.")</f>
        <v>#N/A</v>
      </c>
      <c r="I55" s="457" t="e">
        <f>IF(F55=Total_Code!AZ27,1,"Err_T_Code Ops")</f>
        <v>#N/A</v>
      </c>
      <c r="J55" s="796" t="s">
        <v>3745</v>
      </c>
      <c r="K55" s="796" t="s">
        <v>1977</v>
      </c>
      <c r="L55" s="796" t="s">
        <v>2841</v>
      </c>
      <c r="R55" s="798" t="s">
        <v>2766</v>
      </c>
      <c r="T55" s="797"/>
    </row>
    <row r="56" spans="1:22" s="796" customFormat="1">
      <c r="A56" s="612" t="str">
        <f>Total_Code!BA1</f>
        <v>117-01</v>
      </c>
      <c r="B56" s="578" t="str">
        <f>FormAide!D59</f>
        <v>Primes accidents du travail ( 3 catégories possibles &lt;&gt;%)</v>
      </c>
      <c r="C56" s="618"/>
      <c r="D56" s="614" t="e">
        <f>Total_Code!BA25</f>
        <v>#N/A</v>
      </c>
      <c r="E56" s="615" t="e">
        <f>Calog!ES1-D56</f>
        <v>#N/A</v>
      </c>
      <c r="F56" s="616" t="e">
        <f>Ops!FQ1</f>
        <v>#VALUE!</v>
      </c>
      <c r="G56" s="617" t="e">
        <f t="shared" si="0"/>
        <v>#N/A</v>
      </c>
      <c r="H56" s="456" t="e">
        <f>IF(D56+E56=Total_Code!BA28,1,"Err_Code Calog-A.P.E.")</f>
        <v>#N/A</v>
      </c>
      <c r="I56" s="457" t="e">
        <f>IF(F56=Total_Code!BA27,1,"Err_T_Code Ops")</f>
        <v>#VALUE!</v>
      </c>
      <c r="J56" s="796" t="s">
        <v>1407</v>
      </c>
      <c r="K56" s="796" t="s">
        <v>332</v>
      </c>
      <c r="L56" s="796" t="s">
        <v>2842</v>
      </c>
      <c r="T56" s="797"/>
    </row>
    <row r="57" spans="1:22" s="796" customFormat="1" ht="13.5" thickBot="1">
      <c r="A57" s="612" t="str">
        <f>Total_Code!BB1</f>
        <v>118-01</v>
      </c>
      <c r="B57" s="578" t="str">
        <f>FormAide!D63</f>
        <v>Total final individuel</v>
      </c>
      <c r="C57" s="1160" t="e">
        <f>Ops!FS9</f>
        <v>#N/A</v>
      </c>
      <c r="D57" s="619" t="e">
        <f>Total_Code!BB25</f>
        <v>#N/A</v>
      </c>
      <c r="E57" s="615" t="e">
        <f>Calog!EU1-D57</f>
        <v>#N/A</v>
      </c>
      <c r="F57" s="616" t="e">
        <f>Ops!FS1</f>
        <v>#VALUE!</v>
      </c>
      <c r="G57" s="617" t="e">
        <f t="shared" si="0"/>
        <v>#N/A</v>
      </c>
      <c r="H57" s="456" t="e">
        <f>IF(D57+E57=Total_Code!BB28,1,"Err_Code Calog-A.P.E.")</f>
        <v>#N/A</v>
      </c>
      <c r="I57" s="457" t="e">
        <f>IF(F57=Total_Code!BB27,1,"Err_T_Code Ops")</f>
        <v>#VALUE!</v>
      </c>
      <c r="J57" s="796" t="s">
        <v>1408</v>
      </c>
      <c r="K57" s="796" t="s">
        <v>2835</v>
      </c>
      <c r="L57" s="796" t="s">
        <v>340</v>
      </c>
      <c r="T57" s="797"/>
    </row>
    <row r="58" spans="1:22" ht="14.25" thickTop="1" thickBot="1">
      <c r="A58" s="620"/>
      <c r="B58" s="621" t="s">
        <v>39</v>
      </c>
      <c r="C58" s="1161" t="e">
        <f>SUM(C5:C57)</f>
        <v>#N/A</v>
      </c>
      <c r="D58" s="622" t="e">
        <f>SUM(D5:D57)-D52</f>
        <v>#N/A</v>
      </c>
      <c r="E58" s="623" t="e">
        <f>SUM(E5:E57)-E52</f>
        <v>#N/A</v>
      </c>
      <c r="F58" s="624" t="e">
        <f>SUM(F5:F57)-F52</f>
        <v>#VALUE!</v>
      </c>
      <c r="G58" s="625" t="e">
        <f>SUM(G5:G57)</f>
        <v>#N/A</v>
      </c>
      <c r="H58" s="626"/>
      <c r="I58" s="627"/>
      <c r="T58" s="628"/>
    </row>
    <row r="59" spans="1:22" ht="14.25" thickTop="1" thickBot="1">
      <c r="A59" s="1246"/>
      <c r="B59" s="1247" t="s">
        <v>3674</v>
      </c>
      <c r="C59" s="1250"/>
      <c r="D59" s="2963" t="e">
        <f>SUM(D58:E58)</f>
        <v>#N/A</v>
      </c>
      <c r="E59" s="2964"/>
      <c r="F59" s="1248"/>
      <c r="G59" s="1249"/>
      <c r="H59" s="626"/>
      <c r="I59" s="627"/>
      <c r="T59" s="628"/>
    </row>
    <row r="60" spans="1:22" ht="14.25" thickTop="1" thickBot="1">
      <c r="A60" s="629"/>
      <c r="B60" s="630"/>
      <c r="C60" s="631"/>
      <c r="D60" s="632"/>
      <c r="E60" s="632"/>
      <c r="F60" s="630" t="s">
        <v>2954</v>
      </c>
      <c r="G60" s="633">
        <f>ROUND(ParaN!C13/ParaN!D13*IndW,2)</f>
        <v>0</v>
      </c>
      <c r="H60" s="626"/>
      <c r="I60" s="112"/>
      <c r="T60" s="628"/>
    </row>
    <row r="61" spans="1:22">
      <c r="A61" s="629"/>
      <c r="B61" s="634"/>
      <c r="C61" s="635"/>
      <c r="D61" s="636"/>
      <c r="E61" s="636"/>
      <c r="F61" s="637" t="s">
        <v>2955</v>
      </c>
      <c r="G61" s="638">
        <f>Pl_pat/IndbasePPB_CGL*IndT</f>
        <v>0</v>
      </c>
      <c r="I61" s="112"/>
      <c r="T61" s="628"/>
    </row>
    <row r="62" spans="1:22" s="788" customFormat="1" ht="13.5" thickBot="1">
      <c r="A62" s="629"/>
      <c r="B62" s="639"/>
      <c r="C62" s="640"/>
      <c r="D62" s="640"/>
      <c r="E62" s="1312" t="e">
        <f>Calog!FB1</f>
        <v>#N/A</v>
      </c>
      <c r="F62" s="641" t="e">
        <f>Ops!FZ1</f>
        <v>#N/A</v>
      </c>
      <c r="G62" s="642" t="e">
        <f>IF(E62+F62-G60&gt;0,SUM(E62:F62)-G60,0)</f>
        <v>#N/A</v>
      </c>
      <c r="H62" s="4"/>
      <c r="I62" s="112"/>
      <c r="T62" s="799" t="s">
        <v>2766</v>
      </c>
    </row>
    <row r="63" spans="1:22" ht="13.5" thickBot="1">
      <c r="A63" s="643"/>
      <c r="B63" s="644"/>
      <c r="C63" s="645"/>
      <c r="D63" s="646"/>
      <c r="E63" s="646"/>
      <c r="F63" s="644" t="s">
        <v>2956</v>
      </c>
      <c r="G63" s="647" t="e">
        <f>G58-G62</f>
        <v>#N/A</v>
      </c>
      <c r="I63" s="112"/>
    </row>
    <row r="64" spans="1:22" ht="14.25" thickTop="1" thickBot="1">
      <c r="A64" s="629"/>
      <c r="B64" s="648"/>
      <c r="C64" s="649"/>
      <c r="D64" s="650"/>
      <c r="E64" s="650"/>
      <c r="F64" s="648" t="s">
        <v>3771</v>
      </c>
      <c r="G64" s="651" t="e">
        <f>G63/MPL</f>
        <v>#N/A</v>
      </c>
      <c r="H64" s="111"/>
      <c r="I64" s="112"/>
    </row>
    <row r="65" spans="2:9">
      <c r="B65" s="801"/>
      <c r="C65" s="802"/>
      <c r="D65" s="520" t="e">
        <f>IF(D58=Total_Code!BS25,"GesContr OK",CONCATENATE("Error ",ROUND(Total_Code!BS25-D58,2)))</f>
        <v>#N/A</v>
      </c>
      <c r="E65" s="520" t="e">
        <f>IF(-0.01&lt;E58+D58=Calog!EW1&gt;0.01,"CALog OK",CONCATENATE("Error ",ROUND(E58-Calog!EW1,2)))</f>
        <v>#N/A</v>
      </c>
      <c r="F65" s="520" t="e">
        <f>IF(-0.01&lt;F58=Ops!FU1&gt;0.01,"Ops OK",CONCATENATE("Error ",ROUND(G60-F58=Ops!FU1,2)))</f>
        <v>#VALUE!</v>
      </c>
      <c r="G65" s="803"/>
      <c r="H65" s="111"/>
      <c r="I65" s="112"/>
    </row>
    <row r="97" spans="5:5" hidden="1">
      <c r="E97" s="505"/>
    </row>
    <row r="121"/>
    <row r="122"/>
    <row r="123"/>
    <row r="124"/>
    <row r="125"/>
  </sheetData>
  <sheetProtection formatColumns="0" formatRows="0" insertRows="0" autoFilter="0"/>
  <mergeCells count="15">
    <mergeCell ref="V1:V4"/>
    <mergeCell ref="M1:M4"/>
    <mergeCell ref="R1:R4"/>
    <mergeCell ref="O1:P4"/>
    <mergeCell ref="O53:P53"/>
    <mergeCell ref="U1:U4"/>
    <mergeCell ref="T1:T4"/>
    <mergeCell ref="J1:J4"/>
    <mergeCell ref="K1:K4"/>
    <mergeCell ref="L1:L4"/>
    <mergeCell ref="D59:E59"/>
    <mergeCell ref="H6:I6"/>
    <mergeCell ref="H7:I7"/>
    <mergeCell ref="H39:I39"/>
    <mergeCell ref="H2:I2"/>
  </mergeCells>
  <phoneticPr fontId="38" type="noConversion"/>
  <conditionalFormatting sqref="H5:I5 H8:I25 H40:I57 H27:I38">
    <cfRule type="cellIs" dxfId="33" priority="35" stopIfTrue="1" operator="equal">
      <formula>1</formula>
    </cfRule>
    <cfRule type="cellIs" dxfId="32" priority="36" stopIfTrue="1" operator="notEqual">
      <formula>1</formula>
    </cfRule>
  </conditionalFormatting>
  <conditionalFormatting sqref="M48:M53 N48:V52 M5:V5 M8:V25 M40:V47 M27:V38 P26 R26:T26">
    <cfRule type="cellIs" dxfId="31" priority="37" stopIfTrue="1" operator="notEqual">
      <formula>0</formula>
    </cfRule>
  </conditionalFormatting>
  <conditionalFormatting sqref="A48:B48 D48:G48">
    <cfRule type="expression" dxfId="30" priority="22" stopIfTrue="1">
      <formula>ANNEE=2023</formula>
    </cfRule>
  </conditionalFormatting>
  <conditionalFormatting sqref="A50:B50 D50:F50">
    <cfRule type="expression" dxfId="29" priority="20" stopIfTrue="1">
      <formula>ANNEE=2023</formula>
    </cfRule>
  </conditionalFormatting>
  <conditionalFormatting sqref="H6:H7">
    <cfRule type="cellIs" dxfId="28" priority="8" stopIfTrue="1" operator="equal">
      <formula>1</formula>
    </cfRule>
    <cfRule type="cellIs" dxfId="27" priority="9" stopIfTrue="1" operator="notEqual">
      <formula>1</formula>
    </cfRule>
  </conditionalFormatting>
  <conditionalFormatting sqref="K26:O26 Q26">
    <cfRule type="cellIs" dxfId="26" priority="5" stopIfTrue="1" operator="notEqual">
      <formula>0</formula>
    </cfRule>
  </conditionalFormatting>
  <conditionalFormatting sqref="H26:I26">
    <cfRule type="cellIs" dxfId="25" priority="6" stopIfTrue="1" operator="equal">
      <formula>1</formula>
    </cfRule>
    <cfRule type="cellIs" dxfId="24" priority="7" stopIfTrue="1" operator="notEqual">
      <formula>1</formula>
    </cfRule>
  </conditionalFormatting>
  <conditionalFormatting sqref="H39">
    <cfRule type="cellIs" dxfId="23" priority="1" stopIfTrue="1" operator="equal">
      <formula>1</formula>
    </cfRule>
    <cfRule type="cellIs" dxfId="22" priority="2" stopIfTrue="1" operator="notEqual">
      <formula>1</formula>
    </cfRule>
  </conditionalFormatting>
  <printOptions horizontalCentered="1" verticalCentered="1"/>
  <pageMargins left="0.19685039370078741" right="0.23622047244094491" top="0.37" bottom="0.31496062992125984" header="0.15748031496062992" footer="0.15748031496062992"/>
  <pageSetup paperSize="9" scale="63" orientation="portrait" horizontalDpi="4294967294" r:id="rId1"/>
  <headerFooter alignWithMargins="0">
    <oddHeader>&amp;C&amp;Z&amp;F</oddHeader>
    <oddFooter>&amp;L&amp;D - &amp;T&amp;R&amp;F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lgTotX1">
    <pageSetUpPr fitToPage="1"/>
  </sheetPr>
  <dimension ref="A1:V107"/>
  <sheetViews>
    <sheetView zoomScale="85" zoomScaleNormal="85" workbookViewId="0">
      <selection activeCell="F53" sqref="F53"/>
    </sheetView>
  </sheetViews>
  <sheetFormatPr defaultColWidth="0" defaultRowHeight="0" customHeight="1" zeroHeight="1"/>
  <cols>
    <col min="1" max="1" width="11.5703125" style="517" bestFit="1" customWidth="1"/>
    <col min="2" max="2" width="56.5703125" style="416" customWidth="1"/>
    <col min="3" max="3" width="13.140625" style="416" bestFit="1" customWidth="1"/>
    <col min="4" max="4" width="12.140625" style="416" customWidth="1"/>
    <col min="5" max="5" width="15.42578125" style="518" bestFit="1" customWidth="1"/>
    <col min="6" max="6" width="18.85546875" style="519" customWidth="1"/>
    <col min="7" max="7" width="18.7109375" style="417" bestFit="1" customWidth="1"/>
    <col min="8" max="9" width="19.140625" style="416" customWidth="1"/>
    <col min="10" max="10" width="3.85546875" style="415" hidden="1" customWidth="1"/>
    <col min="11" max="12" width="4.140625" style="416" hidden="1" customWidth="1"/>
    <col min="13" max="16384" width="0" style="416" hidden="1"/>
  </cols>
  <sheetData>
    <row r="1" spans="1:22" ht="67.5" customHeight="1" thickBot="1">
      <c r="A1" s="652"/>
      <c r="B1" s="2121" t="e">
        <f>CONCATENATE(VLOOKUP(B2,TblZone,4,0)," 
  BUDGET EXERCICE -1 : ",ANNEE-1)</f>
        <v>#N/A</v>
      </c>
      <c r="C1" s="1606"/>
      <c r="D1" s="1606"/>
      <c r="E1" s="1606"/>
      <c r="F1" s="1606"/>
      <c r="G1" s="653"/>
      <c r="J1" s="2987" t="s">
        <v>1209</v>
      </c>
      <c r="K1" s="2987" t="s">
        <v>1421</v>
      </c>
      <c r="L1" s="2987" t="s">
        <v>1422</v>
      </c>
    </row>
    <row r="2" spans="1:22" ht="32.25" customHeight="1" thickBot="1">
      <c r="B2" s="654">
        <f>'Page d''accueil'!C7</f>
        <v>0</v>
      </c>
      <c r="C2" s="655" t="s">
        <v>42</v>
      </c>
      <c r="D2" s="656" t="s">
        <v>40</v>
      </c>
      <c r="E2" s="657" t="s">
        <v>4355</v>
      </c>
      <c r="F2" s="658" t="s">
        <v>43</v>
      </c>
      <c r="G2" s="659" t="s">
        <v>39</v>
      </c>
      <c r="J2" s="2987"/>
      <c r="K2" s="2987"/>
      <c r="L2" s="2987"/>
    </row>
    <row r="3" spans="1:22" ht="14.25" thickTop="1" thickBot="1">
      <c r="B3" s="660" t="s">
        <v>3318</v>
      </c>
      <c r="C3" s="661"/>
      <c r="D3" s="662">
        <f>'Total_Code X-1'!A25</f>
        <v>0</v>
      </c>
      <c r="E3" s="663">
        <f>Calog!D1-D3</f>
        <v>1</v>
      </c>
      <c r="F3" s="664">
        <f>Ops!D1</f>
        <v>1</v>
      </c>
      <c r="G3" s="665">
        <f>SUM(C3:F3)</f>
        <v>2</v>
      </c>
      <c r="H3" s="2972" t="s">
        <v>44</v>
      </c>
      <c r="I3" s="2973"/>
      <c r="J3" s="2987"/>
      <c r="K3" s="2987"/>
      <c r="L3" s="2987"/>
    </row>
    <row r="4" spans="1:22" ht="17.25" customHeight="1" thickTop="1" thickBot="1">
      <c r="B4" s="666"/>
      <c r="C4" s="667" t="s">
        <v>539</v>
      </c>
      <c r="D4" s="667" t="s">
        <v>539</v>
      </c>
      <c r="E4" s="668" t="s">
        <v>539</v>
      </c>
      <c r="F4" s="669" t="s">
        <v>539</v>
      </c>
      <c r="G4" s="670" t="s">
        <v>539</v>
      </c>
      <c r="H4" s="551" t="s">
        <v>4355</v>
      </c>
      <c r="I4" s="551" t="s">
        <v>646</v>
      </c>
      <c r="J4" s="2987"/>
      <c r="K4" s="2987"/>
      <c r="L4" s="2987"/>
    </row>
    <row r="5" spans="1:22" ht="13.5" thickTop="1">
      <c r="A5" s="671" t="str">
        <f>FormAide!C5</f>
        <v>111-01/00</v>
      </c>
      <c r="B5" s="672" t="s">
        <v>551</v>
      </c>
      <c r="C5" s="673"/>
      <c r="D5" s="674" t="e">
        <f>'Total_Code X-1'!F25</f>
        <v>#N/A</v>
      </c>
      <c r="E5" s="675" t="e">
        <f>Calog!AW1-D5</f>
        <v>#N/A</v>
      </c>
      <c r="F5" s="676" t="e">
        <f>Ops!AW1-F6</f>
        <v>#N/A</v>
      </c>
      <c r="G5" s="677" t="e">
        <f t="shared" ref="G5:G12" si="0">SUM(C5:F5)</f>
        <v>#N/A</v>
      </c>
      <c r="H5" s="678" t="e">
        <f>IF(D5+E5='Total_Code X-1'!F28,1,"Err_Code Calog-A.P.E.")</f>
        <v>#N/A</v>
      </c>
      <c r="I5" s="679" t="e">
        <f>IF(F5='Total_Code X-1'!F27-F6,1,"Err_T_Code Ops")</f>
        <v>#N/A</v>
      </c>
      <c r="J5" s="415" t="s">
        <v>3301</v>
      </c>
      <c r="K5" s="416" t="s">
        <v>3494</v>
      </c>
      <c r="L5" s="416" t="s">
        <v>3494</v>
      </c>
    </row>
    <row r="6" spans="1:22" s="2554" customFormat="1" ht="12.75">
      <c r="A6" s="2549" t="s">
        <v>5132</v>
      </c>
      <c r="B6" s="2550" t="s">
        <v>5133</v>
      </c>
      <c r="C6" s="673"/>
      <c r="D6" s="682"/>
      <c r="E6" s="683"/>
      <c r="F6" s="2551">
        <f>Tutelle1!G22</f>
        <v>0</v>
      </c>
      <c r="G6" s="2552">
        <f t="shared" si="0"/>
        <v>0</v>
      </c>
      <c r="H6" s="2988" t="e">
        <f>IF(AND(F6=0,Ops!B3&lt;&gt;0,Ops!FT1&lt;&gt;0),"Montants de Tutelle1",1)</f>
        <v>#N/A</v>
      </c>
      <c r="I6" s="2989"/>
      <c r="J6" s="2553"/>
    </row>
    <row r="7" spans="1:22" s="2554" customFormat="1" ht="12.75">
      <c r="A7" s="2549" t="s">
        <v>2675</v>
      </c>
      <c r="B7" s="2550" t="s">
        <v>5134</v>
      </c>
      <c r="C7" s="673"/>
      <c r="D7" s="682"/>
      <c r="E7" s="683"/>
      <c r="F7" s="2551">
        <f>Tutelle1!G23</f>
        <v>0</v>
      </c>
      <c r="G7" s="2552">
        <f t="shared" si="0"/>
        <v>0</v>
      </c>
      <c r="H7" s="2969" t="e">
        <f>IF(AND(F7=0,Ops!B3&lt;&gt;0,Ops!FT1&lt;&gt;0),"Après Mise à Jour  onglets 'Tutelle'",1)</f>
        <v>#N/A</v>
      </c>
      <c r="I7" s="2970"/>
      <c r="J7" s="2553"/>
    </row>
    <row r="8" spans="1:22" ht="12.75">
      <c r="A8" s="691" t="s">
        <v>3900</v>
      </c>
      <c r="B8" s="672" t="s">
        <v>61</v>
      </c>
      <c r="C8" s="673"/>
      <c r="D8" s="1547" t="e">
        <f>'Total_Code X-1'!G25</f>
        <v>#N/A</v>
      </c>
      <c r="E8" s="1548" t="e">
        <f>'Total_Code X-1'!G28-D8</f>
        <v>#N/A</v>
      </c>
      <c r="F8" s="696" t="e">
        <f>'Total_Code X-1'!G27</f>
        <v>#N/A</v>
      </c>
      <c r="G8" s="684" t="e">
        <f t="shared" si="0"/>
        <v>#N/A</v>
      </c>
      <c r="H8" s="678">
        <v>1</v>
      </c>
      <c r="I8" s="679">
        <v>1</v>
      </c>
    </row>
    <row r="9" spans="1:22" s="687" customFormat="1" ht="12.75">
      <c r="A9" s="680" t="str">
        <f>FormAide!C5</f>
        <v>111-01/00</v>
      </c>
      <c r="B9" s="681" t="s">
        <v>3052</v>
      </c>
      <c r="C9" s="1163" t="e">
        <f>Ops!BN9</f>
        <v>#N/A</v>
      </c>
      <c r="D9" s="682"/>
      <c r="E9" s="683"/>
      <c r="F9" s="683"/>
      <c r="G9" s="684" t="e">
        <f t="shared" si="0"/>
        <v>#N/A</v>
      </c>
      <c r="H9" s="685">
        <f>IF(D9+E9=0,1,"No Rights")</f>
        <v>1</v>
      </c>
      <c r="I9" s="686" t="e">
        <f>IF(C9='Total_Code X-1'!BC5,1,"Err_T_Code Ops")</f>
        <v>#N/A</v>
      </c>
      <c r="J9" s="687" t="s">
        <v>3761</v>
      </c>
      <c r="K9" s="688" t="s">
        <v>538</v>
      </c>
      <c r="L9" s="687" t="s">
        <v>1966</v>
      </c>
      <c r="M9" s="689"/>
      <c r="N9" s="689"/>
      <c r="O9" s="689"/>
      <c r="P9" s="689"/>
      <c r="Q9" s="689"/>
      <c r="R9" s="689"/>
      <c r="S9" s="689"/>
      <c r="T9" s="689"/>
      <c r="U9" s="689"/>
      <c r="V9" s="689"/>
    </row>
    <row r="10" spans="1:22" s="687" customFormat="1" ht="12.75">
      <c r="A10" s="680" t="str">
        <f>FormAide!C8</f>
        <v>111-01/01</v>
      </c>
      <c r="B10" s="681" t="s">
        <v>553</v>
      </c>
      <c r="C10" s="673"/>
      <c r="D10" s="682"/>
      <c r="E10" s="683"/>
      <c r="F10" s="690" t="e">
        <f>Ops!BN1</f>
        <v>#N/A</v>
      </c>
      <c r="G10" s="684" t="e">
        <f t="shared" si="0"/>
        <v>#N/A</v>
      </c>
      <c r="H10" s="685">
        <f>IF(D10+E10=0,1,"No Rights")</f>
        <v>1</v>
      </c>
      <c r="I10" s="686" t="e">
        <f>IF(F10='Total_Code X-1'!H27,1,"Err_T_Code Ops")</f>
        <v>#N/A</v>
      </c>
      <c r="J10" s="687" t="s">
        <v>3761</v>
      </c>
      <c r="K10" s="688" t="s">
        <v>538</v>
      </c>
      <c r="L10" s="687" t="s">
        <v>1966</v>
      </c>
      <c r="M10" s="689"/>
      <c r="N10" s="689"/>
      <c r="O10" s="689"/>
      <c r="P10" s="689"/>
      <c r="Q10" s="689"/>
      <c r="R10" s="689"/>
      <c r="S10" s="689"/>
      <c r="T10" s="689"/>
      <c r="U10" s="689"/>
      <c r="V10" s="689"/>
    </row>
    <row r="11" spans="1:22" ht="12.75">
      <c r="A11" s="691" t="str">
        <f>FormAide!C9</f>
        <v>111-01/02</v>
      </c>
      <c r="B11" s="692" t="s">
        <v>554</v>
      </c>
      <c r="C11" s="673"/>
      <c r="D11" s="693" t="e">
        <f>'Total_Code X-1'!I25</f>
        <v>#N/A</v>
      </c>
      <c r="E11" s="694" t="e">
        <f>Calog!BB1-D11</f>
        <v>#N/A</v>
      </c>
      <c r="F11" s="695" t="e">
        <f>Ops!BB1</f>
        <v>#N/A</v>
      </c>
      <c r="G11" s="677" t="e">
        <f t="shared" si="0"/>
        <v>#N/A</v>
      </c>
      <c r="H11" s="678" t="e">
        <f>IF(D11+E11='Total_Code X-1'!I28,1,"Err_Code Calog-A.P.E.")</f>
        <v>#N/A</v>
      </c>
      <c r="I11" s="679" t="e">
        <f>IF(F11='Total_Code X-1'!I27,1,"Err_T_Code Ops")</f>
        <v>#N/A</v>
      </c>
      <c r="J11" s="415" t="s">
        <v>4237</v>
      </c>
      <c r="K11" s="416" t="s">
        <v>1655</v>
      </c>
      <c r="L11" s="416" t="s">
        <v>1655</v>
      </c>
    </row>
    <row r="12" spans="1:22" s="687" customFormat="1" ht="12.75">
      <c r="A12" s="680" t="str">
        <f>FormAide!C10</f>
        <v>111-01/04</v>
      </c>
      <c r="B12" s="681" t="str">
        <f>FormAide!D10</f>
        <v>Supplément semaine volontaire de 4 jours</v>
      </c>
      <c r="C12" s="673"/>
      <c r="D12" s="693" t="e">
        <f>'Total_Code X-1'!J25</f>
        <v>#N/A</v>
      </c>
      <c r="E12" s="694" t="e">
        <f>Calog!BF1-D12</f>
        <v>#N/A</v>
      </c>
      <c r="F12" s="696" t="e">
        <f>Ops!BF1</f>
        <v>#N/A</v>
      </c>
      <c r="G12" s="684" t="e">
        <f t="shared" si="0"/>
        <v>#N/A</v>
      </c>
      <c r="H12" s="685" t="e">
        <f>IF(D12+E12='Total_Code X-1'!J28,1,"Err_Code Calog-A.P.E.")</f>
        <v>#N/A</v>
      </c>
      <c r="I12" s="686" t="e">
        <f>IF(F12='Total_Code X-1'!J27,1,"Err_T_Code Ops")</f>
        <v>#N/A</v>
      </c>
      <c r="J12" s="687" t="s">
        <v>1425</v>
      </c>
      <c r="K12" s="688" t="s">
        <v>2726</v>
      </c>
      <c r="L12" s="687" t="s">
        <v>2726</v>
      </c>
      <c r="M12" s="689"/>
      <c r="N12" s="689"/>
      <c r="O12" s="689"/>
      <c r="P12" s="689"/>
      <c r="Q12" s="689"/>
      <c r="R12" s="689"/>
      <c r="S12" s="689"/>
      <c r="T12" s="689"/>
      <c r="U12" s="689"/>
      <c r="V12" s="689"/>
    </row>
    <row r="13" spans="1:22" s="687" customFormat="1" ht="12.75">
      <c r="A13" s="577" t="s">
        <v>1998</v>
      </c>
      <c r="B13" s="2097" t="s">
        <v>5135</v>
      </c>
      <c r="C13" s="673"/>
      <c r="D13" s="1607" t="e">
        <f>'Total_Code X-1'!K25+'Total_Code X-1'!L25</f>
        <v>#N/A</v>
      </c>
      <c r="E13" s="1608" t="e">
        <f>Calog!BJ1-D13</f>
        <v>#N/A</v>
      </c>
      <c r="F13" s="2098">
        <f>Ops!BJ1-F7</f>
        <v>0</v>
      </c>
      <c r="G13" s="677" t="e">
        <f t="shared" ref="G13:G27" si="1">SUM(C13:F13)</f>
        <v>#N/A</v>
      </c>
      <c r="H13" s="685" t="e">
        <f>IF(D13+E13='Total_Code X-1'!K28,1,"Err_Code Calog-A.P.E.")</f>
        <v>#N/A</v>
      </c>
      <c r="I13" s="686">
        <f>IF(F13='Total_Code X-1'!K27,1,"Err_T_Code Ops")</f>
        <v>1</v>
      </c>
      <c r="K13" s="688"/>
      <c r="M13" s="689"/>
      <c r="N13" s="689"/>
      <c r="O13" s="689"/>
      <c r="P13" s="689"/>
      <c r="Q13" s="689"/>
      <c r="R13" s="689"/>
      <c r="S13" s="689"/>
      <c r="T13" s="689"/>
      <c r="U13" s="689"/>
      <c r="V13" s="689"/>
    </row>
    <row r="14" spans="1:22" s="687" customFormat="1" ht="12.75">
      <c r="A14" s="680" t="str">
        <f>Total!A14</f>
        <v>111-01/14</v>
      </c>
      <c r="B14" s="1689" t="str">
        <f>Total!B14 &amp;" - Régularisations"</f>
        <v>Prime d'intégration     Niveau D - Régularisations</v>
      </c>
      <c r="C14" s="673"/>
      <c r="D14" s="1607" t="e">
        <f>'Total_Code X-1'!L25</f>
        <v>#N/A</v>
      </c>
      <c r="E14" s="1608" t="e">
        <f>Calog!DF1-D14</f>
        <v>#N/A</v>
      </c>
      <c r="F14" s="1609"/>
      <c r="G14" s="677" t="e">
        <f t="shared" si="1"/>
        <v>#N/A</v>
      </c>
      <c r="H14" s="685" t="e">
        <f>IF(D13+E13='Total_Code X-1'!K28,1,"Err_Code Calog-A.P.E.")</f>
        <v>#N/A</v>
      </c>
      <c r="I14" s="686">
        <f>IF(F13='Total_Code X-1'!K27,1,"Err_T_Code Ops")</f>
        <v>1</v>
      </c>
      <c r="K14" s="688"/>
      <c r="M14" s="689"/>
      <c r="N14" s="689"/>
      <c r="O14" s="689"/>
      <c r="P14" s="689"/>
      <c r="Q14" s="689"/>
      <c r="R14" s="689"/>
      <c r="S14" s="689"/>
      <c r="T14" s="689"/>
      <c r="U14" s="689"/>
      <c r="V14" s="689"/>
    </row>
    <row r="15" spans="1:22" ht="12.75">
      <c r="A15" s="691" t="str">
        <f>FormAide!C26</f>
        <v>111-01/05</v>
      </c>
      <c r="B15" s="692" t="s">
        <v>2421</v>
      </c>
      <c r="C15" s="673"/>
      <c r="D15" s="697"/>
      <c r="E15" s="698"/>
      <c r="F15" s="695" t="e">
        <f>Ops!CT1</f>
        <v>#N/A</v>
      </c>
      <c r="G15" s="677" t="e">
        <f t="shared" si="1"/>
        <v>#N/A</v>
      </c>
      <c r="H15" s="678">
        <f>IF(D15+E15=0,1,"No Rights")</f>
        <v>1</v>
      </c>
      <c r="I15" s="679" t="e">
        <f>IF(F15='Total_Code X-1'!M27,1,"Err_T_Code Ops")</f>
        <v>#N/A</v>
      </c>
      <c r="J15" s="415" t="s">
        <v>3762</v>
      </c>
      <c r="K15" s="416" t="s">
        <v>538</v>
      </c>
      <c r="L15" s="416" t="s">
        <v>2095</v>
      </c>
    </row>
    <row r="16" spans="1:22" ht="12.75">
      <c r="A16" s="691" t="str">
        <f>FormAide!C27</f>
        <v>111-01/06</v>
      </c>
      <c r="B16" s="692" t="s">
        <v>2468</v>
      </c>
      <c r="C16" s="673"/>
      <c r="D16" s="697"/>
      <c r="E16" s="698"/>
      <c r="F16" s="695" t="e">
        <f>Ops!CW1</f>
        <v>#N/A</v>
      </c>
      <c r="G16" s="677" t="e">
        <f t="shared" si="1"/>
        <v>#N/A</v>
      </c>
      <c r="H16" s="678">
        <f>IF(D16+E16=0,1,"No Rights")</f>
        <v>1</v>
      </c>
      <c r="I16" s="679" t="e">
        <f>IF(F16='Total_Code X-1'!N27,1,"Err_T_Code Ops")</f>
        <v>#N/A</v>
      </c>
      <c r="J16" s="415" t="s">
        <v>4231</v>
      </c>
      <c r="K16" s="416" t="s">
        <v>538</v>
      </c>
      <c r="L16" s="416" t="s">
        <v>1288</v>
      </c>
    </row>
    <row r="17" spans="1:12" ht="12.75">
      <c r="A17" s="691" t="str">
        <f>FormAide!C28</f>
        <v>111-01/07</v>
      </c>
      <c r="B17" s="692" t="str">
        <f>FormAide!D28</f>
        <v>Allocation analyste criminel/stratégique</v>
      </c>
      <c r="C17" s="673"/>
      <c r="D17" s="693">
        <f>'Total_Code X-1'!O25</f>
        <v>0</v>
      </c>
      <c r="E17" s="699" t="e">
        <f>Calog!CK1-D17</f>
        <v>#N/A</v>
      </c>
      <c r="F17" s="695" t="e">
        <f>Ops!CZ1</f>
        <v>#N/A</v>
      </c>
      <c r="G17" s="677" t="e">
        <f t="shared" si="1"/>
        <v>#N/A</v>
      </c>
      <c r="H17" s="678" t="e">
        <f>IF(D17+E17='Total_Code X-1'!O28,1,"Err_Code Calog-A.P.E.")</f>
        <v>#N/A</v>
      </c>
      <c r="I17" s="679" t="e">
        <f>IF(F17='Total_Code X-1'!O27,1,"Err_T_Code Ops")</f>
        <v>#N/A</v>
      </c>
      <c r="J17" s="415" t="s">
        <v>3763</v>
      </c>
      <c r="K17" s="416" t="s">
        <v>2093</v>
      </c>
      <c r="L17" s="416" t="s">
        <v>1970</v>
      </c>
    </row>
    <row r="18" spans="1:12" ht="12.75">
      <c r="A18" s="691" t="str">
        <f>FormAide!C29</f>
        <v>111-01/08</v>
      </c>
      <c r="B18" s="692" t="str">
        <f>FormAide!D29</f>
        <v>Instructeur</v>
      </c>
      <c r="C18" s="673"/>
      <c r="D18" s="697"/>
      <c r="E18" s="698"/>
      <c r="F18" s="695" t="e">
        <f>Ops!DC1</f>
        <v>#N/A</v>
      </c>
      <c r="G18" s="677" t="e">
        <f t="shared" si="1"/>
        <v>#N/A</v>
      </c>
      <c r="H18" s="678">
        <f>IF(D18+E18=0,1,"No Rights")</f>
        <v>1</v>
      </c>
      <c r="I18" s="679" t="e">
        <f>IF(F18='Total_Code X-1'!P27,1,"Err_T_Code Ops")</f>
        <v>#N/A</v>
      </c>
      <c r="J18" s="415" t="s">
        <v>3735</v>
      </c>
      <c r="K18" s="416" t="s">
        <v>538</v>
      </c>
      <c r="L18" s="416" t="s">
        <v>2093</v>
      </c>
    </row>
    <row r="19" spans="1:12" ht="12.75">
      <c r="A19" s="691" t="str">
        <f>FormAide!C30</f>
        <v>111-01/09</v>
      </c>
      <c r="B19" s="692" t="str">
        <f>FormAide!D30</f>
        <v>Allocation Complémentaire et/ou Compensatoire</v>
      </c>
      <c r="C19" s="673"/>
      <c r="D19" s="697"/>
      <c r="E19" s="698"/>
      <c r="F19" s="695" t="e">
        <f>Ops!DF1</f>
        <v>#N/A</v>
      </c>
      <c r="G19" s="677" t="e">
        <f t="shared" si="1"/>
        <v>#N/A</v>
      </c>
      <c r="H19" s="678">
        <f>IF(D19+E19=0,1,"No Rights")</f>
        <v>1</v>
      </c>
      <c r="I19" s="679" t="e">
        <f>IF(F19='Total_Code X-1'!Q27,1,"Err_T_Code Ops")</f>
        <v>#N/A</v>
      </c>
      <c r="J19" s="415" t="s">
        <v>906</v>
      </c>
      <c r="K19" s="416" t="s">
        <v>538</v>
      </c>
      <c r="L19" s="416" t="s">
        <v>1286</v>
      </c>
    </row>
    <row r="20" spans="1:12" ht="12.75">
      <c r="A20" s="691" t="str">
        <f>FormAide!C31</f>
        <v>111-01/40</v>
      </c>
      <c r="B20" s="692" t="str">
        <f>FormAide!D31</f>
        <v>Allocation Bruxelles</v>
      </c>
      <c r="C20" s="673"/>
      <c r="D20" s="693" t="e">
        <f>'Total_Code X-1'!R25</f>
        <v>#N/A</v>
      </c>
      <c r="E20" s="694" t="e">
        <f>Calog!CN1-D20</f>
        <v>#N/A</v>
      </c>
      <c r="F20" s="695" t="e">
        <f>Ops!DI1</f>
        <v>#N/A</v>
      </c>
      <c r="G20" s="677" t="e">
        <f t="shared" si="1"/>
        <v>#N/A</v>
      </c>
      <c r="H20" s="678" t="e">
        <f>IF(D20+E20='Total_Code X-1'!R28,1,"Err_Code Calog-A.P.E.")</f>
        <v>#N/A</v>
      </c>
      <c r="I20" s="679" t="e">
        <f>IF(F20='Total_Code X-1'!R27,1,"Err_T_Code Ops")</f>
        <v>#N/A</v>
      </c>
      <c r="J20" s="415" t="s">
        <v>931</v>
      </c>
      <c r="K20" s="416" t="s">
        <v>1081</v>
      </c>
      <c r="L20" s="416" t="s">
        <v>1971</v>
      </c>
    </row>
    <row r="21" spans="1:12" ht="12.75">
      <c r="A21" s="691" t="str">
        <f>FormAide!C32</f>
        <v>111-01/41</v>
      </c>
      <c r="B21" s="692" t="str">
        <f>FormAide!D32</f>
        <v>Prime d'engagement - Bruxelles</v>
      </c>
      <c r="C21" s="673"/>
      <c r="D21" s="697"/>
      <c r="E21" s="698"/>
      <c r="F21" s="695" t="e">
        <f>Ops!DL1</f>
        <v>#N/A</v>
      </c>
      <c r="G21" s="677" t="e">
        <f t="shared" si="1"/>
        <v>#N/A</v>
      </c>
      <c r="H21" s="678">
        <f>IF(D21+E21=0,1,"No rights")</f>
        <v>1</v>
      </c>
      <c r="I21" s="679" t="e">
        <f>IF(F21='Total_Code X-1'!S27,1,"Err_T_Code Ops")</f>
        <v>#N/A</v>
      </c>
      <c r="J21" s="415" t="s">
        <v>4232</v>
      </c>
      <c r="K21" s="416" t="s">
        <v>538</v>
      </c>
      <c r="L21" s="416" t="s">
        <v>1972</v>
      </c>
    </row>
    <row r="22" spans="1:12" ht="12.75">
      <c r="A22" s="691" t="str">
        <f>FormAide!C33</f>
        <v>111-01/50</v>
      </c>
      <c r="B22" s="692" t="str">
        <f>FormAide!D33</f>
        <v>Allocation de bilinguisme</v>
      </c>
      <c r="C22" s="673"/>
      <c r="D22" s="693" t="e">
        <f>'Total_Code X-1'!T25</f>
        <v>#N/A</v>
      </c>
      <c r="E22" s="694" t="e">
        <f>Calog!CQ1-D22</f>
        <v>#N/A</v>
      </c>
      <c r="F22" s="695" t="e">
        <f>Ops!DP1</f>
        <v>#N/A</v>
      </c>
      <c r="G22" s="677" t="e">
        <f t="shared" si="1"/>
        <v>#N/A</v>
      </c>
      <c r="H22" s="678" t="e">
        <f>IF(D22+E22='Total_Code X-1'!T28,1,"Err_Code Calog-A.P.E.")</f>
        <v>#N/A</v>
      </c>
      <c r="I22" s="679" t="e">
        <f>IF(F22='Total_Code X-1'!T27,1,"Err_T_Code Ops")</f>
        <v>#N/A</v>
      </c>
      <c r="J22" s="415" t="s">
        <v>3733</v>
      </c>
      <c r="K22" s="416" t="s">
        <v>4532</v>
      </c>
      <c r="L22" s="416" t="s">
        <v>1973</v>
      </c>
    </row>
    <row r="23" spans="1:12" ht="12.75">
      <c r="A23" s="691" t="str">
        <f>FormAide!C34</f>
        <v>111-01/51</v>
      </c>
      <c r="B23" s="692" t="str">
        <f>FormAide!D34</f>
        <v>Allocation connnaissance autre langues</v>
      </c>
      <c r="C23" s="673"/>
      <c r="D23" s="693" t="e">
        <f>'Total_Code X-1'!U25</f>
        <v>#N/A</v>
      </c>
      <c r="E23" s="694" t="e">
        <f>Calog!CT1-D23</f>
        <v>#N/A</v>
      </c>
      <c r="F23" s="695" t="e">
        <f>Ops!DS1</f>
        <v>#N/A</v>
      </c>
      <c r="G23" s="677" t="e">
        <f t="shared" si="1"/>
        <v>#N/A</v>
      </c>
      <c r="H23" s="678" t="e">
        <f>IF(D23+E23='Total_Code X-1'!U28,1,"Err_Code Calog-A.P.E.")</f>
        <v>#N/A</v>
      </c>
      <c r="I23" s="679" t="e">
        <f>IF(F23='Total_Code X-1'!U27,1,"Err_T_Code Ops")</f>
        <v>#N/A</v>
      </c>
      <c r="J23" s="415" t="s">
        <v>3734</v>
      </c>
      <c r="K23" s="416" t="s">
        <v>947</v>
      </c>
      <c r="L23" s="416" t="s">
        <v>1974</v>
      </c>
    </row>
    <row r="24" spans="1:12" s="714" customFormat="1" ht="25.5">
      <c r="A24" s="680" t="str">
        <f>FormAide!C35</f>
        <v>111-01/78-79-80-81</v>
      </c>
      <c r="B24" s="681" t="str">
        <f>FormAide!D35</f>
        <v>Allocation de tenue pour Militaires 
&amp; allocation de Maîtrise /Formation /Sélection</v>
      </c>
      <c r="C24" s="722"/>
      <c r="D24" s="1602"/>
      <c r="E24" s="1603">
        <f>Calog!CW1</f>
        <v>0</v>
      </c>
      <c r="F24" s="1604"/>
      <c r="G24" s="684">
        <f t="shared" si="1"/>
        <v>0</v>
      </c>
      <c r="H24" s="685" t="e">
        <f>IF(D24+E24='Total_Code X-1'!V28,1,"Err_Code Calog-A.P.E.")</f>
        <v>#N/A</v>
      </c>
      <c r="I24" s="686">
        <f>IF(F24=0,1,"no rights")</f>
        <v>1</v>
      </c>
      <c r="J24" s="713" t="s">
        <v>3737</v>
      </c>
      <c r="K24" s="714" t="s">
        <v>2095</v>
      </c>
      <c r="L24" s="714" t="s">
        <v>538</v>
      </c>
    </row>
    <row r="25" spans="1:12" ht="12.75">
      <c r="A25" s="691" t="str">
        <f>FormAide!C36</f>
        <v>111-01/82</v>
      </c>
      <c r="B25" s="692" t="str">
        <f>FormAide!D36</f>
        <v>Prime de Dirigeant</v>
      </c>
      <c r="C25" s="673"/>
      <c r="D25" s="693">
        <f>'Total_Code X-1'!W25</f>
        <v>0</v>
      </c>
      <c r="E25" s="699" t="e">
        <f>Calog!CZ1-D25</f>
        <v>#N/A</v>
      </c>
      <c r="F25" s="700"/>
      <c r="G25" s="677" t="e">
        <f t="shared" si="1"/>
        <v>#N/A</v>
      </c>
      <c r="H25" s="678" t="e">
        <f>IF(D25+E25='Total_Code X-1'!W28,1,"Err_Code Calog-A.P.E.")</f>
        <v>#N/A</v>
      </c>
      <c r="I25" s="679">
        <f>IF(F25=0,1,"no rights")</f>
        <v>1</v>
      </c>
      <c r="J25" s="415" t="s">
        <v>3738</v>
      </c>
      <c r="K25" s="416" t="s">
        <v>2823</v>
      </c>
      <c r="L25" s="416" t="s">
        <v>538</v>
      </c>
    </row>
    <row r="26" spans="1:12" s="4" customFormat="1" ht="12.75">
      <c r="A26" s="2546" t="s">
        <v>5274</v>
      </c>
      <c r="B26" s="2107" t="str">
        <f>FormAide!D37</f>
        <v>Allocation Fonction Directeur (Classe A4-A5 &amp; CPDiv O7-O8)</v>
      </c>
      <c r="C26" s="673"/>
      <c r="D26" s="1602"/>
      <c r="E26" s="2547" t="e">
        <f>Calog!DC1</f>
        <v>#N/A</v>
      </c>
      <c r="F26" s="2103" t="e">
        <f>Ops!DV1</f>
        <v>#N/A</v>
      </c>
      <c r="G26" s="2095" t="e">
        <f>SUM(C26:F26)</f>
        <v>#N/A</v>
      </c>
      <c r="H26" s="2548" t="e">
        <f>IF(E26='Total_Code X-1'!X26,1,"Err_Code Calog-GECO")</f>
        <v>#N/A</v>
      </c>
      <c r="I26" s="679" t="e">
        <f>IF(F26='Total_Code X-1'!X27,1,"Err_T_Code Ops")</f>
        <v>#N/A</v>
      </c>
      <c r="J26" s="2096"/>
    </row>
    <row r="27" spans="1:12" s="714" customFormat="1" ht="12.75">
      <c r="A27" s="708" t="str">
        <f>LEFT(FormAide!C41,9)</f>
        <v>111-01/99</v>
      </c>
      <c r="B27" s="1162" t="str">
        <f>FormAide!D41</f>
        <v>Allocation "Fixe"  Montant indexé du moteur salariale</v>
      </c>
      <c r="C27" s="673"/>
      <c r="D27" s="710" t="e">
        <f>'Total_Code X-1'!Y25</f>
        <v>#N/A</v>
      </c>
      <c r="E27" s="711" t="e">
        <f>Calog!DL1-D27</f>
        <v>#N/A</v>
      </c>
      <c r="F27" s="712" t="e">
        <f>Ops!DY1</f>
        <v>#N/A</v>
      </c>
      <c r="G27" s="684" t="e">
        <f t="shared" si="1"/>
        <v>#N/A</v>
      </c>
      <c r="H27" s="678" t="e">
        <f>IF(D27+E27='Total_Code X-1'!Y28,1,"Err_Code Calog-A.P.E.")</f>
        <v>#N/A</v>
      </c>
      <c r="I27" s="679" t="e">
        <f>IF(F27='Total_Code X-1'!Y27,1,"Err_T_Code Ops")</f>
        <v>#N/A</v>
      </c>
      <c r="J27" s="713" t="s">
        <v>3743</v>
      </c>
      <c r="K27" s="714" t="s">
        <v>453</v>
      </c>
      <c r="L27" s="714" t="s">
        <v>1975</v>
      </c>
    </row>
    <row r="28" spans="1:12" ht="12.75">
      <c r="A28" s="691" t="str">
        <f>FormAide!C16</f>
        <v>111-08/00</v>
      </c>
      <c r="B28" s="701" t="str">
        <f>FormAide!D16</f>
        <v>Heures supplémentaires</v>
      </c>
      <c r="C28" s="702"/>
      <c r="D28" s="703" t="e">
        <f>'Total_Code X-1'!Z25</f>
        <v>#N/A</v>
      </c>
      <c r="E28" s="704" t="e">
        <f>Calog!BS1-D28</f>
        <v>#N/A</v>
      </c>
      <c r="F28" s="705" t="e">
        <f>Ops!BS1</f>
        <v>#N/A</v>
      </c>
      <c r="G28" s="677" t="e">
        <f t="shared" ref="G28:G37" si="2">SUM(C28:F28)</f>
        <v>#N/A</v>
      </c>
      <c r="H28" s="678" t="e">
        <f>IF(D28+E28='Total_Code X-1'!Z28,1,"Err_Code Calog-A.P.E.")</f>
        <v>#N/A</v>
      </c>
      <c r="I28" s="679" t="e">
        <f>IF(F28='Total_Code X-1'!Z27,1,"Err_T_Code Ops")</f>
        <v>#N/A</v>
      </c>
      <c r="J28" s="415" t="s">
        <v>1658</v>
      </c>
      <c r="K28" s="416" t="s">
        <v>1079</v>
      </c>
      <c r="L28" s="416" t="s">
        <v>1079</v>
      </c>
    </row>
    <row r="29" spans="1:12" ht="12.75">
      <c r="A29" s="691" t="str">
        <f>FormAide!C17</f>
        <v>111-08/01</v>
      </c>
      <c r="B29" s="701" t="str">
        <f>FormAide!D17</f>
        <v>Heures de weekend</v>
      </c>
      <c r="C29" s="702"/>
      <c r="D29" s="703" t="e">
        <f>'Total_Code X-1'!AA25</f>
        <v>#N/A</v>
      </c>
      <c r="E29" s="704" t="e">
        <f>Calog!BV1-D29</f>
        <v>#N/A</v>
      </c>
      <c r="F29" s="705" t="e">
        <f>Ops!BV1</f>
        <v>#N/A</v>
      </c>
      <c r="G29" s="677" t="e">
        <f t="shared" si="2"/>
        <v>#N/A</v>
      </c>
      <c r="H29" s="678" t="e">
        <f>IF(D29+E29='Total_Code X-1'!AA28,1,"Err_Code Calog-A.P.E.")</f>
        <v>#N/A</v>
      </c>
      <c r="I29" s="679" t="e">
        <f>IF(F29='Total_Code X-1'!AA27,1,"Err_T_Code Ops")</f>
        <v>#N/A</v>
      </c>
      <c r="J29" s="415" t="s">
        <v>3739</v>
      </c>
      <c r="K29" s="416" t="s">
        <v>1968</v>
      </c>
      <c r="L29" s="416" t="s">
        <v>1968</v>
      </c>
    </row>
    <row r="30" spans="1:12" ht="12.75">
      <c r="A30" s="691" t="str">
        <f>FormAide!C18</f>
        <v>111-08/20</v>
      </c>
      <c r="B30" s="701" t="str">
        <f>FormAide!D18</f>
        <v>Heures de nuit 19:00-22:00</v>
      </c>
      <c r="C30" s="702"/>
      <c r="D30" s="703" t="e">
        <f>'Total_Code X-1'!AB25</f>
        <v>#N/A</v>
      </c>
      <c r="E30" s="704" t="e">
        <f>Calog!BY1-D30</f>
        <v>#N/A</v>
      </c>
      <c r="F30" s="705" t="e">
        <f>Ops!BY1</f>
        <v>#N/A</v>
      </c>
      <c r="G30" s="677" t="e">
        <f t="shared" si="2"/>
        <v>#N/A</v>
      </c>
      <c r="H30" s="678" t="e">
        <f>IF(D30+E30='Total_Code X-1'!AB28,1,"Err_Code Calog-A.P.E.")</f>
        <v>#N/A</v>
      </c>
      <c r="I30" s="679" t="e">
        <f>IF(F30='Total_Code X-1'!AB27,1,"Err_T_Code Ops")</f>
        <v>#N/A</v>
      </c>
      <c r="J30" s="415" t="s">
        <v>3302</v>
      </c>
      <c r="K30" s="416" t="s">
        <v>2725</v>
      </c>
      <c r="L30" s="416" t="s">
        <v>2725</v>
      </c>
    </row>
    <row r="31" spans="1:12" ht="12.75">
      <c r="A31" s="691" t="str">
        <f>FormAide!C19</f>
        <v>111-08/21</v>
      </c>
      <c r="B31" s="701" t="str">
        <f>FormAide!D19</f>
        <v>Heures de Nuit  22:00-06:00</v>
      </c>
      <c r="C31" s="702"/>
      <c r="D31" s="703" t="e">
        <f>'Total_Code X-1'!AC25</f>
        <v>#N/A</v>
      </c>
      <c r="E31" s="704" t="e">
        <f>Calog!CB1-D31</f>
        <v>#N/A</v>
      </c>
      <c r="F31" s="705" t="e">
        <f>Ops!CB1</f>
        <v>#N/A</v>
      </c>
      <c r="G31" s="677" t="e">
        <f t="shared" si="2"/>
        <v>#N/A</v>
      </c>
      <c r="H31" s="678" t="e">
        <f>IF(D31+E31='Total_Code X-1'!AC28,1,"Err_Code Calog-A.P.E.")</f>
        <v>#N/A</v>
      </c>
      <c r="I31" s="679" t="e">
        <f>IF(F31='Total_Code X-1'!AC27,1,"Err_T_Code Ops")</f>
        <v>#N/A</v>
      </c>
      <c r="J31" s="415" t="s">
        <v>2052</v>
      </c>
      <c r="K31" s="416" t="s">
        <v>1969</v>
      </c>
      <c r="L31" s="416" t="s">
        <v>1969</v>
      </c>
    </row>
    <row r="32" spans="1:12" ht="12.75">
      <c r="A32" s="691" t="str">
        <f>FormAide!C20</f>
        <v>111-08/03</v>
      </c>
      <c r="B32" s="701" t="str">
        <f>FormAide!D20</f>
        <v>Contactable  &amp; Contactable et Rappelable</v>
      </c>
      <c r="C32" s="702"/>
      <c r="D32" s="703" t="e">
        <f>'Total_Code X-1'!AD25</f>
        <v>#N/A</v>
      </c>
      <c r="E32" s="704" t="e">
        <f>Calog!CE1-D32</f>
        <v>#N/A</v>
      </c>
      <c r="F32" s="705" t="e">
        <f>Ops!CE1</f>
        <v>#N/A</v>
      </c>
      <c r="G32" s="677" t="e">
        <f t="shared" si="2"/>
        <v>#N/A</v>
      </c>
      <c r="H32" s="678" t="e">
        <f>IF(D32+E32='Total_Code X-1'!AD28,1,"Err_Code Calog-A.P.E.")</f>
        <v>#N/A</v>
      </c>
      <c r="I32" s="679" t="e">
        <f>IF(F32='Total_Code X-1'!AD27,1,"Err_T_Code Ops")</f>
        <v>#N/A</v>
      </c>
      <c r="J32" s="415" t="s">
        <v>2985</v>
      </c>
      <c r="K32" s="416" t="s">
        <v>2728</v>
      </c>
      <c r="L32" s="416" t="s">
        <v>2728</v>
      </c>
    </row>
    <row r="33" spans="1:12" ht="12.75">
      <c r="A33" s="691" t="str">
        <f>FormAide!C21</f>
        <v>111-08/04</v>
      </c>
      <c r="B33" s="701" t="str">
        <f>FormAide!D21</f>
        <v>Service Ininterrompu 24-Heures</v>
      </c>
      <c r="C33" s="702"/>
      <c r="D33" s="706"/>
      <c r="E33" s="707"/>
      <c r="F33" s="705" t="e">
        <f>Ops!CH1</f>
        <v>#N/A</v>
      </c>
      <c r="G33" s="677" t="e">
        <f t="shared" si="2"/>
        <v>#N/A</v>
      </c>
      <c r="H33" s="678">
        <f>IF(D33+E33=0,1,"No Rights")</f>
        <v>1</v>
      </c>
      <c r="I33" s="679" t="e">
        <f>IF(F33='Total_Code X-1'!AE27,1,"Err_T_Code Ops")</f>
        <v>#N/A</v>
      </c>
      <c r="J33" s="415" t="s">
        <v>2490</v>
      </c>
      <c r="K33" s="416" t="s">
        <v>538</v>
      </c>
      <c r="L33" s="416" t="s">
        <v>1386</v>
      </c>
    </row>
    <row r="34" spans="1:12" ht="12.75">
      <c r="A34" s="691" t="str">
        <f>FormAide!C22</f>
        <v>111-08/05</v>
      </c>
      <c r="B34" s="701" t="str">
        <f>FormAide!D22</f>
        <v>Allocation d'immigration (demi jour et journée complète)</v>
      </c>
      <c r="C34" s="702"/>
      <c r="D34" s="706"/>
      <c r="E34" s="707"/>
      <c r="F34" s="705" t="e">
        <f>Ops!CK1</f>
        <v>#N/A</v>
      </c>
      <c r="G34" s="677" t="e">
        <f t="shared" si="2"/>
        <v>#N/A</v>
      </c>
      <c r="H34" s="678">
        <f>IF(D34+E34=0,1,"No Rights")</f>
        <v>1</v>
      </c>
      <c r="I34" s="679" t="e">
        <f>IF(F34='Total_Code X-1'!AF27,1,"Err_T_Code Ops")</f>
        <v>#N/A</v>
      </c>
      <c r="J34" s="415" t="s">
        <v>3740</v>
      </c>
      <c r="K34" s="416" t="s">
        <v>538</v>
      </c>
      <c r="L34" s="416" t="s">
        <v>1081</v>
      </c>
    </row>
    <row r="35" spans="1:12" ht="12.75">
      <c r="A35" s="691" t="str">
        <f>FormAide!C23</f>
        <v>111-08/06</v>
      </c>
      <c r="B35" s="701" t="str">
        <f>FormAide!D23</f>
        <v>Allocation observateur aérien</v>
      </c>
      <c r="C35" s="702"/>
      <c r="D35" s="706"/>
      <c r="E35" s="707"/>
      <c r="F35" s="705">
        <f>Ops!CN1</f>
        <v>0</v>
      </c>
      <c r="G35" s="677">
        <f t="shared" si="2"/>
        <v>0</v>
      </c>
      <c r="H35" s="678">
        <f>IF(D35+E35=0,1,"No Rights")</f>
        <v>1</v>
      </c>
      <c r="I35" s="679">
        <f>IF(F35='Total_Code X-1'!AG27,1,"Err_T_Code Ops")</f>
        <v>1</v>
      </c>
      <c r="J35" s="415" t="s">
        <v>3741</v>
      </c>
      <c r="K35" s="416" t="s">
        <v>538</v>
      </c>
      <c r="L35" s="416" t="s">
        <v>4532</v>
      </c>
    </row>
    <row r="36" spans="1:12" ht="12.75">
      <c r="A36" s="691" t="str">
        <f>FormAide!C24</f>
        <v>111-08/07</v>
      </c>
      <c r="B36" s="701" t="str">
        <f>FormAide!D24</f>
        <v>Allocation mentor - mission enseignement</v>
      </c>
      <c r="C36" s="702"/>
      <c r="D36" s="703" t="e">
        <f>'Total_Code X-1'!AH25</f>
        <v>#N/A</v>
      </c>
      <c r="E36" s="704" t="e">
        <f>Calog!CH1-D36</f>
        <v>#N/A</v>
      </c>
      <c r="F36" s="705" t="e">
        <f>Ops!CQ1</f>
        <v>#N/A</v>
      </c>
      <c r="G36" s="677" t="e">
        <f t="shared" si="2"/>
        <v>#N/A</v>
      </c>
      <c r="H36" s="678" t="e">
        <f>IF(D36+E36='Total_Code X-1'!AH28,1,"Err_Code Calog-A.P.E.")</f>
        <v>#N/A</v>
      </c>
      <c r="I36" s="679" t="e">
        <f>IF(F36='Total_Code X-1'!AH27,1,"Err_T_Code Ops")</f>
        <v>#N/A</v>
      </c>
      <c r="J36" s="415" t="s">
        <v>3742</v>
      </c>
      <c r="K36" s="416" t="s">
        <v>1386</v>
      </c>
      <c r="L36" s="416" t="s">
        <v>947</v>
      </c>
    </row>
    <row r="37" spans="1:12" ht="12.75">
      <c r="A37" s="570" t="str">
        <f>Total_Code!AJ1</f>
        <v>111-08/90</v>
      </c>
      <c r="B37" s="1688" t="str">
        <f>FormAide!D40&amp;"- Régularisations"</f>
        <v>Allocation Développement de compétences- Régularisations</v>
      </c>
      <c r="C37" s="702"/>
      <c r="D37" s="1686">
        <f>'Total_Code X-1'!AI25</f>
        <v>0</v>
      </c>
      <c r="E37" s="1687">
        <f>Calog!DI1-D37</f>
        <v>0</v>
      </c>
      <c r="F37" s="1605"/>
      <c r="G37" s="677">
        <f t="shared" si="2"/>
        <v>0</v>
      </c>
      <c r="H37" s="678" t="e">
        <f>IF(D37+E37='Total_Code X-1'!AI28,1,"Err_Code Calog-A.P.E.")</f>
        <v>#N/A</v>
      </c>
      <c r="I37" s="679">
        <v>1</v>
      </c>
    </row>
    <row r="38" spans="1:12" s="714" customFormat="1" ht="12.75">
      <c r="A38" s="680" t="str">
        <f>FormAide!C11</f>
        <v>112-01</v>
      </c>
      <c r="B38" s="1688" t="str">
        <f>FormAide!D11&amp;"- Régularisations"</f>
        <v>Allocation de vacances + prime copernic- Régularisations</v>
      </c>
      <c r="C38" s="673"/>
      <c r="D38" s="710" t="e">
        <f>'Total_Code X-1'!AJ25</f>
        <v>#N/A</v>
      </c>
      <c r="E38" s="711" t="e">
        <f>Calog!BH1-D38</f>
        <v>#N/A</v>
      </c>
      <c r="F38" s="712">
        <f>Ops!BH1-F39</f>
        <v>0</v>
      </c>
      <c r="G38" s="677" t="e">
        <f t="shared" ref="G38:G47" si="3">SUM(C38:F38)</f>
        <v>#N/A</v>
      </c>
      <c r="H38" s="678" t="e">
        <f>IF(D38+E38='Total_Code X-1'!AJ28,1,"Err_Code Calog-A.P.E.")</f>
        <v>#N/A</v>
      </c>
      <c r="I38" s="679">
        <f>IF(F38='Total_Code X-1'!AJ27-F39,1,"Err_T_Code Ops")</f>
        <v>1</v>
      </c>
      <c r="J38" s="713"/>
    </row>
    <row r="39" spans="1:12" s="2559" customFormat="1" ht="12.75" customHeight="1">
      <c r="A39" s="2555" t="s">
        <v>5136</v>
      </c>
      <c r="B39" s="2556" t="s">
        <v>5137</v>
      </c>
      <c r="C39" s="702"/>
      <c r="D39" s="706"/>
      <c r="E39" s="707"/>
      <c r="F39" s="2557">
        <f>Tutelle1!G25</f>
        <v>0</v>
      </c>
      <c r="G39" s="2552">
        <f t="shared" si="3"/>
        <v>0</v>
      </c>
      <c r="H39" s="2969" t="e">
        <f>IF(AND(F39=0,Ops!B3&lt;&gt;0,,Ops!FT1&lt;&gt;0),"Après Mise à Jour  onglets 'Tutelle'",1)</f>
        <v>#N/A</v>
      </c>
      <c r="I39" s="2970"/>
      <c r="J39" s="2558"/>
    </row>
    <row r="40" spans="1:12" ht="12.75">
      <c r="A40" s="691" t="str">
        <f>FormAide!C48</f>
        <v>115-01/10</v>
      </c>
      <c r="B40" s="692" t="str">
        <f>FormAide!D48</f>
        <v>Indemnités de déplacement  lieu de travail/maison/ KM</v>
      </c>
      <c r="C40" s="673"/>
      <c r="D40" s="693" t="e">
        <f>'Total_Code X-1'!AK25</f>
        <v>#N/A</v>
      </c>
      <c r="E40" s="694" t="e">
        <f>Calog!DO1-D40</f>
        <v>#N/A</v>
      </c>
      <c r="F40" s="695" t="e">
        <f>Ops!EP1</f>
        <v>#N/A</v>
      </c>
      <c r="G40" s="677" t="e">
        <f>SUM(C40:F40)</f>
        <v>#N/A</v>
      </c>
      <c r="H40" s="678" t="e">
        <f>IF(D40+E40='Total_Code X-1'!AK28,1,"Err_Code Calog-A.P.E.")</f>
        <v>#N/A</v>
      </c>
      <c r="I40" s="679" t="e">
        <f>IF(F40='Total_Code X-1'!AK27,1,"Err_T_Code Ops")</f>
        <v>#N/A</v>
      </c>
      <c r="J40" s="415" t="s">
        <v>3744</v>
      </c>
      <c r="K40" s="416" t="s">
        <v>2825</v>
      </c>
      <c r="L40" s="416" t="s">
        <v>1979</v>
      </c>
    </row>
    <row r="41" spans="1:12" ht="12.75">
      <c r="A41" s="691" t="str">
        <f>FormAide!C49</f>
        <v>115-01/11</v>
      </c>
      <c r="B41" s="692" t="str">
        <f>FormAide!D49</f>
        <v>Indemnités de déplacement  lieu de travail/maison/ Abt Soc</v>
      </c>
      <c r="C41" s="673"/>
      <c r="D41" s="693" t="e">
        <f>'Total_Code X-1'!AL25</f>
        <v>#N/A</v>
      </c>
      <c r="E41" s="694" t="e">
        <f>Calog!DR1-D41</f>
        <v>#N/A</v>
      </c>
      <c r="F41" s="695" t="e">
        <f>Ops!ES1</f>
        <v>#N/A</v>
      </c>
      <c r="G41" s="677" t="e">
        <f>SUM(C41:F41)</f>
        <v>#N/A</v>
      </c>
      <c r="H41" s="678" t="e">
        <f>IF(D41+E41='Total_Code X-1'!AL28,1,"Err_Code Calog-A.P.E.")</f>
        <v>#N/A</v>
      </c>
      <c r="I41" s="679" t="e">
        <f>IF(F41='Total_Code X-1'!AL27,1,"Err_T_Code Ops")</f>
        <v>#N/A</v>
      </c>
      <c r="J41" s="415" t="s">
        <v>3745</v>
      </c>
      <c r="K41" s="416" t="s">
        <v>2826</v>
      </c>
      <c r="L41" s="416" t="s">
        <v>748</v>
      </c>
    </row>
    <row r="42" spans="1:12" ht="12.75">
      <c r="A42" s="570" t="s">
        <v>3678</v>
      </c>
      <c r="B42" s="587" t="s">
        <v>1324</v>
      </c>
      <c r="C42" s="1163">
        <f>Ops!EV9</f>
        <v>0</v>
      </c>
      <c r="D42" s="693" t="e">
        <f>'Total_Code X-1'!AM25</f>
        <v>#N/A</v>
      </c>
      <c r="E42" s="694" t="e">
        <f>Calog!DU1-D42</f>
        <v>#N/A</v>
      </c>
      <c r="F42" s="695" t="e">
        <f>Ops!EV1</f>
        <v>#N/A</v>
      </c>
      <c r="G42" s="677" t="e">
        <f>SUM(C42:F42)</f>
        <v>#N/A</v>
      </c>
      <c r="H42" s="678" t="e">
        <f>IF(D42+E42='Total_Code X-1'!AM28,1,"Err_Code Calog-A.P.E.")</f>
        <v>#N/A</v>
      </c>
      <c r="I42" s="679" t="e">
        <f>IF(F42='Total_Code X-1'!AM27,1,"Err_T_Code Ops")</f>
        <v>#N/A</v>
      </c>
      <c r="J42" s="415" t="s">
        <v>1407</v>
      </c>
      <c r="K42" s="416" t="s">
        <v>2833</v>
      </c>
      <c r="L42" s="416" t="s">
        <v>1980</v>
      </c>
    </row>
    <row r="43" spans="1:12" ht="12.75">
      <c r="A43" s="691" t="str">
        <f>FormAide!C43</f>
        <v>121-03</v>
      </c>
      <c r="B43" s="692" t="str">
        <f>FormAide!D43</f>
        <v>Indemnité entretien uniforme</v>
      </c>
      <c r="C43" s="673"/>
      <c r="D43" s="697"/>
      <c r="E43" s="698"/>
      <c r="F43" s="695" t="e">
        <f>Ops!EB1</f>
        <v>#N/A</v>
      </c>
      <c r="G43" s="677" t="e">
        <f t="shared" si="3"/>
        <v>#N/A</v>
      </c>
      <c r="H43" s="678">
        <f>IF(D43+E43=0,1,"No rights")</f>
        <v>1</v>
      </c>
      <c r="I43" s="679" t="e">
        <f>IF(F43='Total_Code X-1'!AN27,1,"Err_T_Code Ops")</f>
        <v>#N/A</v>
      </c>
      <c r="J43" s="415" t="s">
        <v>1408</v>
      </c>
      <c r="K43" s="416" t="s">
        <v>538</v>
      </c>
      <c r="L43" s="416" t="s">
        <v>1976</v>
      </c>
    </row>
    <row r="44" spans="1:12" ht="12.75">
      <c r="A44" s="691" t="str">
        <f>FormAide!C44</f>
        <v>121-48/01</v>
      </c>
      <c r="B44" s="692" t="str">
        <f>FormAide!D44</f>
        <v>Indemnité de téléphone</v>
      </c>
      <c r="C44" s="673"/>
      <c r="D44" s="693" t="e">
        <f>'Total_Code X-1'!AO25</f>
        <v>#N/A</v>
      </c>
      <c r="E44" s="694" t="e">
        <f>Calog!DX1-D44</f>
        <v>#N/A</v>
      </c>
      <c r="F44" s="695" t="e">
        <f>Ops!EE1</f>
        <v>#N/A</v>
      </c>
      <c r="G44" s="677" t="e">
        <f t="shared" si="3"/>
        <v>#N/A</v>
      </c>
      <c r="H44" s="678" t="e">
        <f>IF(D44+E44='Total_Code X-1'!AO28,1,"Err_Code Calog-A.P.E.")</f>
        <v>#N/A</v>
      </c>
      <c r="I44" s="679" t="e">
        <f>IF(F44='Total_Code X-1'!AO27,1,"Err_T_Code Ops")</f>
        <v>#N/A</v>
      </c>
      <c r="J44" s="415" t="s">
        <v>1409</v>
      </c>
      <c r="K44" s="416" t="s">
        <v>2827</v>
      </c>
      <c r="L44" s="416" t="s">
        <v>4350</v>
      </c>
    </row>
    <row r="45" spans="1:12" ht="12.75">
      <c r="A45" s="691" t="str">
        <f>FormAide!C45</f>
        <v>121-48/02</v>
      </c>
      <c r="B45" s="692" t="str">
        <f>FormAide!D45</f>
        <v>Indemnité enquête judiciaire - Mensuel</v>
      </c>
      <c r="C45" s="673"/>
      <c r="D45" s="697"/>
      <c r="E45" s="698"/>
      <c r="F45" s="695" t="e">
        <f>Ops!EG1</f>
        <v>#N/A</v>
      </c>
      <c r="G45" s="677" t="e">
        <f t="shared" si="3"/>
        <v>#N/A</v>
      </c>
      <c r="H45" s="678">
        <f>IF(D45+E45=0,1,"No rights")</f>
        <v>1</v>
      </c>
      <c r="I45" s="679" t="e">
        <f>IF(F45='Total_Code X-1'!AP27,1,"Err_T_Code Ops")</f>
        <v>#N/A</v>
      </c>
      <c r="J45" s="415" t="s">
        <v>1410</v>
      </c>
      <c r="K45" s="416" t="s">
        <v>538</v>
      </c>
      <c r="L45" s="416" t="s">
        <v>1977</v>
      </c>
    </row>
    <row r="46" spans="1:12" ht="12.75">
      <c r="A46" s="691" t="str">
        <f>FormAide!C51</f>
        <v>121-48/03</v>
      </c>
      <c r="B46" s="692" t="str">
        <f>FormAide!D51</f>
        <v>Indemnité enquête judiciaire - Journalier</v>
      </c>
      <c r="C46" s="673"/>
      <c r="D46" s="697"/>
      <c r="E46" s="698"/>
      <c r="F46" s="695" t="e">
        <f>Ops!EJ1</f>
        <v>#N/A</v>
      </c>
      <c r="G46" s="677" t="e">
        <f t="shared" si="3"/>
        <v>#N/A</v>
      </c>
      <c r="H46" s="678">
        <f>IF(D46+E46=0,1,"No rights")</f>
        <v>1</v>
      </c>
      <c r="I46" s="679" t="e">
        <f>IF(F46='Total_Code X-1'!AQ27,1,"Err_T_Code Ops")</f>
        <v>#N/A</v>
      </c>
      <c r="J46" s="415" t="s">
        <v>1411</v>
      </c>
      <c r="K46" s="416" t="s">
        <v>538</v>
      </c>
      <c r="L46" s="416" t="s">
        <v>1981</v>
      </c>
    </row>
    <row r="47" spans="1:12" ht="12.75">
      <c r="A47" s="691" t="str">
        <f>FormAide!C46</f>
        <v>121-48/04</v>
      </c>
      <c r="B47" s="692" t="str">
        <f>FormAide!D46</f>
        <v>Indemnité pour chien policier</v>
      </c>
      <c r="C47" s="673"/>
      <c r="D47" s="715"/>
      <c r="E47" s="716"/>
      <c r="F47" s="695">
        <f>Ops!EM1</f>
        <v>0</v>
      </c>
      <c r="G47" s="677">
        <f t="shared" si="3"/>
        <v>0</v>
      </c>
      <c r="H47" s="678">
        <f>IF(D47+E47=0,1,"No rights")</f>
        <v>1</v>
      </c>
      <c r="I47" s="679">
        <f>IF(F47='Total_Code X-1'!AR27,1,"Err_T_Code Ops")</f>
        <v>1</v>
      </c>
      <c r="J47" s="415" t="s">
        <v>1413</v>
      </c>
      <c r="K47" s="416" t="s">
        <v>538</v>
      </c>
      <c r="L47" s="416" t="s">
        <v>1978</v>
      </c>
    </row>
    <row r="48" spans="1:12" ht="12.75">
      <c r="A48" s="2123" t="s">
        <v>2788</v>
      </c>
      <c r="B48" s="2124" t="str">
        <f>IF(ChRepasCheck&lt;&gt;"","Cheques Repas depuis 11/2022","Indemnités de repas : Modèle 9BIS ")</f>
        <v>Cheques Repas depuis 11/2022</v>
      </c>
      <c r="C48" s="673"/>
      <c r="D48" s="588" t="e">
        <f>'Total_Code X-1'!AS25</f>
        <v>#N/A</v>
      </c>
      <c r="E48" s="589" t="e">
        <f>Calog!EA1-D48</f>
        <v>#N/A</v>
      </c>
      <c r="F48" s="593" t="e">
        <f>Ops!EY1</f>
        <v>#N/A</v>
      </c>
      <c r="G48" s="576" t="e">
        <f>SUM(C48:F48)</f>
        <v>#N/A</v>
      </c>
      <c r="H48" s="678" t="e">
        <f>IF(D48+E48='Total_Code X-1'!AS28,1,"Err_Code Calog-A.P.E.")</f>
        <v>#N/A</v>
      </c>
      <c r="I48" s="679" t="e">
        <f>IF(F48='Total_Code X-1'!AS27,1,"Err_T_Code Ops")</f>
        <v>#N/A</v>
      </c>
      <c r="J48" s="415" t="s">
        <v>1412</v>
      </c>
      <c r="K48" s="416" t="s">
        <v>2824</v>
      </c>
      <c r="L48" s="416" t="s">
        <v>1424</v>
      </c>
    </row>
    <row r="49" spans="1:12" ht="12.75">
      <c r="A49" s="570" t="s">
        <v>634</v>
      </c>
      <c r="B49" s="587" t="s">
        <v>495</v>
      </c>
      <c r="C49" s="673"/>
      <c r="D49" s="693" t="e">
        <f>'Total_Code X-1'!AT25</f>
        <v>#N/A</v>
      </c>
      <c r="E49" s="694" t="e">
        <f>Calog!ED1-D49</f>
        <v>#N/A</v>
      </c>
      <c r="F49" s="695" t="e">
        <f>Ops!FB1</f>
        <v>#N/A</v>
      </c>
      <c r="G49" s="677" t="e">
        <f>SUM(C49:F49)</f>
        <v>#N/A</v>
      </c>
      <c r="H49" s="678" t="e">
        <f>IF(D49+E49='Total_Code X-1'!AT28,1,"Err_Code Calog-A.P.E.")</f>
        <v>#N/A</v>
      </c>
      <c r="I49" s="679" t="e">
        <f>IF(F49='Total_Code X-1'!AT27,1,"Err_T_Code Ops")</f>
        <v>#N/A</v>
      </c>
      <c r="J49" s="415" t="s">
        <v>3736</v>
      </c>
      <c r="K49" s="416" t="s">
        <v>2828</v>
      </c>
      <c r="L49" s="416" t="s">
        <v>1982</v>
      </c>
    </row>
    <row r="50" spans="1:12" ht="12.75">
      <c r="A50" s="570" t="s">
        <v>204</v>
      </c>
      <c r="B50" s="587" t="s">
        <v>203</v>
      </c>
      <c r="C50" s="673"/>
      <c r="D50" s="693" t="e">
        <f>'Total_Code X-1'!AU25</f>
        <v>#N/A</v>
      </c>
      <c r="E50" s="694" t="e">
        <f>Calog!EG1-D50</f>
        <v>#N/A</v>
      </c>
      <c r="F50" s="695" t="e">
        <f>Ops!FE1</f>
        <v>#N/A</v>
      </c>
      <c r="G50" s="677" t="e">
        <f>SUM(C50:F50)</f>
        <v>#N/A</v>
      </c>
      <c r="H50" s="678" t="e">
        <f>IF(D51+E51='Total_Code X-1'!AV28,1,"Err_Code Calog-A.P.E.")</f>
        <v>#N/A</v>
      </c>
      <c r="I50" s="679" t="e">
        <f>IF(F50='Total_Code X-1'!AU27,1,"Err_T_Code Ops")</f>
        <v>#N/A</v>
      </c>
    </row>
    <row r="51" spans="1:12" ht="12.75">
      <c r="A51" s="708" t="str">
        <f>FormAide!C55</f>
        <v>121-48/99</v>
      </c>
      <c r="B51" s="709" t="str">
        <f>FormAide!D55</f>
        <v>Autres Indemnités</v>
      </c>
      <c r="C51" s="673"/>
      <c r="D51" s="717" t="e">
        <f>'Total_Code X-1'!AV25</f>
        <v>#N/A</v>
      </c>
      <c r="E51" s="718" t="e">
        <f>Calog!EJ1-D51</f>
        <v>#N/A</v>
      </c>
      <c r="F51" s="719">
        <f>Ops!FH1</f>
        <v>0</v>
      </c>
      <c r="G51" s="677" t="e">
        <f>SUM(C51:F51)</f>
        <v>#N/A</v>
      </c>
      <c r="H51" s="678" t="e">
        <f>IF(D51+E51='Total_Code X-1'!AV28,1,"Err_Code Calog-A.P.E.")</f>
        <v>#N/A</v>
      </c>
      <c r="I51" s="679">
        <f>IF(F51='Total_Code X-1'!AV27,1,"Err_T_Code Ops")</f>
        <v>1</v>
      </c>
      <c r="J51" s="415" t="s">
        <v>1416</v>
      </c>
      <c r="K51" s="416" t="s">
        <v>748</v>
      </c>
      <c r="L51" s="416" t="s">
        <v>749</v>
      </c>
    </row>
    <row r="52" spans="1:12" ht="12.75" hidden="1">
      <c r="A52" s="708"/>
      <c r="B52" s="709"/>
      <c r="C52" s="673"/>
      <c r="D52" s="717"/>
      <c r="E52" s="718"/>
      <c r="F52" s="719"/>
      <c r="G52" s="677"/>
      <c r="H52" s="678"/>
      <c r="I52" s="679"/>
    </row>
    <row r="53" spans="1:12" s="714" customFormat="1" ht="38.25" customHeight="1">
      <c r="A53" s="720" t="str">
        <f>FormAide!C56</f>
        <v>113-01</v>
      </c>
      <c r="B53" s="681" t="str">
        <f>FormAide!D56</f>
        <v>Cotisations  Patronales Ordinaires sur Allocations Fixes, Traitement, Mandat, Supplém Sem volontaire4jrs &amp; partie fixe AFA"</v>
      </c>
      <c r="C53" s="1163" t="e">
        <f>Ops!FJ9</f>
        <v>#N/A</v>
      </c>
      <c r="D53" s="723" t="e">
        <f>'Total_Code X-1'!AW25</f>
        <v>#N/A</v>
      </c>
      <c r="E53" s="721" t="e">
        <f>Calog!EL1-D53</f>
        <v>#N/A</v>
      </c>
      <c r="F53" s="696" t="e">
        <f>Ops!FJ1</f>
        <v>#N/A</v>
      </c>
      <c r="G53" s="684" t="e">
        <f>SUM(C53:F53)</f>
        <v>#N/A</v>
      </c>
      <c r="H53" s="685" t="e">
        <f>IF(D53+E53='Total_Code X-1'!AW28,1,"Err_Code Calog-A.P.E.")</f>
        <v>#N/A</v>
      </c>
      <c r="I53" s="686" t="e">
        <f>IF(F53='Total_Code X-1'!AW27,1,"Err_T_Code Ops")</f>
        <v>#N/A</v>
      </c>
      <c r="J53" s="713" t="s">
        <v>1415</v>
      </c>
      <c r="K53" s="714" t="s">
        <v>1976</v>
      </c>
      <c r="L53" s="714" t="s">
        <v>4351</v>
      </c>
    </row>
    <row r="54" spans="1:12" ht="25.5">
      <c r="A54" s="720" t="str">
        <f>FormAide!C57</f>
        <v>113-21</v>
      </c>
      <c r="B54" s="681" t="str">
        <f>FormAide!D57</f>
        <v>Côtisations patronales pensions sur Traitement, Mandat et allocations fixes</v>
      </c>
      <c r="C54" s="722"/>
      <c r="D54" s="723">
        <f>'Total_Code X-1'!AX25</f>
        <v>0</v>
      </c>
      <c r="E54" s="724" t="e">
        <f>Calog!EN1-D54</f>
        <v>#N/A</v>
      </c>
      <c r="F54" s="690" t="e">
        <f>Ops!FL1</f>
        <v>#N/A</v>
      </c>
      <c r="G54" s="684" t="e">
        <f>SUM(C54:F54)</f>
        <v>#N/A</v>
      </c>
      <c r="H54" s="678" t="e">
        <f>IF(D54+E54='Total_Code X-1'!AX28,1,"Err_Code Calog-A.P.E.")</f>
        <v>#N/A</v>
      </c>
      <c r="I54" s="679" t="e">
        <f>IF(F54='Total_Code X-1'!AX27,1,"Err_T_Code Ops")</f>
        <v>#N/A</v>
      </c>
      <c r="J54" s="415" t="s">
        <v>1417</v>
      </c>
      <c r="K54" s="416" t="s">
        <v>1423</v>
      </c>
      <c r="L54" s="416" t="s">
        <v>4354</v>
      </c>
    </row>
    <row r="55" spans="1:12" ht="12.75">
      <c r="A55" s="691" t="str">
        <f>FormAide!C58</f>
        <v>113-08</v>
      </c>
      <c r="B55" s="681" t="str">
        <f>FormAide!D58</f>
        <v>Cotisations patronales ordinaires sur les Allocations Variables</v>
      </c>
      <c r="C55" s="673"/>
      <c r="D55" s="693" t="e">
        <f>'Total_Code X-1'!AY25</f>
        <v>#N/A</v>
      </c>
      <c r="E55" s="694" t="e">
        <f>Calog!EP1-D55</f>
        <v>#N/A</v>
      </c>
      <c r="F55" s="695" t="e">
        <f>Ops!FN1</f>
        <v>#N/A</v>
      </c>
      <c r="G55" s="677" t="e">
        <f>SUM(C55:F55)</f>
        <v>#N/A</v>
      </c>
      <c r="H55" s="678" t="e">
        <f>IF(D55+E55='Total_Code X-1'!AY28,1,"Err_Code Calog-A.P.E.")</f>
        <v>#N/A</v>
      </c>
      <c r="I55" s="679" t="e">
        <f>IF(F55='Total_Code X-1'!AY27,1,"Err_T_Code Ops")</f>
        <v>#N/A</v>
      </c>
      <c r="J55" s="415" t="s">
        <v>1418</v>
      </c>
      <c r="K55" s="416" t="s">
        <v>2830</v>
      </c>
      <c r="L55" s="416" t="s">
        <v>4352</v>
      </c>
    </row>
    <row r="56" spans="1:12" ht="12.75">
      <c r="A56" s="691" t="str">
        <f>FormAide!C59</f>
        <v>117-01</v>
      </c>
      <c r="B56" s="692" t="str">
        <f>FormAide!D59</f>
        <v>Primes accidents du travail ( 3 catégories possibles &lt;&gt;%)</v>
      </c>
      <c r="C56" s="673"/>
      <c r="D56" s="693" t="e">
        <f>'Total_Code X-1'!AZ25</f>
        <v>#N/A</v>
      </c>
      <c r="E56" s="694" t="e">
        <f>Calog!ER1-D56</f>
        <v>#N/A</v>
      </c>
      <c r="F56" s="695" t="e">
        <f>Ops!FP1</f>
        <v>#N/A</v>
      </c>
      <c r="G56" s="677" t="e">
        <f>SUM(C56:F56)</f>
        <v>#N/A</v>
      </c>
      <c r="H56" s="678" t="e">
        <f>IF(D56+E56='Total_Code X-1'!AZ28,1,"Err_Code Calog-A.P.E.")</f>
        <v>#N/A</v>
      </c>
      <c r="I56" s="679" t="e">
        <f>IF(F56='Total_Code X-1'!AZ27,1,"Err_T_Code Ops")</f>
        <v>#N/A</v>
      </c>
      <c r="J56" s="415" t="s">
        <v>1419</v>
      </c>
      <c r="K56" s="416" t="s">
        <v>1981</v>
      </c>
      <c r="L56" s="416" t="s">
        <v>1983</v>
      </c>
    </row>
    <row r="57" spans="1:12" ht="13.5" thickBot="1">
      <c r="A57" s="691" t="str">
        <f>FormAide!C63</f>
        <v>check
indiv
TOT</v>
      </c>
      <c r="B57" s="692" t="str">
        <f>FormAide!D63</f>
        <v>Total final individuel</v>
      </c>
      <c r="C57" s="1163" t="e">
        <f>Ops!FR9</f>
        <v>#N/A</v>
      </c>
      <c r="D57" s="725" t="e">
        <f>'Total_Code X-1'!BA25</f>
        <v>#N/A</v>
      </c>
      <c r="E57" s="694" t="e">
        <f>Calog!ET1-D57</f>
        <v>#N/A</v>
      </c>
      <c r="F57" s="695" t="e">
        <f>Ops!FR1</f>
        <v>#N/A</v>
      </c>
      <c r="G57" s="677" t="e">
        <f>SUM(C57:F57)</f>
        <v>#N/A</v>
      </c>
      <c r="H57" s="678" t="e">
        <f>IF(D57+E57='Total_Code X-1'!BA28,1,"Err_Code Calog-A.P.E.")</f>
        <v>#N/A</v>
      </c>
      <c r="I57" s="679" t="e">
        <f>IF(F57='Total_Code X-1'!BA27,1,"Err_T_Code Ops")</f>
        <v>#N/A</v>
      </c>
      <c r="J57" s="415" t="s">
        <v>1420</v>
      </c>
      <c r="K57" s="416" t="s">
        <v>2831</v>
      </c>
      <c r="L57" s="416" t="s">
        <v>4353</v>
      </c>
    </row>
    <row r="58" spans="1:12" ht="14.25" thickTop="1" thickBot="1">
      <c r="A58" s="726" t="e">
        <f>F58-Ops!FT1</f>
        <v>#N/A</v>
      </c>
      <c r="B58" s="727" t="s">
        <v>1370</v>
      </c>
      <c r="C58" s="1164" t="e">
        <f>SUM(C5:C57)</f>
        <v>#N/A</v>
      </c>
      <c r="D58" s="728" t="e">
        <f>SUM(D5:D57)</f>
        <v>#N/A</v>
      </c>
      <c r="E58" s="729" t="e">
        <f>SUM(E5:E57)</f>
        <v>#N/A</v>
      </c>
      <c r="F58" s="730" t="e">
        <f>SUM(F5:F57)</f>
        <v>#N/A</v>
      </c>
      <c r="G58" s="731" t="e">
        <f>SUM(G5:G57)</f>
        <v>#N/A</v>
      </c>
    </row>
    <row r="59" spans="1:12" ht="14.25" thickTop="1" thickBot="1">
      <c r="A59" s="732"/>
      <c r="B59" s="1247" t="s">
        <v>3674</v>
      </c>
      <c r="C59" s="733"/>
      <c r="D59" s="2985" t="e">
        <f>SUM(D58:E58)</f>
        <v>#N/A</v>
      </c>
      <c r="E59" s="2986"/>
      <c r="F59" s="734"/>
      <c r="G59" s="735"/>
    </row>
    <row r="60" spans="1:12" ht="12.75">
      <c r="A60" s="736"/>
      <c r="B60" s="737"/>
      <c r="C60" s="738"/>
      <c r="D60" s="739"/>
      <c r="E60" s="739"/>
      <c r="F60" s="637" t="s">
        <v>2955</v>
      </c>
      <c r="G60" s="740"/>
      <c r="H60" s="741"/>
      <c r="I60" s="741"/>
    </row>
    <row r="61" spans="1:12" ht="13.5" thickBot="1">
      <c r="A61" s="736"/>
      <c r="B61" s="742"/>
      <c r="C61" s="743"/>
      <c r="D61" s="743"/>
      <c r="E61" s="1311" t="e">
        <f>Calog!FA1</f>
        <v>#N/A</v>
      </c>
      <c r="F61" s="744" t="e">
        <f>Ops!FY1</f>
        <v>#N/A</v>
      </c>
      <c r="G61" s="745" t="e">
        <f>IF(SUM(E61:F61)&gt;0,SUM(E61:F61),0)</f>
        <v>#N/A</v>
      </c>
      <c r="H61" s="741"/>
      <c r="I61" s="746"/>
    </row>
    <row r="62" spans="1:12" ht="13.5" thickBot="1">
      <c r="A62" s="747"/>
      <c r="B62" s="748"/>
      <c r="C62" s="748"/>
      <c r="D62" s="749"/>
      <c r="E62" s="750"/>
      <c r="F62" s="644" t="s">
        <v>2956</v>
      </c>
      <c r="G62" s="751" t="e">
        <f>G58-G61</f>
        <v>#N/A</v>
      </c>
    </row>
    <row r="63" spans="1:12" ht="14.25" thickTop="1" thickBot="1">
      <c r="A63" s="736"/>
      <c r="B63" s="752"/>
      <c r="C63" s="752"/>
      <c r="D63" s="753"/>
      <c r="E63" s="754"/>
      <c r="F63" s="648" t="s">
        <v>3771</v>
      </c>
      <c r="G63" s="755" t="e">
        <f>G62/MPL</f>
        <v>#N/A</v>
      </c>
    </row>
    <row r="64" spans="1:12" ht="13.5" thickBot="1">
      <c r="A64" s="756"/>
      <c r="B64" s="757"/>
      <c r="C64" s="757"/>
      <c r="D64" s="758" t="e">
        <f>IF(D3="","",IF(D58='Total_Code X-1'!BB25,"A.P.E. OK",CONCATENATE("Error ",ROUND('Total_Code X-1'!BB25-D58,2))))</f>
        <v>#N/A</v>
      </c>
      <c r="E64" s="758" t="e">
        <f>IF(ROUND(E58+D58,2)=ROUND(Calog!EV1,2),"Calog OK",CONCATENATE("Error ",ROUND(E58-Calog!EV1,2)))</f>
        <v>#N/A</v>
      </c>
      <c r="F64" s="759" t="e">
        <f>IF(-0.01&lt;F58=Ops!FT1&gt;0.01,"Ops OK",CONCATENATE("Error ",ROUND(G59-F58=Ops!FU1,2)))</f>
        <v>#N/A</v>
      </c>
      <c r="G64" s="760"/>
    </row>
    <row r="65" ht="12.75"/>
    <row r="66" ht="12.75"/>
    <row r="67" ht="12.75"/>
    <row r="68" ht="12.75"/>
    <row r="69" ht="12.75"/>
    <row r="70" ht="12.75"/>
    <row r="71" ht="12.75"/>
    <row r="72" ht="12.75"/>
    <row r="73" ht="12.75"/>
    <row r="74" ht="12.75"/>
    <row r="75" ht="12.75"/>
    <row r="76" ht="12.75"/>
    <row r="77" ht="12.75"/>
    <row r="78" ht="12.75"/>
    <row r="79" ht="12.75"/>
    <row r="80" ht="12.75"/>
    <row r="81" spans="5:5" ht="12.75"/>
    <row r="82" spans="5:5" ht="12.75"/>
    <row r="83" spans="5:5" ht="12.75"/>
    <row r="84" spans="5:5" ht="12.75"/>
    <row r="85" spans="5:5" ht="12.75"/>
    <row r="86" spans="5:5" ht="12.75"/>
    <row r="87" spans="5:5" ht="12.75"/>
    <row r="88" spans="5:5" ht="12.75"/>
    <row r="89" spans="5:5" ht="12.75"/>
    <row r="90" spans="5:5" ht="12.75"/>
    <row r="91" spans="5:5" ht="12.75"/>
    <row r="92" spans="5:5" ht="12.75"/>
    <row r="93" spans="5:5" ht="12.75"/>
    <row r="94" spans="5:5" ht="12.75"/>
    <row r="95" spans="5:5" ht="12.75" customHeight="1"/>
    <row r="96" spans="5:5" ht="12.75" customHeight="1">
      <c r="E96" s="416"/>
    </row>
    <row r="97" spans="5:5" ht="12.75" customHeight="1">
      <c r="E97" s="416"/>
    </row>
    <row r="98" spans="5:5" ht="12.75" customHeight="1"/>
    <row r="99" spans="5:5" ht="12.75" customHeight="1"/>
    <row r="100" spans="5:5" ht="12.75" customHeight="1"/>
    <row r="101" spans="5:5" ht="12.75" customHeight="1"/>
    <row r="102" spans="5:5" ht="12.75" customHeight="1"/>
    <row r="103" spans="5:5" ht="12.75" customHeight="1"/>
    <row r="104" spans="5:5" ht="12.75" customHeight="1"/>
    <row r="105" spans="5:5" ht="12.75" customHeight="1"/>
    <row r="106" spans="5:5" ht="12.75" customHeight="1"/>
    <row r="107" spans="5:5" ht="12.75" customHeight="1"/>
  </sheetData>
  <sheetProtection formatColumns="0" formatRows="0" autoFilter="0"/>
  <mergeCells count="8">
    <mergeCell ref="D59:E59"/>
    <mergeCell ref="L1:L4"/>
    <mergeCell ref="J1:J4"/>
    <mergeCell ref="K1:K4"/>
    <mergeCell ref="H3:I3"/>
    <mergeCell ref="H6:I6"/>
    <mergeCell ref="H7:I7"/>
    <mergeCell ref="H39:I39"/>
  </mergeCells>
  <phoneticPr fontId="38" type="noConversion"/>
  <conditionalFormatting sqref="H5:I5 H40:I57 H27:I38 H8:I25">
    <cfRule type="cellIs" dxfId="21" priority="18" stopIfTrue="1" operator="equal">
      <formula>1</formula>
    </cfRule>
    <cfRule type="cellIs" dxfId="20" priority="19" stopIfTrue="1" operator="notEqual">
      <formula>1</formula>
    </cfRule>
  </conditionalFormatting>
  <conditionalFormatting sqref="M9:V10 M12:V14">
    <cfRule type="cellIs" dxfId="19" priority="20" stopIfTrue="1" operator="notEqual">
      <formula>0</formula>
    </cfRule>
  </conditionalFormatting>
  <conditionalFormatting sqref="H6:H7">
    <cfRule type="cellIs" dxfId="18" priority="16" stopIfTrue="1" operator="equal">
      <formula>1</formula>
    </cfRule>
    <cfRule type="cellIs" dxfId="17" priority="17" stopIfTrue="1" operator="notEqual">
      <formula>1</formula>
    </cfRule>
  </conditionalFormatting>
  <conditionalFormatting sqref="A48:B48 D48:G48">
    <cfRule type="expression" dxfId="16" priority="9" stopIfTrue="1">
      <formula>ANNEE=2023</formula>
    </cfRule>
  </conditionalFormatting>
  <conditionalFormatting sqref="H26">
    <cfRule type="cellIs" dxfId="15" priority="7" stopIfTrue="1" operator="equal">
      <formula>1</formula>
    </cfRule>
    <cfRule type="cellIs" dxfId="14" priority="8" stopIfTrue="1" operator="notEqual">
      <formula>1</formula>
    </cfRule>
  </conditionalFormatting>
  <conditionalFormatting sqref="I26">
    <cfRule type="cellIs" dxfId="13" priority="5" stopIfTrue="1" operator="equal">
      <formula>1</formula>
    </cfRule>
    <cfRule type="cellIs" dxfId="12" priority="6" stopIfTrue="1" operator="notEqual">
      <formula>1</formula>
    </cfRule>
  </conditionalFormatting>
  <conditionalFormatting sqref="H39">
    <cfRule type="cellIs" dxfId="11" priority="1" stopIfTrue="1" operator="equal">
      <formula>1</formula>
    </cfRule>
    <cfRule type="cellIs" dxfId="10" priority="2" stopIfTrue="1" operator="notEqual">
      <formula>1</formula>
    </cfRule>
  </conditionalFormatting>
  <printOptions horizontalCentered="1" verticalCentered="1"/>
  <pageMargins left="0.15748031496062992" right="0.15748031496062992" top="0.27559055118110237" bottom="0.31496062992125984" header="0.15748031496062992" footer="0.15748031496062992"/>
  <pageSetup paperSize="9" scale="70" orientation="portrait" r:id="rId1"/>
  <headerFooter alignWithMargins="0">
    <oddHeader>&amp;C&amp;Z&amp;F</oddHeader>
    <oddFooter>&amp;L&amp;D - &amp;T&amp;R&amp;F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otaalCode"/>
  <dimension ref="A1:IV32"/>
  <sheetViews>
    <sheetView workbookViewId="0">
      <selection activeCell="C30" sqref="C30"/>
    </sheetView>
  </sheetViews>
  <sheetFormatPr defaultColWidth="11.42578125" defaultRowHeight="12.75"/>
  <cols>
    <col min="1" max="1" width="5.140625" style="521" customWidth="1"/>
    <col min="2" max="2" width="5.5703125" style="521" customWidth="1"/>
    <col min="3" max="3" width="12.7109375" style="521" customWidth="1"/>
    <col min="4" max="4" width="10.140625" style="521" bestFit="1" customWidth="1"/>
    <col min="5" max="5" width="25.42578125" style="521" customWidth="1"/>
    <col min="6" max="6" width="17.140625" style="4" customWidth="1"/>
    <col min="7" max="7" width="16" style="4" customWidth="1"/>
    <col min="8" max="8" width="12.42578125" style="4" customWidth="1"/>
    <col min="9" max="9" width="12.5703125" style="4" customWidth="1"/>
    <col min="10" max="10" width="11.7109375" style="4" customWidth="1"/>
    <col min="11" max="11" width="13.140625" style="4" customWidth="1"/>
    <col min="12" max="12" width="12.85546875" style="4" customWidth="1"/>
    <col min="13" max="13" width="13.140625" style="4" customWidth="1"/>
    <col min="14" max="14" width="13" style="4" customWidth="1"/>
    <col min="15" max="15" width="16" style="4" customWidth="1"/>
    <col min="16" max="17" width="12.5703125" style="4" customWidth="1"/>
    <col min="18" max="18" width="16" style="4" customWidth="1"/>
    <col min="19" max="19" width="12.140625" style="4" customWidth="1"/>
    <col min="20" max="20" width="14.28515625" style="4" customWidth="1"/>
    <col min="21" max="22" width="13.140625" style="4" customWidth="1"/>
    <col min="23" max="23" width="17.85546875" style="4" customWidth="1"/>
    <col min="24" max="24" width="13.5703125" style="4" customWidth="1"/>
    <col min="25" max="28" width="13.140625" style="4" customWidth="1"/>
    <col min="29" max="29" width="13.7109375" style="4" customWidth="1"/>
    <col min="30" max="30" width="13.42578125" style="4" customWidth="1"/>
    <col min="31" max="35" width="12.5703125" style="4" customWidth="1"/>
    <col min="36" max="36" width="14.5703125" style="4" customWidth="1"/>
    <col min="37" max="37" width="13.28515625" style="4" customWidth="1"/>
    <col min="38" max="39" width="15.28515625" style="4" customWidth="1"/>
    <col min="40" max="40" width="16.28515625" style="4" customWidth="1"/>
    <col min="41" max="41" width="12.140625" style="4" customWidth="1"/>
    <col min="42" max="42" width="13.85546875" style="4" customWidth="1"/>
    <col min="43" max="43" width="12.7109375" style="4" customWidth="1"/>
    <col min="44" max="44" width="12.85546875" style="4" customWidth="1"/>
    <col min="45" max="48" width="12.140625" style="4" customWidth="1"/>
    <col min="49" max="49" width="11" style="4" customWidth="1"/>
    <col min="50" max="50" width="14.5703125" style="4" customWidth="1"/>
    <col min="51" max="54" width="13.28515625" style="4" customWidth="1"/>
    <col min="55" max="55" width="17" style="4" customWidth="1"/>
    <col min="56" max="56" width="13.85546875" style="4" customWidth="1"/>
    <col min="57" max="57" width="11.42578125" style="4" customWidth="1"/>
    <col min="58" max="59" width="13.7109375" style="4" customWidth="1"/>
    <col min="60" max="60" width="14" style="4" customWidth="1"/>
    <col min="61" max="62" width="13.85546875" style="4" customWidth="1"/>
    <col min="63" max="63" width="13.5703125" style="4" customWidth="1"/>
    <col min="64" max="64" width="12.85546875" style="4" customWidth="1"/>
    <col min="65" max="65" width="13.7109375" style="4" customWidth="1"/>
    <col min="66" max="66" width="12.85546875" style="4" customWidth="1"/>
    <col min="67" max="68" width="12.42578125" style="4" customWidth="1"/>
    <col min="69" max="69" width="12.28515625" style="4" customWidth="1"/>
    <col min="70" max="70" width="13.85546875" style="4" customWidth="1"/>
    <col min="71" max="71" width="17.7109375" style="56" customWidth="1"/>
    <col min="72" max="72" width="10.140625" style="769" bestFit="1" customWidth="1"/>
    <col min="73" max="73" width="11.5703125" style="4" customWidth="1"/>
    <col min="74" max="74" width="12.7109375" style="4" bestFit="1" customWidth="1"/>
    <col min="75" max="16384" width="11.42578125" style="4"/>
  </cols>
  <sheetData>
    <row r="1" spans="1:250" s="504" customFormat="1" ht="37.5" customHeight="1" thickTop="1">
      <c r="A1" s="116">
        <f>ZoneNr</f>
        <v>0</v>
      </c>
      <c r="B1" s="116"/>
      <c r="C1" s="2990" t="s">
        <v>1560</v>
      </c>
      <c r="D1" s="2991"/>
      <c r="E1" s="495"/>
      <c r="F1" s="496" t="str">
        <f>FormAide!C5</f>
        <v>111-01/00</v>
      </c>
      <c r="G1" s="496" t="s">
        <v>3071</v>
      </c>
      <c r="H1" s="496" t="str">
        <f>FormAide!C8</f>
        <v>111-01/01</v>
      </c>
      <c r="I1" s="496" t="str">
        <f>FormAide!C9</f>
        <v>111-01/02</v>
      </c>
      <c r="J1" s="496" t="str">
        <f>FormAide!C10</f>
        <v>111-01/04</v>
      </c>
      <c r="K1" s="496" t="str">
        <f>FormAide!C12</f>
        <v>111-01/12_F</v>
      </c>
      <c r="L1" s="496" t="str">
        <f>FormAide!C13</f>
        <v>111-01/12_V</v>
      </c>
      <c r="M1" s="2624" t="str">
        <f>FormAide!B39</f>
        <v>111-01/14</v>
      </c>
      <c r="N1" s="496" t="str">
        <f>FormAide!C26</f>
        <v>111-01/05</v>
      </c>
      <c r="O1" s="496" t="str">
        <f>FormAide!C27</f>
        <v>111-01/06</v>
      </c>
      <c r="P1" s="496" t="str">
        <f>FormAide!C28</f>
        <v>111-01/07</v>
      </c>
      <c r="Q1" s="496" t="str">
        <f>FormAide!C29</f>
        <v>111-01/08</v>
      </c>
      <c r="R1" s="496" t="str">
        <f>FormAide!C30</f>
        <v>111-01/09</v>
      </c>
      <c r="S1" s="496" t="str">
        <f>FormAide!C31</f>
        <v>111-01/40</v>
      </c>
      <c r="T1" s="496" t="str">
        <f>FormAide!C32</f>
        <v>111-01/41</v>
      </c>
      <c r="U1" s="496" t="str">
        <f>FormAide!C33</f>
        <v>111-01/50</v>
      </c>
      <c r="V1" s="496" t="str">
        <f>FormAide!C34</f>
        <v>111-01/51</v>
      </c>
      <c r="W1" s="2624" t="str">
        <f>FormAide!B35</f>
        <v>111-01/78-79-80-81</v>
      </c>
      <c r="X1" s="2624" t="str">
        <f>FormAide!B36</f>
        <v>111-01/82</v>
      </c>
      <c r="Y1" s="2562" t="str">
        <f>FormAide!C37</f>
        <v>111-01/83</v>
      </c>
      <c r="Z1" s="496" t="str">
        <f>FormAide!C41</f>
        <v>111-01/99</v>
      </c>
      <c r="AA1" s="496" t="str">
        <f>FormAide!C16</f>
        <v>111-08/00</v>
      </c>
      <c r="AB1" s="496" t="str">
        <f>FormAide!C17</f>
        <v>111-08/01</v>
      </c>
      <c r="AC1" s="496" t="str">
        <f>FormAide!C18</f>
        <v>111-08/20</v>
      </c>
      <c r="AD1" s="496" t="str">
        <f>FormAide!C19</f>
        <v>111-08/21</v>
      </c>
      <c r="AE1" s="496" t="str">
        <f>FormAide!C20</f>
        <v>111-08/03</v>
      </c>
      <c r="AF1" s="496" t="str">
        <f>FormAide!C21</f>
        <v>111-08/04</v>
      </c>
      <c r="AG1" s="496" t="str">
        <f>FormAide!C22</f>
        <v>111-08/05</v>
      </c>
      <c r="AH1" s="496" t="str">
        <f>FormAide!C23</f>
        <v>111-08/06</v>
      </c>
      <c r="AI1" s="496" t="str">
        <f>FormAide!C24</f>
        <v>111-08/07</v>
      </c>
      <c r="AJ1" s="2624" t="str">
        <f>FormAide!B40</f>
        <v>111-08/90</v>
      </c>
      <c r="AK1" s="497" t="str">
        <f>FormAide!C11</f>
        <v>112-01</v>
      </c>
      <c r="AL1" s="497" t="str">
        <f>FormAide!B48</f>
        <v>115-01/10</v>
      </c>
      <c r="AM1" s="497" t="str">
        <f>FormAide!C49</f>
        <v>115-01/11</v>
      </c>
      <c r="AN1" s="496" t="str">
        <f>FormAide!C50</f>
        <v>121-01</v>
      </c>
      <c r="AO1" s="496" t="str">
        <f>FormAide!C43</f>
        <v>121-03</v>
      </c>
      <c r="AP1" s="496" t="str">
        <f>FormAide!C44</f>
        <v>121-48/01</v>
      </c>
      <c r="AQ1" s="496" t="str">
        <f>FormAide!C45</f>
        <v>121-48/02</v>
      </c>
      <c r="AR1" s="496" t="str">
        <f>FormAide!C51</f>
        <v>121-48/03</v>
      </c>
      <c r="AS1" s="496" t="str">
        <f>FormAide!C46</f>
        <v>121-48/04</v>
      </c>
      <c r="AT1" s="496" t="str">
        <f>FormAide!C52</f>
        <v>121-48/20</v>
      </c>
      <c r="AU1" s="496" t="str">
        <f>FormAide!C53</f>
        <v>121-48/21</v>
      </c>
      <c r="AV1" s="496" t="s">
        <v>204</v>
      </c>
      <c r="AW1" s="497" t="str">
        <f>Ops!FH12</f>
        <v>121-48/99</v>
      </c>
      <c r="AX1" s="1757" t="str">
        <f>FormAide!C56</f>
        <v>113-01</v>
      </c>
      <c r="AY1" s="1774" t="str">
        <f>FormAide!C57</f>
        <v>113-21</v>
      </c>
      <c r="AZ1" s="1779" t="str">
        <f>FormAide!C58</f>
        <v>113-08</v>
      </c>
      <c r="BA1" s="1758" t="str">
        <f>FormAide!C59</f>
        <v>117-01</v>
      </c>
      <c r="BB1" s="1775" t="str">
        <f>FormAide!C60</f>
        <v>118-01</v>
      </c>
      <c r="BC1" s="1780" t="s">
        <v>39</v>
      </c>
      <c r="BD1" s="498" t="str">
        <f t="shared" ref="BD1:BS1" si="0">"Exercice    "&amp; ANNEE</f>
        <v>Exercice    2027</v>
      </c>
      <c r="BE1" s="498" t="str">
        <f t="shared" si="0"/>
        <v>Exercice    2027</v>
      </c>
      <c r="BF1" s="498" t="str">
        <f t="shared" si="0"/>
        <v>Exercice    2027</v>
      </c>
      <c r="BG1" s="498" t="str">
        <f t="shared" si="0"/>
        <v>Exercice    2027</v>
      </c>
      <c r="BH1" s="498" t="str">
        <f t="shared" si="0"/>
        <v>Exercice    2027</v>
      </c>
      <c r="BI1" s="506" t="str">
        <f t="shared" si="0"/>
        <v>Exercice    2027</v>
      </c>
      <c r="BJ1" s="1757" t="str">
        <f t="shared" si="0"/>
        <v>Exercice    2027</v>
      </c>
      <c r="BK1" s="1758" t="str">
        <f t="shared" si="0"/>
        <v>Exercice    2027</v>
      </c>
      <c r="BL1" s="1759" t="str">
        <f t="shared" si="0"/>
        <v>Exercice    2027</v>
      </c>
      <c r="BM1" s="506" t="str">
        <f t="shared" si="0"/>
        <v>Exercice    2027</v>
      </c>
      <c r="BN1" s="2575" t="str">
        <f t="shared" si="0"/>
        <v>Exercice    2027</v>
      </c>
      <c r="BO1" s="2576" t="str">
        <f t="shared" si="0"/>
        <v>Exercice    2027</v>
      </c>
      <c r="BP1" s="496" t="str">
        <f t="shared" si="0"/>
        <v>Exercice    2027</v>
      </c>
      <c r="BQ1" s="496" t="str">
        <f t="shared" si="0"/>
        <v>Exercice    2027</v>
      </c>
      <c r="BR1" s="506" t="str">
        <f t="shared" si="0"/>
        <v>Exercice    2027</v>
      </c>
      <c r="BS1" s="1780" t="str">
        <f t="shared" si="0"/>
        <v>Exercice    2027</v>
      </c>
      <c r="BT1" s="2577" t="str">
        <f>FormAide!C62</f>
        <v>111-01/12</v>
      </c>
      <c r="BU1" s="116" t="s">
        <v>2811</v>
      </c>
      <c r="BV1" s="2578" t="s">
        <v>1752</v>
      </c>
      <c r="BW1" s="503"/>
    </row>
    <row r="2" spans="1:250" hidden="1">
      <c r="A2" s="501"/>
      <c r="B2" s="501"/>
      <c r="C2" s="501">
        <v>5</v>
      </c>
      <c r="D2" s="501"/>
      <c r="E2" s="501">
        <v>6</v>
      </c>
      <c r="F2" s="502">
        <f t="shared" ref="F2:V2" si="1">VLOOKUP(F1,T_Econ,5,0)</f>
        <v>48</v>
      </c>
      <c r="G2" s="502">
        <f t="shared" si="1"/>
        <v>51</v>
      </c>
      <c r="H2" s="502">
        <f t="shared" si="1"/>
        <v>65</v>
      </c>
      <c r="I2" s="502">
        <f t="shared" si="1"/>
        <v>53</v>
      </c>
      <c r="J2" s="502">
        <f t="shared" si="1"/>
        <v>57</v>
      </c>
      <c r="K2" s="502">
        <f t="shared" si="1"/>
        <v>61</v>
      </c>
      <c r="L2" s="502">
        <f t="shared" si="1"/>
        <v>62</v>
      </c>
      <c r="M2" s="2627" t="s">
        <v>3328</v>
      </c>
      <c r="N2" s="502">
        <f t="shared" si="1"/>
        <v>97</v>
      </c>
      <c r="O2" s="502">
        <f t="shared" si="1"/>
        <v>100</v>
      </c>
      <c r="P2" s="502">
        <f t="shared" si="1"/>
        <v>103</v>
      </c>
      <c r="Q2" s="502">
        <f t="shared" si="1"/>
        <v>106</v>
      </c>
      <c r="R2" s="502">
        <f>VLOOKUP(R1,T_Econ,5,0)</f>
        <v>109</v>
      </c>
      <c r="S2" s="502">
        <f t="shared" si="1"/>
        <v>112</v>
      </c>
      <c r="T2" s="502">
        <f t="shared" si="1"/>
        <v>115</v>
      </c>
      <c r="U2" s="502">
        <f t="shared" si="1"/>
        <v>119</v>
      </c>
      <c r="V2" s="502">
        <f t="shared" si="1"/>
        <v>122</v>
      </c>
      <c r="W2" s="2627" t="s">
        <v>3328</v>
      </c>
      <c r="X2" s="2627" t="s">
        <v>3328</v>
      </c>
      <c r="Y2" s="502">
        <f>VLOOKUP(Y1,T_Econ,5,0)</f>
        <v>125</v>
      </c>
      <c r="Z2" s="502">
        <f>VLOOKUP(Z1,T_Econ,5,0)</f>
        <v>128</v>
      </c>
      <c r="AA2" s="502">
        <f t="shared" ref="AA2:AI2" si="2">VLOOKUP(AA1,T_Econ,5,0)</f>
        <v>70</v>
      </c>
      <c r="AB2" s="502">
        <f t="shared" si="2"/>
        <v>73</v>
      </c>
      <c r="AC2" s="502">
        <f t="shared" si="2"/>
        <v>76</v>
      </c>
      <c r="AD2" s="502">
        <f t="shared" si="2"/>
        <v>79</v>
      </c>
      <c r="AE2" s="502">
        <f t="shared" si="2"/>
        <v>82</v>
      </c>
      <c r="AF2" s="502">
        <f t="shared" si="2"/>
        <v>85</v>
      </c>
      <c r="AG2" s="502">
        <f t="shared" si="2"/>
        <v>88</v>
      </c>
      <c r="AH2" s="502">
        <f t="shared" si="2"/>
        <v>91</v>
      </c>
      <c r="AI2" s="502">
        <f t="shared" si="2"/>
        <v>94</v>
      </c>
      <c r="AJ2" s="2627" t="s">
        <v>4338</v>
      </c>
      <c r="AK2" s="502">
        <f t="shared" ref="AK2:AW2" si="3">VLOOKUP(AK1,T_Econ,5,0)</f>
        <v>59</v>
      </c>
      <c r="AL2" s="502">
        <f t="shared" si="3"/>
        <v>145</v>
      </c>
      <c r="AM2" s="502">
        <f t="shared" si="3"/>
        <v>148</v>
      </c>
      <c r="AN2" s="502">
        <f t="shared" si="3"/>
        <v>151</v>
      </c>
      <c r="AO2" s="502">
        <f t="shared" si="3"/>
        <v>131</v>
      </c>
      <c r="AP2" s="502">
        <f t="shared" si="3"/>
        <v>134</v>
      </c>
      <c r="AQ2" s="502">
        <f t="shared" si="3"/>
        <v>136</v>
      </c>
      <c r="AR2" s="502">
        <f t="shared" si="3"/>
        <v>139</v>
      </c>
      <c r="AS2" s="502">
        <f t="shared" si="3"/>
        <v>142</v>
      </c>
      <c r="AT2" s="502">
        <f t="shared" si="3"/>
        <v>154</v>
      </c>
      <c r="AU2" s="502">
        <f t="shared" si="3"/>
        <v>157</v>
      </c>
      <c r="AV2" s="502">
        <f t="shared" si="3"/>
        <v>160</v>
      </c>
      <c r="AW2" s="502">
        <f t="shared" si="3"/>
        <v>163</v>
      </c>
      <c r="AX2" s="1587">
        <f>IF(AX1="=&gt;","",VLOOKUP(AX1,T_Econ,5,0))</f>
        <v>165</v>
      </c>
      <c r="AY2" s="502">
        <f>VLOOKUP(AY1,T_Econ,5,0)</f>
        <v>167</v>
      </c>
      <c r="AZ2" s="1760">
        <f>VLOOKUP(AZ1,T_Econ,5,0)</f>
        <v>169</v>
      </c>
      <c r="BA2" s="502">
        <f>VLOOKUP(BA1,T_Econ,5,0)</f>
        <v>171</v>
      </c>
      <c r="BB2" s="502">
        <f>VLOOKUP(BB1,T_Econ,5,0)</f>
        <v>173</v>
      </c>
      <c r="BC2" s="1781"/>
      <c r="BD2" s="502"/>
      <c r="BE2" s="502"/>
      <c r="BF2" s="502"/>
      <c r="BG2" s="502"/>
      <c r="BH2" s="502"/>
      <c r="BI2" s="502"/>
      <c r="BJ2" s="1587"/>
      <c r="BK2" s="502"/>
      <c r="BL2" s="1760"/>
      <c r="BM2" s="502"/>
      <c r="BN2" s="2579"/>
      <c r="BO2" s="502"/>
      <c r="BP2" s="510"/>
      <c r="BQ2" s="510"/>
      <c r="BR2" s="502"/>
      <c r="BS2" s="1781"/>
      <c r="BT2" s="502">
        <f>VLOOKUP(BT1,T_Econ,5,0)</f>
        <v>176</v>
      </c>
      <c r="BU2" s="1585">
        <f>SUM(A2:BT2,BV2)</f>
        <v>5397</v>
      </c>
      <c r="BV2" s="950">
        <f>VLOOKUP(BV1,T_Econ,5,0)</f>
        <v>175</v>
      </c>
      <c r="BW2" s="503"/>
    </row>
    <row r="3" spans="1:250" hidden="1">
      <c r="A3" s="501"/>
      <c r="B3" s="501"/>
      <c r="C3" s="501">
        <v>5</v>
      </c>
      <c r="D3" s="501"/>
      <c r="E3" s="501">
        <v>6</v>
      </c>
      <c r="F3" s="502">
        <f t="shared" ref="F3:BB3" si="4">VLOOKUP(F1,T_Econ,9,0)</f>
        <v>48</v>
      </c>
      <c r="G3" s="502">
        <f>VLOOKUP(G1,T_Econ,9,0)</f>
        <v>51</v>
      </c>
      <c r="H3" s="502" t="str">
        <f t="shared" si="4"/>
        <v>-</v>
      </c>
      <c r="I3" s="502">
        <f t="shared" si="4"/>
        <v>53</v>
      </c>
      <c r="J3" s="502">
        <f t="shared" si="4"/>
        <v>57</v>
      </c>
      <c r="K3" s="502">
        <f t="shared" si="4"/>
        <v>61</v>
      </c>
      <c r="L3" s="502">
        <f t="shared" si="4"/>
        <v>62</v>
      </c>
      <c r="M3" s="2625">
        <f>VLOOKUP(M1,T_EconC,10,0)</f>
        <v>109</v>
      </c>
      <c r="N3" s="502" t="str">
        <f t="shared" si="4"/>
        <v>-</v>
      </c>
      <c r="O3" s="502" t="str">
        <f t="shared" si="4"/>
        <v>-</v>
      </c>
      <c r="P3" s="502">
        <f t="shared" si="4"/>
        <v>88</v>
      </c>
      <c r="Q3" s="502" t="str">
        <f t="shared" si="4"/>
        <v>-</v>
      </c>
      <c r="R3" s="502" t="str">
        <f>VLOOKUP(R1,T_Econ,9,0)</f>
        <v>-</v>
      </c>
      <c r="S3" s="502">
        <f t="shared" si="4"/>
        <v>91</v>
      </c>
      <c r="T3" s="502" t="str">
        <f t="shared" si="4"/>
        <v>-</v>
      </c>
      <c r="U3" s="502">
        <f t="shared" si="4"/>
        <v>94</v>
      </c>
      <c r="V3" s="502">
        <f t="shared" si="4"/>
        <v>97</v>
      </c>
      <c r="W3" s="2625">
        <f>VLOOKUP(W1,T_EconC,10,0)</f>
        <v>100</v>
      </c>
      <c r="X3" s="2625">
        <f>VLOOKUP(X1,T_EconC,10,0)</f>
        <v>103</v>
      </c>
      <c r="Y3" s="502">
        <f>VLOOKUP(Y1,T_Econ,9,0)</f>
        <v>106</v>
      </c>
      <c r="Z3" s="502">
        <f>VLOOKUP(Z1,T_Econ,9,0)</f>
        <v>115</v>
      </c>
      <c r="AA3" s="502">
        <f t="shared" si="4"/>
        <v>70</v>
      </c>
      <c r="AB3" s="502">
        <f t="shared" si="4"/>
        <v>73</v>
      </c>
      <c r="AC3" s="502">
        <f t="shared" si="4"/>
        <v>76</v>
      </c>
      <c r="AD3" s="502">
        <f t="shared" si="4"/>
        <v>79</v>
      </c>
      <c r="AE3" s="502">
        <f t="shared" si="4"/>
        <v>82</v>
      </c>
      <c r="AF3" s="502" t="str">
        <f t="shared" si="4"/>
        <v>-</v>
      </c>
      <c r="AG3" s="502" t="str">
        <f t="shared" si="4"/>
        <v>-</v>
      </c>
      <c r="AH3" s="502" t="str">
        <f t="shared" si="4"/>
        <v>-</v>
      </c>
      <c r="AI3" s="502">
        <f t="shared" si="4"/>
        <v>85</v>
      </c>
      <c r="AJ3" s="2625">
        <f>VLOOKUP(AJ1,T_EconC,10,0)</f>
        <v>112</v>
      </c>
      <c r="AK3" s="502">
        <f t="shared" si="4"/>
        <v>59</v>
      </c>
      <c r="AL3" s="502">
        <f t="shared" ref="AL3:AW3" si="5">VLOOKUP(AL1,T_Econ,9,0)</f>
        <v>118</v>
      </c>
      <c r="AM3" s="502">
        <f t="shared" si="5"/>
        <v>121</v>
      </c>
      <c r="AN3" s="502">
        <f t="shared" si="5"/>
        <v>124</v>
      </c>
      <c r="AO3" s="502" t="str">
        <f t="shared" si="5"/>
        <v>-</v>
      </c>
      <c r="AP3" s="502">
        <f t="shared" si="5"/>
        <v>127</v>
      </c>
      <c r="AQ3" s="502" t="str">
        <f t="shared" si="5"/>
        <v>-</v>
      </c>
      <c r="AR3" s="502" t="str">
        <f t="shared" si="5"/>
        <v>-</v>
      </c>
      <c r="AS3" s="502" t="str">
        <f t="shared" si="5"/>
        <v>-</v>
      </c>
      <c r="AT3" s="502">
        <f t="shared" si="5"/>
        <v>130</v>
      </c>
      <c r="AU3" s="502">
        <f t="shared" si="5"/>
        <v>133</v>
      </c>
      <c r="AV3" s="502">
        <f t="shared" si="5"/>
        <v>136</v>
      </c>
      <c r="AW3" s="502">
        <f t="shared" si="5"/>
        <v>139</v>
      </c>
      <c r="AX3" s="1587">
        <f t="shared" si="4"/>
        <v>141</v>
      </c>
      <c r="AY3" s="502">
        <f t="shared" si="4"/>
        <v>143</v>
      </c>
      <c r="AZ3" s="1760">
        <f t="shared" si="4"/>
        <v>145</v>
      </c>
      <c r="BA3" s="502">
        <f t="shared" si="4"/>
        <v>147</v>
      </c>
      <c r="BB3" s="502">
        <f t="shared" si="4"/>
        <v>149</v>
      </c>
      <c r="BC3" s="1781"/>
      <c r="BD3" s="950"/>
      <c r="BE3" s="950"/>
      <c r="BF3" s="950"/>
      <c r="BG3" s="950"/>
      <c r="BH3" s="950"/>
      <c r="BI3" s="950"/>
      <c r="BJ3" s="1587"/>
      <c r="BK3" s="502"/>
      <c r="BL3" s="1760"/>
      <c r="BM3" s="502"/>
      <c r="BN3" s="2579"/>
      <c r="BO3" s="502"/>
      <c r="BP3" s="510"/>
      <c r="BQ3" s="510"/>
      <c r="BR3" s="502"/>
      <c r="BS3" s="1781"/>
      <c r="BT3" s="502">
        <f>VLOOKUP(BT1,T_Econ,9,0)</f>
        <v>152</v>
      </c>
      <c r="BU3" s="1585">
        <f>SUM(A3:BT3,BV3)</f>
        <v>3938</v>
      </c>
      <c r="BV3" s="950">
        <f>VLOOKUP(BV1,T_Econ,9,0)</f>
        <v>151</v>
      </c>
      <c r="BW3" s="503"/>
    </row>
    <row r="4" spans="1:250" s="504" customFormat="1" ht="82.5" customHeight="1" thickBot="1">
      <c r="A4" s="2992" t="e">
        <f>VLOOKUP('Page d''accueil'!C7,TblZone,4,0)</f>
        <v>#N/A</v>
      </c>
      <c r="B4" s="2993"/>
      <c r="C4" s="2993"/>
      <c r="D4" s="2994"/>
      <c r="E4" s="1722" t="str">
        <f>CONCATENATE(" Stat: ",COUNTIF(B9:B11,1)+COUNTIF(B15:B17,1),
"                  Contr: ",COUNTIF(B9:B11,2)+COUNTIF(B15:B17,2)+COUNTIF(B15:B17,4)+A25,"       ",Ops!A3)</f>
        <v xml:space="preserve"> Stat: 0                  Contr: 0       NAPAP: 0</v>
      </c>
      <c r="F4" s="770" t="str">
        <f t="shared" ref="F4:L4" si="6">VLOOKUP(F1,T_Econ,2,0)</f>
        <v>Traitement</v>
      </c>
      <c r="G4" s="1165" t="str">
        <f>VLOOKUP(G1,T_Econ,2,0)</f>
        <v>Trt Sauvegarde (+) &amp; Maladie &amp; Dispo (-)</v>
      </c>
      <c r="H4" s="1165" t="str">
        <f t="shared" si="6"/>
        <v xml:space="preserve">Allocation de Mandat _Chef de corps </v>
      </c>
      <c r="I4" s="770" t="str">
        <f t="shared" si="6"/>
        <v>Allocation de Foyer ou de résidence</v>
      </c>
      <c r="J4" s="770" t="str">
        <f>VLOOKUP(J1,T_Econ,2,0)</f>
        <v>Supplément semaine volontaire de 4 jours</v>
      </c>
      <c r="K4" s="770" t="str">
        <f t="shared" si="6"/>
        <v>Allocation de fin d'année (AFA)  -&gt; partie fixe</v>
      </c>
      <c r="L4" s="770" t="str">
        <f t="shared" si="6"/>
        <v>Allocation de fin d'année (AFA) -&gt; partie variable</v>
      </c>
      <c r="M4" s="2626" t="str">
        <f>VLOOKUP(M1,T_EconC,3,0)</f>
        <v>Prime d'intégration     Niveau D</v>
      </c>
      <c r="N4" s="770" t="str">
        <f t="shared" ref="N4:V4" si="7">VLOOKUP(N1,T_Econ,2,0)</f>
        <v>Allocation de proximité</v>
      </c>
      <c r="O4" s="770" t="str">
        <f t="shared" si="7"/>
        <v>Allocation de motard</v>
      </c>
      <c r="P4" s="770" t="str">
        <f t="shared" si="7"/>
        <v>Allocation analyste criminel/stratégique</v>
      </c>
      <c r="Q4" s="770" t="str">
        <f t="shared" si="7"/>
        <v>Instructeur</v>
      </c>
      <c r="R4" s="770" t="str">
        <f>VLOOKUP(R1,T_Econ,2,0)</f>
        <v>Allocation Complémentaire et/ou Compensatoire</v>
      </c>
      <c r="S4" s="770" t="str">
        <f t="shared" si="7"/>
        <v>Allocation Bruxelles</v>
      </c>
      <c r="T4" s="770" t="str">
        <f t="shared" si="7"/>
        <v>Prime d'engagement - Bruxelles</v>
      </c>
      <c r="U4" s="770" t="str">
        <f t="shared" si="7"/>
        <v>Allocation de bilinguisme</v>
      </c>
      <c r="V4" s="770" t="str">
        <f t="shared" si="7"/>
        <v>Allocation connnaissance autre langues</v>
      </c>
      <c r="W4" s="2626" t="str">
        <f>VLOOKUP(W1,T_EconC,3,0)</f>
        <v>Allocation de tenue pour Militaires 
&amp; allocation de Maîtrise /Formation /Sélection</v>
      </c>
      <c r="X4" s="2626" t="str">
        <f>VLOOKUP(X1,T_EconC,3,0)</f>
        <v>Prime de Dirigeant</v>
      </c>
      <c r="Y4" s="2563" t="str">
        <f>VLOOKUP(Y1,T_Econ,2,0)</f>
        <v>Allocation Fonction Directeur (Classe A4-A5 &amp; CPDiv O7-O8)</v>
      </c>
      <c r="Z4" s="771" t="str">
        <f>VLOOKUP(Z1,T_Econ,2,0)</f>
        <v>Allocation "Fixe"  Montant indexé du moteur salariale</v>
      </c>
      <c r="AA4" s="1205" t="str">
        <f t="shared" ref="AA4:AF4" si="8">VLOOKUP(AA1,T_Econ,2,0)</f>
        <v>Heures supplémentaires</v>
      </c>
      <c r="AB4" s="1205" t="str">
        <f t="shared" si="8"/>
        <v>Heures de weekend</v>
      </c>
      <c r="AC4" s="1205" t="str">
        <f t="shared" si="8"/>
        <v>Heures de nuit 19:00-22:00</v>
      </c>
      <c r="AD4" s="1205" t="str">
        <f t="shared" si="8"/>
        <v>Heures de Nuit  22:00-06:00</v>
      </c>
      <c r="AE4" s="1205" t="str">
        <f t="shared" si="8"/>
        <v>Contactable  &amp; Contactable et Rappelable</v>
      </c>
      <c r="AF4" s="1205" t="str">
        <f t="shared" si="8"/>
        <v>Service Ininterrompu 24-Heures</v>
      </c>
      <c r="AG4" s="1205" t="str">
        <f t="shared" ref="AG4:AW4" si="9">VLOOKUP(AG1,T_Econ,2,0)</f>
        <v>Allocation d'immigration (demi jour et journée complète)</v>
      </c>
      <c r="AH4" s="1205" t="str">
        <f t="shared" si="9"/>
        <v>Allocation observateur aérien</v>
      </c>
      <c r="AI4" s="1205" t="str">
        <f t="shared" si="9"/>
        <v>Allocation mentor - mission enseignement</v>
      </c>
      <c r="AJ4" s="2626" t="str">
        <f>VLOOKUP(AJ1,T_EconC,3,0)</f>
        <v>Allocation Développement de compétences</v>
      </c>
      <c r="AK4" s="772" t="str">
        <f t="shared" si="9"/>
        <v>Allocation de vacances + prime copernic</v>
      </c>
      <c r="AL4" s="772" t="str">
        <f t="shared" si="9"/>
        <v>Indemnités de déplacement  lieu de travail/maison/ KM</v>
      </c>
      <c r="AM4" s="772" t="str">
        <f t="shared" si="9"/>
        <v>Indemnités de déplacement  lieu de travail/maison/ Abt Soc</v>
      </c>
      <c r="AN4" s="770" t="str">
        <f t="shared" si="9"/>
        <v>Indemnités de déplacement  (Frais de voyage) L021 - L096</v>
      </c>
      <c r="AO4" s="770" t="str">
        <f t="shared" si="9"/>
        <v>Indemnité entretien uniforme</v>
      </c>
      <c r="AP4" s="770" t="str">
        <f t="shared" si="9"/>
        <v>Indemnité de téléphone</v>
      </c>
      <c r="AQ4" s="770" t="str">
        <f t="shared" si="9"/>
        <v>Indemnité enquête judiciaire - Mensuel</v>
      </c>
      <c r="AR4" s="770" t="str">
        <f t="shared" si="9"/>
        <v>Indemnité enquête judiciaire - Journalier</v>
      </c>
      <c r="AS4" s="770" t="str">
        <f t="shared" si="9"/>
        <v>Indemnité pour chien policier</v>
      </c>
      <c r="AT4" s="770" t="str">
        <f t="shared" si="9"/>
        <v>Indemnités de repas: Modèle 9BIS</v>
      </c>
      <c r="AU4" s="770" t="str">
        <f t="shared" si="9"/>
        <v>Indemnités de repas &amp; frais de séjour : L021 - L096</v>
      </c>
      <c r="AV4" s="770" t="str">
        <f t="shared" si="9"/>
        <v>Indemnités de repas: L096</v>
      </c>
      <c r="AW4" s="773" t="str">
        <f t="shared" si="9"/>
        <v>Autres Indemnités</v>
      </c>
      <c r="AX4" s="1588" t="str">
        <f>IF(AX1="=&gt;","",VLOOKUP(AX1,T_Econ,2,0))</f>
        <v>Cotisations  Patronales Ordinaires sur Allocations Fixes, Traitement, Mandat, Supplém Sem volontaire4jrs &amp; partie fixe AFA"</v>
      </c>
      <c r="AY4" s="1165" t="str">
        <f>VLOOKUP(AY1,T_Econ,2,0)</f>
        <v>Côtisations patronales pensions sur Traitement, Mandat et allocations fixes</v>
      </c>
      <c r="AZ4" s="2571" t="str">
        <f>VLOOKUP(AZ1,T_Econ,2,0)</f>
        <v>Cotisations patronales ordinaires sur les Allocations Variables</v>
      </c>
      <c r="BA4" s="2515" t="str">
        <f>VLOOKUP(BA1,T_Econ,2,0)</f>
        <v>Primes accidents du travail ( 3 catégories possibles &lt;&gt;%)</v>
      </c>
      <c r="BB4" s="772" t="str">
        <f>VLOOKUP(BB1,T_Econ,2,0)</f>
        <v>Cotisations service social :  0,15%</v>
      </c>
      <c r="BC4" s="1782" t="s">
        <v>39</v>
      </c>
      <c r="BD4" s="493" t="s">
        <v>1997</v>
      </c>
      <c r="BE4" s="493" t="str">
        <f>FormAide!C9</f>
        <v>111-01/02</v>
      </c>
      <c r="BF4" s="493" t="s">
        <v>1985</v>
      </c>
      <c r="BG4" s="499" t="s">
        <v>1998</v>
      </c>
      <c r="BH4" s="499" t="str">
        <f>LEFT(FormAide!C16,6)</f>
        <v>111-08</v>
      </c>
      <c r="BI4" s="500" t="str">
        <f>FormAide!C11</f>
        <v>112-01</v>
      </c>
      <c r="BJ4" s="1596" t="str">
        <f>FormAide!C56</f>
        <v>113-01</v>
      </c>
      <c r="BK4" s="499" t="str">
        <f>FormAide!C57</f>
        <v>113-21</v>
      </c>
      <c r="BL4" s="508" t="str">
        <f>FormAide!C58</f>
        <v>113-08</v>
      </c>
      <c r="BM4" s="1747" t="str">
        <f>LEFT(FormAide!C48,6)</f>
        <v>115-01</v>
      </c>
      <c r="BN4" s="2580" t="str">
        <f>FormAide!C59</f>
        <v>117-01</v>
      </c>
      <c r="BO4" s="1747" t="str">
        <f>FormAide!C60</f>
        <v>118-01</v>
      </c>
      <c r="BP4" s="499" t="str">
        <f>FormAide!C50</f>
        <v>121-01</v>
      </c>
      <c r="BQ4" s="499" t="str">
        <f>FormAide!C43</f>
        <v>121-03</v>
      </c>
      <c r="BR4" s="1747" t="str">
        <f>LEFT(FormAide!C44,6)</f>
        <v>121-48</v>
      </c>
      <c r="BS4" s="1782" t="s">
        <v>39</v>
      </c>
      <c r="BU4" s="55"/>
      <c r="BV4" s="2581" t="str">
        <f>VLOOKUP(BV1,T_Econ,2,0)</f>
        <v>Total final individuel</v>
      </c>
      <c r="BW4" s="503"/>
    </row>
    <row r="5" spans="1:250" s="788" customFormat="1" ht="24" customHeight="1" thickTop="1" thickBot="1">
      <c r="A5" s="1128" t="s">
        <v>3563</v>
      </c>
      <c r="B5" s="2995" t="e">
        <f>IF(MAX(B9:B12)=2,"Apply filter to Export-01","")</f>
        <v>#N/A</v>
      </c>
      <c r="C5" s="1127" t="s">
        <v>3931</v>
      </c>
      <c r="D5" s="69" t="s">
        <v>3932</v>
      </c>
      <c r="E5" s="1126" t="s">
        <v>3934</v>
      </c>
      <c r="F5" s="1798"/>
      <c r="G5" s="1798"/>
      <c r="H5" s="2634" t="e">
        <f>SUM(H6:H7)</f>
        <v>#N/A</v>
      </c>
      <c r="I5" s="1798"/>
      <c r="J5" s="1798"/>
      <c r="K5" s="1798"/>
      <c r="L5" s="1798"/>
      <c r="M5" s="1798"/>
      <c r="N5" s="1798"/>
      <c r="O5" s="1798"/>
      <c r="P5" s="1798"/>
      <c r="Q5" s="1798"/>
      <c r="R5" s="1798"/>
      <c r="S5" s="1798"/>
      <c r="T5" s="1798"/>
      <c r="U5" s="1798"/>
      <c r="V5" s="1798"/>
      <c r="W5" s="1798"/>
      <c r="X5" s="1798"/>
      <c r="Y5" s="1793"/>
      <c r="Z5" s="1798"/>
      <c r="AA5" s="1798"/>
      <c r="AB5" s="1798"/>
      <c r="AC5" s="1798"/>
      <c r="AD5" s="1798"/>
      <c r="AE5" s="1798"/>
      <c r="AF5" s="1798"/>
      <c r="AG5" s="1798"/>
      <c r="AH5" s="1798"/>
      <c r="AI5" s="1798"/>
      <c r="AJ5" s="1798"/>
      <c r="AK5" s="1798"/>
      <c r="AL5" s="1798"/>
      <c r="AM5" s="1798"/>
      <c r="AN5" s="2632">
        <f>SUM(AN6:AN7)</f>
        <v>0</v>
      </c>
      <c r="AO5" s="1798"/>
      <c r="AP5" s="1798"/>
      <c r="AQ5" s="1798"/>
      <c r="AR5" s="1798"/>
      <c r="AS5" s="1798"/>
      <c r="AT5" s="1798"/>
      <c r="AU5" s="1798"/>
      <c r="AV5" s="1798"/>
      <c r="AW5" s="1798"/>
      <c r="AX5" s="2632" t="e">
        <f>SUM(AX6:AX7)</f>
        <v>#N/A</v>
      </c>
      <c r="AY5" s="1793"/>
      <c r="AZ5" s="2572"/>
      <c r="BA5" s="1793"/>
      <c r="BB5" s="2632" t="e">
        <f>SUM(BB6:BB7)</f>
        <v>#N/A</v>
      </c>
      <c r="BC5" s="2619"/>
      <c r="BD5" s="1797"/>
      <c r="BE5" s="1797"/>
      <c r="BF5" s="2632" t="e">
        <f>SUM(BF6:BF7)</f>
        <v>#N/A</v>
      </c>
      <c r="BG5" s="1797"/>
      <c r="BH5" s="1797"/>
      <c r="BI5" s="1797"/>
      <c r="BJ5" s="2632" t="e">
        <f>SUM(BJ6:BJ7)</f>
        <v>#N/A</v>
      </c>
      <c r="BK5" s="1797"/>
      <c r="BL5" s="1799"/>
      <c r="BM5" s="1797"/>
      <c r="BN5" s="2582"/>
      <c r="BO5" s="2632" t="e">
        <f>SUM(BO6:BO7)</f>
        <v>#N/A</v>
      </c>
      <c r="BP5" s="2632">
        <f>SUM(BP6:BP7)</f>
        <v>0</v>
      </c>
      <c r="BQ5" s="1794"/>
      <c r="BR5" s="1797"/>
      <c r="BS5" s="2583" t="e">
        <f>SUM(BS6:BS7)</f>
        <v>#N/A</v>
      </c>
      <c r="BT5" s="502"/>
      <c r="BU5" s="55" t="e">
        <f>IF(BC5-BS5&lt;0.01,"","error")</f>
        <v>#N/A</v>
      </c>
      <c r="BV5" s="1798"/>
      <c r="BW5" s="1739"/>
    </row>
    <row r="6" spans="1:250" ht="13.5" thickTop="1">
      <c r="A6" s="762"/>
      <c r="B6" s="2996"/>
      <c r="C6" s="67">
        <v>33098</v>
      </c>
      <c r="D6" s="117" t="s">
        <v>2384</v>
      </c>
      <c r="E6" s="118" t="s">
        <v>3933</v>
      </c>
      <c r="F6" s="2631" t="str">
        <f>F1</f>
        <v>111-01/00</v>
      </c>
      <c r="G6" s="1196"/>
      <c r="H6" s="2633" t="e">
        <f>Ops!BO14</f>
        <v>#N/A</v>
      </c>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170"/>
      <c r="AN6" s="2631">
        <f>Ops!EW14</f>
        <v>0</v>
      </c>
      <c r="AO6" s="170"/>
      <c r="AP6" s="170"/>
      <c r="AQ6" s="170"/>
      <c r="AR6" s="170"/>
      <c r="AS6" s="170"/>
      <c r="AT6" s="170"/>
      <c r="AU6" s="170"/>
      <c r="AV6" s="170"/>
      <c r="AW6" s="174"/>
      <c r="AX6" s="2631" t="e">
        <f>Ops!FK14</f>
        <v>#N/A</v>
      </c>
      <c r="AY6" s="170"/>
      <c r="AZ6" s="1761"/>
      <c r="BA6" s="170"/>
      <c r="BB6" s="2631" t="e">
        <f>Ops!FS14</f>
        <v>#N/A</v>
      </c>
      <c r="BC6" s="1783" t="e">
        <f>SUM(F6:BB6)</f>
        <v>#N/A</v>
      </c>
      <c r="BD6" s="170"/>
      <c r="BE6" s="170"/>
      <c r="BF6" s="2631" t="e">
        <f>H6</f>
        <v>#N/A</v>
      </c>
      <c r="BG6" s="170"/>
      <c r="BH6" s="170"/>
      <c r="BI6" s="174"/>
      <c r="BJ6" s="2631" t="e">
        <f>AX6</f>
        <v>#N/A</v>
      </c>
      <c r="BK6" s="170"/>
      <c r="BL6" s="1761"/>
      <c r="BM6" s="174"/>
      <c r="BN6" s="2584"/>
      <c r="BO6" s="2631" t="e">
        <f>BB6</f>
        <v>#N/A</v>
      </c>
      <c r="BP6" s="2631">
        <f>AN6</f>
        <v>0</v>
      </c>
      <c r="BQ6" s="511"/>
      <c r="BR6" s="174"/>
      <c r="BS6" s="1783" t="e">
        <f>SUM(BF6:BR6)</f>
        <v>#N/A</v>
      </c>
      <c r="BT6" s="502"/>
      <c r="BU6" s="55" t="e">
        <f>IF(BC6-BS6&lt;0.01,"","error")</f>
        <v>#N/A</v>
      </c>
      <c r="BV6" s="174"/>
      <c r="BW6" s="503"/>
    </row>
    <row r="7" spans="1:250" ht="13.5" thickBot="1">
      <c r="A7" s="763"/>
      <c r="B7" s="2997"/>
      <c r="C7" s="71">
        <v>33099</v>
      </c>
      <c r="D7" s="119" t="s">
        <v>3053</v>
      </c>
      <c r="E7" s="120" t="s">
        <v>3050</v>
      </c>
      <c r="F7" s="2631" t="str">
        <f>F1</f>
        <v>111-01/00</v>
      </c>
      <c r="G7" s="1196"/>
      <c r="H7" s="2633" t="e">
        <f>Ops!BO15</f>
        <v>#N/A</v>
      </c>
      <c r="I7" s="170"/>
      <c r="J7" s="170"/>
      <c r="K7" s="170"/>
      <c r="L7" s="170"/>
      <c r="M7" s="170"/>
      <c r="N7" s="170"/>
      <c r="O7" s="170"/>
      <c r="P7" s="170"/>
      <c r="Q7" s="170"/>
      <c r="R7" s="170"/>
      <c r="S7" s="170"/>
      <c r="T7" s="170"/>
      <c r="U7" s="170"/>
      <c r="V7" s="170"/>
      <c r="W7" s="170"/>
      <c r="X7" s="170"/>
      <c r="Y7" s="170"/>
      <c r="Z7" s="170"/>
      <c r="AA7" s="170"/>
      <c r="AB7" s="170"/>
      <c r="AC7" s="170"/>
      <c r="AD7" s="170"/>
      <c r="AE7" s="170"/>
      <c r="AF7" s="170"/>
      <c r="AG7" s="170"/>
      <c r="AH7" s="170"/>
      <c r="AI7" s="170"/>
      <c r="AJ7" s="170"/>
      <c r="AK7" s="170"/>
      <c r="AL7" s="170"/>
      <c r="AM7" s="170"/>
      <c r="AN7" s="2631">
        <f>Ops!EW15</f>
        <v>0</v>
      </c>
      <c r="AO7" s="170"/>
      <c r="AP7" s="170"/>
      <c r="AQ7" s="170"/>
      <c r="AR7" s="170"/>
      <c r="AS7" s="170"/>
      <c r="AT7" s="170"/>
      <c r="AU7" s="170"/>
      <c r="AV7" s="170"/>
      <c r="AW7" s="174"/>
      <c r="AX7" s="2631" t="e">
        <f>Ops!FK15</f>
        <v>#N/A</v>
      </c>
      <c r="AY7" s="170"/>
      <c r="AZ7" s="1761"/>
      <c r="BA7" s="170"/>
      <c r="BB7" s="2631" t="e">
        <f>Ops!FS15</f>
        <v>#N/A</v>
      </c>
      <c r="BC7" s="1783" t="e">
        <f>SUM(F7:BB7)</f>
        <v>#N/A</v>
      </c>
      <c r="BD7" s="170"/>
      <c r="BE7" s="170"/>
      <c r="BF7" s="2631" t="e">
        <f>H7</f>
        <v>#N/A</v>
      </c>
      <c r="BG7" s="170"/>
      <c r="BH7" s="170"/>
      <c r="BI7" s="174"/>
      <c r="BJ7" s="2631" t="e">
        <f>AX7</f>
        <v>#N/A</v>
      </c>
      <c r="BK7" s="170"/>
      <c r="BL7" s="1761"/>
      <c r="BM7" s="174"/>
      <c r="BN7" s="2584"/>
      <c r="BO7" s="2631" t="e">
        <f>BB7</f>
        <v>#N/A</v>
      </c>
      <c r="BP7" s="2631">
        <f>AN7</f>
        <v>0</v>
      </c>
      <c r="BQ7" s="511"/>
      <c r="BR7" s="174"/>
      <c r="BS7" s="1783" t="e">
        <f>SUM(BF7:BR7)</f>
        <v>#N/A</v>
      </c>
      <c r="BU7" s="55" t="e">
        <f>IF(BC7-BS7&lt;0.01,"","error")</f>
        <v>#N/A</v>
      </c>
      <c r="BV7" s="174"/>
      <c r="BW7" s="503"/>
    </row>
    <row r="8" spans="1:250" s="788" customFormat="1" ht="37.5" customHeight="1" thickTop="1">
      <c r="A8" s="1727"/>
      <c r="B8" s="1728">
        <v>1</v>
      </c>
      <c r="C8" s="1735">
        <f>SUBTOTAL(5,C9:C11)</f>
        <v>0</v>
      </c>
      <c r="D8" s="1730"/>
      <c r="E8" s="1722" t="str">
        <f>CONCATENATE(" Stat: ",COUNTIF(B9:B11,1),
"            Contr: ",COUNTIF(B9:B11,2),"               ",Ops!A3)</f>
        <v xml:space="preserve"> Stat: 0            Contr: 0               NAPAP: 0</v>
      </c>
      <c r="F8" s="1731"/>
      <c r="G8" s="1732"/>
      <c r="H8" s="1736">
        <f>SUBTOTAL(9,H9:H11)</f>
        <v>0</v>
      </c>
      <c r="I8" s="1732"/>
      <c r="J8" s="1732"/>
      <c r="K8" s="1732"/>
      <c r="L8" s="1732"/>
      <c r="M8" s="1732"/>
      <c r="N8" s="1732"/>
      <c r="O8" s="1732"/>
      <c r="P8" s="1732"/>
      <c r="Q8" s="1732"/>
      <c r="R8" s="1732"/>
      <c r="S8" s="1732"/>
      <c r="T8" s="1732"/>
      <c r="U8" s="1732"/>
      <c r="V8" s="1732"/>
      <c r="W8" s="1732"/>
      <c r="X8" s="1732"/>
      <c r="Y8" s="1732"/>
      <c r="Z8" s="1732"/>
      <c r="AA8" s="1732"/>
      <c r="AB8" s="1732"/>
      <c r="AC8" s="1732"/>
      <c r="AD8" s="1732"/>
      <c r="AE8" s="1732"/>
      <c r="AF8" s="1732"/>
      <c r="AG8" s="1732"/>
      <c r="AH8" s="1732"/>
      <c r="AI8" s="1732"/>
      <c r="AJ8" s="1732"/>
      <c r="AK8" s="1732"/>
      <c r="AL8" s="1732"/>
      <c r="AM8" s="1732"/>
      <c r="AN8" s="1732"/>
      <c r="AO8" s="1732"/>
      <c r="AP8" s="1732"/>
      <c r="AQ8" s="1732"/>
      <c r="AR8" s="1732"/>
      <c r="AS8" s="1732"/>
      <c r="AT8" s="1732"/>
      <c r="AU8" s="1732"/>
      <c r="AV8" s="1732"/>
      <c r="AW8" s="1732"/>
      <c r="AX8" s="1776"/>
      <c r="AY8" s="1732"/>
      <c r="AZ8" s="2573"/>
      <c r="BA8" s="1732"/>
      <c r="BB8" s="1777"/>
      <c r="BC8" s="1790"/>
      <c r="BD8" s="1736" t="e">
        <f t="shared" ref="BD8:BR8" si="10">SUBTOTAL(9,BD9:BD11)</f>
        <v>#VALUE!</v>
      </c>
      <c r="BE8" s="1736" t="e">
        <f t="shared" si="10"/>
        <v>#VALUE!</v>
      </c>
      <c r="BF8" s="1736" t="e">
        <f t="shared" si="10"/>
        <v>#N/A</v>
      </c>
      <c r="BG8" s="1736" t="e">
        <f t="shared" si="10"/>
        <v>#N/A</v>
      </c>
      <c r="BH8" s="1737" t="e">
        <f t="shared" si="10"/>
        <v>#N/A</v>
      </c>
      <c r="BI8" s="1754" t="e">
        <f t="shared" si="10"/>
        <v>#N/A</v>
      </c>
      <c r="BJ8" s="1762" t="e">
        <f t="shared" si="10"/>
        <v>#VALUE!</v>
      </c>
      <c r="BK8" s="1737" t="e">
        <f t="shared" si="10"/>
        <v>#VALUE!</v>
      </c>
      <c r="BL8" s="1763" t="e">
        <f t="shared" si="10"/>
        <v>#N/A</v>
      </c>
      <c r="BM8" s="1754" t="e">
        <f t="shared" si="10"/>
        <v>#N/A</v>
      </c>
      <c r="BN8" s="2585" t="e">
        <f t="shared" si="10"/>
        <v>#VALUE!</v>
      </c>
      <c r="BO8" s="1754" t="e">
        <f t="shared" si="10"/>
        <v>#VALUE!</v>
      </c>
      <c r="BP8" s="2586" t="e">
        <f t="shared" si="10"/>
        <v>#N/A</v>
      </c>
      <c r="BQ8" s="2586" t="e">
        <f t="shared" si="10"/>
        <v>#N/A</v>
      </c>
      <c r="BR8" s="1754" t="e">
        <f t="shared" si="10"/>
        <v>#N/A</v>
      </c>
      <c r="BS8" s="2587" t="e">
        <f>SUM(BD8:BR8)</f>
        <v>#VALUE!</v>
      </c>
      <c r="BT8" s="2588" t="e">
        <f>SUBTOTAL(9,BT9:BT11)</f>
        <v>#N/A</v>
      </c>
      <c r="BV8" s="1738" t="e">
        <f>SUBTOTAL(9,BV9:BV11)</f>
        <v>#VALUE!</v>
      </c>
      <c r="BW8" s="1739"/>
    </row>
    <row r="9" spans="1:250" s="15" customFormat="1" ht="11.25">
      <c r="A9" s="1040">
        <f>A8+1</f>
        <v>1</v>
      </c>
      <c r="B9" s="1041" t="e">
        <f>VLOOKUP($A9,T_Ops,20,0)</f>
        <v>#N/A</v>
      </c>
      <c r="C9" s="1042">
        <f>VALUE(VLOOKUP($A9,T_Ops,C$2,0))</f>
        <v>0</v>
      </c>
      <c r="D9" s="1043" t="s">
        <v>646</v>
      </c>
      <c r="E9" s="1716">
        <f t="shared" ref="E9:L9" si="11">VLOOKUP($A9,T_Ops,E$2,0)</f>
        <v>0</v>
      </c>
      <c r="F9" s="1592" t="e">
        <f t="shared" si="11"/>
        <v>#VALUE!</v>
      </c>
      <c r="G9" s="1045" t="e">
        <f>IF(VLOOKUP($A9,T_Ops,G$2,0)&lt;0,0,VLOOKUP($A9,T_Ops,G$2,0))</f>
        <v>#N/A</v>
      </c>
      <c r="H9" s="1046" t="str">
        <f t="shared" si="11"/>
        <v/>
      </c>
      <c r="I9" s="1046" t="e">
        <f t="shared" si="11"/>
        <v>#VALUE!</v>
      </c>
      <c r="J9" s="1046" t="e">
        <f t="shared" si="11"/>
        <v>#N/A</v>
      </c>
      <c r="K9" s="1046" t="e">
        <f t="shared" si="11"/>
        <v>#N/A</v>
      </c>
      <c r="L9" s="1046" t="e">
        <f t="shared" si="11"/>
        <v>#N/A</v>
      </c>
      <c r="M9" s="1047"/>
      <c r="N9" s="1046" t="e">
        <f t="shared" ref="N9:U9" si="12">VLOOKUP($A9,T_Ops,N$2,0)</f>
        <v>#N/A</v>
      </c>
      <c r="O9" s="1046" t="e">
        <f>VLOOKUP($A9,T_Ops,O$2,0)</f>
        <v>#N/A</v>
      </c>
      <c r="P9" s="1046" t="str">
        <f t="shared" si="12"/>
        <v/>
      </c>
      <c r="Q9" s="1046" t="e">
        <f t="shared" si="12"/>
        <v>#N/A</v>
      </c>
      <c r="R9" s="1046" t="e">
        <f>VLOOKUP($A9,T_Ops,R$2,0)</f>
        <v>#N/A</v>
      </c>
      <c r="S9" s="1046" t="e">
        <f t="shared" si="12"/>
        <v>#N/A</v>
      </c>
      <c r="T9" s="1046" t="e">
        <f t="shared" si="12"/>
        <v>#N/A</v>
      </c>
      <c r="U9" s="1046" t="e">
        <f t="shared" si="12"/>
        <v>#N/A</v>
      </c>
      <c r="V9" s="1046" t="e">
        <f>VLOOKUP($A9,T_Ops,V$2,0)</f>
        <v>#N/A</v>
      </c>
      <c r="W9" s="1047"/>
      <c r="X9" s="1047"/>
      <c r="Y9" s="2564">
        <f>VLOOKUP($A9,T_Ops,Y$2,0)</f>
        <v>0</v>
      </c>
      <c r="Z9" s="1046" t="e">
        <f>VLOOKUP($A9,T_Ops,Z$2,0)</f>
        <v>#N/A</v>
      </c>
      <c r="AA9" s="1046" t="e">
        <f t="shared" ref="AA9:AI9" si="13">VLOOKUP($A9,T_Ops,AA$2,0)</f>
        <v>#N/A</v>
      </c>
      <c r="AB9" s="1046" t="e">
        <f t="shared" si="13"/>
        <v>#N/A</v>
      </c>
      <c r="AC9" s="1046" t="e">
        <f t="shared" si="13"/>
        <v>#N/A</v>
      </c>
      <c r="AD9" s="1046" t="e">
        <f t="shared" si="13"/>
        <v>#N/A</v>
      </c>
      <c r="AE9" s="1046" t="e">
        <f t="shared" si="13"/>
        <v>#N/A</v>
      </c>
      <c r="AF9" s="1046" t="e">
        <f t="shared" si="13"/>
        <v>#N/A</v>
      </c>
      <c r="AG9" s="1046" t="e">
        <f t="shared" si="13"/>
        <v>#N/A</v>
      </c>
      <c r="AH9" s="1046" t="str">
        <f t="shared" si="13"/>
        <v/>
      </c>
      <c r="AI9" s="1046" t="e">
        <f t="shared" si="13"/>
        <v>#N/A</v>
      </c>
      <c r="AJ9" s="1048"/>
      <c r="AK9" s="1049" t="e">
        <f t="shared" ref="AK9:AT9" si="14">VLOOKUP($A9,T_Ops,AK$2,0)</f>
        <v>#N/A</v>
      </c>
      <c r="AL9" s="1046" t="e">
        <f t="shared" si="14"/>
        <v>#N/A</v>
      </c>
      <c r="AM9" s="1046" t="e">
        <f t="shared" si="14"/>
        <v>#N/A</v>
      </c>
      <c r="AN9" s="1046" t="e">
        <f t="shared" si="14"/>
        <v>#N/A</v>
      </c>
      <c r="AO9" s="1046" t="e">
        <f t="shared" si="14"/>
        <v>#N/A</v>
      </c>
      <c r="AP9" s="1046" t="e">
        <f t="shared" si="14"/>
        <v>#N/A</v>
      </c>
      <c r="AQ9" s="1046" t="e">
        <f t="shared" si="14"/>
        <v>#N/A</v>
      </c>
      <c r="AR9" s="1046" t="e">
        <f t="shared" si="14"/>
        <v>#N/A</v>
      </c>
      <c r="AS9" s="1046" t="str">
        <f t="shared" si="14"/>
        <v/>
      </c>
      <c r="AT9" s="1046" t="e">
        <f t="shared" si="14"/>
        <v>#N/A</v>
      </c>
      <c r="AU9" s="1046" t="e">
        <f t="shared" ref="AU9:BB9" si="15">VLOOKUP($A9,T_Ops,AU$2,0)</f>
        <v>#N/A</v>
      </c>
      <c r="AV9" s="1046" t="e">
        <f t="shared" si="15"/>
        <v>#N/A</v>
      </c>
      <c r="AW9" s="1046">
        <f t="shared" si="15"/>
        <v>0</v>
      </c>
      <c r="AX9" s="1589" t="e">
        <f t="shared" si="15"/>
        <v>#VALUE!</v>
      </c>
      <c r="AY9" s="1046" t="e">
        <f t="shared" si="15"/>
        <v>#VALUE!</v>
      </c>
      <c r="AZ9" s="1765" t="e">
        <f t="shared" si="15"/>
        <v>#N/A</v>
      </c>
      <c r="BA9" s="1046" t="e">
        <f t="shared" si="15"/>
        <v>#VALUE!</v>
      </c>
      <c r="BB9" s="1049" t="e">
        <f t="shared" si="15"/>
        <v>#VALUE!</v>
      </c>
      <c r="BC9" s="1785" t="e">
        <f>SUM(F9:BB9)</f>
        <v>#VALUE!</v>
      </c>
      <c r="BD9" s="1045" t="e">
        <f>IF(F9="",0,F9)+IF(H9="",0,H9)+IF(J9="",0,J9)+G9</f>
        <v>#VALUE!</v>
      </c>
      <c r="BE9" s="1045" t="e">
        <f>IF(I9="",0,I9)</f>
        <v>#VALUE!</v>
      </c>
      <c r="BF9" s="1045" t="e">
        <f>IF(N9="",0,N9)+IF(O9="",0,O9)+IF(P9="",0,P9)+IF(Q9="",0,Q9)+IF(R9="",0,R9)+IF(S9="",0,S9)+IF(T9="",0,T9)+IF(U9="",0,U9)+IF(V9="",0,V9)+IF(Y9="",0,Y9)+IF(LEFT($Z$1,6)="111-01",IF(Z9="",0,Z9),0)</f>
        <v>#N/A</v>
      </c>
      <c r="BG9" s="1045" t="e">
        <f>L9+K9</f>
        <v>#N/A</v>
      </c>
      <c r="BH9" s="1045" t="e">
        <f>IF(AA9="",0,AA9)+IF(AB9="",0,AB9)+IF(AC9="",0,AC9)+IF(AD9="",0,AD9)+IF(AE9="",0,AE9)+IF(AF9="",0,AF9)+IF(AG9="",0,AG9)+IF(AH9="",0,AH9)+IF(AI9="",0,AI9)</f>
        <v>#N/A</v>
      </c>
      <c r="BI9" s="1069" t="e">
        <f>AK9</f>
        <v>#N/A</v>
      </c>
      <c r="BJ9" s="1591" t="e">
        <f>AX9</f>
        <v>#VALUE!</v>
      </c>
      <c r="BK9" s="1045" t="e">
        <f>AY9</f>
        <v>#VALUE!</v>
      </c>
      <c r="BL9" s="1764" t="e">
        <f>AZ9</f>
        <v>#N/A</v>
      </c>
      <c r="BM9" s="1069" t="e">
        <f>IF(AL9="",0,AL9)+IF(AM9="",0,AM9)</f>
        <v>#N/A</v>
      </c>
      <c r="BN9" s="2568" t="e">
        <f>BA9</f>
        <v>#VALUE!</v>
      </c>
      <c r="BO9" s="1069" t="e">
        <f>BB9</f>
        <v>#VALUE!</v>
      </c>
      <c r="BP9" s="1079" t="e">
        <f>AN9</f>
        <v>#N/A</v>
      </c>
      <c r="BQ9" s="1079" t="e">
        <f>AO9</f>
        <v>#N/A</v>
      </c>
      <c r="BR9" s="1069" t="e">
        <f>SUM(AP9:AW9)</f>
        <v>#N/A</v>
      </c>
      <c r="BS9" s="1785" t="e">
        <f>SUM(BD9:BR9)</f>
        <v>#VALUE!</v>
      </c>
      <c r="BT9" s="2569" t="e">
        <f>VLOOKUP($A9,T_Ops,BT$2,0)</f>
        <v>#N/A</v>
      </c>
      <c r="BU9" s="55" t="e">
        <f>IF(OR(BS9&lt;&gt;BC9,ROUND(BS9-BV9,2)&lt;&gt;0),(BS9+BV9)-(2*BC9),"")</f>
        <v>#VALUE!</v>
      </c>
      <c r="BV9" s="2570" t="e">
        <f>VLOOKUP($A9,T_Ops,BV$2,0)</f>
        <v>#VALUE!</v>
      </c>
      <c r="BW9" s="1050"/>
    </row>
    <row r="10" spans="1:250" s="15" customFormat="1" ht="11.25">
      <c r="A10" s="1051"/>
      <c r="B10" s="1052"/>
      <c r="C10" s="1053"/>
      <c r="D10" s="1054"/>
      <c r="E10" s="1717"/>
      <c r="F10" s="1593"/>
      <c r="G10" s="1056"/>
      <c r="H10" s="1057"/>
      <c r="I10" s="1057"/>
      <c r="J10" s="1057"/>
      <c r="K10" s="1057"/>
      <c r="L10" s="1057"/>
      <c r="M10" s="1047"/>
      <c r="N10" s="1057"/>
      <c r="O10" s="1057"/>
      <c r="P10" s="1057"/>
      <c r="Q10" s="1057"/>
      <c r="R10" s="1057"/>
      <c r="S10" s="1057"/>
      <c r="T10" s="1057"/>
      <c r="U10" s="1057"/>
      <c r="V10" s="1057"/>
      <c r="W10" s="1047"/>
      <c r="X10" s="1047"/>
      <c r="Y10" s="1057"/>
      <c r="Z10" s="1057"/>
      <c r="AA10" s="1057"/>
      <c r="AB10" s="1057"/>
      <c r="AC10" s="1057"/>
      <c r="AD10" s="1057"/>
      <c r="AE10" s="1057"/>
      <c r="AF10" s="1057"/>
      <c r="AG10" s="1057"/>
      <c r="AH10" s="1057"/>
      <c r="AI10" s="1057"/>
      <c r="AJ10" s="1048"/>
      <c r="AK10" s="1058"/>
      <c r="AL10" s="1058"/>
      <c r="AM10" s="1058"/>
      <c r="AN10" s="1057"/>
      <c r="AO10" s="1057"/>
      <c r="AP10" s="1057"/>
      <c r="AQ10" s="1057"/>
      <c r="AR10" s="1057"/>
      <c r="AS10" s="1057"/>
      <c r="AT10" s="1057"/>
      <c r="AU10" s="1057"/>
      <c r="AV10" s="1057"/>
      <c r="AW10" s="1057"/>
      <c r="AX10" s="1589"/>
      <c r="AY10" s="1046"/>
      <c r="AZ10" s="1765"/>
      <c r="BA10" s="1046"/>
      <c r="BB10" s="1049"/>
      <c r="BC10" s="1785"/>
      <c r="BD10" s="1056"/>
      <c r="BE10" s="1056"/>
      <c r="BF10" s="1056"/>
      <c r="BG10" s="1056"/>
      <c r="BH10" s="1056"/>
      <c r="BI10" s="1068"/>
      <c r="BJ10" s="1591"/>
      <c r="BK10" s="1045"/>
      <c r="BL10" s="1764"/>
      <c r="BM10" s="1069"/>
      <c r="BN10" s="2568"/>
      <c r="BO10" s="1069"/>
      <c r="BP10" s="1079"/>
      <c r="BQ10" s="1079"/>
      <c r="BR10" s="1069"/>
      <c r="BS10" s="1785"/>
      <c r="BT10" s="2569"/>
      <c r="BU10" s="55"/>
      <c r="BV10" s="2589"/>
      <c r="BW10" s="1050"/>
      <c r="BX10" s="1050"/>
      <c r="BY10" s="1050"/>
      <c r="BZ10" s="1050"/>
      <c r="CA10" s="1050"/>
      <c r="CB10" s="1050"/>
      <c r="CC10" s="1050"/>
      <c r="CD10" s="1050"/>
      <c r="CE10" s="1050"/>
      <c r="CF10" s="1050"/>
      <c r="CG10" s="1050"/>
      <c r="CH10" s="1050"/>
      <c r="CI10" s="1050"/>
      <c r="CJ10" s="1050"/>
      <c r="CK10" s="1050"/>
      <c r="CL10" s="1050"/>
      <c r="CM10" s="1050"/>
      <c r="CN10" s="1050"/>
      <c r="CO10" s="1050"/>
      <c r="CP10" s="1050"/>
      <c r="CQ10" s="1050"/>
      <c r="CR10" s="1050"/>
      <c r="CS10" s="1050"/>
      <c r="CT10" s="1050"/>
      <c r="CU10" s="1050"/>
      <c r="CV10" s="1050"/>
      <c r="CW10" s="1050"/>
      <c r="CX10" s="1050"/>
      <c r="CY10" s="1050"/>
      <c r="CZ10" s="1050"/>
      <c r="DA10" s="1050"/>
      <c r="DB10" s="1050"/>
      <c r="DC10" s="1059"/>
      <c r="DD10" s="55"/>
      <c r="DE10" s="55"/>
      <c r="DF10" s="55"/>
      <c r="DG10" s="55"/>
      <c r="DH10" s="55"/>
      <c r="DI10" s="55"/>
      <c r="DJ10" s="55"/>
      <c r="DK10" s="55"/>
      <c r="DL10" s="55"/>
      <c r="DM10" s="1059"/>
      <c r="DN10" s="55"/>
      <c r="DO10" s="531"/>
      <c r="DP10" s="531"/>
      <c r="DQ10" s="1050"/>
      <c r="DR10" s="1050"/>
      <c r="DS10" s="1050"/>
      <c r="DT10" s="1050"/>
      <c r="DU10" s="1050"/>
      <c r="DV10" s="1050"/>
      <c r="DW10" s="1050"/>
      <c r="DX10" s="1050"/>
      <c r="DY10" s="1050"/>
      <c r="DZ10" s="1050"/>
      <c r="EA10" s="1050"/>
      <c r="EB10" s="1050"/>
      <c r="EC10" s="1050"/>
      <c r="ED10" s="1050"/>
      <c r="EE10" s="1050"/>
      <c r="EF10" s="1050"/>
      <c r="EG10" s="1050"/>
      <c r="EH10" s="1050"/>
      <c r="EI10" s="1050"/>
      <c r="EJ10" s="1050"/>
      <c r="EK10" s="1050"/>
      <c r="EL10" s="1050"/>
      <c r="EM10" s="1050"/>
      <c r="EN10" s="1050"/>
      <c r="EO10" s="1050"/>
      <c r="EP10" s="1050"/>
      <c r="EQ10" s="1050"/>
      <c r="ER10" s="1050"/>
      <c r="ES10" s="1050"/>
      <c r="ET10" s="1050"/>
      <c r="EU10" s="1050"/>
      <c r="EV10" s="1050"/>
      <c r="EW10" s="1059"/>
      <c r="EX10" s="55"/>
      <c r="EY10" s="55"/>
      <c r="EZ10" s="55"/>
      <c r="FA10" s="55"/>
      <c r="FB10" s="55"/>
      <c r="FC10" s="55"/>
      <c r="FD10" s="55"/>
      <c r="FE10" s="55"/>
      <c r="FF10" s="55"/>
      <c r="FG10" s="1059"/>
      <c r="FH10" s="55"/>
      <c r="FI10" s="531"/>
      <c r="FJ10" s="531"/>
      <c r="FK10" s="1050"/>
      <c r="FL10" s="1050"/>
      <c r="FM10" s="1050"/>
      <c r="FN10" s="1050"/>
      <c r="FO10" s="1050"/>
      <c r="FP10" s="1050"/>
      <c r="FQ10" s="1050"/>
      <c r="FR10" s="1050"/>
      <c r="FS10" s="1050"/>
      <c r="FT10" s="1050"/>
      <c r="FU10" s="1050"/>
      <c r="FV10" s="1050"/>
      <c r="FW10" s="1050"/>
      <c r="FX10" s="1050"/>
      <c r="FY10" s="1050"/>
      <c r="FZ10" s="1050"/>
      <c r="GA10" s="1050"/>
      <c r="GB10" s="1050"/>
      <c r="GC10" s="1050"/>
      <c r="GD10" s="1050"/>
      <c r="GE10" s="1050"/>
      <c r="GF10" s="1050"/>
      <c r="GG10" s="1050"/>
      <c r="GH10" s="1050"/>
      <c r="GI10" s="1050"/>
      <c r="GJ10" s="1050"/>
      <c r="GK10" s="1050"/>
      <c r="GL10" s="1050"/>
      <c r="GM10" s="1050"/>
      <c r="GN10" s="1050"/>
      <c r="GO10" s="1050"/>
      <c r="GP10" s="1050"/>
      <c r="GQ10" s="1059"/>
      <c r="GR10" s="55"/>
      <c r="GS10" s="55"/>
      <c r="GT10" s="55"/>
      <c r="GU10" s="55"/>
      <c r="GV10" s="55"/>
      <c r="GW10" s="55"/>
      <c r="GX10" s="55"/>
      <c r="GY10" s="55"/>
      <c r="GZ10" s="55"/>
      <c r="HA10" s="1059"/>
      <c r="HB10" s="55"/>
      <c r="HC10" s="531"/>
      <c r="HD10" s="531"/>
      <c r="HE10" s="1050"/>
      <c r="HF10" s="1050"/>
      <c r="HG10" s="1050"/>
      <c r="HH10" s="1050"/>
      <c r="HI10" s="1050"/>
      <c r="HJ10" s="1050"/>
      <c r="HK10" s="1050"/>
      <c r="HL10" s="1050"/>
      <c r="HM10" s="1050"/>
      <c r="HN10" s="1050"/>
      <c r="HO10" s="1050"/>
      <c r="HP10" s="1050"/>
      <c r="HQ10" s="1050"/>
      <c r="HR10" s="1050"/>
      <c r="HS10" s="1050"/>
      <c r="HT10" s="1050"/>
      <c r="HU10" s="1050"/>
      <c r="HV10" s="1050"/>
      <c r="HW10" s="1050"/>
      <c r="HX10" s="1050"/>
      <c r="HY10" s="1050"/>
      <c r="HZ10" s="1050"/>
      <c r="IA10" s="1050"/>
      <c r="IB10" s="1050"/>
      <c r="IC10" s="1050"/>
      <c r="ID10" s="1050"/>
      <c r="IE10" s="1050"/>
      <c r="IF10" s="1050"/>
      <c r="IG10" s="1050"/>
      <c r="IH10" s="1050"/>
      <c r="II10" s="1050"/>
      <c r="IJ10" s="1050"/>
      <c r="IK10" s="1059"/>
      <c r="IL10" s="55"/>
      <c r="IM10" s="55"/>
      <c r="IN10" s="55"/>
      <c r="IO10" s="55"/>
      <c r="IP10" s="55"/>
    </row>
    <row r="11" spans="1:250" s="15" customFormat="1" ht="12" thickBot="1">
      <c r="A11" s="1060"/>
      <c r="B11" s="1061"/>
      <c r="C11" s="1053"/>
      <c r="D11" s="1043"/>
      <c r="E11" s="1716"/>
      <c r="F11" s="1592"/>
      <c r="G11" s="1045"/>
      <c r="H11" s="1046"/>
      <c r="I11" s="1046"/>
      <c r="J11" s="1046"/>
      <c r="K11" s="1046"/>
      <c r="L11" s="1046"/>
      <c r="M11" s="1047"/>
      <c r="N11" s="1046"/>
      <c r="O11" s="1046"/>
      <c r="P11" s="1046"/>
      <c r="Q11" s="1046"/>
      <c r="R11" s="1046"/>
      <c r="S11" s="1046"/>
      <c r="T11" s="1046"/>
      <c r="U11" s="1046"/>
      <c r="V11" s="1046"/>
      <c r="W11" s="1047"/>
      <c r="X11" s="1047"/>
      <c r="Y11" s="1046"/>
      <c r="Z11" s="1046"/>
      <c r="AA11" s="1046"/>
      <c r="AB11" s="1046"/>
      <c r="AC11" s="1046"/>
      <c r="AD11" s="1046"/>
      <c r="AE11" s="1046"/>
      <c r="AF11" s="1046"/>
      <c r="AG11" s="1046"/>
      <c r="AH11" s="1046"/>
      <c r="AI11" s="1046"/>
      <c r="AJ11" s="1048"/>
      <c r="AK11" s="1049"/>
      <c r="AL11" s="1046"/>
      <c r="AM11" s="1046"/>
      <c r="AN11" s="1046"/>
      <c r="AO11" s="1046"/>
      <c r="AP11" s="1046"/>
      <c r="AQ11" s="1046"/>
      <c r="AR11" s="1046"/>
      <c r="AS11" s="1046"/>
      <c r="AT11" s="1046"/>
      <c r="AU11" s="1046"/>
      <c r="AV11" s="1046"/>
      <c r="AW11" s="1046"/>
      <c r="AX11" s="1589"/>
      <c r="AY11" s="1046"/>
      <c r="AZ11" s="1765"/>
      <c r="BA11" s="1046"/>
      <c r="BB11" s="1049"/>
      <c r="BC11" s="1785"/>
      <c r="BD11" s="1046"/>
      <c r="BE11" s="1046"/>
      <c r="BF11" s="1046"/>
      <c r="BG11" s="1046"/>
      <c r="BH11" s="1046"/>
      <c r="BI11" s="1049"/>
      <c r="BJ11" s="1589"/>
      <c r="BK11" s="1046"/>
      <c r="BL11" s="1765"/>
      <c r="BM11" s="1049"/>
      <c r="BN11" s="2590"/>
      <c r="BO11" s="1049"/>
      <c r="BP11" s="1083"/>
      <c r="BQ11" s="1083"/>
      <c r="BR11" s="1049"/>
      <c r="BS11" s="1785"/>
      <c r="BT11" s="51"/>
      <c r="BV11" s="55"/>
    </row>
    <row r="12" spans="1:250" s="1085" customFormat="1" ht="12" thickBot="1">
      <c r="A12" s="2707">
        <f>Ops!D1</f>
        <v>1</v>
      </c>
      <c r="B12" s="2708"/>
      <c r="C12" s="2709" t="str">
        <f>IF(MAX(C9:C11)&lt;&gt;FunctCodCtl_O,"Funct&lt;&gt;","")</f>
        <v/>
      </c>
      <c r="D12" s="2710" t="s">
        <v>2731</v>
      </c>
      <c r="E12" s="2708"/>
      <c r="F12" s="2711" t="e">
        <f t="shared" ref="F12:L12" si="16">SUM(F9:F11)</f>
        <v>#VALUE!</v>
      </c>
      <c r="G12" s="2712" t="e">
        <f t="shared" si="16"/>
        <v>#N/A</v>
      </c>
      <c r="H12" s="2712">
        <f t="shared" si="16"/>
        <v>0</v>
      </c>
      <c r="I12" s="2712" t="e">
        <f t="shared" si="16"/>
        <v>#VALUE!</v>
      </c>
      <c r="J12" s="2712" t="e">
        <f t="shared" si="16"/>
        <v>#N/A</v>
      </c>
      <c r="K12" s="2712" t="e">
        <f t="shared" si="16"/>
        <v>#N/A</v>
      </c>
      <c r="L12" s="2712" t="e">
        <f t="shared" si="16"/>
        <v>#N/A</v>
      </c>
      <c r="M12" s="2713"/>
      <c r="N12" s="2712" t="e">
        <f t="shared" ref="N12:V12" si="17">SUM(N9:N11)</f>
        <v>#N/A</v>
      </c>
      <c r="O12" s="2712" t="e">
        <f t="shared" si="17"/>
        <v>#N/A</v>
      </c>
      <c r="P12" s="2712">
        <f t="shared" si="17"/>
        <v>0</v>
      </c>
      <c r="Q12" s="2712" t="e">
        <f t="shared" si="17"/>
        <v>#N/A</v>
      </c>
      <c r="R12" s="2712" t="e">
        <f t="shared" si="17"/>
        <v>#N/A</v>
      </c>
      <c r="S12" s="2712" t="e">
        <f t="shared" si="17"/>
        <v>#N/A</v>
      </c>
      <c r="T12" s="2712" t="e">
        <f t="shared" si="17"/>
        <v>#N/A</v>
      </c>
      <c r="U12" s="2712" t="e">
        <f t="shared" si="17"/>
        <v>#N/A</v>
      </c>
      <c r="V12" s="2712" t="e">
        <f t="shared" si="17"/>
        <v>#N/A</v>
      </c>
      <c r="W12" s="2713"/>
      <c r="X12" s="2713"/>
      <c r="Y12" s="2712">
        <f t="shared" ref="Y12:AI12" si="18">SUM(Y9:Y11)</f>
        <v>0</v>
      </c>
      <c r="Z12" s="2712" t="e">
        <f t="shared" si="18"/>
        <v>#N/A</v>
      </c>
      <c r="AA12" s="2712" t="e">
        <f t="shared" si="18"/>
        <v>#N/A</v>
      </c>
      <c r="AB12" s="2712" t="e">
        <f t="shared" si="18"/>
        <v>#N/A</v>
      </c>
      <c r="AC12" s="2712" t="e">
        <f t="shared" si="18"/>
        <v>#N/A</v>
      </c>
      <c r="AD12" s="2712" t="e">
        <f t="shared" si="18"/>
        <v>#N/A</v>
      </c>
      <c r="AE12" s="2712" t="e">
        <f t="shared" si="18"/>
        <v>#N/A</v>
      </c>
      <c r="AF12" s="2712" t="e">
        <f t="shared" si="18"/>
        <v>#N/A</v>
      </c>
      <c r="AG12" s="2712" t="e">
        <f t="shared" si="18"/>
        <v>#N/A</v>
      </c>
      <c r="AH12" s="2712">
        <f t="shared" si="18"/>
        <v>0</v>
      </c>
      <c r="AI12" s="2712" t="e">
        <f t="shared" si="18"/>
        <v>#N/A</v>
      </c>
      <c r="AJ12" s="2714"/>
      <c r="AK12" s="2715" t="e">
        <f t="shared" ref="AK12:BT12" si="19">SUM(AK9:AK11)</f>
        <v>#N/A</v>
      </c>
      <c r="AL12" s="2712" t="e">
        <f t="shared" si="19"/>
        <v>#N/A</v>
      </c>
      <c r="AM12" s="2712" t="e">
        <f t="shared" si="19"/>
        <v>#N/A</v>
      </c>
      <c r="AN12" s="2712" t="e">
        <f t="shared" si="19"/>
        <v>#N/A</v>
      </c>
      <c r="AO12" s="2712" t="e">
        <f t="shared" si="19"/>
        <v>#N/A</v>
      </c>
      <c r="AP12" s="2712" t="e">
        <f t="shared" si="19"/>
        <v>#N/A</v>
      </c>
      <c r="AQ12" s="2712" t="e">
        <f t="shared" si="19"/>
        <v>#N/A</v>
      </c>
      <c r="AR12" s="2712" t="e">
        <f t="shared" si="19"/>
        <v>#N/A</v>
      </c>
      <c r="AS12" s="2712">
        <f t="shared" si="19"/>
        <v>0</v>
      </c>
      <c r="AT12" s="2712" t="e">
        <f t="shared" si="19"/>
        <v>#N/A</v>
      </c>
      <c r="AU12" s="2712" t="e">
        <f t="shared" si="19"/>
        <v>#N/A</v>
      </c>
      <c r="AV12" s="2712" t="e">
        <f t="shared" si="19"/>
        <v>#N/A</v>
      </c>
      <c r="AW12" s="2715">
        <f t="shared" si="19"/>
        <v>0</v>
      </c>
      <c r="AX12" s="2716" t="e">
        <f t="shared" si="19"/>
        <v>#VALUE!</v>
      </c>
      <c r="AY12" s="2712" t="e">
        <f t="shared" si="19"/>
        <v>#VALUE!</v>
      </c>
      <c r="AZ12" s="2717" t="e">
        <f t="shared" si="19"/>
        <v>#N/A</v>
      </c>
      <c r="BA12" s="2712" t="e">
        <f t="shared" si="19"/>
        <v>#VALUE!</v>
      </c>
      <c r="BB12" s="2715" t="e">
        <f t="shared" si="19"/>
        <v>#VALUE!</v>
      </c>
      <c r="BC12" s="2718" t="e">
        <f t="shared" si="19"/>
        <v>#VALUE!</v>
      </c>
      <c r="BD12" s="2712" t="e">
        <f t="shared" si="19"/>
        <v>#VALUE!</v>
      </c>
      <c r="BE12" s="2712" t="e">
        <f t="shared" si="19"/>
        <v>#VALUE!</v>
      </c>
      <c r="BF12" s="2712" t="e">
        <f t="shared" si="19"/>
        <v>#N/A</v>
      </c>
      <c r="BG12" s="2712" t="e">
        <f t="shared" si="19"/>
        <v>#N/A</v>
      </c>
      <c r="BH12" s="2712" t="e">
        <f t="shared" si="19"/>
        <v>#N/A</v>
      </c>
      <c r="BI12" s="2715" t="e">
        <f t="shared" si="19"/>
        <v>#N/A</v>
      </c>
      <c r="BJ12" s="2716" t="e">
        <f t="shared" si="19"/>
        <v>#VALUE!</v>
      </c>
      <c r="BK12" s="2712" t="e">
        <f t="shared" si="19"/>
        <v>#VALUE!</v>
      </c>
      <c r="BL12" s="2717" t="e">
        <f t="shared" si="19"/>
        <v>#N/A</v>
      </c>
      <c r="BM12" s="2715" t="e">
        <f t="shared" si="19"/>
        <v>#N/A</v>
      </c>
      <c r="BN12" s="2719" t="e">
        <f t="shared" si="19"/>
        <v>#VALUE!</v>
      </c>
      <c r="BO12" s="2715" t="e">
        <f t="shared" si="19"/>
        <v>#VALUE!</v>
      </c>
      <c r="BP12" s="2720" t="e">
        <f t="shared" si="19"/>
        <v>#N/A</v>
      </c>
      <c r="BQ12" s="2720" t="e">
        <f t="shared" si="19"/>
        <v>#N/A</v>
      </c>
      <c r="BR12" s="2715" t="e">
        <f t="shared" si="19"/>
        <v>#N/A</v>
      </c>
      <c r="BS12" s="2718" t="e">
        <f t="shared" si="19"/>
        <v>#VALUE!</v>
      </c>
      <c r="BT12" s="2591" t="e">
        <f t="shared" si="19"/>
        <v>#N/A</v>
      </c>
      <c r="BU12" s="1059" t="e">
        <f>IF(ROUND(BS12,2)=ROUND(SUM(BD12:BR12),2),"OK",CONCATENATE("Error :",BS12-SUM(BD12:BR12)))</f>
        <v>#VALUE!</v>
      </c>
      <c r="BV12" s="1540" t="e">
        <f>SUM(BV9:BV11)</f>
        <v>#VALUE!</v>
      </c>
    </row>
    <row r="13" spans="1:250">
      <c r="A13" s="775"/>
      <c r="B13" s="776"/>
      <c r="C13" s="2825">
        <f>MAX(A9:A11)</f>
        <v>1</v>
      </c>
      <c r="D13" s="2820"/>
      <c r="E13" s="1136" t="str">
        <f>IF(C13=A12,"",IF(C13&lt;A12,CONCATENATE("Ops: ", A12-C13," ligne(s) à ajouter !"),CONCATENATE("Ops: ",C13-A12," ligne(s)  #N/A à supprimer !")))</f>
        <v/>
      </c>
      <c r="F13" s="1594"/>
      <c r="G13" s="487"/>
      <c r="H13" s="487"/>
      <c r="I13" s="487"/>
      <c r="J13" s="487"/>
      <c r="K13" s="487"/>
      <c r="L13" s="487"/>
      <c r="M13" s="487"/>
      <c r="N13" s="487"/>
      <c r="O13" s="487"/>
      <c r="P13" s="487"/>
      <c r="Q13" s="487"/>
      <c r="R13" s="487"/>
      <c r="S13" s="487"/>
      <c r="T13" s="487"/>
      <c r="U13" s="487"/>
      <c r="V13" s="487"/>
      <c r="W13" s="487"/>
      <c r="X13" s="487"/>
      <c r="Y13" s="487"/>
      <c r="Z13" s="487"/>
      <c r="AA13" s="487"/>
      <c r="AB13" s="487"/>
      <c r="AC13" s="487"/>
      <c r="AD13" s="487"/>
      <c r="AE13" s="487"/>
      <c r="AF13" s="487"/>
      <c r="AG13" s="487"/>
      <c r="AH13" s="487"/>
      <c r="AI13" s="487"/>
      <c r="AJ13" s="487"/>
      <c r="AK13" s="776"/>
      <c r="AL13" s="776"/>
      <c r="AM13" s="776"/>
      <c r="AN13" s="487"/>
      <c r="AO13" s="487"/>
      <c r="AP13" s="487"/>
      <c r="AQ13" s="487"/>
      <c r="AR13" s="487"/>
      <c r="AS13" s="487"/>
      <c r="AT13" s="487"/>
      <c r="AU13" s="487"/>
      <c r="AV13" s="487"/>
      <c r="AW13" s="776"/>
      <c r="AX13" s="1590"/>
      <c r="AY13" s="487"/>
      <c r="AZ13" s="1766"/>
      <c r="BA13" s="487"/>
      <c r="BB13" s="776"/>
      <c r="BC13" s="1783" t="e">
        <f>IF(ROUND(BC12-Ops!FU1,2)=0,"OK","Contrôle van de linken Ops en Hulpform!!")</f>
        <v>#VALUE!</v>
      </c>
      <c r="BD13" s="487"/>
      <c r="BE13" s="487"/>
      <c r="BF13" s="487"/>
      <c r="BG13" s="487"/>
      <c r="BH13" s="487"/>
      <c r="BI13" s="776"/>
      <c r="BJ13" s="1590"/>
      <c r="BK13" s="487"/>
      <c r="BL13" s="1766"/>
      <c r="BM13" s="776"/>
      <c r="BN13" s="2592"/>
      <c r="BO13" s="776"/>
      <c r="BP13" s="512"/>
      <c r="BQ13" s="512"/>
      <c r="BR13" s="776"/>
      <c r="BS13" s="1783"/>
      <c r="BU13" s="505"/>
      <c r="BV13" s="505"/>
    </row>
    <row r="14" spans="1:250" s="788" customFormat="1" ht="14.25" customHeight="1">
      <c r="A14" s="1727"/>
      <c r="B14" s="1728">
        <v>1</v>
      </c>
      <c r="C14" s="1729">
        <f>IF(ISNA(SUBTOTAL(5,C15:C17)),0,SUBTOTAL(5,C15:C17))</f>
        <v>0</v>
      </c>
      <c r="D14" s="1730"/>
      <c r="E14" s="1722" t="str">
        <f>CONCATENATE(" Stat: ",COUNTIF(B15:B17,1),
"          Contr: ",COUNTIF(B15:B17,2),IF(COUNTIF(B15:B17,4)=0,"",CONCATENATE("          Rempl 4/5: ",COUNTIF(B15:B17,4))))</f>
        <v xml:space="preserve"> Stat: 0          Contr: 0</v>
      </c>
      <c r="F14" s="1731"/>
      <c r="G14" s="1732"/>
      <c r="H14" s="1732"/>
      <c r="I14" s="1732"/>
      <c r="J14" s="1732"/>
      <c r="K14" s="1732"/>
      <c r="L14" s="1732"/>
      <c r="M14" s="1732"/>
      <c r="N14" s="1732"/>
      <c r="O14" s="1732"/>
      <c r="P14" s="1732"/>
      <c r="Q14" s="1732"/>
      <c r="R14" s="1732"/>
      <c r="S14" s="1732"/>
      <c r="T14" s="1732"/>
      <c r="U14" s="1732"/>
      <c r="V14" s="1732"/>
      <c r="W14" s="1732"/>
      <c r="X14" s="1732"/>
      <c r="Y14" s="1732"/>
      <c r="Z14" s="1732"/>
      <c r="AA14" s="1732"/>
      <c r="AB14" s="1732"/>
      <c r="AC14" s="1732"/>
      <c r="AD14" s="1732"/>
      <c r="AE14" s="1732"/>
      <c r="AF14" s="1732"/>
      <c r="AG14" s="1732"/>
      <c r="AH14" s="1732"/>
      <c r="AI14" s="1732"/>
      <c r="AJ14" s="1733" t="e">
        <f>SUBTOTAL(9,AJ15:AJ17)</f>
        <v>#N/A</v>
      </c>
      <c r="AK14" s="1732"/>
      <c r="AL14" s="1732"/>
      <c r="AM14" s="1732"/>
      <c r="AN14" s="1732"/>
      <c r="AO14" s="1732"/>
      <c r="AP14" s="1732"/>
      <c r="AQ14" s="1732"/>
      <c r="AR14" s="1732"/>
      <c r="AS14" s="1732"/>
      <c r="AT14" s="1732"/>
      <c r="AU14" s="1732"/>
      <c r="AV14" s="1732"/>
      <c r="AW14" s="1732"/>
      <c r="AX14" s="1776"/>
      <c r="AY14" s="1732"/>
      <c r="AZ14" s="2573"/>
      <c r="BA14" s="1732"/>
      <c r="BB14" s="1777"/>
      <c r="BC14" s="1790"/>
      <c r="BD14" s="1733" t="e">
        <f t="shared" ref="BD14:BP14" si="20">SUBTOTAL(9,BD15:BD17)</f>
        <v>#N/A</v>
      </c>
      <c r="BE14" s="1733" t="e">
        <f t="shared" si="20"/>
        <v>#N/A</v>
      </c>
      <c r="BF14" s="1733" t="e">
        <f t="shared" si="20"/>
        <v>#N/A</v>
      </c>
      <c r="BG14" s="1733" t="e">
        <f t="shared" si="20"/>
        <v>#N/A</v>
      </c>
      <c r="BH14" s="1733" t="e">
        <f t="shared" si="20"/>
        <v>#N/A</v>
      </c>
      <c r="BI14" s="1755" t="e">
        <f t="shared" si="20"/>
        <v>#N/A</v>
      </c>
      <c r="BJ14" s="1767" t="e">
        <f t="shared" si="20"/>
        <v>#N/A</v>
      </c>
      <c r="BK14" s="1733" t="e">
        <f t="shared" si="20"/>
        <v>#N/A</v>
      </c>
      <c r="BL14" s="1768" t="e">
        <f t="shared" si="20"/>
        <v>#N/A</v>
      </c>
      <c r="BM14" s="1755" t="e">
        <f t="shared" si="20"/>
        <v>#N/A</v>
      </c>
      <c r="BN14" s="2593" t="e">
        <f t="shared" si="20"/>
        <v>#N/A</v>
      </c>
      <c r="BO14" s="1755" t="e">
        <f t="shared" si="20"/>
        <v>#N/A</v>
      </c>
      <c r="BP14" s="2594" t="e">
        <f t="shared" si="20"/>
        <v>#N/A</v>
      </c>
      <c r="BQ14" s="2594"/>
      <c r="BR14" s="1755" t="e">
        <f>SUBTOTAL(9,BR15:BR17)</f>
        <v>#N/A</v>
      </c>
      <c r="BS14" s="2595" t="e">
        <f>SUM(BD14:BR14)</f>
        <v>#N/A</v>
      </c>
      <c r="BT14" s="2596" t="e">
        <f>SUBTOTAL(9,BT15:BT17)</f>
        <v>#N/A</v>
      </c>
      <c r="BU14" s="789" t="e">
        <f>IF(BC14-BS14&lt;0.01,"","error")</f>
        <v>#N/A</v>
      </c>
      <c r="BV14" s="1734" t="e">
        <f>SUBTOTAL(9,BV15:BV17)</f>
        <v>#N/A</v>
      </c>
    </row>
    <row r="15" spans="1:250" s="15" customFormat="1" ht="11.25">
      <c r="A15" s="1040"/>
      <c r="B15" s="1041" t="e">
        <f>VLOOKUP($A15,T_Calog,20,0)</f>
        <v>#N/A</v>
      </c>
      <c r="C15" s="1042" t="e">
        <f>VALUE(VLOOKUP($A15,T_Calog,C$3,0))</f>
        <v>#N/A</v>
      </c>
      <c r="D15" s="1043" t="s">
        <v>4355</v>
      </c>
      <c r="E15" s="1716" t="e">
        <f t="shared" ref="E15:L15" si="21">VLOOKUP($A15,T_Calog,E$3,0)</f>
        <v>#N/A</v>
      </c>
      <c r="F15" s="1592" t="e">
        <f t="shared" si="21"/>
        <v>#N/A</v>
      </c>
      <c r="G15" s="1045" t="e">
        <f>IF(VLOOKUP($A15,T_Calog,G$3,0)&lt;0,0,VLOOKUP($A15,T_Calog,G$3,0))</f>
        <v>#N/A</v>
      </c>
      <c r="H15" s="1062"/>
      <c r="I15" s="1045" t="e">
        <f t="shared" si="21"/>
        <v>#N/A</v>
      </c>
      <c r="J15" s="1045" t="e">
        <f>VLOOKUP($A15,T_Calog,J$3,0)</f>
        <v>#N/A</v>
      </c>
      <c r="K15" s="1045" t="e">
        <f t="shared" si="21"/>
        <v>#N/A</v>
      </c>
      <c r="L15" s="1045" t="e">
        <f t="shared" si="21"/>
        <v>#N/A</v>
      </c>
      <c r="M15" s="1045" t="e">
        <f>VLOOKUP($A15,T_Calog,M$3,0)</f>
        <v>#N/A</v>
      </c>
      <c r="N15" s="1062"/>
      <c r="O15" s="1062"/>
      <c r="P15" s="1045" t="e">
        <f>VLOOKUP($A15,T_Calog,P$3,0)</f>
        <v>#N/A</v>
      </c>
      <c r="Q15" s="1062"/>
      <c r="R15" s="1062"/>
      <c r="S15" s="1045" t="e">
        <f>VLOOKUP($A15,T_Calog,S$3,0)</f>
        <v>#N/A</v>
      </c>
      <c r="T15" s="1063"/>
      <c r="U15" s="1045" t="e">
        <f t="shared" ref="U15:AE15" si="22">VLOOKUP($A15,T_Calog,U$3,0)</f>
        <v>#N/A</v>
      </c>
      <c r="V15" s="1045" t="e">
        <f t="shared" si="22"/>
        <v>#N/A</v>
      </c>
      <c r="W15" s="1045" t="e">
        <f t="shared" si="22"/>
        <v>#N/A</v>
      </c>
      <c r="X15" s="1045" t="e">
        <f t="shared" si="22"/>
        <v>#N/A</v>
      </c>
      <c r="Y15" s="2565" t="e">
        <f>VLOOKUP($A15,T_Calog,Y$3,0)</f>
        <v>#N/A</v>
      </c>
      <c r="Z15" s="1045" t="e">
        <f>VLOOKUP($A15,T_Calog,Z$3,0)</f>
        <v>#N/A</v>
      </c>
      <c r="AA15" s="1045" t="e">
        <f t="shared" si="22"/>
        <v>#N/A</v>
      </c>
      <c r="AB15" s="1045" t="e">
        <f t="shared" si="22"/>
        <v>#N/A</v>
      </c>
      <c r="AC15" s="1045" t="e">
        <f t="shared" si="22"/>
        <v>#N/A</v>
      </c>
      <c r="AD15" s="1045" t="e">
        <f t="shared" si="22"/>
        <v>#N/A</v>
      </c>
      <c r="AE15" s="1045" t="e">
        <f t="shared" si="22"/>
        <v>#N/A</v>
      </c>
      <c r="AF15" s="1062"/>
      <c r="AG15" s="1062"/>
      <c r="AH15" s="1062"/>
      <c r="AI15" s="1045" t="e">
        <f t="shared" ref="AI15:AN15" si="23">VLOOKUP($A15,T_Calog,AI$3,0)</f>
        <v>#N/A</v>
      </c>
      <c r="AJ15" s="1045" t="e">
        <f t="shared" si="23"/>
        <v>#N/A</v>
      </c>
      <c r="AK15" s="1045" t="e">
        <f t="shared" si="23"/>
        <v>#N/A</v>
      </c>
      <c r="AL15" s="1045" t="e">
        <f t="shared" si="23"/>
        <v>#N/A</v>
      </c>
      <c r="AM15" s="1045" t="e">
        <f t="shared" si="23"/>
        <v>#N/A</v>
      </c>
      <c r="AN15" s="1045" t="e">
        <f t="shared" si="23"/>
        <v>#N/A</v>
      </c>
      <c r="AO15" s="1062"/>
      <c r="AP15" s="1045" t="e">
        <f>VLOOKUP($A15,T_Calog,AP$3,0)</f>
        <v>#N/A</v>
      </c>
      <c r="AQ15" s="1062"/>
      <c r="AR15" s="1062"/>
      <c r="AS15" s="1063"/>
      <c r="AT15" s="1045" t="e">
        <f t="shared" ref="AT15:BB15" si="24">VLOOKUP($A15,T_Calog,AT$3,0)</f>
        <v>#N/A</v>
      </c>
      <c r="AU15" s="1045" t="e">
        <f t="shared" si="24"/>
        <v>#N/A</v>
      </c>
      <c r="AV15" s="1045" t="e">
        <f t="shared" si="24"/>
        <v>#N/A</v>
      </c>
      <c r="AW15" s="1045" t="e">
        <f t="shared" si="24"/>
        <v>#N/A</v>
      </c>
      <c r="AX15" s="1591" t="e">
        <f t="shared" si="24"/>
        <v>#N/A</v>
      </c>
      <c r="AY15" s="1045" t="e">
        <f t="shared" si="24"/>
        <v>#N/A</v>
      </c>
      <c r="AZ15" s="1764" t="e">
        <f t="shared" si="24"/>
        <v>#N/A</v>
      </c>
      <c r="BA15" s="1045" t="e">
        <f t="shared" si="24"/>
        <v>#N/A</v>
      </c>
      <c r="BB15" s="1069" t="e">
        <f t="shared" si="24"/>
        <v>#N/A</v>
      </c>
      <c r="BC15" s="1785" t="e">
        <f>SUM(E15:BB15)</f>
        <v>#N/A</v>
      </c>
      <c r="BD15" s="1045" t="e">
        <f>IF(F15="",0,F15)+G15+IF(H15="",0,H15)+IF(J15="",0,J15)</f>
        <v>#N/A</v>
      </c>
      <c r="BE15" s="1045" t="e">
        <f>IF(I15="",0,I15)</f>
        <v>#N/A</v>
      </c>
      <c r="BF15" s="1045" t="e">
        <f>IF(M15="",0,M15)+IF(P15="",0,P15)+IF(S15="",0,S15)+IF(U15="",0,U15)+IF(V15="",0,V15)+IF(W15="",0,W15)+IF(X15="",0,X15)+IF(Y15="",0,Y15)+IF(LEFT($Z$1,6)="111-01",IF(Z15="",0,Z15),0)</f>
        <v>#N/A</v>
      </c>
      <c r="BG15" s="1045" t="e">
        <f>L15+K15</f>
        <v>#N/A</v>
      </c>
      <c r="BH15" s="1045" t="e">
        <f>IF(AA15="",0,AA15)+IF(AB15="",0,AB15)+IF(AC15="",0,AC15)+IF(AD15="",0,AD15)+IF(AE15="",0,AE15)+IF(AF15="",0,AF15)+IF(AG15="",0,AG15)+IF(AH15="",0,AH15)+IF(AI15="",0,AI15)+IF(AJ15="",0,AJ15)</f>
        <v>#N/A</v>
      </c>
      <c r="BI15" s="1069" t="e">
        <f>AK15</f>
        <v>#N/A</v>
      </c>
      <c r="BJ15" s="1591" t="e">
        <f>AX15</f>
        <v>#N/A</v>
      </c>
      <c r="BK15" s="1045" t="e">
        <f>AY15</f>
        <v>#N/A</v>
      </c>
      <c r="BL15" s="1764" t="e">
        <f>AZ15</f>
        <v>#N/A</v>
      </c>
      <c r="BM15" s="1069" t="e">
        <f>IF(AL15="",0,AL15)+IF(AM15="",0,AM15)</f>
        <v>#N/A</v>
      </c>
      <c r="BN15" s="2568" t="e">
        <f>BA15</f>
        <v>#N/A</v>
      </c>
      <c r="BO15" s="1069" t="e">
        <f>BB15</f>
        <v>#N/A</v>
      </c>
      <c r="BP15" s="1079" t="e">
        <f>AN15</f>
        <v>#N/A</v>
      </c>
      <c r="BQ15" s="1084"/>
      <c r="BR15" s="1069" t="e">
        <f>SUM(AP15:AW15)</f>
        <v>#N/A</v>
      </c>
      <c r="BS15" s="1785" t="e">
        <f>SUM(BD15:BR15)</f>
        <v>#N/A</v>
      </c>
      <c r="BT15" s="2569" t="e">
        <f>VLOOKUP($A15,T_Calog,BT$3,0)</f>
        <v>#N/A</v>
      </c>
      <c r="BU15" s="55" t="e">
        <f>IF(OR(BS15="",BC15-BS15&lt;0.01),"",CONCATENATE("error ",ROUND(BC15-BS15,2)))</f>
        <v>#N/A</v>
      </c>
      <c r="BV15" s="2570" t="e">
        <f>VLOOKUP($A15,T_Calog,BV$3,0)</f>
        <v>#N/A</v>
      </c>
      <c r="BW15" s="55"/>
      <c r="BX15" s="55"/>
      <c r="BY15" s="55"/>
      <c r="BZ15" s="55"/>
      <c r="CA15" s="55"/>
      <c r="CB15" s="55"/>
      <c r="CC15" s="55"/>
      <c r="CD15" s="55"/>
      <c r="CE15" s="55"/>
      <c r="CF15" s="55"/>
      <c r="CG15" s="1064"/>
      <c r="CH15" s="55"/>
      <c r="CI15" s="1064"/>
      <c r="CJ15" s="1064"/>
      <c r="CK15" s="55"/>
      <c r="CL15" s="55"/>
      <c r="CM15" s="55"/>
      <c r="CN15" s="1059"/>
      <c r="CO15" s="55"/>
      <c r="CP15" s="55"/>
      <c r="CQ15" s="55"/>
      <c r="CR15" s="55"/>
      <c r="CS15" s="55"/>
      <c r="CT15" s="55"/>
      <c r="CU15" s="55"/>
      <c r="CV15" s="55"/>
      <c r="CW15" s="55"/>
      <c r="CX15" s="55"/>
      <c r="CY15" s="55"/>
      <c r="CZ15" s="55"/>
      <c r="DA15" s="1059"/>
    </row>
    <row r="16" spans="1:250" s="15" customFormat="1" ht="11.25">
      <c r="A16" s="1051"/>
      <c r="B16" s="1041"/>
      <c r="C16" s="1065"/>
      <c r="D16" s="1054"/>
      <c r="E16" s="1717"/>
      <c r="F16" s="1593"/>
      <c r="G16" s="1056"/>
      <c r="H16" s="1062"/>
      <c r="I16" s="1056"/>
      <c r="J16" s="1056"/>
      <c r="K16" s="1056"/>
      <c r="L16" s="1056"/>
      <c r="M16" s="1056"/>
      <c r="N16" s="1066"/>
      <c r="O16" s="1066"/>
      <c r="P16" s="1056"/>
      <c r="Q16" s="1066"/>
      <c r="R16" s="1066"/>
      <c r="S16" s="1056"/>
      <c r="T16" s="1063"/>
      <c r="U16" s="1056"/>
      <c r="V16" s="1056"/>
      <c r="W16" s="1056"/>
      <c r="X16" s="1056"/>
      <c r="Y16" s="1056"/>
      <c r="Z16" s="1056"/>
      <c r="AA16" s="1056"/>
      <c r="AB16" s="1056"/>
      <c r="AC16" s="1056"/>
      <c r="AD16" s="1056"/>
      <c r="AE16" s="1056"/>
      <c r="AF16" s="1067"/>
      <c r="AG16" s="1067"/>
      <c r="AH16" s="1067"/>
      <c r="AI16" s="1056"/>
      <c r="AJ16" s="1056"/>
      <c r="AK16" s="1068"/>
      <c r="AL16" s="1068"/>
      <c r="AM16" s="1068"/>
      <c r="AN16" s="1056"/>
      <c r="AO16" s="1067"/>
      <c r="AP16" s="1056"/>
      <c r="AQ16" s="1067"/>
      <c r="AR16" s="1067"/>
      <c r="AS16" s="1066"/>
      <c r="AT16" s="1056"/>
      <c r="AU16" s="1056"/>
      <c r="AV16" s="1056"/>
      <c r="AW16" s="1068"/>
      <c r="AX16" s="1591"/>
      <c r="AY16" s="1045"/>
      <c r="AZ16" s="1764"/>
      <c r="BA16" s="1045"/>
      <c r="BB16" s="1069"/>
      <c r="BC16" s="1785"/>
      <c r="BD16" s="1056"/>
      <c r="BE16" s="1056"/>
      <c r="BF16" s="1056"/>
      <c r="BG16" s="1056"/>
      <c r="BH16" s="1056"/>
      <c r="BI16" s="1068"/>
      <c r="BJ16" s="1591"/>
      <c r="BK16" s="1045"/>
      <c r="BL16" s="1764"/>
      <c r="BM16" s="1069"/>
      <c r="BN16" s="2568"/>
      <c r="BO16" s="1069"/>
      <c r="BP16" s="1079"/>
      <c r="BQ16" s="1084"/>
      <c r="BR16" s="1069"/>
      <c r="BS16" s="1785"/>
      <c r="BT16" s="2569"/>
      <c r="BU16" s="55"/>
      <c r="BV16" s="2570"/>
    </row>
    <row r="17" spans="1:256" s="15" customFormat="1" ht="12" thickBot="1">
      <c r="A17" s="1060"/>
      <c r="B17" s="1061"/>
      <c r="C17" s="1053"/>
      <c r="D17" s="1043"/>
      <c r="E17" s="1716"/>
      <c r="F17" s="1592"/>
      <c r="G17" s="1045"/>
      <c r="H17" s="1062"/>
      <c r="I17" s="1045"/>
      <c r="J17" s="1045"/>
      <c r="K17" s="1045"/>
      <c r="L17" s="1045"/>
      <c r="M17" s="1045"/>
      <c r="N17" s="1063"/>
      <c r="O17" s="1063"/>
      <c r="P17" s="1045"/>
      <c r="Q17" s="1063"/>
      <c r="R17" s="1063"/>
      <c r="S17" s="1045"/>
      <c r="T17" s="1063"/>
      <c r="U17" s="1045"/>
      <c r="V17" s="1045"/>
      <c r="W17" s="1045"/>
      <c r="X17" s="1045"/>
      <c r="Y17" s="1045"/>
      <c r="Z17" s="1045"/>
      <c r="AA17" s="1045"/>
      <c r="AB17" s="1045"/>
      <c r="AC17" s="1045"/>
      <c r="AD17" s="1045"/>
      <c r="AE17" s="1045"/>
      <c r="AF17" s="1062"/>
      <c r="AG17" s="1062"/>
      <c r="AH17" s="1062"/>
      <c r="AI17" s="1046"/>
      <c r="AJ17" s="1045"/>
      <c r="AK17" s="1069"/>
      <c r="AL17" s="1069"/>
      <c r="AM17" s="1069"/>
      <c r="AN17" s="1045"/>
      <c r="AO17" s="1062"/>
      <c r="AP17" s="1045"/>
      <c r="AQ17" s="1062"/>
      <c r="AR17" s="1062"/>
      <c r="AS17" s="1063"/>
      <c r="AT17" s="1045"/>
      <c r="AU17" s="1045"/>
      <c r="AV17" s="1045"/>
      <c r="AW17" s="1069"/>
      <c r="AX17" s="1591"/>
      <c r="AY17" s="1045"/>
      <c r="AZ17" s="1764"/>
      <c r="BA17" s="1045"/>
      <c r="BB17" s="1069"/>
      <c r="BC17" s="1785"/>
      <c r="BD17" s="1045"/>
      <c r="BE17" s="1045"/>
      <c r="BF17" s="1045"/>
      <c r="BG17" s="1045"/>
      <c r="BH17" s="1045"/>
      <c r="BI17" s="1069"/>
      <c r="BJ17" s="1591"/>
      <c r="BK17" s="1045"/>
      <c r="BL17" s="1764"/>
      <c r="BM17" s="1069"/>
      <c r="BN17" s="2568"/>
      <c r="BO17" s="1069"/>
      <c r="BP17" s="1079"/>
      <c r="BQ17" s="1084"/>
      <c r="BR17" s="1069"/>
      <c r="BS17" s="1785"/>
      <c r="BT17" s="2569"/>
      <c r="BU17" s="55" t="str">
        <f>IF(OR(BS17="",BC17-BS17&lt;0.01),"",CONCATENATE("error ",ROUND(BC17-BS17,2)))</f>
        <v/>
      </c>
      <c r="BV17" s="2570"/>
    </row>
    <row r="18" spans="1:256" s="129" customFormat="1" ht="13.5" thickBot="1">
      <c r="A18" s="2692">
        <f>COUNT(A15:A17)</f>
        <v>0</v>
      </c>
      <c r="B18" s="2693"/>
      <c r="C18" s="2694" t="e">
        <f>IF(ISNA(FunctCodCtl_C),"",IF(MAX(C15:C17)&lt;&gt;FunctCodCtl_C,"Funct&lt;&gt;",""))</f>
        <v>#N/A</v>
      </c>
      <c r="D18" s="2694" t="s">
        <v>2730</v>
      </c>
      <c r="E18" s="2695"/>
      <c r="F18" s="2696" t="e">
        <f>SUM(F15:F17)</f>
        <v>#N/A</v>
      </c>
      <c r="G18" s="2697" t="e">
        <f>SUM(G15:G17)</f>
        <v>#N/A</v>
      </c>
      <c r="H18" s="2698"/>
      <c r="I18" s="2697" t="e">
        <f>SUM(I15:I17)</f>
        <v>#N/A</v>
      </c>
      <c r="J18" s="2697" t="e">
        <f>SUM(J15:J17)</f>
        <v>#N/A</v>
      </c>
      <c r="K18" s="2697" t="e">
        <f>SUM(K15:K17)</f>
        <v>#N/A</v>
      </c>
      <c r="L18" s="2697" t="e">
        <f>SUM(L15:L17)</f>
        <v>#N/A</v>
      </c>
      <c r="M18" s="2697" t="e">
        <f>SUM(M15:M17)</f>
        <v>#N/A</v>
      </c>
      <c r="N18" s="2698"/>
      <c r="O18" s="2698"/>
      <c r="P18" s="2697" t="e">
        <f>SUM(P15:P17)</f>
        <v>#N/A</v>
      </c>
      <c r="Q18" s="2698"/>
      <c r="R18" s="2698"/>
      <c r="S18" s="2697" t="e">
        <f>SUM(S15:S17)</f>
        <v>#N/A</v>
      </c>
      <c r="T18" s="2699"/>
      <c r="U18" s="2697" t="e">
        <f t="shared" ref="U18:AN18" si="25">SUM(U15:U17)</f>
        <v>#N/A</v>
      </c>
      <c r="V18" s="2697" t="e">
        <f t="shared" si="25"/>
        <v>#N/A</v>
      </c>
      <c r="W18" s="2697" t="e">
        <f t="shared" si="25"/>
        <v>#N/A</v>
      </c>
      <c r="X18" s="2697" t="e">
        <f t="shared" si="25"/>
        <v>#N/A</v>
      </c>
      <c r="Y18" s="2697" t="e">
        <f t="shared" si="25"/>
        <v>#N/A</v>
      </c>
      <c r="Z18" s="2697" t="e">
        <f t="shared" si="25"/>
        <v>#N/A</v>
      </c>
      <c r="AA18" s="2697" t="e">
        <f t="shared" si="25"/>
        <v>#N/A</v>
      </c>
      <c r="AB18" s="2697" t="e">
        <f t="shared" si="25"/>
        <v>#N/A</v>
      </c>
      <c r="AC18" s="2697" t="e">
        <f t="shared" si="25"/>
        <v>#N/A</v>
      </c>
      <c r="AD18" s="2697" t="e">
        <f t="shared" si="25"/>
        <v>#N/A</v>
      </c>
      <c r="AE18" s="2697" t="e">
        <f t="shared" si="25"/>
        <v>#N/A</v>
      </c>
      <c r="AF18" s="2698">
        <f t="shared" si="25"/>
        <v>0</v>
      </c>
      <c r="AG18" s="2698">
        <f t="shared" si="25"/>
        <v>0</v>
      </c>
      <c r="AH18" s="2698">
        <f t="shared" si="25"/>
        <v>0</v>
      </c>
      <c r="AI18" s="2697" t="e">
        <f t="shared" si="25"/>
        <v>#N/A</v>
      </c>
      <c r="AJ18" s="2697" t="e">
        <f t="shared" si="25"/>
        <v>#N/A</v>
      </c>
      <c r="AK18" s="2697" t="e">
        <f t="shared" si="25"/>
        <v>#N/A</v>
      </c>
      <c r="AL18" s="2697" t="e">
        <f t="shared" si="25"/>
        <v>#N/A</v>
      </c>
      <c r="AM18" s="2697" t="e">
        <f t="shared" si="25"/>
        <v>#N/A</v>
      </c>
      <c r="AN18" s="2697" t="e">
        <f t="shared" si="25"/>
        <v>#N/A</v>
      </c>
      <c r="AO18" s="2698"/>
      <c r="AP18" s="2697" t="e">
        <f>SUM(AP15:AP17)</f>
        <v>#N/A</v>
      </c>
      <c r="AQ18" s="2698"/>
      <c r="AR18" s="2698"/>
      <c r="AS18" s="2699"/>
      <c r="AT18" s="2697" t="e">
        <f t="shared" ref="AT18:BP18" si="26">SUM(AT15:AT17)</f>
        <v>#N/A</v>
      </c>
      <c r="AU18" s="2697" t="e">
        <f t="shared" si="26"/>
        <v>#N/A</v>
      </c>
      <c r="AV18" s="2697" t="e">
        <f t="shared" si="26"/>
        <v>#N/A</v>
      </c>
      <c r="AW18" s="2700" t="e">
        <f t="shared" si="26"/>
        <v>#N/A</v>
      </c>
      <c r="AX18" s="2701" t="e">
        <f t="shared" si="26"/>
        <v>#N/A</v>
      </c>
      <c r="AY18" s="2697" t="e">
        <f t="shared" si="26"/>
        <v>#N/A</v>
      </c>
      <c r="AZ18" s="2702" t="e">
        <f t="shared" si="26"/>
        <v>#N/A</v>
      </c>
      <c r="BA18" s="2697" t="e">
        <f t="shared" si="26"/>
        <v>#N/A</v>
      </c>
      <c r="BB18" s="2700" t="e">
        <f t="shared" si="26"/>
        <v>#N/A</v>
      </c>
      <c r="BC18" s="2703" t="e">
        <f t="shared" si="26"/>
        <v>#N/A</v>
      </c>
      <c r="BD18" s="2697" t="e">
        <f t="shared" si="26"/>
        <v>#N/A</v>
      </c>
      <c r="BE18" s="2697" t="e">
        <f t="shared" si="26"/>
        <v>#N/A</v>
      </c>
      <c r="BF18" s="2697" t="e">
        <f t="shared" si="26"/>
        <v>#N/A</v>
      </c>
      <c r="BG18" s="2697" t="e">
        <f t="shared" si="26"/>
        <v>#N/A</v>
      </c>
      <c r="BH18" s="2697" t="e">
        <f t="shared" si="26"/>
        <v>#N/A</v>
      </c>
      <c r="BI18" s="2700" t="e">
        <f t="shared" si="26"/>
        <v>#N/A</v>
      </c>
      <c r="BJ18" s="2701" t="e">
        <f t="shared" si="26"/>
        <v>#N/A</v>
      </c>
      <c r="BK18" s="2697" t="e">
        <f t="shared" si="26"/>
        <v>#N/A</v>
      </c>
      <c r="BL18" s="2702" t="e">
        <f t="shared" si="26"/>
        <v>#N/A</v>
      </c>
      <c r="BM18" s="2700" t="e">
        <f t="shared" si="26"/>
        <v>#N/A</v>
      </c>
      <c r="BN18" s="2704" t="e">
        <f t="shared" si="26"/>
        <v>#N/A</v>
      </c>
      <c r="BO18" s="2700" t="e">
        <f t="shared" si="26"/>
        <v>#N/A</v>
      </c>
      <c r="BP18" s="2705" t="e">
        <f t="shared" si="26"/>
        <v>#N/A</v>
      </c>
      <c r="BQ18" s="2706"/>
      <c r="BR18" s="2700" t="e">
        <f>SUM(BR15:BR17)</f>
        <v>#N/A</v>
      </c>
      <c r="BS18" s="2718" t="e">
        <f>SUM(BS15:BS17)</f>
        <v>#N/A</v>
      </c>
      <c r="BT18" s="2597" t="e">
        <f>SUM(BT15:BT17)</f>
        <v>#N/A</v>
      </c>
      <c r="BU18" s="1059" t="e">
        <f>IF(ROUND(BS18,2)=ROUND(SUM(BD18:BR18),2),"OK",CONCATENATE("Error :",BS18-SUM(BD18:BR18)))</f>
        <v>#N/A</v>
      </c>
      <c r="BV18" s="2598"/>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46"/>
      <c r="IC18" s="46"/>
      <c r="ID18" s="46"/>
      <c r="IE18" s="46"/>
      <c r="IF18" s="46"/>
      <c r="IG18" s="46"/>
      <c r="IH18" s="46"/>
      <c r="II18" s="46"/>
      <c r="IJ18" s="46"/>
      <c r="IK18" s="46"/>
      <c r="IL18" s="46"/>
      <c r="IM18" s="46"/>
      <c r="IN18" s="46"/>
      <c r="IO18" s="46"/>
      <c r="IP18" s="46"/>
      <c r="IQ18" s="46"/>
      <c r="IR18" s="46"/>
      <c r="IS18" s="46"/>
      <c r="IT18" s="46"/>
      <c r="IU18" s="46"/>
      <c r="IV18" s="46"/>
    </row>
    <row r="19" spans="1:256">
      <c r="A19" s="775"/>
      <c r="B19" s="776"/>
      <c r="C19" s="2825">
        <f>Calog!D1</f>
        <v>1</v>
      </c>
      <c r="D19" s="777">
        <f>A18+A25</f>
        <v>0</v>
      </c>
      <c r="E19" s="1136" t="str">
        <f>IF(D19=C19,"",IF(D19&lt;C19,CONCATENATE("CALog ou A.P.E.: ",C19-D19," ligne(s) à ajouter !"),CONCATENATE("CALog ou A.P.E.: ",D19-C19," ligne(s)  #N/A à supprimer !")))</f>
        <v>CALog ou A.P.E.: 1 ligne(s) à ajouter !</v>
      </c>
      <c r="F19" s="1594"/>
      <c r="G19" s="487"/>
      <c r="H19" s="487"/>
      <c r="I19" s="487"/>
      <c r="J19" s="487"/>
      <c r="K19" s="487"/>
      <c r="L19" s="487"/>
      <c r="M19" s="487"/>
      <c r="N19" s="487"/>
      <c r="O19" s="487"/>
      <c r="P19" s="487"/>
      <c r="Q19" s="487"/>
      <c r="R19" s="487"/>
      <c r="S19" s="487"/>
      <c r="T19" s="487"/>
      <c r="U19" s="487"/>
      <c r="V19" s="487"/>
      <c r="W19" s="487"/>
      <c r="X19" s="487"/>
      <c r="Y19" s="487"/>
      <c r="Z19" s="487"/>
      <c r="AA19" s="487"/>
      <c r="AB19" s="487"/>
      <c r="AC19" s="487"/>
      <c r="AD19" s="487"/>
      <c r="AE19" s="487"/>
      <c r="AF19" s="487"/>
      <c r="AG19" s="487"/>
      <c r="AH19" s="487"/>
      <c r="AI19" s="487"/>
      <c r="AJ19" s="487"/>
      <c r="AK19" s="776"/>
      <c r="AL19" s="776"/>
      <c r="AM19" s="776"/>
      <c r="AN19" s="487"/>
      <c r="AO19" s="487"/>
      <c r="AP19" s="487"/>
      <c r="AQ19" s="487"/>
      <c r="AR19" s="487"/>
      <c r="AS19" s="487"/>
      <c r="AT19" s="487"/>
      <c r="AU19" s="487"/>
      <c r="AV19" s="487"/>
      <c r="AW19" s="776"/>
      <c r="AX19" s="1590"/>
      <c r="AY19" s="487"/>
      <c r="AZ19" s="1766"/>
      <c r="BA19" s="487"/>
      <c r="BB19" s="776"/>
      <c r="BC19" s="1783"/>
      <c r="BD19" s="487"/>
      <c r="BE19" s="487"/>
      <c r="BF19" s="487"/>
      <c r="BG19" s="487"/>
      <c r="BH19" s="487"/>
      <c r="BI19" s="776"/>
      <c r="BJ19" s="1590"/>
      <c r="BK19" s="487"/>
      <c r="BL19" s="1766"/>
      <c r="BM19" s="776"/>
      <c r="BN19" s="2592"/>
      <c r="BO19" s="776"/>
      <c r="BP19" s="512"/>
      <c r="BQ19" s="512"/>
      <c r="BR19" s="776"/>
      <c r="BS19" s="1783" t="e">
        <f>Calog!EW1-BS18</f>
        <v>#N/A</v>
      </c>
      <c r="BU19" s="505" t="e">
        <f>IF(BC19-BS19&lt;0.01,"","error")</f>
        <v>#N/A</v>
      </c>
      <c r="BV19" s="505"/>
    </row>
    <row r="20" spans="1:256" s="788" customFormat="1">
      <c r="A20" s="1727"/>
      <c r="B20" s="1728">
        <v>3</v>
      </c>
      <c r="C20" s="1740">
        <f>IF(ISNA(SUBTOTAL(5,C22:C24)),0,SUBTOTAL(5,C22:C24))</f>
        <v>0</v>
      </c>
      <c r="D20" s="1741"/>
      <c r="E20" s="1743" t="str">
        <f>IF(COUNTIF(B22:B24,3)=A25,"","code non A.P.E. utilisé")</f>
        <v/>
      </c>
      <c r="F20" s="1731"/>
      <c r="G20" s="1732"/>
      <c r="H20" s="1728"/>
      <c r="I20" s="1728"/>
      <c r="J20" s="1728"/>
      <c r="K20" s="1728"/>
      <c r="L20" s="1728"/>
      <c r="M20" s="1728"/>
      <c r="N20" s="1728"/>
      <c r="O20" s="1728"/>
      <c r="P20" s="1728"/>
      <c r="Q20" s="1728"/>
      <c r="R20" s="1728"/>
      <c r="S20" s="1728"/>
      <c r="T20" s="1728"/>
      <c r="U20" s="1728"/>
      <c r="V20" s="1728"/>
      <c r="W20" s="1728"/>
      <c r="X20" s="1728"/>
      <c r="Y20" s="16"/>
      <c r="Z20" s="1728"/>
      <c r="AA20" s="1728"/>
      <c r="AB20" s="1728"/>
      <c r="AC20" s="1728"/>
      <c r="AD20" s="1728"/>
      <c r="AE20" s="1728"/>
      <c r="AF20" s="1728"/>
      <c r="AG20" s="1728"/>
      <c r="AH20" s="1728"/>
      <c r="AI20" s="1728"/>
      <c r="AJ20" s="1728"/>
      <c r="AK20" s="1728"/>
      <c r="AL20" s="1728"/>
      <c r="AM20" s="1728"/>
      <c r="AN20" s="1728"/>
      <c r="AO20" s="1728"/>
      <c r="AP20" s="1728"/>
      <c r="AQ20" s="1728"/>
      <c r="AR20" s="1728"/>
      <c r="AS20" s="1728"/>
      <c r="AT20" s="1728"/>
      <c r="AU20" s="1728"/>
      <c r="AV20" s="1728"/>
      <c r="AW20" s="1728"/>
      <c r="AX20" s="1778"/>
      <c r="AY20" s="16"/>
      <c r="AZ20" s="2574"/>
      <c r="BA20" s="16"/>
      <c r="BB20" s="16"/>
      <c r="BC20" s="2620" t="e">
        <f t="shared" ref="BC20:BP20" si="27">SUBTOTAL(9,BC22:BC24)</f>
        <v>#N/A</v>
      </c>
      <c r="BD20" s="1742" t="e">
        <f t="shared" si="27"/>
        <v>#N/A</v>
      </c>
      <c r="BE20" s="1742" t="e">
        <f t="shared" si="27"/>
        <v>#N/A</v>
      </c>
      <c r="BF20" s="1742" t="e">
        <f t="shared" si="27"/>
        <v>#N/A</v>
      </c>
      <c r="BG20" s="1742" t="e">
        <f t="shared" si="27"/>
        <v>#N/A</v>
      </c>
      <c r="BH20" s="1742" t="e">
        <f t="shared" si="27"/>
        <v>#N/A</v>
      </c>
      <c r="BI20" s="1756" t="e">
        <f t="shared" si="27"/>
        <v>#N/A</v>
      </c>
      <c r="BJ20" s="768" t="e">
        <f t="shared" si="27"/>
        <v>#N/A</v>
      </c>
      <c r="BK20" s="767">
        <f t="shared" si="27"/>
        <v>0</v>
      </c>
      <c r="BL20" s="816" t="e">
        <f t="shared" si="27"/>
        <v>#N/A</v>
      </c>
      <c r="BM20" s="1750" t="e">
        <f t="shared" si="27"/>
        <v>#N/A</v>
      </c>
      <c r="BN20" s="2599" t="e">
        <f t="shared" si="27"/>
        <v>#N/A</v>
      </c>
      <c r="BO20" s="1750" t="e">
        <f t="shared" si="27"/>
        <v>#N/A</v>
      </c>
      <c r="BP20" s="814" t="e">
        <f t="shared" si="27"/>
        <v>#N/A</v>
      </c>
      <c r="BQ20" s="814"/>
      <c r="BR20" s="1750" t="e">
        <f>SUBTOTAL(9,BR22:BR24)</f>
        <v>#N/A</v>
      </c>
      <c r="BS20" s="1786" t="e">
        <f>SUBTOTAL(9,BS22:BS24)</f>
        <v>#N/A</v>
      </c>
      <c r="BT20" s="2600" t="e">
        <f>SUBTOTAL(9,BT22:BT24)</f>
        <v>#N/A</v>
      </c>
      <c r="BU20" s="505"/>
      <c r="BV20" s="505"/>
    </row>
    <row r="21" spans="1:256" ht="23.25" thickBot="1">
      <c r="A21" s="778">
        <f>IF(OR(A25=0,ISNA(A25)),0,1)</f>
        <v>0</v>
      </c>
      <c r="B21" s="779"/>
      <c r="C21" s="1129" t="s">
        <v>3931</v>
      </c>
      <c r="D21" s="1130" t="s">
        <v>3932</v>
      </c>
      <c r="E21" s="1718" t="s">
        <v>3934</v>
      </c>
      <c r="F21" s="1720" t="str">
        <f>FormAide!A5</f>
        <v>111-02/00</v>
      </c>
      <c r="G21" s="53" t="str">
        <f>FormAide!B5</f>
        <v>111-01/00</v>
      </c>
      <c r="H21" s="50"/>
      <c r="I21" s="50" t="str">
        <f>FormAide!A9</f>
        <v>111-02/02</v>
      </c>
      <c r="J21" s="50" t="str">
        <f>FormAide!A10</f>
        <v>111-02/04</v>
      </c>
      <c r="K21" s="50" t="str">
        <f>FormAide!A12</f>
        <v>111-02/12</v>
      </c>
      <c r="L21" s="50" t="str">
        <f>FormAide!A13</f>
        <v>111-02/12</v>
      </c>
      <c r="M21" s="50" t="str">
        <f>FormAide!A39</f>
        <v>111-02/14</v>
      </c>
      <c r="N21" s="171"/>
      <c r="O21" s="171"/>
      <c r="P21" s="50" t="str">
        <f>FormAide!A28</f>
        <v>111-02/07</v>
      </c>
      <c r="Q21" s="171"/>
      <c r="R21" s="171"/>
      <c r="S21" s="50" t="str">
        <f>FormAide!A31</f>
        <v>111-02/40</v>
      </c>
      <c r="T21" s="171"/>
      <c r="U21" s="50" t="str">
        <f>FormAide!A33</f>
        <v>111-02/50</v>
      </c>
      <c r="V21" s="50" t="str">
        <f>FormAide!A34</f>
        <v>111-02/51</v>
      </c>
      <c r="W21" s="50" t="s">
        <v>4338</v>
      </c>
      <c r="X21" s="50" t="s">
        <v>4338</v>
      </c>
      <c r="Y21" s="50" t="s">
        <v>4338</v>
      </c>
      <c r="Z21" s="50" t="str">
        <f>FormAide!A41</f>
        <v>111-02/99</v>
      </c>
      <c r="AA21" s="50" t="str">
        <f>FormAide!A16</f>
        <v>111-09/00</v>
      </c>
      <c r="AB21" s="50" t="str">
        <f>FormAide!A17</f>
        <v>111-09/01</v>
      </c>
      <c r="AC21" s="50" t="str">
        <f>FormAide!A18</f>
        <v>111-09/20</v>
      </c>
      <c r="AD21" s="50" t="str">
        <f>FormAide!A19</f>
        <v>111-09/21</v>
      </c>
      <c r="AE21" s="50" t="str">
        <f>FormAide!A20</f>
        <v>111-09/03</v>
      </c>
      <c r="AF21" s="50" t="str">
        <f>FormAide!A21</f>
        <v>---</v>
      </c>
      <c r="AG21" s="50" t="str">
        <f>FormAide!A22</f>
        <v>---</v>
      </c>
      <c r="AH21" s="50" t="str">
        <f>FormAide!A23</f>
        <v>---</v>
      </c>
      <c r="AI21" s="50" t="str">
        <f>FormAide!A24</f>
        <v>111-09/07</v>
      </c>
      <c r="AJ21" s="50" t="s">
        <v>5321</v>
      </c>
      <c r="AK21" s="52" t="str">
        <f>FormAide!A11</f>
        <v>112-02</v>
      </c>
      <c r="AL21" s="52" t="str">
        <f>FormAide!A48</f>
        <v>115-02/10</v>
      </c>
      <c r="AM21" s="52" t="str">
        <f>FormAide!A49</f>
        <v>115-02/11</v>
      </c>
      <c r="AN21" s="52" t="str">
        <f>FormAide!A50</f>
        <v>121-01</v>
      </c>
      <c r="AO21" s="52" t="str">
        <f>FormAide!A22</f>
        <v>---</v>
      </c>
      <c r="AP21" s="50" t="str">
        <f>FormAide!A44</f>
        <v>121-48/01</v>
      </c>
      <c r="AQ21" s="50" t="str">
        <f>FormAide!A45</f>
        <v>---</v>
      </c>
      <c r="AR21" s="50" t="str">
        <f>FormAide!A51</f>
        <v>---</v>
      </c>
      <c r="AS21" s="50" t="str">
        <f>FormAide!A46</f>
        <v>---</v>
      </c>
      <c r="AT21" s="50" t="str">
        <f>FormAide!A52</f>
        <v>121-48/20</v>
      </c>
      <c r="AU21" s="50" t="str">
        <f>FormAide!A53</f>
        <v>121-48/21</v>
      </c>
      <c r="AV21" s="50" t="str">
        <f>FormAide!B54</f>
        <v>121-48/22</v>
      </c>
      <c r="AW21" s="52" t="str">
        <f>FormAide!A55</f>
        <v>121-48/99</v>
      </c>
      <c r="AX21" s="1600" t="str">
        <f>FormAide!A56</f>
        <v>113-02</v>
      </c>
      <c r="AY21" s="2824" t="s">
        <v>5304</v>
      </c>
      <c r="AZ21" s="509" t="str">
        <f>FormAide!A58</f>
        <v>113-09</v>
      </c>
      <c r="BA21" s="53" t="str">
        <f>FormAide!A59</f>
        <v>117-01</v>
      </c>
      <c r="BB21" s="52" t="str">
        <f>FormAide!A60</f>
        <v>118-01</v>
      </c>
      <c r="BC21" s="1789"/>
      <c r="BD21" s="172" t="s">
        <v>1741</v>
      </c>
      <c r="BE21" s="172" t="s">
        <v>4172</v>
      </c>
      <c r="BF21" s="172" t="s">
        <v>4173</v>
      </c>
      <c r="BG21" s="173" t="s">
        <v>4174</v>
      </c>
      <c r="BH21" s="173" t="str">
        <f>LEFT(FormAide!A16,6)</f>
        <v>111-09</v>
      </c>
      <c r="BI21" s="515" t="str">
        <f>FormAide!A11</f>
        <v>112-02</v>
      </c>
      <c r="BJ21" s="1599" t="str">
        <f>FormAide!A56</f>
        <v>113-02</v>
      </c>
      <c r="BK21" s="173" t="str">
        <f>FormAide!A57</f>
        <v>---</v>
      </c>
      <c r="BL21" s="509" t="str">
        <f>FormAide!A58</f>
        <v>113-09</v>
      </c>
      <c r="BM21" s="1751" t="str">
        <f>LEFT(FormAide!A48,6)</f>
        <v>115-02</v>
      </c>
      <c r="BN21" s="2601" t="str">
        <f>FormAide!A59</f>
        <v>117-01</v>
      </c>
      <c r="BO21" s="1751" t="str">
        <f>FormAide!A60</f>
        <v>118-01</v>
      </c>
      <c r="BP21" s="50" t="str">
        <f>FormAide!A50</f>
        <v>121-01</v>
      </c>
      <c r="BQ21" s="2602"/>
      <c r="BR21" s="1751" t="str">
        <f>LEFT(FormAide!A52,6)</f>
        <v>121-48</v>
      </c>
      <c r="BS21" s="1787" t="s">
        <v>1363</v>
      </c>
      <c r="BU21" s="505"/>
      <c r="BV21" s="505"/>
    </row>
    <row r="22" spans="1:256" s="15" customFormat="1" ht="13.5" thickTop="1">
      <c r="A22" s="1060"/>
      <c r="B22" s="1061" t="e">
        <f>VLOOKUP($A22,T_Calog,20,0)</f>
        <v>#N/A</v>
      </c>
      <c r="C22" s="1042" t="e">
        <f>VALUE(VLOOKUP($A22,T_Calog,C$3,0))</f>
        <v>#N/A</v>
      </c>
      <c r="D22" s="1043" t="s">
        <v>40</v>
      </c>
      <c r="E22" s="1716" t="e">
        <f t="shared" ref="E22:L22" si="28">VLOOKUP($A22,T_Calog,E$3,0)</f>
        <v>#N/A</v>
      </c>
      <c r="F22" s="1592" t="e">
        <f t="shared" si="28"/>
        <v>#N/A</v>
      </c>
      <c r="G22" s="1045" t="e">
        <f>IF(VLOOKUP($A22,T_Calog,G$3,0)&lt;0,0,VLOOKUP($A22,T_Calog,G$3,0))</f>
        <v>#N/A</v>
      </c>
      <c r="H22" s="1062"/>
      <c r="I22" s="1045" t="e">
        <f t="shared" si="28"/>
        <v>#N/A</v>
      </c>
      <c r="J22" s="1045" t="e">
        <f>VLOOKUP($A22,T_Calog,J$3,0)</f>
        <v>#N/A</v>
      </c>
      <c r="K22" s="1045" t="e">
        <f t="shared" si="28"/>
        <v>#N/A</v>
      </c>
      <c r="L22" s="1045" t="e">
        <f t="shared" si="28"/>
        <v>#N/A</v>
      </c>
      <c r="M22" s="1045" t="e">
        <f>VLOOKUP($A22,T_Calog,M$3,0)</f>
        <v>#N/A</v>
      </c>
      <c r="N22" s="1062"/>
      <c r="O22" s="1062"/>
      <c r="P22" s="1045" t="e">
        <f>VLOOKUP($A22,T_Calog,P$3,0)</f>
        <v>#N/A</v>
      </c>
      <c r="Q22" s="1062"/>
      <c r="R22" s="1062"/>
      <c r="S22" s="1045" t="e">
        <f>VLOOKUP($A22,T_Calog,S$3,0)</f>
        <v>#N/A</v>
      </c>
      <c r="T22" s="1063"/>
      <c r="U22" s="1045" t="e">
        <f t="shared" ref="U22:AE22" si="29">VLOOKUP($A22,T_Calog,U$3,0)</f>
        <v>#N/A</v>
      </c>
      <c r="V22" s="1045" t="e">
        <f t="shared" si="29"/>
        <v>#N/A</v>
      </c>
      <c r="W22" s="1062"/>
      <c r="X22" s="1062"/>
      <c r="Y22" s="1062"/>
      <c r="Z22" s="1045" t="e">
        <f>VLOOKUP($A22,T_Calog,Z$3,0)</f>
        <v>#N/A</v>
      </c>
      <c r="AA22" s="1045" t="e">
        <f t="shared" si="29"/>
        <v>#N/A</v>
      </c>
      <c r="AB22" s="1045" t="e">
        <f t="shared" si="29"/>
        <v>#N/A</v>
      </c>
      <c r="AC22" s="1045" t="e">
        <f t="shared" si="29"/>
        <v>#N/A</v>
      </c>
      <c r="AD22" s="1045" t="e">
        <f t="shared" si="29"/>
        <v>#N/A</v>
      </c>
      <c r="AE22" s="1045" t="e">
        <f t="shared" si="29"/>
        <v>#N/A</v>
      </c>
      <c r="AF22" s="1062"/>
      <c r="AG22" s="1062"/>
      <c r="AH22" s="1062"/>
      <c r="AI22" s="1045" t="e">
        <f t="shared" ref="AI22:AN22" si="30">VLOOKUP($A22,T_Calog,AI$3,0)</f>
        <v>#N/A</v>
      </c>
      <c r="AJ22" s="1045" t="e">
        <f t="shared" si="30"/>
        <v>#N/A</v>
      </c>
      <c r="AK22" s="1069" t="e">
        <f t="shared" si="30"/>
        <v>#N/A</v>
      </c>
      <c r="AL22" s="1045" t="e">
        <f t="shared" si="30"/>
        <v>#N/A</v>
      </c>
      <c r="AM22" s="1045" t="e">
        <f t="shared" si="30"/>
        <v>#N/A</v>
      </c>
      <c r="AN22" s="1045" t="e">
        <f t="shared" si="30"/>
        <v>#N/A</v>
      </c>
      <c r="AO22" s="1062"/>
      <c r="AP22" s="1045" t="e">
        <f>VLOOKUP($A22,T_Calog,AP$3,0)</f>
        <v>#N/A</v>
      </c>
      <c r="AQ22" s="1062"/>
      <c r="AR22" s="1062"/>
      <c r="AS22" s="1063"/>
      <c r="AT22" s="1045" t="e">
        <f t="shared" ref="AT22:BB22" si="31">VLOOKUP($A22,T_Calog,AT$3,0)</f>
        <v>#N/A</v>
      </c>
      <c r="AU22" s="1045" t="e">
        <f t="shared" si="31"/>
        <v>#N/A</v>
      </c>
      <c r="AV22" s="1045" t="e">
        <f t="shared" si="31"/>
        <v>#N/A</v>
      </c>
      <c r="AW22" s="1045" t="e">
        <f t="shared" si="31"/>
        <v>#N/A</v>
      </c>
      <c r="AX22" s="1591" t="e">
        <f t="shared" si="31"/>
        <v>#N/A</v>
      </c>
      <c r="AY22" s="487"/>
      <c r="AZ22" s="1764" t="e">
        <f t="shared" si="31"/>
        <v>#N/A</v>
      </c>
      <c r="BA22" s="1045" t="e">
        <f t="shared" si="31"/>
        <v>#N/A</v>
      </c>
      <c r="BB22" s="1069" t="e">
        <f t="shared" si="31"/>
        <v>#N/A</v>
      </c>
      <c r="BC22" s="1785" t="e">
        <f>SUM(E22:BB22)</f>
        <v>#N/A</v>
      </c>
      <c r="BD22" s="1045" t="e">
        <f>IF(F22="",0,F22)+G22+IF(H22="",0,H22)+IF(J22="",0,J22)</f>
        <v>#N/A</v>
      </c>
      <c r="BE22" s="1045" t="e">
        <f>IF(I22="",0,I22)</f>
        <v>#N/A</v>
      </c>
      <c r="BF22" s="1045" t="e">
        <f>IF(M22="",0,M22)+IF(P22="",0,P22)+IF(S22="",0,S22)+IF(U22="",0,U22)+IF(V22="",0,V22)+IF(W22="",0,W22)+IF(X22="",0,X22)+IF(Y22="",0,Y22)+IF(LEFT($Z$1,6)="111-01",IF(Z22="",0,Z22),0)</f>
        <v>#N/A</v>
      </c>
      <c r="BG22" s="1045" t="e">
        <f>L22+K22</f>
        <v>#N/A</v>
      </c>
      <c r="BH22" s="1045" t="e">
        <f>IF(AA22="",0,AA22)+IF(AB22="",0,AB22)+IF(AC22="",0,AC22)+IF(AD22="",0,AD22)+IF(AE22="",0,AE22)+IF(AF22="",0,AF22)+IF(AG22="",0,AG22)+IF(AH22="",0,AH22)+IF(AI22="",0,AI22)+IF(AJ22="",0,AJ22)</f>
        <v>#N/A</v>
      </c>
      <c r="BI22" s="1069" t="e">
        <f>AK22</f>
        <v>#N/A</v>
      </c>
      <c r="BJ22" s="1591" t="e">
        <f>AX22</f>
        <v>#N/A</v>
      </c>
      <c r="BK22" s="487"/>
      <c r="BL22" s="1764" t="e">
        <f>AZ22</f>
        <v>#N/A</v>
      </c>
      <c r="BM22" s="1069" t="e">
        <f>IF(AL22="",0,AL22)+IF(AM22="",0,AM22)</f>
        <v>#N/A</v>
      </c>
      <c r="BN22" s="2568" t="e">
        <f>BA22</f>
        <v>#N/A</v>
      </c>
      <c r="BO22" s="1069" t="e">
        <f>BB22</f>
        <v>#N/A</v>
      </c>
      <c r="BP22" s="1079" t="e">
        <f>AN22</f>
        <v>#N/A</v>
      </c>
      <c r="BQ22" s="1084"/>
      <c r="BR22" s="1069" t="e">
        <f>SUM(AP22:AW22)</f>
        <v>#N/A</v>
      </c>
      <c r="BS22" s="1785" t="e">
        <f>SUM(BD22:BR22)</f>
        <v>#N/A</v>
      </c>
      <c r="BT22" s="2569" t="e">
        <f>VLOOKUP($A22,T_Calog,BT$3,0)</f>
        <v>#N/A</v>
      </c>
      <c r="BU22" s="55" t="e">
        <f>IF(OR(BS22="",BC22-BS22&lt;0.01),"",CONCATENATE("error ",ROUND(BC22-BS22,2)))</f>
        <v>#N/A</v>
      </c>
      <c r="BV22" s="2570" t="e">
        <f>VLOOKUP($A22,T_Calog,BV$3,0)</f>
        <v>#N/A</v>
      </c>
    </row>
    <row r="23" spans="1:256" s="15" customFormat="1">
      <c r="A23" s="1060"/>
      <c r="B23" s="1061"/>
      <c r="C23" s="1042"/>
      <c r="D23" s="1043"/>
      <c r="E23" s="1716"/>
      <c r="F23" s="1592"/>
      <c r="G23" s="1045"/>
      <c r="H23" s="1062"/>
      <c r="I23" s="1045"/>
      <c r="J23" s="1045"/>
      <c r="K23" s="1045"/>
      <c r="L23" s="1045"/>
      <c r="M23" s="1045"/>
      <c r="N23" s="1062"/>
      <c r="O23" s="1062"/>
      <c r="P23" s="1045"/>
      <c r="Q23" s="1062"/>
      <c r="R23" s="1062"/>
      <c r="S23" s="1045"/>
      <c r="T23" s="1063"/>
      <c r="U23" s="1045"/>
      <c r="V23" s="1045"/>
      <c r="W23" s="1062"/>
      <c r="X23" s="1062"/>
      <c r="Y23" s="1062"/>
      <c r="Z23" s="1045"/>
      <c r="AA23" s="1045"/>
      <c r="AB23" s="1045"/>
      <c r="AC23" s="1045"/>
      <c r="AD23" s="1045"/>
      <c r="AE23" s="1045"/>
      <c r="AF23" s="1062"/>
      <c r="AG23" s="1062"/>
      <c r="AH23" s="1062"/>
      <c r="AI23" s="1045"/>
      <c r="AJ23" s="1045"/>
      <c r="AK23" s="1069"/>
      <c r="AL23" s="1045"/>
      <c r="AM23" s="1045"/>
      <c r="AN23" s="1045"/>
      <c r="AO23" s="1062"/>
      <c r="AP23" s="1045"/>
      <c r="AQ23" s="1062"/>
      <c r="AR23" s="1062"/>
      <c r="AS23" s="1063"/>
      <c r="AT23" s="1045"/>
      <c r="AU23" s="1045"/>
      <c r="AV23" s="1045"/>
      <c r="AW23" s="1045"/>
      <c r="AX23" s="1591"/>
      <c r="AY23" s="487"/>
      <c r="AZ23" s="1764"/>
      <c r="BA23" s="1045"/>
      <c r="BB23" s="1069"/>
      <c r="BC23" s="1785"/>
      <c r="BD23" s="1045"/>
      <c r="BE23" s="1045"/>
      <c r="BF23" s="1045"/>
      <c r="BG23" s="1045"/>
      <c r="BH23" s="1045"/>
      <c r="BI23" s="1069"/>
      <c r="BJ23" s="1591"/>
      <c r="BK23" s="487"/>
      <c r="BL23" s="1764"/>
      <c r="BM23" s="1069"/>
      <c r="BN23" s="2568"/>
      <c r="BO23" s="1069"/>
      <c r="BP23" s="1079"/>
      <c r="BQ23" s="1084"/>
      <c r="BR23" s="1069"/>
      <c r="BS23" s="1785"/>
      <c r="BT23" s="2569"/>
      <c r="BU23" s="55"/>
      <c r="BV23" s="2570"/>
    </row>
    <row r="24" spans="1:256" s="15" customFormat="1" ht="13.5" thickBot="1">
      <c r="A24" s="1071"/>
      <c r="B24" s="1072"/>
      <c r="C24" s="1073"/>
      <c r="D24" s="1074"/>
      <c r="E24" s="1719"/>
      <c r="F24" s="1721"/>
      <c r="G24" s="1075"/>
      <c r="H24" s="1076"/>
      <c r="I24" s="1075"/>
      <c r="J24" s="1075"/>
      <c r="K24" s="1075"/>
      <c r="L24" s="1075"/>
      <c r="M24" s="1075"/>
      <c r="N24" s="1076"/>
      <c r="O24" s="1076"/>
      <c r="P24" s="1075"/>
      <c r="Q24" s="1076"/>
      <c r="R24" s="1076"/>
      <c r="S24" s="1075"/>
      <c r="T24" s="1077"/>
      <c r="U24" s="1075"/>
      <c r="V24" s="1075"/>
      <c r="W24" s="2630"/>
      <c r="X24" s="2630"/>
      <c r="Y24" s="2630"/>
      <c r="Z24" s="1075"/>
      <c r="AA24" s="1075"/>
      <c r="AB24" s="1075"/>
      <c r="AC24" s="1075"/>
      <c r="AD24" s="1075"/>
      <c r="AE24" s="1075"/>
      <c r="AF24" s="1076"/>
      <c r="AG24" s="1076"/>
      <c r="AH24" s="1076"/>
      <c r="AI24" s="1075"/>
      <c r="AJ24" s="1075"/>
      <c r="AK24" s="1078"/>
      <c r="AL24" s="1075"/>
      <c r="AM24" s="1075"/>
      <c r="AN24" s="1075"/>
      <c r="AO24" s="1076"/>
      <c r="AP24" s="1075"/>
      <c r="AQ24" s="1076"/>
      <c r="AR24" s="1076"/>
      <c r="AS24" s="1077"/>
      <c r="AT24" s="1075"/>
      <c r="AU24" s="1075"/>
      <c r="AV24" s="1075"/>
      <c r="AW24" s="1075"/>
      <c r="AX24" s="1769"/>
      <c r="AY24" s="487"/>
      <c r="AZ24" s="1770"/>
      <c r="BA24" s="1075"/>
      <c r="BB24" s="1078"/>
      <c r="BC24" s="1791"/>
      <c r="BD24" s="1075"/>
      <c r="BE24" s="1075"/>
      <c r="BF24" s="1075"/>
      <c r="BG24" s="1075"/>
      <c r="BH24" s="1075"/>
      <c r="BI24" s="1078"/>
      <c r="BJ24" s="1769"/>
      <c r="BK24" s="487"/>
      <c r="BL24" s="1770"/>
      <c r="BM24" s="1078"/>
      <c r="BN24" s="2603"/>
      <c r="BO24" s="1078"/>
      <c r="BP24" s="2604"/>
      <c r="BQ24" s="2605"/>
      <c r="BR24" s="1078"/>
      <c r="BS24" s="1791"/>
      <c r="BT24" s="2569"/>
      <c r="BU24" s="55" t="str">
        <f>IF(BS24="","",IF(BC24-BS24&lt;0.01,"","error"))</f>
        <v/>
      </c>
      <c r="BV24" s="2570"/>
    </row>
    <row r="25" spans="1:256" s="1059" customFormat="1" ht="12" thickBot="1">
      <c r="A25" s="2821">
        <f>COUNT(A22:A24)</f>
        <v>0</v>
      </c>
      <c r="B25" s="2806"/>
      <c r="C25" s="2807" t="e">
        <f>IF(ISNA(FunctCodCtl_G),"",IF(AND(A25&gt;0,MAX(C22:C24)&lt;&gt;FunctCodCtl_G),"Funct&lt;&gt;",""))</f>
        <v>#N/A</v>
      </c>
      <c r="D25" s="2808"/>
      <c r="E25" s="2809" t="s">
        <v>3936</v>
      </c>
      <c r="F25" s="2814" t="e">
        <f>SUM(F22:F24)</f>
        <v>#N/A</v>
      </c>
      <c r="G25" s="2787" t="e">
        <f>SUM(G22:G24)</f>
        <v>#N/A</v>
      </c>
      <c r="H25" s="2810"/>
      <c r="I25" s="2787" t="e">
        <f t="shared" ref="I25:P25" si="32">SUM(I22:I24)</f>
        <v>#N/A</v>
      </c>
      <c r="J25" s="2787" t="e">
        <f t="shared" si="32"/>
        <v>#N/A</v>
      </c>
      <c r="K25" s="2787" t="e">
        <f t="shared" si="32"/>
        <v>#N/A</v>
      </c>
      <c r="L25" s="2787" t="e">
        <f t="shared" si="32"/>
        <v>#N/A</v>
      </c>
      <c r="M25" s="2787" t="e">
        <f t="shared" si="32"/>
        <v>#N/A</v>
      </c>
      <c r="N25" s="2811">
        <f t="shared" si="32"/>
        <v>0</v>
      </c>
      <c r="O25" s="2811">
        <f t="shared" si="32"/>
        <v>0</v>
      </c>
      <c r="P25" s="2787" t="e">
        <f t="shared" si="32"/>
        <v>#N/A</v>
      </c>
      <c r="Q25" s="2811"/>
      <c r="R25" s="2811"/>
      <c r="S25" s="2787" t="e">
        <f>SUM(S22:S24)</f>
        <v>#N/A</v>
      </c>
      <c r="T25" s="2811"/>
      <c r="U25" s="2787" t="e">
        <f>SUM(U22:U24)</f>
        <v>#N/A</v>
      </c>
      <c r="V25" s="2787" t="e">
        <f>SUM(V22:V24)</f>
        <v>#N/A</v>
      </c>
      <c r="W25" s="2811">
        <f>SUM(W22:W24)</f>
        <v>0</v>
      </c>
      <c r="X25" s="2811">
        <f>SUM(X22:X24)</f>
        <v>0</v>
      </c>
      <c r="Y25" s="2811"/>
      <c r="Z25" s="2787" t="e">
        <f t="shared" ref="Z25:AI25" si="33">SUM(Z22:Z24)</f>
        <v>#N/A</v>
      </c>
      <c r="AA25" s="2787" t="e">
        <f t="shared" si="33"/>
        <v>#N/A</v>
      </c>
      <c r="AB25" s="2787" t="e">
        <f t="shared" si="33"/>
        <v>#N/A</v>
      </c>
      <c r="AC25" s="2787" t="e">
        <f t="shared" si="33"/>
        <v>#N/A</v>
      </c>
      <c r="AD25" s="2787" t="e">
        <f t="shared" si="33"/>
        <v>#N/A</v>
      </c>
      <c r="AE25" s="2787" t="e">
        <f t="shared" si="33"/>
        <v>#N/A</v>
      </c>
      <c r="AF25" s="2811">
        <f t="shared" si="33"/>
        <v>0</v>
      </c>
      <c r="AG25" s="2811">
        <f t="shared" si="33"/>
        <v>0</v>
      </c>
      <c r="AH25" s="2811">
        <f t="shared" si="33"/>
        <v>0</v>
      </c>
      <c r="AI25" s="2787" t="e">
        <f t="shared" si="33"/>
        <v>#N/A</v>
      </c>
      <c r="AJ25" s="2787" t="e">
        <f>SUM(AJ22:AJ24)</f>
        <v>#N/A</v>
      </c>
      <c r="AK25" s="2787" t="e">
        <f t="shared" ref="AK25:AX25" si="34">SUM(AK22:AK24)</f>
        <v>#N/A</v>
      </c>
      <c r="AL25" s="2787" t="e">
        <f t="shared" si="34"/>
        <v>#N/A</v>
      </c>
      <c r="AM25" s="2787" t="e">
        <f t="shared" si="34"/>
        <v>#N/A</v>
      </c>
      <c r="AN25" s="2787" t="e">
        <f t="shared" si="34"/>
        <v>#N/A</v>
      </c>
      <c r="AO25" s="2811">
        <f t="shared" si="34"/>
        <v>0</v>
      </c>
      <c r="AP25" s="2787" t="e">
        <f t="shared" si="34"/>
        <v>#N/A</v>
      </c>
      <c r="AQ25" s="2811">
        <f t="shared" si="34"/>
        <v>0</v>
      </c>
      <c r="AR25" s="2811">
        <f t="shared" si="34"/>
        <v>0</v>
      </c>
      <c r="AS25" s="2811">
        <f t="shared" si="34"/>
        <v>0</v>
      </c>
      <c r="AT25" s="2787" t="e">
        <f t="shared" si="34"/>
        <v>#N/A</v>
      </c>
      <c r="AU25" s="2787" t="e">
        <f t="shared" si="34"/>
        <v>#N/A</v>
      </c>
      <c r="AV25" s="2787" t="e">
        <f t="shared" si="34"/>
        <v>#N/A</v>
      </c>
      <c r="AW25" s="2787" t="e">
        <f t="shared" si="34"/>
        <v>#N/A</v>
      </c>
      <c r="AX25" s="2816" t="e">
        <f t="shared" si="34"/>
        <v>#N/A</v>
      </c>
      <c r="AY25" s="2811"/>
      <c r="AZ25" s="2817" t="e">
        <f t="shared" ref="AZ25:BJ25" si="35">SUM(AZ22:AZ24)</f>
        <v>#N/A</v>
      </c>
      <c r="BA25" s="2787" t="e">
        <f t="shared" si="35"/>
        <v>#N/A</v>
      </c>
      <c r="BB25" s="2787" t="e">
        <f t="shared" si="35"/>
        <v>#N/A</v>
      </c>
      <c r="BC25" s="2815" t="e">
        <f t="shared" si="35"/>
        <v>#N/A</v>
      </c>
      <c r="BD25" s="2787" t="e">
        <f t="shared" si="35"/>
        <v>#N/A</v>
      </c>
      <c r="BE25" s="2787" t="e">
        <f t="shared" si="35"/>
        <v>#N/A</v>
      </c>
      <c r="BF25" s="2787" t="e">
        <f t="shared" si="35"/>
        <v>#N/A</v>
      </c>
      <c r="BG25" s="2787" t="e">
        <f t="shared" si="35"/>
        <v>#N/A</v>
      </c>
      <c r="BH25" s="2787" t="e">
        <f t="shared" si="35"/>
        <v>#N/A</v>
      </c>
      <c r="BI25" s="2787" t="e">
        <f t="shared" si="35"/>
        <v>#N/A</v>
      </c>
      <c r="BJ25" s="2816" t="e">
        <f t="shared" si="35"/>
        <v>#N/A</v>
      </c>
      <c r="BK25" s="2811"/>
      <c r="BL25" s="2817" t="e">
        <f>SUM(BL22:BL24)</f>
        <v>#N/A</v>
      </c>
      <c r="BM25" s="2787" t="e">
        <f>SUM(BM22:BM24)</f>
        <v>#N/A</v>
      </c>
      <c r="BN25" s="2818" t="e">
        <f>SUM(BN22:BN24)</f>
        <v>#N/A</v>
      </c>
      <c r="BO25" s="2787" t="e">
        <f>SUM(BO22:BO24)</f>
        <v>#N/A</v>
      </c>
      <c r="BP25" s="2787" t="e">
        <f>SUM(BP22:BP24)</f>
        <v>#N/A</v>
      </c>
      <c r="BQ25" s="2811"/>
      <c r="BR25" s="2787" t="e">
        <f>SUM(BR22:BR24)</f>
        <v>#N/A</v>
      </c>
      <c r="BS25" s="2815" t="e">
        <f>SUM(BS22:BS24)</f>
        <v>#N/A</v>
      </c>
      <c r="BT25" s="2812" t="e">
        <f>SUM(BT22:BT24)</f>
        <v>#N/A</v>
      </c>
      <c r="BU25" s="2813" t="e">
        <f>IF(ROUND(BC25,2)=ROUND(SUM(BD25:BR25),2),"OK",CONCATENATE("Error :",BC25-SUM(BD25:BR25)))</f>
        <v>#N/A</v>
      </c>
    </row>
    <row r="26" spans="1:256" s="46" customFormat="1" ht="13.5" thickTop="1">
      <c r="E26" s="2607" t="s">
        <v>3937</v>
      </c>
      <c r="F26" s="2689" t="e">
        <f>F18</f>
        <v>#N/A</v>
      </c>
      <c r="G26" s="2649" t="e">
        <f>G18</f>
        <v>#N/A</v>
      </c>
      <c r="H26" s="2721"/>
      <c r="I26" s="2649" t="e">
        <f t="shared" ref="I26:AN26" si="36">I18</f>
        <v>#N/A</v>
      </c>
      <c r="J26" s="2649" t="e">
        <f t="shared" si="36"/>
        <v>#N/A</v>
      </c>
      <c r="K26" s="2649" t="e">
        <f t="shared" si="36"/>
        <v>#N/A</v>
      </c>
      <c r="L26" s="2649" t="e">
        <f t="shared" si="36"/>
        <v>#N/A</v>
      </c>
      <c r="M26" s="2649" t="e">
        <f t="shared" si="36"/>
        <v>#N/A</v>
      </c>
      <c r="N26" s="2722">
        <f t="shared" si="36"/>
        <v>0</v>
      </c>
      <c r="O26" s="2722">
        <f t="shared" si="36"/>
        <v>0</v>
      </c>
      <c r="P26" s="2649" t="e">
        <f t="shared" si="36"/>
        <v>#N/A</v>
      </c>
      <c r="Q26" s="2722">
        <f t="shared" si="36"/>
        <v>0</v>
      </c>
      <c r="R26" s="2722">
        <f t="shared" si="36"/>
        <v>0</v>
      </c>
      <c r="S26" s="2649" t="e">
        <f t="shared" si="36"/>
        <v>#N/A</v>
      </c>
      <c r="T26" s="2722">
        <f t="shared" si="36"/>
        <v>0</v>
      </c>
      <c r="U26" s="2649" t="e">
        <f t="shared" si="36"/>
        <v>#N/A</v>
      </c>
      <c r="V26" s="2649" t="e">
        <f t="shared" si="36"/>
        <v>#N/A</v>
      </c>
      <c r="W26" s="2649" t="e">
        <f t="shared" si="36"/>
        <v>#N/A</v>
      </c>
      <c r="X26" s="2649" t="e">
        <f t="shared" si="36"/>
        <v>#N/A</v>
      </c>
      <c r="Y26" s="2649" t="e">
        <f t="shared" si="36"/>
        <v>#N/A</v>
      </c>
      <c r="Z26" s="2649" t="e">
        <f t="shared" si="36"/>
        <v>#N/A</v>
      </c>
      <c r="AA26" s="2649" t="e">
        <f t="shared" si="36"/>
        <v>#N/A</v>
      </c>
      <c r="AB26" s="2649" t="e">
        <f t="shared" si="36"/>
        <v>#N/A</v>
      </c>
      <c r="AC26" s="2649" t="e">
        <f t="shared" si="36"/>
        <v>#N/A</v>
      </c>
      <c r="AD26" s="2649" t="e">
        <f t="shared" si="36"/>
        <v>#N/A</v>
      </c>
      <c r="AE26" s="2649" t="e">
        <f t="shared" si="36"/>
        <v>#N/A</v>
      </c>
      <c r="AF26" s="2722">
        <f t="shared" si="36"/>
        <v>0</v>
      </c>
      <c r="AG26" s="2722">
        <f t="shared" si="36"/>
        <v>0</v>
      </c>
      <c r="AH26" s="2722">
        <f t="shared" si="36"/>
        <v>0</v>
      </c>
      <c r="AI26" s="2649" t="e">
        <f t="shared" si="36"/>
        <v>#N/A</v>
      </c>
      <c r="AJ26" s="2649" t="e">
        <f t="shared" si="36"/>
        <v>#N/A</v>
      </c>
      <c r="AK26" s="2649" t="e">
        <f t="shared" si="36"/>
        <v>#N/A</v>
      </c>
      <c r="AL26" s="2649" t="e">
        <f t="shared" si="36"/>
        <v>#N/A</v>
      </c>
      <c r="AM26" s="2649" t="e">
        <f t="shared" si="36"/>
        <v>#N/A</v>
      </c>
      <c r="AN26" s="2649" t="e">
        <f t="shared" si="36"/>
        <v>#N/A</v>
      </c>
      <c r="AO26" s="2722">
        <f t="shared" ref="AO26:BP26" si="37">AO18</f>
        <v>0</v>
      </c>
      <c r="AP26" s="2649" t="e">
        <f t="shared" si="37"/>
        <v>#N/A</v>
      </c>
      <c r="AQ26" s="2722">
        <f t="shared" si="37"/>
        <v>0</v>
      </c>
      <c r="AR26" s="2722">
        <f t="shared" si="37"/>
        <v>0</v>
      </c>
      <c r="AS26" s="2722">
        <f t="shared" si="37"/>
        <v>0</v>
      </c>
      <c r="AT26" s="2649" t="e">
        <f t="shared" si="37"/>
        <v>#N/A</v>
      </c>
      <c r="AU26" s="2649" t="e">
        <f t="shared" si="37"/>
        <v>#N/A</v>
      </c>
      <c r="AV26" s="2649" t="e">
        <f t="shared" si="37"/>
        <v>#N/A</v>
      </c>
      <c r="AW26" s="2649" t="e">
        <f t="shared" si="37"/>
        <v>#N/A</v>
      </c>
      <c r="AX26" s="2675" t="e">
        <f t="shared" si="37"/>
        <v>#N/A</v>
      </c>
      <c r="AY26" s="2649" t="e">
        <f t="shared" si="37"/>
        <v>#N/A</v>
      </c>
      <c r="AZ26" s="2676" t="e">
        <f t="shared" si="37"/>
        <v>#N/A</v>
      </c>
      <c r="BA26" s="2649" t="e">
        <f t="shared" si="37"/>
        <v>#N/A</v>
      </c>
      <c r="BB26" s="2649" t="e">
        <f t="shared" si="37"/>
        <v>#N/A</v>
      </c>
      <c r="BC26" s="2662" t="e">
        <f t="shared" si="37"/>
        <v>#N/A</v>
      </c>
      <c r="BD26" s="2649" t="e">
        <f t="shared" si="37"/>
        <v>#N/A</v>
      </c>
      <c r="BE26" s="2649" t="e">
        <f t="shared" si="37"/>
        <v>#N/A</v>
      </c>
      <c r="BF26" s="2649" t="e">
        <f t="shared" si="37"/>
        <v>#N/A</v>
      </c>
      <c r="BG26" s="2649" t="e">
        <f t="shared" si="37"/>
        <v>#N/A</v>
      </c>
      <c r="BH26" s="2649" t="e">
        <f t="shared" si="37"/>
        <v>#N/A</v>
      </c>
      <c r="BI26" s="2649" t="e">
        <f t="shared" si="37"/>
        <v>#N/A</v>
      </c>
      <c r="BJ26" s="2675" t="e">
        <f t="shared" si="37"/>
        <v>#N/A</v>
      </c>
      <c r="BK26" s="2649" t="e">
        <f t="shared" si="37"/>
        <v>#N/A</v>
      </c>
      <c r="BL26" s="2676" t="e">
        <f t="shared" si="37"/>
        <v>#N/A</v>
      </c>
      <c r="BM26" s="2649" t="e">
        <f t="shared" si="37"/>
        <v>#N/A</v>
      </c>
      <c r="BN26" s="2690" t="e">
        <f t="shared" si="37"/>
        <v>#N/A</v>
      </c>
      <c r="BO26" s="2649" t="e">
        <f t="shared" si="37"/>
        <v>#N/A</v>
      </c>
      <c r="BP26" s="2649" t="e">
        <f t="shared" si="37"/>
        <v>#N/A</v>
      </c>
      <c r="BQ26" s="2722"/>
      <c r="BR26" s="2649" t="e">
        <f>BR18</f>
        <v>#N/A</v>
      </c>
      <c r="BS26" s="2662" t="e">
        <f>BS18</f>
        <v>#N/A</v>
      </c>
      <c r="BT26" s="2684" t="e">
        <f>BT18</f>
        <v>#N/A</v>
      </c>
      <c r="BU26" s="2681" t="e">
        <f>IF(ROUND(BC26,2)=ROUND(SUM(BD26:BR26),2),"OK",CONCATENATE("Error :",BC26-SUM(BD26:BR26)))</f>
        <v>#N/A</v>
      </c>
      <c r="BV26" s="45"/>
    </row>
    <row r="27" spans="1:256" s="46" customFormat="1">
      <c r="E27" s="73" t="s">
        <v>3935</v>
      </c>
      <c r="F27" s="2682" t="e">
        <f t="shared" ref="F27:AI27" si="38">F12</f>
        <v>#VALUE!</v>
      </c>
      <c r="G27" s="2651" t="e">
        <f t="shared" si="38"/>
        <v>#N/A</v>
      </c>
      <c r="H27" s="74">
        <f t="shared" si="38"/>
        <v>0</v>
      </c>
      <c r="I27" s="2651" t="e">
        <f t="shared" si="38"/>
        <v>#VALUE!</v>
      </c>
      <c r="J27" s="2651" t="e">
        <f t="shared" si="38"/>
        <v>#N/A</v>
      </c>
      <c r="K27" s="2651" t="e">
        <f t="shared" si="38"/>
        <v>#N/A</v>
      </c>
      <c r="L27" s="2651" t="e">
        <f t="shared" si="38"/>
        <v>#N/A</v>
      </c>
      <c r="M27" s="2651">
        <f t="shared" si="38"/>
        <v>0</v>
      </c>
      <c r="N27" s="2651" t="e">
        <f t="shared" si="38"/>
        <v>#N/A</v>
      </c>
      <c r="O27" s="2651" t="e">
        <f t="shared" si="38"/>
        <v>#N/A</v>
      </c>
      <c r="P27" s="2651">
        <f t="shared" si="38"/>
        <v>0</v>
      </c>
      <c r="Q27" s="2651" t="e">
        <f t="shared" si="38"/>
        <v>#N/A</v>
      </c>
      <c r="R27" s="2651" t="e">
        <f t="shared" si="38"/>
        <v>#N/A</v>
      </c>
      <c r="S27" s="2651" t="e">
        <f t="shared" si="38"/>
        <v>#N/A</v>
      </c>
      <c r="T27" s="2651" t="e">
        <f t="shared" si="38"/>
        <v>#N/A</v>
      </c>
      <c r="U27" s="2651" t="e">
        <f t="shared" si="38"/>
        <v>#N/A</v>
      </c>
      <c r="V27" s="2651" t="e">
        <f t="shared" si="38"/>
        <v>#N/A</v>
      </c>
      <c r="W27">
        <f t="shared" si="38"/>
        <v>0</v>
      </c>
      <c r="X27">
        <f t="shared" si="38"/>
        <v>0</v>
      </c>
      <c r="Y27" s="2651">
        <f t="shared" si="38"/>
        <v>0</v>
      </c>
      <c r="Z27" s="2651" t="e">
        <f t="shared" si="38"/>
        <v>#N/A</v>
      </c>
      <c r="AA27" s="2651" t="e">
        <f t="shared" si="38"/>
        <v>#N/A</v>
      </c>
      <c r="AB27" s="2651" t="e">
        <f t="shared" si="38"/>
        <v>#N/A</v>
      </c>
      <c r="AC27" s="2651" t="e">
        <f t="shared" si="38"/>
        <v>#N/A</v>
      </c>
      <c r="AD27" s="2651" t="e">
        <f t="shared" si="38"/>
        <v>#N/A</v>
      </c>
      <c r="AE27" s="2651" t="e">
        <f t="shared" si="38"/>
        <v>#N/A</v>
      </c>
      <c r="AF27" s="2651" t="e">
        <f t="shared" si="38"/>
        <v>#N/A</v>
      </c>
      <c r="AG27" s="2651" t="e">
        <f t="shared" si="38"/>
        <v>#N/A</v>
      </c>
      <c r="AH27" s="2651">
        <f t="shared" si="38"/>
        <v>0</v>
      </c>
      <c r="AI27" s="2651" t="e">
        <f t="shared" si="38"/>
        <v>#N/A</v>
      </c>
      <c r="AJ27"/>
      <c r="AK27" s="2651" t="e">
        <f t="shared" ref="AK27:BT27" si="39">AK12</f>
        <v>#N/A</v>
      </c>
      <c r="AL27" s="2651" t="e">
        <f t="shared" si="39"/>
        <v>#N/A</v>
      </c>
      <c r="AM27" s="2651" t="e">
        <f t="shared" si="39"/>
        <v>#N/A</v>
      </c>
      <c r="AN27" s="2651" t="e">
        <f t="shared" si="39"/>
        <v>#N/A</v>
      </c>
      <c r="AO27" s="2651" t="e">
        <f t="shared" si="39"/>
        <v>#N/A</v>
      </c>
      <c r="AP27" s="2651" t="e">
        <f t="shared" si="39"/>
        <v>#N/A</v>
      </c>
      <c r="AQ27" t="e">
        <f t="shared" si="39"/>
        <v>#N/A</v>
      </c>
      <c r="AR27" t="e">
        <f t="shared" si="39"/>
        <v>#N/A</v>
      </c>
      <c r="AS27">
        <f t="shared" si="39"/>
        <v>0</v>
      </c>
      <c r="AT27" s="2651" t="e">
        <f t="shared" si="39"/>
        <v>#N/A</v>
      </c>
      <c r="AU27" s="2651" t="e">
        <f t="shared" si="39"/>
        <v>#N/A</v>
      </c>
      <c r="AV27" s="2651" t="e">
        <f t="shared" si="39"/>
        <v>#N/A</v>
      </c>
      <c r="AW27" s="2651">
        <f t="shared" si="39"/>
        <v>0</v>
      </c>
      <c r="AX27" s="2650" t="e">
        <f t="shared" si="39"/>
        <v>#VALUE!</v>
      </c>
      <c r="AY27" s="2651" t="e">
        <f t="shared" si="39"/>
        <v>#VALUE!</v>
      </c>
      <c r="AZ27" s="2652" t="e">
        <f t="shared" si="39"/>
        <v>#N/A</v>
      </c>
      <c r="BA27" s="2651" t="e">
        <f t="shared" si="39"/>
        <v>#VALUE!</v>
      </c>
      <c r="BB27" s="2651" t="e">
        <f t="shared" si="39"/>
        <v>#VALUE!</v>
      </c>
      <c r="BC27" s="2663" t="e">
        <f t="shared" si="39"/>
        <v>#VALUE!</v>
      </c>
      <c r="BD27" s="2651" t="e">
        <f t="shared" si="39"/>
        <v>#VALUE!</v>
      </c>
      <c r="BE27" s="2651" t="e">
        <f t="shared" si="39"/>
        <v>#VALUE!</v>
      </c>
      <c r="BF27" s="2651" t="e">
        <f t="shared" si="39"/>
        <v>#N/A</v>
      </c>
      <c r="BG27" s="2651" t="e">
        <f t="shared" si="39"/>
        <v>#N/A</v>
      </c>
      <c r="BH27" s="2651" t="e">
        <f t="shared" si="39"/>
        <v>#N/A</v>
      </c>
      <c r="BI27" s="2651" t="e">
        <f t="shared" si="39"/>
        <v>#N/A</v>
      </c>
      <c r="BJ27" s="2650" t="e">
        <f t="shared" si="39"/>
        <v>#VALUE!</v>
      </c>
      <c r="BK27" s="2651" t="e">
        <f t="shared" si="39"/>
        <v>#VALUE!</v>
      </c>
      <c r="BL27" s="2652" t="e">
        <f t="shared" si="39"/>
        <v>#N/A</v>
      </c>
      <c r="BM27" s="2651" t="e">
        <f t="shared" si="39"/>
        <v>#N/A</v>
      </c>
      <c r="BN27" s="2683" t="e">
        <f t="shared" si="39"/>
        <v>#VALUE!</v>
      </c>
      <c r="BO27" s="2651" t="e">
        <f t="shared" si="39"/>
        <v>#VALUE!</v>
      </c>
      <c r="BP27" s="2651" t="e">
        <f t="shared" si="39"/>
        <v>#N/A</v>
      </c>
      <c r="BQ27" s="2651" t="e">
        <f t="shared" si="39"/>
        <v>#N/A</v>
      </c>
      <c r="BR27" s="2651" t="e">
        <f t="shared" si="39"/>
        <v>#N/A</v>
      </c>
      <c r="BS27" s="2691" t="e">
        <f t="shared" si="39"/>
        <v>#VALUE!</v>
      </c>
      <c r="BT27" s="2684" t="e">
        <f t="shared" si="39"/>
        <v>#N/A</v>
      </c>
      <c r="BU27" s="2681" t="e">
        <f>IF(ROUND(BS27,2)=ROUND(Ops!FU1,2),"OK",CONCATENATE("Error ",ROUND(BS27-Ops!FU1,2)))</f>
        <v>#VALUE!</v>
      </c>
      <c r="BV27" s="2685" t="e">
        <f>IF(ROUND(BS27,2)=ROUND(Ops!FU1,2),"OK",CONCATENATE("Error ",ROUND(BS27-Ops!FU1,2)))</f>
        <v>#VALUE!</v>
      </c>
    </row>
    <row r="28" spans="1:256" s="46" customFormat="1">
      <c r="E28" s="73" t="s">
        <v>838</v>
      </c>
      <c r="F28" s="2682" t="e">
        <f>F25+F18</f>
        <v>#N/A</v>
      </c>
      <c r="G28" s="2651" t="e">
        <f>G26+G25</f>
        <v>#N/A</v>
      </c>
      <c r="H28"/>
      <c r="I28" s="2651" t="e">
        <f t="shared" ref="I28:X28" si="40">I25+I18</f>
        <v>#N/A</v>
      </c>
      <c r="J28" s="2651" t="e">
        <f t="shared" si="40"/>
        <v>#N/A</v>
      </c>
      <c r="K28" s="2651" t="e">
        <f t="shared" si="40"/>
        <v>#N/A</v>
      </c>
      <c r="L28" s="2651" t="e">
        <f t="shared" si="40"/>
        <v>#N/A</v>
      </c>
      <c r="M28" s="2651" t="e">
        <f t="shared" si="40"/>
        <v>#N/A</v>
      </c>
      <c r="N28">
        <f t="shared" si="40"/>
        <v>0</v>
      </c>
      <c r="O28">
        <f t="shared" si="40"/>
        <v>0</v>
      </c>
      <c r="P28" s="2651" t="e">
        <f t="shared" si="40"/>
        <v>#N/A</v>
      </c>
      <c r="Q28">
        <f t="shared" si="40"/>
        <v>0</v>
      </c>
      <c r="R28">
        <f t="shared" si="40"/>
        <v>0</v>
      </c>
      <c r="S28" s="2651" t="e">
        <f t="shared" si="40"/>
        <v>#N/A</v>
      </c>
      <c r="T28">
        <f t="shared" si="40"/>
        <v>0</v>
      </c>
      <c r="U28" s="2651" t="e">
        <f t="shared" si="40"/>
        <v>#N/A</v>
      </c>
      <c r="V28" s="2651" t="e">
        <f t="shared" si="40"/>
        <v>#N/A</v>
      </c>
      <c r="W28" s="2651" t="e">
        <f t="shared" si="40"/>
        <v>#N/A</v>
      </c>
      <c r="X28" s="2651" t="e">
        <f t="shared" si="40"/>
        <v>#N/A</v>
      </c>
      <c r="Y28" s="2651" t="e">
        <f>Y26+Y25</f>
        <v>#N/A</v>
      </c>
      <c r="Z28" s="2651" t="e">
        <f t="shared" ref="Z28:AE28" si="41">Z25+Z18</f>
        <v>#N/A</v>
      </c>
      <c r="AA28" s="2651" t="e">
        <f t="shared" si="41"/>
        <v>#N/A</v>
      </c>
      <c r="AB28" s="2651" t="e">
        <f t="shared" si="41"/>
        <v>#N/A</v>
      </c>
      <c r="AC28" s="2651" t="e">
        <f t="shared" si="41"/>
        <v>#N/A</v>
      </c>
      <c r="AD28" s="2651" t="e">
        <f t="shared" si="41"/>
        <v>#N/A</v>
      </c>
      <c r="AE28" s="2651" t="e">
        <f t="shared" si="41"/>
        <v>#N/A</v>
      </c>
      <c r="AF28" s="2805"/>
      <c r="AG28" s="2805"/>
      <c r="AH28" s="2805"/>
      <c r="AI28" s="2651" t="e">
        <f t="shared" ref="AI28:AN28" si="42">AI25+AI18</f>
        <v>#N/A</v>
      </c>
      <c r="AJ28" s="2651" t="e">
        <f t="shared" si="42"/>
        <v>#N/A</v>
      </c>
      <c r="AK28" s="2651" t="e">
        <f t="shared" si="42"/>
        <v>#N/A</v>
      </c>
      <c r="AL28" s="2651" t="e">
        <f t="shared" si="42"/>
        <v>#N/A</v>
      </c>
      <c r="AM28" s="2651" t="e">
        <f t="shared" si="42"/>
        <v>#N/A</v>
      </c>
      <c r="AN28" s="2651" t="e">
        <f t="shared" si="42"/>
        <v>#N/A</v>
      </c>
      <c r="AO28" s="2805"/>
      <c r="AP28" s="2651" t="e">
        <f>AP25+AP18</f>
        <v>#N/A</v>
      </c>
      <c r="AQ28" s="2805"/>
      <c r="AR28" s="2805"/>
      <c r="AS28" s="2805"/>
      <c r="AT28" s="2651" t="e">
        <f>AT25+AT18</f>
        <v>#N/A</v>
      </c>
      <c r="AU28" s="2651" t="e">
        <f>AU25+AU18</f>
        <v>#N/A</v>
      </c>
      <c r="AV28" s="2651" t="e">
        <f>AV26+AV25</f>
        <v>#N/A</v>
      </c>
      <c r="AW28" s="2651" t="e">
        <f t="shared" ref="AW28:BJ28" si="43">AW25+AW18</f>
        <v>#N/A</v>
      </c>
      <c r="AX28" s="2650" t="e">
        <f t="shared" si="43"/>
        <v>#N/A</v>
      </c>
      <c r="AY28" s="2651" t="e">
        <f t="shared" si="43"/>
        <v>#N/A</v>
      </c>
      <c r="AZ28" s="2652" t="e">
        <f t="shared" si="43"/>
        <v>#N/A</v>
      </c>
      <c r="BA28" s="2651" t="e">
        <f t="shared" si="43"/>
        <v>#N/A</v>
      </c>
      <c r="BB28" s="2651" t="e">
        <f t="shared" si="43"/>
        <v>#N/A</v>
      </c>
      <c r="BC28" s="2663" t="e">
        <f t="shared" si="43"/>
        <v>#N/A</v>
      </c>
      <c r="BD28" s="2651" t="e">
        <f t="shared" si="43"/>
        <v>#N/A</v>
      </c>
      <c r="BE28" s="2651" t="e">
        <f t="shared" si="43"/>
        <v>#N/A</v>
      </c>
      <c r="BF28" s="2651" t="e">
        <f t="shared" si="43"/>
        <v>#N/A</v>
      </c>
      <c r="BG28" s="2651" t="e">
        <f t="shared" si="43"/>
        <v>#N/A</v>
      </c>
      <c r="BH28" s="2651" t="e">
        <f t="shared" si="43"/>
        <v>#N/A</v>
      </c>
      <c r="BI28" s="2651" t="e">
        <f t="shared" si="43"/>
        <v>#N/A</v>
      </c>
      <c r="BJ28" s="2650" t="e">
        <f t="shared" si="43"/>
        <v>#N/A</v>
      </c>
      <c r="BK28" s="2651" t="e">
        <f>BK26</f>
        <v>#N/A</v>
      </c>
      <c r="BL28" s="2652" t="e">
        <f>BL25+BL26</f>
        <v>#N/A</v>
      </c>
      <c r="BM28" s="2651" t="e">
        <f>BM25+BM26</f>
        <v>#N/A</v>
      </c>
      <c r="BN28" s="2683" t="e">
        <f>BN25+BN18</f>
        <v>#N/A</v>
      </c>
      <c r="BO28" s="2651" t="e">
        <f>BO25+BO18</f>
        <v>#N/A</v>
      </c>
      <c r="BP28" s="2651" t="e">
        <f>BP26+BP25</f>
        <v>#N/A</v>
      </c>
      <c r="BQ28" s="2819"/>
      <c r="BR28" s="2651" t="e">
        <f>BR25+BR18</f>
        <v>#N/A</v>
      </c>
      <c r="BS28" s="2691" t="e">
        <f>BS25+BS18</f>
        <v>#N/A</v>
      </c>
      <c r="BT28" s="2684" t="e">
        <f>BT18+BT25</f>
        <v>#N/A</v>
      </c>
      <c r="BU28" s="2681" t="e">
        <f>IF(ROUND(BS28,2)=ROUND(Calog!EW1,2),"OK",CONCATENATE("Error ",ROUND(BS28-Calog!EW1,2)))</f>
        <v>#N/A</v>
      </c>
      <c r="BV28" s="2685" t="e">
        <f>IF(ROUND(BS28,2)=ROUND(Calog!EW1,2),"OK",CONCATENATE("Error ",ROUND(BS28-Calog!EW1,2)))</f>
        <v>#N/A</v>
      </c>
    </row>
    <row r="29" spans="1:256" s="46" customFormat="1">
      <c r="E29" s="73" t="s">
        <v>839</v>
      </c>
      <c r="F29" s="2682" t="e">
        <f t="shared" ref="F29:AR29" si="44">F27+F28</f>
        <v>#VALUE!</v>
      </c>
      <c r="G29" s="2651" t="e">
        <f t="shared" si="44"/>
        <v>#N/A</v>
      </c>
      <c r="H29" s="72">
        <f>H27</f>
        <v>0</v>
      </c>
      <c r="I29" s="2651" t="e">
        <f t="shared" si="44"/>
        <v>#VALUE!</v>
      </c>
      <c r="J29" s="2651" t="e">
        <f t="shared" si="44"/>
        <v>#N/A</v>
      </c>
      <c r="K29" s="2651" t="e">
        <f t="shared" si="44"/>
        <v>#N/A</v>
      </c>
      <c r="L29" s="2651" t="e">
        <f t="shared" si="44"/>
        <v>#N/A</v>
      </c>
      <c r="M29" s="2651" t="e">
        <f t="shared" si="44"/>
        <v>#N/A</v>
      </c>
      <c r="N29" s="2678" t="e">
        <f t="shared" si="44"/>
        <v>#N/A</v>
      </c>
      <c r="O29" s="2678" t="e">
        <f t="shared" si="44"/>
        <v>#N/A</v>
      </c>
      <c r="P29" s="2651" t="e">
        <f t="shared" si="44"/>
        <v>#N/A</v>
      </c>
      <c r="Q29" s="2678" t="e">
        <f t="shared" si="44"/>
        <v>#N/A</v>
      </c>
      <c r="R29" s="2678" t="e">
        <f t="shared" si="44"/>
        <v>#N/A</v>
      </c>
      <c r="S29" s="2651" t="e">
        <f t="shared" si="44"/>
        <v>#N/A</v>
      </c>
      <c r="T29" s="2678" t="e">
        <f t="shared" si="44"/>
        <v>#N/A</v>
      </c>
      <c r="U29" s="2651" t="e">
        <f t="shared" si="44"/>
        <v>#N/A</v>
      </c>
      <c r="V29" s="2651" t="e">
        <f t="shared" si="44"/>
        <v>#N/A</v>
      </c>
      <c r="W29" s="2651" t="e">
        <f t="shared" si="44"/>
        <v>#N/A</v>
      </c>
      <c r="X29" s="2651" t="e">
        <f t="shared" si="44"/>
        <v>#N/A</v>
      </c>
      <c r="Y29" s="2651" t="e">
        <f t="shared" si="44"/>
        <v>#N/A</v>
      </c>
      <c r="Z29" s="2651" t="e">
        <f t="shared" si="44"/>
        <v>#N/A</v>
      </c>
      <c r="AA29" s="2651" t="e">
        <f t="shared" si="44"/>
        <v>#N/A</v>
      </c>
      <c r="AB29" s="2651" t="e">
        <f t="shared" si="44"/>
        <v>#N/A</v>
      </c>
      <c r="AC29" s="2651" t="e">
        <f t="shared" si="44"/>
        <v>#N/A</v>
      </c>
      <c r="AD29" s="2651" t="e">
        <f t="shared" si="44"/>
        <v>#N/A</v>
      </c>
      <c r="AE29" s="2651" t="e">
        <f t="shared" si="44"/>
        <v>#N/A</v>
      </c>
      <c r="AF29" s="2678" t="e">
        <f t="shared" si="44"/>
        <v>#N/A</v>
      </c>
      <c r="AG29" s="2678" t="e">
        <f t="shared" si="44"/>
        <v>#N/A</v>
      </c>
      <c r="AH29" s="2678">
        <f t="shared" si="44"/>
        <v>0</v>
      </c>
      <c r="AI29" s="2651" t="e">
        <f t="shared" si="44"/>
        <v>#N/A</v>
      </c>
      <c r="AJ29" s="2651" t="e">
        <f t="shared" si="44"/>
        <v>#N/A</v>
      </c>
      <c r="AK29" s="2651" t="e">
        <f t="shared" si="44"/>
        <v>#N/A</v>
      </c>
      <c r="AL29" s="2651" t="e">
        <f t="shared" si="44"/>
        <v>#N/A</v>
      </c>
      <c r="AM29" s="2651" t="e">
        <f t="shared" si="44"/>
        <v>#N/A</v>
      </c>
      <c r="AN29" s="2651" t="e">
        <f t="shared" si="44"/>
        <v>#N/A</v>
      </c>
      <c r="AO29" s="2678" t="e">
        <f t="shared" si="44"/>
        <v>#N/A</v>
      </c>
      <c r="AP29" s="2651" t="e">
        <f t="shared" si="44"/>
        <v>#N/A</v>
      </c>
      <c r="AQ29" s="2678" t="e">
        <f t="shared" si="44"/>
        <v>#N/A</v>
      </c>
      <c r="AR29" s="2678" t="e">
        <f t="shared" si="44"/>
        <v>#N/A</v>
      </c>
      <c r="AS29" s="2678">
        <f>AS27+AS28</f>
        <v>0</v>
      </c>
      <c r="AT29" s="2651" t="e">
        <f>AT27+AT28</f>
        <v>#N/A</v>
      </c>
      <c r="AU29" s="2651" t="e">
        <f>AU27+AU28</f>
        <v>#N/A</v>
      </c>
      <c r="AV29" s="2651" t="e">
        <f>AV27+AV28</f>
        <v>#N/A</v>
      </c>
      <c r="AW29" s="2651" t="e">
        <f>AW278+AW28</f>
        <v>#N/A</v>
      </c>
      <c r="AX29" s="2650" t="e">
        <f t="shared" ref="AX29:BP29" si="45">AX27+AX28</f>
        <v>#VALUE!</v>
      </c>
      <c r="AY29" s="2651" t="e">
        <f t="shared" si="45"/>
        <v>#VALUE!</v>
      </c>
      <c r="AZ29" s="2652" t="e">
        <f t="shared" si="45"/>
        <v>#N/A</v>
      </c>
      <c r="BA29" s="2651" t="e">
        <f t="shared" si="45"/>
        <v>#VALUE!</v>
      </c>
      <c r="BB29" s="2651" t="e">
        <f t="shared" si="45"/>
        <v>#VALUE!</v>
      </c>
      <c r="BC29" s="2663" t="e">
        <f t="shared" si="45"/>
        <v>#VALUE!</v>
      </c>
      <c r="BD29" s="2651" t="e">
        <f t="shared" si="45"/>
        <v>#VALUE!</v>
      </c>
      <c r="BE29" s="2651" t="e">
        <f t="shared" si="45"/>
        <v>#VALUE!</v>
      </c>
      <c r="BF29" s="2651" t="e">
        <f t="shared" si="45"/>
        <v>#N/A</v>
      </c>
      <c r="BG29" s="2651" t="e">
        <f t="shared" si="45"/>
        <v>#N/A</v>
      </c>
      <c r="BH29" s="2651" t="e">
        <f t="shared" si="45"/>
        <v>#N/A</v>
      </c>
      <c r="BI29" s="2651" t="e">
        <f t="shared" si="45"/>
        <v>#N/A</v>
      </c>
      <c r="BJ29" s="2650" t="e">
        <f>BJ28+BJ27</f>
        <v>#N/A</v>
      </c>
      <c r="BK29" s="2651" t="e">
        <f>BK28+BK27</f>
        <v>#N/A</v>
      </c>
      <c r="BL29" s="2652" t="e">
        <f t="shared" si="45"/>
        <v>#N/A</v>
      </c>
      <c r="BM29" t="e">
        <f t="shared" si="45"/>
        <v>#N/A</v>
      </c>
      <c r="BN29" s="2683" t="e">
        <f>BN28+BN27</f>
        <v>#N/A</v>
      </c>
      <c r="BO29" s="2651" t="e">
        <f>BO28+BO27</f>
        <v>#N/A</v>
      </c>
      <c r="BP29" s="2651" t="e">
        <f t="shared" si="45"/>
        <v>#N/A</v>
      </c>
      <c r="BQ29" s="2678" t="e">
        <f>BQ27+BO28</f>
        <v>#N/A</v>
      </c>
      <c r="BR29" s="2651" t="e">
        <f>BR27+BR28</f>
        <v>#N/A</v>
      </c>
      <c r="BS29" s="2691" t="e">
        <f>BS27+BS28</f>
        <v>#VALUE!</v>
      </c>
      <c r="BT29" s="2684" t="e">
        <f>BT12+BT18+BT25</f>
        <v>#N/A</v>
      </c>
      <c r="BU29" s="2681" t="e">
        <f>IF(ROUND(BS29,2)=(ROUND((Calog!EW1+Ops!FU1),2)),"OK",CONCATENATE("Error ",ROUND(BS29-(Calog!EW1+Ops!FU1),2)))</f>
        <v>#VALUE!</v>
      </c>
      <c r="BV29" s="45"/>
    </row>
    <row r="30" spans="1:256" s="46" customFormat="1" ht="13.5" thickBot="1">
      <c r="E30" s="76" t="s">
        <v>198</v>
      </c>
      <c r="F30" s="76"/>
      <c r="G30" s="2686"/>
      <c r="H30" s="77" t="e">
        <f>H5+H29</f>
        <v>#N/A</v>
      </c>
      <c r="I30" s="2686"/>
      <c r="J30" s="2654"/>
      <c r="K30" s="2686"/>
      <c r="L30" s="2686"/>
      <c r="M30" s="2686"/>
      <c r="N30" s="2686"/>
      <c r="O30" s="2686"/>
      <c r="P30" s="2686"/>
      <c r="Q30" s="2686"/>
      <c r="R30" s="2686"/>
      <c r="S30" s="2686"/>
      <c r="T30" s="2686"/>
      <c r="U30" s="2686"/>
      <c r="V30" s="2686"/>
      <c r="W30" s="2686"/>
      <c r="X30" s="2686"/>
      <c r="Y30" s="2686"/>
      <c r="Z30" s="2686"/>
      <c r="AA30" s="2686"/>
      <c r="AB30" s="2686"/>
      <c r="AC30" s="2686"/>
      <c r="AD30" s="2686"/>
      <c r="AE30" s="2686"/>
      <c r="AF30" s="2686"/>
      <c r="AG30" s="2686"/>
      <c r="AH30" s="2686"/>
      <c r="AI30" s="2686"/>
      <c r="AJ30" s="2654"/>
      <c r="AK30" s="2686"/>
      <c r="AL30" s="2686"/>
      <c r="AM30" s="2686"/>
      <c r="AN30" s="2654" t="e">
        <f>AN29+AN5</f>
        <v>#N/A</v>
      </c>
      <c r="AO30" s="2686"/>
      <c r="AP30" s="2686"/>
      <c r="AQ30" s="2686"/>
      <c r="AR30" s="2686"/>
      <c r="AS30" s="2686"/>
      <c r="AT30" s="2686"/>
      <c r="AU30" s="2686"/>
      <c r="AV30" s="2686"/>
      <c r="AW30" s="2686"/>
      <c r="AX30" s="2653" t="e">
        <f>AY5+AX29</f>
        <v>#VALUE!</v>
      </c>
      <c r="AY30" s="2686"/>
      <c r="AZ30" s="2687"/>
      <c r="BA30" s="2686"/>
      <c r="BB30" s="2686"/>
      <c r="BC30" s="2664" t="e">
        <f>BC18+BC12+BC25+BC6+BC7</f>
        <v>#N/A</v>
      </c>
      <c r="BD30" s="2654"/>
      <c r="BE30" s="2654"/>
      <c r="BF30" s="2654" t="e">
        <f>BF29+BF5</f>
        <v>#N/A</v>
      </c>
      <c r="BG30" s="2654"/>
      <c r="BH30" s="2654"/>
      <c r="BI30" s="2654"/>
      <c r="BJ30" s="2653" t="e">
        <f>BJ18+BJ12+BJ25+BJ5</f>
        <v>#N/A</v>
      </c>
      <c r="BK30" s="2654"/>
      <c r="BL30" s="2655"/>
      <c r="BM30" s="2654"/>
      <c r="BN30" s="2688"/>
      <c r="BO30" s="2654" t="e">
        <f>BO29+BO5</f>
        <v>#N/A</v>
      </c>
      <c r="BP30" s="2654" t="e">
        <f>BP29+BP5</f>
        <v>#N/A</v>
      </c>
      <c r="BQ30" s="2686"/>
      <c r="BR30" s="2654"/>
      <c r="BS30" s="2664" t="e">
        <f>BS5+BS29</f>
        <v>#N/A</v>
      </c>
      <c r="BT30" s="2684"/>
      <c r="BU30" t="e">
        <f>IF(BC30-BS30&lt;0.01,"","error")</f>
        <v>#N/A</v>
      </c>
      <c r="BV30" s="45"/>
    </row>
    <row r="31" spans="1:256" ht="13.5" thickTop="1">
      <c r="AX31" s="1752"/>
      <c r="AZ31" s="1753"/>
      <c r="BJ31" s="1752"/>
      <c r="BL31" s="1753"/>
      <c r="BN31" s="2606"/>
      <c r="BS31" s="4"/>
      <c r="BT31" s="4"/>
      <c r="BV31" s="505"/>
    </row>
    <row r="32" spans="1:256" ht="13.5" thickBot="1">
      <c r="A32" s="521">
        <v>1</v>
      </c>
      <c r="B32" s="521">
        <v>2</v>
      </c>
      <c r="C32" s="521">
        <v>3</v>
      </c>
      <c r="D32" s="521">
        <v>4</v>
      </c>
      <c r="E32" s="521">
        <v>5</v>
      </c>
      <c r="F32" s="521">
        <v>6</v>
      </c>
      <c r="G32" s="521">
        <v>7</v>
      </c>
      <c r="H32" s="521">
        <v>8</v>
      </c>
      <c r="I32" s="521">
        <v>9</v>
      </c>
      <c r="J32" s="521">
        <v>10</v>
      </c>
      <c r="K32" s="521">
        <v>11</v>
      </c>
      <c r="L32" s="521">
        <v>12</v>
      </c>
      <c r="M32" s="521">
        <v>13</v>
      </c>
      <c r="N32" s="521">
        <v>14</v>
      </c>
      <c r="O32" s="521">
        <v>15</v>
      </c>
      <c r="P32" s="521">
        <v>16</v>
      </c>
      <c r="Q32" s="521">
        <v>17</v>
      </c>
      <c r="R32" s="521">
        <v>18</v>
      </c>
      <c r="S32" s="521">
        <v>19</v>
      </c>
      <c r="T32" s="521">
        <v>20</v>
      </c>
      <c r="U32" s="521">
        <v>21</v>
      </c>
      <c r="V32" s="521">
        <v>22</v>
      </c>
      <c r="W32" s="521">
        <v>23</v>
      </c>
      <c r="X32" s="521">
        <v>24</v>
      </c>
      <c r="Y32" s="521">
        <v>25</v>
      </c>
      <c r="Z32" s="521">
        <v>26</v>
      </c>
      <c r="AA32" s="521">
        <v>27</v>
      </c>
      <c r="AB32" s="521">
        <v>28</v>
      </c>
      <c r="AC32" s="521">
        <v>29</v>
      </c>
      <c r="AD32" s="521">
        <v>30</v>
      </c>
      <c r="AE32" s="521">
        <v>31</v>
      </c>
      <c r="AF32" s="521">
        <v>32</v>
      </c>
      <c r="AG32" s="521">
        <v>33</v>
      </c>
      <c r="AH32" s="521">
        <v>34</v>
      </c>
      <c r="AI32" s="521">
        <v>35</v>
      </c>
      <c r="AJ32" s="521">
        <v>36</v>
      </c>
      <c r="AK32" s="521">
        <v>37</v>
      </c>
      <c r="AL32" s="521">
        <v>38</v>
      </c>
      <c r="AM32" s="521">
        <v>39</v>
      </c>
      <c r="AN32" s="521">
        <v>40</v>
      </c>
      <c r="AO32" s="521">
        <v>41</v>
      </c>
      <c r="AP32" s="521">
        <v>42</v>
      </c>
      <c r="AQ32" s="521">
        <v>43</v>
      </c>
      <c r="AR32" s="521">
        <v>44</v>
      </c>
      <c r="AS32" s="521">
        <v>45</v>
      </c>
      <c r="AT32" s="521">
        <v>46</v>
      </c>
      <c r="AU32" s="521">
        <v>47</v>
      </c>
      <c r="AV32" s="521">
        <v>48</v>
      </c>
      <c r="AW32" s="521">
        <v>49</v>
      </c>
      <c r="AX32" s="1771">
        <v>50</v>
      </c>
      <c r="AY32" s="1772">
        <v>51</v>
      </c>
      <c r="AZ32" s="1773">
        <v>52</v>
      </c>
      <c r="BA32" s="521">
        <v>53</v>
      </c>
      <c r="BB32" s="521">
        <v>54</v>
      </c>
      <c r="BC32" s="521">
        <v>55</v>
      </c>
      <c r="BD32" s="521">
        <v>56</v>
      </c>
      <c r="BE32" s="521">
        <v>57</v>
      </c>
      <c r="BF32" s="521">
        <v>58</v>
      </c>
      <c r="BG32" s="521">
        <v>59</v>
      </c>
      <c r="BH32" s="521">
        <v>60</v>
      </c>
      <c r="BI32" s="521">
        <v>61</v>
      </c>
      <c r="BJ32" s="1771">
        <v>62</v>
      </c>
      <c r="BK32" s="1772">
        <v>63</v>
      </c>
      <c r="BL32" s="1773">
        <v>64</v>
      </c>
      <c r="BM32" s="521">
        <v>65</v>
      </c>
      <c r="BN32" s="2567">
        <v>66</v>
      </c>
      <c r="BO32" s="521">
        <v>67</v>
      </c>
      <c r="BP32" s="521">
        <v>68</v>
      </c>
      <c r="BQ32" s="521">
        <v>69</v>
      </c>
      <c r="BR32" s="521">
        <v>70</v>
      </c>
      <c r="BS32" s="521">
        <v>71</v>
      </c>
      <c r="BT32" s="521">
        <v>72</v>
      </c>
      <c r="BU32" s="521">
        <v>73</v>
      </c>
      <c r="BV32" s="521">
        <v>74</v>
      </c>
      <c r="BW32" s="521"/>
      <c r="BX32" s="521"/>
      <c r="BY32" s="521"/>
      <c r="BZ32" s="521"/>
      <c r="CA32" s="521"/>
      <c r="CB32" s="521"/>
      <c r="CC32" s="521"/>
      <c r="CD32" s="521"/>
      <c r="CE32" s="521"/>
      <c r="CF32" s="521"/>
      <c r="CG32" s="521"/>
      <c r="CH32" s="521"/>
      <c r="CI32" s="521"/>
      <c r="CJ32" s="521"/>
      <c r="CK32" s="521"/>
      <c r="CL32" s="521"/>
      <c r="CM32" s="521"/>
      <c r="CN32" s="521"/>
      <c r="CO32" s="521"/>
      <c r="CP32" s="521"/>
      <c r="CQ32" s="521"/>
      <c r="CR32" s="521"/>
      <c r="CS32" s="521"/>
      <c r="CT32" s="521"/>
      <c r="CU32" s="521"/>
      <c r="CV32" s="521"/>
      <c r="CW32" s="521"/>
      <c r="CX32" s="521"/>
      <c r="CY32" s="521"/>
      <c r="CZ32" s="521"/>
      <c r="DA32" s="521"/>
      <c r="DB32" s="521"/>
      <c r="DC32" s="521"/>
      <c r="DD32" s="521"/>
      <c r="DE32" s="521"/>
      <c r="DF32" s="521"/>
      <c r="DG32" s="521"/>
      <c r="DH32" s="521"/>
      <c r="DI32" s="521"/>
      <c r="DJ32" s="521"/>
      <c r="DK32" s="521"/>
      <c r="DL32" s="521"/>
      <c r="DM32" s="521"/>
      <c r="DN32" s="521"/>
      <c r="DO32" s="521"/>
      <c r="DP32" s="521"/>
      <c r="DQ32" s="521"/>
      <c r="DR32" s="521"/>
      <c r="DS32" s="521"/>
      <c r="DT32" s="521"/>
      <c r="DU32" s="521"/>
      <c r="DV32" s="521"/>
      <c r="DW32" s="521"/>
      <c r="DX32" s="521"/>
      <c r="DY32" s="521"/>
      <c r="DZ32" s="521"/>
      <c r="EA32" s="521"/>
      <c r="EB32" s="521"/>
      <c r="EC32" s="521"/>
      <c r="ED32" s="521"/>
      <c r="EE32" s="521"/>
      <c r="EF32" s="521"/>
      <c r="EG32" s="521"/>
      <c r="EH32" s="521"/>
      <c r="EI32" s="521"/>
      <c r="EJ32" s="521"/>
      <c r="EK32" s="521"/>
      <c r="EL32" s="521"/>
      <c r="EM32" s="521"/>
      <c r="EN32" s="521"/>
      <c r="EO32" s="521"/>
      <c r="EP32" s="521"/>
      <c r="EQ32" s="521"/>
      <c r="ER32" s="521"/>
      <c r="ES32" s="521"/>
      <c r="ET32" s="521"/>
      <c r="EU32" s="521"/>
      <c r="EV32" s="521"/>
      <c r="EW32" s="521"/>
      <c r="EX32" s="521"/>
      <c r="EY32" s="521"/>
      <c r="EZ32" s="521"/>
      <c r="FA32" s="521"/>
      <c r="FB32" s="521"/>
      <c r="FC32" s="521"/>
      <c r="FD32" s="521"/>
      <c r="FE32" s="521"/>
      <c r="FF32" s="521"/>
      <c r="FG32" s="521"/>
      <c r="FH32" s="521"/>
      <c r="FI32" s="521"/>
      <c r="FJ32" s="521"/>
      <c r="FK32" s="521"/>
      <c r="FL32" s="521"/>
      <c r="FM32" s="521"/>
      <c r="FN32" s="521"/>
      <c r="FO32" s="521"/>
      <c r="FP32" s="521"/>
      <c r="FQ32" s="521"/>
      <c r="FR32" s="521"/>
      <c r="FS32" s="521"/>
      <c r="FT32" s="521"/>
      <c r="FU32" s="521"/>
      <c r="FV32" s="521"/>
      <c r="FW32" s="521"/>
      <c r="FX32" s="521"/>
      <c r="FY32" s="521"/>
      <c r="FZ32" s="521"/>
      <c r="GA32" s="521"/>
      <c r="GB32" s="521"/>
      <c r="GC32" s="521"/>
      <c r="GD32" s="521"/>
      <c r="GE32" s="521"/>
      <c r="GF32" s="521"/>
      <c r="GG32" s="521"/>
      <c r="GH32" s="521"/>
      <c r="GI32" s="521"/>
      <c r="GJ32" s="521"/>
      <c r="GK32" s="521"/>
      <c r="GL32" s="521"/>
      <c r="GM32" s="521"/>
      <c r="GN32" s="521"/>
      <c r="GO32" s="521"/>
      <c r="GP32" s="521"/>
      <c r="GQ32" s="521"/>
      <c r="GR32" s="521"/>
      <c r="GS32" s="521"/>
      <c r="GT32" s="521"/>
      <c r="GU32" s="521"/>
      <c r="GV32" s="521"/>
      <c r="GW32" s="521"/>
      <c r="GX32" s="521"/>
      <c r="GY32" s="521"/>
      <c r="GZ32" s="521"/>
      <c r="HA32" s="521"/>
      <c r="HB32" s="521"/>
      <c r="HC32" s="521"/>
      <c r="HD32" s="521"/>
      <c r="HE32" s="521"/>
      <c r="HF32" s="521"/>
      <c r="HG32" s="521"/>
      <c r="HH32" s="521"/>
      <c r="HI32" s="521"/>
      <c r="HJ32" s="521"/>
      <c r="HK32" s="521"/>
      <c r="HL32" s="521"/>
      <c r="HM32" s="521"/>
      <c r="HN32" s="521"/>
      <c r="HO32" s="521"/>
      <c r="HP32" s="521"/>
      <c r="HQ32" s="521"/>
      <c r="HR32" s="521"/>
      <c r="HS32" s="521"/>
      <c r="HT32" s="521"/>
      <c r="HU32" s="521"/>
      <c r="HV32" s="521"/>
      <c r="HW32" s="521"/>
      <c r="HX32" s="521"/>
      <c r="HY32" s="521"/>
      <c r="HZ32" s="521"/>
      <c r="IA32" s="521"/>
      <c r="IB32" s="521"/>
      <c r="IC32" s="521"/>
      <c r="ID32" s="521"/>
      <c r="IE32" s="521"/>
      <c r="IF32" s="521"/>
      <c r="IG32" s="521"/>
      <c r="IH32" s="521"/>
      <c r="II32" s="521"/>
      <c r="IJ32" s="521"/>
      <c r="IK32" s="521"/>
    </row>
  </sheetData>
  <mergeCells count="3">
    <mergeCell ref="C1:D1"/>
    <mergeCell ref="A4:D4"/>
    <mergeCell ref="B5:B7"/>
  </mergeCells>
  <phoneticPr fontId="38" type="noConversion"/>
  <printOptions horizontalCentered="1"/>
  <pageMargins left="0.35433070866141736" right="0.35433070866141736" top="0.62" bottom="0.36" header="0.18" footer="0.16"/>
  <pageSetup paperSize="9" scale="71" fitToWidth="5" fitToHeight="500" pageOrder="overThenDown" orientation="landscape" r:id="rId1"/>
  <headerFooter alignWithMargins="0">
    <oddHeader>&amp;C&amp;F - &amp;A</oddHeader>
    <oddFooter>&amp;C&amp;P/&amp;N</oddFooter>
  </headerFooter>
  <colBreaks count="6" manualBreakCount="6">
    <brk id="22" max="171" man="1"/>
    <brk id="26" max="171" man="1"/>
    <brk id="35" max="171" man="1"/>
    <brk id="39" max="171" man="1"/>
    <brk id="55" max="171" man="1"/>
    <brk id="65" max="171"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otaalCodeX1"/>
  <dimension ref="A1:IL35"/>
  <sheetViews>
    <sheetView zoomScale="85" zoomScaleNormal="85" workbookViewId="0">
      <selection activeCell="A22" sqref="A22:XFD22"/>
    </sheetView>
  </sheetViews>
  <sheetFormatPr defaultColWidth="11.42578125" defaultRowHeight="12.75"/>
  <cols>
    <col min="1" max="3" width="8" style="521" customWidth="1"/>
    <col min="4" max="4" width="10.140625" style="521" bestFit="1" customWidth="1"/>
    <col min="5" max="5" width="25" style="4" bestFit="1" customWidth="1"/>
    <col min="6" max="7" width="12.42578125" style="4" customWidth="1"/>
    <col min="8" max="8" width="12.5703125" style="4" customWidth="1"/>
    <col min="9" max="9" width="12.85546875" style="4" customWidth="1"/>
    <col min="10" max="12" width="13.140625" style="4" customWidth="1"/>
    <col min="13" max="13" width="13.28515625" style="4" customWidth="1"/>
    <col min="14" max="15" width="12.5703125" style="4" customWidth="1"/>
    <col min="16" max="16" width="12.140625" style="4" customWidth="1"/>
    <col min="17" max="17" width="13.85546875" style="4" customWidth="1"/>
    <col min="18" max="19" width="13.5703125" style="4" customWidth="1"/>
    <col min="20" max="20" width="13.140625" style="4" customWidth="1"/>
    <col min="21" max="21" width="13.28515625" style="4" customWidth="1"/>
    <col min="22" max="24" width="13.140625" style="4" customWidth="1"/>
    <col min="25" max="25" width="13.28515625" style="4" customWidth="1"/>
    <col min="26" max="26" width="14.28515625" style="4" customWidth="1"/>
    <col min="27" max="27" width="13.7109375" style="4" customWidth="1"/>
    <col min="28" max="28" width="13.42578125" style="4" customWidth="1"/>
    <col min="29" max="33" width="12.5703125" style="4" customWidth="1"/>
    <col min="34" max="34" width="13.140625" style="4" customWidth="1"/>
    <col min="35" max="35" width="14.85546875" style="4" customWidth="1"/>
    <col min="36" max="36" width="13.140625" style="4" customWidth="1"/>
    <col min="37" max="37" width="15.28515625" style="4" customWidth="1"/>
    <col min="38" max="38" width="13.7109375" style="4" customWidth="1"/>
    <col min="39" max="39" width="13" style="4" customWidth="1"/>
    <col min="40" max="40" width="12.7109375" style="4" customWidth="1"/>
    <col min="41" max="41" width="13.28515625" style="4" customWidth="1"/>
    <col min="42" max="44" width="11.140625" style="4" customWidth="1"/>
    <col min="45" max="47" width="12.140625" style="4" customWidth="1"/>
    <col min="48" max="48" width="11.42578125" style="4" bestFit="1" customWidth="1"/>
    <col min="49" max="49" width="15.85546875" style="4" customWidth="1"/>
    <col min="50" max="52" width="13.28515625" style="4" customWidth="1"/>
    <col min="53" max="53" width="13" style="4" customWidth="1"/>
    <col min="54" max="54" width="16.42578125" style="505" customWidth="1"/>
    <col min="55" max="56" width="13.7109375" style="4" customWidth="1"/>
    <col min="57" max="58" width="12.7109375" style="4" customWidth="1"/>
    <col min="59" max="59" width="14" style="4" customWidth="1"/>
    <col min="60" max="60" width="12.85546875" style="4" customWidth="1"/>
    <col min="61" max="61" width="13.85546875" style="4" customWidth="1"/>
    <col min="62" max="62" width="12.85546875" style="4" customWidth="1"/>
    <col min="63" max="63" width="13" style="4" customWidth="1"/>
    <col min="64" max="64" width="9.85546875" style="4" customWidth="1"/>
    <col min="65" max="67" width="13.28515625" style="4" customWidth="1"/>
    <col min="68" max="68" width="12.28515625" style="4" customWidth="1"/>
    <col min="69" max="69" width="12.42578125" style="4" customWidth="1"/>
    <col min="70" max="70" width="17" style="4" customWidth="1"/>
    <col min="71" max="71" width="17.5703125" style="4" customWidth="1"/>
    <col min="72" max="72" width="12.7109375" style="4" customWidth="1"/>
    <col min="73" max="16384" width="11.42578125" style="4"/>
  </cols>
  <sheetData>
    <row r="1" spans="1:246" s="504" customFormat="1" ht="31.5" customHeight="1" thickTop="1">
      <c r="A1" s="116">
        <f>ZoneNr</f>
        <v>0</v>
      </c>
      <c r="B1" s="2990" t="s">
        <v>1560</v>
      </c>
      <c r="C1" s="2991"/>
      <c r="D1" s="495"/>
      <c r="E1" s="495"/>
      <c r="F1" s="496" t="str">
        <f>FormAide!C5</f>
        <v>111-01/00</v>
      </c>
      <c r="G1" s="496" t="s">
        <v>3071</v>
      </c>
      <c r="H1" s="496" t="str">
        <f>FormAide!C8</f>
        <v>111-01/01</v>
      </c>
      <c r="I1" s="496" t="str">
        <f>FormAide!C9</f>
        <v>111-01/02</v>
      </c>
      <c r="J1" s="496" t="str">
        <f>FormAide!C10</f>
        <v>111-01/04</v>
      </c>
      <c r="K1" s="496" t="str">
        <f>FormAide!B13</f>
        <v>111-01/12_V</v>
      </c>
      <c r="L1" s="2624" t="str">
        <f>FormAide!B39</f>
        <v>111-01/14</v>
      </c>
      <c r="M1" s="496" t="str">
        <f>FormAide!C26</f>
        <v>111-01/05</v>
      </c>
      <c r="N1" s="496" t="str">
        <f>FormAide!C27</f>
        <v>111-01/06</v>
      </c>
      <c r="O1" s="496" t="str">
        <f>FormAide!C28</f>
        <v>111-01/07</v>
      </c>
      <c r="P1" s="496" t="str">
        <f>FormAide!C29</f>
        <v>111-01/08</v>
      </c>
      <c r="Q1" s="496" t="str">
        <f>FormAide!C30</f>
        <v>111-01/09</v>
      </c>
      <c r="R1" s="496" t="str">
        <f>FormAide!C31</f>
        <v>111-01/40</v>
      </c>
      <c r="S1" s="496" t="str">
        <f>FormAide!C32</f>
        <v>111-01/41</v>
      </c>
      <c r="T1" s="496" t="str">
        <f>FormAide!C33</f>
        <v>111-01/50</v>
      </c>
      <c r="U1" s="496" t="str">
        <f>FormAide!C34</f>
        <v>111-01/51</v>
      </c>
      <c r="V1" s="2621" t="str">
        <f>FormAide!B35</f>
        <v>111-01/78-79-80-81</v>
      </c>
      <c r="W1" s="2621" t="str">
        <f>FormAide!B36</f>
        <v>111-01/82</v>
      </c>
      <c r="X1" s="2613" t="str">
        <f>FormAide!B37</f>
        <v>111-01/83</v>
      </c>
      <c r="Y1" s="497" t="str">
        <f>Ops!DZ12</f>
        <v>111-01/99</v>
      </c>
      <c r="Z1" s="496" t="str">
        <f>FormAide!C16</f>
        <v>111-08/00</v>
      </c>
      <c r="AA1" s="496" t="str">
        <f>FormAide!C17</f>
        <v>111-08/01</v>
      </c>
      <c r="AB1" s="496" t="str">
        <f>FormAide!C18</f>
        <v>111-08/20</v>
      </c>
      <c r="AC1" s="496" t="str">
        <f>FormAide!C19</f>
        <v>111-08/21</v>
      </c>
      <c r="AD1" s="496" t="str">
        <f>FormAide!C20</f>
        <v>111-08/03</v>
      </c>
      <c r="AE1" s="496" t="str">
        <f>FormAide!C21</f>
        <v>111-08/04</v>
      </c>
      <c r="AF1" s="496" t="str">
        <f>FormAide!C22</f>
        <v>111-08/05</v>
      </c>
      <c r="AG1" s="496" t="str">
        <f>FormAide!C23</f>
        <v>111-08/06</v>
      </c>
      <c r="AH1" s="496" t="str">
        <f>FormAide!C24</f>
        <v>111-08/07</v>
      </c>
      <c r="AI1" s="2621" t="str">
        <f>FormAide!B40</f>
        <v>111-08/90</v>
      </c>
      <c r="AJ1" s="496" t="s">
        <v>3902</v>
      </c>
      <c r="AK1" s="497" t="str">
        <f>FormAide!C48</f>
        <v>115-01/10</v>
      </c>
      <c r="AL1" s="497" t="str">
        <f>FormAide!C49</f>
        <v>115-01/11</v>
      </c>
      <c r="AM1" s="496" t="str">
        <f>FormAide!C50</f>
        <v>121-01</v>
      </c>
      <c r="AN1" s="496" t="str">
        <f>FormAide!C43</f>
        <v>121-03</v>
      </c>
      <c r="AO1" s="496" t="str">
        <f>FormAide!C44</f>
        <v>121-48/01</v>
      </c>
      <c r="AP1" s="496" t="str">
        <f>FormAide!C45</f>
        <v>121-48/02</v>
      </c>
      <c r="AQ1" s="496" t="str">
        <f>FormAide!C51</f>
        <v>121-48/03</v>
      </c>
      <c r="AR1" s="496" t="str">
        <f>FormAide!C46</f>
        <v>121-48/04</v>
      </c>
      <c r="AS1" s="496" t="str">
        <f>FormAide!C52</f>
        <v>121-48/20</v>
      </c>
      <c r="AT1" s="496" t="str">
        <f>FormAide!C53</f>
        <v>121-48/21</v>
      </c>
      <c r="AU1" s="496" t="s">
        <v>204</v>
      </c>
      <c r="AV1" s="497" t="str">
        <f>FormAide!C55</f>
        <v>121-48/99</v>
      </c>
      <c r="AW1" s="1757" t="str">
        <f>FormAide!C56</f>
        <v>113-01</v>
      </c>
      <c r="AX1" s="1774" t="str">
        <f>FormAide!C57</f>
        <v>113-21</v>
      </c>
      <c r="AY1" s="1779" t="str">
        <f>FormAide!C58</f>
        <v>113-08</v>
      </c>
      <c r="AZ1" s="1758" t="str">
        <f>FormAide!C59</f>
        <v>117-01</v>
      </c>
      <c r="BA1" s="1775" t="str">
        <f>FormAide!C60</f>
        <v>118-01</v>
      </c>
      <c r="BB1" s="1780" t="s">
        <v>39</v>
      </c>
      <c r="BC1" s="498" t="str">
        <f t="shared" ref="BC1:BH1" si="0">"Exercice    "
&amp; ANNEE-1</f>
        <v>Exercice    2026</v>
      </c>
      <c r="BD1" s="497" t="str">
        <f t="shared" si="0"/>
        <v>Exercice    2026</v>
      </c>
      <c r="BE1" s="497" t="str">
        <f t="shared" si="0"/>
        <v>Exercice    2026</v>
      </c>
      <c r="BF1" s="497" t="str">
        <f t="shared" si="0"/>
        <v>Exercice    2026</v>
      </c>
      <c r="BG1" s="497" t="str">
        <f t="shared" si="0"/>
        <v>Exercice    2026</v>
      </c>
      <c r="BH1" s="497" t="str">
        <f t="shared" si="0"/>
        <v>Exercice    2026</v>
      </c>
      <c r="BI1" s="1757" t="str">
        <f t="shared" ref="BI1:BR1" si="1">"Exercice    "&amp; ANNEE-1</f>
        <v>Exercice    2026</v>
      </c>
      <c r="BJ1" s="1774" t="str">
        <f t="shared" si="1"/>
        <v>Exercice    2026</v>
      </c>
      <c r="BK1" s="1779" t="str">
        <f t="shared" si="1"/>
        <v>Exercice    2026</v>
      </c>
      <c r="BL1" s="498" t="str">
        <f t="shared" si="1"/>
        <v>Exercice    2026</v>
      </c>
      <c r="BM1" s="2826" t="str">
        <f t="shared" si="1"/>
        <v>Exercice    2026</v>
      </c>
      <c r="BN1" s="496" t="str">
        <f t="shared" si="1"/>
        <v>Exercice    2026</v>
      </c>
      <c r="BO1" s="498" t="str">
        <f t="shared" si="1"/>
        <v>Exercice    2026</v>
      </c>
      <c r="BP1" s="496" t="str">
        <f t="shared" si="1"/>
        <v>Exercice    2026</v>
      </c>
      <c r="BQ1" s="497" t="str">
        <f t="shared" si="1"/>
        <v>Exercice    2026</v>
      </c>
      <c r="BR1" s="1780" t="str">
        <f t="shared" si="1"/>
        <v>Exercice    2026</v>
      </c>
      <c r="BS1" s="116" t="s">
        <v>2811</v>
      </c>
      <c r="BT1" s="496" t="str">
        <f>Total_Code!BV1</f>
        <v>check
indiv
TOT</v>
      </c>
    </row>
    <row r="2" spans="1:246">
      <c r="A2" s="501"/>
      <c r="B2" s="501">
        <v>5</v>
      </c>
      <c r="C2" s="501"/>
      <c r="D2" s="501">
        <v>6</v>
      </c>
      <c r="E2" s="501"/>
      <c r="F2" s="502">
        <f t="shared" ref="F2:Y2" si="2">VLOOKUP(F1,T_Econ,6,0)</f>
        <v>47</v>
      </c>
      <c r="G2" s="502">
        <f t="shared" si="2"/>
        <v>50</v>
      </c>
      <c r="H2" s="502">
        <f t="shared" si="2"/>
        <v>64</v>
      </c>
      <c r="I2" s="502">
        <f t="shared" si="2"/>
        <v>52</v>
      </c>
      <c r="J2" s="502">
        <f t="shared" si="2"/>
        <v>56</v>
      </c>
      <c r="K2" s="502">
        <f t="shared" si="2"/>
        <v>60</v>
      </c>
      <c r="L2" s="2625">
        <f>VLOOKUP(L1,T_Econ,6,0)</f>
        <v>0</v>
      </c>
      <c r="M2" s="502">
        <f t="shared" si="2"/>
        <v>96</v>
      </c>
      <c r="N2" s="502">
        <f t="shared" si="2"/>
        <v>99</v>
      </c>
      <c r="O2" s="502">
        <f t="shared" si="2"/>
        <v>102</v>
      </c>
      <c r="P2" s="502">
        <f t="shared" si="2"/>
        <v>105</v>
      </c>
      <c r="Q2" s="502">
        <f t="shared" si="2"/>
        <v>108</v>
      </c>
      <c r="R2" s="502">
        <f t="shared" si="2"/>
        <v>111</v>
      </c>
      <c r="S2" s="502">
        <f t="shared" si="2"/>
        <v>114</v>
      </c>
      <c r="T2" s="502">
        <f t="shared" si="2"/>
        <v>118</v>
      </c>
      <c r="U2" s="502">
        <f t="shared" si="2"/>
        <v>121</v>
      </c>
      <c r="V2" s="2628" t="str">
        <f>VLOOKUP(V1,T_EconC,6,0)</f>
        <v>-</v>
      </c>
      <c r="W2" s="2628" t="str">
        <f>VLOOKUP(W1,T_EconC,6,0)</f>
        <v>-</v>
      </c>
      <c r="X2" s="2614">
        <f>VLOOKUP(X1,T_Econ,6,0)</f>
        <v>124</v>
      </c>
      <c r="Y2" s="502">
        <f t="shared" si="2"/>
        <v>127</v>
      </c>
      <c r="Z2" s="502">
        <f t="shared" ref="Z2:AH2" si="3">VLOOKUP(Z1,T_Econ,6,0)</f>
        <v>69</v>
      </c>
      <c r="AA2" s="502">
        <f t="shared" si="3"/>
        <v>72</v>
      </c>
      <c r="AB2" s="502">
        <f t="shared" si="3"/>
        <v>75</v>
      </c>
      <c r="AC2" s="502">
        <f t="shared" si="3"/>
        <v>78</v>
      </c>
      <c r="AD2" s="502">
        <f t="shared" si="3"/>
        <v>81</v>
      </c>
      <c r="AE2" s="502">
        <f t="shared" si="3"/>
        <v>84</v>
      </c>
      <c r="AF2" s="502">
        <f t="shared" si="3"/>
        <v>87</v>
      </c>
      <c r="AG2" s="502">
        <f t="shared" si="3"/>
        <v>90</v>
      </c>
      <c r="AH2" s="502">
        <f t="shared" si="3"/>
        <v>93</v>
      </c>
      <c r="AI2" s="2628" t="s">
        <v>3328</v>
      </c>
      <c r="AJ2" s="502">
        <f t="shared" ref="AJ2:BA2" si="4">VLOOKUP(AJ1,T_Econ,6,0)</f>
        <v>58</v>
      </c>
      <c r="AK2" s="502">
        <f t="shared" si="4"/>
        <v>144</v>
      </c>
      <c r="AL2" s="502">
        <f t="shared" si="4"/>
        <v>147</v>
      </c>
      <c r="AM2" s="502">
        <f t="shared" si="4"/>
        <v>150</v>
      </c>
      <c r="AN2" s="502">
        <f t="shared" si="4"/>
        <v>130</v>
      </c>
      <c r="AO2" s="502">
        <f t="shared" si="4"/>
        <v>133</v>
      </c>
      <c r="AP2" s="502">
        <f t="shared" si="4"/>
        <v>135</v>
      </c>
      <c r="AQ2" s="502">
        <f t="shared" si="4"/>
        <v>138</v>
      </c>
      <c r="AR2" s="502">
        <f t="shared" si="4"/>
        <v>141</v>
      </c>
      <c r="AS2" s="502">
        <f t="shared" si="4"/>
        <v>153</v>
      </c>
      <c r="AT2" s="502">
        <f t="shared" si="4"/>
        <v>156</v>
      </c>
      <c r="AU2" s="502">
        <f t="shared" si="4"/>
        <v>159</v>
      </c>
      <c r="AV2" s="502">
        <f t="shared" si="4"/>
        <v>162</v>
      </c>
      <c r="AW2" s="1587">
        <f t="shared" si="4"/>
        <v>164</v>
      </c>
      <c r="AX2" s="502">
        <f t="shared" si="4"/>
        <v>166</v>
      </c>
      <c r="AY2" s="1760">
        <f t="shared" si="4"/>
        <v>168</v>
      </c>
      <c r="AZ2" s="502">
        <f t="shared" si="4"/>
        <v>170</v>
      </c>
      <c r="BA2" s="502">
        <f t="shared" si="4"/>
        <v>172</v>
      </c>
      <c r="BB2" s="1781"/>
      <c r="BC2" s="516"/>
      <c r="BD2" s="513"/>
      <c r="BE2" s="513"/>
      <c r="BF2" s="513"/>
      <c r="BG2" s="513"/>
      <c r="BH2" s="513"/>
      <c r="BI2" s="1595"/>
      <c r="BJ2" s="510"/>
      <c r="BK2" s="507"/>
      <c r="BL2" s="516"/>
      <c r="BM2" s="510"/>
      <c r="BN2" s="510"/>
      <c r="BO2" s="516"/>
      <c r="BP2" s="510"/>
      <c r="BQ2" s="513"/>
      <c r="BR2" s="1781"/>
      <c r="BS2" s="4">
        <f>SUM(F2:BA2)</f>
        <v>4929</v>
      </c>
      <c r="BT2" s="502">
        <f>VLOOKUP(BT1,T_Econ,6,0)</f>
        <v>174</v>
      </c>
    </row>
    <row r="3" spans="1:246">
      <c r="A3" s="501"/>
      <c r="B3" s="501">
        <v>5</v>
      </c>
      <c r="C3" s="501"/>
      <c r="D3" s="501">
        <v>6</v>
      </c>
      <c r="E3" s="501"/>
      <c r="F3" s="502">
        <f t="shared" ref="F3:Y3" si="5">VLOOKUP(F1,T_Econ,10,0)</f>
        <v>47</v>
      </c>
      <c r="G3" s="502">
        <f t="shared" si="5"/>
        <v>50</v>
      </c>
      <c r="H3" s="502" t="str">
        <f t="shared" si="5"/>
        <v>-</v>
      </c>
      <c r="I3" s="502">
        <f t="shared" si="5"/>
        <v>52</v>
      </c>
      <c r="J3" s="502">
        <f t="shared" si="5"/>
        <v>56</v>
      </c>
      <c r="K3" s="502">
        <f t="shared" si="5"/>
        <v>60</v>
      </c>
      <c r="L3" s="2625">
        <f>VLOOKUP(L1,T_EconC,11,0)</f>
        <v>108</v>
      </c>
      <c r="M3" s="502" t="str">
        <f t="shared" si="5"/>
        <v>-</v>
      </c>
      <c r="N3" s="502" t="str">
        <f t="shared" si="5"/>
        <v>-</v>
      </c>
      <c r="O3" s="502">
        <f t="shared" si="5"/>
        <v>87</v>
      </c>
      <c r="P3" s="502" t="str">
        <f t="shared" si="5"/>
        <v>-</v>
      </c>
      <c r="Q3" s="502" t="str">
        <f t="shared" si="5"/>
        <v>-</v>
      </c>
      <c r="R3" s="502">
        <f t="shared" si="5"/>
        <v>90</v>
      </c>
      <c r="S3" s="502" t="str">
        <f t="shared" si="5"/>
        <v>-</v>
      </c>
      <c r="T3" s="502">
        <f t="shared" si="5"/>
        <v>93</v>
      </c>
      <c r="U3" s="502">
        <f t="shared" si="5"/>
        <v>96</v>
      </c>
      <c r="V3" s="2622">
        <f>VLOOKUP(V1,T_EconC,11,0)</f>
        <v>99</v>
      </c>
      <c r="W3" s="2622">
        <f>VLOOKUP(W1,T_EconC,11,0)</f>
        <v>102</v>
      </c>
      <c r="X3" s="2614">
        <f>VLOOKUP(X1,T_Econ,10,0)</f>
        <v>105</v>
      </c>
      <c r="Y3" s="502">
        <f t="shared" si="5"/>
        <v>114</v>
      </c>
      <c r="Z3" s="502">
        <f t="shared" ref="Z3:AH3" si="6">VLOOKUP(Z1,T_Econ,10,0)</f>
        <v>69</v>
      </c>
      <c r="AA3" s="502">
        <f t="shared" si="6"/>
        <v>72</v>
      </c>
      <c r="AB3" s="502">
        <f t="shared" si="6"/>
        <v>75</v>
      </c>
      <c r="AC3" s="502">
        <f t="shared" si="6"/>
        <v>78</v>
      </c>
      <c r="AD3" s="502">
        <f t="shared" si="6"/>
        <v>81</v>
      </c>
      <c r="AE3" s="502" t="str">
        <f t="shared" si="6"/>
        <v>-</v>
      </c>
      <c r="AF3" s="502" t="str">
        <f t="shared" si="6"/>
        <v>-</v>
      </c>
      <c r="AG3" s="502" t="str">
        <f t="shared" si="6"/>
        <v>-</v>
      </c>
      <c r="AH3" s="502">
        <f t="shared" si="6"/>
        <v>84</v>
      </c>
      <c r="AI3" s="2622">
        <f>VLOOKUP(AI1,T_EconC,11,0)</f>
        <v>111</v>
      </c>
      <c r="AJ3" s="502">
        <f t="shared" ref="AJ3:BA3" si="7">VLOOKUP(AJ1,T_Econ,10,0)</f>
        <v>58</v>
      </c>
      <c r="AK3" s="502">
        <f t="shared" si="7"/>
        <v>117</v>
      </c>
      <c r="AL3" s="502">
        <f t="shared" si="7"/>
        <v>120</v>
      </c>
      <c r="AM3" s="502">
        <f t="shared" si="7"/>
        <v>123</v>
      </c>
      <c r="AN3" s="502" t="str">
        <f t="shared" si="7"/>
        <v>-</v>
      </c>
      <c r="AO3" s="502">
        <f t="shared" si="7"/>
        <v>126</v>
      </c>
      <c r="AP3" s="502" t="str">
        <f t="shared" si="7"/>
        <v>-</v>
      </c>
      <c r="AQ3" s="502" t="str">
        <f t="shared" si="7"/>
        <v>-</v>
      </c>
      <c r="AR3" s="502" t="str">
        <f t="shared" si="7"/>
        <v>-</v>
      </c>
      <c r="AS3" s="502">
        <f t="shared" si="7"/>
        <v>129</v>
      </c>
      <c r="AT3" s="502">
        <f t="shared" si="7"/>
        <v>132</v>
      </c>
      <c r="AU3" s="502">
        <f t="shared" si="7"/>
        <v>135</v>
      </c>
      <c r="AV3" s="502">
        <f t="shared" si="7"/>
        <v>138</v>
      </c>
      <c r="AW3" s="1587">
        <f t="shared" si="7"/>
        <v>140</v>
      </c>
      <c r="AX3" s="502">
        <f t="shared" si="7"/>
        <v>142</v>
      </c>
      <c r="AY3" s="1760">
        <f t="shared" si="7"/>
        <v>144</v>
      </c>
      <c r="AZ3" s="502">
        <f t="shared" si="7"/>
        <v>146</v>
      </c>
      <c r="BA3" s="502">
        <f t="shared" si="7"/>
        <v>148</v>
      </c>
      <c r="BB3" s="1781"/>
      <c r="BC3" s="516"/>
      <c r="BD3" s="513"/>
      <c r="BE3" s="513"/>
      <c r="BF3" s="513"/>
      <c r="BG3" s="513"/>
      <c r="BH3" s="513"/>
      <c r="BI3" s="1595"/>
      <c r="BJ3" s="510"/>
      <c r="BK3" s="507"/>
      <c r="BL3" s="516"/>
      <c r="BM3" s="510"/>
      <c r="BN3" s="510"/>
      <c r="BO3" s="516"/>
      <c r="BP3" s="510"/>
      <c r="BQ3" s="513"/>
      <c r="BR3" s="1781"/>
      <c r="BS3" s="4">
        <f>SUM(F3:BA3)</f>
        <v>3527</v>
      </c>
      <c r="BT3" s="502">
        <f>VLOOKUP(BT1,T_Econ,10,0)</f>
        <v>150</v>
      </c>
    </row>
    <row r="4" spans="1:246" s="504" customFormat="1" ht="91.5" customHeight="1" thickBot="1">
      <c r="A4" s="2992" t="e">
        <f>VLOOKUP('Page d''accueil'!C7,TblZone,4,0)</f>
        <v>#N/A</v>
      </c>
      <c r="B4" s="2993"/>
      <c r="C4" s="2994"/>
      <c r="D4" s="761"/>
      <c r="E4" s="761"/>
      <c r="F4" s="770" t="str">
        <f t="shared" ref="F4:AH4" si="8">VLOOKUP(F1,T_Econ,2,0)</f>
        <v>Traitement</v>
      </c>
      <c r="G4" s="1165" t="str">
        <f>VLOOKUP(G1,T_Econ,2,0)</f>
        <v>Trt Sauvegarde (+) &amp; Maladie &amp; Dispo (-)</v>
      </c>
      <c r="H4" s="1165" t="str">
        <f t="shared" si="8"/>
        <v xml:space="preserve">Allocation de Mandat _Chef de corps </v>
      </c>
      <c r="I4" s="770" t="str">
        <f t="shared" si="8"/>
        <v>Allocation de Foyer ou de résidence</v>
      </c>
      <c r="J4" s="770" t="str">
        <f t="shared" si="8"/>
        <v>Supplément semaine volontaire de 4 jours</v>
      </c>
      <c r="K4" s="770" t="str">
        <f>VLOOKUP(K1,T_Econ,2,0)</f>
        <v>Allocation de fin d'année (AFA) -&gt; partie variable</v>
      </c>
      <c r="L4" s="2626" t="str">
        <f>VLOOKUP(L1,T_Econ,2,0)</f>
        <v>Prime d'intégration     Niveau D</v>
      </c>
      <c r="M4" s="770" t="str">
        <f t="shared" si="8"/>
        <v>Allocation de proximité</v>
      </c>
      <c r="N4" s="770" t="str">
        <f t="shared" si="8"/>
        <v>Allocation de motard</v>
      </c>
      <c r="O4" s="770" t="str">
        <f t="shared" si="8"/>
        <v>Allocation analyste criminel/stratégique</v>
      </c>
      <c r="P4" s="770" t="str">
        <f t="shared" si="8"/>
        <v>Instructeur</v>
      </c>
      <c r="Q4" s="1165" t="str">
        <f t="shared" si="8"/>
        <v>Allocation Complémentaire et/ou Compensatoire</v>
      </c>
      <c r="R4" s="770" t="str">
        <f t="shared" si="8"/>
        <v>Allocation Bruxelles</v>
      </c>
      <c r="S4" s="770" t="str">
        <f t="shared" si="8"/>
        <v>Prime d'engagement - Bruxelles</v>
      </c>
      <c r="T4" s="770" t="str">
        <f t="shared" si="8"/>
        <v>Allocation de bilinguisme</v>
      </c>
      <c r="U4" s="770" t="str">
        <f t="shared" si="8"/>
        <v>Allocation connnaissance autre langues</v>
      </c>
      <c r="V4" s="2623" t="str">
        <f t="shared" si="8"/>
        <v>Allocation de tenue pour Militaires 
&amp; allocation de Maîtrise /Formation /Sélection</v>
      </c>
      <c r="W4" s="2623" t="str">
        <f>VLOOKUP(W1,T_Econ,2,0)</f>
        <v>Prime de Dirigeant</v>
      </c>
      <c r="X4" s="2615" t="str">
        <f>VLOOKUP(X1,T_Econ,2,0)</f>
        <v>Allocation Fonction Directeur (Classe A4-A5 &amp; CPDiv O7-O8)</v>
      </c>
      <c r="Y4" s="951" t="str">
        <f>VLOOKUP(Y1,T_Econ,2,0)</f>
        <v>Allocation "Fixe"  Montant indexé du moteur salariale</v>
      </c>
      <c r="Z4" s="770" t="str">
        <f t="shared" si="8"/>
        <v>Heures supplémentaires</v>
      </c>
      <c r="AA4" s="770" t="str">
        <f t="shared" si="8"/>
        <v>Heures de weekend</v>
      </c>
      <c r="AB4" s="770" t="str">
        <f t="shared" si="8"/>
        <v>Heures de nuit 19:00-22:00</v>
      </c>
      <c r="AC4" s="770" t="str">
        <f t="shared" si="8"/>
        <v>Heures de Nuit  22:00-06:00</v>
      </c>
      <c r="AD4" s="770" t="str">
        <f t="shared" si="8"/>
        <v>Contactable  &amp; Contactable et Rappelable</v>
      </c>
      <c r="AE4" s="770" t="str">
        <f t="shared" si="8"/>
        <v>Service Ininterrompu 24-Heures</v>
      </c>
      <c r="AF4" s="770" t="str">
        <f t="shared" si="8"/>
        <v>Allocation d'immigration (demi jour et journée complète)</v>
      </c>
      <c r="AG4" s="770" t="str">
        <f t="shared" si="8"/>
        <v>Allocation observateur aérien</v>
      </c>
      <c r="AH4" s="770" t="str">
        <f t="shared" si="8"/>
        <v>Allocation mentor - mission enseignement</v>
      </c>
      <c r="AI4" s="2623" t="str">
        <f>VLOOKUP(AI1,T_EconC,3,0)</f>
        <v>Allocation Développement de compétences</v>
      </c>
      <c r="AJ4" s="770" t="str">
        <f t="shared" ref="AJ4:AV4" si="9">VLOOKUP(AJ1,T_Econ,2,0)</f>
        <v>Allocation de vacances + prime copernic</v>
      </c>
      <c r="AK4" s="772" t="str">
        <f t="shared" si="9"/>
        <v>Indemnités de déplacement  lieu de travail/maison/ KM</v>
      </c>
      <c r="AL4" s="772" t="str">
        <f t="shared" si="9"/>
        <v>Indemnités de déplacement  lieu de travail/maison/ Abt Soc</v>
      </c>
      <c r="AM4" s="770" t="str">
        <f t="shared" si="9"/>
        <v>Indemnités de déplacement  (Frais de voyage) L021 - L096</v>
      </c>
      <c r="AN4" s="770" t="str">
        <f t="shared" si="9"/>
        <v>Indemnité entretien uniforme</v>
      </c>
      <c r="AO4" s="770" t="str">
        <f t="shared" si="9"/>
        <v>Indemnité de téléphone</v>
      </c>
      <c r="AP4" s="770" t="str">
        <f t="shared" si="9"/>
        <v>Indemnité enquête judiciaire - Mensuel</v>
      </c>
      <c r="AQ4" s="770" t="str">
        <f t="shared" si="9"/>
        <v>Indemnité enquête judiciaire - Journalier</v>
      </c>
      <c r="AR4" s="770" t="str">
        <f t="shared" si="9"/>
        <v>Indemnité pour chien policier</v>
      </c>
      <c r="AS4" s="770" t="str">
        <f t="shared" si="9"/>
        <v>Indemnités de repas: Modèle 9BIS</v>
      </c>
      <c r="AT4" s="770" t="str">
        <f t="shared" si="9"/>
        <v>Indemnités de repas &amp; frais de séjour : L021 - L096</v>
      </c>
      <c r="AU4" s="770" t="str">
        <f t="shared" si="9"/>
        <v>Indemnités de repas: L096</v>
      </c>
      <c r="AV4" s="1586" t="str">
        <f t="shared" si="9"/>
        <v>Autres Indemnités</v>
      </c>
      <c r="AW4" s="1588" t="str">
        <f>IF(AW1="=&gt;","",VLOOKUP(AW1,T_Econ,2,0))</f>
        <v>Cotisations  Patronales Ordinaires sur Allocations Fixes, Traitement, Mandat, Supplém Sem volontaire4jrs &amp; partie fixe AFA"</v>
      </c>
      <c r="AX4" s="1165" t="str">
        <f>VLOOKUP(AX1,T_Econ,2,0)</f>
        <v>Côtisations patronales pensions sur Traitement, Mandat et allocations fixes</v>
      </c>
      <c r="AY4" s="2571" t="str">
        <f>VLOOKUP(AY1,T_Econ,2,0)</f>
        <v>Cotisations patronales ordinaires sur les Allocations Variables</v>
      </c>
      <c r="AZ4" s="2515" t="str">
        <f>VLOOKUP(AZ1,T_Econ,2,0)</f>
        <v>Primes accidents du travail ( 3 catégories possibles &lt;&gt;%)</v>
      </c>
      <c r="BA4" s="772" t="str">
        <f>VLOOKUP(BA1,T_Econ,2,0)</f>
        <v>Cotisations service social :  0,15%</v>
      </c>
      <c r="BB4" s="1782" t="s">
        <v>39</v>
      </c>
      <c r="BC4" s="493" t="s">
        <v>1997</v>
      </c>
      <c r="BD4" s="499" t="str">
        <f>FormAide!C9</f>
        <v>111-01/02</v>
      </c>
      <c r="BE4" s="499" t="s">
        <v>1985</v>
      </c>
      <c r="BF4" s="493" t="s">
        <v>1998</v>
      </c>
      <c r="BG4" s="500" t="str">
        <f>LEFT(FormAide!C16,6)</f>
        <v>111-08</v>
      </c>
      <c r="BH4" s="500" t="s">
        <v>3902</v>
      </c>
      <c r="BI4" s="1596" t="str">
        <f>FormAide!C56</f>
        <v>113-01</v>
      </c>
      <c r="BJ4" s="499" t="str">
        <f>FormAide!C57</f>
        <v>113-21</v>
      </c>
      <c r="BK4" s="508" t="str">
        <f>FormAide!C58</f>
        <v>113-08</v>
      </c>
      <c r="BL4" s="493" t="str">
        <f>LEFT(FormAide!C48,6)</f>
        <v>115-01</v>
      </c>
      <c r="BM4" s="499" t="str">
        <f>FormAide!C59</f>
        <v>117-01</v>
      </c>
      <c r="BN4" s="499" t="str">
        <f>FormAide!C60</f>
        <v>118-01</v>
      </c>
      <c r="BO4" s="493" t="str">
        <f>FormAide!C50</f>
        <v>121-01</v>
      </c>
      <c r="BP4" s="499" t="str">
        <f>FormAide!C43</f>
        <v>121-03</v>
      </c>
      <c r="BQ4" s="500" t="str">
        <f>LEFT(FormAide!C44,6)</f>
        <v>121-48</v>
      </c>
      <c r="BR4" s="1782" t="s">
        <v>39</v>
      </c>
      <c r="BT4" s="773" t="str">
        <f>VLOOKUP(BT1,T_Econ,2,0)</f>
        <v>Total final individuel</v>
      </c>
    </row>
    <row r="5" spans="1:246" s="788" customFormat="1" ht="35.25" thickTop="1" thickBot="1">
      <c r="A5" s="1128" t="s">
        <v>3563</v>
      </c>
      <c r="B5" s="116"/>
      <c r="C5" s="1127" t="s">
        <v>3931</v>
      </c>
      <c r="D5" s="69" t="s">
        <v>3932</v>
      </c>
      <c r="E5" s="1126" t="s">
        <v>3934</v>
      </c>
      <c r="F5" s="1793"/>
      <c r="G5" s="1793"/>
      <c r="H5" s="2634" t="e">
        <f>SUM(H6:H7)</f>
        <v>#N/A</v>
      </c>
      <c r="I5" s="1793"/>
      <c r="J5" s="1793"/>
      <c r="K5" s="1793"/>
      <c r="L5" s="1793"/>
      <c r="M5" s="1793"/>
      <c r="N5" s="1793"/>
      <c r="O5" s="1793"/>
      <c r="P5" s="1793"/>
      <c r="Q5" s="1793"/>
      <c r="R5" s="1793"/>
      <c r="S5" s="1793"/>
      <c r="T5" s="1793"/>
      <c r="U5" s="1793"/>
      <c r="V5" s="1793"/>
      <c r="W5" s="1793"/>
      <c r="X5" s="1793"/>
      <c r="Y5" s="1793"/>
      <c r="Z5" s="1793"/>
      <c r="AA5" s="1793"/>
      <c r="AB5" s="1793"/>
      <c r="AC5" s="1793"/>
      <c r="AD5" s="1793"/>
      <c r="AE5" s="1793"/>
      <c r="AF5" s="1793"/>
      <c r="AG5" s="1793"/>
      <c r="AH5" s="1793"/>
      <c r="AI5" s="1793"/>
      <c r="AJ5" s="1793"/>
      <c r="AK5" s="1793"/>
      <c r="AL5" s="1793"/>
      <c r="AM5" s="2634">
        <f>SUM(AM6:AM7)</f>
        <v>0</v>
      </c>
      <c r="AN5" s="1793"/>
      <c r="AO5" s="1793"/>
      <c r="AP5" s="1793"/>
      <c r="AQ5" s="1793"/>
      <c r="AR5" s="1793"/>
      <c r="AS5" s="1793"/>
      <c r="AT5" s="1793"/>
      <c r="AU5" s="1793"/>
      <c r="AV5" s="1793"/>
      <c r="AW5" s="2635" t="e">
        <f>SUM(AW6:AW7)</f>
        <v>#N/A</v>
      </c>
      <c r="AX5" s="1793"/>
      <c r="AY5" s="2572"/>
      <c r="AZ5" s="1793"/>
      <c r="BA5" s="2782" t="e">
        <f>BA6+BA7</f>
        <v>#N/A</v>
      </c>
      <c r="BB5" s="2656" t="e">
        <f>SUM(BB6:BB7)</f>
        <v>#N/A</v>
      </c>
      <c r="BC5" s="2784" t="e">
        <f>BC6+BC7</f>
        <v>#N/A</v>
      </c>
      <c r="BD5" s="1794"/>
      <c r="BE5" s="1794"/>
      <c r="BF5" s="1795"/>
      <c r="BG5" s="1795"/>
      <c r="BH5" s="1796"/>
      <c r="BI5" s="2665" t="e">
        <f>SUM(BI6:BI7)</f>
        <v>#N/A</v>
      </c>
      <c r="BJ5" s="2666"/>
      <c r="BK5" s="2667"/>
      <c r="BL5" s="1797"/>
      <c r="BM5" s="1794"/>
      <c r="BN5" s="2788" t="e">
        <f>BN6+BN7</f>
        <v>#N/A</v>
      </c>
      <c r="BO5" s="2788">
        <f>BO6+BO7</f>
        <v>0</v>
      </c>
      <c r="BP5" s="1794"/>
      <c r="BQ5" s="1797"/>
      <c r="BR5" s="2790" t="e">
        <f>BR6+BR7</f>
        <v>#N/A</v>
      </c>
      <c r="BT5" s="1793"/>
    </row>
    <row r="6" spans="1:246" ht="13.5" thickTop="1">
      <c r="A6" s="762"/>
      <c r="B6" s="804"/>
      <c r="C6" s="67">
        <v>33098</v>
      </c>
      <c r="D6" s="117" t="s">
        <v>2384</v>
      </c>
      <c r="E6" s="118" t="s">
        <v>3933</v>
      </c>
      <c r="F6" s="1196" t="s">
        <v>3900</v>
      </c>
      <c r="G6" s="1196"/>
      <c r="H6" s="2633" t="e">
        <f>Ops!BN14</f>
        <v>#N/A</v>
      </c>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2633">
        <f>Ops!EV14</f>
        <v>0</v>
      </c>
      <c r="AN6" s="170"/>
      <c r="AO6" s="170"/>
      <c r="AP6" s="170"/>
      <c r="AQ6" s="170"/>
      <c r="AR6" s="170"/>
      <c r="AS6" s="170"/>
      <c r="AT6" s="170"/>
      <c r="AU6" s="170"/>
      <c r="AV6" s="174"/>
      <c r="AW6" s="2636" t="e">
        <f>Ops!FJ14</f>
        <v>#N/A</v>
      </c>
      <c r="AX6" s="170"/>
      <c r="AY6" s="1761"/>
      <c r="AZ6" s="170"/>
      <c r="BA6" s="2783" t="e">
        <f>Ops!FR14</f>
        <v>#N/A</v>
      </c>
      <c r="BB6" s="2657" t="e">
        <f>SUM(F6:BA6)</f>
        <v>#N/A</v>
      </c>
      <c r="BC6" s="2633" t="e">
        <f>H6</f>
        <v>#N/A</v>
      </c>
      <c r="BD6" s="511"/>
      <c r="BE6" s="511"/>
      <c r="BF6" s="514"/>
      <c r="BG6" s="514"/>
      <c r="BH6" s="514"/>
      <c r="BI6" s="2668" t="e">
        <f>AW6</f>
        <v>#N/A</v>
      </c>
      <c r="BJ6" s="2669"/>
      <c r="BK6" s="2670"/>
      <c r="BL6" s="174"/>
      <c r="BM6" s="511"/>
      <c r="BN6" s="2789" t="e">
        <f>BA6</f>
        <v>#N/A</v>
      </c>
      <c r="BO6" s="2789">
        <f>AM6</f>
        <v>0</v>
      </c>
      <c r="BP6" s="511"/>
      <c r="BQ6" s="174"/>
      <c r="BR6" s="2657" t="e">
        <f>SUM(BC6:BQ6)</f>
        <v>#N/A</v>
      </c>
      <c r="BS6" s="505" t="e">
        <f>IF(OR(BR6-BB6&lt;-0.01,BB6-BR6&lt;0.01),"","error")</f>
        <v>#N/A</v>
      </c>
      <c r="BT6" s="174"/>
    </row>
    <row r="7" spans="1:246" ht="13.5" thickBot="1">
      <c r="A7" s="763"/>
      <c r="B7" s="805"/>
      <c r="C7" s="71">
        <v>33099</v>
      </c>
      <c r="D7" s="119" t="s">
        <v>3053</v>
      </c>
      <c r="E7" s="120" t="s">
        <v>3050</v>
      </c>
      <c r="F7" s="1196" t="s">
        <v>3900</v>
      </c>
      <c r="G7" s="1196"/>
      <c r="H7" s="2633" t="e">
        <f>Ops!BN15</f>
        <v>#N/A</v>
      </c>
      <c r="I7" s="170"/>
      <c r="J7" s="170"/>
      <c r="K7" s="170"/>
      <c r="L7" s="170"/>
      <c r="M7" s="170"/>
      <c r="N7" s="170"/>
      <c r="O7" s="170"/>
      <c r="P7" s="170"/>
      <c r="Q7" s="170"/>
      <c r="R7" s="170"/>
      <c r="S7" s="170"/>
      <c r="T7" s="170"/>
      <c r="U7" s="170"/>
      <c r="V7" s="170"/>
      <c r="W7" s="170"/>
      <c r="X7" s="170"/>
      <c r="Y7" s="170"/>
      <c r="Z7" s="170"/>
      <c r="AA7" s="170"/>
      <c r="AB7" s="170"/>
      <c r="AC7" s="170"/>
      <c r="AD7" s="170"/>
      <c r="AE7" s="170"/>
      <c r="AF7" s="170"/>
      <c r="AG7" s="170"/>
      <c r="AH7" s="170"/>
      <c r="AI7" s="170"/>
      <c r="AJ7" s="170"/>
      <c r="AK7" s="170"/>
      <c r="AL7" s="170"/>
      <c r="AM7" s="2633">
        <f>Ops!EV15</f>
        <v>0</v>
      </c>
      <c r="AN7" s="170"/>
      <c r="AO7" s="170"/>
      <c r="AP7" s="170"/>
      <c r="AQ7" s="170"/>
      <c r="AR7" s="170"/>
      <c r="AS7" s="170"/>
      <c r="AT7" s="170"/>
      <c r="AU7" s="170"/>
      <c r="AV7" s="174"/>
      <c r="AW7" s="2636" t="e">
        <f>Ops!FJ15</f>
        <v>#N/A</v>
      </c>
      <c r="AX7" s="170"/>
      <c r="AY7" s="1761"/>
      <c r="AZ7" s="170"/>
      <c r="BA7" s="2783" t="e">
        <f>Ops!FR15</f>
        <v>#N/A</v>
      </c>
      <c r="BB7" s="2657" t="e">
        <f>SUM(F7:BA7)</f>
        <v>#N/A</v>
      </c>
      <c r="BC7" s="2633" t="e">
        <f>H7</f>
        <v>#N/A</v>
      </c>
      <c r="BD7" s="511"/>
      <c r="BE7" s="511"/>
      <c r="BF7" s="514"/>
      <c r="BG7" s="514"/>
      <c r="BH7" s="514"/>
      <c r="BI7" s="2668" t="e">
        <f>AW7</f>
        <v>#N/A</v>
      </c>
      <c r="BJ7" s="2669"/>
      <c r="BK7" s="2670"/>
      <c r="BL7" s="174"/>
      <c r="BM7" s="511"/>
      <c r="BN7" s="2789" t="e">
        <f>BA7</f>
        <v>#N/A</v>
      </c>
      <c r="BO7" s="2789">
        <f>AM7</f>
        <v>0</v>
      </c>
      <c r="BP7" s="511"/>
      <c r="BQ7" s="174"/>
      <c r="BR7" s="2657" t="e">
        <f>SUM(BC7:BQ7)</f>
        <v>#N/A</v>
      </c>
      <c r="BS7" s="505" t="e">
        <f>IF(OR(BR7-BB7&lt;-0.01,BB7-BR7&lt;0.01),"","error")</f>
        <v>#N/A</v>
      </c>
      <c r="BT7" s="174"/>
    </row>
    <row r="8" spans="1:246" ht="13.5" thickTop="1">
      <c r="A8" s="79"/>
      <c r="B8" s="16">
        <f>EcoOps</f>
        <v>1</v>
      </c>
      <c r="C8" s="433">
        <f>FunctCodCtl_O</f>
        <v>0</v>
      </c>
      <c r="D8" s="68"/>
      <c r="E8" s="70"/>
      <c r="F8" s="420"/>
      <c r="G8" s="420"/>
      <c r="H8" s="806" t="e">
        <f>SUBTOTAL(9,H9:H11)</f>
        <v>#N/A</v>
      </c>
      <c r="I8" s="420"/>
      <c r="J8" s="420"/>
      <c r="K8" s="2612">
        <f>SUBTOTAL(9,K9:K11)</f>
        <v>0</v>
      </c>
      <c r="L8" s="420"/>
      <c r="M8" s="420"/>
      <c r="N8" s="420"/>
      <c r="O8" s="420"/>
      <c r="P8" s="420"/>
      <c r="Q8" s="420"/>
      <c r="R8" s="420"/>
      <c r="S8" s="420"/>
      <c r="T8" s="420"/>
      <c r="U8" s="420"/>
      <c r="V8" s="420"/>
      <c r="W8" s="420"/>
      <c r="X8" s="492"/>
      <c r="Y8" s="492"/>
      <c r="Z8" s="420"/>
      <c r="AA8" s="420"/>
      <c r="AB8" s="420"/>
      <c r="AC8" s="420"/>
      <c r="AD8" s="420"/>
      <c r="AE8" s="420"/>
      <c r="AF8" s="420"/>
      <c r="AG8" s="420"/>
      <c r="AH8" s="420"/>
      <c r="AI8" s="420"/>
      <c r="AJ8" s="2616">
        <f>SUBTOTAL(9,AJ9:AJ11)</f>
        <v>0</v>
      </c>
      <c r="AK8" s="420"/>
      <c r="AL8" s="420"/>
      <c r="AM8" s="420"/>
      <c r="AN8" s="420"/>
      <c r="AO8" s="420"/>
      <c r="AP8" s="420"/>
      <c r="AQ8" s="420"/>
      <c r="AR8" s="420"/>
      <c r="AS8" s="420"/>
      <c r="AT8" s="420"/>
      <c r="AU8" s="420"/>
      <c r="AV8" s="492"/>
      <c r="AW8" s="1776"/>
      <c r="AX8" s="1732"/>
      <c r="AY8" s="2573"/>
      <c r="AZ8" s="1732"/>
      <c r="BA8" s="1777"/>
      <c r="BB8" s="2658"/>
      <c r="BC8" s="764" t="e">
        <f t="shared" ref="BC8:BR8" si="10">SUBTOTAL(9,BC9:BC11)</f>
        <v>#N/A</v>
      </c>
      <c r="BD8" s="806" t="e">
        <f t="shared" si="10"/>
        <v>#N/A</v>
      </c>
      <c r="BE8" s="806" t="e">
        <f t="shared" si="10"/>
        <v>#N/A</v>
      </c>
      <c r="BF8" s="806">
        <f t="shared" si="10"/>
        <v>0</v>
      </c>
      <c r="BG8" s="807" t="e">
        <f t="shared" si="10"/>
        <v>#N/A</v>
      </c>
      <c r="BH8" s="807">
        <f t="shared" si="10"/>
        <v>0</v>
      </c>
      <c r="BI8" s="2645" t="e">
        <f t="shared" si="10"/>
        <v>#N/A</v>
      </c>
      <c r="BJ8" s="806" t="e">
        <f t="shared" si="10"/>
        <v>#N/A</v>
      </c>
      <c r="BK8" s="808" t="e">
        <f t="shared" si="10"/>
        <v>#N/A</v>
      </c>
      <c r="BL8" s="1748" t="e">
        <f t="shared" si="10"/>
        <v>#N/A</v>
      </c>
      <c r="BM8" s="806" t="e">
        <f t="shared" si="10"/>
        <v>#N/A</v>
      </c>
      <c r="BN8" s="806" t="e">
        <f t="shared" si="10"/>
        <v>#N/A</v>
      </c>
      <c r="BO8" s="806" t="e">
        <f t="shared" si="10"/>
        <v>#N/A</v>
      </c>
      <c r="BP8" s="806" t="e">
        <f t="shared" si="10"/>
        <v>#N/A</v>
      </c>
      <c r="BQ8" s="1748" t="e">
        <f t="shared" si="10"/>
        <v>#N/A</v>
      </c>
      <c r="BR8" s="1784" t="e">
        <f t="shared" si="10"/>
        <v>#N/A</v>
      </c>
      <c r="BS8" s="1800"/>
      <c r="BT8" s="809" t="e">
        <f>SUBTOTAL(9,BT9:BT11)</f>
        <v>#N/A</v>
      </c>
    </row>
    <row r="9" spans="1:246" s="15" customFormat="1" ht="11.25">
      <c r="A9" s="1040">
        <f>A8+1</f>
        <v>1</v>
      </c>
      <c r="B9" s="1041" t="e">
        <f>VLOOKUP($A9,T_Ops,20,0)</f>
        <v>#N/A</v>
      </c>
      <c r="C9" s="1042">
        <f>VLOOKUP($A9,T_Ops,B$2,0)</f>
        <v>0</v>
      </c>
      <c r="D9" s="1043" t="s">
        <v>646</v>
      </c>
      <c r="E9" s="1044">
        <f>VLOOKUP($A9,T_Ops,D$2,0)</f>
        <v>0</v>
      </c>
      <c r="F9" s="1045" t="e">
        <f t="shared" ref="F9:K9" si="11">VLOOKUP($A9,T_Ops,F$2,0)</f>
        <v>#N/A</v>
      </c>
      <c r="G9" s="1045" t="e">
        <f>IF(VLOOKUP($A9,T_Ops,G$2,0)&lt;0,0,VLOOKUP($A9,T_Ops,G$2,0))</f>
        <v>#N/A</v>
      </c>
      <c r="H9" s="1046" t="e">
        <f t="shared" si="11"/>
        <v>#N/A</v>
      </c>
      <c r="I9" s="1046" t="e">
        <f t="shared" si="11"/>
        <v>#N/A</v>
      </c>
      <c r="J9" s="1046" t="e">
        <f t="shared" si="11"/>
        <v>#N/A</v>
      </c>
      <c r="K9" s="1046">
        <f t="shared" si="11"/>
        <v>0</v>
      </c>
      <c r="L9" s="1048"/>
      <c r="M9" s="1046" t="e">
        <f t="shared" ref="M9:U9" si="12">VLOOKUP($A9,T_Ops,M$2,0)</f>
        <v>#N/A</v>
      </c>
      <c r="N9" s="1046" t="e">
        <f>VLOOKUP($A9,T_Ops,N$2,0)</f>
        <v>#N/A</v>
      </c>
      <c r="O9" s="1046" t="e">
        <f>VLOOKUP($A9,T_Ops,O$2,0)</f>
        <v>#N/A</v>
      </c>
      <c r="P9" s="1046" t="e">
        <f>VLOOKUP($A9,T_Ops,P$2,0)</f>
        <v>#N/A</v>
      </c>
      <c r="Q9" s="1046" t="e">
        <f t="shared" si="12"/>
        <v>#N/A</v>
      </c>
      <c r="R9" s="1046" t="e">
        <f t="shared" si="12"/>
        <v>#N/A</v>
      </c>
      <c r="S9" s="1046" t="e">
        <f t="shared" si="12"/>
        <v>#N/A</v>
      </c>
      <c r="T9" s="1046" t="e">
        <f t="shared" si="12"/>
        <v>#N/A</v>
      </c>
      <c r="U9" s="1046" t="e">
        <f t="shared" si="12"/>
        <v>#N/A</v>
      </c>
      <c r="V9" s="1047"/>
      <c r="W9" s="1047"/>
      <c r="X9" s="2564" t="e">
        <f>VLOOKUP($A9,T_Ops,X$2,0)</f>
        <v>#N/A</v>
      </c>
      <c r="Y9" s="1046" t="e">
        <f>VLOOKUP($A9,T_Ops,Y$2,0)</f>
        <v>#N/A</v>
      </c>
      <c r="Z9" s="1046" t="e">
        <f t="shared" ref="Z9:AH9" si="13">VLOOKUP($A9,T_Ops,Z$2,0)</f>
        <v>#N/A</v>
      </c>
      <c r="AA9" s="1046" t="e">
        <f t="shared" si="13"/>
        <v>#N/A</v>
      </c>
      <c r="AB9" s="1046" t="e">
        <f t="shared" si="13"/>
        <v>#N/A</v>
      </c>
      <c r="AC9" s="1046" t="e">
        <f t="shared" si="13"/>
        <v>#N/A</v>
      </c>
      <c r="AD9" s="1046" t="e">
        <f t="shared" si="13"/>
        <v>#N/A</v>
      </c>
      <c r="AE9" s="1046" t="e">
        <f t="shared" si="13"/>
        <v>#N/A</v>
      </c>
      <c r="AF9" s="1046" t="e">
        <f t="shared" si="13"/>
        <v>#N/A</v>
      </c>
      <c r="AG9" s="1046" t="str">
        <f t="shared" si="13"/>
        <v/>
      </c>
      <c r="AH9" s="1046" t="e">
        <f t="shared" si="13"/>
        <v>#N/A</v>
      </c>
      <c r="AI9" s="1062"/>
      <c r="AJ9" s="1046">
        <f>VLOOKUP($A9,T_Ops,AJ$2,0)</f>
        <v>0</v>
      </c>
      <c r="AK9" s="1046" t="e">
        <f t="shared" ref="AK9:AV9" si="14">VLOOKUP($A9,T_Ops,AK$2,0)</f>
        <v>#N/A</v>
      </c>
      <c r="AL9" s="1046" t="e">
        <f t="shared" si="14"/>
        <v>#N/A</v>
      </c>
      <c r="AM9" s="1046" t="e">
        <f t="shared" si="14"/>
        <v>#N/A</v>
      </c>
      <c r="AN9" s="1046" t="e">
        <f t="shared" si="14"/>
        <v>#N/A</v>
      </c>
      <c r="AO9" s="1046" t="e">
        <f t="shared" si="14"/>
        <v>#N/A</v>
      </c>
      <c r="AP9" s="1046" t="e">
        <f t="shared" si="14"/>
        <v>#N/A</v>
      </c>
      <c r="AQ9" s="1046" t="e">
        <f t="shared" si="14"/>
        <v>#N/A</v>
      </c>
      <c r="AR9" s="1046" t="str">
        <f t="shared" si="14"/>
        <v/>
      </c>
      <c r="AS9" s="1046" t="e">
        <f t="shared" si="14"/>
        <v>#N/A</v>
      </c>
      <c r="AT9" s="1046" t="e">
        <f t="shared" si="14"/>
        <v>#N/A</v>
      </c>
      <c r="AU9" s="1046" t="e">
        <f t="shared" si="14"/>
        <v>#N/A</v>
      </c>
      <c r="AV9" s="1049">
        <f t="shared" si="14"/>
        <v>0</v>
      </c>
      <c r="AW9" s="2637" t="e">
        <f>VLOOKUP($A9,T_Ops,AW$2,0)</f>
        <v>#N/A</v>
      </c>
      <c r="AX9" s="2638" t="e">
        <f>VLOOKUP($A9,T_Ops,AX$2,0)</f>
        <v>#N/A</v>
      </c>
      <c r="AY9" s="2639" t="e">
        <f>VLOOKUP($A9,T_Ops,AY$2,0)</f>
        <v>#N/A</v>
      </c>
      <c r="AZ9" s="2638" t="e">
        <f>VLOOKUP($A9,T_Ops,AZ$2,0)</f>
        <v>#N/A</v>
      </c>
      <c r="BA9" s="2640" t="e">
        <f>VLOOKUP($A9,T_Ops,BA$2,0)</f>
        <v>#N/A</v>
      </c>
      <c r="BB9" s="2659" t="e">
        <f>SUM(F9:BA9)</f>
        <v>#N/A</v>
      </c>
      <c r="BC9" s="1045" t="e">
        <f>IF(F9="",0,F9)+G9+IF(H9="",0,H9)+IF(J9="",0,J9)</f>
        <v>#N/A</v>
      </c>
      <c r="BD9" s="1079" t="e">
        <f>IF(I9="",0,I9)</f>
        <v>#N/A</v>
      </c>
      <c r="BE9" s="1079" t="e">
        <f>IF(M9="",0,M9)+IF(Q9="",0,Q9)+IF(N9="",0,N9)+IF(O9="",0,O9)+IF(R9="",0,R9)+IF(P9="",0,P9)+IF(S9="",0,S9)+IF(T9="",0,T9)+IF(U9="",0,U9)+IF(W9="",0,W9)+IF(X9="",0,X9)+IF(LEFT($Y$1,6)="111-01",IF(Y9="",0,Y9),0)</f>
        <v>#N/A</v>
      </c>
      <c r="BF9" s="1080">
        <f>K9</f>
        <v>0</v>
      </c>
      <c r="BG9" s="1080" t="e">
        <f>IF(Z9="",0,Z9)+IF(AA9="",0,AA9)+IF(AB9="",0,AB9)+IF(AC9="",0,AC9)+IF(AD9="",0,AD9)+IF(AE9="",0,AE9)+IF(AF9="",0,AF9)+IF(AG9="",0,AG9)+IF(AH9="",0,AH9)+AI9</f>
        <v>#N/A</v>
      </c>
      <c r="BH9" s="1080">
        <f>AJ9</f>
        <v>0</v>
      </c>
      <c r="BI9" s="2645" t="e">
        <f>AW9</f>
        <v>#N/A</v>
      </c>
      <c r="BJ9" s="2671" t="e">
        <f>AX9</f>
        <v>#N/A</v>
      </c>
      <c r="BK9" s="2672" t="e">
        <f>AY9</f>
        <v>#N/A</v>
      </c>
      <c r="BL9" s="1069" t="e">
        <f>IF(AK9="",0,AK9)+IF(AL9="",0,AL9)</f>
        <v>#N/A</v>
      </c>
      <c r="BM9" s="2671" t="e">
        <f>AZ9</f>
        <v>#N/A</v>
      </c>
      <c r="BN9" s="1079" t="e">
        <f>BA9</f>
        <v>#N/A</v>
      </c>
      <c r="BO9" s="1079" t="e">
        <f>AM9</f>
        <v>#N/A</v>
      </c>
      <c r="BP9" s="1079" t="e">
        <f>AN9</f>
        <v>#N/A</v>
      </c>
      <c r="BQ9" s="1069" t="e">
        <f>SUM(AO9:AV9)</f>
        <v>#N/A</v>
      </c>
      <c r="BR9" s="2659" t="e">
        <f>SUM(BC9:BQ9)</f>
        <v>#N/A</v>
      </c>
      <c r="BS9" s="55" t="e">
        <f>IF(OR(BB9&lt;&gt;BR9,ROUND(BR9-BT9,2)&lt;&gt;0),((BB9+BR9)-(2*BT9))/2,"")</f>
        <v>#N/A</v>
      </c>
      <c r="BT9" s="1046" t="e">
        <f>VLOOKUP($A9,T_Ops,BT$2,0)</f>
        <v>#N/A</v>
      </c>
    </row>
    <row r="10" spans="1:246" s="15" customFormat="1" ht="11.25">
      <c r="A10" s="1051"/>
      <c r="B10" s="1052"/>
      <c r="C10" s="1053"/>
      <c r="D10" s="1054"/>
      <c r="E10" s="1055"/>
      <c r="F10" s="1056"/>
      <c r="G10" s="1056"/>
      <c r="H10" s="1057"/>
      <c r="I10" s="1057"/>
      <c r="J10" s="1057"/>
      <c r="K10" s="1057"/>
      <c r="L10" s="1048"/>
      <c r="M10" s="1057"/>
      <c r="N10" s="1057"/>
      <c r="O10" s="1057"/>
      <c r="P10" s="1057"/>
      <c r="Q10" s="1057"/>
      <c r="R10" s="1057"/>
      <c r="S10" s="1057"/>
      <c r="T10" s="1057"/>
      <c r="U10" s="1057"/>
      <c r="V10" s="1047"/>
      <c r="W10" s="1047"/>
      <c r="X10" s="1057"/>
      <c r="Y10" s="1057"/>
      <c r="Z10" s="1057"/>
      <c r="AA10" s="1057"/>
      <c r="AB10" s="1057"/>
      <c r="AC10" s="1057"/>
      <c r="AD10" s="1057"/>
      <c r="AE10" s="1057"/>
      <c r="AF10" s="1057"/>
      <c r="AG10" s="1057"/>
      <c r="AH10" s="1057"/>
      <c r="AI10" s="1067"/>
      <c r="AJ10" s="1057"/>
      <c r="AK10" s="1058"/>
      <c r="AL10" s="1058"/>
      <c r="AM10" s="1057"/>
      <c r="AN10" s="1057"/>
      <c r="AO10" s="1057"/>
      <c r="AP10" s="1057"/>
      <c r="AQ10" s="1057"/>
      <c r="AR10" s="1057"/>
      <c r="AS10" s="1057"/>
      <c r="AT10" s="1057"/>
      <c r="AU10" s="1057"/>
      <c r="AV10" s="1058"/>
      <c r="AW10" s="2637"/>
      <c r="AX10" s="2638"/>
      <c r="AY10" s="2639"/>
      <c r="AZ10" s="2638"/>
      <c r="BA10" s="2640"/>
      <c r="BB10" s="2659"/>
      <c r="BC10" s="1056"/>
      <c r="BD10" s="1081"/>
      <c r="BE10" s="1081"/>
      <c r="BF10" s="1082"/>
      <c r="BG10" s="1082"/>
      <c r="BH10" s="1082"/>
      <c r="BI10" s="2645"/>
      <c r="BJ10" s="2671"/>
      <c r="BK10" s="2672"/>
      <c r="BL10" s="1068"/>
      <c r="BM10" s="2799"/>
      <c r="BN10" s="1081"/>
      <c r="BO10" s="1081"/>
      <c r="BP10" s="1079"/>
      <c r="BQ10" s="1069"/>
      <c r="BR10" s="2659"/>
      <c r="BS10" s="55"/>
      <c r="BT10" s="1046"/>
      <c r="BU10" s="531"/>
      <c r="BV10" s="1050"/>
      <c r="BW10" s="1050"/>
      <c r="BX10" s="1050"/>
      <c r="BY10" s="1050"/>
      <c r="BZ10" s="1050"/>
      <c r="CA10" s="1050"/>
      <c r="CB10" s="1050"/>
      <c r="CC10" s="1050"/>
      <c r="CD10" s="1050"/>
      <c r="CE10" s="1050"/>
      <c r="CF10" s="1050"/>
      <c r="CG10" s="1050"/>
      <c r="CH10" s="1050"/>
      <c r="CI10" s="1050"/>
      <c r="CJ10" s="1050"/>
      <c r="CK10" s="1050"/>
      <c r="CL10" s="1050"/>
      <c r="CM10" s="1050"/>
      <c r="CN10" s="1050"/>
      <c r="CO10" s="1050"/>
      <c r="CP10" s="1050"/>
      <c r="CQ10" s="1050"/>
      <c r="CR10" s="1050"/>
      <c r="CS10" s="1050"/>
      <c r="CT10" s="1050"/>
      <c r="CU10" s="1050"/>
      <c r="CV10" s="1050"/>
      <c r="CW10" s="1050"/>
      <c r="CX10" s="1050"/>
      <c r="CY10" s="1050"/>
      <c r="CZ10" s="1050"/>
      <c r="DA10" s="1050"/>
      <c r="DB10" s="1059"/>
      <c r="DC10" s="55"/>
      <c r="DD10" s="55"/>
      <c r="DE10" s="55"/>
      <c r="DF10" s="55"/>
      <c r="DG10" s="55"/>
      <c r="DH10" s="55"/>
      <c r="DI10" s="55"/>
      <c r="DJ10" s="55"/>
      <c r="DK10" s="55"/>
      <c r="DL10" s="1059"/>
      <c r="DM10" s="55"/>
      <c r="DN10" s="531"/>
      <c r="DO10" s="531"/>
      <c r="DP10" s="1050"/>
      <c r="DQ10" s="1050"/>
      <c r="DR10" s="1050"/>
      <c r="DS10" s="1050"/>
      <c r="DT10" s="1050"/>
      <c r="DU10" s="1050"/>
      <c r="DV10" s="1050"/>
      <c r="DW10" s="1050"/>
      <c r="DX10" s="1050"/>
      <c r="DY10" s="1050"/>
      <c r="DZ10" s="1050"/>
      <c r="EA10" s="1050"/>
      <c r="EB10" s="1050"/>
      <c r="EC10" s="1050"/>
      <c r="ED10" s="1050"/>
      <c r="EE10" s="1050"/>
      <c r="EF10" s="1050"/>
      <c r="EG10" s="1050"/>
      <c r="EH10" s="1050"/>
      <c r="EI10" s="1050"/>
      <c r="EJ10" s="1050"/>
      <c r="EK10" s="1050"/>
      <c r="EL10" s="1050"/>
      <c r="EM10" s="1050"/>
      <c r="EN10" s="1050"/>
      <c r="EO10" s="1050"/>
      <c r="EP10" s="1050"/>
      <c r="EQ10" s="1050"/>
      <c r="ER10" s="1050"/>
      <c r="ES10" s="1050"/>
      <c r="ET10" s="1050"/>
      <c r="EU10" s="1050"/>
      <c r="EV10" s="1059"/>
      <c r="EW10" s="55"/>
      <c r="EX10" s="55"/>
      <c r="EY10" s="55"/>
      <c r="EZ10" s="55"/>
      <c r="FA10" s="55"/>
      <c r="FB10" s="55"/>
      <c r="FC10" s="55"/>
      <c r="FD10" s="55"/>
      <c r="FE10" s="55"/>
      <c r="FF10" s="1059"/>
      <c r="FG10" s="55"/>
      <c r="FH10" s="531"/>
      <c r="FI10" s="531"/>
      <c r="FJ10" s="1050"/>
      <c r="FK10" s="1050"/>
      <c r="FL10" s="1050"/>
      <c r="FM10" s="1050"/>
      <c r="FN10" s="1050"/>
      <c r="FO10" s="1050"/>
      <c r="FP10" s="1050"/>
      <c r="FQ10" s="1050"/>
      <c r="FR10" s="1050"/>
      <c r="FS10" s="1050"/>
      <c r="FT10" s="1050"/>
      <c r="FU10" s="1050"/>
      <c r="FV10" s="1050"/>
      <c r="FW10" s="1050"/>
      <c r="FX10" s="1050"/>
      <c r="FY10" s="1050"/>
      <c r="FZ10" s="1050"/>
      <c r="GA10" s="1050"/>
      <c r="GB10" s="1050"/>
      <c r="GC10" s="1050"/>
      <c r="GD10" s="1050"/>
      <c r="GE10" s="1050"/>
      <c r="GF10" s="1050"/>
      <c r="GG10" s="1050"/>
      <c r="GH10" s="1050"/>
      <c r="GI10" s="1050"/>
      <c r="GJ10" s="1050"/>
      <c r="GK10" s="1050"/>
      <c r="GL10" s="1050"/>
      <c r="GM10" s="1050"/>
      <c r="GN10" s="1050"/>
      <c r="GO10" s="1050"/>
      <c r="GP10" s="1059"/>
      <c r="GQ10" s="55"/>
      <c r="GR10" s="55"/>
      <c r="GS10" s="55"/>
      <c r="GT10" s="55"/>
      <c r="GU10" s="55"/>
      <c r="GV10" s="55"/>
      <c r="GW10" s="55"/>
      <c r="GX10" s="55"/>
      <c r="GY10" s="55"/>
      <c r="GZ10" s="1059"/>
      <c r="HA10" s="55"/>
      <c r="HB10" s="531"/>
      <c r="HC10" s="531"/>
      <c r="HD10" s="1050"/>
      <c r="HE10" s="1050"/>
      <c r="HF10" s="1050"/>
      <c r="HG10" s="1050"/>
      <c r="HH10" s="1050"/>
      <c r="HI10" s="1050"/>
      <c r="HJ10" s="1050"/>
      <c r="HK10" s="1050"/>
      <c r="HL10" s="1050"/>
      <c r="HM10" s="1050"/>
      <c r="HN10" s="1050"/>
      <c r="HO10" s="1050"/>
      <c r="HP10" s="1050"/>
      <c r="HQ10" s="1050"/>
      <c r="HR10" s="1050"/>
      <c r="HS10" s="1050"/>
      <c r="HT10" s="1050"/>
      <c r="HU10" s="1050"/>
      <c r="HV10" s="1050"/>
      <c r="HW10" s="1050"/>
      <c r="HX10" s="1050"/>
      <c r="HY10" s="1050"/>
      <c r="HZ10" s="1050"/>
      <c r="IA10" s="1050"/>
      <c r="IB10" s="1050"/>
      <c r="IC10" s="1050"/>
      <c r="ID10" s="1050"/>
      <c r="IE10" s="1050"/>
      <c r="IF10" s="1050"/>
      <c r="IG10" s="1050"/>
      <c r="IH10" s="1050"/>
      <c r="II10" s="1050"/>
      <c r="IJ10" s="1059"/>
      <c r="IK10" s="55"/>
      <c r="IL10" s="55"/>
    </row>
    <row r="11" spans="1:246" s="15" customFormat="1" ht="12" thickBot="1">
      <c r="A11" s="2728"/>
      <c r="B11" s="2729"/>
      <c r="C11" s="2730"/>
      <c r="D11" s="2723"/>
      <c r="E11" s="2724"/>
      <c r="F11" s="2617"/>
      <c r="G11" s="2617"/>
      <c r="H11" s="2727"/>
      <c r="I11" s="2727"/>
      <c r="J11" s="2727"/>
      <c r="K11" s="2727"/>
      <c r="L11" s="2766"/>
      <c r="M11" s="2727"/>
      <c r="N11" s="2727"/>
      <c r="O11" s="2727"/>
      <c r="P11" s="2727"/>
      <c r="Q11" s="2727"/>
      <c r="R11" s="2727"/>
      <c r="S11" s="2727"/>
      <c r="T11" s="2727"/>
      <c r="U11" s="2727"/>
      <c r="V11" s="2767"/>
      <c r="W11" s="2767"/>
      <c r="X11" s="2727"/>
      <c r="Y11" s="2727"/>
      <c r="Z11" s="2727"/>
      <c r="AA11" s="2727"/>
      <c r="AB11" s="2727"/>
      <c r="AC11" s="2727"/>
      <c r="AD11" s="2727"/>
      <c r="AE11" s="2727"/>
      <c r="AF11" s="2727"/>
      <c r="AG11" s="2727"/>
      <c r="AH11" s="2727"/>
      <c r="AI11" s="2731"/>
      <c r="AJ11" s="2727"/>
      <c r="AK11" s="2727"/>
      <c r="AL11" s="2727"/>
      <c r="AM11" s="2727"/>
      <c r="AN11" s="2727"/>
      <c r="AO11" s="2727"/>
      <c r="AP11" s="2727"/>
      <c r="AQ11" s="2727"/>
      <c r="AR11" s="2727"/>
      <c r="AS11" s="2727"/>
      <c r="AT11" s="2727"/>
      <c r="AU11" s="2727"/>
      <c r="AV11" s="2768"/>
      <c r="AW11" s="2769"/>
      <c r="AX11" s="2770"/>
      <c r="AY11" s="2771"/>
      <c r="AZ11" s="2770"/>
      <c r="BA11" s="2772"/>
      <c r="BB11" s="2661"/>
      <c r="BC11" s="2727"/>
      <c r="BD11" s="2773"/>
      <c r="BE11" s="2773"/>
      <c r="BF11" s="2774"/>
      <c r="BG11" s="2774"/>
      <c r="BH11" s="2774"/>
      <c r="BI11" s="2769"/>
      <c r="BJ11" s="2775"/>
      <c r="BK11" s="2776"/>
      <c r="BL11" s="2768"/>
      <c r="BM11" s="2775"/>
      <c r="BN11" s="2773"/>
      <c r="BO11" s="2773"/>
      <c r="BP11" s="2773"/>
      <c r="BQ11" s="2768"/>
      <c r="BR11" s="2661"/>
      <c r="BS11" s="55"/>
      <c r="BT11" s="2727"/>
    </row>
    <row r="12" spans="1:246" s="15" customFormat="1" ht="13.5" thickBot="1">
      <c r="A12" s="2692">
        <f>Ops!D1</f>
        <v>1</v>
      </c>
      <c r="B12" s="2693"/>
      <c r="C12" s="2752"/>
      <c r="D12" s="2753" t="s">
        <v>2731</v>
      </c>
      <c r="E12" s="2754"/>
      <c r="F12" s="2697" t="e">
        <f t="shared" ref="F12:K12" si="15">SUM(F9:F11)</f>
        <v>#N/A</v>
      </c>
      <c r="G12" s="2778" t="e">
        <f t="shared" si="15"/>
        <v>#N/A</v>
      </c>
      <c r="H12" s="2778" t="e">
        <f t="shared" si="15"/>
        <v>#N/A</v>
      </c>
      <c r="I12" s="2778" t="e">
        <f t="shared" si="15"/>
        <v>#N/A</v>
      </c>
      <c r="J12" s="2778" t="e">
        <f t="shared" si="15"/>
        <v>#N/A</v>
      </c>
      <c r="K12" s="2778">
        <f t="shared" si="15"/>
        <v>0</v>
      </c>
      <c r="L12" s="2778"/>
      <c r="M12" s="2778" t="e">
        <f t="shared" ref="M12:U12" si="16">SUM(M9:M11)</f>
        <v>#N/A</v>
      </c>
      <c r="N12" s="2778" t="e">
        <f t="shared" si="16"/>
        <v>#N/A</v>
      </c>
      <c r="O12" s="2778" t="e">
        <f t="shared" si="16"/>
        <v>#N/A</v>
      </c>
      <c r="P12" s="2778" t="e">
        <f t="shared" si="16"/>
        <v>#N/A</v>
      </c>
      <c r="Q12" s="2778" t="e">
        <f t="shared" si="16"/>
        <v>#N/A</v>
      </c>
      <c r="R12" s="2778" t="e">
        <f t="shared" si="16"/>
        <v>#N/A</v>
      </c>
      <c r="S12" s="2778" t="e">
        <f t="shared" si="16"/>
        <v>#N/A</v>
      </c>
      <c r="T12" s="2778" t="e">
        <f t="shared" si="16"/>
        <v>#N/A</v>
      </c>
      <c r="U12" s="2778" t="e">
        <f t="shared" si="16"/>
        <v>#N/A</v>
      </c>
      <c r="V12" s="2706"/>
      <c r="W12" s="2706"/>
      <c r="X12" s="2778" t="e">
        <f t="shared" ref="X12:AH12" si="17">SUM(X9:X11)</f>
        <v>#N/A</v>
      </c>
      <c r="Y12" s="2778" t="e">
        <f t="shared" si="17"/>
        <v>#N/A</v>
      </c>
      <c r="Z12" s="2778" t="e">
        <f t="shared" si="17"/>
        <v>#N/A</v>
      </c>
      <c r="AA12" s="2778" t="e">
        <f t="shared" si="17"/>
        <v>#N/A</v>
      </c>
      <c r="AB12" s="2778" t="e">
        <f t="shared" si="17"/>
        <v>#N/A</v>
      </c>
      <c r="AC12" s="2778" t="e">
        <f t="shared" si="17"/>
        <v>#N/A</v>
      </c>
      <c r="AD12" s="2778" t="e">
        <f t="shared" si="17"/>
        <v>#N/A</v>
      </c>
      <c r="AE12" s="2778" t="e">
        <f t="shared" si="17"/>
        <v>#N/A</v>
      </c>
      <c r="AF12" s="2778" t="e">
        <f t="shared" si="17"/>
        <v>#N/A</v>
      </c>
      <c r="AG12" s="2778">
        <f t="shared" si="17"/>
        <v>0</v>
      </c>
      <c r="AH12" s="2778" t="e">
        <f t="shared" si="17"/>
        <v>#N/A</v>
      </c>
      <c r="AI12" s="2777"/>
      <c r="AJ12" s="2778">
        <f t="shared" ref="AJ12:BR12" si="18">SUM(AJ9:AJ11)</f>
        <v>0</v>
      </c>
      <c r="AK12" s="2778" t="e">
        <f t="shared" si="18"/>
        <v>#N/A</v>
      </c>
      <c r="AL12" s="2778" t="e">
        <f t="shared" si="18"/>
        <v>#N/A</v>
      </c>
      <c r="AM12" s="2778" t="e">
        <f t="shared" si="18"/>
        <v>#N/A</v>
      </c>
      <c r="AN12" s="2778" t="e">
        <f t="shared" si="18"/>
        <v>#N/A</v>
      </c>
      <c r="AO12" s="2778" t="e">
        <f t="shared" si="18"/>
        <v>#N/A</v>
      </c>
      <c r="AP12" s="2778" t="e">
        <f t="shared" si="18"/>
        <v>#N/A</v>
      </c>
      <c r="AQ12" s="2778" t="e">
        <f t="shared" si="18"/>
        <v>#N/A</v>
      </c>
      <c r="AR12" s="2778">
        <f t="shared" si="18"/>
        <v>0</v>
      </c>
      <c r="AS12" s="2778" t="e">
        <f t="shared" si="18"/>
        <v>#N/A</v>
      </c>
      <c r="AT12" s="2778" t="e">
        <f t="shared" si="18"/>
        <v>#N/A</v>
      </c>
      <c r="AU12" s="2778" t="e">
        <f t="shared" si="18"/>
        <v>#N/A</v>
      </c>
      <c r="AV12" s="2700">
        <f t="shared" si="18"/>
        <v>0</v>
      </c>
      <c r="AW12" s="2757" t="e">
        <f t="shared" si="18"/>
        <v>#N/A</v>
      </c>
      <c r="AX12" s="2800" t="e">
        <f t="shared" si="18"/>
        <v>#N/A</v>
      </c>
      <c r="AY12" s="2759" t="e">
        <f t="shared" si="18"/>
        <v>#N/A</v>
      </c>
      <c r="AZ12" s="2758" t="e">
        <f t="shared" si="18"/>
        <v>#N/A</v>
      </c>
      <c r="BA12" s="2760" t="e">
        <f t="shared" si="18"/>
        <v>#N/A</v>
      </c>
      <c r="BB12" s="2785" t="e">
        <f t="shared" si="18"/>
        <v>#N/A</v>
      </c>
      <c r="BC12" s="2697" t="e">
        <f t="shared" si="18"/>
        <v>#N/A</v>
      </c>
      <c r="BD12" s="2705" t="e">
        <f t="shared" si="18"/>
        <v>#N/A</v>
      </c>
      <c r="BE12" s="2705" t="e">
        <f t="shared" si="18"/>
        <v>#N/A</v>
      </c>
      <c r="BF12" s="2705">
        <f t="shared" si="18"/>
        <v>0</v>
      </c>
      <c r="BG12" s="2761" t="e">
        <f t="shared" si="18"/>
        <v>#N/A</v>
      </c>
      <c r="BH12" s="2761">
        <f t="shared" si="18"/>
        <v>0</v>
      </c>
      <c r="BI12" s="2757" t="e">
        <f t="shared" si="18"/>
        <v>#N/A</v>
      </c>
      <c r="BJ12" s="2778" t="e">
        <f t="shared" si="18"/>
        <v>#N/A</v>
      </c>
      <c r="BK12" s="2780" t="e">
        <f t="shared" si="18"/>
        <v>#N/A</v>
      </c>
      <c r="BL12" s="2787" t="e">
        <f t="shared" si="18"/>
        <v>#N/A</v>
      </c>
      <c r="BM12" s="2800" t="e">
        <f t="shared" si="18"/>
        <v>#N/A</v>
      </c>
      <c r="BN12" s="2778" t="e">
        <f t="shared" si="18"/>
        <v>#N/A</v>
      </c>
      <c r="BO12" s="2778" t="e">
        <f t="shared" si="18"/>
        <v>#N/A</v>
      </c>
      <c r="BP12" s="2778" t="e">
        <f t="shared" si="18"/>
        <v>#N/A</v>
      </c>
      <c r="BQ12" s="2787" t="e">
        <f t="shared" si="18"/>
        <v>#N/A</v>
      </c>
      <c r="BR12" s="2791" t="e">
        <f t="shared" si="18"/>
        <v>#N/A</v>
      </c>
      <c r="BS12" s="2697" t="e">
        <f>IF(ROUND(BR12,2)=ROUND(SUM(BC12:BQ12),2),"OK",CONCATENATE("Error :",BR12-SUM(BC12:BQ12)))</f>
        <v>#N/A</v>
      </c>
      <c r="BT12" s="2779" t="e">
        <f>SUM(BT9:BT11)</f>
        <v>#N/A</v>
      </c>
    </row>
    <row r="13" spans="1:246">
      <c r="A13" s="2737"/>
      <c r="B13" s="2825">
        <f>MAX(A9:A11)</f>
        <v>1</v>
      </c>
      <c r="C13" s="2738"/>
      <c r="D13" s="2738"/>
      <c r="E13" s="2741" t="str">
        <f>IF(B13=A12,"",IF(B13&lt;A12,CONCATENATE("Ops: ", A12-B13," ligne(s) à ajouter !"),CONCATENATE("Ops: ",B13-A12," ligne(s)  #N/A à supprimer !")))</f>
        <v/>
      </c>
      <c r="F13" s="2742"/>
      <c r="G13" s="2742"/>
      <c r="H13" s="2742"/>
      <c r="I13" s="2742"/>
      <c r="J13" s="2742"/>
      <c r="K13" s="2742"/>
      <c r="L13" s="2742"/>
      <c r="M13" s="2742"/>
      <c r="N13" s="2742"/>
      <c r="O13" s="2742"/>
      <c r="P13" s="2742"/>
      <c r="Q13" s="2742"/>
      <c r="R13" s="2742"/>
      <c r="S13" s="2742"/>
      <c r="T13" s="2742"/>
      <c r="U13" s="2742"/>
      <c r="V13" s="2742"/>
      <c r="W13" s="2742"/>
      <c r="X13" s="2742"/>
      <c r="Y13" s="2742"/>
      <c r="Z13" s="2742"/>
      <c r="AA13" s="2742"/>
      <c r="AB13" s="2742"/>
      <c r="AC13" s="2742"/>
      <c r="AD13" s="2742"/>
      <c r="AE13" s="2742"/>
      <c r="AF13" s="2742"/>
      <c r="AG13" s="2742"/>
      <c r="AH13" s="2742"/>
      <c r="AI13" s="2742"/>
      <c r="AJ13" s="2742"/>
      <c r="AK13" s="2738"/>
      <c r="AL13" s="2738"/>
      <c r="AM13" s="2742"/>
      <c r="AN13" s="2742"/>
      <c r="AO13" s="2742"/>
      <c r="AP13" s="2742"/>
      <c r="AQ13" s="2742"/>
      <c r="AR13" s="2742"/>
      <c r="AS13" s="2742"/>
      <c r="AT13" s="2742"/>
      <c r="AU13" s="2742"/>
      <c r="AV13" s="2738"/>
      <c r="AW13" s="2749"/>
      <c r="AX13"/>
      <c r="AY13" s="2781"/>
      <c r="AZ13"/>
      <c r="BA13"/>
      <c r="BB13" s="2786" t="e">
        <f>IF(ROUND(BB12-Ops!FU1,2)&lt;=0.01,"OK","Contrôle des liens Ops et Formaide!!")</f>
        <v>#N/A</v>
      </c>
      <c r="BC13" s="2742"/>
      <c r="BD13" s="2747"/>
      <c r="BE13" s="2747"/>
      <c r="BF13" s="2747"/>
      <c r="BG13" s="2748"/>
      <c r="BH13" s="2748"/>
      <c r="BI13" s="2749"/>
      <c r="BJ13" s="2750"/>
      <c r="BK13" s="2751"/>
      <c r="BL13" s="2738"/>
      <c r="BM13" s="2750"/>
      <c r="BN13" s="2747"/>
      <c r="BO13" s="2747"/>
      <c r="BP13" s="2747"/>
      <c r="BQ13" s="2738"/>
      <c r="BR13" s="2746"/>
      <c r="BS13" s="505"/>
      <c r="BT13" s="2738"/>
    </row>
    <row r="14" spans="1:246">
      <c r="A14" s="79"/>
      <c r="B14" s="16">
        <f>EcoCal</f>
        <v>1</v>
      </c>
      <c r="C14" s="433">
        <f>FunctCodCtl_C</f>
        <v>0</v>
      </c>
      <c r="D14" s="68"/>
      <c r="E14" s="70"/>
      <c r="F14" s="774"/>
      <c r="G14" s="774"/>
      <c r="H14" s="774"/>
      <c r="I14" s="774"/>
      <c r="J14" s="774"/>
      <c r="K14" s="774"/>
      <c r="L14" s="774"/>
      <c r="M14" s="421"/>
      <c r="N14" s="421"/>
      <c r="O14" s="774"/>
      <c r="P14" s="421"/>
      <c r="Q14" s="421"/>
      <c r="R14" s="774"/>
      <c r="S14" s="810"/>
      <c r="T14" s="774"/>
      <c r="U14" s="774"/>
      <c r="V14" s="774"/>
      <c r="W14" s="774"/>
      <c r="X14" s="774"/>
      <c r="Y14" s="774"/>
      <c r="Z14" s="774"/>
      <c r="AA14" s="774"/>
      <c r="AB14" s="774"/>
      <c r="AC14" s="774"/>
      <c r="AD14" s="774"/>
      <c r="AE14" s="774"/>
      <c r="AF14" s="774"/>
      <c r="AG14" s="774"/>
      <c r="AH14" s="774"/>
      <c r="AI14" s="774" t="e">
        <f>SUBTOTAL(9,AI15:AI17)</f>
        <v>#N/A</v>
      </c>
      <c r="AJ14" s="774"/>
      <c r="AK14" s="774"/>
      <c r="AL14" s="774"/>
      <c r="AM14" s="774"/>
      <c r="AN14" s="774"/>
      <c r="AO14" s="774"/>
      <c r="AP14" s="774"/>
      <c r="AQ14" s="774"/>
      <c r="AR14" s="774"/>
      <c r="AS14" s="774"/>
      <c r="AT14" s="774"/>
      <c r="AU14" s="774"/>
      <c r="AV14" s="952"/>
      <c r="AW14" s="2641"/>
      <c r="AX14" s="2642"/>
      <c r="AY14" s="2643"/>
      <c r="AZ14" s="2642"/>
      <c r="BA14" s="2644"/>
      <c r="BB14" s="2658"/>
      <c r="BC14" s="765" t="e">
        <f t="shared" ref="BC14:BO14" si="19">SUBTOTAL(9,BC15:BC17)</f>
        <v>#N/A</v>
      </c>
      <c r="BD14" s="811" t="e">
        <f t="shared" si="19"/>
        <v>#N/A</v>
      </c>
      <c r="BE14" s="811" t="e">
        <f t="shared" si="19"/>
        <v>#N/A</v>
      </c>
      <c r="BF14" s="811" t="e">
        <f t="shared" si="19"/>
        <v>#N/A</v>
      </c>
      <c r="BG14" s="812" t="e">
        <f t="shared" si="19"/>
        <v>#N/A</v>
      </c>
      <c r="BH14" s="812" t="e">
        <f t="shared" si="19"/>
        <v>#N/A</v>
      </c>
      <c r="BI14" s="1597" t="e">
        <f t="shared" si="19"/>
        <v>#N/A</v>
      </c>
      <c r="BJ14" s="811" t="e">
        <f t="shared" si="19"/>
        <v>#N/A</v>
      </c>
      <c r="BK14" s="813" t="e">
        <f t="shared" si="19"/>
        <v>#N/A</v>
      </c>
      <c r="BL14" s="1749" t="e">
        <f t="shared" si="19"/>
        <v>#N/A</v>
      </c>
      <c r="BM14" s="811" t="e">
        <f t="shared" si="19"/>
        <v>#N/A</v>
      </c>
      <c r="BN14" s="811" t="e">
        <f t="shared" si="19"/>
        <v>#N/A</v>
      </c>
      <c r="BO14" s="811" t="e">
        <f t="shared" si="19"/>
        <v>#N/A</v>
      </c>
      <c r="BP14" s="811"/>
      <c r="BQ14" s="1749" t="e">
        <f>SUBTOTAL(9,BQ15:BQ17)</f>
        <v>#N/A</v>
      </c>
      <c r="BR14" s="2792" t="e">
        <f>SUBTOTAL(9,BR15:BR17)</f>
        <v>#N/A</v>
      </c>
      <c r="BS14" s="55"/>
      <c r="BT14" s="1601" t="e">
        <f>SUBTOTAL(9,BT15:BT17)</f>
        <v>#N/A</v>
      </c>
    </row>
    <row r="15" spans="1:246" s="15" customFormat="1" ht="11.25">
      <c r="A15" s="1040"/>
      <c r="B15" s="1041" t="e">
        <f>VLOOKUP($A15,T_Calog,20,0)</f>
        <v>#N/A</v>
      </c>
      <c r="C15" s="1042" t="e">
        <f>VLOOKUP($A15,T_Calog,B$3,0)</f>
        <v>#N/A</v>
      </c>
      <c r="D15" s="1043" t="s">
        <v>4355</v>
      </c>
      <c r="E15" s="1044" t="e">
        <f>VLOOKUP($A15,T_Calog,D$3,0)</f>
        <v>#N/A</v>
      </c>
      <c r="F15" s="1045" t="e">
        <f>VLOOKUP($A15,T_Calog,F$3,0)</f>
        <v>#N/A</v>
      </c>
      <c r="G15" s="1045" t="e">
        <f>IF(VLOOKUP($A15,T_Calog,G$3,0)&lt;0,0,VLOOKUP($A15,T_Calog,G$3,0))</f>
        <v>#N/A</v>
      </c>
      <c r="H15" s="1062"/>
      <c r="I15" s="1045" t="e">
        <f>VLOOKUP($A15,T_Calog,I$3,0)</f>
        <v>#N/A</v>
      </c>
      <c r="J15" s="1045" t="e">
        <f>VLOOKUP($A15,T_Calog,J$3,0)</f>
        <v>#N/A</v>
      </c>
      <c r="K15" s="1045" t="e">
        <f>VLOOKUP($A15,T_Calog,K$3,0)</f>
        <v>#N/A</v>
      </c>
      <c r="L15" s="1045" t="e">
        <f>VLOOKUP($A15,T_Calog,L$3,0)</f>
        <v>#N/A</v>
      </c>
      <c r="M15" s="1062"/>
      <c r="N15" s="1062"/>
      <c r="O15" s="1045" t="e">
        <f>VLOOKUP($A15,T_Calog,O$3,0)</f>
        <v>#N/A</v>
      </c>
      <c r="P15" s="1062"/>
      <c r="Q15" s="1062"/>
      <c r="R15" s="1045" t="e">
        <f>VLOOKUP($A15,T_Calog,R$3,0)</f>
        <v>#N/A</v>
      </c>
      <c r="S15" s="1063"/>
      <c r="T15" s="1045" t="e">
        <f t="shared" ref="T15:AD15" si="20">VLOOKUP($A15,T_Calog,T$3,0)</f>
        <v>#N/A</v>
      </c>
      <c r="U15" s="1045" t="e">
        <f t="shared" si="20"/>
        <v>#N/A</v>
      </c>
      <c r="V15" s="1045" t="e">
        <f t="shared" si="20"/>
        <v>#N/A</v>
      </c>
      <c r="W15" s="1045" t="e">
        <f>VLOOKUP($A15,T_Calog,W$3,0)</f>
        <v>#N/A</v>
      </c>
      <c r="X15" s="2565" t="e">
        <f>VLOOKUP($A15,T_Calog,X$3,0)</f>
        <v>#N/A</v>
      </c>
      <c r="Y15" s="1045" t="e">
        <f>VLOOKUP($A15,T_Calog,Y$3,0)</f>
        <v>#N/A</v>
      </c>
      <c r="Z15" s="1045" t="e">
        <f t="shared" si="20"/>
        <v>#N/A</v>
      </c>
      <c r="AA15" s="1045" t="e">
        <f t="shared" si="20"/>
        <v>#N/A</v>
      </c>
      <c r="AB15" s="1045" t="e">
        <f t="shared" si="20"/>
        <v>#N/A</v>
      </c>
      <c r="AC15" s="1045" t="e">
        <f t="shared" si="20"/>
        <v>#N/A</v>
      </c>
      <c r="AD15" s="1045" t="e">
        <f t="shared" si="20"/>
        <v>#N/A</v>
      </c>
      <c r="AE15" s="1062"/>
      <c r="AF15" s="1062"/>
      <c r="AG15" s="1062"/>
      <c r="AH15" s="1045" t="e">
        <f t="shared" ref="AH15:AM15" si="21">VLOOKUP($A15,T_Calog,AH$3,0)</f>
        <v>#N/A</v>
      </c>
      <c r="AI15" s="1045" t="e">
        <f t="shared" si="21"/>
        <v>#N/A</v>
      </c>
      <c r="AJ15" s="1045" t="e">
        <f t="shared" si="21"/>
        <v>#N/A</v>
      </c>
      <c r="AK15" s="1045" t="e">
        <f t="shared" si="21"/>
        <v>#N/A</v>
      </c>
      <c r="AL15" s="1045" t="e">
        <f t="shared" si="21"/>
        <v>#N/A</v>
      </c>
      <c r="AM15" s="1045" t="e">
        <f t="shared" si="21"/>
        <v>#N/A</v>
      </c>
      <c r="AN15" s="1062"/>
      <c r="AO15" s="1045" t="e">
        <f>VLOOKUP($A15,T_Calog,AO$3,0)</f>
        <v>#N/A</v>
      </c>
      <c r="AP15" s="1062"/>
      <c r="AQ15" s="1062"/>
      <c r="AR15" s="1063"/>
      <c r="AS15" s="1045" t="e">
        <f>VLOOKUP($A15,T_Calog,AS$3,0)</f>
        <v>#N/A</v>
      </c>
      <c r="AT15" s="1045" t="e">
        <f>VLOOKUP($A15,T_Calog,AT$3,0)</f>
        <v>#N/A</v>
      </c>
      <c r="AU15" s="1045" t="e">
        <f>VLOOKUP($A15,T_Calog,AU$3,0)</f>
        <v>#N/A</v>
      </c>
      <c r="AV15" s="1069" t="e">
        <f>VLOOKUP($A15,T_Calog,AV$3,0)</f>
        <v>#N/A</v>
      </c>
      <c r="AW15" s="2645" t="e">
        <f>IF($AW$1="=&gt;","",VLOOKUP($A15,T_Calog,AW$3,0))</f>
        <v>#N/A</v>
      </c>
      <c r="AX15" s="2646" t="e">
        <f>VLOOKUP($A15,T_Calog,AX$3,0)</f>
        <v>#N/A</v>
      </c>
      <c r="AY15" s="2647" t="e">
        <f>VLOOKUP($A15,T_Calog,AY$3,0)</f>
        <v>#N/A</v>
      </c>
      <c r="AZ15" s="2646" t="e">
        <f>VLOOKUP($A15,T_Calog,AZ$3,0)</f>
        <v>#N/A</v>
      </c>
      <c r="BA15" s="2648" t="e">
        <f>VLOOKUP($A15,T_Calog,BA$3,0)</f>
        <v>#N/A</v>
      </c>
      <c r="BB15" s="2659" t="e">
        <f>SUM(F15:BA15)</f>
        <v>#N/A</v>
      </c>
      <c r="BC15" s="1045" t="e">
        <f>IF(F15="",0,F15)+G15+IF(H15="",0,H15)+IF(J15="",0,J15)</f>
        <v>#N/A</v>
      </c>
      <c r="BD15" s="1079" t="e">
        <f>IF(I15="",0,I15)</f>
        <v>#N/A</v>
      </c>
      <c r="BE15" s="1079" t="e">
        <f>IF(M15="",0,M15)+IF(N15="",0,N15)+IF(O15="",0,O15)+IF(P15="",0,P15)+IF(Q15="",0,Q15)+IF(R15="",0,R15)+IF(S15="",0,S15)+IF(T15="",0,T15)+IF(U15="",0,U15)+IF(V40="",0,V40)+IF(W15="",0,W15)+IF(X15="",0,X15)+IF(LEFT($Y$1,6)="111-01",IF(Y15="",0,Y15),0)</f>
        <v>#N/A</v>
      </c>
      <c r="BF15" s="1080" t="e">
        <f>K15</f>
        <v>#N/A</v>
      </c>
      <c r="BG15" s="1080" t="e">
        <f>IF(Z15="",0,Z15)+IF(AA15="",0,AA15)+AI15+IF(AB15="",0,AB15)+IF(AC15="",0,AC15)+IF(AD15="",0,AD15)+IF(AE15="",0,AE15)+IF(AF15="",0,AF15)+IF(AG15="",0,AG15)+IF(AH15="",0,AH15)+IF(AI15="",0,AI15)</f>
        <v>#N/A</v>
      </c>
      <c r="BH15" s="1080" t="e">
        <f>AJ15</f>
        <v>#N/A</v>
      </c>
      <c r="BI15" s="2645" t="e">
        <f>AW15</f>
        <v>#N/A</v>
      </c>
      <c r="BJ15" s="2671" t="e">
        <f>AX15</f>
        <v>#N/A</v>
      </c>
      <c r="BK15" s="2672" t="e">
        <f>AY15</f>
        <v>#N/A</v>
      </c>
      <c r="BL15" s="1069" t="e">
        <f>IF(AK15="",0,AK15)+IF(AL15="",0,AL15)</f>
        <v>#N/A</v>
      </c>
      <c r="BM15" s="2671" t="e">
        <f>AZ15</f>
        <v>#N/A</v>
      </c>
      <c r="BN15" s="1079" t="e">
        <f>BA15</f>
        <v>#N/A</v>
      </c>
      <c r="BO15" s="1079" t="e">
        <f>AM15</f>
        <v>#N/A</v>
      </c>
      <c r="BP15" s="1084"/>
      <c r="BQ15" s="1069" t="e">
        <f>SUM(AO15:AV15)</f>
        <v>#N/A</v>
      </c>
      <c r="BR15" s="2659" t="e">
        <f>SUM(BC15:BQ15)</f>
        <v>#N/A</v>
      </c>
      <c r="BS15" s="55" t="e">
        <f>IF(OR(BB15&lt;&gt;BR15,ROUND(BR15-BT15,2)&lt;&gt;0),((BB15+BR15)-(2*BT15))/2,"")</f>
        <v>#N/A</v>
      </c>
      <c r="BT15" s="1045" t="e">
        <f>VLOOKUP($A15,T_Calog,BT$3,0)</f>
        <v>#N/A</v>
      </c>
      <c r="BU15" s="55"/>
      <c r="BV15" s="55"/>
      <c r="BW15" s="55"/>
      <c r="BX15" s="55"/>
      <c r="BY15" s="55"/>
      <c r="BZ15" s="55"/>
      <c r="CA15" s="55"/>
      <c r="CB15" s="55"/>
      <c r="CC15" s="55"/>
      <c r="CD15" s="55"/>
      <c r="CE15" s="55"/>
      <c r="CF15" s="1064"/>
      <c r="CG15" s="55"/>
      <c r="CH15" s="1064"/>
      <c r="CI15" s="1064"/>
      <c r="CJ15" s="55"/>
      <c r="CK15" s="55"/>
      <c r="CL15" s="55"/>
      <c r="CM15" s="1059"/>
      <c r="CN15" s="55"/>
      <c r="CO15" s="55"/>
      <c r="CP15" s="55"/>
      <c r="CQ15" s="55"/>
      <c r="CR15" s="55"/>
      <c r="CS15" s="55"/>
      <c r="CT15" s="55"/>
      <c r="CU15" s="55"/>
      <c r="CV15" s="55"/>
      <c r="CW15" s="55"/>
      <c r="CX15" s="55"/>
      <c r="CY15" s="55"/>
      <c r="CZ15" s="1059"/>
    </row>
    <row r="16" spans="1:246" s="15" customFormat="1" ht="11.25">
      <c r="A16" s="1051"/>
      <c r="B16" s="1052"/>
      <c r="C16" s="1065"/>
      <c r="D16" s="1054"/>
      <c r="E16" s="1055"/>
      <c r="F16" s="1056"/>
      <c r="G16" s="1056"/>
      <c r="H16" s="1062"/>
      <c r="I16" s="1056"/>
      <c r="J16" s="1045"/>
      <c r="K16" s="1045"/>
      <c r="L16" s="1045"/>
      <c r="M16" s="1062"/>
      <c r="N16" s="1062"/>
      <c r="O16" s="1045"/>
      <c r="P16" s="1062"/>
      <c r="Q16" s="1062"/>
      <c r="R16" s="1056"/>
      <c r="S16" s="1063"/>
      <c r="T16" s="1056"/>
      <c r="U16" s="1056"/>
      <c r="V16" s="1056"/>
      <c r="W16" s="1056"/>
      <c r="X16" s="1056"/>
      <c r="Y16" s="1056"/>
      <c r="Z16" s="1056"/>
      <c r="AA16" s="1056"/>
      <c r="AB16" s="1056"/>
      <c r="AC16" s="1056"/>
      <c r="AD16" s="1056"/>
      <c r="AE16" s="1067"/>
      <c r="AF16" s="1067"/>
      <c r="AG16" s="1067"/>
      <c r="AH16" s="1056"/>
      <c r="AI16" s="1056"/>
      <c r="AJ16" s="1056"/>
      <c r="AK16" s="1068"/>
      <c r="AL16" s="1068"/>
      <c r="AM16" s="1056"/>
      <c r="AN16" s="1067"/>
      <c r="AO16" s="1056"/>
      <c r="AP16" s="1067"/>
      <c r="AQ16" s="1067"/>
      <c r="AR16" s="1066"/>
      <c r="AS16" s="1056"/>
      <c r="AT16" s="1056"/>
      <c r="AU16" s="1056"/>
      <c r="AV16" s="1068"/>
      <c r="AW16" s="2645"/>
      <c r="AX16" s="2646"/>
      <c r="AY16" s="2647"/>
      <c r="AZ16" s="2646"/>
      <c r="BA16" s="2648"/>
      <c r="BB16" s="2659"/>
      <c r="BC16" s="1056"/>
      <c r="BD16" s="1081"/>
      <c r="BE16" s="1081"/>
      <c r="BF16" s="1080"/>
      <c r="BG16" s="1082"/>
      <c r="BH16" s="1082"/>
      <c r="BI16" s="2645"/>
      <c r="BJ16" s="2671"/>
      <c r="BK16" s="2672"/>
      <c r="BL16" s="1068"/>
      <c r="BM16" s="2799"/>
      <c r="BN16" s="1081"/>
      <c r="BO16" s="1081"/>
      <c r="BP16" s="1084"/>
      <c r="BQ16" s="1069"/>
      <c r="BR16" s="2659"/>
      <c r="BS16" s="55"/>
      <c r="BT16" s="1068"/>
    </row>
    <row r="17" spans="1:105" s="15" customFormat="1" ht="12" thickBot="1">
      <c r="A17" s="2728"/>
      <c r="B17" s="2729"/>
      <c r="C17" s="2730"/>
      <c r="D17" s="2723"/>
      <c r="E17" s="2724"/>
      <c r="F17" s="2617"/>
      <c r="G17" s="2617"/>
      <c r="H17" s="2630"/>
      <c r="I17" s="2617"/>
      <c r="J17" s="2617"/>
      <c r="K17" s="2617"/>
      <c r="L17" s="2617"/>
      <c r="M17" s="2630"/>
      <c r="N17" s="2630"/>
      <c r="O17" s="2617"/>
      <c r="P17" s="2630"/>
      <c r="Q17" s="2630"/>
      <c r="R17" s="2617"/>
      <c r="S17" s="2725"/>
      <c r="T17" s="2617"/>
      <c r="U17" s="2617"/>
      <c r="V17" s="2617"/>
      <c r="W17" s="2617"/>
      <c r="X17" s="2617"/>
      <c r="Y17" s="2617"/>
      <c r="Z17" s="2617"/>
      <c r="AA17" s="2617"/>
      <c r="AB17" s="2617"/>
      <c r="AC17" s="2617"/>
      <c r="AD17" s="2617"/>
      <c r="AE17" s="2731"/>
      <c r="AF17" s="2731"/>
      <c r="AG17" s="2731"/>
      <c r="AH17" s="2617"/>
      <c r="AI17" s="2617"/>
      <c r="AJ17" s="2617"/>
      <c r="AK17" s="2617"/>
      <c r="AL17" s="2617"/>
      <c r="AM17" s="2617"/>
      <c r="AN17" s="2731"/>
      <c r="AO17" s="2617"/>
      <c r="AP17" s="2731"/>
      <c r="AQ17" s="2731"/>
      <c r="AR17" s="2732"/>
      <c r="AS17" s="2617"/>
      <c r="AT17" s="2617"/>
      <c r="AU17" s="2617"/>
      <c r="AV17" s="2434"/>
      <c r="AW17" s="2673"/>
      <c r="AX17" s="2733"/>
      <c r="AY17" s="2734"/>
      <c r="AZ17" s="2733"/>
      <c r="BA17" s="2735"/>
      <c r="BB17" s="2661"/>
      <c r="BC17" s="2617"/>
      <c r="BD17" s="2726"/>
      <c r="BE17" s="2726"/>
      <c r="BF17" s="2618"/>
      <c r="BG17" s="2618"/>
      <c r="BH17" s="2618"/>
      <c r="BI17" s="2673"/>
      <c r="BJ17" s="2736"/>
      <c r="BK17" s="2674"/>
      <c r="BL17" s="2434"/>
      <c r="BM17" s="2736"/>
      <c r="BN17" s="2726"/>
      <c r="BO17" s="2726"/>
      <c r="BP17" s="1084"/>
      <c r="BQ17" s="2434"/>
      <c r="BR17" s="2661"/>
      <c r="BS17" s="55" t="str">
        <f>IF(OR(BR17="",BB17-BR17&lt;0.01),"",CONCATENATE("error ",ROUND(BB17-BR17,2)))</f>
        <v/>
      </c>
      <c r="BT17" s="2434"/>
    </row>
    <row r="18" spans="1:105" s="15" customFormat="1" ht="13.5" thickBot="1">
      <c r="A18" s="2692">
        <f>COUNT(A15:A17)</f>
        <v>0</v>
      </c>
      <c r="B18" s="2693"/>
      <c r="C18" s="2752">
        <v>33091</v>
      </c>
      <c r="D18" s="2753" t="s">
        <v>2730</v>
      </c>
      <c r="E18" s="2754"/>
      <c r="F18" s="2697" t="e">
        <f>SUM(F15:F17)</f>
        <v>#N/A</v>
      </c>
      <c r="G18" s="2697" t="e">
        <f>SUM(G15:G17)</f>
        <v>#N/A</v>
      </c>
      <c r="H18" s="2755"/>
      <c r="I18" s="2697" t="e">
        <f>SUM(I15:I17)</f>
        <v>#N/A</v>
      </c>
      <c r="J18" s="2697" t="e">
        <f>SUM(J15:J17)</f>
        <v>#N/A</v>
      </c>
      <c r="K18" s="2697" t="e">
        <f>SUM(K15:K17)</f>
        <v>#N/A</v>
      </c>
      <c r="L18" s="2697" t="e">
        <f>SUM(L15:L17)</f>
        <v>#N/A</v>
      </c>
      <c r="M18" s="2755"/>
      <c r="N18" s="2755"/>
      <c r="O18" s="2697" t="e">
        <f>SUM(O15:O17)</f>
        <v>#N/A</v>
      </c>
      <c r="P18" s="2755"/>
      <c r="Q18" s="2755"/>
      <c r="R18" s="2697" t="e">
        <f>SUM(R15:R17)</f>
        <v>#N/A</v>
      </c>
      <c r="S18" s="2756"/>
      <c r="T18" s="2697" t="e">
        <f t="shared" ref="T18:AD18" si="22">SUM(T15:T17)</f>
        <v>#N/A</v>
      </c>
      <c r="U18" s="2697" t="e">
        <f t="shared" si="22"/>
        <v>#N/A</v>
      </c>
      <c r="V18" s="2697" t="e">
        <f t="shared" si="22"/>
        <v>#N/A</v>
      </c>
      <c r="W18" s="2697" t="e">
        <f t="shared" si="22"/>
        <v>#N/A</v>
      </c>
      <c r="X18" s="2697" t="e">
        <f t="shared" si="22"/>
        <v>#N/A</v>
      </c>
      <c r="Y18" s="2697" t="e">
        <f t="shared" si="22"/>
        <v>#N/A</v>
      </c>
      <c r="Z18" s="2697" t="e">
        <f t="shared" si="22"/>
        <v>#N/A</v>
      </c>
      <c r="AA18" s="2697" t="e">
        <f t="shared" si="22"/>
        <v>#N/A</v>
      </c>
      <c r="AB18" s="2697" t="e">
        <f t="shared" si="22"/>
        <v>#N/A</v>
      </c>
      <c r="AC18" s="2697" t="e">
        <f t="shared" si="22"/>
        <v>#N/A</v>
      </c>
      <c r="AD18" s="2697" t="e">
        <f t="shared" si="22"/>
        <v>#N/A</v>
      </c>
      <c r="AE18" s="2755"/>
      <c r="AF18" s="2755"/>
      <c r="AG18" s="2755"/>
      <c r="AH18" s="2697" t="e">
        <f t="shared" ref="AH18:AM18" si="23">SUM(AH15:AH17)</f>
        <v>#N/A</v>
      </c>
      <c r="AI18" s="2697" t="e">
        <f t="shared" si="23"/>
        <v>#N/A</v>
      </c>
      <c r="AJ18" s="2697" t="e">
        <f t="shared" si="23"/>
        <v>#N/A</v>
      </c>
      <c r="AK18" s="2697" t="e">
        <f t="shared" si="23"/>
        <v>#N/A</v>
      </c>
      <c r="AL18" s="2697" t="e">
        <f t="shared" si="23"/>
        <v>#N/A</v>
      </c>
      <c r="AM18" s="2697" t="e">
        <f t="shared" si="23"/>
        <v>#N/A</v>
      </c>
      <c r="AN18" s="2755"/>
      <c r="AO18" s="2697" t="e">
        <f>SUM(AO15:AO17)</f>
        <v>#N/A</v>
      </c>
      <c r="AP18" s="2755"/>
      <c r="AQ18" s="2755"/>
      <c r="AR18" s="2756"/>
      <c r="AS18" s="2697" t="e">
        <f t="shared" ref="AS18:BO18" si="24">SUM(AS15:AS17)</f>
        <v>#N/A</v>
      </c>
      <c r="AT18" s="2697" t="e">
        <f t="shared" si="24"/>
        <v>#N/A</v>
      </c>
      <c r="AU18" s="2697" t="e">
        <f t="shared" si="24"/>
        <v>#N/A</v>
      </c>
      <c r="AV18" s="2700" t="e">
        <f t="shared" si="24"/>
        <v>#N/A</v>
      </c>
      <c r="AW18" s="2757" t="e">
        <f t="shared" si="24"/>
        <v>#N/A</v>
      </c>
      <c r="AX18" s="2758" t="e">
        <f t="shared" si="24"/>
        <v>#N/A</v>
      </c>
      <c r="AY18" s="2759" t="e">
        <f t="shared" si="24"/>
        <v>#N/A</v>
      </c>
      <c r="AZ18" s="2758" t="e">
        <f t="shared" si="24"/>
        <v>#N/A</v>
      </c>
      <c r="BA18" s="2760" t="e">
        <f t="shared" si="24"/>
        <v>#N/A</v>
      </c>
      <c r="BB18" s="2785" t="e">
        <f t="shared" si="24"/>
        <v>#N/A</v>
      </c>
      <c r="BC18" s="2697" t="e">
        <f t="shared" si="24"/>
        <v>#N/A</v>
      </c>
      <c r="BD18" s="2705" t="e">
        <f t="shared" si="24"/>
        <v>#N/A</v>
      </c>
      <c r="BE18" s="2705" t="e">
        <f t="shared" si="24"/>
        <v>#N/A</v>
      </c>
      <c r="BF18" s="2705" t="e">
        <f t="shared" si="24"/>
        <v>#N/A</v>
      </c>
      <c r="BG18" s="2761" t="e">
        <f t="shared" si="24"/>
        <v>#N/A</v>
      </c>
      <c r="BH18" s="2761" t="e">
        <f t="shared" si="24"/>
        <v>#N/A</v>
      </c>
      <c r="BI18" s="2757" t="e">
        <f t="shared" si="24"/>
        <v>#N/A</v>
      </c>
      <c r="BJ18" s="2762" t="e">
        <f t="shared" si="24"/>
        <v>#N/A</v>
      </c>
      <c r="BK18" s="2763" t="e">
        <f t="shared" si="24"/>
        <v>#N/A</v>
      </c>
      <c r="BL18" s="2700" t="e">
        <f t="shared" si="24"/>
        <v>#N/A</v>
      </c>
      <c r="BM18" s="2762" t="e">
        <f t="shared" si="24"/>
        <v>#N/A</v>
      </c>
      <c r="BN18" s="2705" t="e">
        <f t="shared" si="24"/>
        <v>#N/A</v>
      </c>
      <c r="BO18" s="2705" t="e">
        <f t="shared" si="24"/>
        <v>#N/A</v>
      </c>
      <c r="BP18" s="2764"/>
      <c r="BQ18" s="2700" t="e">
        <f>SUM(BQ15:BQ17)</f>
        <v>#N/A</v>
      </c>
      <c r="BR18" s="2791" t="e">
        <f>SUM(BR15:BR17)</f>
        <v>#N/A</v>
      </c>
      <c r="BS18" s="2700" t="e">
        <f>IF(ROUND(BR18,2)=ROUND(SUM(BC18:BQ18),2),"OK",CONCATENATE("Error :",BR18-SUM(BC18:BQ18)))</f>
        <v>#N/A</v>
      </c>
      <c r="BT18" s="2765" t="e">
        <f>SUM(BT15:BT17)</f>
        <v>#N/A</v>
      </c>
    </row>
    <row r="19" spans="1:105">
      <c r="A19" s="2737"/>
      <c r="B19" s="2825">
        <f>Calog!D1</f>
        <v>1</v>
      </c>
      <c r="C19" s="2739"/>
      <c r="D19" s="2740">
        <f>A18+A25</f>
        <v>0</v>
      </c>
      <c r="E19" s="2741" t="str">
        <f>IF(D19=B19,"",IF(D19&lt;B19,CONCATENATE("CALog ou A.P.E.: ",B19-D19," ligne(s) à ajouter !"),CONCATENATE("CALog ou A.P.E.: ",D19-B19," ligne(s)  #N/A à supprimer !")))</f>
        <v>CALog ou A.P.E.: 1 ligne(s) à ajouter !</v>
      </c>
      <c r="F19" s="2742"/>
      <c r="G19" s="2742"/>
      <c r="H19" s="2742"/>
      <c r="I19" s="2742"/>
      <c r="J19" s="2742"/>
      <c r="K19" s="2742"/>
      <c r="L19" s="2742"/>
      <c r="M19" s="2742"/>
      <c r="N19" s="2742"/>
      <c r="O19" s="2742"/>
      <c r="P19" s="2743"/>
      <c r="Q19" s="2742"/>
      <c r="R19" s="2742"/>
      <c r="S19" s="766"/>
      <c r="T19" s="2742"/>
      <c r="U19" s="2742"/>
      <c r="V19" s="2742"/>
      <c r="W19" s="2742"/>
      <c r="X19" s="2742"/>
      <c r="Y19" s="2742"/>
      <c r="Z19" s="2742"/>
      <c r="AA19" s="2742"/>
      <c r="AB19" s="2742"/>
      <c r="AC19" s="2742"/>
      <c r="AD19" s="2742"/>
      <c r="AE19" s="2742"/>
      <c r="AF19" s="2742"/>
      <c r="AG19" s="2742"/>
      <c r="AH19" s="2742"/>
      <c r="AI19" s="2742"/>
      <c r="AJ19" s="2742"/>
      <c r="AK19" s="2742"/>
      <c r="AL19" s="2742"/>
      <c r="AM19" s="2742"/>
      <c r="AN19" s="2742"/>
      <c r="AO19" s="2742"/>
      <c r="AP19" s="2742"/>
      <c r="AQ19" s="2742"/>
      <c r="AR19" s="766"/>
      <c r="AS19" s="2742"/>
      <c r="AT19" s="2742"/>
      <c r="AU19" s="2742"/>
      <c r="AV19" s="2738"/>
      <c r="AW19" s="2744"/>
      <c r="AX19" s="2742"/>
      <c r="AY19" s="2745"/>
      <c r="AZ19" s="2742"/>
      <c r="BA19" s="2738"/>
      <c r="BB19" s="2786"/>
      <c r="BC19" s="2742"/>
      <c r="BD19" s="2747"/>
      <c r="BE19" s="2747"/>
      <c r="BF19" s="2748"/>
      <c r="BG19" s="2748"/>
      <c r="BH19" s="2748"/>
      <c r="BI19" s="2749"/>
      <c r="BJ19" s="2750"/>
      <c r="BK19" s="2751"/>
      <c r="BL19" s="2738"/>
      <c r="BM19" s="2750"/>
      <c r="BN19" s="2747"/>
      <c r="BO19" s="2747"/>
      <c r="BP19" s="2747"/>
      <c r="BQ19" s="2738"/>
      <c r="BR19" s="2746" t="e">
        <f>+Calog!EV1-'Total_Code X-1'!BR18</f>
        <v>#N/A</v>
      </c>
      <c r="BS19" s="505" t="e">
        <f>IF(BB19-BR19&lt;0.01,"","error")</f>
        <v>#N/A</v>
      </c>
      <c r="BT19" s="2738"/>
    </row>
    <row r="20" spans="1:105">
      <c r="A20" s="79"/>
      <c r="B20" s="16">
        <f>EcoAPE</f>
        <v>3</v>
      </c>
      <c r="C20" s="433">
        <f>FunctCodCtl_G</f>
        <v>0</v>
      </c>
      <c r="D20" s="166"/>
      <c r="E20" s="70"/>
      <c r="F20" s="774"/>
      <c r="G20" s="774"/>
      <c r="H20" s="774"/>
      <c r="I20" s="774"/>
      <c r="J20" s="774"/>
      <c r="K20" s="774"/>
      <c r="L20" s="774"/>
      <c r="M20" s="774"/>
      <c r="N20" s="774"/>
      <c r="O20" s="774"/>
      <c r="P20" s="774"/>
      <c r="Q20" s="774"/>
      <c r="R20" s="774"/>
      <c r="S20" s="774"/>
      <c r="T20" s="774"/>
      <c r="U20" s="774"/>
      <c r="V20" s="774"/>
      <c r="W20" s="774"/>
      <c r="X20" s="774"/>
      <c r="Y20" s="774"/>
      <c r="Z20" s="774"/>
      <c r="AA20" s="774"/>
      <c r="AB20" s="774"/>
      <c r="AC20" s="774"/>
      <c r="AD20" s="774"/>
      <c r="AE20" s="774"/>
      <c r="AF20" s="774"/>
      <c r="AG20" s="774"/>
      <c r="AH20" s="774"/>
      <c r="AI20" s="774"/>
      <c r="AJ20" s="774"/>
      <c r="AK20" s="774"/>
      <c r="AL20" s="774"/>
      <c r="AM20" s="774"/>
      <c r="AN20" s="774"/>
      <c r="AO20" s="774"/>
      <c r="AP20" s="774"/>
      <c r="AQ20" s="774"/>
      <c r="AR20" s="774"/>
      <c r="AS20" s="774"/>
      <c r="AT20" s="774"/>
      <c r="AU20" s="774"/>
      <c r="AV20" s="952"/>
      <c r="AW20" s="1778"/>
      <c r="AX20" s="16"/>
      <c r="AY20" s="2574"/>
      <c r="AZ20" s="16"/>
      <c r="BA20" s="16"/>
      <c r="BB20" s="2658"/>
      <c r="BC20" s="767" t="e">
        <f t="shared" ref="BC20:BQ20" si="25">SUBTOTAL(9,BC22:BC24)</f>
        <v>#N/A</v>
      </c>
      <c r="BD20" s="814" t="e">
        <f t="shared" si="25"/>
        <v>#N/A</v>
      </c>
      <c r="BE20" s="814" t="e">
        <f t="shared" si="25"/>
        <v>#N/A</v>
      </c>
      <c r="BF20" s="815" t="e">
        <f t="shared" si="25"/>
        <v>#N/A</v>
      </c>
      <c r="BG20" s="815" t="e">
        <f t="shared" si="25"/>
        <v>#N/A</v>
      </c>
      <c r="BH20" s="815" t="e">
        <f t="shared" si="25"/>
        <v>#N/A</v>
      </c>
      <c r="BI20" s="1598" t="e">
        <f t="shared" si="25"/>
        <v>#N/A</v>
      </c>
      <c r="BJ20" s="814">
        <f t="shared" si="25"/>
        <v>0</v>
      </c>
      <c r="BK20" s="816" t="e">
        <f t="shared" si="25"/>
        <v>#N/A</v>
      </c>
      <c r="BL20" s="1750" t="e">
        <f t="shared" si="25"/>
        <v>#N/A</v>
      </c>
      <c r="BM20" s="814" t="e">
        <f t="shared" si="25"/>
        <v>#N/A</v>
      </c>
      <c r="BN20" s="814" t="e">
        <f t="shared" si="25"/>
        <v>#N/A</v>
      </c>
      <c r="BO20" s="814" t="e">
        <f t="shared" si="25"/>
        <v>#N/A</v>
      </c>
      <c r="BP20" s="814">
        <f t="shared" si="25"/>
        <v>0</v>
      </c>
      <c r="BQ20" s="1750" t="e">
        <f t="shared" si="25"/>
        <v>#N/A</v>
      </c>
      <c r="BR20" s="1786" t="e">
        <f>SUM(BR22:BR24)</f>
        <v>#N/A</v>
      </c>
      <c r="BS20" s="505"/>
      <c r="BT20" s="768" t="e">
        <f>SUM(BT22:BT24)</f>
        <v>#N/A</v>
      </c>
    </row>
    <row r="21" spans="1:105" ht="39" thickBot="1">
      <c r="A21" s="778"/>
      <c r="B21" s="779"/>
      <c r="C21" s="1129" t="s">
        <v>3931</v>
      </c>
      <c r="D21" s="1130" t="s">
        <v>3932</v>
      </c>
      <c r="E21" s="1131" t="s">
        <v>3934</v>
      </c>
      <c r="F21" s="50" t="str">
        <f>FormAide!A5</f>
        <v>111-02/00</v>
      </c>
      <c r="G21" s="50"/>
      <c r="H21" s="50" t="str">
        <f>FormAide!A8</f>
        <v>---</v>
      </c>
      <c r="I21" s="50" t="str">
        <f>FormAide!A9</f>
        <v>111-02/02</v>
      </c>
      <c r="J21" s="50" t="str">
        <f>FormAide!A10</f>
        <v>111-02/04</v>
      </c>
      <c r="K21" s="50" t="str">
        <f>FormAide!A13</f>
        <v>111-02/12</v>
      </c>
      <c r="L21" s="50" t="str">
        <f>L1</f>
        <v>111-01/14</v>
      </c>
      <c r="M21" s="50" t="str">
        <f>FormAide!A26</f>
        <v>---</v>
      </c>
      <c r="N21" s="50" t="str">
        <f>FormAide!A27</f>
        <v>---</v>
      </c>
      <c r="O21" s="50" t="str">
        <f>FormAide!B27</f>
        <v>---</v>
      </c>
      <c r="P21" s="50" t="str">
        <f>FormAide!A29</f>
        <v>---</v>
      </c>
      <c r="Q21" s="50" t="str">
        <f>FormAide!A30</f>
        <v>---</v>
      </c>
      <c r="R21" s="50" t="str">
        <f>FormAide!A31</f>
        <v>111-02/40</v>
      </c>
      <c r="S21" s="50" t="str">
        <f>FormAide!A32</f>
        <v>---</v>
      </c>
      <c r="T21" s="50" t="str">
        <f>FormAide!A33</f>
        <v>111-02/50</v>
      </c>
      <c r="U21" s="50" t="str">
        <f>FormAide!A34</f>
        <v>111-02/51</v>
      </c>
      <c r="V21" s="50" t="str">
        <f>FormAide!A35</f>
        <v>---</v>
      </c>
      <c r="W21" s="50" t="s">
        <v>4338</v>
      </c>
      <c r="X21" s="50" t="s">
        <v>4338</v>
      </c>
      <c r="Y21" s="50" t="str">
        <f>FormAide!A41</f>
        <v>111-02/99</v>
      </c>
      <c r="Z21" s="50" t="str">
        <f>FormAide!A16</f>
        <v>111-09/00</v>
      </c>
      <c r="AA21" s="50" t="str">
        <f>FormAide!A17</f>
        <v>111-09/01</v>
      </c>
      <c r="AB21" s="50" t="str">
        <f>FormAide!A18</f>
        <v>111-09/20</v>
      </c>
      <c r="AC21" s="50" t="str">
        <f>FormAide!A19</f>
        <v>111-09/21</v>
      </c>
      <c r="AD21" s="50" t="str">
        <f>FormAide!A20</f>
        <v>111-09/03</v>
      </c>
      <c r="AE21" s="50" t="str">
        <f>FormAide!A21</f>
        <v>---</v>
      </c>
      <c r="AF21" s="50" t="str">
        <f>FormAide!A22</f>
        <v>---</v>
      </c>
      <c r="AG21" s="50" t="str">
        <f>FormAide!A23</f>
        <v>---</v>
      </c>
      <c r="AH21" s="50" t="str">
        <f>FormAide!B23</f>
        <v>---</v>
      </c>
      <c r="AI21" s="2629" t="s">
        <v>5321</v>
      </c>
      <c r="AJ21" s="50" t="s">
        <v>3902</v>
      </c>
      <c r="AK21" s="52" t="str">
        <f>FormAide!A48</f>
        <v>115-02/10</v>
      </c>
      <c r="AL21" s="52" t="str">
        <f>FormAide!A49</f>
        <v>115-02/11</v>
      </c>
      <c r="AM21" s="50" t="str">
        <f>FormAide!A50</f>
        <v>121-01</v>
      </c>
      <c r="AN21" s="50" t="str">
        <f>FormAide!A22</f>
        <v>---</v>
      </c>
      <c r="AO21" s="50" t="str">
        <f>FormAide!A44</f>
        <v>121-48/01</v>
      </c>
      <c r="AP21" s="50" t="str">
        <f>FormAide!A45</f>
        <v>---</v>
      </c>
      <c r="AQ21" s="50" t="str">
        <f>FormAide!A51</f>
        <v>---</v>
      </c>
      <c r="AR21" s="50" t="str">
        <f>FormAide!A46</f>
        <v>---</v>
      </c>
      <c r="AS21" s="50" t="str">
        <f>FormAide!A52</f>
        <v>121-48/20</v>
      </c>
      <c r="AT21" s="50" t="str">
        <f>FormAide!A53</f>
        <v>121-48/21</v>
      </c>
      <c r="AU21" s="50" t="str">
        <f>FormAide!B54</f>
        <v>121-48/22</v>
      </c>
      <c r="AV21" s="52" t="str">
        <f>FormAide!A55</f>
        <v>121-48/99</v>
      </c>
      <c r="AW21" s="1600" t="str">
        <f>FormAide!A56</f>
        <v>113-02</v>
      </c>
      <c r="AX21" s="50" t="s">
        <v>4338</v>
      </c>
      <c r="AY21" s="509" t="str">
        <f>FormAide!A58</f>
        <v>113-09</v>
      </c>
      <c r="AZ21" s="53" t="str">
        <f>FormAide!A59</f>
        <v>117-01</v>
      </c>
      <c r="BA21" s="52" t="str">
        <f>FormAide!A60</f>
        <v>118-01</v>
      </c>
      <c r="BB21" s="2660"/>
      <c r="BC21" s="172" t="s">
        <v>1741</v>
      </c>
      <c r="BD21" s="173" t="s">
        <v>1796</v>
      </c>
      <c r="BE21" s="173" t="s">
        <v>2762</v>
      </c>
      <c r="BF21" s="515" t="s">
        <v>4174</v>
      </c>
      <c r="BG21" s="515">
        <v>11109</v>
      </c>
      <c r="BH21" s="515" t="str">
        <f>BH4</f>
        <v>112-01</v>
      </c>
      <c r="BI21" s="1599" t="s">
        <v>343</v>
      </c>
      <c r="BJ21" s="50" t="s">
        <v>4338</v>
      </c>
      <c r="BK21" s="509" t="s">
        <v>2764</v>
      </c>
      <c r="BL21" s="1751" t="str">
        <f>LEFT(FormAide!A48,6)</f>
        <v>115-02</v>
      </c>
      <c r="BM21" s="1751" t="str">
        <f>FormAide!A59</f>
        <v>117-01</v>
      </c>
      <c r="BN21" s="1751" t="str">
        <f>FormAide!A60</f>
        <v>118-01</v>
      </c>
      <c r="BO21" s="173" t="str">
        <f>FormAide!A50</f>
        <v>121-01</v>
      </c>
      <c r="BP21" s="50" t="str">
        <f>FormAide!A43</f>
        <v>---</v>
      </c>
      <c r="BQ21" s="1751" t="str">
        <f>LEFT(FormAide!A44,6)</f>
        <v>121-48</v>
      </c>
      <c r="BR21" s="2793" t="s">
        <v>1363</v>
      </c>
      <c r="BS21" s="491"/>
      <c r="BT21" s="50" t="str">
        <f>BT1</f>
        <v>check
indiv
TOT</v>
      </c>
    </row>
    <row r="22" spans="1:105" s="15" customFormat="1" ht="13.5" thickTop="1">
      <c r="A22" s="1070"/>
      <c r="B22" s="1041" t="e">
        <f>VLOOKUP($A22,T_Calog,20,0)</f>
        <v>#N/A</v>
      </c>
      <c r="C22" s="1042" t="e">
        <f>VLOOKUP($A22,T_Calog,B$3,0)</f>
        <v>#N/A</v>
      </c>
      <c r="D22" s="1043" t="s">
        <v>40</v>
      </c>
      <c r="E22" s="1044" t="e">
        <f>VLOOKUP($A22,T_Calog,D$3,0)</f>
        <v>#N/A</v>
      </c>
      <c r="F22" s="1045" t="e">
        <f>VLOOKUP($A22,T_Calog,F$3,0)</f>
        <v>#N/A</v>
      </c>
      <c r="G22" s="1045" t="e">
        <f>IF(VLOOKUP($A22,T_Calog,G$3,0)&lt;0,0,VLOOKUP($A22,T_Calog,G$3,0))</f>
        <v>#N/A</v>
      </c>
      <c r="H22" s="1062"/>
      <c r="I22" s="1045" t="e">
        <f>VLOOKUP($A22,T_Calog,I$3,0)</f>
        <v>#N/A</v>
      </c>
      <c r="J22" s="1045" t="e">
        <f>VLOOKUP($A22,T_Calog,J$3,0)</f>
        <v>#N/A</v>
      </c>
      <c r="K22" s="1045" t="e">
        <f>VLOOKUP($A22,T_Calog,K$3,0)</f>
        <v>#N/A</v>
      </c>
      <c r="L22" s="1045" t="e">
        <f>VLOOKUP($A22,T_Calog,L$3,0)</f>
        <v>#N/A</v>
      </c>
      <c r="M22" s="1062"/>
      <c r="N22" s="1062"/>
      <c r="O22" s="1062"/>
      <c r="P22" s="1062"/>
      <c r="Q22" s="1062"/>
      <c r="R22" s="1045" t="e">
        <f>VLOOKUP($A22,T_Calog,R$3,0)</f>
        <v>#N/A</v>
      </c>
      <c r="S22" s="1063"/>
      <c r="T22" s="1045" t="e">
        <f t="shared" ref="T22:AD22" si="26">VLOOKUP($A22,T_Calog,T$3,0)</f>
        <v>#N/A</v>
      </c>
      <c r="U22" s="1045" t="e">
        <f t="shared" si="26"/>
        <v>#N/A</v>
      </c>
      <c r="V22" s="1063"/>
      <c r="W22" s="1063"/>
      <c r="X22" s="1063"/>
      <c r="Y22" s="1045" t="e">
        <f t="shared" si="26"/>
        <v>#N/A</v>
      </c>
      <c r="Z22" s="1045" t="e">
        <f t="shared" si="26"/>
        <v>#N/A</v>
      </c>
      <c r="AA22" s="1045" t="e">
        <f t="shared" si="26"/>
        <v>#N/A</v>
      </c>
      <c r="AB22" s="1045" t="e">
        <f t="shared" si="26"/>
        <v>#N/A</v>
      </c>
      <c r="AC22" s="1045" t="e">
        <f t="shared" si="26"/>
        <v>#N/A</v>
      </c>
      <c r="AD22" s="1045" t="e">
        <f t="shared" si="26"/>
        <v>#N/A</v>
      </c>
      <c r="AE22" s="1062"/>
      <c r="AF22" s="1062"/>
      <c r="AG22" s="1062"/>
      <c r="AH22" s="1045" t="e">
        <f>VLOOKUP($A22,T_Calog,AH$3,0)</f>
        <v>#N/A</v>
      </c>
      <c r="AI22" s="1062"/>
      <c r="AJ22" s="1045" t="e">
        <f>VLOOKUP($A22,T_Calog,AJ$3,0)</f>
        <v>#N/A</v>
      </c>
      <c r="AK22" s="1045" t="e">
        <f>VLOOKUP($A22,T_Calog,AK$3,0)</f>
        <v>#N/A</v>
      </c>
      <c r="AL22" s="1045" t="e">
        <f>VLOOKUP($A22,T_Calog,AL$3,0)</f>
        <v>#N/A</v>
      </c>
      <c r="AM22" s="1045" t="e">
        <f>VLOOKUP($A22,T_Calog,AM$3,0)</f>
        <v>#N/A</v>
      </c>
      <c r="AN22" s="1062"/>
      <c r="AO22" s="1045" t="e">
        <f>VLOOKUP($A22,T_Calog,AO$3,0)</f>
        <v>#N/A</v>
      </c>
      <c r="AP22" s="1062"/>
      <c r="AQ22" s="1062"/>
      <c r="AR22" s="1063"/>
      <c r="AS22" s="1045" t="e">
        <f>VLOOKUP($A22,T_Calog,AS$3,0)</f>
        <v>#N/A</v>
      </c>
      <c r="AT22" s="1045" t="e">
        <f>VLOOKUP($A22,T_Calog,AT$3,0)</f>
        <v>#N/A</v>
      </c>
      <c r="AU22" s="1045" t="e">
        <f>VLOOKUP($A22,T_Calog,AU$3,0)</f>
        <v>#N/A</v>
      </c>
      <c r="AV22" s="1069" t="e">
        <f>VLOOKUP($A22,T_Calog,AV$3,0)</f>
        <v>#N/A</v>
      </c>
      <c r="AW22" s="2645" t="e">
        <f>IF($AW$1="=&gt;","",VLOOKUP($A22,T_Calog,AW$3,0))</f>
        <v>#N/A</v>
      </c>
      <c r="AX22" s="1084"/>
      <c r="AY22" s="2647" t="e">
        <f>VLOOKUP($A22,T_Calog,AY$3,0)</f>
        <v>#N/A</v>
      </c>
      <c r="AZ22" s="2646" t="e">
        <f>VLOOKUP($A22,T_Calog,AZ$3,0)</f>
        <v>#N/A</v>
      </c>
      <c r="BA22" s="2648" t="e">
        <f>VLOOKUP($A22,T_Calog,BA$3,0)</f>
        <v>#N/A</v>
      </c>
      <c r="BB22" s="2659" t="e">
        <f>SUM(F22:BA22)</f>
        <v>#N/A</v>
      </c>
      <c r="BC22" s="1045" t="e">
        <f>IF(F22="",0,F22)+G22+IF(H22="",0,H22)+IF(J22="",0,J22)</f>
        <v>#N/A</v>
      </c>
      <c r="BD22" s="1079" t="e">
        <f>IF(I22="",0,I22)</f>
        <v>#N/A</v>
      </c>
      <c r="BE22" s="1079" t="e">
        <f>IF(M22="",0,M22)+IF(N22="",0,N22)+IF(O22="",0,O22)+IF(P22="",0,P22)+IF(Q22="",0,Q22)+IF(R22="",0,R22)+IF(S22="",0,S22)+IF(T22="",0,T22)+IF(U22="",0,U22)+IF(W22="",0,W22)+IF(X22="",0,X22)+IF(LEFT($Y$1,6)="111-01",IF(Y22="",0,Y22),0)</f>
        <v>#N/A</v>
      </c>
      <c r="BF22" s="1080" t="e">
        <f>K22</f>
        <v>#N/A</v>
      </c>
      <c r="BG22" s="1080" t="e">
        <f>IF(Z22="",0,Z22)+IF(AA22="",0,AA22)+AI22+IF(AB22="",0,AB22)+IF(AC22="",0,AC22)+IF(AD22="",0,AD22)+IF(AE22="",0,AE22)+IF(AF22="",0,AF22)+IF(AG22="",0,AG22)+IF(AH22="",0,AH22)+IF(AI22="",0,AI22)</f>
        <v>#N/A</v>
      </c>
      <c r="BH22" s="1080" t="e">
        <f>AJ22</f>
        <v>#N/A</v>
      </c>
      <c r="BI22" s="2645" t="e">
        <f>AW22</f>
        <v>#N/A</v>
      </c>
      <c r="BJ22" s="1084"/>
      <c r="BK22" s="2672" t="e">
        <f>AY22</f>
        <v>#N/A</v>
      </c>
      <c r="BL22" s="1069" t="e">
        <f>IF(AK22="",0,AK22)+IF(AL22="",0,AL22)</f>
        <v>#N/A</v>
      </c>
      <c r="BM22" s="2671" t="e">
        <f>AZ22</f>
        <v>#N/A</v>
      </c>
      <c r="BN22" s="1079" t="e">
        <f>BA22</f>
        <v>#N/A</v>
      </c>
      <c r="BO22" s="1079" t="e">
        <f>AM22</f>
        <v>#N/A</v>
      </c>
      <c r="BP22" s="1084"/>
      <c r="BQ22" s="1069" t="e">
        <f>SUM(AO22:AV22)</f>
        <v>#N/A</v>
      </c>
      <c r="BR22" s="2659" t="e">
        <f>SUM(BC22:BQ22)</f>
        <v>#N/A</v>
      </c>
      <c r="BS22" s="55" t="e">
        <f>IF(OR(BB22&lt;&gt;BR22,ROUND(BR22-BT22,2)&lt;&gt;0),((BB22+BR22)-(2*BT22))/2,"")</f>
        <v>#N/A</v>
      </c>
      <c r="BT22" s="1045" t="e">
        <f>VLOOKUP($A22,T_Calog,BT$3,0)</f>
        <v>#N/A</v>
      </c>
      <c r="BU22" s="4"/>
      <c r="BV22" s="963"/>
      <c r="BW22" s="55"/>
      <c r="BX22" s="55"/>
      <c r="BY22" s="55"/>
      <c r="BZ22" s="55"/>
      <c r="CA22" s="55"/>
      <c r="CB22" s="55"/>
      <c r="CC22" s="55"/>
      <c r="CD22" s="55"/>
      <c r="CE22" s="55"/>
      <c r="CF22" s="55"/>
      <c r="CG22" s="1064"/>
      <c r="CH22" s="55"/>
      <c r="CI22" s="1064"/>
      <c r="CJ22" s="1064"/>
      <c r="CK22" s="55"/>
      <c r="CL22" s="55"/>
      <c r="CM22" s="55"/>
      <c r="CN22" s="1059"/>
      <c r="CO22" s="55"/>
      <c r="CP22" s="55"/>
      <c r="CQ22" s="55"/>
      <c r="CR22" s="55"/>
      <c r="CS22" s="55"/>
      <c r="CT22" s="55"/>
      <c r="CU22" s="55"/>
      <c r="CV22" s="55"/>
      <c r="CW22" s="55"/>
      <c r="CX22" s="55"/>
      <c r="CY22" s="55"/>
      <c r="CZ22" s="55"/>
      <c r="DA22" s="1059"/>
    </row>
    <row r="23" spans="1:105" s="15" customFormat="1">
      <c r="A23" s="1070"/>
      <c r="B23" s="1041"/>
      <c r="C23" s="1042"/>
      <c r="D23" s="1043"/>
      <c r="E23" s="1044"/>
      <c r="F23" s="1045"/>
      <c r="G23" s="1045"/>
      <c r="H23" s="1062"/>
      <c r="I23" s="1045"/>
      <c r="J23" s="1045"/>
      <c r="K23" s="1045"/>
      <c r="L23" s="1045"/>
      <c r="M23" s="1062"/>
      <c r="N23" s="1062"/>
      <c r="O23" s="1062"/>
      <c r="P23" s="1062"/>
      <c r="Q23" s="1062"/>
      <c r="R23" s="1045"/>
      <c r="S23" s="1063"/>
      <c r="T23" s="1045"/>
      <c r="U23" s="1045"/>
      <c r="V23" s="1063"/>
      <c r="W23" s="1063"/>
      <c r="X23" s="1063"/>
      <c r="Y23" s="1045"/>
      <c r="Z23" s="1045"/>
      <c r="AA23" s="1045"/>
      <c r="AB23" s="1045"/>
      <c r="AC23" s="1045"/>
      <c r="AD23" s="1045"/>
      <c r="AE23" s="1062"/>
      <c r="AF23" s="1062"/>
      <c r="AG23" s="1062"/>
      <c r="AH23" s="1045"/>
      <c r="AI23" s="1045"/>
      <c r="AJ23" s="1045"/>
      <c r="AK23" s="1045"/>
      <c r="AL23" s="1045"/>
      <c r="AM23" s="1045"/>
      <c r="AN23" s="1062"/>
      <c r="AO23" s="1045"/>
      <c r="AP23" s="1062"/>
      <c r="AQ23" s="1062"/>
      <c r="AR23" s="1063"/>
      <c r="AS23" s="1045"/>
      <c r="AT23" s="1045"/>
      <c r="AU23" s="1045"/>
      <c r="AV23" s="1045"/>
      <c r="AW23" s="2645"/>
      <c r="AX23" s="1084"/>
      <c r="AY23" s="2647"/>
      <c r="AZ23" s="2646"/>
      <c r="BA23" s="1069"/>
      <c r="BB23" s="2659"/>
      <c r="BC23" s="1056"/>
      <c r="BD23" s="1081"/>
      <c r="BE23" s="1081"/>
      <c r="BF23" s="1080"/>
      <c r="BG23" s="1082"/>
      <c r="BH23" s="1082"/>
      <c r="BI23" s="2645"/>
      <c r="BJ23" s="1084"/>
      <c r="BK23" s="2672"/>
      <c r="BL23" s="1068"/>
      <c r="BM23" s="2799"/>
      <c r="BN23" s="1081"/>
      <c r="BO23" s="1081"/>
      <c r="BP23" s="1084"/>
      <c r="BQ23" s="1069"/>
      <c r="BR23" s="2659"/>
      <c r="BS23" s="55"/>
      <c r="BT23" s="1068"/>
      <c r="BU23" s="4"/>
      <c r="BV23" s="963"/>
      <c r="BW23" s="55"/>
      <c r="BX23" s="55"/>
      <c r="BY23" s="55"/>
      <c r="BZ23" s="55"/>
      <c r="CA23" s="55"/>
      <c r="CB23" s="55"/>
      <c r="CC23" s="55"/>
      <c r="CD23" s="55"/>
      <c r="CE23" s="55"/>
      <c r="CF23" s="55"/>
      <c r="CG23" s="1064"/>
      <c r="CH23" s="55"/>
      <c r="CI23" s="1064"/>
      <c r="CJ23" s="1064"/>
      <c r="CK23" s="55"/>
      <c r="CL23" s="55"/>
      <c r="CM23" s="55"/>
      <c r="CN23" s="1059"/>
      <c r="CO23" s="55"/>
      <c r="CP23" s="55"/>
      <c r="CQ23" s="55"/>
      <c r="CR23" s="55"/>
      <c r="CS23" s="55"/>
      <c r="CT23" s="55"/>
      <c r="CU23" s="55"/>
      <c r="CV23" s="55"/>
      <c r="CW23" s="55"/>
      <c r="CX23" s="55"/>
      <c r="CY23" s="55"/>
      <c r="CZ23" s="55"/>
      <c r="DA23" s="1059"/>
    </row>
    <row r="24" spans="1:105" s="15" customFormat="1" ht="13.5" thickBot="1">
      <c r="A24" s="1070"/>
      <c r="B24" s="1041"/>
      <c r="C24" s="1042"/>
      <c r="D24" s="1043"/>
      <c r="E24" s="1044"/>
      <c r="F24" s="1045"/>
      <c r="G24" s="1045"/>
      <c r="H24" s="1062"/>
      <c r="I24" s="1045"/>
      <c r="J24" s="1045"/>
      <c r="K24" s="1045"/>
      <c r="L24" s="1045"/>
      <c r="M24" s="1062"/>
      <c r="N24" s="1062"/>
      <c r="O24" s="1062"/>
      <c r="P24" s="1062"/>
      <c r="Q24" s="1062"/>
      <c r="R24" s="1045"/>
      <c r="S24" s="1063"/>
      <c r="T24" s="1045"/>
      <c r="U24" s="1045"/>
      <c r="V24" s="1063"/>
      <c r="W24" s="1063"/>
      <c r="X24" s="1063"/>
      <c r="Y24" s="1045"/>
      <c r="Z24" s="1045"/>
      <c r="AA24" s="1045"/>
      <c r="AB24" s="1045"/>
      <c r="AC24" s="1045"/>
      <c r="AD24" s="1045"/>
      <c r="AE24" s="1062"/>
      <c r="AF24" s="1062"/>
      <c r="AG24" s="1062"/>
      <c r="AH24" s="1045"/>
      <c r="AI24" s="1045"/>
      <c r="AJ24" s="1045"/>
      <c r="AK24" s="1045"/>
      <c r="AL24" s="1045"/>
      <c r="AM24" s="1045"/>
      <c r="AN24" s="1062"/>
      <c r="AO24" s="1045"/>
      <c r="AP24" s="1062"/>
      <c r="AQ24" s="1062"/>
      <c r="AR24" s="1063"/>
      <c r="AS24" s="1045"/>
      <c r="AT24" s="1045"/>
      <c r="AU24" s="1045"/>
      <c r="AV24" s="1045"/>
      <c r="AW24" s="2673"/>
      <c r="AX24" s="1084"/>
      <c r="AY24" s="2734"/>
      <c r="AZ24" s="2733"/>
      <c r="BA24" s="1069"/>
      <c r="BB24" s="2661"/>
      <c r="BC24" s="2617"/>
      <c r="BD24" s="2726"/>
      <c r="BE24" s="2726"/>
      <c r="BF24" s="2618"/>
      <c r="BG24" s="2618"/>
      <c r="BH24" s="2618"/>
      <c r="BI24" s="2673"/>
      <c r="BJ24" s="1084"/>
      <c r="BK24" s="2674"/>
      <c r="BL24" s="2434"/>
      <c r="BM24" s="2736"/>
      <c r="BN24" s="2726"/>
      <c r="BO24" s="2726"/>
      <c r="BP24" s="1084"/>
      <c r="BQ24" s="2434"/>
      <c r="BR24" s="2661"/>
      <c r="BS24" s="55" t="str">
        <f>IF(BR24="","",IF(BB24-BR24&lt;0.01,"","error"))</f>
        <v/>
      </c>
      <c r="BT24" s="2434"/>
      <c r="BU24" s="4"/>
      <c r="BV24" s="963"/>
      <c r="BW24" s="55"/>
      <c r="BX24" s="55"/>
      <c r="BY24" s="55"/>
      <c r="BZ24" s="55"/>
      <c r="CA24" s="55"/>
      <c r="CB24" s="55"/>
      <c r="CC24" s="55"/>
      <c r="CD24" s="55"/>
      <c r="CE24" s="55"/>
      <c r="CF24" s="55"/>
      <c r="CG24" s="1064"/>
      <c r="CH24" s="55"/>
      <c r="CI24" s="1064"/>
      <c r="CJ24" s="1064"/>
      <c r="CK24" s="55"/>
      <c r="CL24" s="55"/>
      <c r="CM24" s="55"/>
      <c r="CN24" s="1059"/>
      <c r="CO24" s="55"/>
      <c r="CP24" s="55"/>
      <c r="CQ24" s="55"/>
      <c r="CR24" s="55"/>
      <c r="CS24" s="55"/>
      <c r="CT24" s="55"/>
      <c r="CU24" s="55"/>
      <c r="CV24" s="55"/>
      <c r="CW24" s="55"/>
      <c r="CX24" s="55"/>
      <c r="CY24" s="55"/>
      <c r="CZ24" s="55"/>
      <c r="DA24" s="1059"/>
    </row>
    <row r="25" spans="1:105" s="15" customFormat="1" ht="13.5" thickBot="1">
      <c r="A25" s="2692">
        <f>COUNT(A22:A24)</f>
        <v>0</v>
      </c>
      <c r="B25" s="2693"/>
      <c r="C25" s="2752"/>
      <c r="D25" s="2753"/>
      <c r="E25" s="2754" t="s">
        <v>3936</v>
      </c>
      <c r="F25" s="2697" t="e">
        <f>SUM(F22:F24)</f>
        <v>#N/A</v>
      </c>
      <c r="G25" s="2697" t="e">
        <f>SUM(G22:G24)</f>
        <v>#N/A</v>
      </c>
      <c r="H25" s="2755"/>
      <c r="I25" s="2697" t="e">
        <f>SUM(I22:I24)</f>
        <v>#N/A</v>
      </c>
      <c r="J25" s="2697" t="e">
        <f>SUM(J22:J24)</f>
        <v>#N/A</v>
      </c>
      <c r="K25" s="2697" t="e">
        <f>SUM(K22:K24)</f>
        <v>#N/A</v>
      </c>
      <c r="L25" s="2697" t="e">
        <f>SUM(L22:L24)</f>
        <v>#N/A</v>
      </c>
      <c r="M25" s="2755"/>
      <c r="N25" s="2755"/>
      <c r="O25" s="2755"/>
      <c r="P25" s="2755"/>
      <c r="Q25" s="2755"/>
      <c r="R25" s="2697" t="e">
        <f>SUM(R22:R24)</f>
        <v>#N/A</v>
      </c>
      <c r="S25" s="2756"/>
      <c r="T25" s="2697" t="e">
        <f>SUM(T22:T24)</f>
        <v>#N/A</v>
      </c>
      <c r="U25" s="2697" t="e">
        <f>SUM(U22:U24)</f>
        <v>#N/A</v>
      </c>
      <c r="V25" s="2756"/>
      <c r="W25" s="2756"/>
      <c r="X25" s="2756"/>
      <c r="Y25" s="2697" t="e">
        <f t="shared" ref="Y25:AD25" si="27">SUM(Y22:Y24)</f>
        <v>#N/A</v>
      </c>
      <c r="Z25" s="2697" t="e">
        <f t="shared" si="27"/>
        <v>#N/A</v>
      </c>
      <c r="AA25" s="2697" t="e">
        <f t="shared" si="27"/>
        <v>#N/A</v>
      </c>
      <c r="AB25" s="2697" t="e">
        <f t="shared" si="27"/>
        <v>#N/A</v>
      </c>
      <c r="AC25" s="2697" t="e">
        <f t="shared" si="27"/>
        <v>#N/A</v>
      </c>
      <c r="AD25" s="2697" t="e">
        <f t="shared" si="27"/>
        <v>#N/A</v>
      </c>
      <c r="AE25" s="2755"/>
      <c r="AF25" s="2755"/>
      <c r="AG25" s="2755"/>
      <c r="AH25" s="2697" t="e">
        <f t="shared" ref="AH25:AM25" si="28">SUM(AH22:AH24)</f>
        <v>#N/A</v>
      </c>
      <c r="AI25" s="2697">
        <f t="shared" si="28"/>
        <v>0</v>
      </c>
      <c r="AJ25" s="2697" t="e">
        <f t="shared" si="28"/>
        <v>#N/A</v>
      </c>
      <c r="AK25" s="2697" t="e">
        <f t="shared" si="28"/>
        <v>#N/A</v>
      </c>
      <c r="AL25" s="2697" t="e">
        <f t="shared" si="28"/>
        <v>#N/A</v>
      </c>
      <c r="AM25" s="2697" t="e">
        <f t="shared" si="28"/>
        <v>#N/A</v>
      </c>
      <c r="AN25" s="2755"/>
      <c r="AO25" s="2697" t="e">
        <f>SUM(AO22:AO24)</f>
        <v>#N/A</v>
      </c>
      <c r="AP25" s="2755"/>
      <c r="AQ25" s="2755"/>
      <c r="AR25" s="2756"/>
      <c r="AS25" s="2697" t="e">
        <f>SUM(AS22:AS24)</f>
        <v>#N/A</v>
      </c>
      <c r="AT25" s="2697" t="e">
        <f>SUM(AT22:AT24)</f>
        <v>#N/A</v>
      </c>
      <c r="AU25" s="2697" t="e">
        <f>SUM(AU22:AU24)</f>
        <v>#N/A</v>
      </c>
      <c r="AV25" s="2700" t="e">
        <f>SUM(AV22:AV24)</f>
        <v>#N/A</v>
      </c>
      <c r="AW25" s="2757" t="e">
        <f>SUM(AW22:AW24)</f>
        <v>#N/A</v>
      </c>
      <c r="AX25" s="2764"/>
      <c r="AY25" s="2759" t="e">
        <f t="shared" ref="AY25:BI25" si="29">SUM(AY22:AY24)</f>
        <v>#N/A</v>
      </c>
      <c r="AZ25" s="2758" t="e">
        <f t="shared" si="29"/>
        <v>#N/A</v>
      </c>
      <c r="BA25" s="2760" t="e">
        <f t="shared" si="29"/>
        <v>#N/A</v>
      </c>
      <c r="BB25" s="2785" t="e">
        <f t="shared" si="29"/>
        <v>#N/A</v>
      </c>
      <c r="BC25" s="2697" t="e">
        <f t="shared" si="29"/>
        <v>#N/A</v>
      </c>
      <c r="BD25" s="2705" t="e">
        <f t="shared" si="29"/>
        <v>#N/A</v>
      </c>
      <c r="BE25" s="2705" t="e">
        <f t="shared" si="29"/>
        <v>#N/A</v>
      </c>
      <c r="BF25" s="2705" t="e">
        <f t="shared" si="29"/>
        <v>#N/A</v>
      </c>
      <c r="BG25" s="2761" t="e">
        <f t="shared" si="29"/>
        <v>#N/A</v>
      </c>
      <c r="BH25" s="2761" t="e">
        <f t="shared" si="29"/>
        <v>#N/A</v>
      </c>
      <c r="BI25" s="2757" t="e">
        <f t="shared" si="29"/>
        <v>#N/A</v>
      </c>
      <c r="BJ25" s="2764"/>
      <c r="BK25" s="2763" t="e">
        <f>SUM(BK22:BK24)</f>
        <v>#N/A</v>
      </c>
      <c r="BL25" s="2700" t="e">
        <f>SUM(BL22:BL24)</f>
        <v>#N/A</v>
      </c>
      <c r="BM25" s="2762" t="e">
        <f>SUM(BM22:BM24)</f>
        <v>#N/A</v>
      </c>
      <c r="BN25" s="2705" t="e">
        <f>SUM(BN22:BN24)</f>
        <v>#N/A</v>
      </c>
      <c r="BO25" s="2705" t="e">
        <f>SUM(BO22:BO24)</f>
        <v>#N/A</v>
      </c>
      <c r="BP25" s="2764"/>
      <c r="BQ25" s="2700" t="e">
        <f>SUM(BQ22:BQ24)</f>
        <v>#N/A</v>
      </c>
      <c r="BR25" s="2791" t="e">
        <f>SUM(BR22:BR24)</f>
        <v>#N/A</v>
      </c>
      <c r="BS25" s="2700" t="e">
        <f>IF(ROUND(BR25,2)=ROUND(SUM(BC25:BQ25),2),"OK",CONCATENATE("Error :",BR25-SUM(BC25:BQ25)))</f>
        <v>#N/A</v>
      </c>
      <c r="BT25" s="2765" t="e">
        <f>SUM(BT22:BT24)</f>
        <v>#N/A</v>
      </c>
      <c r="BU25" s="4"/>
    </row>
    <row r="26" spans="1:105" s="46" customFormat="1">
      <c r="E26" s="2607" t="s">
        <v>840</v>
      </c>
      <c r="F26" s="2608" t="e">
        <f>F18</f>
        <v>#N/A</v>
      </c>
      <c r="G26" s="2609" t="e">
        <f>G18</f>
        <v>#N/A</v>
      </c>
      <c r="H26" s="2721"/>
      <c r="I26" s="2609" t="e">
        <f>I18</f>
        <v>#N/A</v>
      </c>
      <c r="J26" s="2609" t="e">
        <f>J18</f>
        <v>#N/A</v>
      </c>
      <c r="K26" s="2609" t="e">
        <f>K18</f>
        <v>#N/A</v>
      </c>
      <c r="L26" s="2609" t="e">
        <f>L18</f>
        <v>#N/A</v>
      </c>
      <c r="M26" s="2721"/>
      <c r="N26" s="2721"/>
      <c r="O26" s="2609" t="e">
        <f>O18</f>
        <v>#N/A</v>
      </c>
      <c r="P26" s="2721"/>
      <c r="Q26" s="2721"/>
      <c r="R26" s="2609" t="e">
        <f>R18</f>
        <v>#N/A</v>
      </c>
      <c r="S26" s="2721"/>
      <c r="T26" s="2609" t="e">
        <f t="shared" ref="T26:AD26" si="30">T18</f>
        <v>#N/A</v>
      </c>
      <c r="U26" s="2609" t="e">
        <f t="shared" si="30"/>
        <v>#N/A</v>
      </c>
      <c r="V26" s="2609" t="e">
        <f t="shared" si="30"/>
        <v>#N/A</v>
      </c>
      <c r="W26" s="2609" t="e">
        <f t="shared" si="30"/>
        <v>#N/A</v>
      </c>
      <c r="X26" s="2610" t="e">
        <f t="shared" si="30"/>
        <v>#N/A</v>
      </c>
      <c r="Y26" s="2609" t="e">
        <f t="shared" si="30"/>
        <v>#N/A</v>
      </c>
      <c r="Z26" s="2609" t="e">
        <f t="shared" si="30"/>
        <v>#N/A</v>
      </c>
      <c r="AA26" s="2609" t="e">
        <f t="shared" si="30"/>
        <v>#N/A</v>
      </c>
      <c r="AB26" s="2609" t="e">
        <f t="shared" si="30"/>
        <v>#N/A</v>
      </c>
      <c r="AC26" s="2609" t="e">
        <f t="shared" si="30"/>
        <v>#N/A</v>
      </c>
      <c r="AD26" s="2609" t="e">
        <f t="shared" si="30"/>
        <v>#N/A</v>
      </c>
      <c r="AE26" s="2721"/>
      <c r="AF26" s="2721"/>
      <c r="AG26" s="2721"/>
      <c r="AH26" s="2609" t="e">
        <f t="shared" ref="AH26:BO26" si="31">AH18</f>
        <v>#N/A</v>
      </c>
      <c r="AI26" s="2609" t="e">
        <f t="shared" si="31"/>
        <v>#N/A</v>
      </c>
      <c r="AJ26" s="2609" t="e">
        <f t="shared" si="31"/>
        <v>#N/A</v>
      </c>
      <c r="AK26" s="2609" t="e">
        <f t="shared" si="31"/>
        <v>#N/A</v>
      </c>
      <c r="AL26" s="2609" t="e">
        <f t="shared" si="31"/>
        <v>#N/A</v>
      </c>
      <c r="AM26" s="2609" t="e">
        <f t="shared" si="31"/>
        <v>#N/A</v>
      </c>
      <c r="AN26" s="2721">
        <f t="shared" si="31"/>
        <v>0</v>
      </c>
      <c r="AO26" s="2609" t="e">
        <f t="shared" si="31"/>
        <v>#N/A</v>
      </c>
      <c r="AP26" s="2721">
        <f t="shared" si="31"/>
        <v>0</v>
      </c>
      <c r="AQ26" s="2721">
        <f t="shared" si="31"/>
        <v>0</v>
      </c>
      <c r="AR26" s="2721">
        <f t="shared" si="31"/>
        <v>0</v>
      </c>
      <c r="AS26" s="2609" t="e">
        <f t="shared" si="31"/>
        <v>#N/A</v>
      </c>
      <c r="AT26" s="2609" t="e">
        <f t="shared" si="31"/>
        <v>#N/A</v>
      </c>
      <c r="AU26" s="2609" t="e">
        <f t="shared" si="31"/>
        <v>#N/A</v>
      </c>
      <c r="AV26" s="2609" t="e">
        <f t="shared" si="31"/>
        <v>#N/A</v>
      </c>
      <c r="AW26" s="2675" t="e">
        <f t="shared" si="31"/>
        <v>#N/A</v>
      </c>
      <c r="AX26" s="2649" t="e">
        <f t="shared" si="31"/>
        <v>#N/A</v>
      </c>
      <c r="AY26" s="2676" t="e">
        <f t="shared" si="31"/>
        <v>#N/A</v>
      </c>
      <c r="AZ26" s="2649" t="e">
        <f t="shared" si="31"/>
        <v>#N/A</v>
      </c>
      <c r="BA26" s="2649" t="e">
        <f t="shared" si="31"/>
        <v>#N/A</v>
      </c>
      <c r="BB26" s="2662" t="e">
        <f t="shared" si="31"/>
        <v>#N/A</v>
      </c>
      <c r="BC26" s="2609" t="e">
        <f t="shared" si="31"/>
        <v>#N/A</v>
      </c>
      <c r="BD26" s="2609" t="e">
        <f t="shared" si="31"/>
        <v>#N/A</v>
      </c>
      <c r="BE26" s="2609" t="e">
        <f t="shared" si="31"/>
        <v>#N/A</v>
      </c>
      <c r="BF26" s="2609" t="e">
        <f t="shared" si="31"/>
        <v>#N/A</v>
      </c>
      <c r="BG26" s="2609" t="e">
        <f t="shared" si="31"/>
        <v>#N/A</v>
      </c>
      <c r="BH26" s="2609" t="e">
        <f t="shared" si="31"/>
        <v>#N/A</v>
      </c>
      <c r="BI26" s="2675" t="e">
        <f t="shared" si="31"/>
        <v>#N/A</v>
      </c>
      <c r="BJ26" s="2649" t="e">
        <f t="shared" si="31"/>
        <v>#N/A</v>
      </c>
      <c r="BK26" s="2676" t="e">
        <f t="shared" si="31"/>
        <v>#N/A</v>
      </c>
      <c r="BL26" t="e">
        <f t="shared" si="31"/>
        <v>#N/A</v>
      </c>
      <c r="BM26" t="e">
        <f t="shared" si="31"/>
        <v>#N/A</v>
      </c>
      <c r="BN26" t="e">
        <f t="shared" si="31"/>
        <v>#N/A</v>
      </c>
      <c r="BO26" t="e">
        <f t="shared" si="31"/>
        <v>#N/A</v>
      </c>
      <c r="BP26"/>
      <c r="BQ26" s="2609" t="e">
        <f>BQ18</f>
        <v>#N/A</v>
      </c>
      <c r="BR26" s="2794" t="e">
        <f>BR18</f>
        <v>#N/A</v>
      </c>
      <c r="BS26" s="46" t="e">
        <f>IF(ROUND(BR26,2)=ROUND(SUM(BC26:BQ26),2),"OK",CONCATENATE("Error :",BR26-SUM(BC26:BQ26)))</f>
        <v>#N/A</v>
      </c>
      <c r="BT26" s="46" t="e">
        <f>BT18</f>
        <v>#N/A</v>
      </c>
      <c r="BU26" s="4"/>
    </row>
    <row r="27" spans="1:105" s="46" customFormat="1">
      <c r="E27" s="73" t="s">
        <v>3935</v>
      </c>
      <c r="F27" s="533" t="e">
        <f t="shared" ref="F27:K27" si="32">F12</f>
        <v>#N/A</v>
      </c>
      <c r="G27" s="74" t="e">
        <f t="shared" si="32"/>
        <v>#N/A</v>
      </c>
      <c r="H27" s="74" t="e">
        <f t="shared" si="32"/>
        <v>#N/A</v>
      </c>
      <c r="I27" s="74" t="e">
        <f t="shared" si="32"/>
        <v>#N/A</v>
      </c>
      <c r="J27" s="74" t="e">
        <f t="shared" si="32"/>
        <v>#N/A</v>
      </c>
      <c r="K27" s="74">
        <f t="shared" si="32"/>
        <v>0</v>
      </c>
      <c r="L27" s="74"/>
      <c r="M27" s="74" t="e">
        <f t="shared" ref="M27:U27" si="33">M12</f>
        <v>#N/A</v>
      </c>
      <c r="N27" s="74" t="e">
        <f t="shared" si="33"/>
        <v>#N/A</v>
      </c>
      <c r="O27" s="74" t="e">
        <f t="shared" si="33"/>
        <v>#N/A</v>
      </c>
      <c r="P27" s="74" t="e">
        <f t="shared" si="33"/>
        <v>#N/A</v>
      </c>
      <c r="Q27" s="74" t="e">
        <f t="shared" si="33"/>
        <v>#N/A</v>
      </c>
      <c r="R27" s="74" t="e">
        <f t="shared" si="33"/>
        <v>#N/A</v>
      </c>
      <c r="S27" s="74" t="e">
        <f t="shared" si="33"/>
        <v>#N/A</v>
      </c>
      <c r="T27" s="74" t="e">
        <f t="shared" si="33"/>
        <v>#N/A</v>
      </c>
      <c r="U27" s="74" t="e">
        <f t="shared" si="33"/>
        <v>#N/A</v>
      </c>
      <c r="V27"/>
      <c r="W27"/>
      <c r="X27" s="2566" t="e">
        <f t="shared" ref="X27:AH27" si="34">X12</f>
        <v>#N/A</v>
      </c>
      <c r="Y27" s="74" t="e">
        <f t="shared" si="34"/>
        <v>#N/A</v>
      </c>
      <c r="Z27" s="74" t="e">
        <f t="shared" si="34"/>
        <v>#N/A</v>
      </c>
      <c r="AA27" s="74" t="e">
        <f t="shared" si="34"/>
        <v>#N/A</v>
      </c>
      <c r="AB27" s="74" t="e">
        <f t="shared" si="34"/>
        <v>#N/A</v>
      </c>
      <c r="AC27" s="74" t="e">
        <f t="shared" si="34"/>
        <v>#N/A</v>
      </c>
      <c r="AD27" s="74" t="e">
        <f t="shared" si="34"/>
        <v>#N/A</v>
      </c>
      <c r="AE27" s="74" t="e">
        <f t="shared" si="34"/>
        <v>#N/A</v>
      </c>
      <c r="AF27" s="74" t="e">
        <f t="shared" si="34"/>
        <v>#N/A</v>
      </c>
      <c r="AG27" s="74">
        <f t="shared" si="34"/>
        <v>0</v>
      </c>
      <c r="AH27" s="74" t="e">
        <f t="shared" si="34"/>
        <v>#N/A</v>
      </c>
      <c r="AI27"/>
      <c r="AJ27" s="74">
        <f t="shared" ref="AJ27:BR27" si="35">AJ12</f>
        <v>0</v>
      </c>
      <c r="AK27" s="74" t="e">
        <f t="shared" si="35"/>
        <v>#N/A</v>
      </c>
      <c r="AL27" s="74" t="e">
        <f t="shared" si="35"/>
        <v>#N/A</v>
      </c>
      <c r="AM27" s="74" t="e">
        <f t="shared" si="35"/>
        <v>#N/A</v>
      </c>
      <c r="AN27" s="74" t="e">
        <f t="shared" si="35"/>
        <v>#N/A</v>
      </c>
      <c r="AO27" s="74" t="e">
        <f t="shared" si="35"/>
        <v>#N/A</v>
      </c>
      <c r="AP27" s="74" t="e">
        <f t="shared" si="35"/>
        <v>#N/A</v>
      </c>
      <c r="AQ27" s="74" t="e">
        <f t="shared" si="35"/>
        <v>#N/A</v>
      </c>
      <c r="AR27" s="74">
        <f t="shared" si="35"/>
        <v>0</v>
      </c>
      <c r="AS27" s="74" t="e">
        <f t="shared" si="35"/>
        <v>#N/A</v>
      </c>
      <c r="AT27" s="74" t="e">
        <f t="shared" si="35"/>
        <v>#N/A</v>
      </c>
      <c r="AU27" s="74" t="e">
        <f t="shared" si="35"/>
        <v>#N/A</v>
      </c>
      <c r="AV27" s="74">
        <f t="shared" si="35"/>
        <v>0</v>
      </c>
      <c r="AW27" s="2650" t="e">
        <f t="shared" si="35"/>
        <v>#N/A</v>
      </c>
      <c r="AX27" s="2651" t="e">
        <f t="shared" si="35"/>
        <v>#N/A</v>
      </c>
      <c r="AY27" s="2652" t="e">
        <f t="shared" si="35"/>
        <v>#N/A</v>
      </c>
      <c r="AZ27" s="2651" t="e">
        <f t="shared" si="35"/>
        <v>#N/A</v>
      </c>
      <c r="BA27" s="2651" t="e">
        <f t="shared" si="35"/>
        <v>#N/A</v>
      </c>
      <c r="BB27" s="2663" t="e">
        <f t="shared" si="35"/>
        <v>#N/A</v>
      </c>
      <c r="BC27" s="74" t="e">
        <f t="shared" si="35"/>
        <v>#N/A</v>
      </c>
      <c r="BD27" s="74" t="e">
        <f t="shared" si="35"/>
        <v>#N/A</v>
      </c>
      <c r="BE27" s="74" t="e">
        <f t="shared" si="35"/>
        <v>#N/A</v>
      </c>
      <c r="BF27" s="74">
        <f t="shared" si="35"/>
        <v>0</v>
      </c>
      <c r="BG27" s="74" t="e">
        <f t="shared" si="35"/>
        <v>#N/A</v>
      </c>
      <c r="BH27" s="74">
        <f t="shared" si="35"/>
        <v>0</v>
      </c>
      <c r="BI27" s="2650" t="e">
        <f t="shared" si="35"/>
        <v>#N/A</v>
      </c>
      <c r="BJ27" s="2651" t="e">
        <f t="shared" si="35"/>
        <v>#N/A</v>
      </c>
      <c r="BK27" s="2652" t="e">
        <f t="shared" si="35"/>
        <v>#N/A</v>
      </c>
      <c r="BL27" s="2650" t="e">
        <f t="shared" si="35"/>
        <v>#N/A</v>
      </c>
      <c r="BM27" s="2651" t="e">
        <f t="shared" si="35"/>
        <v>#N/A</v>
      </c>
      <c r="BN27" s="74" t="e">
        <f t="shared" si="35"/>
        <v>#N/A</v>
      </c>
      <c r="BO27" s="74" t="e">
        <f t="shared" si="35"/>
        <v>#N/A</v>
      </c>
      <c r="BP27" s="74" t="e">
        <f t="shared" si="35"/>
        <v>#N/A</v>
      </c>
      <c r="BQ27" s="74" t="e">
        <f t="shared" si="35"/>
        <v>#N/A</v>
      </c>
      <c r="BR27" s="2795" t="e">
        <f t="shared" si="35"/>
        <v>#N/A</v>
      </c>
      <c r="BS27" s="2680" t="e">
        <f>IF(ROUND(BR27,2)=ROUND(Ops!FT1,2),"OK",CONCATENATE("Error ",ROUND(BR27-Ops!FT1,2)))</f>
        <v>#N/A</v>
      </c>
      <c r="BT27" s="45" t="e">
        <f>BT12</f>
        <v>#N/A</v>
      </c>
    </row>
    <row r="28" spans="1:105" s="46" customFormat="1">
      <c r="E28" s="75" t="s">
        <v>838</v>
      </c>
      <c r="F28" s="534" t="e">
        <f>F25+F26</f>
        <v>#N/A</v>
      </c>
      <c r="G28" s="72" t="e">
        <f>G25+G26</f>
        <v>#N/A</v>
      </c>
      <c r="H28"/>
      <c r="I28" s="72" t="e">
        <f>I25+I26</f>
        <v>#N/A</v>
      </c>
      <c r="J28" s="72" t="e">
        <f t="shared" ref="J28:BT28" si="36">J25+J26</f>
        <v>#N/A</v>
      </c>
      <c r="K28" s="72" t="e">
        <f t="shared" si="36"/>
        <v>#N/A</v>
      </c>
      <c r="L28" s="72" t="e">
        <f t="shared" si="36"/>
        <v>#N/A</v>
      </c>
      <c r="M28"/>
      <c r="N28"/>
      <c r="O28" s="72" t="e">
        <f>O25+O26</f>
        <v>#N/A</v>
      </c>
      <c r="P28"/>
      <c r="Q28"/>
      <c r="R28" s="72" t="e">
        <f t="shared" si="36"/>
        <v>#N/A</v>
      </c>
      <c r="S28"/>
      <c r="T28" s="72" t="e">
        <f t="shared" si="36"/>
        <v>#N/A</v>
      </c>
      <c r="U28" s="72" t="e">
        <f t="shared" si="36"/>
        <v>#N/A</v>
      </c>
      <c r="V28" s="72" t="e">
        <f>V26</f>
        <v>#N/A</v>
      </c>
      <c r="W28" s="72" t="e">
        <f>W26</f>
        <v>#N/A</v>
      </c>
      <c r="X28" s="2611" t="e">
        <f>X26</f>
        <v>#N/A</v>
      </c>
      <c r="Y28" s="72" t="e">
        <f t="shared" si="36"/>
        <v>#N/A</v>
      </c>
      <c r="Z28" s="72" t="e">
        <f t="shared" si="36"/>
        <v>#N/A</v>
      </c>
      <c r="AA28" s="72" t="e">
        <f t="shared" si="36"/>
        <v>#N/A</v>
      </c>
      <c r="AB28" s="72" t="e">
        <f t="shared" si="36"/>
        <v>#N/A</v>
      </c>
      <c r="AC28" s="72" t="e">
        <f t="shared" si="36"/>
        <v>#N/A</v>
      </c>
      <c r="AD28" s="72" t="e">
        <f t="shared" si="36"/>
        <v>#N/A</v>
      </c>
      <c r="AE28"/>
      <c r="AF28"/>
      <c r="AG28"/>
      <c r="AH28" s="72" t="e">
        <f t="shared" si="36"/>
        <v>#N/A</v>
      </c>
      <c r="AI28" s="72" t="e">
        <f t="shared" si="36"/>
        <v>#N/A</v>
      </c>
      <c r="AJ28" s="72" t="e">
        <f t="shared" si="36"/>
        <v>#N/A</v>
      </c>
      <c r="AK28" s="72" t="e">
        <f t="shared" si="36"/>
        <v>#N/A</v>
      </c>
      <c r="AL28" s="72" t="e">
        <f t="shared" si="36"/>
        <v>#N/A</v>
      </c>
      <c r="AM28" s="72" t="e">
        <f t="shared" si="36"/>
        <v>#N/A</v>
      </c>
      <c r="AN28"/>
      <c r="AO28" s="72" t="e">
        <f>AO25+AO26</f>
        <v>#N/A</v>
      </c>
      <c r="AP28"/>
      <c r="AQ28"/>
      <c r="AR28"/>
      <c r="AS28" s="72" t="e">
        <f>AS25+AS26</f>
        <v>#N/A</v>
      </c>
      <c r="AT28" s="72" t="e">
        <f>AT25+AT26</f>
        <v>#N/A</v>
      </c>
      <c r="AU28" s="72" t="e">
        <f>AU25+AU26</f>
        <v>#N/A</v>
      </c>
      <c r="AV28" s="72" t="e">
        <f>AV25+AV26</f>
        <v>#N/A</v>
      </c>
      <c r="AW28" s="2650" t="e">
        <f t="shared" si="36"/>
        <v>#N/A</v>
      </c>
      <c r="AX28" s="2651" t="e">
        <f>AX26</f>
        <v>#N/A</v>
      </c>
      <c r="AY28" s="2652" t="e">
        <f t="shared" si="36"/>
        <v>#N/A</v>
      </c>
      <c r="AZ28" s="2651" t="e">
        <f t="shared" si="36"/>
        <v>#N/A</v>
      </c>
      <c r="BA28" s="2651" t="e">
        <f t="shared" si="36"/>
        <v>#N/A</v>
      </c>
      <c r="BB28" s="2663" t="e">
        <f t="shared" si="36"/>
        <v>#N/A</v>
      </c>
      <c r="BC28" s="72" t="e">
        <f t="shared" si="36"/>
        <v>#N/A</v>
      </c>
      <c r="BD28" s="72" t="e">
        <f t="shared" si="36"/>
        <v>#N/A</v>
      </c>
      <c r="BE28" s="72" t="e">
        <f t="shared" si="36"/>
        <v>#N/A</v>
      </c>
      <c r="BF28" s="72" t="e">
        <f t="shared" si="36"/>
        <v>#N/A</v>
      </c>
      <c r="BG28" s="72" t="e">
        <f t="shared" si="36"/>
        <v>#N/A</v>
      </c>
      <c r="BH28" s="72" t="e">
        <f t="shared" si="36"/>
        <v>#N/A</v>
      </c>
      <c r="BI28" s="2677" t="e">
        <f t="shared" si="36"/>
        <v>#N/A</v>
      </c>
      <c r="BJ28" s="2678" t="e">
        <f>BJ26</f>
        <v>#N/A</v>
      </c>
      <c r="BK28" s="2679" t="e">
        <f t="shared" si="36"/>
        <v>#N/A</v>
      </c>
      <c r="BL28" s="2677" t="e">
        <f t="shared" si="36"/>
        <v>#N/A</v>
      </c>
      <c r="BM28" s="2678" t="e">
        <f t="shared" si="36"/>
        <v>#N/A</v>
      </c>
      <c r="BN28" s="72" t="e">
        <f>BN25+BN26</f>
        <v>#N/A</v>
      </c>
      <c r="BO28" s="72" t="e">
        <f t="shared" si="36"/>
        <v>#N/A</v>
      </c>
      <c r="BP28" s="72"/>
      <c r="BQ28" s="72" t="e">
        <f t="shared" si="36"/>
        <v>#N/A</v>
      </c>
      <c r="BR28" s="2796" t="e">
        <f t="shared" si="36"/>
        <v>#N/A</v>
      </c>
      <c r="BS28" s="2680" t="e">
        <f>IF(ROUND(BR28,2)=ROUND(Calog!EV1,2),"OK",CONCATENATE("Error ",ROUND(BR28-Calog!EV1,2)))</f>
        <v>#N/A</v>
      </c>
      <c r="BT28" s="45" t="e">
        <f t="shared" si="36"/>
        <v>#N/A</v>
      </c>
    </row>
    <row r="29" spans="1:105" s="46" customFormat="1">
      <c r="E29" s="75" t="s">
        <v>839</v>
      </c>
      <c r="F29" s="534" t="e">
        <f>+F27+F28</f>
        <v>#N/A</v>
      </c>
      <c r="G29" s="72" t="e">
        <f>+G27+G28</f>
        <v>#N/A</v>
      </c>
      <c r="H29" s="72" t="e">
        <f>+H27+H28</f>
        <v>#N/A</v>
      </c>
      <c r="I29" s="72" t="e">
        <f>+I27+I28</f>
        <v>#N/A</v>
      </c>
      <c r="J29" s="72" t="e">
        <f t="shared" ref="J29:BT29" si="37">+J27+J28</f>
        <v>#N/A</v>
      </c>
      <c r="K29" s="72" t="e">
        <f t="shared" si="37"/>
        <v>#N/A</v>
      </c>
      <c r="L29" s="72" t="e">
        <f t="shared" si="37"/>
        <v>#N/A</v>
      </c>
      <c r="M29" s="72" t="e">
        <f>M27</f>
        <v>#N/A</v>
      </c>
      <c r="N29" s="72" t="e">
        <f>N27</f>
        <v>#N/A</v>
      </c>
      <c r="O29" s="72" t="e">
        <f>+O27+O28</f>
        <v>#N/A</v>
      </c>
      <c r="P29" s="72" t="e">
        <f>P27</f>
        <v>#N/A</v>
      </c>
      <c r="Q29" s="72" t="e">
        <f>Q27</f>
        <v>#N/A</v>
      </c>
      <c r="R29" s="72" t="e">
        <f t="shared" si="37"/>
        <v>#N/A</v>
      </c>
      <c r="S29" s="72" t="e">
        <f>S27</f>
        <v>#N/A</v>
      </c>
      <c r="T29" s="72" t="e">
        <f t="shared" si="37"/>
        <v>#N/A</v>
      </c>
      <c r="U29" s="72" t="e">
        <f t="shared" si="37"/>
        <v>#N/A</v>
      </c>
      <c r="V29" s="72" t="e">
        <f>V28</f>
        <v>#N/A</v>
      </c>
      <c r="W29" s="72" t="e">
        <f>W28</f>
        <v>#N/A</v>
      </c>
      <c r="X29" s="2611" t="e">
        <f>X27+X28</f>
        <v>#N/A</v>
      </c>
      <c r="Y29" s="72" t="e">
        <f t="shared" si="37"/>
        <v>#N/A</v>
      </c>
      <c r="Z29" s="72" t="e">
        <f t="shared" si="37"/>
        <v>#N/A</v>
      </c>
      <c r="AA29" s="72" t="e">
        <f t="shared" si="37"/>
        <v>#N/A</v>
      </c>
      <c r="AB29" s="72" t="e">
        <f t="shared" si="37"/>
        <v>#N/A</v>
      </c>
      <c r="AC29" s="72" t="e">
        <f t="shared" si="37"/>
        <v>#N/A</v>
      </c>
      <c r="AD29" s="72" t="e">
        <f t="shared" si="37"/>
        <v>#N/A</v>
      </c>
      <c r="AE29" s="72" t="e">
        <f>+AE27</f>
        <v>#N/A</v>
      </c>
      <c r="AF29" s="72" t="e">
        <f>+AF27</f>
        <v>#N/A</v>
      </c>
      <c r="AG29" s="72">
        <f>+AG27</f>
        <v>0</v>
      </c>
      <c r="AH29" s="72" t="e">
        <f t="shared" si="37"/>
        <v>#N/A</v>
      </c>
      <c r="AI29" s="72" t="e">
        <f>AI28</f>
        <v>#N/A</v>
      </c>
      <c r="AJ29" s="72" t="e">
        <f t="shared" si="37"/>
        <v>#N/A</v>
      </c>
      <c r="AK29" s="72" t="e">
        <f t="shared" si="37"/>
        <v>#N/A</v>
      </c>
      <c r="AL29" s="72" t="e">
        <f t="shared" si="37"/>
        <v>#N/A</v>
      </c>
      <c r="AM29" s="72" t="e">
        <f t="shared" si="37"/>
        <v>#N/A</v>
      </c>
      <c r="AN29" s="72" t="e">
        <f t="shared" ref="AN29:AV29" si="38">AN27+AN28</f>
        <v>#N/A</v>
      </c>
      <c r="AO29" s="72" t="e">
        <f t="shared" si="38"/>
        <v>#N/A</v>
      </c>
      <c r="AP29" s="72" t="e">
        <f t="shared" si="38"/>
        <v>#N/A</v>
      </c>
      <c r="AQ29" s="72" t="e">
        <f t="shared" si="38"/>
        <v>#N/A</v>
      </c>
      <c r="AR29" s="72">
        <f t="shared" si="38"/>
        <v>0</v>
      </c>
      <c r="AS29" s="72" t="e">
        <f t="shared" si="38"/>
        <v>#N/A</v>
      </c>
      <c r="AT29" s="72" t="e">
        <f t="shared" si="38"/>
        <v>#N/A</v>
      </c>
      <c r="AU29" s="72" t="e">
        <f t="shared" si="38"/>
        <v>#N/A</v>
      </c>
      <c r="AV29" s="72" t="e">
        <f t="shared" si="38"/>
        <v>#N/A</v>
      </c>
      <c r="AW29" s="2650" t="e">
        <f t="shared" si="37"/>
        <v>#N/A</v>
      </c>
      <c r="AX29" s="2651" t="e">
        <f t="shared" si="37"/>
        <v>#N/A</v>
      </c>
      <c r="AY29" s="2652" t="e">
        <f t="shared" si="37"/>
        <v>#N/A</v>
      </c>
      <c r="AZ29" s="2651" t="e">
        <f t="shared" si="37"/>
        <v>#N/A</v>
      </c>
      <c r="BA29" s="2651" t="e">
        <f t="shared" si="37"/>
        <v>#N/A</v>
      </c>
      <c r="BB29" s="2663" t="e">
        <f t="shared" si="37"/>
        <v>#N/A</v>
      </c>
      <c r="BC29" s="72" t="e">
        <f t="shared" si="37"/>
        <v>#N/A</v>
      </c>
      <c r="BD29" s="72" t="e">
        <f t="shared" si="37"/>
        <v>#N/A</v>
      </c>
      <c r="BE29" s="72" t="e">
        <f t="shared" si="37"/>
        <v>#N/A</v>
      </c>
      <c r="BF29" s="72" t="e">
        <f t="shared" si="37"/>
        <v>#N/A</v>
      </c>
      <c r="BG29" s="72" t="e">
        <f t="shared" si="37"/>
        <v>#N/A</v>
      </c>
      <c r="BH29" s="72" t="e">
        <f t="shared" si="37"/>
        <v>#N/A</v>
      </c>
      <c r="BI29" s="2677" t="e">
        <f t="shared" si="37"/>
        <v>#N/A</v>
      </c>
      <c r="BJ29" s="2678" t="e">
        <f t="shared" si="37"/>
        <v>#N/A</v>
      </c>
      <c r="BK29" s="2679" t="e">
        <f t="shared" si="37"/>
        <v>#N/A</v>
      </c>
      <c r="BL29" s="2677" t="e">
        <f t="shared" si="37"/>
        <v>#N/A</v>
      </c>
      <c r="BM29" s="2678" t="e">
        <f t="shared" si="37"/>
        <v>#N/A</v>
      </c>
      <c r="BN29" s="72" t="e">
        <f>+BN27+BN28</f>
        <v>#N/A</v>
      </c>
      <c r="BO29" s="72" t="e">
        <f t="shared" si="37"/>
        <v>#N/A</v>
      </c>
      <c r="BP29" s="72" t="e">
        <f>BP27</f>
        <v>#N/A</v>
      </c>
      <c r="BQ29" s="72" t="e">
        <f t="shared" si="37"/>
        <v>#N/A</v>
      </c>
      <c r="BR29" s="2663" t="e">
        <f t="shared" si="37"/>
        <v>#N/A</v>
      </c>
      <c r="BS29" s="45" t="e">
        <f>BR25+BR18+BR12</f>
        <v>#N/A</v>
      </c>
      <c r="BT29" s="45" t="e">
        <f t="shared" si="37"/>
        <v>#N/A</v>
      </c>
    </row>
    <row r="30" spans="1:105" s="46" customFormat="1" ht="13.5" thickBot="1">
      <c r="E30" s="76" t="s">
        <v>198</v>
      </c>
      <c r="F30" s="535"/>
      <c r="G30" s="78"/>
      <c r="H30" s="77" t="e">
        <f>H5+H29</f>
        <v>#N/A</v>
      </c>
      <c r="I30" s="77"/>
      <c r="J30" s="78"/>
      <c r="K30" s="78"/>
      <c r="L30" s="78"/>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t="e">
        <f>AM29+AM5</f>
        <v>#N/A</v>
      </c>
      <c r="AN30" s="78"/>
      <c r="AO30" s="77"/>
      <c r="AP30" s="77"/>
      <c r="AQ30" s="77"/>
      <c r="AR30" s="77"/>
      <c r="AS30" s="77"/>
      <c r="AT30" s="77"/>
      <c r="AU30" s="77"/>
      <c r="AV30" s="77"/>
      <c r="AW30" s="2653" t="e">
        <f>+AW29+AW5</f>
        <v>#N/A</v>
      </c>
      <c r="AX30" s="2654"/>
      <c r="AY30" s="2655"/>
      <c r="AZ30" s="2654"/>
      <c r="BA30" s="2654" t="e">
        <f>+BA5+BA29</f>
        <v>#N/A</v>
      </c>
      <c r="BB30" s="2664" t="e">
        <f>+BB29+BB5</f>
        <v>#N/A</v>
      </c>
      <c r="BC30" s="2654" t="e">
        <f>BC5+BC29</f>
        <v>#N/A</v>
      </c>
      <c r="BD30" s="78"/>
      <c r="BE30" s="78"/>
      <c r="BF30" s="78"/>
      <c r="BG30" s="78"/>
      <c r="BH30" s="78"/>
      <c r="BI30" s="2653" t="e">
        <f>BI5+BI29</f>
        <v>#N/A</v>
      </c>
      <c r="BJ30" s="2654"/>
      <c r="BK30" s="2655"/>
      <c r="BL30" s="2653"/>
      <c r="BM30" s="2654"/>
      <c r="BN30" s="2654" t="e">
        <f>BN29+BN5</f>
        <v>#N/A</v>
      </c>
      <c r="BO30" s="78" t="e">
        <f>BO29+BO5</f>
        <v>#N/A</v>
      </c>
      <c r="BP30" s="78"/>
      <c r="BQ30" s="78"/>
      <c r="BR30" s="2664" t="e">
        <f>BR5+BR29</f>
        <v>#N/A</v>
      </c>
      <c r="BS30" s="45" t="e">
        <f>IF(BB30-BR30&lt;0.01,"","error")</f>
        <v>#N/A</v>
      </c>
      <c r="BT30" s="45"/>
    </row>
    <row r="31" spans="1:105" ht="13.5" thickTop="1">
      <c r="E31" s="521"/>
      <c r="AW31" s="1752"/>
      <c r="AY31" s="1753"/>
      <c r="BB31" s="1792"/>
      <c r="BI31" s="1752"/>
      <c r="BK31" s="1753"/>
      <c r="BL31" s="1752"/>
      <c r="BM31"/>
      <c r="BP31"/>
      <c r="BR31" s="2797"/>
    </row>
    <row r="32" spans="1:105" ht="13.5" thickBot="1">
      <c r="A32" s="521">
        <v>1</v>
      </c>
      <c r="B32" s="521">
        <v>2</v>
      </c>
      <c r="C32" s="521">
        <v>3</v>
      </c>
      <c r="D32" s="521">
        <v>4</v>
      </c>
      <c r="E32" s="521">
        <v>5</v>
      </c>
      <c r="F32" s="521">
        <v>6</v>
      </c>
      <c r="G32" s="521">
        <v>7</v>
      </c>
      <c r="H32" s="521">
        <v>8</v>
      </c>
      <c r="I32" s="521">
        <v>9</v>
      </c>
      <c r="J32" s="521">
        <v>10</v>
      </c>
      <c r="K32" s="521">
        <v>11</v>
      </c>
      <c r="L32" s="521">
        <v>12</v>
      </c>
      <c r="M32" s="521">
        <v>13</v>
      </c>
      <c r="N32" s="521">
        <v>14</v>
      </c>
      <c r="O32" s="521">
        <v>15</v>
      </c>
      <c r="P32" s="521">
        <v>16</v>
      </c>
      <c r="Q32" s="521">
        <v>17</v>
      </c>
      <c r="R32" s="521">
        <v>18</v>
      </c>
      <c r="S32" s="521">
        <v>19</v>
      </c>
      <c r="T32" s="521">
        <v>20</v>
      </c>
      <c r="U32" s="521">
        <v>21</v>
      </c>
      <c r="V32" s="521">
        <v>22</v>
      </c>
      <c r="W32" s="521">
        <v>24</v>
      </c>
      <c r="X32" s="521">
        <v>23</v>
      </c>
      <c r="Y32" s="521">
        <v>25</v>
      </c>
      <c r="Z32" s="521">
        <v>26</v>
      </c>
      <c r="AA32" s="521">
        <v>27</v>
      </c>
      <c r="AB32" s="521">
        <v>28</v>
      </c>
      <c r="AC32" s="521">
        <v>29</v>
      </c>
      <c r="AD32" s="521">
        <v>30</v>
      </c>
      <c r="AE32" s="521">
        <v>31</v>
      </c>
      <c r="AF32" s="521">
        <v>32</v>
      </c>
      <c r="AG32" s="521">
        <v>33</v>
      </c>
      <c r="AH32" s="521">
        <v>34</v>
      </c>
      <c r="AI32" s="521">
        <v>35</v>
      </c>
      <c r="AJ32" s="521">
        <v>36</v>
      </c>
      <c r="AK32" s="521">
        <v>37</v>
      </c>
      <c r="AL32" s="521">
        <v>38</v>
      </c>
      <c r="AM32" s="521">
        <v>39</v>
      </c>
      <c r="AN32" s="521">
        <v>40</v>
      </c>
      <c r="AO32" s="521">
        <v>41</v>
      </c>
      <c r="AP32" s="521">
        <v>42</v>
      </c>
      <c r="AQ32" s="521">
        <v>43</v>
      </c>
      <c r="AR32" s="521">
        <v>44</v>
      </c>
      <c r="AS32" s="521">
        <v>45</v>
      </c>
      <c r="AT32" s="521">
        <v>46</v>
      </c>
      <c r="AU32" s="521">
        <v>47</v>
      </c>
      <c r="AV32" s="521">
        <v>48</v>
      </c>
      <c r="AW32" s="1771">
        <v>49</v>
      </c>
      <c r="AX32" s="1772">
        <v>50</v>
      </c>
      <c r="AY32" s="1773">
        <v>51</v>
      </c>
      <c r="AZ32" s="521">
        <v>52</v>
      </c>
      <c r="BA32" s="521">
        <v>53</v>
      </c>
      <c r="BB32" s="1788">
        <v>54</v>
      </c>
      <c r="BC32" s="521">
        <v>55</v>
      </c>
      <c r="BD32" s="521">
        <v>56</v>
      </c>
      <c r="BE32" s="521">
        <v>57</v>
      </c>
      <c r="BF32" s="521">
        <v>58</v>
      </c>
      <c r="BG32" s="521">
        <v>59</v>
      </c>
      <c r="BH32" s="521">
        <v>60</v>
      </c>
      <c r="BI32" s="1771">
        <v>61</v>
      </c>
      <c r="BJ32" s="1772">
        <v>62</v>
      </c>
      <c r="BK32" s="1773">
        <v>63</v>
      </c>
      <c r="BL32">
        <v>64</v>
      </c>
      <c r="BM32">
        <v>65</v>
      </c>
      <c r="BN32" s="521">
        <v>67</v>
      </c>
      <c r="BO32" s="521">
        <v>67</v>
      </c>
      <c r="BP32">
        <v>68</v>
      </c>
      <c r="BQ32" s="521">
        <v>69</v>
      </c>
      <c r="BR32" s="2798">
        <v>70</v>
      </c>
      <c r="BS32" s="521">
        <v>71</v>
      </c>
      <c r="BT32" s="521">
        <v>72</v>
      </c>
      <c r="BU32" s="521"/>
    </row>
    <row r="33" spans="1:54">
      <c r="BB33" s="4"/>
    </row>
    <row r="34" spans="1:54">
      <c r="A34" s="4"/>
      <c r="B34" s="4"/>
      <c r="C34" s="4"/>
      <c r="D34" s="4"/>
      <c r="BB34" s="4"/>
    </row>
    <row r="35" spans="1:54">
      <c r="BB35" s="4"/>
    </row>
  </sheetData>
  <mergeCells count="2">
    <mergeCell ref="B1:C1"/>
    <mergeCell ref="A4:C4"/>
  </mergeCells>
  <phoneticPr fontId="38" type="noConversion"/>
  <pageMargins left="0.25" right="0.28000000000000003" top="0.4" bottom="0.42" header="0.17" footer="0.17"/>
  <pageSetup paperSize="9" scale="42" fitToWidth="3" fitToHeight="32" orientation="landscape" r:id="rId1"/>
  <headerFooter alignWithMargins="0">
    <oddHeader>&amp;C&amp;8&amp;Z&amp;F</oddHeader>
    <oddFooter>&amp;L&amp;D-&amp;T&amp;C&amp;P/&amp;N</oddFooter>
  </headerFooter>
  <colBreaks count="3" manualBreakCount="3">
    <brk id="30" max="1048575" man="1"/>
    <brk id="39" max="1048575" man="1"/>
    <brk id="54" max="1048575" man="1"/>
  </col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ara"/>
  <dimension ref="A1:AU153"/>
  <sheetViews>
    <sheetView topLeftCell="V1" zoomScale="86" zoomScaleNormal="86" workbookViewId="0">
      <selection activeCell="Z34" sqref="Z34"/>
    </sheetView>
  </sheetViews>
  <sheetFormatPr defaultColWidth="11.42578125" defaultRowHeight="11.25"/>
  <cols>
    <col min="1" max="1" width="20.85546875" style="15" customWidth="1"/>
    <col min="2" max="2" width="11.85546875" style="15" customWidth="1"/>
    <col min="3" max="3" width="13.7109375" style="15" customWidth="1"/>
    <col min="4" max="6" width="11.85546875" style="15" customWidth="1"/>
    <col min="7" max="7" width="8" style="15" customWidth="1"/>
    <col min="8" max="8" width="20.85546875" style="15" customWidth="1"/>
    <col min="9" max="9" width="10.5703125" style="15" customWidth="1"/>
    <col min="10" max="10" width="13" style="15" customWidth="1"/>
    <col min="11" max="13" width="10.5703125" style="15" customWidth="1"/>
    <col min="14" max="14" width="11.42578125" style="15" customWidth="1"/>
    <col min="15" max="15" width="11.7109375" style="15" customWidth="1"/>
    <col min="16" max="17" width="11.28515625" style="15" customWidth="1"/>
    <col min="18" max="24" width="11.42578125" style="15" customWidth="1"/>
    <col min="25" max="25" width="16.7109375" style="15" customWidth="1"/>
    <col min="26" max="26" width="34.42578125" style="15" customWidth="1"/>
    <col min="27" max="27" width="10.7109375" style="15" customWidth="1"/>
    <col min="28" max="28" width="9.28515625" style="15" bestFit="1" customWidth="1"/>
    <col min="29" max="29" width="10.140625" style="15" bestFit="1" customWidth="1"/>
    <col min="30" max="30" width="10.28515625" style="15" bestFit="1" customWidth="1"/>
    <col min="31" max="31" width="9" style="15" customWidth="1"/>
    <col min="32" max="32" width="9.28515625" style="15" customWidth="1"/>
    <col min="33" max="33" width="14.42578125" style="15" customWidth="1"/>
    <col min="34" max="34" width="6.85546875" style="15" customWidth="1"/>
    <col min="35" max="35" width="7.28515625" style="15" customWidth="1"/>
    <col min="36" max="36" width="7.85546875" style="15" customWidth="1"/>
    <col min="37" max="37" width="11.7109375" style="15" customWidth="1"/>
    <col min="38" max="38" width="13.140625" style="15" customWidth="1"/>
    <col min="39" max="39" width="6.42578125" style="15" customWidth="1"/>
    <col min="40" max="40" width="9.7109375" style="15" customWidth="1"/>
    <col min="41" max="41" width="6.42578125" style="15" customWidth="1"/>
    <col min="42" max="42" width="22.5703125" style="15" customWidth="1"/>
    <col min="43" max="43" width="11.42578125" style="15" customWidth="1"/>
    <col min="44" max="44" width="5.28515625" style="15" customWidth="1"/>
    <col min="45" max="45" width="7.140625" style="15" customWidth="1"/>
    <col min="46" max="47" width="9.28515625" style="15" bestFit="1" customWidth="1"/>
    <col min="48" max="16384" width="11.42578125" style="15"/>
  </cols>
  <sheetData>
    <row r="1" spans="1:47" s="1085" customFormat="1" ht="33.75" customHeight="1" thickTop="1" thickBot="1">
      <c r="A1" s="1085" t="s">
        <v>2202</v>
      </c>
      <c r="B1" s="2834">
        <f>DATE(ANNEE,1,1)</f>
        <v>46388</v>
      </c>
      <c r="C1" s="2835">
        <v>2027</v>
      </c>
      <c r="D1" s="2472" t="str">
        <f>IF(IndexFix="","","Indice figé:")</f>
        <v/>
      </c>
      <c r="E1" s="2473"/>
      <c r="F1" s="2234"/>
      <c r="G1" s="1085" t="s">
        <v>1347</v>
      </c>
      <c r="H1" s="1085" t="s">
        <v>2229</v>
      </c>
      <c r="I1" s="126" t="s">
        <v>1348</v>
      </c>
      <c r="J1" s="2836">
        <v>1</v>
      </c>
      <c r="K1" s="126">
        <v>1850</v>
      </c>
      <c r="L1" s="2837"/>
      <c r="M1" s="2838">
        <f t="shared" ref="M1:M7" si="0">1*J1/K1</f>
        <v>5.4054054054054055E-4</v>
      </c>
      <c r="O1" s="126" t="s">
        <v>2053</v>
      </c>
      <c r="P1" s="2839">
        <v>4038</v>
      </c>
      <c r="R1" s="126"/>
      <c r="X1" s="1085" t="s">
        <v>831</v>
      </c>
      <c r="Y1" s="1085" t="s">
        <v>832</v>
      </c>
      <c r="Z1" s="1085" t="s">
        <v>3005</v>
      </c>
      <c r="AA1" s="1085" t="s">
        <v>831</v>
      </c>
      <c r="AB1" s="1085" t="s">
        <v>832</v>
      </c>
      <c r="AC1" s="1085" t="s">
        <v>3005</v>
      </c>
      <c r="AI1" s="15">
        <v>12</v>
      </c>
      <c r="AJ1" s="15">
        <v>12</v>
      </c>
      <c r="AK1" s="15">
        <f>AI1-AJ1</f>
        <v>0</v>
      </c>
      <c r="AL1" s="15">
        <f>AK1-1</f>
        <v>-1</v>
      </c>
      <c r="AR1" s="3028" t="s">
        <v>4078</v>
      </c>
      <c r="AS1" s="3029"/>
      <c r="AT1" s="3028" t="s">
        <v>4079</v>
      </c>
      <c r="AU1" s="3029"/>
    </row>
    <row r="2" spans="1:47" ht="12.75" customHeight="1">
      <c r="A2" s="2246" t="s">
        <v>2203</v>
      </c>
      <c r="C2" s="2247">
        <f>ANNEE</f>
        <v>2027</v>
      </c>
      <c r="D2" s="2247">
        <f>ANNEE -1</f>
        <v>2026</v>
      </c>
      <c r="E2" s="2247">
        <f>ANNEE</f>
        <v>2027</v>
      </c>
      <c r="F2" s="3015" t="s">
        <v>5245</v>
      </c>
      <c r="G2" s="15" t="s">
        <v>1347</v>
      </c>
      <c r="H2" s="15" t="s">
        <v>1349</v>
      </c>
      <c r="I2" s="5" t="s">
        <v>1348</v>
      </c>
      <c r="J2" s="2242">
        <v>0.2</v>
      </c>
      <c r="K2" s="5">
        <v>1850</v>
      </c>
      <c r="L2" s="2243"/>
      <c r="M2" s="2244">
        <f t="shared" si="0"/>
        <v>1.0810810810810812E-4</v>
      </c>
      <c r="O2" s="5" t="s">
        <v>3389</v>
      </c>
      <c r="P2" s="2245" t="s">
        <v>673</v>
      </c>
      <c r="R2" s="5"/>
      <c r="X2" s="49">
        <v>32</v>
      </c>
      <c r="Y2" s="2232">
        <f t="shared" ref="Y2:Y13" si="1">ROUND(POWER(1.02,X2),4)</f>
        <v>1.8845000000000001</v>
      </c>
      <c r="Z2" s="2855">
        <v>44713</v>
      </c>
      <c r="AA2" s="15">
        <v>20</v>
      </c>
      <c r="AB2" s="2248">
        <f t="shared" ref="AB2:AB13" si="2">ROUND(POWER(1.02,AA2),4)</f>
        <v>1.4859</v>
      </c>
      <c r="AC2" s="2249">
        <v>39722</v>
      </c>
      <c r="AE2" s="2248"/>
      <c r="AN2" s="2250">
        <f t="shared" ref="AN2:AN11" ca="1" si="3">IF(AND(AC1="",AC2=""),"",IF(AC2="",YEAR(TODAY()),YEAR(AC2)))</f>
        <v>2008</v>
      </c>
      <c r="AO2" s="2250"/>
      <c r="AR2" s="2251" t="s">
        <v>133</v>
      </c>
      <c r="AS2" s="2203">
        <v>1</v>
      </c>
      <c r="AT2" s="2252">
        <v>1</v>
      </c>
      <c r="AU2" s="2253">
        <v>12</v>
      </c>
    </row>
    <row r="3" spans="1:47" ht="12.75">
      <c r="A3" s="15" t="s">
        <v>830</v>
      </c>
      <c r="C3" s="2247" t="s">
        <v>197</v>
      </c>
      <c r="D3" s="2247" t="s">
        <v>195</v>
      </c>
      <c r="E3" s="2247" t="s">
        <v>196</v>
      </c>
      <c r="F3" s="3015"/>
      <c r="G3" s="15" t="s">
        <v>1347</v>
      </c>
      <c r="H3" s="15" t="s">
        <v>1350</v>
      </c>
      <c r="I3" s="5" t="s">
        <v>1348</v>
      </c>
      <c r="J3" s="2242">
        <v>0.35</v>
      </c>
      <c r="K3" s="5">
        <v>1850</v>
      </c>
      <c r="L3" s="2243"/>
      <c r="M3" s="2244">
        <f t="shared" si="0"/>
        <v>1.8918918918918917E-4</v>
      </c>
      <c r="O3" s="5" t="s">
        <v>2382</v>
      </c>
      <c r="P3" s="2245">
        <v>4222</v>
      </c>
      <c r="R3" s="5"/>
      <c r="X3" s="49">
        <v>33</v>
      </c>
      <c r="Y3" s="2232">
        <f t="shared" si="1"/>
        <v>1.9221999999999999</v>
      </c>
      <c r="Z3" s="2855">
        <v>44805</v>
      </c>
      <c r="AA3" s="15">
        <v>21</v>
      </c>
      <c r="AB3" s="2248">
        <f t="shared" si="2"/>
        <v>1.5157</v>
      </c>
      <c r="AC3" s="2249">
        <v>40452</v>
      </c>
      <c r="AN3" s="2250">
        <f t="shared" ca="1" si="3"/>
        <v>2010</v>
      </c>
      <c r="AO3" s="2250"/>
      <c r="AR3" s="2254">
        <v>1</v>
      </c>
      <c r="AS3" s="2255">
        <v>1</v>
      </c>
      <c r="AT3" s="2252">
        <v>2</v>
      </c>
      <c r="AU3" s="2253">
        <v>1</v>
      </c>
    </row>
    <row r="4" spans="1:47" ht="13.5" thickBot="1">
      <c r="A4" s="15" t="s">
        <v>2204</v>
      </c>
      <c r="B4" s="15" t="s">
        <v>1382</v>
      </c>
      <c r="C4" s="2256">
        <f>VLOOKUP(IF(IndexFix="",$C$1,IndexFix),TbIndN,2,0)</f>
        <v>2.2710166666666667</v>
      </c>
      <c r="D4" s="2256">
        <f>IF(ANNEE&gt;2019,IndW,VLOOKUP(IF(IndexFix="",$C$1,IndexFix),TbIndN,3,0))</f>
        <v>2.2710166666666667</v>
      </c>
      <c r="E4" s="2256">
        <f>IF(ANNEE&gt;2019,IndW,VLOOKUP(IF(IndexFix="",$C$1,IndexFix),TbIndN,4,0))</f>
        <v>2.2710166666666667</v>
      </c>
      <c r="F4" s="3016"/>
      <c r="G4" s="15" t="s">
        <v>1351</v>
      </c>
      <c r="H4" s="15" t="s">
        <v>2230</v>
      </c>
      <c r="I4" s="5" t="s">
        <v>1348</v>
      </c>
      <c r="J4" s="2242">
        <v>1</v>
      </c>
      <c r="K4" s="5">
        <v>1850</v>
      </c>
      <c r="L4" s="2243"/>
      <c r="M4" s="2244">
        <f t="shared" si="0"/>
        <v>5.4054054054054055E-4</v>
      </c>
      <c r="O4" s="5" t="s">
        <v>3015</v>
      </c>
      <c r="P4" s="2245" t="s">
        <v>674</v>
      </c>
      <c r="X4" s="49">
        <v>34</v>
      </c>
      <c r="Y4" s="2232">
        <f t="shared" si="1"/>
        <v>1.9607000000000001</v>
      </c>
      <c r="Z4" s="2855">
        <v>44896</v>
      </c>
      <c r="AA4" s="15">
        <v>22</v>
      </c>
      <c r="AB4" s="2248">
        <f t="shared" si="2"/>
        <v>1.546</v>
      </c>
      <c r="AC4" s="2249">
        <v>40695</v>
      </c>
      <c r="AN4" s="2250">
        <f t="shared" ca="1" si="3"/>
        <v>2011</v>
      </c>
      <c r="AO4" s="2250"/>
      <c r="AR4" s="2257" t="s">
        <v>997</v>
      </c>
      <c r="AS4" s="2255">
        <v>2</v>
      </c>
      <c r="AT4" s="2252">
        <v>3</v>
      </c>
      <c r="AU4" s="2253">
        <v>2</v>
      </c>
    </row>
    <row r="5" spans="1:47" ht="13.5" customHeight="1" thickTop="1" thickBot="1">
      <c r="A5" s="15" t="s">
        <v>2205</v>
      </c>
      <c r="B5" s="15" t="s">
        <v>1383</v>
      </c>
      <c r="C5" s="2256">
        <f>VLOOKUP(IF(IndexFix="",$C$1,IndexFix),TbIndN,2,0)</f>
        <v>2.2710166666666667</v>
      </c>
      <c r="D5" s="2256">
        <f>IF(ANNEE&gt;2019,IndT,VLOOKUP(IF(IndexFix="",$C$1,IndexFix),TbIndN,3,0))</f>
        <v>2.2710166666666667</v>
      </c>
      <c r="E5" s="2258">
        <f>IF(ANNEE&gt;2019,IndT,VLOOKUP(IF(IndexFix="",$C$1,IndexFix),TbIndN,4,0))</f>
        <v>2.2710166666666667</v>
      </c>
      <c r="F5" s="2240" t="s">
        <v>5252</v>
      </c>
      <c r="G5" s="15" t="s">
        <v>1352</v>
      </c>
      <c r="H5" s="15" t="s">
        <v>2577</v>
      </c>
      <c r="I5" s="5" t="s">
        <v>1348</v>
      </c>
      <c r="J5" s="2242">
        <f>1/24</f>
        <v>4.1666666666666664E-2</v>
      </c>
      <c r="K5" s="5">
        <v>1850</v>
      </c>
      <c r="L5" s="2259" t="s">
        <v>1353</v>
      </c>
      <c r="M5" s="2244">
        <f t="shared" si="0"/>
        <v>2.2522522522522523E-5</v>
      </c>
      <c r="O5" s="5" t="s">
        <v>947</v>
      </c>
      <c r="P5" s="2245">
        <v>4001</v>
      </c>
      <c r="X5" s="49">
        <v>35</v>
      </c>
      <c r="Y5" s="2232">
        <f t="shared" si="1"/>
        <v>1.9999</v>
      </c>
      <c r="Z5" s="2855">
        <v>44927</v>
      </c>
      <c r="AA5" s="15">
        <v>23</v>
      </c>
      <c r="AB5" s="2248">
        <f t="shared" si="2"/>
        <v>1.5769</v>
      </c>
      <c r="AC5" s="2249">
        <v>40969</v>
      </c>
      <c r="AD5" s="3034" t="s">
        <v>3708</v>
      </c>
      <c r="AE5" s="3035"/>
      <c r="AF5" s="3035"/>
      <c r="AG5" s="3035"/>
      <c r="AH5" s="3035"/>
      <c r="AI5" s="3035"/>
      <c r="AJ5" s="3035"/>
      <c r="AK5" s="3035"/>
      <c r="AL5" s="3036"/>
      <c r="AN5" s="2250">
        <f t="shared" ca="1" si="3"/>
        <v>2012</v>
      </c>
      <c r="AO5" s="2250"/>
      <c r="AR5" s="2254">
        <v>2</v>
      </c>
      <c r="AS5" s="2255">
        <v>2</v>
      </c>
      <c r="AT5" s="2252">
        <v>4</v>
      </c>
      <c r="AU5" s="2253">
        <v>3</v>
      </c>
    </row>
    <row r="6" spans="1:47" ht="12.75" customHeight="1" thickTop="1">
      <c r="A6" s="15" t="s">
        <v>2206</v>
      </c>
      <c r="B6" s="2260" t="s">
        <v>1077</v>
      </c>
      <c r="C6" s="2261">
        <f>IndT/IndRef</f>
        <v>1.2957493343476607</v>
      </c>
      <c r="D6" s="2261">
        <f>IndT_N1/IndRef</f>
        <v>1.2957493343476607</v>
      </c>
      <c r="E6" s="2262">
        <f>IndT_N/IndRef</f>
        <v>1.2957493343476607</v>
      </c>
      <c r="F6" s="2241">
        <f>IF(NeutrNego=2018,209912,201903)</f>
        <v>201903</v>
      </c>
      <c r="G6" s="15" t="s">
        <v>1352</v>
      </c>
      <c r="H6" s="15" t="s">
        <v>2578</v>
      </c>
      <c r="I6" s="5" t="s">
        <v>1348</v>
      </c>
      <c r="J6" s="2242">
        <f>1/15</f>
        <v>6.6666666666666666E-2</v>
      </c>
      <c r="K6" s="5">
        <v>1850</v>
      </c>
      <c r="L6" s="2259" t="s">
        <v>149</v>
      </c>
      <c r="M6" s="2244">
        <f t="shared" si="0"/>
        <v>3.6036036036036038E-5</v>
      </c>
      <c r="O6" s="5" t="s">
        <v>2383</v>
      </c>
      <c r="P6" s="2245">
        <v>4002</v>
      </c>
      <c r="X6" s="49">
        <v>36</v>
      </c>
      <c r="Y6" s="2232">
        <f t="shared" si="1"/>
        <v>2.0398999999999998</v>
      </c>
      <c r="Z6" s="2855">
        <v>45261</v>
      </c>
      <c r="AA6" s="15">
        <v>24</v>
      </c>
      <c r="AB6" s="2248">
        <f t="shared" si="2"/>
        <v>1.6084000000000001</v>
      </c>
      <c r="AC6" s="2249">
        <v>41275</v>
      </c>
      <c r="AD6" s="3017" t="s">
        <v>5891</v>
      </c>
      <c r="AE6" s="3018"/>
      <c r="AF6" s="3018"/>
      <c r="AG6" s="3018"/>
      <c r="AH6" s="3018"/>
      <c r="AI6" s="3018"/>
      <c r="AJ6" s="3018"/>
      <c r="AK6" s="3018"/>
      <c r="AL6" s="3019"/>
      <c r="AN6" s="2250">
        <f t="shared" ca="1" si="3"/>
        <v>2013</v>
      </c>
      <c r="AO6" s="2250"/>
      <c r="AR6" s="2257" t="s">
        <v>134</v>
      </c>
      <c r="AS6" s="2255">
        <v>3</v>
      </c>
      <c r="AT6" s="2252">
        <v>5</v>
      </c>
      <c r="AU6" s="2253">
        <v>4</v>
      </c>
    </row>
    <row r="7" spans="1:47" ht="13.5" customHeight="1" thickBot="1">
      <c r="A7" s="15" t="s">
        <v>2207</v>
      </c>
      <c r="G7" s="15" t="s">
        <v>150</v>
      </c>
      <c r="H7" s="15" t="s">
        <v>2579</v>
      </c>
      <c r="I7" s="5" t="s">
        <v>1348</v>
      </c>
      <c r="J7" s="2242">
        <v>0.3</v>
      </c>
      <c r="K7" s="5">
        <v>1850</v>
      </c>
      <c r="L7" s="2243" t="s">
        <v>151</v>
      </c>
      <c r="M7" s="2244">
        <f t="shared" si="0"/>
        <v>1.6216216216216215E-4</v>
      </c>
      <c r="O7" s="5" t="s">
        <v>948</v>
      </c>
      <c r="P7" s="2245">
        <v>4012</v>
      </c>
      <c r="X7" s="49">
        <v>37</v>
      </c>
      <c r="Y7" s="2232">
        <f t="shared" si="1"/>
        <v>2.0807000000000002</v>
      </c>
      <c r="Z7" s="2855">
        <v>45444</v>
      </c>
      <c r="AA7" s="15">
        <v>25</v>
      </c>
      <c r="AB7" s="2248">
        <f t="shared" si="2"/>
        <v>1.6406000000000001</v>
      </c>
      <c r="AC7" s="2249">
        <v>42552</v>
      </c>
      <c r="AD7" s="3020"/>
      <c r="AE7" s="3021"/>
      <c r="AF7" s="3021"/>
      <c r="AG7" s="3021"/>
      <c r="AH7" s="3021"/>
      <c r="AI7" s="3021"/>
      <c r="AJ7" s="3021"/>
      <c r="AK7" s="3021"/>
      <c r="AL7" s="3022"/>
      <c r="AN7" s="2250">
        <f t="shared" ca="1" si="3"/>
        <v>2016</v>
      </c>
      <c r="AO7" s="2250"/>
      <c r="AR7" s="2254">
        <v>3</v>
      </c>
      <c r="AS7" s="2255">
        <v>3</v>
      </c>
      <c r="AT7" s="2252">
        <v>6</v>
      </c>
      <c r="AU7" s="2253">
        <v>5</v>
      </c>
    </row>
    <row r="8" spans="1:47" ht="13.5" customHeight="1" thickBot="1">
      <c r="A8" s="2263"/>
      <c r="B8" s="1526"/>
      <c r="C8" s="1526"/>
      <c r="D8" s="2264" t="s">
        <v>1957</v>
      </c>
      <c r="E8" s="2264"/>
      <c r="F8" s="2264"/>
      <c r="G8" s="2264"/>
      <c r="H8" s="2264"/>
      <c r="I8" s="2264"/>
      <c r="J8" s="2265"/>
      <c r="K8" s="2264"/>
      <c r="L8" s="2264"/>
      <c r="M8" s="2264"/>
      <c r="N8" s="1526"/>
      <c r="O8" s="1526"/>
      <c r="P8" s="2203"/>
      <c r="X8" s="15">
        <v>38</v>
      </c>
      <c r="Y8" s="15">
        <f t="shared" si="1"/>
        <v>2.1223000000000001</v>
      </c>
      <c r="Z8" s="2855">
        <v>45717</v>
      </c>
      <c r="AA8" s="15">
        <v>26</v>
      </c>
      <c r="AB8" s="2248">
        <f t="shared" si="2"/>
        <v>1.6734</v>
      </c>
      <c r="AC8" s="2249">
        <v>42917</v>
      </c>
      <c r="AD8" s="2916"/>
      <c r="AE8" s="2916"/>
      <c r="AF8" s="2916"/>
      <c r="AG8" s="2916"/>
      <c r="AH8" s="2916"/>
      <c r="AI8" s="2916"/>
      <c r="AJ8" s="2916"/>
      <c r="AK8" s="2916"/>
      <c r="AL8" s="2916"/>
      <c r="AN8" s="2250">
        <f t="shared" ca="1" si="3"/>
        <v>2017</v>
      </c>
      <c r="AO8" s="2250"/>
      <c r="AR8" s="2257" t="s">
        <v>135</v>
      </c>
      <c r="AS8" s="2255">
        <v>4</v>
      </c>
      <c r="AT8" s="2252">
        <v>7</v>
      </c>
      <c r="AU8" s="2253">
        <v>6</v>
      </c>
    </row>
    <row r="9" spans="1:47" ht="13.5" thickBot="1">
      <c r="A9" s="2254"/>
      <c r="F9" s="2269"/>
      <c r="G9" s="2270"/>
      <c r="H9" s="2270"/>
      <c r="I9" s="2271"/>
      <c r="J9" s="2272"/>
      <c r="K9" s="2271"/>
      <c r="L9" s="2088" t="s">
        <v>5382</v>
      </c>
      <c r="P9" s="2255"/>
      <c r="X9" s="15">
        <v>39</v>
      </c>
      <c r="Y9" s="15">
        <f t="shared" si="1"/>
        <v>2.1646999999999998</v>
      </c>
      <c r="Z9" s="2931">
        <v>46082</v>
      </c>
      <c r="AA9" s="15">
        <v>27</v>
      </c>
      <c r="AB9" s="2248">
        <f t="shared" si="2"/>
        <v>1.7069000000000001</v>
      </c>
      <c r="AC9" s="2249">
        <v>43374</v>
      </c>
      <c r="AD9" s="2916"/>
      <c r="AE9" s="2916"/>
      <c r="AF9" s="2916"/>
      <c r="AG9" s="2916"/>
      <c r="AH9" s="2916"/>
      <c r="AI9" s="2916"/>
      <c r="AJ9" s="2916"/>
      <c r="AK9" s="2916"/>
      <c r="AL9" s="2916"/>
      <c r="AN9" s="2250">
        <f t="shared" ca="1" si="3"/>
        <v>2018</v>
      </c>
      <c r="AO9" s="2250"/>
      <c r="AR9" s="2254">
        <v>4</v>
      </c>
      <c r="AS9" s="2255">
        <v>4</v>
      </c>
      <c r="AT9" s="2252">
        <v>8</v>
      </c>
      <c r="AU9" s="2253">
        <v>7</v>
      </c>
    </row>
    <row r="10" spans="1:47" ht="12.75" customHeight="1" thickTop="1" thickBot="1">
      <c r="A10" s="2273" t="s">
        <v>2208</v>
      </c>
      <c r="B10" s="2802" t="s">
        <v>5383</v>
      </c>
      <c r="C10" s="2803">
        <f>(IndR28*9+IndR29*2+IndR30*1)/12</f>
        <v>1.7526666666666666</v>
      </c>
      <c r="D10" s="2804" t="s">
        <v>5384</v>
      </c>
      <c r="E10" s="2854"/>
      <c r="H10" s="1085"/>
      <c r="I10" s="2802" t="s">
        <v>5383</v>
      </c>
      <c r="J10" s="2803">
        <f>(IndR28*9+IndR29*2+IndR30*1)/12</f>
        <v>1.7526666666666666</v>
      </c>
      <c r="K10" s="2804" t="s">
        <v>5384</v>
      </c>
      <c r="L10" s="2854"/>
      <c r="P10" s="2255"/>
      <c r="X10" s="15">
        <v>40</v>
      </c>
      <c r="Y10" s="15">
        <f t="shared" si="1"/>
        <v>2.2080000000000002</v>
      </c>
      <c r="Z10" s="2931">
        <v>46266</v>
      </c>
      <c r="AA10" s="15">
        <v>28</v>
      </c>
      <c r="AB10" s="2248">
        <f t="shared" si="2"/>
        <v>1.7410000000000001</v>
      </c>
      <c r="AC10" s="2249">
        <v>43862</v>
      </c>
      <c r="AD10" s="49"/>
      <c r="AF10" s="2917"/>
      <c r="AG10" s="2917"/>
      <c r="AH10" s="2917"/>
      <c r="AI10" s="2917"/>
      <c r="AJ10" s="2917"/>
      <c r="AK10" s="2917"/>
      <c r="AN10" s="2250">
        <f t="shared" ca="1" si="3"/>
        <v>2020</v>
      </c>
      <c r="AO10" s="2250"/>
      <c r="AR10" s="2254">
        <v>5</v>
      </c>
      <c r="AS10" s="2255">
        <v>5</v>
      </c>
      <c r="AT10" s="2252">
        <v>9</v>
      </c>
      <c r="AU10" s="2253">
        <v>8</v>
      </c>
    </row>
    <row r="11" spans="1:47" ht="12.75" thickTop="1" thickBot="1">
      <c r="A11" s="2273"/>
      <c r="B11" s="1085"/>
      <c r="C11" s="1085"/>
      <c r="D11" s="1085"/>
      <c r="G11" s="2270"/>
      <c r="H11" s="2270"/>
      <c r="I11" s="2274"/>
      <c r="J11" s="1369" t="s">
        <v>5372</v>
      </c>
      <c r="K11" s="2275"/>
      <c r="L11" s="2276"/>
      <c r="P11" s="2255"/>
      <c r="X11" s="15">
        <v>41</v>
      </c>
      <c r="Y11" s="15">
        <f t="shared" si="1"/>
        <v>2.2522000000000002</v>
      </c>
      <c r="Z11" s="2931">
        <v>46419</v>
      </c>
      <c r="AA11" s="15">
        <v>29</v>
      </c>
      <c r="AB11" s="2248">
        <f t="shared" si="2"/>
        <v>1.7758</v>
      </c>
      <c r="AC11" s="2249">
        <v>44470</v>
      </c>
      <c r="AF11" s="2917"/>
      <c r="AG11" s="2917"/>
      <c r="AH11" s="2917"/>
      <c r="AI11" s="2917"/>
      <c r="AJ11" s="2917"/>
      <c r="AK11" s="2917"/>
      <c r="AN11" s="2250">
        <f t="shared" ca="1" si="3"/>
        <v>2021</v>
      </c>
      <c r="AO11" s="2250"/>
      <c r="AR11" s="2257" t="s">
        <v>136</v>
      </c>
      <c r="AS11" s="2255">
        <v>5</v>
      </c>
      <c r="AT11" s="2252">
        <v>10</v>
      </c>
      <c r="AU11" s="2253">
        <v>9</v>
      </c>
    </row>
    <row r="12" spans="1:47" ht="12.75" thickTop="1" thickBot="1">
      <c r="A12" s="2277"/>
      <c r="B12" s="2278" t="s">
        <v>2210</v>
      </c>
      <c r="C12" s="2278" t="s">
        <v>2211</v>
      </c>
      <c r="D12" s="2278" t="s">
        <v>2212</v>
      </c>
      <c r="E12" s="2203"/>
      <c r="H12" s="1085"/>
      <c r="I12" s="2802" t="s">
        <v>5370</v>
      </c>
      <c r="J12" s="2803">
        <f>(IndR28*11+IndR29*1)/12</f>
        <v>1.7439</v>
      </c>
      <c r="K12" s="2804" t="s">
        <v>5371</v>
      </c>
      <c r="L12" s="2854"/>
      <c r="P12" s="2255"/>
      <c r="X12" s="15">
        <v>42</v>
      </c>
      <c r="Y12" s="15">
        <f t="shared" si="1"/>
        <v>2.2972000000000001</v>
      </c>
      <c r="Z12" s="2931">
        <v>46569</v>
      </c>
      <c r="AA12" s="15">
        <v>30</v>
      </c>
      <c r="AB12" s="2248">
        <f t="shared" si="2"/>
        <v>1.8113999999999999</v>
      </c>
      <c r="AC12" s="2249">
        <v>44593</v>
      </c>
      <c r="AF12" s="2917"/>
      <c r="AG12" s="2917"/>
      <c r="AH12" s="2917"/>
      <c r="AI12" s="2917"/>
      <c r="AJ12" s="2917"/>
      <c r="AK12" s="2917"/>
      <c r="AR12" s="2279"/>
      <c r="AS12" s="2280"/>
      <c r="AT12" s="2252">
        <v>11</v>
      </c>
      <c r="AU12" s="2253">
        <v>10</v>
      </c>
    </row>
    <row r="13" spans="1:47" ht="14.25" thickTop="1" thickBot="1">
      <c r="A13" s="2281" t="s">
        <v>2209</v>
      </c>
      <c r="B13" s="2282">
        <f>IF(Ops!D1=1,0,VLOOKUP(ZoneNr,SubSocToelBase,2,1))</f>
        <v>0</v>
      </c>
      <c r="C13" s="2283">
        <f>IF(B13="Montant ?",0,B13*4)</f>
        <v>0</v>
      </c>
      <c r="D13" s="2284">
        <v>1.2271000000000001</v>
      </c>
      <c r="E13" s="2285" t="str">
        <f>IF(PlafondTrimCGL="Montant ?","NOK","")</f>
        <v/>
      </c>
      <c r="G13" s="2270"/>
      <c r="H13" s="2270"/>
      <c r="I13" s="2274"/>
      <c r="J13" s="1369" t="s">
        <v>5373</v>
      </c>
      <c r="K13" s="2275"/>
      <c r="L13" s="2276"/>
      <c r="P13" s="2255"/>
      <c r="X13" s="15">
        <v>43</v>
      </c>
      <c r="Y13" s="15">
        <f t="shared" si="1"/>
        <v>2.3431999999999999</v>
      </c>
      <c r="Z13" s="2931">
        <v>46905</v>
      </c>
      <c r="AA13" s="2266">
        <v>31</v>
      </c>
      <c r="AB13" s="2267">
        <f t="shared" si="2"/>
        <v>1.8475999999999999</v>
      </c>
      <c r="AC13" s="2268">
        <v>44652</v>
      </c>
      <c r="AR13" s="2279"/>
      <c r="AS13" s="2280"/>
      <c r="AT13" s="2252">
        <v>12</v>
      </c>
      <c r="AU13" s="2253">
        <v>11</v>
      </c>
    </row>
    <row r="14" spans="1:47" ht="12.75" thickTop="1" thickBot="1">
      <c r="A14" s="2254"/>
      <c r="H14" s="1085"/>
      <c r="I14" s="2802" t="s">
        <v>5368</v>
      </c>
      <c r="J14" s="2803">
        <f>(IndR28*9+IndR29*3)/12</f>
        <v>1.7497</v>
      </c>
      <c r="K14" s="2804" t="s">
        <v>5369</v>
      </c>
      <c r="L14" s="2854"/>
      <c r="P14" s="2255"/>
      <c r="AT14" s="2286" t="s">
        <v>4080</v>
      </c>
      <c r="AU14" s="2287" t="s">
        <v>3185</v>
      </c>
    </row>
    <row r="15" spans="1:47" ht="12.75" thickTop="1" thickBot="1">
      <c r="A15" s="2279"/>
      <c r="B15" s="2288"/>
      <c r="C15" s="1538"/>
      <c r="D15" s="1538"/>
      <c r="E15" s="1538"/>
      <c r="F15" s="1538"/>
      <c r="G15" s="1538"/>
      <c r="H15" s="1538"/>
      <c r="I15" s="1538"/>
      <c r="J15" s="2089"/>
      <c r="K15" s="1538"/>
      <c r="L15" s="1538"/>
      <c r="M15" s="1538"/>
      <c r="N15" s="1538"/>
      <c r="O15" s="1538"/>
      <c r="P15" s="2280"/>
      <c r="AG15" s="15" t="s">
        <v>3008</v>
      </c>
      <c r="AN15" s="15">
        <v>40860</v>
      </c>
      <c r="AP15" s="2295" t="s">
        <v>5318</v>
      </c>
    </row>
    <row r="16" spans="1:47" s="1085" customFormat="1" ht="23.25" thickBot="1">
      <c r="A16" s="2356" t="s">
        <v>863</v>
      </c>
      <c r="B16" s="2289"/>
      <c r="C16" s="2289"/>
      <c r="J16" s="1409" t="s">
        <v>3184</v>
      </c>
      <c r="K16" s="2290">
        <v>1</v>
      </c>
      <c r="L16" s="126" t="s">
        <v>3185</v>
      </c>
      <c r="M16" s="126" t="s">
        <v>3186</v>
      </c>
      <c r="N16" s="2233" t="s">
        <v>3850</v>
      </c>
      <c r="O16" s="126" t="s">
        <v>238</v>
      </c>
      <c r="P16" s="2839" t="s">
        <v>239</v>
      </c>
      <c r="AA16" s="2291" t="s">
        <v>1381</v>
      </c>
      <c r="AB16" s="2292" t="s">
        <v>3006</v>
      </c>
      <c r="AC16" s="3032" t="s">
        <v>3007</v>
      </c>
      <c r="AD16" s="3033"/>
      <c r="AE16" s="3030" t="s">
        <v>1380</v>
      </c>
      <c r="AF16" s="3031"/>
      <c r="AG16" s="2233" t="s">
        <v>833</v>
      </c>
      <c r="AH16" s="2233" t="s">
        <v>974</v>
      </c>
      <c r="AI16" s="2233" t="s">
        <v>834</v>
      </c>
      <c r="AJ16" s="2233" t="s">
        <v>837</v>
      </c>
      <c r="AK16" s="2293" t="s">
        <v>3187</v>
      </c>
      <c r="AL16" s="2294" t="s">
        <v>1374</v>
      </c>
      <c r="AM16" s="2294" t="s">
        <v>811</v>
      </c>
      <c r="AN16" s="2840" t="s">
        <v>959</v>
      </c>
      <c r="AO16" s="2294"/>
      <c r="AP16" s="2841" t="s">
        <v>4017</v>
      </c>
      <c r="AQ16" s="126"/>
    </row>
    <row r="17" spans="1:46">
      <c r="A17" s="15" t="s">
        <v>3967</v>
      </c>
      <c r="C17" s="2296">
        <v>0.92</v>
      </c>
      <c r="J17" s="2297">
        <v>0</v>
      </c>
      <c r="K17" s="2298">
        <v>0</v>
      </c>
      <c r="L17" s="2298">
        <v>0</v>
      </c>
      <c r="M17" s="2299">
        <v>0</v>
      </c>
      <c r="N17" s="2300">
        <v>0</v>
      </c>
      <c r="O17" s="2243"/>
      <c r="P17" s="2245"/>
      <c r="Q17" s="15" t="s">
        <v>4235</v>
      </c>
      <c r="R17" s="15" t="s">
        <v>2384</v>
      </c>
      <c r="AB17" s="2301"/>
      <c r="AC17" s="2302" t="s">
        <v>835</v>
      </c>
      <c r="AD17" s="2303" t="s">
        <v>836</v>
      </c>
      <c r="AE17" s="2304" t="s">
        <v>835</v>
      </c>
      <c r="AF17" s="2305" t="s">
        <v>836</v>
      </c>
      <c r="AG17" s="5"/>
      <c r="AH17" s="5"/>
      <c r="AI17" s="5"/>
      <c r="AJ17" s="2306">
        <f>ROUND(VLOOKUP(ANNEE,AA20:AJ40,10),2)</f>
        <v>0</v>
      </c>
      <c r="AK17" s="2252"/>
      <c r="AN17" s="2307" t="s">
        <v>960</v>
      </c>
      <c r="AP17" s="2308" t="s">
        <v>4018</v>
      </c>
    </row>
    <row r="18" spans="1:46" ht="12.75">
      <c r="A18" s="1085" t="s">
        <v>2927</v>
      </c>
      <c r="C18" s="2296">
        <v>0.92</v>
      </c>
      <c r="G18" s="15" t="s">
        <v>2852</v>
      </c>
      <c r="H18" s="15" t="s">
        <v>858</v>
      </c>
      <c r="I18" s="5" t="s">
        <v>2568</v>
      </c>
      <c r="J18" s="2309">
        <v>1</v>
      </c>
      <c r="K18" s="55">
        <f>O18</f>
        <v>5354.51</v>
      </c>
      <c r="L18" s="55">
        <f t="shared" ref="L18:L23" si="4">ROUND(K18*IndW,2)</f>
        <v>12160.18</v>
      </c>
      <c r="M18" s="2310">
        <f t="shared" ref="M18:M29" si="5">ROUND(K18/12*IndW_N1,2)</f>
        <v>1013.35</v>
      </c>
      <c r="N18" s="2311">
        <f t="shared" ref="N18:N50" si="6">K18/12*IF(NabTransitX&lt;&gt;"",12*IndW,11*IndW_N)</f>
        <v>11146.832997513889</v>
      </c>
      <c r="O18" s="1064">
        <v>5354.51</v>
      </c>
      <c r="P18" s="2245">
        <v>4009</v>
      </c>
      <c r="Q18" s="2312">
        <f t="shared" ref="Q18:R22" si="7">C55</f>
        <v>1</v>
      </c>
      <c r="R18" s="2312">
        <f t="shared" si="7"/>
        <v>1</v>
      </c>
      <c r="AB18" s="2301"/>
      <c r="AC18" s="2313"/>
      <c r="AD18" s="2314"/>
      <c r="AE18" s="2315"/>
      <c r="AF18" s="2316"/>
      <c r="AG18" s="2315">
        <v>1028.6400000000001</v>
      </c>
      <c r="AH18" s="2315">
        <v>317.54000000000002</v>
      </c>
      <c r="AI18" s="2315">
        <v>26.21</v>
      </c>
      <c r="AJ18" s="2315">
        <v>108.24</v>
      </c>
      <c r="AK18" s="3026" t="s">
        <v>2030</v>
      </c>
      <c r="AL18" s="3027"/>
      <c r="AM18" s="3027"/>
      <c r="AN18" s="2317" t="s">
        <v>906</v>
      </c>
      <c r="AP18" s="2308" t="s">
        <v>4016</v>
      </c>
    </row>
    <row r="19" spans="1:46" ht="12" thickBot="1">
      <c r="A19" s="2318" t="str">
        <f>IF(NabTransitX="","", "Les formules pour le traitement et F/R des onglets 'Calog' et 'Ops' devront être adapté !!!")</f>
        <v/>
      </c>
      <c r="B19" s="2318"/>
      <c r="C19" s="2318"/>
      <c r="D19" s="2318"/>
      <c r="E19" s="2318"/>
      <c r="G19" s="15" t="s">
        <v>2852</v>
      </c>
      <c r="H19" s="15" t="s">
        <v>859</v>
      </c>
      <c r="I19" s="5" t="s">
        <v>2568</v>
      </c>
      <c r="J19" s="2309">
        <v>2</v>
      </c>
      <c r="K19" s="55">
        <f t="shared" ref="K19:K36" si="8">O19</f>
        <v>6693.13</v>
      </c>
      <c r="L19" s="55">
        <f t="shared" si="4"/>
        <v>15200.21</v>
      </c>
      <c r="M19" s="2310">
        <f t="shared" si="5"/>
        <v>1266.68</v>
      </c>
      <c r="N19" s="2311">
        <f t="shared" si="6"/>
        <v>13933.52563365278</v>
      </c>
      <c r="O19" s="1064">
        <v>6693.13</v>
      </c>
      <c r="P19" s="2245">
        <v>4009</v>
      </c>
      <c r="Q19" s="2312">
        <f t="shared" si="7"/>
        <v>1</v>
      </c>
      <c r="R19" s="2312">
        <f t="shared" si="7"/>
        <v>1</v>
      </c>
      <c r="AB19" s="2301"/>
      <c r="AC19" s="2313"/>
      <c r="AD19" s="2314"/>
      <c r="AF19" s="2255"/>
      <c r="AG19" s="2315">
        <v>1028.24</v>
      </c>
      <c r="AH19" s="2315">
        <v>650</v>
      </c>
      <c r="AI19" s="2315">
        <v>343</v>
      </c>
      <c r="AJ19" s="2315">
        <v>112.62</v>
      </c>
      <c r="AK19" s="3020" t="s">
        <v>812</v>
      </c>
      <c r="AL19" s="3021"/>
      <c r="AM19" s="3021"/>
      <c r="AN19" s="2307"/>
      <c r="AP19" s="2308" t="s">
        <v>4019</v>
      </c>
    </row>
    <row r="20" spans="1:46" ht="34.5" thickBot="1">
      <c r="A20" s="2263" t="s">
        <v>1212</v>
      </c>
      <c r="B20" s="1526"/>
      <c r="C20" s="1526"/>
      <c r="D20" s="2319"/>
      <c r="G20" s="15" t="s">
        <v>2852</v>
      </c>
      <c r="H20" s="15" t="s">
        <v>860</v>
      </c>
      <c r="I20" s="5" t="s">
        <v>2568</v>
      </c>
      <c r="J20" s="2309">
        <v>3</v>
      </c>
      <c r="K20" s="55">
        <f t="shared" si="8"/>
        <v>8031.76</v>
      </c>
      <c r="L20" s="55">
        <f t="shared" si="4"/>
        <v>18240.259999999998</v>
      </c>
      <c r="M20" s="2310">
        <f t="shared" si="5"/>
        <v>1520.02</v>
      </c>
      <c r="N20" s="2311">
        <f t="shared" si="6"/>
        <v>16720.239087444446</v>
      </c>
      <c r="O20" s="1064">
        <v>8031.76</v>
      </c>
      <c r="P20" s="2245">
        <v>4009</v>
      </c>
      <c r="Q20" s="2312">
        <f t="shared" si="7"/>
        <v>0.97499999999999998</v>
      </c>
      <c r="R20" s="2312">
        <f t="shared" si="7"/>
        <v>0.97499999999999998</v>
      </c>
      <c r="AA20" s="15">
        <v>2014</v>
      </c>
      <c r="AB20" s="2320">
        <f>(IndR24*12+IndR25*0)/12</f>
        <v>1.6084000000000003</v>
      </c>
      <c r="AC20" s="1462">
        <f>IndR24</f>
        <v>1.6084000000000001</v>
      </c>
      <c r="AD20" s="1463">
        <f>(IndR24*11+IndR25*0)/11</f>
        <v>1.6083999999999998</v>
      </c>
      <c r="AE20" s="2321">
        <f>AC20/($AC20+$AK20)</f>
        <v>0.85854595921853316</v>
      </c>
      <c r="AF20" s="2322">
        <f>AK20/($AC20+$AK20)</f>
        <v>0.14145404078146684</v>
      </c>
      <c r="AG20" s="2331">
        <v>0.1547</v>
      </c>
      <c r="AH20" s="2324">
        <v>707.38800000000003</v>
      </c>
      <c r="AI20" s="2315">
        <v>375.16</v>
      </c>
      <c r="AJ20" s="2315">
        <v>121.11</v>
      </c>
      <c r="AK20" s="2328">
        <f>+AL20-AM20</f>
        <v>0.26499999999999996</v>
      </c>
      <c r="AL20" s="2325">
        <f>IF(VVSG_UVC="",AO20,AN20)</f>
        <v>0.33999999999999997</v>
      </c>
      <c r="AM20" s="2325">
        <v>7.4999999999999997E-2</v>
      </c>
      <c r="AN20" s="2326">
        <f>AO20-3%</f>
        <v>0.33999999999999997</v>
      </c>
      <c r="AO20" s="2325">
        <v>0.37</v>
      </c>
      <c r="AP20" s="2842" t="s">
        <v>5319</v>
      </c>
    </row>
    <row r="21" spans="1:46" ht="13.5" customHeight="1" thickBot="1">
      <c r="A21" s="2998"/>
      <c r="B21" s="2999"/>
      <c r="C21" s="2999"/>
      <c r="D21" s="3000" t="s">
        <v>1213</v>
      </c>
      <c r="G21" s="15" t="s">
        <v>2852</v>
      </c>
      <c r="H21" s="15" t="s">
        <v>305</v>
      </c>
      <c r="I21" s="5" t="s">
        <v>2568</v>
      </c>
      <c r="J21" s="2309">
        <v>4</v>
      </c>
      <c r="K21" s="55">
        <f t="shared" si="8"/>
        <v>10709.01</v>
      </c>
      <c r="L21" s="55">
        <f t="shared" si="4"/>
        <v>24320.34</v>
      </c>
      <c r="M21" s="2310">
        <f t="shared" si="5"/>
        <v>2026.7</v>
      </c>
      <c r="N21" s="2311">
        <f t="shared" si="6"/>
        <v>22293.645177375001</v>
      </c>
      <c r="O21" s="1064">
        <v>10709.01</v>
      </c>
      <c r="P21" s="2245">
        <v>4009</v>
      </c>
      <c r="Q21" s="2312">
        <f t="shared" si="7"/>
        <v>0.95</v>
      </c>
      <c r="R21" s="2312">
        <f t="shared" si="7"/>
        <v>0.95</v>
      </c>
      <c r="Z21" s="2344"/>
      <c r="AA21" s="15">
        <v>2015</v>
      </c>
      <c r="AB21" s="2320">
        <f>(IndR24*12+IndR25*0)/12</f>
        <v>1.6084000000000003</v>
      </c>
      <c r="AC21" s="1462">
        <f>IndR24</f>
        <v>1.6084000000000001</v>
      </c>
      <c r="AD21" s="1463">
        <f>(IndR24*11+IndR25*0)/11</f>
        <v>1.6083999999999998</v>
      </c>
      <c r="AE21" s="2321">
        <f>AC21/($AC21+$AK21)</f>
        <v>0.83840700583819849</v>
      </c>
      <c r="AF21" s="2322">
        <f>AK21/($AC21+$AK21)</f>
        <v>0.16159299416180148</v>
      </c>
      <c r="AG21" s="2331">
        <v>0.1547</v>
      </c>
      <c r="AH21" s="2324">
        <v>710.42280000000005</v>
      </c>
      <c r="AI21" s="2315">
        <v>382.59</v>
      </c>
      <c r="AJ21" s="2315">
        <v>123.51</v>
      </c>
      <c r="AK21" s="2335">
        <f>+AL21-AM21</f>
        <v>0.31</v>
      </c>
      <c r="AL21" s="2336">
        <f>IF(VVSG_UVC="",AO21,AN21)-AP22</f>
        <v>0.38500000000000001</v>
      </c>
      <c r="AM21" s="2325">
        <v>7.4999999999999997E-2</v>
      </c>
      <c r="AN21" s="2326">
        <f>+AO21</f>
        <v>0.4</v>
      </c>
      <c r="AO21" s="2325">
        <v>0.4</v>
      </c>
      <c r="AP21" s="2843">
        <v>1.4999999999999999E-2</v>
      </c>
    </row>
    <row r="22" spans="1:46" ht="12.75" thickBot="1">
      <c r="G22" s="15" t="s">
        <v>2852</v>
      </c>
      <c r="H22" s="15" t="s">
        <v>306</v>
      </c>
      <c r="I22" s="5" t="s">
        <v>2568</v>
      </c>
      <c r="J22" s="2309">
        <v>5</v>
      </c>
      <c r="K22" s="55">
        <f t="shared" si="8"/>
        <v>12047.63</v>
      </c>
      <c r="L22" s="55">
        <f t="shared" si="4"/>
        <v>27360.37</v>
      </c>
      <c r="M22" s="2310">
        <f t="shared" si="5"/>
        <v>2280.0300000000002</v>
      </c>
      <c r="N22" s="2311">
        <f t="shared" si="6"/>
        <v>25080.337813513888</v>
      </c>
      <c r="O22" s="1064">
        <v>12047.63</v>
      </c>
      <c r="P22" s="2245">
        <v>4009</v>
      </c>
      <c r="Q22" s="2312">
        <f t="shared" si="7"/>
        <v>0.9</v>
      </c>
      <c r="R22" s="2312">
        <f t="shared" si="7"/>
        <v>0.9</v>
      </c>
      <c r="AA22" s="15">
        <v>2016</v>
      </c>
      <c r="AB22" s="2320">
        <f>(IndR24*6+IndR25*6)/12</f>
        <v>1.6245000000000001</v>
      </c>
      <c r="AC22" s="1462">
        <f>IndR24</f>
        <v>1.6084000000000001</v>
      </c>
      <c r="AD22" s="1463">
        <f>(IndR24*6+IndR25*5)/11</f>
        <v>1.6230363636363636</v>
      </c>
      <c r="AE22" s="2321">
        <f>AC22/($AC22+$AK22)</f>
        <v>0.82549784438513663</v>
      </c>
      <c r="AF22" s="2322">
        <f>AK22/($AC22+$AK22)</f>
        <v>0.17450215561486346</v>
      </c>
      <c r="AG22" s="2331">
        <v>0.15470833333333334</v>
      </c>
      <c r="AH22" s="2324">
        <v>718.32740000000001</v>
      </c>
      <c r="AI22" s="2315">
        <v>388.54</v>
      </c>
      <c r="AJ22" s="2315">
        <v>125.43</v>
      </c>
      <c r="AK22" s="2339">
        <f>+AL22-AM22</f>
        <v>0.33999999999999997</v>
      </c>
      <c r="AL22" s="2340">
        <f>IF(VVSG_UVC="",AO22,AN22)</f>
        <v>0.41499999999999998</v>
      </c>
      <c r="AM22" s="2325">
        <v>7.4999999999999997E-2</v>
      </c>
      <c r="AN22" s="2326">
        <f>+AO22</f>
        <v>0.41499999999999998</v>
      </c>
      <c r="AO22" s="2325">
        <v>0.41499999999999998</v>
      </c>
      <c r="AP22" s="2329">
        <v>1.4999999999999999E-2</v>
      </c>
    </row>
    <row r="23" spans="1:46" ht="12.75" thickBot="1">
      <c r="A23" s="2246" t="s">
        <v>864</v>
      </c>
      <c r="G23" s="1085" t="s">
        <v>2852</v>
      </c>
      <c r="H23" s="1085" t="s">
        <v>307</v>
      </c>
      <c r="I23" s="126" t="s">
        <v>2568</v>
      </c>
      <c r="J23" s="2309">
        <v>6</v>
      </c>
      <c r="K23" s="55">
        <f t="shared" si="8"/>
        <v>13386.26</v>
      </c>
      <c r="L23" s="55">
        <f t="shared" si="4"/>
        <v>30400.42</v>
      </c>
      <c r="M23" s="2310">
        <f t="shared" si="5"/>
        <v>2533.37</v>
      </c>
      <c r="N23" s="2327">
        <f t="shared" si="6"/>
        <v>27867.05126730556</v>
      </c>
      <c r="O23" s="1064">
        <v>13386.26</v>
      </c>
      <c r="P23" s="2245">
        <v>4009</v>
      </c>
      <c r="Z23" s="2344" t="s">
        <v>5129</v>
      </c>
      <c r="AA23" s="15">
        <v>2017</v>
      </c>
      <c r="AB23" s="2320">
        <f>(IndR25*6+IndR26*6)/12</f>
        <v>1.657</v>
      </c>
      <c r="AC23" s="1462">
        <f>IndR25</f>
        <v>1.6406000000000001</v>
      </c>
      <c r="AD23" s="1463">
        <f>(IndR25*9+IndR26*2)/11</f>
        <v>1.6465636363636365</v>
      </c>
      <c r="AE23" s="2321">
        <f>AC23/($AC23+$AK23)</f>
        <v>0.82833484802585078</v>
      </c>
      <c r="AF23" s="2322">
        <f>AK23/($AC23+$AK23)</f>
        <v>0.17166515197414925</v>
      </c>
      <c r="AG23" s="2345">
        <f>(15.47%*9+15.48%*3)/12</f>
        <v>0.154725</v>
      </c>
      <c r="AH23" s="2324">
        <v>730.81</v>
      </c>
      <c r="AI23" s="2315">
        <v>393.12</v>
      </c>
      <c r="AJ23" s="2315">
        <v>126.91</v>
      </c>
      <c r="AK23" s="2339">
        <f>+AL23-AM23</f>
        <v>0.33999999999999997</v>
      </c>
      <c r="AL23" s="2340">
        <f>AP23</f>
        <v>0.41499999999999998</v>
      </c>
      <c r="AM23" s="2325">
        <v>7.4999999999999997E-2</v>
      </c>
      <c r="AN23" s="2326"/>
      <c r="AO23" s="2325"/>
      <c r="AP23" s="2346">
        <v>0.41499999999999998</v>
      </c>
      <c r="AQ23" s="15" t="s">
        <v>5142</v>
      </c>
    </row>
    <row r="24" spans="1:46" ht="12" thickBot="1">
      <c r="A24" s="15" t="s">
        <v>3119</v>
      </c>
      <c r="C24" s="2330">
        <f>ROUND(VLOOKUP(ANNEE,TbIndN,8,0),2)</f>
        <v>1006.55</v>
      </c>
      <c r="D24" s="15" t="str">
        <f>CONCATENATE(ANNEE-1,"-&gt;",INT(VLOOKUP(ANNEE-1,TbIndN,8,0)),",",E24)</f>
        <v>2026-&gt;962,69</v>
      </c>
      <c r="E24" s="2250">
        <f>INT(VLOOKUP(ANNEE-1,TbIndN,8,0)*100)-INT(VLOOKUP(ANNEE-1,TbIndN,8,0))*100</f>
        <v>69</v>
      </c>
      <c r="G24" s="15" t="s">
        <v>152</v>
      </c>
      <c r="H24" s="15" t="s">
        <v>155</v>
      </c>
      <c r="I24" s="5" t="s">
        <v>2568</v>
      </c>
      <c r="J24" s="2297" t="s">
        <v>2052</v>
      </c>
      <c r="K24" s="2298">
        <f t="shared" si="8"/>
        <v>2290.44</v>
      </c>
      <c r="L24" s="2298">
        <f t="shared" ref="L24:L29" si="9">ROUND(K24*IndW,2)</f>
        <v>5201.63</v>
      </c>
      <c r="M24" s="2299">
        <f t="shared" si="5"/>
        <v>433.47</v>
      </c>
      <c r="N24" s="2300">
        <f t="shared" si="6"/>
        <v>4768.1584628333339</v>
      </c>
      <c r="O24" s="1064">
        <v>2290.44</v>
      </c>
      <c r="P24" s="2245">
        <v>4067</v>
      </c>
      <c r="Q24" s="15" t="s">
        <v>241</v>
      </c>
      <c r="Z24" s="2358" t="s">
        <v>5325</v>
      </c>
      <c r="AA24" s="15">
        <v>2018</v>
      </c>
      <c r="AB24" s="2320">
        <f>(IndR26*9+IndR27*3)/12</f>
        <v>1.681775</v>
      </c>
      <c r="AC24" s="1462">
        <f>IndR26</f>
        <v>1.6734</v>
      </c>
      <c r="AD24" s="1463">
        <f>(IndR26*9+IndR27*2)/11</f>
        <v>1.6794909090909094</v>
      </c>
      <c r="AE24" s="2347">
        <v>0.83113141948942093</v>
      </c>
      <c r="AF24" s="2347">
        <v>0.16886858051057912</v>
      </c>
      <c r="AG24" s="2348">
        <v>0.15475</v>
      </c>
      <c r="AH24" s="2324">
        <v>744.85</v>
      </c>
      <c r="AI24" s="2349">
        <v>400.99</v>
      </c>
      <c r="AJ24" s="2349">
        <v>129.44999999999999</v>
      </c>
      <c r="AK24" s="2350">
        <v>0.33999999999999997</v>
      </c>
      <c r="AL24" s="2351">
        <v>0.41499999999999998</v>
      </c>
      <c r="AM24" s="2352">
        <v>7.4999999999999997E-2</v>
      </c>
      <c r="AP24" s="2355">
        <f>AL24</f>
        <v>0.41499999999999998</v>
      </c>
    </row>
    <row r="25" spans="1:46" ht="15" customHeight="1">
      <c r="A25" s="15" t="s">
        <v>3118</v>
      </c>
      <c r="C25" s="2330">
        <f>ROUND(VLOOKUP(ANNEE,TbIndN,9,0),2)</f>
        <v>515.35</v>
      </c>
      <c r="D25" s="15" t="str">
        <f>CONCATENATE(ANNEE-1,"-&gt;",INT(VLOOKUP(ANNEE-1,TbIndN,9,0)),",",E25)</f>
        <v>2026-&gt;492,89</v>
      </c>
      <c r="E25" s="2250">
        <f>INT(VLOOKUP(ANNEE-1,TbIndN,9,0)*100)-INT(VLOOKUP(ANNEE-1,TbIndN,9,0))*100</f>
        <v>89</v>
      </c>
      <c r="G25" s="15" t="s">
        <v>152</v>
      </c>
      <c r="H25" s="15" t="s">
        <v>156</v>
      </c>
      <c r="I25" s="5" t="s">
        <v>2568</v>
      </c>
      <c r="J25" s="2309" t="s">
        <v>2490</v>
      </c>
      <c r="K25" s="55">
        <f t="shared" si="8"/>
        <v>2642.97</v>
      </c>
      <c r="L25" s="55">
        <f t="shared" si="9"/>
        <v>6002.23</v>
      </c>
      <c r="M25" s="2310">
        <f t="shared" si="5"/>
        <v>500.19</v>
      </c>
      <c r="N25" s="2311">
        <f t="shared" si="6"/>
        <v>5502.0431762083326</v>
      </c>
      <c r="O25" s="1064">
        <v>2642.97</v>
      </c>
      <c r="P25" s="2245">
        <v>4067</v>
      </c>
      <c r="Z25" s="2851" t="s">
        <v>5326</v>
      </c>
      <c r="AA25" s="15">
        <v>2019</v>
      </c>
      <c r="AB25" s="2320">
        <f>(IndR27*12+IndR27*0)/12</f>
        <v>1.7069000000000001</v>
      </c>
      <c r="AC25" s="1462">
        <f>AB25</f>
        <v>1.7069000000000001</v>
      </c>
      <c r="AD25" s="1463">
        <f>AB25</f>
        <v>1.7069000000000001</v>
      </c>
      <c r="AE25" s="2321">
        <f>AC25/($AC25+$AK25)</f>
        <v>0.83389515853241492</v>
      </c>
      <c r="AF25" s="2322">
        <f>AK25/($AC25+$AK25)</f>
        <v>0.16610484146758511</v>
      </c>
      <c r="AG25" s="2348">
        <v>0.15475</v>
      </c>
      <c r="AH25" s="2353">
        <f t="shared" ref="AH25:AJ29" si="10">AH24/$AB24*$AB25</f>
        <v>755.97774077983092</v>
      </c>
      <c r="AI25" s="2353">
        <f t="shared" si="10"/>
        <v>406.98061928617091</v>
      </c>
      <c r="AJ25" s="2353">
        <f t="shared" si="10"/>
        <v>131.3839276954408</v>
      </c>
      <c r="AK25" s="2339">
        <f>+AL25-AM25</f>
        <v>0.33999999999999997</v>
      </c>
      <c r="AL25" s="2340">
        <v>0.41499999999999998</v>
      </c>
      <c r="AM25" s="2325">
        <v>7.4999999999999997E-2</v>
      </c>
      <c r="AP25" s="2355">
        <f>AL25</f>
        <v>0.41499999999999998</v>
      </c>
    </row>
    <row r="26" spans="1:46" ht="12" thickBot="1">
      <c r="A26" s="15" t="s">
        <v>3120</v>
      </c>
      <c r="C26" s="1200">
        <v>2.5000000000000001E-2</v>
      </c>
      <c r="G26" s="15" t="s">
        <v>152</v>
      </c>
      <c r="H26" s="15" t="s">
        <v>154</v>
      </c>
      <c r="I26" s="5" t="s">
        <v>2568</v>
      </c>
      <c r="J26" s="2332" t="s">
        <v>4230</v>
      </c>
      <c r="K26" s="2333">
        <f t="shared" si="8"/>
        <v>1938.21</v>
      </c>
      <c r="L26" s="2333">
        <f t="shared" si="9"/>
        <v>4401.71</v>
      </c>
      <c r="M26" s="2334">
        <f t="shared" si="5"/>
        <v>366.81</v>
      </c>
      <c r="N26" s="2327">
        <f t="shared" si="6"/>
        <v>4034.8982790416671</v>
      </c>
      <c r="O26" s="1064">
        <v>1938.21</v>
      </c>
      <c r="P26" s="2245">
        <v>4067</v>
      </c>
      <c r="Z26" s="2344" t="s">
        <v>5324</v>
      </c>
      <c r="AA26" s="15">
        <v>2020</v>
      </c>
      <c r="AB26" s="2320">
        <f>(IndR27*3+IndR28*9)/12</f>
        <v>1.732475</v>
      </c>
      <c r="AC26" s="1462">
        <f>AB26</f>
        <v>1.732475</v>
      </c>
      <c r="AD26" s="1463">
        <f>AB26</f>
        <v>1.732475</v>
      </c>
      <c r="AE26" s="2321">
        <f>AC26/($AC26+$AK26)</f>
        <v>0.83594494505361949</v>
      </c>
      <c r="AF26" s="2322">
        <f>AK26/($AC26+$AK26)</f>
        <v>0.16405505494638054</v>
      </c>
      <c r="AG26" s="2348">
        <v>0.15475</v>
      </c>
      <c r="AH26" s="2353">
        <f t="shared" si="10"/>
        <v>767.30478437959891</v>
      </c>
      <c r="AI26" s="2353">
        <f t="shared" si="10"/>
        <v>413.07853324612387</v>
      </c>
      <c r="AJ26" s="2353">
        <f t="shared" si="10"/>
        <v>133.35249290184476</v>
      </c>
      <c r="AK26" s="2339">
        <f>+AL26-AM26</f>
        <v>0.33999999999999997</v>
      </c>
      <c r="AL26" s="2340">
        <v>0.41499999999999998</v>
      </c>
      <c r="AM26" s="2325">
        <v>7.4999999999999997E-2</v>
      </c>
      <c r="AP26" s="2498"/>
    </row>
    <row r="27" spans="1:46">
      <c r="A27" s="2263" t="s">
        <v>3291</v>
      </c>
      <c r="B27" s="2337"/>
      <c r="C27" s="2338" t="s">
        <v>5297</v>
      </c>
      <c r="D27" s="1526"/>
      <c r="E27" s="2203"/>
      <c r="G27" s="15" t="s">
        <v>153</v>
      </c>
      <c r="H27" s="15" t="s">
        <v>155</v>
      </c>
      <c r="I27" s="5" t="s">
        <v>2568</v>
      </c>
      <c r="J27" s="2297" t="s">
        <v>2052</v>
      </c>
      <c r="K27" s="2298">
        <f t="shared" si="8"/>
        <v>1059.42</v>
      </c>
      <c r="L27" s="2298">
        <f t="shared" si="9"/>
        <v>2405.96</v>
      </c>
      <c r="M27" s="2299">
        <f t="shared" si="5"/>
        <v>200.5</v>
      </c>
      <c r="N27" s="2300">
        <f t="shared" si="6"/>
        <v>2205.4637705833338</v>
      </c>
      <c r="O27" s="1064">
        <v>1059.42</v>
      </c>
      <c r="P27" s="2245">
        <v>4107</v>
      </c>
      <c r="Q27" s="15" t="s">
        <v>240</v>
      </c>
      <c r="Z27" s="2358" t="s">
        <v>5351</v>
      </c>
      <c r="AA27" s="15">
        <v>2021</v>
      </c>
      <c r="AB27" s="2320">
        <f>(IndR28*9+IndR29*3)/12</f>
        <v>1.7497</v>
      </c>
      <c r="AC27" s="1462">
        <f>AB27</f>
        <v>1.7497</v>
      </c>
      <c r="AD27" s="1463">
        <f>AB27</f>
        <v>1.7497</v>
      </c>
      <c r="AE27" s="2321">
        <f>AC27/($AC27+$AK27)</f>
        <v>0.83729721969660709</v>
      </c>
      <c r="AF27" s="2322">
        <f>AK27/($AC27+$AK27)</f>
        <v>0.1627027803033928</v>
      </c>
      <c r="AG27" s="2348">
        <v>0.15475</v>
      </c>
      <c r="AH27" s="2353">
        <v>780.06</v>
      </c>
      <c r="AI27" s="2353"/>
      <c r="AJ27" s="2353">
        <f t="shared" si="10"/>
        <v>134.67833984926639</v>
      </c>
      <c r="AK27" s="2339">
        <f>AK26</f>
        <v>0.33999999999999997</v>
      </c>
      <c r="AL27" s="2340">
        <v>0.41499999999999998</v>
      </c>
      <c r="AM27" s="2325">
        <f>AM26</f>
        <v>7.4999999999999997E-2</v>
      </c>
    </row>
    <row r="28" spans="1:46" ht="69" customHeight="1" thickBot="1">
      <c r="A28" s="2341" t="s">
        <v>4597</v>
      </c>
      <c r="B28" s="2342">
        <v>7.0000000000000007E-2</v>
      </c>
      <c r="C28" s="2343">
        <f>ROUND(100.95/150*153.0099*VLOOKUP(ANNEE,TbIndN,3,0),2)</f>
        <v>233.86</v>
      </c>
      <c r="D28" s="2343">
        <f>ROUND(ROUND(201.9/300*306.0198,2)*VLOOKUP(ANNEE,TbIndN,3,0),4)</f>
        <v>467.71589999999998</v>
      </c>
      <c r="E28" s="2280" t="s">
        <v>489</v>
      </c>
      <c r="G28" s="15" t="s">
        <v>153</v>
      </c>
      <c r="H28" s="15" t="s">
        <v>156</v>
      </c>
      <c r="I28" s="5" t="s">
        <v>2568</v>
      </c>
      <c r="J28" s="2309" t="s">
        <v>2490</v>
      </c>
      <c r="K28" s="55">
        <f t="shared" si="8"/>
        <v>1075.3699999999999</v>
      </c>
      <c r="L28" s="55">
        <f t="shared" si="9"/>
        <v>2442.1799999999998</v>
      </c>
      <c r="M28" s="2310">
        <f t="shared" si="5"/>
        <v>203.52</v>
      </c>
      <c r="N28" s="2311">
        <f t="shared" si="6"/>
        <v>2238.6679267638888</v>
      </c>
      <c r="O28" s="1064">
        <v>1075.3699999999999</v>
      </c>
      <c r="P28" s="2245">
        <v>4107</v>
      </c>
      <c r="Z28" s="2918" t="s">
        <v>5415</v>
      </c>
      <c r="AA28" s="15">
        <v>2022</v>
      </c>
      <c r="AB28" s="2320">
        <f>(IndR29*1+IndR30*2+IndR31*2+IndR32*3+IndR33*3+IndR34*1)/12</f>
        <v>1.8728833333333332</v>
      </c>
      <c r="AC28" s="1462">
        <f t="shared" ref="AC28:AC34" si="11">AB28</f>
        <v>1.8728833333333332</v>
      </c>
      <c r="AD28" s="1463">
        <f t="shared" ref="AD28:AD34" si="12">AB28</f>
        <v>1.8728833333333332</v>
      </c>
      <c r="AE28" s="2321">
        <f>AC28/($AC28+$AK28)</f>
        <v>0.84065592902081943</v>
      </c>
      <c r="AF28" s="2322">
        <f>AK28/($AC28+$AK28)</f>
        <v>0.15934407097918055</v>
      </c>
      <c r="AG28" s="2348">
        <v>0.15475</v>
      </c>
      <c r="AH28" s="2353">
        <v>862.56</v>
      </c>
      <c r="AI28" s="2353">
        <v>457.44</v>
      </c>
      <c r="AJ28" s="2353">
        <f t="shared" si="10"/>
        <v>144.1600377577262</v>
      </c>
      <c r="AK28" s="2355">
        <f t="shared" ref="AK28" si="13">AL28-AM28</f>
        <v>0.35499999999999998</v>
      </c>
      <c r="AL28" s="2340">
        <f t="shared" ref="AL28" si="14">IF(NeutrNego="",43%,41.5%)</f>
        <v>0.43</v>
      </c>
      <c r="AM28" s="2325">
        <v>7.4999999999999997E-2</v>
      </c>
      <c r="AP28" s="2355">
        <f t="shared" ref="AP28:AP34" si="15">AL28</f>
        <v>0.43</v>
      </c>
      <c r="AR28" s="15" t="s">
        <v>5143</v>
      </c>
      <c r="AS28" s="15">
        <v>168.9297</v>
      </c>
      <c r="AT28" s="15">
        <v>337.85939999999999</v>
      </c>
    </row>
    <row r="29" spans="1:46" ht="34.5" thickBot="1">
      <c r="A29" s="2246" t="s">
        <v>3121</v>
      </c>
      <c r="G29" s="15" t="s">
        <v>153</v>
      </c>
      <c r="H29" s="15" t="s">
        <v>154</v>
      </c>
      <c r="I29" s="5" t="s">
        <v>2568</v>
      </c>
      <c r="J29" s="2332" t="s">
        <v>4230</v>
      </c>
      <c r="K29" s="2333">
        <f t="shared" si="8"/>
        <v>892.42</v>
      </c>
      <c r="L29" s="2333">
        <f t="shared" si="9"/>
        <v>2026.7</v>
      </c>
      <c r="M29" s="2334">
        <f t="shared" si="5"/>
        <v>168.89</v>
      </c>
      <c r="N29" s="2327">
        <f t="shared" si="6"/>
        <v>1857.8089691944442</v>
      </c>
      <c r="O29" s="1064">
        <v>892.42</v>
      </c>
      <c r="P29" s="2245">
        <v>4107</v>
      </c>
      <c r="W29" s="1310"/>
      <c r="X29" s="1310"/>
      <c r="Y29" s="1310"/>
      <c r="Z29" s="2918" t="s">
        <v>5423</v>
      </c>
      <c r="AA29" s="15">
        <v>2023</v>
      </c>
      <c r="AB29" s="2320">
        <f>(IndR35*11+IndR36*1)/12</f>
        <v>2.0032333333333332</v>
      </c>
      <c r="AC29" s="1462">
        <f t="shared" si="11"/>
        <v>2.0032333333333332</v>
      </c>
      <c r="AD29" s="1463">
        <f t="shared" si="12"/>
        <v>2.0032333333333332</v>
      </c>
      <c r="AE29" s="2321">
        <f>AC29/($AC29+$AK29)</f>
        <v>0.84587667318817117</v>
      </c>
      <c r="AF29" s="2322">
        <f>AK29/($AC29+$AK29)</f>
        <v>0.15412332681182878</v>
      </c>
      <c r="AG29" s="2348">
        <v>0.15475</v>
      </c>
      <c r="AH29" s="2353">
        <v>886.76</v>
      </c>
      <c r="AI29" s="2353">
        <v>470.27</v>
      </c>
      <c r="AJ29" s="2353">
        <f t="shared" si="10"/>
        <v>154.1933701000431</v>
      </c>
      <c r="AK29" s="2355">
        <v>0.36499999999999999</v>
      </c>
      <c r="AL29" s="2340">
        <v>0.44</v>
      </c>
      <c r="AM29" s="2325">
        <v>7.4999999999999997E-2</v>
      </c>
      <c r="AP29" s="2355">
        <f t="shared" si="15"/>
        <v>0.44</v>
      </c>
    </row>
    <row r="30" spans="1:46" ht="23.25" thickBot="1">
      <c r="C30" s="5" t="s">
        <v>237</v>
      </c>
      <c r="D30" s="5" t="s">
        <v>1065</v>
      </c>
      <c r="E30" s="5" t="s">
        <v>1066</v>
      </c>
      <c r="J30" s="2254"/>
      <c r="K30" s="15">
        <f t="shared" si="8"/>
        <v>0</v>
      </c>
      <c r="N30" s="2255"/>
      <c r="O30" s="1064"/>
      <c r="P30" s="2344"/>
      <c r="Z30" s="2918" t="s">
        <v>5443</v>
      </c>
      <c r="AA30" s="15">
        <v>2024</v>
      </c>
      <c r="AB30" s="2320">
        <f>(IndR36*5+IndR37*7)/12</f>
        <v>2.0637000000000003</v>
      </c>
      <c r="AC30" s="1462">
        <f t="shared" si="11"/>
        <v>2.0637000000000003</v>
      </c>
      <c r="AD30" s="1463">
        <f t="shared" si="12"/>
        <v>2.0637000000000003</v>
      </c>
      <c r="AE30" s="2321">
        <f t="shared" ref="AE30:AE33" si="16">AC30/($AC30+$AK30)</f>
        <v>0.84622954852995447</v>
      </c>
      <c r="AF30" s="2322">
        <f t="shared" ref="AF30:AF33" si="17">AK30/($AC30+$AK30)</f>
        <v>0.1537704514700455</v>
      </c>
      <c r="AG30" s="2348">
        <v>0.15475</v>
      </c>
      <c r="AH30" s="2353">
        <v>918.37</v>
      </c>
      <c r="AI30" s="2353">
        <f t="shared" ref="AI30:AJ30" si="18">AI29/$AB29*$AB30</f>
        <v>484.46488127527169</v>
      </c>
      <c r="AJ30" s="2353">
        <f t="shared" si="18"/>
        <v>158.84762527686524</v>
      </c>
      <c r="AK30" s="2355">
        <v>0.375</v>
      </c>
      <c r="AL30" s="2340">
        <v>0.45</v>
      </c>
      <c r="AM30" s="2325">
        <v>7.4999999999999997E-2</v>
      </c>
      <c r="AP30" s="2355">
        <f t="shared" si="15"/>
        <v>0.45</v>
      </c>
    </row>
    <row r="31" spans="1:46" ht="22.5">
      <c r="C31" s="2354">
        <v>0</v>
      </c>
      <c r="D31" s="2354">
        <v>720</v>
      </c>
      <c r="E31" s="2354">
        <f>+D32</f>
        <v>360</v>
      </c>
      <c r="G31" s="15" t="s">
        <v>3715</v>
      </c>
      <c r="H31" s="15" t="s">
        <v>1738</v>
      </c>
      <c r="I31" s="5" t="s">
        <v>2568</v>
      </c>
      <c r="J31" s="2297" t="s">
        <v>2052</v>
      </c>
      <c r="K31" s="2298">
        <f t="shared" si="8"/>
        <v>1765.65</v>
      </c>
      <c r="L31" s="2298">
        <f t="shared" ref="L31:L36" si="19">ROUND(K31*IndW,2)</f>
        <v>4009.82</v>
      </c>
      <c r="M31" s="2299">
        <f t="shared" ref="M31:M36" si="20">K31/12*IndW_N1</f>
        <v>334.15171479166673</v>
      </c>
      <c r="N31" s="2300">
        <f t="shared" si="6"/>
        <v>3675.668862708334</v>
      </c>
      <c r="O31" s="1064">
        <v>1765.65</v>
      </c>
      <c r="P31" s="2245" t="s">
        <v>675</v>
      </c>
      <c r="Q31" s="15" t="s">
        <v>4495</v>
      </c>
      <c r="Z31" s="2918" t="s">
        <v>5444</v>
      </c>
      <c r="AA31" s="15">
        <v>2025</v>
      </c>
      <c r="AB31" s="2320">
        <f>(IndR37*2+IndR38*10)/12</f>
        <v>2.1153666666666666</v>
      </c>
      <c r="AC31" s="1462">
        <f t="shared" si="11"/>
        <v>2.1153666666666666</v>
      </c>
      <c r="AD31" s="1463">
        <f t="shared" si="12"/>
        <v>2.1153666666666666</v>
      </c>
      <c r="AE31" s="2321">
        <f t="shared" si="16"/>
        <v>0.84941976415788845</v>
      </c>
      <c r="AF31" s="2322">
        <f t="shared" si="17"/>
        <v>0.15058023584211161</v>
      </c>
      <c r="AG31" s="2348">
        <v>0.15475</v>
      </c>
      <c r="AH31" s="2353">
        <v>937.56</v>
      </c>
      <c r="AI31" s="2353">
        <v>480.03</v>
      </c>
      <c r="AJ31" s="2353">
        <f t="shared" ref="AJ31" si="21">AJ30/$AB30*$AB31</f>
        <v>162.82452468374188</v>
      </c>
      <c r="AK31" s="2355">
        <v>0.375</v>
      </c>
      <c r="AL31" s="2340">
        <v>0.45</v>
      </c>
      <c r="AM31" s="2325">
        <v>7.4999999999999997E-2</v>
      </c>
      <c r="AP31" s="2355">
        <f t="shared" si="15"/>
        <v>0.45</v>
      </c>
    </row>
    <row r="32" spans="1:46" ht="33.75">
      <c r="C32" s="2354">
        <v>16100</v>
      </c>
      <c r="D32" s="2354">
        <f>+D31/2</f>
        <v>360</v>
      </c>
      <c r="E32" s="2354">
        <f>+D33</f>
        <v>180</v>
      </c>
      <c r="G32" s="15" t="s">
        <v>3715</v>
      </c>
      <c r="H32" s="15" t="s">
        <v>1739</v>
      </c>
      <c r="I32" s="5" t="s">
        <v>2568</v>
      </c>
      <c r="J32" s="2309" t="s">
        <v>2490</v>
      </c>
      <c r="K32" s="55">
        <f t="shared" si="8"/>
        <v>1938.78</v>
      </c>
      <c r="L32" s="55">
        <f t="shared" si="19"/>
        <v>4403</v>
      </c>
      <c r="M32" s="2310">
        <f t="shared" si="20"/>
        <v>366.91680774999998</v>
      </c>
      <c r="N32" s="2311">
        <f t="shared" si="6"/>
        <v>4036.0848852499998</v>
      </c>
      <c r="O32" s="1064">
        <v>1938.78</v>
      </c>
      <c r="P32" s="2245" t="s">
        <v>1832</v>
      </c>
      <c r="Z32" s="2919" t="s">
        <v>5892</v>
      </c>
      <c r="AA32" s="2920">
        <v>2026</v>
      </c>
      <c r="AB32" s="2921">
        <f>(IndR38*2+IndR39*6+IndR40*4)/12</f>
        <v>2.1720666666666664</v>
      </c>
      <c r="AC32" s="2921">
        <f t="shared" si="11"/>
        <v>2.1720666666666664</v>
      </c>
      <c r="AD32" s="2922">
        <f t="shared" si="12"/>
        <v>2.1720666666666664</v>
      </c>
      <c r="AE32" s="2321">
        <f t="shared" si="16"/>
        <v>0.85277181594513951</v>
      </c>
      <c r="AF32" s="2322">
        <f t="shared" si="17"/>
        <v>0.14722818405486052</v>
      </c>
      <c r="AG32" s="2348">
        <v>0.15475</v>
      </c>
      <c r="AH32" s="2353">
        <f t="shared" ref="AH32:AJ32" si="22">AH31/$AB31*$AB32</f>
        <v>962.69023053528929</v>
      </c>
      <c r="AI32" s="2353">
        <f t="shared" si="22"/>
        <v>492.89665873528617</v>
      </c>
      <c r="AJ32" s="2353">
        <f t="shared" si="22"/>
        <v>167.18885106509489</v>
      </c>
      <c r="AK32" s="2355">
        <v>0.375</v>
      </c>
      <c r="AL32" s="2340">
        <v>0.45</v>
      </c>
      <c r="AM32" s="2325">
        <v>7.4999999999999997E-2</v>
      </c>
      <c r="AP32" s="2355">
        <f t="shared" si="15"/>
        <v>0.45</v>
      </c>
    </row>
    <row r="33" spans="1:42" ht="23.25" thickBot="1">
      <c r="C33" s="2354">
        <v>18330</v>
      </c>
      <c r="D33" s="2354">
        <f>D32/2</f>
        <v>180</v>
      </c>
      <c r="E33" s="2354">
        <f>E32/2</f>
        <v>90</v>
      </c>
      <c r="G33" s="15" t="s">
        <v>3715</v>
      </c>
      <c r="H33" s="15" t="s">
        <v>1737</v>
      </c>
      <c r="I33" s="5" t="s">
        <v>2568</v>
      </c>
      <c r="J33" s="2332" t="s">
        <v>4230</v>
      </c>
      <c r="K33" s="2333">
        <f t="shared" si="8"/>
        <v>1755.39</v>
      </c>
      <c r="L33" s="2333">
        <f t="shared" si="19"/>
        <v>3986.52</v>
      </c>
      <c r="M33" s="2334">
        <f t="shared" si="20"/>
        <v>332.20999554166667</v>
      </c>
      <c r="N33" s="2327">
        <f t="shared" si="6"/>
        <v>3654.3099509583335</v>
      </c>
      <c r="O33" s="1064">
        <v>1755.39</v>
      </c>
      <c r="P33" s="2245" t="s">
        <v>1833</v>
      </c>
      <c r="Z33" s="2919" t="s">
        <v>5893</v>
      </c>
      <c r="AA33" s="2920">
        <v>2027</v>
      </c>
      <c r="AB33" s="2921">
        <f>(IndR40*1+IndR41*5+IndR42*6)/12</f>
        <v>2.2710166666666667</v>
      </c>
      <c r="AC33" s="2921">
        <f t="shared" si="11"/>
        <v>2.2710166666666667</v>
      </c>
      <c r="AD33" s="2922">
        <f t="shared" si="12"/>
        <v>2.2710166666666667</v>
      </c>
      <c r="AE33" s="2321">
        <f t="shared" si="16"/>
        <v>0.85665876613374747</v>
      </c>
      <c r="AF33" s="2322">
        <f t="shared" si="17"/>
        <v>0.14334123386625258</v>
      </c>
      <c r="AG33" s="2348">
        <v>0.15475</v>
      </c>
      <c r="AH33" s="2353">
        <f t="shared" ref="AH33:AJ34" si="23">AH32/$AB32*$AB33</f>
        <v>1006.54625013788</v>
      </c>
      <c r="AI33" s="2353">
        <f t="shared" si="23"/>
        <v>515.35090709254507</v>
      </c>
      <c r="AJ33" s="2353">
        <f t="shared" si="23"/>
        <v>174.80525486465194</v>
      </c>
      <c r="AK33" s="2355">
        <v>0.38</v>
      </c>
      <c r="AL33" s="2340">
        <v>0.45500000000000002</v>
      </c>
      <c r="AM33" s="2325">
        <v>7.4999999999999997E-2</v>
      </c>
      <c r="AP33" s="2355">
        <f t="shared" si="15"/>
        <v>0.45500000000000002</v>
      </c>
    </row>
    <row r="34" spans="1:42" ht="32.25" customHeight="1">
      <c r="C34" s="2354">
        <v>18330.009999999998</v>
      </c>
      <c r="D34" s="2354">
        <v>0</v>
      </c>
      <c r="E34" s="2354">
        <v>0</v>
      </c>
      <c r="I34" s="5" t="s">
        <v>2568</v>
      </c>
      <c r="J34" s="2297" t="s">
        <v>904</v>
      </c>
      <c r="K34" s="2298">
        <f t="shared" si="8"/>
        <v>1755.39</v>
      </c>
      <c r="L34" s="2298">
        <f t="shared" si="19"/>
        <v>3986.52</v>
      </c>
      <c r="M34" s="2299">
        <f t="shared" si="20"/>
        <v>332.20999554166667</v>
      </c>
      <c r="N34" s="2300">
        <f t="shared" si="6"/>
        <v>3654.3099509583335</v>
      </c>
      <c r="O34" s="1064">
        <v>1755.39</v>
      </c>
      <c r="P34" s="2245" t="s">
        <v>1834</v>
      </c>
      <c r="X34" s="129"/>
      <c r="Z34" s="2919" t="s">
        <v>5894</v>
      </c>
      <c r="AA34" s="2952">
        <v>2028</v>
      </c>
      <c r="AB34" s="2953">
        <f>(IndR42*6+IndR43*6)/12</f>
        <v>2.3202000000000003</v>
      </c>
      <c r="AC34" s="2953">
        <f t="shared" si="11"/>
        <v>2.3202000000000003</v>
      </c>
      <c r="AD34" s="2954">
        <f t="shared" si="12"/>
        <v>2.3202000000000003</v>
      </c>
      <c r="AE34" s="2321">
        <f t="shared" ref="AE34" si="24">AC34/($AC34+$AK34)</f>
        <v>0.85926968372713142</v>
      </c>
      <c r="AF34" s="2955">
        <f t="shared" ref="AF34" si="25">AK34/($AC34+$AK34)</f>
        <v>0.14073031627286867</v>
      </c>
      <c r="AG34" s="2348">
        <v>0.15475</v>
      </c>
      <c r="AH34" s="2353">
        <f t="shared" si="23"/>
        <v>1028.3449892059691</v>
      </c>
      <c r="AI34" s="2353">
        <f t="shared" si="23"/>
        <v>526.51184475504647</v>
      </c>
      <c r="AJ34" s="2353">
        <f t="shared" si="23"/>
        <v>178.59100652584326</v>
      </c>
      <c r="AK34" s="2355">
        <v>0.38</v>
      </c>
      <c r="AL34" s="2340">
        <v>0.45500000000000002</v>
      </c>
      <c r="AM34" s="2325">
        <v>7.4999999999999997E-2</v>
      </c>
      <c r="AP34" s="2355">
        <f t="shared" si="15"/>
        <v>0.45500000000000002</v>
      </c>
    </row>
    <row r="35" spans="1:42" ht="27" customHeight="1">
      <c r="I35" s="5" t="s">
        <v>2568</v>
      </c>
      <c r="J35" s="2309" t="s">
        <v>3303</v>
      </c>
      <c r="K35" s="55">
        <f t="shared" si="8"/>
        <v>1938.78</v>
      </c>
      <c r="L35" s="55">
        <f t="shared" si="19"/>
        <v>4403</v>
      </c>
      <c r="M35" s="2310">
        <f t="shared" si="20"/>
        <v>366.91680774999998</v>
      </c>
      <c r="N35" s="2311">
        <f t="shared" si="6"/>
        <v>4036.0848852499998</v>
      </c>
      <c r="O35" s="1064">
        <v>1938.78</v>
      </c>
      <c r="P35" s="2245" t="s">
        <v>1901</v>
      </c>
      <c r="Z35" s="2958"/>
      <c r="AA35" s="2949"/>
      <c r="AB35" s="2950"/>
      <c r="AC35" s="2950"/>
      <c r="AD35" s="2950"/>
      <c r="AE35" s="2951"/>
      <c r="AF35" s="2951"/>
      <c r="AG35" s="2959"/>
      <c r="AH35" s="2960"/>
      <c r="AI35" s="2960"/>
      <c r="AJ35" s="2960"/>
    </row>
    <row r="36" spans="1:42" ht="38.25" customHeight="1" thickBot="1">
      <c r="A36" s="2356" t="s">
        <v>896</v>
      </c>
      <c r="B36" s="1085"/>
      <c r="C36" s="1085" t="s">
        <v>1063</v>
      </c>
      <c r="D36" s="1085" t="s">
        <v>1064</v>
      </c>
      <c r="E36" s="1085" t="s">
        <v>2477</v>
      </c>
      <c r="F36" s="2138" t="s">
        <v>2316</v>
      </c>
      <c r="G36" s="2357" t="s">
        <v>2063</v>
      </c>
      <c r="H36" s="2357" t="s">
        <v>3122</v>
      </c>
      <c r="I36" s="5" t="s">
        <v>2568</v>
      </c>
      <c r="J36" s="2332" t="s">
        <v>873</v>
      </c>
      <c r="K36" s="2333">
        <f t="shared" si="8"/>
        <v>1765.65</v>
      </c>
      <c r="L36" s="2333">
        <f t="shared" si="19"/>
        <v>4009.82</v>
      </c>
      <c r="M36" s="2334">
        <f t="shared" si="20"/>
        <v>334.15171479166673</v>
      </c>
      <c r="N36" s="2327">
        <f t="shared" si="6"/>
        <v>3675.668862708334</v>
      </c>
      <c r="O36" s="1064">
        <v>1765.65</v>
      </c>
      <c r="P36" s="2245" t="s">
        <v>1902</v>
      </c>
      <c r="Z36" s="2897" t="s">
        <v>5377</v>
      </c>
      <c r="AA36" s="2956">
        <v>2022</v>
      </c>
      <c r="AB36" s="2957">
        <f>(IndR30*12+IndR31*0)/12</f>
        <v>1.8113999999999999</v>
      </c>
      <c r="AC36" s="2957">
        <f t="shared" ref="AC36:AC40" si="26">AB36</f>
        <v>1.8113999999999999</v>
      </c>
      <c r="AD36" s="2957">
        <f t="shared" ref="AD36:AD40" si="27">AB36</f>
        <v>1.8113999999999999</v>
      </c>
      <c r="AE36" s="3001"/>
      <c r="AF36" s="3002"/>
      <c r="AG36" s="3003"/>
      <c r="AH36" s="3004"/>
      <c r="AI36" s="3004"/>
      <c r="AJ36" s="3005"/>
    </row>
    <row r="37" spans="1:42" ht="47.25" customHeight="1" thickBot="1">
      <c r="A37" s="450" t="s">
        <v>4568</v>
      </c>
      <c r="B37" s="59">
        <v>1</v>
      </c>
      <c r="C37" s="2359">
        <f>+VLOOKUP(ANNEE,TbIndN,11,0)</f>
        <v>0.38</v>
      </c>
      <c r="D37" s="2331">
        <f>VLOOKUP(ANNEE,Tbl_PatrAmi,7,0)</f>
        <v>0.15475</v>
      </c>
      <c r="E37" s="2360">
        <v>0.15459999999999999</v>
      </c>
      <c r="F37" s="2361">
        <f>+VLOOKUP(ANNEE-1,TbIndN,11,0)</f>
        <v>0.375</v>
      </c>
      <c r="G37" s="2362"/>
      <c r="H37" s="2363">
        <f>+IF(ANNEE&lt;2015,3.86%,5.26%)</f>
        <v>5.2600000000000001E-2</v>
      </c>
      <c r="J37" s="2364" t="s">
        <v>905</v>
      </c>
      <c r="K37" s="2365">
        <v>0</v>
      </c>
      <c r="L37" s="2365">
        <v>0</v>
      </c>
      <c r="M37" s="2365">
        <v>0</v>
      </c>
      <c r="N37" s="2280">
        <f t="shared" si="6"/>
        <v>0</v>
      </c>
      <c r="Q37" s="2359">
        <f>+VLOOKUP(ANNEE,TbIndN,11,0)</f>
        <v>0.38</v>
      </c>
      <c r="R37" s="2331">
        <f>VLOOKUP(ANNEE,Tbl_PatrAmi,7,0)</f>
        <v>0.15475</v>
      </c>
      <c r="S37" s="2360">
        <v>0.15459999999999999</v>
      </c>
      <c r="T37" s="2361">
        <f>+VLOOKUP(ANNEE-1,TbIndN,11,0)</f>
        <v>0.375</v>
      </c>
      <c r="Z37" s="2856" t="s">
        <v>5376</v>
      </c>
      <c r="AA37" s="2495">
        <v>2022</v>
      </c>
      <c r="AB37" s="2496">
        <f>(IndR29*2+IndR30*10)/12</f>
        <v>1.8054666666666666</v>
      </c>
      <c r="AC37" s="2496">
        <f t="shared" si="26"/>
        <v>1.8054666666666666</v>
      </c>
      <c r="AD37" s="2496">
        <f t="shared" si="27"/>
        <v>1.8054666666666666</v>
      </c>
      <c r="AG37" s="3025" t="s">
        <v>5380</v>
      </c>
      <c r="AH37" s="3025"/>
      <c r="AI37" s="3025"/>
      <c r="AJ37" s="3025"/>
    </row>
    <row r="38" spans="1:42" ht="45.75" customHeight="1" thickBot="1">
      <c r="A38" s="1085" t="s">
        <v>897</v>
      </c>
      <c r="B38" s="59">
        <v>2</v>
      </c>
      <c r="C38" s="2366">
        <v>0</v>
      </c>
      <c r="D38" s="2366">
        <v>0.28860000000000002</v>
      </c>
      <c r="E38" s="2367">
        <f>ZIVContr-0.01%</f>
        <v>0.28850000000000003</v>
      </c>
      <c r="G38" s="2368">
        <v>8.8599999999999998E-2</v>
      </c>
      <c r="H38" s="2368">
        <v>7.8200000000000006E-2</v>
      </c>
      <c r="Z38" s="2900" t="s">
        <v>5378</v>
      </c>
      <c r="AA38" s="2901">
        <v>2022</v>
      </c>
      <c r="AB38" s="2902">
        <f>(IndR29*1+IndR30*2+IndR31*9)/12</f>
        <v>1.8355833333333333</v>
      </c>
      <c r="AC38" s="2902">
        <f t="shared" si="26"/>
        <v>1.8355833333333333</v>
      </c>
      <c r="AD38" s="2902">
        <f t="shared" si="27"/>
        <v>1.8355833333333333</v>
      </c>
      <c r="AG38" s="3025"/>
      <c r="AH38" s="3025"/>
      <c r="AI38" s="3025"/>
      <c r="AJ38" s="3025"/>
      <c r="AK38" s="3023" t="s">
        <v>5144</v>
      </c>
      <c r="AL38" s="3023"/>
      <c r="AM38" s="3023"/>
      <c r="AN38" s="3023"/>
      <c r="AO38" s="3023"/>
      <c r="AP38" s="3024"/>
    </row>
    <row r="39" spans="1:42" ht="60.75" customHeight="1" thickBot="1">
      <c r="A39" s="1085" t="s">
        <v>898</v>
      </c>
      <c r="B39" s="59">
        <v>3</v>
      </c>
      <c r="C39" s="2366">
        <v>0</v>
      </c>
      <c r="D39" s="2366">
        <v>0.28860000000000002</v>
      </c>
      <c r="E39" s="2367">
        <v>5.7200000000000001E-2</v>
      </c>
      <c r="G39" s="2368"/>
      <c r="H39" s="2368"/>
      <c r="Z39" s="2903" t="s">
        <v>5379</v>
      </c>
      <c r="AA39" s="2904">
        <v>2022</v>
      </c>
      <c r="AB39" s="2905">
        <f>(IndR29*1+IndR30*2+IndR31*2+IndR32*7)/12</f>
        <v>1.8571083333333334</v>
      </c>
      <c r="AC39" s="2905">
        <f t="shared" si="26"/>
        <v>1.8571083333333334</v>
      </c>
      <c r="AD39" s="2905">
        <f t="shared" si="27"/>
        <v>1.8571083333333334</v>
      </c>
      <c r="AE39" s="2833"/>
      <c r="AF39" s="450"/>
      <c r="AG39" s="3025"/>
      <c r="AH39" s="3025"/>
      <c r="AI39" s="3025"/>
      <c r="AJ39" s="3025"/>
      <c r="AK39" s="2359">
        <f>+VLOOKUP(ANNEE,TbIndN,11,0)</f>
        <v>0.38</v>
      </c>
      <c r="AL39" s="2331">
        <f>VLOOKUP(ANNEE,Tbl_PatrAmi,7,0)</f>
        <v>0.15475</v>
      </c>
      <c r="AM39" s="2360">
        <v>0.15459999999999999</v>
      </c>
      <c r="AN39" s="2361">
        <f>+VLOOKUP(ANNEE-1,TbIndN,11,0)</f>
        <v>0.375</v>
      </c>
    </row>
    <row r="40" spans="1:42" ht="21" customHeight="1" thickBot="1">
      <c r="A40" s="1085" t="s">
        <v>1900</v>
      </c>
      <c r="B40" s="59">
        <v>4</v>
      </c>
      <c r="C40" s="2366">
        <v>0</v>
      </c>
      <c r="D40" s="2366">
        <v>0.28860000000000002</v>
      </c>
      <c r="E40" s="2367">
        <v>5.0000000000000001E-4</v>
      </c>
      <c r="G40" s="2368"/>
      <c r="H40" s="2368"/>
      <c r="Z40" s="2906" t="s">
        <v>5381</v>
      </c>
      <c r="AA40" s="2907">
        <v>2022</v>
      </c>
      <c r="AB40" s="2908">
        <f>(IndR29*1+IndR30*2+IndR31*2+IndR32*6+IndR33)/12</f>
        <v>1.86025</v>
      </c>
      <c r="AC40" s="2908">
        <f t="shared" si="26"/>
        <v>1.86025</v>
      </c>
      <c r="AD40" s="2908">
        <f t="shared" si="27"/>
        <v>1.86025</v>
      </c>
      <c r="AE40" s="2833"/>
      <c r="AF40" s="450"/>
      <c r="AG40" s="3025"/>
      <c r="AH40" s="3025"/>
      <c r="AI40" s="3025"/>
      <c r="AJ40" s="3025"/>
      <c r="AK40" s="2369">
        <v>0</v>
      </c>
      <c r="AL40" s="2369">
        <v>0.28860000000000002</v>
      </c>
      <c r="AM40" s="2370">
        <f>ZIVContr-0.01%</f>
        <v>0.28850000000000003</v>
      </c>
    </row>
    <row r="41" spans="1:42" ht="21" customHeight="1" thickBot="1">
      <c r="A41" s="2371" t="s">
        <v>2672</v>
      </c>
      <c r="B41" s="2372">
        <v>5</v>
      </c>
      <c r="C41" s="2373">
        <v>0</v>
      </c>
      <c r="D41" s="2369">
        <f>+ZIVStat</f>
        <v>0.15475</v>
      </c>
      <c r="E41" s="2374">
        <v>0</v>
      </c>
      <c r="G41" s="2375"/>
      <c r="H41" s="2368">
        <f>+IF(ANNEE&lt;2015,3.86%,5.26%)</f>
        <v>5.2600000000000001E-2</v>
      </c>
      <c r="Z41" s="2909" t="s">
        <v>5327</v>
      </c>
      <c r="AA41" s="2898">
        <v>2022</v>
      </c>
      <c r="AB41" s="2899">
        <f>(IndR29*5+IndR30*7)/12</f>
        <v>1.7965666666666664</v>
      </c>
      <c r="AC41" s="2899">
        <f t="shared" ref="AC41:AC44" si="28">AB41</f>
        <v>1.7965666666666664</v>
      </c>
      <c r="AD41" s="2899">
        <f t="shared" ref="AD41:AD44" si="29">AB41</f>
        <v>1.7965666666666664</v>
      </c>
      <c r="AE41" s="2833"/>
      <c r="AF41" s="450"/>
      <c r="AG41" s="3025"/>
      <c r="AH41" s="3025"/>
      <c r="AI41" s="3025"/>
      <c r="AJ41" s="3025"/>
      <c r="AK41" s="2369">
        <v>0</v>
      </c>
      <c r="AL41" s="2369">
        <v>0.28860000000000002</v>
      </c>
      <c r="AM41" s="2370">
        <v>5.7200000000000001E-2</v>
      </c>
    </row>
    <row r="42" spans="1:42" ht="21" customHeight="1" thickBot="1">
      <c r="G42" s="15" t="s">
        <v>342</v>
      </c>
      <c r="H42" s="15" t="s">
        <v>341</v>
      </c>
      <c r="I42" s="5" t="s">
        <v>2568</v>
      </c>
      <c r="J42" s="2376">
        <v>0</v>
      </c>
      <c r="K42" s="2298">
        <v>669.32</v>
      </c>
      <c r="L42" s="2298">
        <f t="shared" ref="L42:L49" si="30">ROUND(K42*IndW,2)</f>
        <v>1520.04</v>
      </c>
      <c r="M42" s="2299">
        <f t="shared" ref="M42:M71" si="31">K42/12*IndW_N1</f>
        <v>126.66973961111113</v>
      </c>
      <c r="N42" s="2377">
        <f t="shared" si="6"/>
        <v>1393.3671357222224</v>
      </c>
      <c r="P42" s="2344" t="s">
        <v>1903</v>
      </c>
      <c r="Q42" s="2378">
        <v>0</v>
      </c>
      <c r="R42" s="2298">
        <v>669.32</v>
      </c>
      <c r="S42" s="2298">
        <f t="shared" ref="S42:S47" si="32">ROUND(R42*IndW,2)</f>
        <v>1520.04</v>
      </c>
      <c r="T42" s="2299">
        <f t="shared" ref="T42:T47" si="33">R42/12*IndW_N1</f>
        <v>126.66973961111113</v>
      </c>
      <c r="U42" s="2300">
        <f t="shared" ref="U42:U47" si="34">R42/12*IF(NabTransitX&lt;&gt;"",12*IndW,11*IndW_N)</f>
        <v>1393.3671357222224</v>
      </c>
      <c r="Z42" s="2909" t="s">
        <v>5328</v>
      </c>
      <c r="AA42" s="2898">
        <v>2022</v>
      </c>
      <c r="AB42" s="2899">
        <f>(IndR29*6+IndR30*6)/12</f>
        <v>1.7935999999999999</v>
      </c>
      <c r="AC42" s="2899">
        <f t="shared" si="28"/>
        <v>1.7935999999999999</v>
      </c>
      <c r="AD42" s="2899">
        <f t="shared" si="29"/>
        <v>1.7935999999999999</v>
      </c>
      <c r="AG42" s="3025"/>
      <c r="AH42" s="3025"/>
      <c r="AI42" s="3025"/>
      <c r="AJ42" s="3025"/>
      <c r="AK42" s="2369">
        <v>0</v>
      </c>
      <c r="AL42" s="2369">
        <v>0.28860000000000002</v>
      </c>
      <c r="AM42" s="2370">
        <v>5.0000000000000001E-4</v>
      </c>
    </row>
    <row r="43" spans="1:42" ht="22.5" customHeight="1" thickTop="1" thickBot="1">
      <c r="A43" s="3013" t="s">
        <v>2173</v>
      </c>
      <c r="B43" s="2379" t="s">
        <v>3124</v>
      </c>
      <c r="C43" s="2380" t="s">
        <v>3123</v>
      </c>
      <c r="D43" s="2381" t="s">
        <v>4234</v>
      </c>
      <c r="E43" s="2382" t="s">
        <v>2733</v>
      </c>
      <c r="F43" s="3009" t="str">
        <f xml:space="preserve"> IF(PatrATAO="","! Charges     patronales  exclus !","! Charges     patronales  inclus !")</f>
        <v>! Charges     patronales  inclus !</v>
      </c>
      <c r="G43" s="15" t="s">
        <v>4178</v>
      </c>
      <c r="H43" s="15" t="s">
        <v>4179</v>
      </c>
      <c r="I43" s="5" t="s">
        <v>2568</v>
      </c>
      <c r="J43" s="2376">
        <v>1</v>
      </c>
      <c r="K43" s="2298">
        <v>669.32</v>
      </c>
      <c r="L43" s="2298">
        <f t="shared" si="30"/>
        <v>1520.04</v>
      </c>
      <c r="M43" s="2299">
        <f t="shared" si="31"/>
        <v>126.66973961111113</v>
      </c>
      <c r="N43" s="2300">
        <f t="shared" si="6"/>
        <v>1393.3671357222224</v>
      </c>
      <c r="P43" s="2344" t="s">
        <v>1903</v>
      </c>
      <c r="Q43" s="2383">
        <v>1</v>
      </c>
      <c r="R43" s="55">
        <v>803.18</v>
      </c>
      <c r="S43" s="55">
        <f t="shared" si="32"/>
        <v>1824.04</v>
      </c>
      <c r="T43" s="2310">
        <f t="shared" si="33"/>
        <v>152.00293052777775</v>
      </c>
      <c r="U43" s="2311">
        <f t="shared" si="34"/>
        <v>1672.0322358055553</v>
      </c>
      <c r="Z43" s="2910" t="s">
        <v>5348</v>
      </c>
      <c r="AA43" s="2898">
        <v>2022</v>
      </c>
      <c r="AB43" s="2899">
        <f>(IndR29*7+IndR30*5)/12</f>
        <v>1.7906333333333333</v>
      </c>
      <c r="AC43" s="2899">
        <f t="shared" si="28"/>
        <v>1.7906333333333333</v>
      </c>
      <c r="AD43" s="2899">
        <f t="shared" si="29"/>
        <v>1.7906333333333333</v>
      </c>
      <c r="AG43" s="3025"/>
      <c r="AH43" s="3025"/>
      <c r="AI43" s="3025"/>
      <c r="AJ43" s="3025"/>
      <c r="AK43" s="2369">
        <v>0</v>
      </c>
      <c r="AL43" s="2369">
        <f>+ZIVStat</f>
        <v>0.15475</v>
      </c>
      <c r="AM43" s="2370">
        <v>0</v>
      </c>
    </row>
    <row r="44" spans="1:42" ht="22.5" customHeight="1" thickBot="1">
      <c r="A44" s="3014"/>
      <c r="B44" s="2384">
        <v>1.7000000000000001E-2</v>
      </c>
      <c r="C44" s="2385">
        <v>1.7000000000000001E-2</v>
      </c>
      <c r="D44" s="2386">
        <v>1.7000000000000001E-2</v>
      </c>
      <c r="E44" s="2384" t="s">
        <v>2802</v>
      </c>
      <c r="F44" s="3010"/>
      <c r="G44" s="15" t="s">
        <v>4178</v>
      </c>
      <c r="H44" s="15" t="s">
        <v>4180</v>
      </c>
      <c r="I44" s="5" t="s">
        <v>2568</v>
      </c>
      <c r="J44" s="2387">
        <v>2</v>
      </c>
      <c r="K44" s="55">
        <v>803.18</v>
      </c>
      <c r="L44" s="55">
        <f t="shared" si="30"/>
        <v>1824.04</v>
      </c>
      <c r="M44" s="2310">
        <f t="shared" si="31"/>
        <v>152.00293052777775</v>
      </c>
      <c r="N44" s="2311">
        <f t="shared" si="6"/>
        <v>1672.0322358055553</v>
      </c>
      <c r="P44" s="2344" t="s">
        <v>1903</v>
      </c>
      <c r="Q44" s="2383">
        <v>2</v>
      </c>
      <c r="R44" s="55">
        <v>937.04</v>
      </c>
      <c r="S44" s="55">
        <f t="shared" si="32"/>
        <v>2128.0300000000002</v>
      </c>
      <c r="T44" s="2310">
        <f t="shared" si="33"/>
        <v>177.33612144444442</v>
      </c>
      <c r="U44" s="2311">
        <f t="shared" si="34"/>
        <v>1950.6973358888888</v>
      </c>
      <c r="Z44" s="2909" t="s">
        <v>5329</v>
      </c>
      <c r="AA44" s="2898">
        <v>2022</v>
      </c>
      <c r="AB44" s="2899">
        <f>(IndR29*8+IndR30*4)/12</f>
        <v>1.7876666666666665</v>
      </c>
      <c r="AC44" s="2899">
        <f t="shared" si="28"/>
        <v>1.7876666666666665</v>
      </c>
      <c r="AD44" s="2899">
        <f t="shared" si="29"/>
        <v>1.7876666666666665</v>
      </c>
    </row>
    <row r="45" spans="1:42" ht="24.75" customHeight="1" thickBot="1">
      <c r="A45" s="3006" t="s">
        <v>1204</v>
      </c>
      <c r="B45" s="3007"/>
      <c r="C45" s="3007"/>
      <c r="D45" s="3007"/>
      <c r="E45" s="3007"/>
      <c r="F45" s="3008"/>
      <c r="G45" s="15" t="s">
        <v>4178</v>
      </c>
      <c r="H45" s="15" t="s">
        <v>4181</v>
      </c>
      <c r="I45" s="5" t="s">
        <v>2568</v>
      </c>
      <c r="J45" s="2387">
        <v>3</v>
      </c>
      <c r="K45" s="55">
        <v>937.04</v>
      </c>
      <c r="L45" s="55">
        <f t="shared" si="30"/>
        <v>2128.0300000000002</v>
      </c>
      <c r="M45" s="2310">
        <f t="shared" si="31"/>
        <v>177.33612144444442</v>
      </c>
      <c r="N45" s="2311">
        <f t="shared" si="6"/>
        <v>1950.6973358888888</v>
      </c>
      <c r="P45" s="2344" t="s">
        <v>1903</v>
      </c>
      <c r="Q45" s="2383">
        <v>3</v>
      </c>
      <c r="R45" s="55">
        <v>1070.9100000000001</v>
      </c>
      <c r="S45" s="55">
        <f t="shared" si="32"/>
        <v>2432.0500000000002</v>
      </c>
      <c r="T45" s="2310">
        <f t="shared" si="33"/>
        <v>202.67120487500003</v>
      </c>
      <c r="U45" s="2311">
        <f t="shared" si="34"/>
        <v>2229.3832536250002</v>
      </c>
      <c r="Z45" s="2897" t="s">
        <v>5332</v>
      </c>
      <c r="AA45" s="2898">
        <v>2022</v>
      </c>
      <c r="AB45" s="2899">
        <f>(IndR29*9+IndR30*3)/12</f>
        <v>1.7847</v>
      </c>
      <c r="AC45" s="2899">
        <f>AB45</f>
        <v>1.7847</v>
      </c>
      <c r="AD45" s="2899">
        <f>AB45</f>
        <v>1.7847</v>
      </c>
    </row>
    <row r="46" spans="1:42" ht="21" customHeight="1" thickBot="1">
      <c r="A46" s="3011" t="str">
        <f>IF(C48="","","Montant présumé de la facture s'èlevera à:")</f>
        <v/>
      </c>
      <c r="B46" s="3012"/>
      <c r="C46" s="2298" t="str">
        <f>IF(ISNA(TotalGeneral!G59),"",TotalGeneral!G59)</f>
        <v/>
      </c>
      <c r="D46" s="1526"/>
      <c r="E46" s="2298" t="str">
        <f>IF(C46="","",(ROUNDDOWN(C46,-3)))</f>
        <v/>
      </c>
      <c r="F46" s="2203" t="s">
        <v>1205</v>
      </c>
      <c r="G46" s="15" t="s">
        <v>4178</v>
      </c>
      <c r="H46" s="15" t="s">
        <v>4182</v>
      </c>
      <c r="I46" s="5" t="s">
        <v>2568</v>
      </c>
      <c r="J46" s="2387">
        <v>4</v>
      </c>
      <c r="K46" s="55">
        <v>1070.9100000000001</v>
      </c>
      <c r="L46" s="55">
        <f t="shared" si="30"/>
        <v>2432.0500000000002</v>
      </c>
      <c r="M46" s="2310">
        <f t="shared" si="31"/>
        <v>202.67120487500003</v>
      </c>
      <c r="N46" s="2311">
        <f t="shared" si="6"/>
        <v>2229.3832536250002</v>
      </c>
      <c r="P46" s="2344" t="s">
        <v>1903</v>
      </c>
      <c r="Q46" s="2383">
        <v>4</v>
      </c>
      <c r="R46" s="55">
        <v>1204.77</v>
      </c>
      <c r="S46" s="55">
        <f t="shared" si="32"/>
        <v>2736.05</v>
      </c>
      <c r="T46" s="2310">
        <f t="shared" si="33"/>
        <v>228.00439579166667</v>
      </c>
      <c r="U46" s="2311">
        <f t="shared" si="34"/>
        <v>2508.0483537083333</v>
      </c>
      <c r="Z46" s="2897" t="s">
        <v>5330</v>
      </c>
      <c r="AA46" s="2898">
        <v>2022</v>
      </c>
      <c r="AB46" s="2899">
        <f>(IndR29*10+IndR30*2)/12</f>
        <v>1.7817333333333334</v>
      </c>
      <c r="AC46" s="2899">
        <f>AB46</f>
        <v>1.7817333333333334</v>
      </c>
      <c r="AD46" s="2899">
        <f>AB46</f>
        <v>1.7817333333333334</v>
      </c>
    </row>
    <row r="47" spans="1:42" ht="13.5" thickBot="1">
      <c r="A47" s="2389"/>
      <c r="B47" s="2390" t="str">
        <f>"Montant de la facture de l'année "&amp;ANNEE-1&amp; " :"</f>
        <v>Montant de la facture de l'année 2026 :</v>
      </c>
      <c r="C47" s="1370" t="s">
        <v>1206</v>
      </c>
      <c r="F47" s="2255"/>
      <c r="G47" s="15" t="s">
        <v>4178</v>
      </c>
      <c r="H47" s="15" t="s">
        <v>4183</v>
      </c>
      <c r="I47" s="5" t="s">
        <v>2568</v>
      </c>
      <c r="J47" s="2387">
        <v>5</v>
      </c>
      <c r="K47" s="55">
        <v>1204.77</v>
      </c>
      <c r="L47" s="55">
        <f t="shared" si="30"/>
        <v>2736.05</v>
      </c>
      <c r="M47" s="2310">
        <f t="shared" si="31"/>
        <v>228.00439579166667</v>
      </c>
      <c r="N47" s="2311">
        <f t="shared" si="6"/>
        <v>2508.0483537083333</v>
      </c>
      <c r="P47" s="2344" t="s">
        <v>1903</v>
      </c>
      <c r="Q47" s="2341">
        <v>5</v>
      </c>
      <c r="R47" s="2333">
        <v>1338.63</v>
      </c>
      <c r="S47" s="2333">
        <f t="shared" si="32"/>
        <v>3040.05</v>
      </c>
      <c r="T47" s="2334">
        <f t="shared" si="33"/>
        <v>253.33758670833336</v>
      </c>
      <c r="U47" s="2327">
        <f t="shared" si="34"/>
        <v>2786.7134537916668</v>
      </c>
      <c r="Z47" s="2897" t="s">
        <v>5331</v>
      </c>
      <c r="AA47" s="2898">
        <v>2022</v>
      </c>
      <c r="AB47" s="2899">
        <f>(IndR29*11+IndR30*1)/12</f>
        <v>1.7787666666666666</v>
      </c>
      <c r="AC47" s="2899">
        <f>AB47</f>
        <v>1.7787666666666666</v>
      </c>
      <c r="AD47" s="2899">
        <f>AB47</f>
        <v>1.7787666666666666</v>
      </c>
    </row>
    <row r="48" spans="1:42" ht="12" thickBot="1">
      <c r="A48" s="2254" t="str">
        <f>+IF(C48="","","Le montant de cette facture indexé :")</f>
        <v/>
      </c>
      <c r="C48" s="2391" t="str">
        <f>IF(C47="Montant ?","",C47*VLOOKUP(ANNEE,AA20:AB33,2,1)/VLOOKUP(ANNEE-1,AA20:AB33,2,1))</f>
        <v/>
      </c>
      <c r="E48" s="55" t="str">
        <f>IF(C48="","",ROUNDUP(C48,-3))</f>
        <v/>
      </c>
      <c r="F48" s="2255" t="s">
        <v>1205</v>
      </c>
      <c r="G48" s="15" t="s">
        <v>4178</v>
      </c>
      <c r="H48" s="15" t="s">
        <v>3231</v>
      </c>
      <c r="I48" s="5" t="s">
        <v>2568</v>
      </c>
      <c r="J48" s="2392">
        <v>6</v>
      </c>
      <c r="K48" s="2333">
        <v>1338.63</v>
      </c>
      <c r="L48" s="2333">
        <f t="shared" si="30"/>
        <v>3040.05</v>
      </c>
      <c r="M48" s="2334">
        <f t="shared" si="31"/>
        <v>253.33758670833336</v>
      </c>
      <c r="N48" s="2327">
        <f t="shared" si="6"/>
        <v>2786.7134537916668</v>
      </c>
      <c r="P48" s="2344" t="s">
        <v>1903</v>
      </c>
    </row>
    <row r="49" spans="1:39" ht="18.75" thickBot="1">
      <c r="A49" s="2852" t="str">
        <f>IF(SUM(B44:D44)=5.1%,"Pct not OK","")</f>
        <v>Pct not OK</v>
      </c>
      <c r="B49" s="1538"/>
      <c r="C49" s="2393" t="str">
        <f>IF(OR(C46="",C48=""),"",IF(E46=E49,CONCATENATE("Reserve= ",ROUND(C46-C48,0), " Euro"),"Veuillez adapter les paramètres"))</f>
        <v/>
      </c>
      <c r="D49" s="1538"/>
      <c r="E49" s="1538"/>
      <c r="F49" s="2327"/>
      <c r="G49" s="2394" t="s">
        <v>893</v>
      </c>
      <c r="H49" s="2395" t="s">
        <v>894</v>
      </c>
      <c r="I49" s="2395"/>
      <c r="K49" s="55">
        <f>K48</f>
        <v>1338.63</v>
      </c>
      <c r="L49" s="55">
        <f t="shared" si="30"/>
        <v>3040.05</v>
      </c>
      <c r="M49" s="2310">
        <f t="shared" si="31"/>
        <v>253.33758670833336</v>
      </c>
      <c r="N49" s="2311">
        <f t="shared" si="6"/>
        <v>2786.7134537916668</v>
      </c>
      <c r="P49" s="2344"/>
      <c r="AK49" s="15">
        <f t="shared" ref="AK49:AM49" si="35">SUM(AK20:AK44)</f>
        <v>5.5999999999999988</v>
      </c>
      <c r="AL49" s="15">
        <f t="shared" si="35"/>
        <v>7.5202999999999998</v>
      </c>
      <c r="AM49" s="15">
        <f t="shared" si="35"/>
        <v>1.6257999999999997</v>
      </c>
    </row>
    <row r="50" spans="1:39">
      <c r="G50" s="2396" t="s">
        <v>3232</v>
      </c>
      <c r="H50" s="2397" t="s">
        <v>2573</v>
      </c>
      <c r="I50" s="2398" t="s">
        <v>2571</v>
      </c>
      <c r="J50" s="2399" t="s">
        <v>4237</v>
      </c>
      <c r="K50" s="2400">
        <f>S50*12</f>
        <v>1071</v>
      </c>
      <c r="L50" s="2400">
        <f t="shared" ref="L50:L58" si="36">ROUND(K50*IndW,2)</f>
        <v>2432.2600000000002</v>
      </c>
      <c r="M50" s="2401">
        <f t="shared" si="31"/>
        <v>202.68823750000001</v>
      </c>
      <c r="N50" s="2402">
        <f t="shared" si="6"/>
        <v>2229.5706125000002</v>
      </c>
      <c r="O50" s="2243" t="s">
        <v>1292</v>
      </c>
      <c r="P50" s="2344" t="s">
        <v>1904</v>
      </c>
      <c r="R50" s="2388" t="s">
        <v>2572</v>
      </c>
      <c r="S50" s="2298">
        <v>89.25</v>
      </c>
      <c r="T50" s="2300">
        <f>S50/4</f>
        <v>22.3125</v>
      </c>
      <c r="AA50" s="15">
        <f t="shared" ref="AA50:AF50" si="37">SUM(AA20:AA47)</f>
        <v>54579</v>
      </c>
      <c r="AB50" s="15">
        <f t="shared" si="37"/>
        <v>49.871091666666672</v>
      </c>
      <c r="AC50" s="15">
        <f t="shared" si="37"/>
        <v>49.830216666666672</v>
      </c>
      <c r="AD50" s="15">
        <f t="shared" si="37"/>
        <v>49.856907575757582</v>
      </c>
      <c r="AE50" s="15">
        <f t="shared" si="37"/>
        <v>12.639936580942633</v>
      </c>
      <c r="AF50" s="15">
        <f t="shared" si="37"/>
        <v>2.3600634190573668</v>
      </c>
      <c r="AG50" s="15">
        <f>SUM(AG20:AG46)</f>
        <v>2.3210833333333327</v>
      </c>
      <c r="AH50" s="15">
        <f>SUM(AH20:AH45)</f>
        <v>12517.972195038568</v>
      </c>
      <c r="AI50" s="15">
        <f>SUM(AI20:AI45)</f>
        <v>6187.4234443904434</v>
      </c>
      <c r="AJ50" s="15">
        <f>SUM(AJ20:AJ45)</f>
        <v>2166.4354307205185</v>
      </c>
    </row>
    <row r="51" spans="1:39" ht="12" thickBot="1">
      <c r="A51" s="15" t="s">
        <v>2325</v>
      </c>
      <c r="B51" s="15" t="s">
        <v>2381</v>
      </c>
      <c r="C51" s="2369">
        <v>1.5E-3</v>
      </c>
      <c r="G51" s="2403" t="s">
        <v>3232</v>
      </c>
      <c r="H51" s="15" t="s">
        <v>2574</v>
      </c>
      <c r="I51" s="5" t="s">
        <v>2571</v>
      </c>
      <c r="J51" s="2309" t="s">
        <v>2052</v>
      </c>
      <c r="K51" s="55">
        <f>S51*12</f>
        <v>2141.88</v>
      </c>
      <c r="L51" s="55">
        <f t="shared" si="36"/>
        <v>4864.25</v>
      </c>
      <c r="M51" s="2310">
        <f t="shared" si="31"/>
        <v>405.35376483333334</v>
      </c>
      <c r="N51" s="2311">
        <f t="shared" ref="N51:N71" si="38">K51/12*IF(NabTransitX&lt;&gt;"",12*IndW,11*IndW_N)</f>
        <v>4458.891413166667</v>
      </c>
      <c r="P51" s="2344" t="s">
        <v>1904</v>
      </c>
      <c r="R51" s="2252" t="s">
        <v>2572</v>
      </c>
      <c r="S51" s="55">
        <v>178.49</v>
      </c>
      <c r="T51" s="2311">
        <f>S51/4</f>
        <v>44.622500000000002</v>
      </c>
    </row>
    <row r="52" spans="1:39">
      <c r="G52" s="2403" t="s">
        <v>3232</v>
      </c>
      <c r="H52" s="15" t="s">
        <v>2575</v>
      </c>
      <c r="I52" s="5" t="s">
        <v>2571</v>
      </c>
      <c r="J52" s="2309" t="s">
        <v>2490</v>
      </c>
      <c r="K52" s="55">
        <f>S52*12</f>
        <v>2677.32</v>
      </c>
      <c r="L52" s="55">
        <f t="shared" si="36"/>
        <v>6080.24</v>
      </c>
      <c r="M52" s="2310">
        <f t="shared" si="31"/>
        <v>506.68652850000001</v>
      </c>
      <c r="N52" s="2311">
        <f t="shared" si="38"/>
        <v>5573.5518135000002</v>
      </c>
      <c r="P52" s="2344" t="s">
        <v>1904</v>
      </c>
      <c r="R52" s="2252" t="s">
        <v>2572</v>
      </c>
      <c r="S52" s="55">
        <v>223.11</v>
      </c>
      <c r="T52" s="2311">
        <f>S52/4</f>
        <v>55.777500000000003</v>
      </c>
      <c r="AA52" s="3006"/>
      <c r="AB52" s="3007"/>
      <c r="AC52" s="3007"/>
      <c r="AD52" s="3008"/>
    </row>
    <row r="53" spans="1:39" ht="12" thickBot="1">
      <c r="A53" s="2246" t="s">
        <v>3054</v>
      </c>
      <c r="B53" s="2246"/>
      <c r="C53" s="531" t="s">
        <v>3051</v>
      </c>
      <c r="D53" s="2404" t="s">
        <v>3933</v>
      </c>
      <c r="G53" s="2405" t="s">
        <v>3232</v>
      </c>
      <c r="H53" s="2406" t="s">
        <v>2576</v>
      </c>
      <c r="I53" s="2407" t="s">
        <v>2571</v>
      </c>
      <c r="J53" s="2408" t="s">
        <v>4230</v>
      </c>
      <c r="K53" s="2409">
        <f>S53*12</f>
        <v>1606.44</v>
      </c>
      <c r="L53" s="2409">
        <f t="shared" si="36"/>
        <v>3648.25</v>
      </c>
      <c r="M53" s="2410">
        <f t="shared" si="31"/>
        <v>304.02100116666668</v>
      </c>
      <c r="N53" s="2411">
        <f t="shared" si="38"/>
        <v>3344.2310128333334</v>
      </c>
      <c r="P53" s="2344" t="s">
        <v>1904</v>
      </c>
      <c r="R53" s="2286" t="s">
        <v>2572</v>
      </c>
      <c r="S53" s="2333">
        <v>133.87</v>
      </c>
      <c r="T53" s="2327">
        <f>S53/4</f>
        <v>33.467500000000001</v>
      </c>
      <c r="AA53" s="2383"/>
      <c r="AD53" s="2255"/>
    </row>
    <row r="54" spans="1:39" ht="12" thickBot="1">
      <c r="A54" s="15" t="s">
        <v>3125</v>
      </c>
      <c r="C54" s="1368"/>
      <c r="D54" s="1368"/>
      <c r="G54" s="2412" t="s">
        <v>3232</v>
      </c>
      <c r="H54" s="2413" t="s">
        <v>3009</v>
      </c>
      <c r="I54" s="2414" t="s">
        <v>2571</v>
      </c>
      <c r="J54" s="2415" t="s">
        <v>2490</v>
      </c>
      <c r="K54" s="2416">
        <f>S54*12</f>
        <v>3212.76</v>
      </c>
      <c r="L54" s="2416">
        <f t="shared" si="36"/>
        <v>7296.23</v>
      </c>
      <c r="M54" s="2417">
        <f t="shared" si="31"/>
        <v>608.01929216666667</v>
      </c>
      <c r="N54" s="2418">
        <f t="shared" si="38"/>
        <v>6688.2122138333343</v>
      </c>
      <c r="O54" s="2243" t="s">
        <v>1293</v>
      </c>
      <c r="P54" s="2344" t="s">
        <v>1905</v>
      </c>
      <c r="R54" s="2286" t="s">
        <v>2572</v>
      </c>
      <c r="S54" s="2333">
        <v>267.73</v>
      </c>
      <c r="T54" s="2327">
        <f>S54/4</f>
        <v>66.932500000000005</v>
      </c>
      <c r="AA54" s="2383" t="s">
        <v>672</v>
      </c>
      <c r="AD54" s="2255"/>
    </row>
    <row r="55" spans="1:39">
      <c r="A55" s="15" t="s">
        <v>1073</v>
      </c>
      <c r="C55" s="1086">
        <v>1</v>
      </c>
      <c r="D55" s="1086">
        <f>C55</f>
        <v>1</v>
      </c>
      <c r="G55" s="2403"/>
      <c r="H55" s="15" t="s">
        <v>895</v>
      </c>
      <c r="J55" s="2309" t="s">
        <v>4237</v>
      </c>
      <c r="K55" s="55">
        <f>T50*12</f>
        <v>267.75</v>
      </c>
      <c r="L55" s="55">
        <f t="shared" si="36"/>
        <v>608.05999999999995</v>
      </c>
      <c r="M55" s="2310">
        <f t="shared" si="31"/>
        <v>50.672059375000003</v>
      </c>
      <c r="N55" s="2311">
        <f t="shared" si="38"/>
        <v>557.39265312500004</v>
      </c>
      <c r="O55" s="2243" t="s">
        <v>1294</v>
      </c>
      <c r="P55" s="2245">
        <v>4086</v>
      </c>
      <c r="AA55" s="2383" t="s">
        <v>4237</v>
      </c>
      <c r="AB55" s="15">
        <v>0</v>
      </c>
      <c r="AC55" s="15">
        <f>ROUNDDOWN(K55*IndRef,-1)</f>
        <v>460</v>
      </c>
      <c r="AD55" s="2255">
        <v>1</v>
      </c>
    </row>
    <row r="56" spans="1:39">
      <c r="A56" s="15" t="s">
        <v>1074</v>
      </c>
      <c r="C56" s="1086">
        <v>1</v>
      </c>
      <c r="D56" s="1086">
        <f>C56</f>
        <v>1</v>
      </c>
      <c r="G56" s="2403"/>
      <c r="J56" s="2309" t="s">
        <v>2052</v>
      </c>
      <c r="K56" s="55">
        <f>T51*12</f>
        <v>535.47</v>
      </c>
      <c r="L56" s="55">
        <f t="shared" si="36"/>
        <v>1216.06</v>
      </c>
      <c r="M56" s="2310">
        <f t="shared" si="31"/>
        <v>101.33844120833334</v>
      </c>
      <c r="N56" s="2311">
        <f t="shared" si="38"/>
        <v>1114.7228532916668</v>
      </c>
      <c r="P56" s="2245">
        <v>4086</v>
      </c>
      <c r="AA56" s="2383" t="s">
        <v>4237</v>
      </c>
      <c r="AB56" s="15">
        <f>+AC55</f>
        <v>460</v>
      </c>
      <c r="AC56" s="15">
        <f>+AC55*AD56</f>
        <v>920</v>
      </c>
      <c r="AD56" s="2255">
        <v>2</v>
      </c>
    </row>
    <row r="57" spans="1:39">
      <c r="A57" s="15" t="s">
        <v>4484</v>
      </c>
      <c r="C57" s="1086">
        <v>0.97499999999999998</v>
      </c>
      <c r="D57" s="1086">
        <f>C57</f>
        <v>0.97499999999999998</v>
      </c>
      <c r="G57" s="2403"/>
      <c r="J57" s="2309" t="s">
        <v>2490</v>
      </c>
      <c r="K57" s="55">
        <f>T52*12</f>
        <v>669.33</v>
      </c>
      <c r="L57" s="55">
        <f t="shared" si="36"/>
        <v>1520.06</v>
      </c>
      <c r="M57" s="2310">
        <f t="shared" si="31"/>
        <v>126.671632125</v>
      </c>
      <c r="N57" s="2311">
        <f t="shared" si="38"/>
        <v>1393.3879533750001</v>
      </c>
      <c r="P57" s="2245">
        <v>4086</v>
      </c>
      <c r="AA57" s="2383" t="s">
        <v>4237</v>
      </c>
      <c r="AB57" s="15">
        <f>+AC56</f>
        <v>920</v>
      </c>
      <c r="AC57" s="15">
        <f>AC55*AD57</f>
        <v>1380</v>
      </c>
      <c r="AD57" s="2255">
        <v>3</v>
      </c>
    </row>
    <row r="58" spans="1:39" ht="12" thickBot="1">
      <c r="A58" s="15" t="s">
        <v>4485</v>
      </c>
      <c r="C58" s="1086">
        <v>0.95</v>
      </c>
      <c r="D58" s="1086">
        <v>0.95</v>
      </c>
      <c r="G58" s="2403"/>
      <c r="J58" s="2309" t="s">
        <v>4230</v>
      </c>
      <c r="K58" s="55">
        <f>T53*12</f>
        <v>401.61</v>
      </c>
      <c r="L58" s="55">
        <f t="shared" si="36"/>
        <v>912.06</v>
      </c>
      <c r="M58" s="2310">
        <f t="shared" si="31"/>
        <v>76.00525029166667</v>
      </c>
      <c r="N58" s="2311">
        <f t="shared" si="38"/>
        <v>836.05775320833334</v>
      </c>
      <c r="P58" s="2245">
        <v>4086</v>
      </c>
      <c r="AA58" s="2383" t="s">
        <v>2052</v>
      </c>
      <c r="AB58" s="15">
        <v>0</v>
      </c>
      <c r="AC58" s="15">
        <f>ROUNDDOWN(K56*IndRef,-1)</f>
        <v>930</v>
      </c>
      <c r="AD58" s="2255">
        <v>1</v>
      </c>
    </row>
    <row r="59" spans="1:39">
      <c r="A59" s="15" t="s">
        <v>4486</v>
      </c>
      <c r="C59" s="1086">
        <v>0.9</v>
      </c>
      <c r="D59" s="1086">
        <f>C59</f>
        <v>0.9</v>
      </c>
      <c r="G59" s="2419" t="s">
        <v>645</v>
      </c>
      <c r="H59" s="2420" t="s">
        <v>3010</v>
      </c>
      <c r="I59" s="2421" t="s">
        <v>2571</v>
      </c>
      <c r="J59" s="2422"/>
      <c r="K59" s="2423">
        <f>S59*12</f>
        <v>297.47222972788728</v>
      </c>
      <c r="L59" s="2423">
        <f t="shared" ref="L59:L68" si="39">ROUND(K59*IndW,2)</f>
        <v>675.56</v>
      </c>
      <c r="M59" s="2424">
        <f t="shared" si="31"/>
        <v>56.297032631877293</v>
      </c>
      <c r="N59" s="2425">
        <f t="shared" si="38"/>
        <v>619.26735895065019</v>
      </c>
      <c r="P59" s="2245"/>
      <c r="R59" s="2388" t="s">
        <v>2572</v>
      </c>
      <c r="S59" s="2300">
        <f>1000/40.3399</f>
        <v>24.789352477323941</v>
      </c>
      <c r="AA59" s="2383" t="s">
        <v>2052</v>
      </c>
      <c r="AB59" s="15">
        <f>+AC58</f>
        <v>930</v>
      </c>
      <c r="AC59" s="15">
        <f>+AC58*AD59</f>
        <v>1860</v>
      </c>
      <c r="AD59" s="2255">
        <v>2</v>
      </c>
    </row>
    <row r="60" spans="1:39" ht="12" thickBot="1">
      <c r="A60" s="2246" t="s">
        <v>1057</v>
      </c>
      <c r="B60" s="5" t="s">
        <v>1354</v>
      </c>
      <c r="C60" s="5" t="s">
        <v>1058</v>
      </c>
      <c r="G60" s="2426" t="s">
        <v>645</v>
      </c>
      <c r="H60" s="2427" t="s">
        <v>4437</v>
      </c>
      <c r="I60" s="2428" t="s">
        <v>2571</v>
      </c>
      <c r="J60" s="2429"/>
      <c r="K60" s="2430">
        <f>S60*12</f>
        <v>148.73611486394364</v>
      </c>
      <c r="L60" s="2430">
        <f t="shared" si="39"/>
        <v>337.78</v>
      </c>
      <c r="M60" s="2431">
        <f t="shared" si="31"/>
        <v>28.148516315938647</v>
      </c>
      <c r="N60" s="2432">
        <f t="shared" si="38"/>
        <v>309.6336794753251</v>
      </c>
      <c r="P60" s="2245"/>
      <c r="R60" s="2286" t="s">
        <v>2572</v>
      </c>
      <c r="S60" s="2327">
        <f>500/40.3399</f>
        <v>12.394676238661971</v>
      </c>
      <c r="AA60" s="2383" t="s">
        <v>2052</v>
      </c>
      <c r="AB60" s="15">
        <f>+AC59</f>
        <v>1860</v>
      </c>
      <c r="AC60" s="15">
        <f>AC58*AD60</f>
        <v>2790</v>
      </c>
      <c r="AD60" s="2255">
        <v>3</v>
      </c>
    </row>
    <row r="61" spans="1:39">
      <c r="A61" s="5" t="s">
        <v>4237</v>
      </c>
      <c r="B61" s="1000">
        <v>58</v>
      </c>
      <c r="C61" s="1000">
        <v>65</v>
      </c>
      <c r="D61" s="15" t="s">
        <v>1059</v>
      </c>
      <c r="G61" s="2394" t="s">
        <v>893</v>
      </c>
      <c r="H61" s="2395" t="s">
        <v>894</v>
      </c>
      <c r="I61" s="2395"/>
      <c r="J61" s="2433" t="s">
        <v>904</v>
      </c>
      <c r="K61" s="2434">
        <f>S65*12</f>
        <v>2677.32</v>
      </c>
      <c r="L61" s="2434">
        <f t="shared" si="39"/>
        <v>6080.24</v>
      </c>
      <c r="M61" s="2435">
        <f t="shared" si="31"/>
        <v>506.68652850000001</v>
      </c>
      <c r="N61" s="2311">
        <f t="shared" si="38"/>
        <v>5573.5518135000002</v>
      </c>
      <c r="O61" s="5" t="s">
        <v>1292</v>
      </c>
      <c r="P61" s="2245" t="s">
        <v>1904</v>
      </c>
      <c r="AA61" s="2383" t="s">
        <v>4230</v>
      </c>
      <c r="AB61" s="15">
        <v>0</v>
      </c>
      <c r="AC61" s="15">
        <f>ROUNDDOWN(K58*IndRef,-1)</f>
        <v>700</v>
      </c>
      <c r="AD61" s="2255">
        <v>1</v>
      </c>
    </row>
    <row r="62" spans="1:39">
      <c r="A62" s="5" t="s">
        <v>2052</v>
      </c>
      <c r="B62" s="1000">
        <v>58</v>
      </c>
      <c r="C62" s="1000">
        <v>65</v>
      </c>
      <c r="D62" s="15" t="s">
        <v>1061</v>
      </c>
      <c r="G62" s="2403"/>
      <c r="J62" s="2309" t="s">
        <v>3303</v>
      </c>
      <c r="K62" s="55">
        <f>S66*12</f>
        <v>2141.88</v>
      </c>
      <c r="L62" s="55">
        <f t="shared" si="39"/>
        <v>4864.25</v>
      </c>
      <c r="M62" s="2310">
        <f t="shared" si="31"/>
        <v>405.35376483333334</v>
      </c>
      <c r="N62" s="2311">
        <f t="shared" si="38"/>
        <v>4458.891413166667</v>
      </c>
      <c r="P62" s="2344" t="s">
        <v>1904</v>
      </c>
      <c r="AA62" s="2383" t="s">
        <v>4230</v>
      </c>
      <c r="AB62" s="15">
        <f>+AC61</f>
        <v>700</v>
      </c>
      <c r="AC62" s="15">
        <f>+AC61*AD62</f>
        <v>1400</v>
      </c>
      <c r="AD62" s="2255">
        <v>2</v>
      </c>
    </row>
    <row r="63" spans="1:39">
      <c r="A63" s="5" t="s">
        <v>2490</v>
      </c>
      <c r="B63" s="1000">
        <v>60</v>
      </c>
      <c r="C63" s="1000">
        <v>65</v>
      </c>
      <c r="D63" s="15" t="s">
        <v>1062</v>
      </c>
      <c r="G63" s="2403"/>
      <c r="J63" s="2309" t="s">
        <v>873</v>
      </c>
      <c r="K63" s="55">
        <f>S67*12</f>
        <v>1606.44</v>
      </c>
      <c r="L63" s="55">
        <f t="shared" si="39"/>
        <v>3648.25</v>
      </c>
      <c r="M63" s="2310">
        <f t="shared" si="31"/>
        <v>304.02100116666668</v>
      </c>
      <c r="N63" s="2311">
        <f t="shared" si="38"/>
        <v>3344.2310128333334</v>
      </c>
      <c r="P63" s="2344" t="s">
        <v>1904</v>
      </c>
      <c r="AA63" s="2383" t="s">
        <v>4230</v>
      </c>
      <c r="AB63" s="15">
        <f>+AC62</f>
        <v>1400</v>
      </c>
      <c r="AC63" s="15">
        <f>AC61*AD63</f>
        <v>2100</v>
      </c>
      <c r="AD63" s="2255">
        <v>3</v>
      </c>
    </row>
    <row r="64" spans="1:39" ht="12" thickBot="1">
      <c r="A64" s="5" t="s">
        <v>4230</v>
      </c>
      <c r="B64" s="1000">
        <v>56</v>
      </c>
      <c r="C64" s="1000">
        <v>65</v>
      </c>
      <c r="D64" s="15" t="s">
        <v>1060</v>
      </c>
      <c r="G64" s="2436"/>
      <c r="H64" s="2437"/>
      <c r="I64" s="2437"/>
      <c r="J64" s="2438" t="s">
        <v>905</v>
      </c>
      <c r="K64" s="2439">
        <f>S68*12</f>
        <v>1071</v>
      </c>
      <c r="L64" s="2439">
        <f t="shared" si="39"/>
        <v>2432.2600000000002</v>
      </c>
      <c r="M64" s="2440">
        <f t="shared" si="31"/>
        <v>202.68823750000001</v>
      </c>
      <c r="N64" s="2441">
        <f t="shared" si="38"/>
        <v>2229.5706125000002</v>
      </c>
      <c r="P64" s="2344" t="s">
        <v>1904</v>
      </c>
      <c r="AA64" s="2383" t="s">
        <v>2490</v>
      </c>
      <c r="AB64" s="15">
        <v>0</v>
      </c>
      <c r="AC64" s="15">
        <f>ROUNDDOWN(K57*IndRef,-1)</f>
        <v>1170</v>
      </c>
      <c r="AD64" s="2255">
        <v>1</v>
      </c>
    </row>
    <row r="65" spans="1:30">
      <c r="A65" s="5" t="s">
        <v>904</v>
      </c>
      <c r="B65" s="1000">
        <v>65</v>
      </c>
      <c r="C65" s="1000">
        <v>65</v>
      </c>
      <c r="D65" s="15" t="s">
        <v>2529</v>
      </c>
      <c r="G65" s="2403"/>
      <c r="H65" s="15" t="s">
        <v>895</v>
      </c>
      <c r="J65" s="2309" t="s">
        <v>904</v>
      </c>
      <c r="K65" s="55">
        <f>K61/4</f>
        <v>669.33</v>
      </c>
      <c r="L65" s="55">
        <f t="shared" si="39"/>
        <v>1520.06</v>
      </c>
      <c r="M65" s="2310">
        <f t="shared" si="31"/>
        <v>126.671632125</v>
      </c>
      <c r="N65" s="2311">
        <f t="shared" si="38"/>
        <v>1393.3879533750001</v>
      </c>
      <c r="O65" s="2243" t="s">
        <v>1294</v>
      </c>
      <c r="P65" s="2245">
        <v>4086</v>
      </c>
      <c r="R65" s="2388" t="s">
        <v>2572</v>
      </c>
      <c r="S65" s="2442">
        <v>223.11</v>
      </c>
      <c r="T65" s="2203">
        <f>S65/4</f>
        <v>55.777500000000003</v>
      </c>
      <c r="AA65" s="2383" t="s">
        <v>2490</v>
      </c>
      <c r="AB65" s="15">
        <f>+AC64</f>
        <v>1170</v>
      </c>
      <c r="AC65" s="15">
        <f>+AC64*AD65</f>
        <v>2340</v>
      </c>
      <c r="AD65" s="2255">
        <v>2</v>
      </c>
    </row>
    <row r="66" spans="1:30" ht="12" thickBot="1">
      <c r="A66" s="5" t="s">
        <v>3303</v>
      </c>
      <c r="B66" s="1000">
        <v>65</v>
      </c>
      <c r="C66" s="1000">
        <v>65</v>
      </c>
      <c r="D66" s="15" t="s">
        <v>2530</v>
      </c>
      <c r="G66" s="2403"/>
      <c r="J66" s="2309" t="s">
        <v>3303</v>
      </c>
      <c r="K66" s="55">
        <f>K62/4</f>
        <v>535.47</v>
      </c>
      <c r="L66" s="55">
        <f t="shared" si="39"/>
        <v>1216.06</v>
      </c>
      <c r="M66" s="2310">
        <f t="shared" si="31"/>
        <v>101.33844120833334</v>
      </c>
      <c r="N66" s="2311">
        <f t="shared" si="38"/>
        <v>1114.7228532916668</v>
      </c>
      <c r="P66" s="2245">
        <v>4086</v>
      </c>
      <c r="R66" s="2252" t="s">
        <v>2572</v>
      </c>
      <c r="S66" s="2443">
        <v>178.49</v>
      </c>
      <c r="T66" s="2255">
        <f>S66/4</f>
        <v>44.622500000000002</v>
      </c>
      <c r="AA66" s="2341" t="s">
        <v>2490</v>
      </c>
      <c r="AB66" s="1538">
        <f>+AC65</f>
        <v>2340</v>
      </c>
      <c r="AC66" s="1538">
        <f>AC64*AD66</f>
        <v>3510</v>
      </c>
      <c r="AD66" s="2280">
        <v>3</v>
      </c>
    </row>
    <row r="67" spans="1:30">
      <c r="A67" s="5" t="s">
        <v>873</v>
      </c>
      <c r="B67" s="1000">
        <v>65</v>
      </c>
      <c r="C67" s="1000">
        <v>65</v>
      </c>
      <c r="D67" s="15" t="s">
        <v>2531</v>
      </c>
      <c r="G67" s="2403"/>
      <c r="J67" s="2309" t="s">
        <v>873</v>
      </c>
      <c r="K67" s="55">
        <f>K63/4</f>
        <v>401.61</v>
      </c>
      <c r="L67" s="55">
        <f t="shared" si="39"/>
        <v>912.06</v>
      </c>
      <c r="M67" s="2310">
        <f t="shared" si="31"/>
        <v>76.00525029166667</v>
      </c>
      <c r="N67" s="2311">
        <f t="shared" si="38"/>
        <v>836.05775320833334</v>
      </c>
      <c r="P67" s="2245">
        <v>4086</v>
      </c>
      <c r="R67" s="2252" t="s">
        <v>2572</v>
      </c>
      <c r="S67" s="2443">
        <v>133.87</v>
      </c>
      <c r="T67" s="2255">
        <f>S67/4</f>
        <v>33.467500000000001</v>
      </c>
    </row>
    <row r="68" spans="1:30" ht="12" thickBot="1">
      <c r="A68" s="5" t="s">
        <v>905</v>
      </c>
      <c r="B68" s="1000">
        <v>65</v>
      </c>
      <c r="C68" s="1000">
        <v>65</v>
      </c>
      <c r="D68" s="15" t="s">
        <v>2532</v>
      </c>
      <c r="G68" s="2444"/>
      <c r="J68" s="2309" t="s">
        <v>905</v>
      </c>
      <c r="K68" s="55">
        <f>K64/4</f>
        <v>267.75</v>
      </c>
      <c r="L68" s="55">
        <f t="shared" si="39"/>
        <v>608.05999999999995</v>
      </c>
      <c r="M68" s="2310">
        <f t="shared" si="31"/>
        <v>50.672059375000003</v>
      </c>
      <c r="N68" s="2311">
        <f t="shared" si="38"/>
        <v>557.39265312500004</v>
      </c>
      <c r="P68" s="2245">
        <v>4086</v>
      </c>
      <c r="Q68" s="5"/>
      <c r="R68" s="2286" t="s">
        <v>2572</v>
      </c>
      <c r="S68" s="2445">
        <v>89.25</v>
      </c>
      <c r="T68" s="2280">
        <f>S68/4</f>
        <v>22.3125</v>
      </c>
      <c r="AB68" s="15">
        <v>3000</v>
      </c>
    </row>
    <row r="69" spans="1:30">
      <c r="G69" s="2263" t="s">
        <v>2290</v>
      </c>
      <c r="H69" s="1526" t="s">
        <v>3126</v>
      </c>
      <c r="I69" s="2304" t="s">
        <v>2568</v>
      </c>
      <c r="J69" s="2297" t="s">
        <v>2052</v>
      </c>
      <c r="K69" s="2298">
        <v>1961.83</v>
      </c>
      <c r="L69" s="2298">
        <f>ROUND(K69*IndW,2)</f>
        <v>4455.3500000000004</v>
      </c>
      <c r="M69" s="2299">
        <f t="shared" si="31"/>
        <v>371.27905226388884</v>
      </c>
      <c r="N69" s="2300">
        <f t="shared" si="38"/>
        <v>4084.0695749027773</v>
      </c>
      <c r="O69" s="5" t="s">
        <v>3143</v>
      </c>
      <c r="P69" s="2245">
        <v>4102</v>
      </c>
      <c r="Q69" s="5"/>
      <c r="R69" s="55"/>
    </row>
    <row r="70" spans="1:30">
      <c r="A70" s="15">
        <v>1</v>
      </c>
      <c r="B70" s="15" t="str">
        <f>A37</f>
        <v>Membres Statutaires</v>
      </c>
      <c r="G70" s="2254" t="s">
        <v>2290</v>
      </c>
      <c r="H70" s="15" t="s">
        <v>3127</v>
      </c>
      <c r="I70" s="5" t="s">
        <v>2568</v>
      </c>
      <c r="J70" s="2309" t="s">
        <v>2490</v>
      </c>
      <c r="K70" s="55">
        <v>2154.1999999999998</v>
      </c>
      <c r="L70" s="55">
        <f>ROUND(K70*IndW,2)</f>
        <v>4892.22</v>
      </c>
      <c r="M70" s="2310">
        <f t="shared" si="31"/>
        <v>407.68534194444442</v>
      </c>
      <c r="N70" s="2311">
        <f t="shared" si="38"/>
        <v>4484.5387613888888</v>
      </c>
      <c r="O70" s="5"/>
      <c r="P70" s="2245">
        <v>4102</v>
      </c>
      <c r="R70" s="55"/>
    </row>
    <row r="71" spans="1:30" ht="12" thickBot="1">
      <c r="A71" s="15">
        <v>2</v>
      </c>
      <c r="B71" s="15" t="str">
        <f>A38</f>
        <v>Membres contractuelles</v>
      </c>
      <c r="G71" s="2279" t="s">
        <v>2290</v>
      </c>
      <c r="H71" s="1538" t="s">
        <v>194</v>
      </c>
      <c r="I71" s="2323" t="s">
        <v>2568</v>
      </c>
      <c r="J71" s="2332" t="s">
        <v>4230</v>
      </c>
      <c r="K71" s="2333">
        <v>1950.43</v>
      </c>
      <c r="L71" s="2333">
        <f>ROUND(K71*IndW,2)</f>
        <v>4429.46</v>
      </c>
      <c r="M71" s="2334">
        <f t="shared" si="31"/>
        <v>369.12158643055557</v>
      </c>
      <c r="N71" s="2327">
        <f t="shared" si="38"/>
        <v>4060.3374507361109</v>
      </c>
      <c r="O71" s="5"/>
      <c r="P71" s="2245">
        <v>4102</v>
      </c>
    </row>
    <row r="72" spans="1:30">
      <c r="A72" s="15">
        <v>3</v>
      </c>
      <c r="B72" s="15" t="str">
        <f>"Membres Contractuels du Cadre 
Administratif et Logistique - "&amp; A39</f>
        <v>Membres Contractuels du Cadre 
Administratif et Logistique - Agent Premier Emploi (A.P.E.)</v>
      </c>
      <c r="P72" s="2245"/>
    </row>
    <row r="73" spans="1:30" ht="12" thickBot="1">
      <c r="A73" s="15">
        <v>4</v>
      </c>
      <c r="B73" s="15" t="str">
        <f>"Membres Contractuels du Cadre 
Administratif et Logistique - "&amp; A40</f>
        <v>Membres Contractuels du Cadre 
Administratif et Logistique - Contract de remplacement d'un 4/5</v>
      </c>
      <c r="P73" s="2245"/>
    </row>
    <row r="74" spans="1:30">
      <c r="A74" s="15">
        <v>5</v>
      </c>
      <c r="B74" s="15" t="str">
        <f>A37&amp;" "&amp;"Opérationnel "&amp;A41</f>
        <v>Membres Statutaires Opérationnel NAPP</v>
      </c>
      <c r="G74" s="2263" t="s">
        <v>3757</v>
      </c>
      <c r="H74" s="1526" t="s">
        <v>4285</v>
      </c>
      <c r="I74" s="2304" t="s">
        <v>2571</v>
      </c>
      <c r="J74" s="2297" t="s">
        <v>4531</v>
      </c>
      <c r="K74" s="2298">
        <f>O74-IF(New_2019="",0,Prox)</f>
        <v>1472.52</v>
      </c>
      <c r="L74" s="2298">
        <f t="shared" ref="L74:L81" si="40">ROUND(K74*IndW,2)</f>
        <v>3344.12</v>
      </c>
      <c r="M74" s="2299">
        <f t="shared" ref="M74:M81" si="41">K74/12*IndW_N1</f>
        <v>278.67645516666664</v>
      </c>
      <c r="N74" s="2300">
        <f t="shared" ref="N74:N81" si="42">K74/12*IF(NabTransitX&lt;&gt;"",12*IndW,11*IndW_N)</f>
        <v>3065.4410068333332</v>
      </c>
      <c r="O74" s="1064">
        <v>1472.52</v>
      </c>
      <c r="P74" s="2245">
        <v>4047</v>
      </c>
      <c r="R74" s="2388" t="s">
        <v>2572</v>
      </c>
      <c r="S74" s="2298">
        <v>122.71</v>
      </c>
      <c r="T74" s="2203"/>
    </row>
    <row r="75" spans="1:30">
      <c r="G75" s="2254" t="s">
        <v>3758</v>
      </c>
      <c r="H75" s="15" t="s">
        <v>3238</v>
      </c>
      <c r="I75" s="5" t="s">
        <v>2571</v>
      </c>
      <c r="J75" s="2309" t="s">
        <v>4534</v>
      </c>
      <c r="K75" s="55">
        <f>S75*12</f>
        <v>160.68</v>
      </c>
      <c r="L75" s="55">
        <f t="shared" si="40"/>
        <v>364.91</v>
      </c>
      <c r="M75" s="2310">
        <f t="shared" si="41"/>
        <v>30.408913166666668</v>
      </c>
      <c r="N75" s="2311">
        <f t="shared" si="42"/>
        <v>334.49804483333338</v>
      </c>
      <c r="O75" s="1064"/>
      <c r="P75" s="2245">
        <v>4045</v>
      </c>
      <c r="R75" s="2252" t="s">
        <v>2572</v>
      </c>
      <c r="S75" s="55">
        <v>13.39</v>
      </c>
      <c r="T75" s="2255"/>
    </row>
    <row r="76" spans="1:30">
      <c r="G76" s="2254" t="s">
        <v>2287</v>
      </c>
      <c r="H76" s="15" t="s">
        <v>308</v>
      </c>
      <c r="I76" s="5" t="s">
        <v>2571</v>
      </c>
      <c r="J76" s="2309" t="s">
        <v>4532</v>
      </c>
      <c r="K76" s="55">
        <f>S76*12</f>
        <v>892.44</v>
      </c>
      <c r="L76" s="55">
        <f t="shared" si="40"/>
        <v>2026.75</v>
      </c>
      <c r="M76" s="2310">
        <f t="shared" si="41"/>
        <v>168.8955095</v>
      </c>
      <c r="N76" s="2311">
        <f t="shared" si="42"/>
        <v>1857.8506045000001</v>
      </c>
      <c r="O76" s="1064"/>
      <c r="P76" s="2245">
        <v>4062</v>
      </c>
      <c r="R76" s="2252" t="s">
        <v>2572</v>
      </c>
      <c r="S76" s="55">
        <v>74.37</v>
      </c>
      <c r="T76" s="2255"/>
    </row>
    <row r="77" spans="1:30" ht="12" thickBot="1">
      <c r="G77" s="2254" t="s">
        <v>2288</v>
      </c>
      <c r="H77" s="15" t="s">
        <v>4286</v>
      </c>
      <c r="I77" s="5" t="s">
        <v>2571</v>
      </c>
      <c r="J77" s="2309" t="s">
        <v>4533</v>
      </c>
      <c r="K77" s="55">
        <f>S77*12</f>
        <v>113.03999999999999</v>
      </c>
      <c r="L77" s="55">
        <f t="shared" si="40"/>
        <v>256.72000000000003</v>
      </c>
      <c r="M77" s="2310">
        <f t="shared" si="41"/>
        <v>21.392976999999998</v>
      </c>
      <c r="N77" s="2311">
        <f t="shared" si="42"/>
        <v>235.32274699999999</v>
      </c>
      <c r="O77" s="1064"/>
      <c r="P77" s="2245">
        <v>4046</v>
      </c>
      <c r="R77" s="2286" t="s">
        <v>2572</v>
      </c>
      <c r="S77" s="2333">
        <v>9.42</v>
      </c>
      <c r="T77" s="2280"/>
    </row>
    <row r="78" spans="1:30">
      <c r="G78" s="2254" t="s">
        <v>3714</v>
      </c>
      <c r="H78" s="15" t="s">
        <v>4287</v>
      </c>
      <c r="I78" s="5" t="s">
        <v>2568</v>
      </c>
      <c r="J78" s="2309" t="s">
        <v>4493</v>
      </c>
      <c r="K78" s="55">
        <f>O78-IF(New_2019="",0,Prox)</f>
        <v>495.79</v>
      </c>
      <c r="L78" s="55">
        <f>ROUND(K78*IndW,2)</f>
        <v>1125.95</v>
      </c>
      <c r="M78" s="2310">
        <f>K78/12*IndW_N1</f>
        <v>93.828946097222229</v>
      </c>
      <c r="N78" s="2311">
        <f>K78/12*IF(NabTransitX&lt;&gt;"",12*IndW,11*IndW_N)</f>
        <v>1032.1184070694446</v>
      </c>
      <c r="O78" s="5">
        <v>495.79</v>
      </c>
      <c r="P78" s="2245">
        <v>4003</v>
      </c>
      <c r="S78" s="15" t="s">
        <v>4494</v>
      </c>
      <c r="T78" s="1064">
        <v>0</v>
      </c>
    </row>
    <row r="79" spans="1:30">
      <c r="G79" s="2254" t="s">
        <v>2289</v>
      </c>
      <c r="H79" s="15" t="s">
        <v>4288</v>
      </c>
      <c r="I79" s="5" t="s">
        <v>2568</v>
      </c>
      <c r="J79" s="2309"/>
      <c r="K79" s="55">
        <v>1338.63</v>
      </c>
      <c r="L79" s="55">
        <f t="shared" si="40"/>
        <v>3040.05</v>
      </c>
      <c r="M79" s="2310">
        <f t="shared" si="41"/>
        <v>253.33758670833336</v>
      </c>
      <c r="N79" s="2311">
        <f t="shared" si="42"/>
        <v>2786.7134537916668</v>
      </c>
      <c r="O79" s="1064"/>
      <c r="P79" s="2245">
        <v>4205</v>
      </c>
    </row>
    <row r="80" spans="1:30">
      <c r="G80" s="2254" t="s">
        <v>2289</v>
      </c>
      <c r="H80" s="15" t="s">
        <v>4289</v>
      </c>
      <c r="I80" s="5" t="s">
        <v>2568</v>
      </c>
      <c r="J80" s="2309"/>
      <c r="K80" s="55">
        <v>2141.8000000000002</v>
      </c>
      <c r="L80" s="55">
        <f t="shared" si="40"/>
        <v>4864.0600000000004</v>
      </c>
      <c r="M80" s="2310">
        <f t="shared" si="41"/>
        <v>405.33862472222228</v>
      </c>
      <c r="N80" s="2311">
        <f t="shared" si="42"/>
        <v>4458.7248719444451</v>
      </c>
      <c r="O80" s="1064"/>
      <c r="P80" s="2245"/>
    </row>
    <row r="81" spans="7:16" ht="12" thickBot="1">
      <c r="G81" s="2279"/>
      <c r="H81" s="1538" t="s">
        <v>4290</v>
      </c>
      <c r="I81" s="2323" t="s">
        <v>2568</v>
      </c>
      <c r="J81" s="2332"/>
      <c r="K81" s="2333">
        <v>743.69</v>
      </c>
      <c r="L81" s="2333">
        <f t="shared" si="40"/>
        <v>1688.93</v>
      </c>
      <c r="M81" s="2334">
        <f t="shared" si="41"/>
        <v>140.74436540277779</v>
      </c>
      <c r="N81" s="2327">
        <f t="shared" si="42"/>
        <v>1548.1880194305556</v>
      </c>
      <c r="O81" s="1064"/>
      <c r="P81" s="2245"/>
    </row>
    <row r="82" spans="7:16">
      <c r="J82" s="2309"/>
      <c r="K82" s="55"/>
    </row>
    <row r="83" spans="7:16">
      <c r="J83" s="2309"/>
      <c r="K83" s="55"/>
    </row>
    <row r="84" spans="7:16" ht="12" thickBot="1">
      <c r="J84" s="2309"/>
      <c r="K84" s="55"/>
    </row>
    <row r="85" spans="7:16">
      <c r="H85" s="2263" t="s">
        <v>606</v>
      </c>
      <c r="I85" s="1526"/>
      <c r="J85" s="2297" t="s">
        <v>904</v>
      </c>
      <c r="K85" s="2298">
        <v>2000</v>
      </c>
      <c r="L85" s="2298">
        <f t="shared" ref="L85:L92" si="43">ROUND(K85*IndW,2)</f>
        <v>4542.03</v>
      </c>
      <c r="M85" s="2299"/>
      <c r="N85" s="15" t="s">
        <v>3848</v>
      </c>
      <c r="P85" s="2245" t="s">
        <v>1906</v>
      </c>
    </row>
    <row r="86" spans="7:16">
      <c r="H86" s="2254"/>
      <c r="J86" s="2309" t="s">
        <v>3303</v>
      </c>
      <c r="K86" s="55">
        <v>1000</v>
      </c>
      <c r="L86" s="55">
        <f t="shared" si="43"/>
        <v>2271.02</v>
      </c>
      <c r="M86" s="2310"/>
      <c r="N86" s="2311" t="s">
        <v>3849</v>
      </c>
      <c r="P86" s="2245" t="s">
        <v>1906</v>
      </c>
    </row>
    <row r="87" spans="7:16">
      <c r="H87" s="2254"/>
      <c r="J87" s="2309" t="s">
        <v>873</v>
      </c>
      <c r="K87" s="55">
        <v>750</v>
      </c>
      <c r="L87" s="55">
        <f t="shared" si="43"/>
        <v>1703.26</v>
      </c>
      <c r="M87" s="2310"/>
      <c r="N87" s="2311"/>
      <c r="P87" s="2245" t="s">
        <v>1906</v>
      </c>
    </row>
    <row r="88" spans="7:16" ht="12" thickBot="1">
      <c r="H88" s="2279"/>
      <c r="I88" s="1538"/>
      <c r="J88" s="2332" t="s">
        <v>905</v>
      </c>
      <c r="K88" s="2333">
        <v>1000</v>
      </c>
      <c r="L88" s="2333">
        <f t="shared" si="43"/>
        <v>2271.02</v>
      </c>
      <c r="M88" s="2334"/>
      <c r="N88" s="2327"/>
      <c r="P88" s="2245" t="s">
        <v>1906</v>
      </c>
    </row>
    <row r="89" spans="7:16">
      <c r="H89" s="2263" t="s">
        <v>607</v>
      </c>
      <c r="I89" s="1526"/>
      <c r="J89" s="2297" t="s">
        <v>904</v>
      </c>
      <c r="K89" s="2298">
        <v>1500</v>
      </c>
      <c r="L89" s="2298">
        <f t="shared" si="43"/>
        <v>3406.53</v>
      </c>
      <c r="M89" s="2299">
        <f>K89/12*IndW_N1</f>
        <v>283.87708333333336</v>
      </c>
      <c r="N89" s="2300">
        <f>K89/12*IF(NabTransitX&lt;&gt;"",12*IndW,11*IndW_N)</f>
        <v>3122.6479166666668</v>
      </c>
      <c r="P89" s="2245" t="s">
        <v>1907</v>
      </c>
    </row>
    <row r="90" spans="7:16">
      <c r="H90" s="2254"/>
      <c r="I90" s="2255"/>
      <c r="J90" s="2309" t="s">
        <v>3303</v>
      </c>
      <c r="K90" s="55">
        <v>1000</v>
      </c>
      <c r="L90" s="55">
        <f t="shared" si="43"/>
        <v>2271.02</v>
      </c>
      <c r="M90" s="2310">
        <f>K90/12*IndW_N1</f>
        <v>189.25138888888887</v>
      </c>
      <c r="N90" s="2311">
        <f>K90/12*IF(NabTransitX&lt;&gt;"",12*IndW,11*IndW_N)</f>
        <v>2081.7652777777776</v>
      </c>
      <c r="P90" s="2245" t="s">
        <v>1907</v>
      </c>
    </row>
    <row r="91" spans="7:16">
      <c r="H91" s="2254"/>
      <c r="J91" s="2309" t="s">
        <v>873</v>
      </c>
      <c r="K91" s="55">
        <v>1000</v>
      </c>
      <c r="L91" s="55">
        <f t="shared" si="43"/>
        <v>2271.02</v>
      </c>
      <c r="M91" s="2310">
        <f>K91/12*IndW_N1</f>
        <v>189.25138888888887</v>
      </c>
      <c r="N91" s="2311">
        <f>K91/12*IF(NabTransitX&lt;&gt;"",12*IndW,11*IndW_N)</f>
        <v>2081.7652777777776</v>
      </c>
      <c r="P91" s="2245" t="s">
        <v>1907</v>
      </c>
    </row>
    <row r="92" spans="7:16" ht="12" thickBot="1">
      <c r="H92" s="2279"/>
      <c r="I92" s="1538"/>
      <c r="J92" s="2332" t="s">
        <v>905</v>
      </c>
      <c r="K92" s="2333">
        <v>1000</v>
      </c>
      <c r="L92" s="2333">
        <f t="shared" si="43"/>
        <v>2271.02</v>
      </c>
      <c r="M92" s="2334">
        <f>K92/12*IndW_N1</f>
        <v>189.25138888888887</v>
      </c>
      <c r="N92" s="2327">
        <f>K92/12*IF(NabTransitX&lt;&gt;"",12*IndW,11*IndW_N)</f>
        <v>2081.7652777777776</v>
      </c>
      <c r="P92" s="2245" t="s">
        <v>1907</v>
      </c>
    </row>
    <row r="93" spans="7:16" ht="12" thickBot="1">
      <c r="H93" s="2455" t="s">
        <v>5289</v>
      </c>
      <c r="I93" s="2457" t="s">
        <v>2568</v>
      </c>
      <c r="J93" s="2458" t="s">
        <v>5290</v>
      </c>
      <c r="K93" s="2459">
        <v>8031.76</v>
      </c>
      <c r="L93" s="2459">
        <f>ROUND(K93*IndT,2)</f>
        <v>18240.259999999998</v>
      </c>
      <c r="M93" s="2460">
        <f>K93/12*IndW_N1</f>
        <v>1520.0217352222223</v>
      </c>
      <c r="N93" s="2377">
        <f>K93/12*11*IndW_N</f>
        <v>16720.239087444446</v>
      </c>
      <c r="P93" s="15" t="s">
        <v>5291</v>
      </c>
    </row>
    <row r="94" spans="7:16" ht="12" thickBot="1">
      <c r="H94" s="2446" t="s">
        <v>1084</v>
      </c>
    </row>
    <row r="95" spans="7:16">
      <c r="G95" s="2263" t="s">
        <v>4175</v>
      </c>
      <c r="H95" s="1526" t="s">
        <v>608</v>
      </c>
      <c r="I95" s="2304" t="s">
        <v>2569</v>
      </c>
      <c r="J95" s="2297" t="s">
        <v>2052</v>
      </c>
      <c r="K95" s="2298">
        <v>16.12</v>
      </c>
      <c r="L95" s="2298">
        <f t="shared" ref="L95:L104" si="44">ROUND(K95*IndT,2)</f>
        <v>36.61</v>
      </c>
      <c r="M95" s="2299">
        <f t="shared" ref="M95:M104" si="45">K95*IndW_N1</f>
        <v>36.608788666666669</v>
      </c>
      <c r="N95" s="2300">
        <f t="shared" ref="N95:N104" si="46">K95*IndW_N</f>
        <v>36.608788666666669</v>
      </c>
      <c r="O95" s="2447" t="s">
        <v>2093</v>
      </c>
      <c r="P95" s="2245">
        <v>4084</v>
      </c>
    </row>
    <row r="96" spans="7:16">
      <c r="G96" s="2254" t="s">
        <v>4175</v>
      </c>
      <c r="H96" s="15" t="s">
        <v>2962</v>
      </c>
      <c r="I96" s="5" t="s">
        <v>2569</v>
      </c>
      <c r="J96" s="2309" t="s">
        <v>2490</v>
      </c>
      <c r="K96" s="55">
        <v>17.850000000000001</v>
      </c>
      <c r="L96" s="55">
        <f t="shared" si="44"/>
        <v>40.54</v>
      </c>
      <c r="M96" s="2310">
        <f t="shared" si="45"/>
        <v>40.537647500000006</v>
      </c>
      <c r="N96" s="2311">
        <f t="shared" si="46"/>
        <v>40.537647500000006</v>
      </c>
      <c r="O96" s="2243" t="s">
        <v>2092</v>
      </c>
      <c r="P96" s="2245">
        <v>4084</v>
      </c>
    </row>
    <row r="97" spans="5:17">
      <c r="G97" s="2448" t="s">
        <v>4175</v>
      </c>
      <c r="H97" s="2449" t="s">
        <v>2963</v>
      </c>
      <c r="I97" s="2450" t="s">
        <v>2569</v>
      </c>
      <c r="J97" s="2451" t="s">
        <v>4230</v>
      </c>
      <c r="K97" s="2452">
        <v>14.88</v>
      </c>
      <c r="L97" s="2452">
        <f t="shared" si="44"/>
        <v>33.79</v>
      </c>
      <c r="M97" s="2453">
        <f t="shared" si="45"/>
        <v>33.792728000000004</v>
      </c>
      <c r="N97" s="2441">
        <f t="shared" si="46"/>
        <v>33.792728000000004</v>
      </c>
      <c r="O97" s="2454" t="s">
        <v>1080</v>
      </c>
      <c r="P97" s="2245">
        <v>4084</v>
      </c>
    </row>
    <row r="98" spans="5:17">
      <c r="G98" s="2254" t="s">
        <v>4175</v>
      </c>
      <c r="H98" s="15" t="s">
        <v>608</v>
      </c>
      <c r="I98" s="5" t="s">
        <v>2570</v>
      </c>
      <c r="J98" s="2309" t="s">
        <v>2052</v>
      </c>
      <c r="K98" s="55">
        <v>16.12</v>
      </c>
      <c r="L98" s="55">
        <f t="shared" si="44"/>
        <v>36.61</v>
      </c>
      <c r="M98" s="2310">
        <f t="shared" si="45"/>
        <v>36.608788666666669</v>
      </c>
      <c r="N98" s="2311">
        <f t="shared" si="46"/>
        <v>36.608788666666669</v>
      </c>
      <c r="O98" s="2243" t="s">
        <v>2095</v>
      </c>
      <c r="P98" s="2245">
        <v>4084</v>
      </c>
    </row>
    <row r="99" spans="5:17">
      <c r="G99" s="2254" t="s">
        <v>4175</v>
      </c>
      <c r="H99" s="15" t="s">
        <v>2962</v>
      </c>
      <c r="I99" s="5" t="s">
        <v>2570</v>
      </c>
      <c r="J99" s="2309" t="s">
        <v>2490</v>
      </c>
      <c r="K99" s="55">
        <v>17.850000000000001</v>
      </c>
      <c r="L99" s="55">
        <f t="shared" si="44"/>
        <v>40.54</v>
      </c>
      <c r="M99" s="2310">
        <f t="shared" si="45"/>
        <v>40.537647500000006</v>
      </c>
      <c r="N99" s="2311">
        <f t="shared" si="46"/>
        <v>40.537647500000006</v>
      </c>
      <c r="O99" s="2243" t="s">
        <v>2094</v>
      </c>
      <c r="P99" s="2245">
        <v>4084</v>
      </c>
    </row>
    <row r="100" spans="5:17" ht="12" thickBot="1">
      <c r="G100" s="2254" t="s">
        <v>4175</v>
      </c>
      <c r="H100" s="15" t="s">
        <v>2963</v>
      </c>
      <c r="I100" s="5" t="s">
        <v>2570</v>
      </c>
      <c r="J100" s="2309" t="s">
        <v>4230</v>
      </c>
      <c r="K100" s="55">
        <v>14.88</v>
      </c>
      <c r="L100" s="55">
        <f t="shared" si="44"/>
        <v>33.79</v>
      </c>
      <c r="M100" s="2310">
        <f t="shared" si="45"/>
        <v>33.792728000000004</v>
      </c>
      <c r="N100" s="2311">
        <f t="shared" si="46"/>
        <v>33.792728000000004</v>
      </c>
      <c r="O100" s="2243" t="s">
        <v>1285</v>
      </c>
      <c r="P100" s="2245">
        <v>4084</v>
      </c>
    </row>
    <row r="101" spans="5:17" ht="12" thickBot="1">
      <c r="G101" s="2455" t="s">
        <v>4176</v>
      </c>
      <c r="H101" s="2456" t="s">
        <v>4177</v>
      </c>
      <c r="I101" s="2457" t="s">
        <v>2569</v>
      </c>
      <c r="J101" s="2458"/>
      <c r="K101" s="2459">
        <v>2.81</v>
      </c>
      <c r="L101" s="2459">
        <f t="shared" si="44"/>
        <v>6.38</v>
      </c>
      <c r="M101" s="2460">
        <f t="shared" si="45"/>
        <v>6.3815568333333337</v>
      </c>
      <c r="N101" s="2377">
        <f t="shared" si="46"/>
        <v>6.3815568333333337</v>
      </c>
      <c r="O101" s="2461" t="s">
        <v>3144</v>
      </c>
      <c r="P101" s="2245">
        <v>4061</v>
      </c>
    </row>
    <row r="102" spans="5:17">
      <c r="G102" s="2263" t="s">
        <v>3756</v>
      </c>
      <c r="H102" s="1526" t="s">
        <v>4546</v>
      </c>
      <c r="I102" s="2304" t="s">
        <v>1348</v>
      </c>
      <c r="J102" s="2462" t="s">
        <v>1287</v>
      </c>
      <c r="K102" s="2298">
        <v>44.63</v>
      </c>
      <c r="L102" s="2298">
        <f t="shared" si="44"/>
        <v>101.36</v>
      </c>
      <c r="M102" s="2299">
        <f t="shared" si="45"/>
        <v>101.35547383333333</v>
      </c>
      <c r="N102" s="2300">
        <f t="shared" si="46"/>
        <v>101.35547383333333</v>
      </c>
      <c r="O102" s="2243" t="s">
        <v>4496</v>
      </c>
      <c r="P102" s="2245">
        <v>4011</v>
      </c>
    </row>
    <row r="103" spans="5:17">
      <c r="G103" s="2254" t="s">
        <v>3756</v>
      </c>
      <c r="H103" s="15" t="s">
        <v>2566</v>
      </c>
      <c r="I103" s="5" t="s">
        <v>1348</v>
      </c>
      <c r="J103" s="2463" t="s">
        <v>3759</v>
      </c>
      <c r="K103" s="55">
        <v>26.78</v>
      </c>
      <c r="L103" s="55">
        <f t="shared" si="44"/>
        <v>60.82</v>
      </c>
      <c r="M103" s="2310">
        <f t="shared" si="45"/>
        <v>60.817826333333336</v>
      </c>
      <c r="N103" s="2311">
        <f t="shared" si="46"/>
        <v>60.817826333333336</v>
      </c>
      <c r="O103" s="5" t="s">
        <v>1961</v>
      </c>
      <c r="P103" s="2245">
        <v>4011</v>
      </c>
    </row>
    <row r="104" spans="5:17">
      <c r="G104" s="2448" t="s">
        <v>3756</v>
      </c>
      <c r="H104" s="2449" t="s">
        <v>2567</v>
      </c>
      <c r="I104" s="2450" t="s">
        <v>1348</v>
      </c>
      <c r="J104" s="2464" t="s">
        <v>1288</v>
      </c>
      <c r="K104" s="2452">
        <v>13.39</v>
      </c>
      <c r="L104" s="2452">
        <f t="shared" si="44"/>
        <v>30.41</v>
      </c>
      <c r="M104" s="2453">
        <f t="shared" si="45"/>
        <v>30.408913166666668</v>
      </c>
      <c r="N104" s="2441">
        <f t="shared" si="46"/>
        <v>30.408913166666668</v>
      </c>
      <c r="O104" s="5" t="s">
        <v>1962</v>
      </c>
      <c r="P104" s="2245">
        <v>4011</v>
      </c>
    </row>
    <row r="105" spans="5:17" ht="12" thickBot="1">
      <c r="E105" s="15" t="str">
        <f>H108</f>
        <v>Km Vergoeding</v>
      </c>
      <c r="G105" s="2448" t="s">
        <v>1740</v>
      </c>
      <c r="H105" s="2449" t="s">
        <v>5222</v>
      </c>
      <c r="I105" s="2450" t="s">
        <v>5223</v>
      </c>
      <c r="J105" s="2464" t="s">
        <v>3016</v>
      </c>
      <c r="K105" s="2452">
        <f>O105-IF(New_2019="",0,Prox)</f>
        <v>4015.88</v>
      </c>
      <c r="L105" s="2452">
        <f>ROUND(K105*IndW,2)</f>
        <v>9120.1299999999992</v>
      </c>
      <c r="M105" s="2453">
        <f>K105/12*IndW_N1</f>
        <v>760.01086761111117</v>
      </c>
      <c r="N105" s="2441">
        <f>K105/12*IF(NabTransitX&lt;&gt;"",12*IndW,11*IndW_N)</f>
        <v>8360.1195437222232</v>
      </c>
      <c r="O105" s="5">
        <v>4015.88</v>
      </c>
      <c r="P105" s="2245">
        <v>4009</v>
      </c>
    </row>
    <row r="106" spans="5:17">
      <c r="E106" s="2263">
        <v>2020</v>
      </c>
      <c r="F106" s="2203">
        <v>0.24</v>
      </c>
      <c r="G106" s="15" t="s">
        <v>3757</v>
      </c>
      <c r="H106" s="15" t="s">
        <v>5224</v>
      </c>
      <c r="I106" s="5" t="s">
        <v>5225</v>
      </c>
      <c r="J106" s="2309" t="s">
        <v>2805</v>
      </c>
      <c r="K106" s="2465">
        <v>6.7</v>
      </c>
      <c r="L106" s="55">
        <f>ROUND(K106*IndT,2)</f>
        <v>15.22</v>
      </c>
      <c r="M106" s="2310">
        <f>K106*IndW_N1</f>
        <v>15.215811666666667</v>
      </c>
      <c r="N106" s="2311">
        <f>K106*IndW_N</f>
        <v>15.215811666666667</v>
      </c>
      <c r="O106" s="2466" t="s">
        <v>2805</v>
      </c>
      <c r="P106" s="2245">
        <v>4048</v>
      </c>
    </row>
    <row r="107" spans="5:17">
      <c r="E107" s="2934">
        <v>2021</v>
      </c>
      <c r="F107" s="2935">
        <v>0.24</v>
      </c>
      <c r="G107" s="15" t="s">
        <v>3755</v>
      </c>
      <c r="H107" s="15" t="s">
        <v>5226</v>
      </c>
      <c r="I107" s="5" t="s">
        <v>5225</v>
      </c>
      <c r="J107" s="2309" t="s">
        <v>1286</v>
      </c>
      <c r="K107" s="2465">
        <v>18.420000000000002</v>
      </c>
      <c r="L107" s="55">
        <f>ROUND(K107*IndT,2)</f>
        <v>41.83</v>
      </c>
      <c r="M107" s="2310">
        <f>K107*IndW_N1</f>
        <v>41.832127000000007</v>
      </c>
      <c r="N107" s="2311">
        <f>K107*IndW_N</f>
        <v>41.832127000000007</v>
      </c>
      <c r="O107" s="2467" t="s">
        <v>1286</v>
      </c>
      <c r="P107" s="2344">
        <v>4025</v>
      </c>
    </row>
    <row r="108" spans="5:17" ht="12" thickBot="1">
      <c r="E108" s="2934">
        <v>2022</v>
      </c>
      <c r="F108" s="2935">
        <v>0.25</v>
      </c>
      <c r="G108" s="1538"/>
      <c r="H108" s="1538" t="s">
        <v>5227</v>
      </c>
      <c r="I108" s="2323" t="s">
        <v>2765</v>
      </c>
      <c r="J108" s="2332"/>
      <c r="K108" s="2333">
        <f>VLOOKUP(ANNEE,FIETS,2)</f>
        <v>0.35</v>
      </c>
      <c r="L108" s="2333">
        <f>K108</f>
        <v>0.35</v>
      </c>
      <c r="M108" s="2333">
        <f>VLOOKUP(ANNEE-1,FIETS,2)</f>
        <v>0.35</v>
      </c>
      <c r="N108" s="2327">
        <f>VLOOKUP(ANNEE,FIETS,2)</f>
        <v>0.35</v>
      </c>
      <c r="P108" s="2344">
        <v>4024</v>
      </c>
    </row>
    <row r="109" spans="5:17" ht="12" thickBot="1">
      <c r="E109" s="2934">
        <v>2023</v>
      </c>
      <c r="F109" s="2935">
        <v>0.27</v>
      </c>
    </row>
    <row r="110" spans="5:17">
      <c r="E110" s="2934">
        <v>2024</v>
      </c>
      <c r="F110" s="2935">
        <v>0.35</v>
      </c>
      <c r="G110" s="2933">
        <v>0.8</v>
      </c>
      <c r="H110" s="2263" t="s">
        <v>3001</v>
      </c>
      <c r="I110" s="1526"/>
      <c r="J110" s="2468" t="s">
        <v>1908</v>
      </c>
      <c r="K110" s="2298">
        <v>841.68</v>
      </c>
      <c r="L110" s="2298">
        <f>ROUND(K110*IndW,2)</f>
        <v>1911.47</v>
      </c>
      <c r="M110" s="2299">
        <f>K110/12*IndW_N1</f>
        <v>159.289109</v>
      </c>
      <c r="N110" s="2300">
        <f>K110/12*IF(NabTransitX&lt;&gt;"",12*IndW,11*IndW_N)</f>
        <v>1752.1801990000001</v>
      </c>
      <c r="O110" s="2469">
        <v>0.8</v>
      </c>
      <c r="P110" s="2344">
        <v>4071</v>
      </c>
      <c r="Q110" s="15" t="s">
        <v>2456</v>
      </c>
    </row>
    <row r="111" spans="5:17" ht="12" thickBot="1">
      <c r="E111" s="2936">
        <v>2025</v>
      </c>
      <c r="F111" s="2280">
        <v>0.35</v>
      </c>
      <c r="G111" s="2470">
        <v>0.5</v>
      </c>
      <c r="H111" s="2279" t="s">
        <v>1963</v>
      </c>
      <c r="I111" s="2470"/>
      <c r="J111" s="2471" t="s">
        <v>1909</v>
      </c>
      <c r="K111" s="2333">
        <f>295.99/1.4859*12</f>
        <v>2390.3896628306079</v>
      </c>
      <c r="L111" s="2333">
        <f>ROUND(K111*IndW,2)</f>
        <v>5428.61</v>
      </c>
      <c r="M111" s="2334">
        <f>K111/12*IndW_N1</f>
        <v>452.38456367633535</v>
      </c>
      <c r="N111" s="2327">
        <f>K111/12*IF(NabTransitX&lt;&gt;"",12*IndW,11*IndW_N)</f>
        <v>4976.2302004396888</v>
      </c>
      <c r="O111" s="2469">
        <v>0.5</v>
      </c>
      <c r="P111" s="2344">
        <v>4021</v>
      </c>
      <c r="Q111" s="15" t="s">
        <v>2457</v>
      </c>
    </row>
    <row r="113" spans="7:16" ht="12" thickBot="1">
      <c r="G113" s="15" t="s">
        <v>4438</v>
      </c>
      <c r="H113" s="15" t="s">
        <v>1958</v>
      </c>
      <c r="I113" s="15" t="s">
        <v>1959</v>
      </c>
    </row>
    <row r="114" spans="7:16">
      <c r="H114" s="2263" t="s">
        <v>3529</v>
      </c>
      <c r="I114" s="1526"/>
      <c r="J114" s="2297" t="s">
        <v>2055</v>
      </c>
      <c r="K114" s="2298">
        <v>2.48</v>
      </c>
      <c r="L114" s="2298">
        <f t="shared" ref="L114:L122" si="47">ROUND(K114*IndT,2)</f>
        <v>5.63</v>
      </c>
      <c r="M114" s="2299">
        <f>K114*IndW_N1</f>
        <v>5.6321213333333331</v>
      </c>
      <c r="N114" s="2300">
        <f>K114*IndW_N</f>
        <v>5.6321213333333331</v>
      </c>
      <c r="P114" s="15">
        <v>4163</v>
      </c>
    </row>
    <row r="115" spans="7:16">
      <c r="H115" s="2254" t="s">
        <v>3530</v>
      </c>
      <c r="J115" s="2309" t="s">
        <v>2056</v>
      </c>
      <c r="K115" s="55">
        <v>6.2</v>
      </c>
      <c r="L115" s="55">
        <f t="shared" si="47"/>
        <v>14.08</v>
      </c>
      <c r="M115" s="2310">
        <f>K115*IndW_N1</f>
        <v>14.080303333333333</v>
      </c>
      <c r="N115" s="2311">
        <f>K115*IndW_N</f>
        <v>14.080303333333333</v>
      </c>
    </row>
    <row r="116" spans="7:16">
      <c r="H116" s="2254" t="s">
        <v>3531</v>
      </c>
      <c r="J116" s="2309" t="s">
        <v>2057</v>
      </c>
      <c r="K116" s="55">
        <v>6.2</v>
      </c>
      <c r="L116" s="55">
        <f t="shared" si="47"/>
        <v>14.08</v>
      </c>
      <c r="M116" s="2310">
        <f>K116*IndW_N1</f>
        <v>14.080303333333333</v>
      </c>
      <c r="N116" s="2311">
        <f>K116*IndW_N</f>
        <v>14.080303333333333</v>
      </c>
    </row>
    <row r="117" spans="7:16" ht="12" thickBot="1">
      <c r="H117" s="2279" t="s">
        <v>3183</v>
      </c>
      <c r="I117" s="1538"/>
      <c r="J117" s="2332" t="s">
        <v>2058</v>
      </c>
      <c r="K117" s="2333">
        <v>3.48</v>
      </c>
      <c r="L117" s="2333">
        <f t="shared" si="47"/>
        <v>7.9</v>
      </c>
      <c r="M117" s="2334">
        <f>K117*IndW_N1</f>
        <v>7.9031380000000002</v>
      </c>
      <c r="N117" s="2327">
        <f>K117*IndW_N</f>
        <v>7.9031380000000002</v>
      </c>
    </row>
    <row r="118" spans="7:16" ht="12" thickBot="1">
      <c r="H118" s="15" t="s">
        <v>1960</v>
      </c>
    </row>
    <row r="119" spans="7:16">
      <c r="H119" s="2263" t="s">
        <v>3529</v>
      </c>
      <c r="I119" s="1526"/>
      <c r="J119" s="2297" t="s">
        <v>2059</v>
      </c>
      <c r="K119" s="2298">
        <v>1.24</v>
      </c>
      <c r="L119" s="2298">
        <f t="shared" si="47"/>
        <v>2.82</v>
      </c>
      <c r="M119" s="2299">
        <f>K119*IndW_N1</f>
        <v>2.8160606666666665</v>
      </c>
      <c r="N119" s="2300">
        <f>K119*IndW_N</f>
        <v>2.8160606666666665</v>
      </c>
    </row>
    <row r="120" spans="7:16">
      <c r="H120" s="2254" t="s">
        <v>3530</v>
      </c>
      <c r="J120" s="2309" t="s">
        <v>2060</v>
      </c>
      <c r="K120" s="55">
        <v>2.48</v>
      </c>
      <c r="L120" s="55">
        <f t="shared" si="47"/>
        <v>5.63</v>
      </c>
      <c r="M120" s="2310">
        <f>K120*IndW_N1</f>
        <v>5.6321213333333331</v>
      </c>
      <c r="N120" s="2311">
        <f>K120*IndW_N</f>
        <v>5.6321213333333331</v>
      </c>
    </row>
    <row r="121" spans="7:16">
      <c r="H121" s="2254" t="s">
        <v>3531</v>
      </c>
      <c r="J121" s="2309" t="s">
        <v>2061</v>
      </c>
      <c r="K121" s="55">
        <v>2.48</v>
      </c>
      <c r="L121" s="55">
        <f t="shared" si="47"/>
        <v>5.63</v>
      </c>
      <c r="M121" s="2310">
        <f>K121*IndW_N1</f>
        <v>5.6321213333333331</v>
      </c>
      <c r="N121" s="2311">
        <f>K121*IndW_N</f>
        <v>5.6321213333333331</v>
      </c>
    </row>
    <row r="122" spans="7:16" ht="12" thickBot="1">
      <c r="H122" s="2279" t="s">
        <v>3183</v>
      </c>
      <c r="I122" s="1538"/>
      <c r="J122" s="2332" t="s">
        <v>2062</v>
      </c>
      <c r="K122" s="2333">
        <v>1.74</v>
      </c>
      <c r="L122" s="2333">
        <f t="shared" si="47"/>
        <v>3.95</v>
      </c>
      <c r="M122" s="2334">
        <f>K122*IndW_N1</f>
        <v>3.9515690000000001</v>
      </c>
      <c r="N122" s="2327">
        <f>K122*IndW_N</f>
        <v>3.9515690000000001</v>
      </c>
    </row>
    <row r="130" spans="7:17">
      <c r="K130" s="55">
        <f>SUM(K17:K129)</f>
        <v>145664.97800742256</v>
      </c>
      <c r="L130" s="55">
        <f>SUM(L17:L129)</f>
        <v>330807.14999999997</v>
      </c>
      <c r="M130" s="55">
        <f>SUM(M17:M129)</f>
        <v>27161.469671971372</v>
      </c>
      <c r="N130" s="55">
        <f>SUM(N17:N129)</f>
        <v>293396.33119811554</v>
      </c>
    </row>
    <row r="131" spans="7:17">
      <c r="G131" s="2249" t="str">
        <f>IF(ANNEE&lt;2022,"","Checques Repas")</f>
        <v>Checques Repas</v>
      </c>
      <c r="J131" s="15" t="str">
        <f>IF(ANNEE&lt;2022,"","MTC_Price")</f>
        <v>MTC_Price</v>
      </c>
      <c r="K131" s="15" t="s">
        <v>5333</v>
      </c>
      <c r="L131" s="15" t="s">
        <v>5334</v>
      </c>
      <c r="M131" s="15" t="str">
        <f>IF(ANNEE&lt;2022,"","MC_Nbr")</f>
        <v>MC_Nbr</v>
      </c>
      <c r="N131" s="15" t="str">
        <f>IF(ANNEE&lt;2022,"","MntAnCR: Montant AnnuelChecquesRepas")</f>
        <v>MntAnCR: Montant AnnuelChecquesRepas</v>
      </c>
    </row>
    <row r="132" spans="7:17">
      <c r="H132" s="15" t="str">
        <f>IF(ANNEE&lt;2022,"","Activation de la  Nego 2018 :")</f>
        <v>Activation de la  Nego 2018 :</v>
      </c>
      <c r="I132" s="2344" t="str">
        <f>IF(OR(NeutrNego=2018,ANNEE&lt;2022), "","11/2022")</f>
        <v>11/2022</v>
      </c>
      <c r="J132" s="2857">
        <v>6</v>
      </c>
      <c r="K132" s="2857">
        <f>IF(NeutrNego="",1.09,0)</f>
        <v>1.0900000000000001</v>
      </c>
      <c r="L132" s="2857">
        <f>IF(NeutrNego="",4.91,1)</f>
        <v>4.91</v>
      </c>
      <c r="M132" s="15">
        <f>IF(ANNEE&lt;2022,"",IF(ANNEE=2022,44-6,214))</f>
        <v>214</v>
      </c>
      <c r="N132" s="2108">
        <f>IF(OR(NeutrNego=2018,ANNEE&lt;2022),0,MTC_Price*MC_Nbr)</f>
        <v>1284</v>
      </c>
    </row>
    <row r="133" spans="7:17">
      <c r="L133" s="59" t="s">
        <v>5335</v>
      </c>
      <c r="M133" s="59" t="s">
        <v>5336</v>
      </c>
      <c r="N133" s="59" t="s">
        <v>646</v>
      </c>
      <c r="P133" s="15" t="s">
        <v>5352</v>
      </c>
      <c r="Q133" s="15" t="s">
        <v>5353</v>
      </c>
    </row>
    <row r="134" spans="7:17">
      <c r="J134" s="2249"/>
      <c r="K134" s="15" t="s">
        <v>2788</v>
      </c>
      <c r="L134" s="59">
        <v>33091</v>
      </c>
      <c r="M134" s="59">
        <v>33091</v>
      </c>
      <c r="N134" s="59">
        <v>33001</v>
      </c>
      <c r="P134" s="59">
        <v>33098</v>
      </c>
      <c r="Q134" s="59">
        <v>33099</v>
      </c>
    </row>
    <row r="135" spans="7:17">
      <c r="K135" s="15" t="s">
        <v>5337</v>
      </c>
      <c r="L135" s="15">
        <f>+GesCoAantal</f>
        <v>0</v>
      </c>
      <c r="M135" s="2858">
        <f>+Calog!D1</f>
        <v>1</v>
      </c>
      <c r="N135" s="2858">
        <f>+Ops!D1</f>
        <v>1</v>
      </c>
    </row>
    <row r="136" spans="7:17">
      <c r="J136" s="15" t="s">
        <v>5354</v>
      </c>
      <c r="K136" s="2862" t="s">
        <v>5355</v>
      </c>
      <c r="L136" s="2861">
        <f>+L135</f>
        <v>0</v>
      </c>
      <c r="M136" s="2861" t="e">
        <f>CalogEQP</f>
        <v>#VALUE!</v>
      </c>
      <c r="N136" s="2861" t="e">
        <f>OpsEQP</f>
        <v>#N/A</v>
      </c>
      <c r="O136" s="2861" t="s">
        <v>5338</v>
      </c>
    </row>
    <row r="137" spans="7:17">
      <c r="I137" s="2344" t="str">
        <f>"Estimation du montant en recette (Quote part Personnel: "&amp;MTC_QPP&amp;" € par CR)"</f>
        <v>Estimation du montant en recette (Quote part Personnel: 1,09 € par CR)</v>
      </c>
      <c r="J137" s="15" t="s">
        <v>5349</v>
      </c>
      <c r="K137" s="2863" t="e">
        <f>SUM(L137:N137)+SUM(P137:Q137)</f>
        <v>#VALUE!</v>
      </c>
      <c r="L137" s="2859">
        <f t="shared" ref="L137:N139" si="48">MC_Nbr*MTC_QPP*L$136</f>
        <v>0</v>
      </c>
      <c r="M137" s="2859" t="e">
        <f t="shared" si="48"/>
        <v>#VALUE!</v>
      </c>
      <c r="N137" s="2859" t="e">
        <f t="shared" si="48"/>
        <v>#N/A</v>
      </c>
      <c r="O137" s="2857">
        <f>MTC_QPP</f>
        <v>1.0900000000000001</v>
      </c>
      <c r="P137" s="15">
        <f>MC_Nbr*MTC_QPP*IF(Ops!GS14=1,1,0)</f>
        <v>233.26000000000002</v>
      </c>
      <c r="Q137" s="15">
        <f>MC_Nbr*MTC_QPP*IF(Ops!GS15=1,1,0)</f>
        <v>233.26000000000002</v>
      </c>
    </row>
    <row r="138" spans="7:17">
      <c r="I138" s="2344" t="str">
        <f>"Estimation Montant à charge de la ZP ( à concurence de "&amp;MTC_Patr&amp;" € le CR)"</f>
        <v>Estimation Montant à charge de la ZP ( à concurence de 4,91 € le CR)</v>
      </c>
      <c r="J138" s="15" t="s">
        <v>5350</v>
      </c>
      <c r="K138" s="2863" t="e">
        <f t="shared" ref="K138" si="49">SUM(L138:N138)+SUM(P138:Q138)</f>
        <v>#VALUE!</v>
      </c>
      <c r="L138" s="2859">
        <f t="shared" si="48"/>
        <v>0</v>
      </c>
      <c r="M138" s="2859" t="e">
        <f>MC_Nbr*MTC_Patr*M$136</f>
        <v>#VALUE!</v>
      </c>
      <c r="N138" s="2859" t="e">
        <f>MC_Nbr*MTC_Patr*N$136</f>
        <v>#N/A</v>
      </c>
      <c r="O138" s="2857">
        <f>MTC_Patr</f>
        <v>4.91</v>
      </c>
      <c r="P138" s="15">
        <f>MC_Nbr*MTC_Patr*IF(Ops!GS14=1,1,0)</f>
        <v>1050.74</v>
      </c>
      <c r="Q138" s="15">
        <f>MC_Nbr*MTC_Patr*IF(Ops!GS15=1,1,0)</f>
        <v>1050.74</v>
      </c>
    </row>
    <row r="139" spans="7:17">
      <c r="I139" s="2344" t="str">
        <f>"Estimation total dépense Chèque Repas (1 CR ="&amp;MTC_Price&amp;" €) "</f>
        <v xml:space="preserve">Estimation total dépense Chèque Repas (1 CR =6 €) </v>
      </c>
      <c r="K139" s="2863" t="e">
        <f>SUM(L139:N139)+SUM(P139:Q139)</f>
        <v>#VALUE!</v>
      </c>
      <c r="L139" s="2859">
        <f t="shared" si="48"/>
        <v>0</v>
      </c>
      <c r="M139" s="2859" t="e">
        <f>SUM(M137:M138)</f>
        <v>#VALUE!</v>
      </c>
      <c r="N139" s="2859" t="e">
        <f>SUM(N137:N138)</f>
        <v>#N/A</v>
      </c>
      <c r="O139" s="2859">
        <v>6</v>
      </c>
      <c r="P139" s="2859">
        <f>SUM(P137:P138)</f>
        <v>1284</v>
      </c>
      <c r="Q139" s="2859">
        <f>SUM(Q137:Q138)</f>
        <v>1284</v>
      </c>
    </row>
    <row r="141" spans="7:17">
      <c r="J141" s="2860" t="s">
        <v>5345</v>
      </c>
      <c r="K141" s="2859" t="e">
        <f>L139+M139+N139+P139+Q139</f>
        <v>#VALUE!</v>
      </c>
    </row>
    <row r="150" spans="7:12">
      <c r="H150" s="2844" t="str">
        <f>IF(ANNEE&lt;=2021,"","year")</f>
        <v>year</v>
      </c>
      <c r="I150" s="2845" t="str">
        <f>IF(ANNEE&lt;=2021,"","factor")</f>
        <v>factor</v>
      </c>
      <c r="K150" s="2857">
        <f>IF(NeutrNego="",1.09,0)</f>
        <v>1.0900000000000001</v>
      </c>
      <c r="L150" s="2857">
        <f>IF(NeutrNego="",4.91,1)</f>
        <v>4.91</v>
      </c>
    </row>
    <row r="151" spans="7:12">
      <c r="G151" s="15" t="str">
        <f>IF(ANNEE&lt;=2022,"","PctRepas")</f>
        <v>PctRepas</v>
      </c>
      <c r="H151" s="2403">
        <f>IF(ANNEE&lt;=2022,"",2018)</f>
        <v>2018</v>
      </c>
      <c r="I151" s="2846">
        <f>IF(ANNEE&lt;=2021,"",1)</f>
        <v>1</v>
      </c>
    </row>
    <row r="152" spans="7:12">
      <c r="G152" s="2847">
        <f>IF(OR(NeutrNego=2018,ANNEE&lt;=2021),1,VLOOKUP(ANNEE,H151:I153,2))</f>
        <v>0</v>
      </c>
      <c r="H152" s="2403">
        <f>IF(ANNEE&lt;=2021,"",2022)</f>
        <v>2022</v>
      </c>
      <c r="I152" s="2846">
        <f>IF(ANNEE&lt;=2021,"",ROUND(1/6,4))</f>
        <v>0.16669999999999999</v>
      </c>
    </row>
    <row r="153" spans="7:12">
      <c r="H153" s="2848">
        <f>IF(ANNEE&lt;=2021,"",2023)</f>
        <v>2023</v>
      </c>
      <c r="I153" s="2849">
        <f>IF(ANNEE&lt;=2021,"",0)</f>
        <v>0</v>
      </c>
    </row>
  </sheetData>
  <sheetProtection formatColumns="0" formatRows="0"/>
  <mergeCells count="20">
    <mergeCell ref="AT1:AU1"/>
    <mergeCell ref="AR1:AS1"/>
    <mergeCell ref="AE16:AF16"/>
    <mergeCell ref="AC16:AD16"/>
    <mergeCell ref="AD5:AL5"/>
    <mergeCell ref="F2:F4"/>
    <mergeCell ref="AD6:AL6"/>
    <mergeCell ref="AD7:AL7"/>
    <mergeCell ref="AK38:AP38"/>
    <mergeCell ref="AG37:AJ43"/>
    <mergeCell ref="AK19:AM19"/>
    <mergeCell ref="AK18:AM18"/>
    <mergeCell ref="A21:D21"/>
    <mergeCell ref="AE36:AF36"/>
    <mergeCell ref="AG36:AJ36"/>
    <mergeCell ref="AA52:AD52"/>
    <mergeCell ref="F43:F44"/>
    <mergeCell ref="A45:F45"/>
    <mergeCell ref="A46:B46"/>
    <mergeCell ref="A43:A44"/>
  </mergeCells>
  <phoneticPr fontId="38" type="noConversion"/>
  <conditionalFormatting sqref="F43:F44">
    <cfRule type="expression" dxfId="9" priority="8" stopIfTrue="1">
      <formula>$E$44=""</formula>
    </cfRule>
  </conditionalFormatting>
  <conditionalFormatting sqref="E13">
    <cfRule type="cellIs" dxfId="8" priority="7" stopIfTrue="1" operator="equal">
      <formula>"NOK"</formula>
    </cfRule>
  </conditionalFormatting>
  <pageMargins left="0.75" right="0.75" top="1" bottom="1" header="0.5" footer="0.5"/>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ps"/>
  <dimension ref="A1:IV1064"/>
  <sheetViews>
    <sheetView topLeftCell="A11" zoomScaleNormal="100" workbookViewId="0">
      <selection activeCell="F18" sqref="F18"/>
    </sheetView>
  </sheetViews>
  <sheetFormatPr defaultColWidth="11.42578125" defaultRowHeight="12" customHeight="1"/>
  <cols>
    <col min="1" max="1" width="6.85546875" style="1000" customWidth="1"/>
    <col min="2" max="2" width="3" style="1000" customWidth="1"/>
    <col min="3" max="3" width="3.7109375" style="1000" bestFit="1" customWidth="1"/>
    <col min="4" max="4" width="4.140625" style="49" customWidth="1"/>
    <col min="5" max="5" width="6.28515625" style="1001" customWidth="1"/>
    <col min="6" max="6" width="11.140625" style="1002" customWidth="1"/>
    <col min="7" max="7" width="10.28515625" style="175" customWidth="1"/>
    <col min="8" max="8" width="29.5703125" style="175" customWidth="1"/>
    <col min="9" max="9" width="9.42578125" style="175" customWidth="1"/>
    <col min="10" max="10" width="3.42578125" style="175" customWidth="1"/>
    <col min="11" max="11" width="6.42578125" style="175" customWidth="1"/>
    <col min="12" max="12" width="7" style="175" customWidth="1"/>
    <col min="13" max="13" width="19" style="175" customWidth="1"/>
    <col min="14" max="14" width="5.42578125" style="175" customWidth="1"/>
    <col min="15" max="15" width="6.7109375" style="175" customWidth="1"/>
    <col min="16" max="16" width="8.7109375" style="175" customWidth="1"/>
    <col min="17" max="17" width="4.42578125" style="1005" customWidth="1"/>
    <col min="18" max="18" width="13.42578125" style="175" bestFit="1" customWidth="1"/>
    <col min="19" max="19" width="4.42578125" style="175" customWidth="1"/>
    <col min="20" max="20" width="10.42578125" style="1000" customWidth="1"/>
    <col min="21" max="21" width="10.42578125" style="1003" customWidth="1"/>
    <col min="22" max="22" width="3.42578125" style="49" customWidth="1"/>
    <col min="23" max="24" width="3" style="49" customWidth="1"/>
    <col min="25" max="25" width="7.42578125" style="49" customWidth="1"/>
    <col min="26" max="26" width="16.28515625" style="49" bestFit="1" customWidth="1"/>
    <col min="27" max="27" width="5" style="49" hidden="1" customWidth="1"/>
    <col min="28" max="28" width="6.140625" style="1004" hidden="1" customWidth="1"/>
    <col min="29" max="29" width="3" style="1004" hidden="1" customWidth="1"/>
    <col min="30" max="30" width="4.7109375" style="1004" hidden="1" customWidth="1"/>
    <col min="31" max="31" width="7.85546875" style="1005" hidden="1" customWidth="1"/>
    <col min="32" max="32" width="5.140625" style="49" hidden="1" customWidth="1"/>
    <col min="33" max="33" width="7.85546875" style="49" hidden="1" customWidth="1"/>
    <col min="34" max="35" width="7.140625" style="49" hidden="1" customWidth="1"/>
    <col min="36" max="36" width="5.140625" style="49" hidden="1" customWidth="1"/>
    <col min="37" max="37" width="3" style="1004" hidden="1" customWidth="1"/>
    <col min="38" max="38" width="7.85546875" style="49" hidden="1" customWidth="1"/>
    <col min="39" max="39" width="5.140625" style="49" hidden="1" customWidth="1"/>
    <col min="40" max="40" width="7.85546875" style="49" hidden="1" customWidth="1"/>
    <col min="41" max="41" width="5.140625" style="49" hidden="1" customWidth="1"/>
    <col min="42" max="42" width="3" style="49" hidden="1" customWidth="1"/>
    <col min="43" max="43" width="7.85546875" style="49" hidden="1" customWidth="1"/>
    <col min="44" max="44" width="3" style="49" hidden="1" customWidth="1"/>
    <col min="45" max="45" width="7.85546875" style="49" hidden="1" customWidth="1"/>
    <col min="46" max="46" width="3" style="49" hidden="1" customWidth="1"/>
    <col min="47" max="47" width="7.85546875" style="49" hidden="1" customWidth="1"/>
    <col min="48" max="48" width="14.140625" style="49" customWidth="1"/>
    <col min="49" max="49" width="12.5703125" style="49" bestFit="1" customWidth="1"/>
    <col min="50" max="50" width="12.42578125" style="49" bestFit="1" customWidth="1"/>
    <col min="51" max="51" width="9.7109375" style="49" customWidth="1"/>
    <col min="52" max="53" width="10.7109375" style="49" customWidth="1"/>
    <col min="54" max="54" width="9.5703125" style="49" bestFit="1" customWidth="1"/>
    <col min="55" max="55" width="8.42578125" style="49" customWidth="1"/>
    <col min="56" max="56" width="10.85546875" style="1006" bestFit="1" customWidth="1"/>
    <col min="57" max="57" width="7.85546875" style="1006" customWidth="1"/>
    <col min="58" max="59" width="9.5703125" style="1007" bestFit="1" customWidth="1"/>
    <col min="60" max="60" width="9.28515625" style="1007" customWidth="1"/>
    <col min="61" max="61" width="10" style="49" customWidth="1"/>
    <col min="62" max="62" width="9.28515625" style="1007" customWidth="1"/>
    <col min="63" max="63" width="8.7109375" style="49" customWidth="1"/>
    <col min="64" max="64" width="10.42578125" style="49" bestFit="1" customWidth="1"/>
    <col min="65" max="65" width="7.42578125" style="49" bestFit="1" customWidth="1"/>
    <col min="66" max="66" width="9.140625" style="49" bestFit="1" customWidth="1"/>
    <col min="67" max="67" width="8.7109375" style="49" customWidth="1"/>
    <col min="68" max="68" width="8.28515625" style="49" bestFit="1" customWidth="1"/>
    <col min="69" max="69" width="9.5703125" style="49" bestFit="1" customWidth="1"/>
    <col min="70" max="70" width="9.42578125" style="49" bestFit="1" customWidth="1"/>
    <col min="71" max="71" width="9.5703125" style="49" bestFit="1" customWidth="1"/>
    <col min="72" max="72" width="9.85546875" style="49" bestFit="1" customWidth="1"/>
    <col min="73" max="73" width="9.5703125" style="49" bestFit="1" customWidth="1"/>
    <col min="74" max="74" width="9.85546875" style="49" customWidth="1"/>
    <col min="75" max="75" width="10.7109375" style="49" bestFit="1" customWidth="1"/>
    <col min="76" max="76" width="9" style="49" customWidth="1"/>
    <col min="77" max="77" width="8.28515625" style="49" customWidth="1"/>
    <col min="78" max="78" width="9.42578125" style="49" bestFit="1" customWidth="1"/>
    <col min="79" max="79" width="9.5703125" style="49" bestFit="1" customWidth="1"/>
    <col min="80" max="81" width="9.28515625" style="49" customWidth="1"/>
    <col min="82" max="82" width="9.7109375" style="49" bestFit="1" customWidth="1"/>
    <col min="83" max="83" width="8.28515625" style="49" customWidth="1"/>
    <col min="84" max="84" width="9" style="49" bestFit="1" customWidth="1"/>
    <col min="85" max="85" width="8.85546875" style="49" bestFit="1" customWidth="1"/>
    <col min="86" max="87" width="7.5703125" style="49" customWidth="1"/>
    <col min="88" max="88" width="7" style="49" customWidth="1"/>
    <col min="89" max="89" width="9" style="49" bestFit="1" customWidth="1"/>
    <col min="90" max="90" width="10" style="49" bestFit="1" customWidth="1"/>
    <col min="91" max="93" width="7" style="49" customWidth="1"/>
    <col min="94" max="94" width="7.140625" style="1000" customWidth="1"/>
    <col min="95" max="96" width="9" style="49" customWidth="1"/>
    <col min="97" max="97" width="5.85546875" style="49" customWidth="1"/>
    <col min="98" max="99" width="9.140625" style="49" bestFit="1" customWidth="1"/>
    <col min="100" max="100" width="5.28515625" style="49" customWidth="1"/>
    <col min="101" max="102" width="8.140625" style="49" customWidth="1"/>
    <col min="103" max="103" width="5.42578125" style="49" customWidth="1"/>
    <col min="104" max="104" width="7.7109375" style="49" customWidth="1"/>
    <col min="105" max="105" width="9.42578125" style="49" customWidth="1"/>
    <col min="106" max="106" width="7.140625" style="1000" bestFit="1" customWidth="1"/>
    <col min="107" max="108" width="9" style="49" customWidth="1"/>
    <col min="109" max="109" width="5.42578125" style="49" customWidth="1"/>
    <col min="110" max="111" width="9" style="49" customWidth="1"/>
    <col min="112" max="112" width="7.140625" style="49" customWidth="1"/>
    <col min="113" max="114" width="8.85546875" style="49" customWidth="1"/>
    <col min="115" max="115" width="4.28515625" style="1008" customWidth="1"/>
    <col min="116" max="116" width="6.85546875" style="49" customWidth="1"/>
    <col min="117" max="117" width="8.85546875" style="49" bestFit="1" customWidth="1"/>
    <col min="118" max="118" width="8.5703125" style="49" customWidth="1"/>
    <col min="119" max="119" width="5.42578125" style="49" customWidth="1"/>
    <col min="120" max="121" width="10.7109375" style="449" customWidth="1"/>
    <col min="122" max="122" width="7.42578125" style="49" customWidth="1"/>
    <col min="123" max="123" width="8.42578125" style="49" customWidth="1"/>
    <col min="124" max="127" width="9.42578125" style="49" customWidth="1"/>
    <col min="128" max="128" width="8" style="49" bestFit="1" customWidth="1"/>
    <col min="129" max="129" width="7.7109375" style="49" customWidth="1"/>
    <col min="130" max="130" width="9.28515625" style="49" customWidth="1"/>
    <col min="131" max="131" width="5.7109375" style="49" bestFit="1" customWidth="1"/>
    <col min="132" max="132" width="8" style="49" customWidth="1"/>
    <col min="133" max="133" width="9.42578125" style="49" bestFit="1" customWidth="1"/>
    <col min="134" max="134" width="5.7109375" style="49" bestFit="1" customWidth="1"/>
    <col min="135" max="135" width="8" style="49" customWidth="1"/>
    <col min="136" max="136" width="9.42578125" style="49" bestFit="1" customWidth="1"/>
    <col min="137" max="153" width="8.85546875" style="49" customWidth="1"/>
    <col min="154" max="154" width="10.5703125" style="28" customWidth="1"/>
    <col min="155" max="155" width="8.85546875" style="49" customWidth="1"/>
    <col min="156" max="156" width="9.7109375" style="49" bestFit="1" customWidth="1"/>
    <col min="157" max="159" width="8.85546875" style="49" customWidth="1"/>
    <col min="160" max="162" width="8.7109375" style="49" customWidth="1"/>
    <col min="163" max="165" width="8.85546875" style="49" customWidth="1"/>
    <col min="166" max="166" width="9.42578125" style="49" bestFit="1" customWidth="1"/>
    <col min="167" max="167" width="10.140625" style="49" bestFit="1" customWidth="1"/>
    <col min="168" max="168" width="9.42578125" style="49" bestFit="1" customWidth="1"/>
    <col min="169" max="169" width="10.7109375" style="49" bestFit="1" customWidth="1"/>
    <col min="170" max="170" width="8.7109375" style="49" customWidth="1"/>
    <col min="171" max="171" width="11.42578125" style="49" customWidth="1"/>
    <col min="172" max="172" width="7.85546875" style="49" bestFit="1" customWidth="1"/>
    <col min="173" max="173" width="10.140625" style="49" bestFit="1" customWidth="1"/>
    <col min="174" max="174" width="8.140625" style="49" bestFit="1" customWidth="1"/>
    <col min="175" max="175" width="9" style="49" bestFit="1" customWidth="1"/>
    <col min="176" max="176" width="11.7109375" style="49" customWidth="1"/>
    <col min="177" max="177" width="12.85546875" style="49" bestFit="1" customWidth="1"/>
    <col min="178" max="178" width="10.85546875" style="49" customWidth="1"/>
    <col min="179" max="179" width="8.85546875" style="49" bestFit="1" customWidth="1"/>
    <col min="180" max="181" width="9.85546875" style="49" bestFit="1" customWidth="1"/>
    <col min="182" max="182" width="11.28515625" style="49" bestFit="1" customWidth="1"/>
    <col min="183" max="183" width="10" style="49" bestFit="1" customWidth="1"/>
    <col min="184" max="184" width="11.28515625" style="49" bestFit="1" customWidth="1"/>
    <col min="185" max="185" width="9" style="49" bestFit="1" customWidth="1"/>
    <col min="186" max="186" width="11.28515625" style="49" bestFit="1" customWidth="1"/>
    <col min="187" max="187" width="9.28515625" style="49" bestFit="1" customWidth="1"/>
    <col min="188" max="188" width="7.28515625" style="49" customWidth="1"/>
    <col min="189" max="189" width="5.28515625" style="49" bestFit="1" customWidth="1"/>
    <col min="190" max="190" width="6.28515625" style="49" bestFit="1" customWidth="1"/>
    <col min="191" max="191" width="7.85546875" style="49" bestFit="1" customWidth="1"/>
    <col min="192" max="194" width="9.28515625" style="49" bestFit="1" customWidth="1"/>
    <col min="195" max="197" width="9.28515625" style="28" bestFit="1" customWidth="1"/>
    <col min="198" max="200" width="9.28515625" style="49" bestFit="1" customWidth="1"/>
    <col min="201" max="201" width="11.42578125" style="49"/>
    <col min="202" max="202" width="12.7109375" style="49" customWidth="1"/>
    <col min="203" max="203" width="13.140625" style="49" customWidth="1"/>
    <col min="204" max="204" width="11.42578125" style="49"/>
    <col min="205" max="206" width="0" style="49" hidden="1" customWidth="1"/>
    <col min="207" max="16384" width="11.42578125" style="49"/>
  </cols>
  <sheetData>
    <row r="1" spans="1:256" s="15" customFormat="1" ht="12.75">
      <c r="A1" s="1812" t="s">
        <v>4569</v>
      </c>
      <c r="B1" s="1813">
        <f>COUNTIF(D17:D1200,1)</f>
        <v>0</v>
      </c>
      <c r="C1" s="22"/>
      <c r="D1" s="66">
        <f>MAX(C17:C1201)</f>
        <v>1</v>
      </c>
      <c r="E1" s="81"/>
      <c r="F1" s="3185">
        <f>Total!B2</f>
        <v>0</v>
      </c>
      <c r="G1" s="1309" t="s">
        <v>4072</v>
      </c>
      <c r="H1" s="36" t="s">
        <v>1282</v>
      </c>
      <c r="I1" s="83" t="s">
        <v>872</v>
      </c>
      <c r="J1" s="83"/>
      <c r="K1" s="83" t="s">
        <v>872</v>
      </c>
      <c r="L1" s="83" t="s">
        <v>872</v>
      </c>
      <c r="M1" s="83"/>
      <c r="N1" s="83" t="s">
        <v>872</v>
      </c>
      <c r="O1" s="83" t="s">
        <v>872</v>
      </c>
      <c r="P1" s="83"/>
      <c r="Q1" s="83"/>
      <c r="R1" s="83"/>
      <c r="S1" s="83"/>
      <c r="T1" s="25"/>
      <c r="U1" s="229" t="s">
        <v>872</v>
      </c>
      <c r="W1" s="136"/>
      <c r="X1" s="136"/>
      <c r="Y1" s="136"/>
      <c r="Z1" s="136"/>
      <c r="AA1" s="136"/>
      <c r="AB1" s="136"/>
      <c r="AC1" s="136"/>
      <c r="AD1" s="234"/>
      <c r="AE1" s="136"/>
      <c r="AF1" s="136"/>
      <c r="AG1" s="136"/>
      <c r="AH1" s="136"/>
      <c r="AI1" s="136"/>
      <c r="AJ1" s="136"/>
      <c r="AK1" s="234"/>
      <c r="AL1" s="136"/>
      <c r="AM1" s="136"/>
      <c r="AN1" s="136"/>
      <c r="AO1" s="136"/>
      <c r="AP1" s="136"/>
      <c r="AQ1" s="136"/>
      <c r="AR1" s="136"/>
      <c r="AS1" s="136"/>
      <c r="AT1" s="136"/>
      <c r="AU1" s="136"/>
      <c r="AV1" s="351" t="e">
        <f t="shared" ref="AV1:BD1" si="0">SUM(AV17:AV1200)</f>
        <v>#VALUE!</v>
      </c>
      <c r="AW1" s="351" t="e">
        <f t="shared" si="0"/>
        <v>#N/A</v>
      </c>
      <c r="AX1" s="190" t="e">
        <f t="shared" si="0"/>
        <v>#VALUE!</v>
      </c>
      <c r="AY1" s="1854" t="e">
        <f t="shared" si="0"/>
        <v>#N/A</v>
      </c>
      <c r="AZ1" s="296" t="e">
        <f t="shared" si="0"/>
        <v>#N/A</v>
      </c>
      <c r="BA1" s="261" t="e">
        <f t="shared" si="0"/>
        <v>#N/A</v>
      </c>
      <c r="BB1" s="351" t="e">
        <f t="shared" si="0"/>
        <v>#N/A</v>
      </c>
      <c r="BC1" s="185" t="e">
        <f t="shared" si="0"/>
        <v>#VALUE!</v>
      </c>
      <c r="BD1" s="190" t="e">
        <f t="shared" si="0"/>
        <v>#N/A</v>
      </c>
      <c r="BE1" s="190"/>
      <c r="BF1" s="296" t="e">
        <f t="shared" ref="BF1:BL1" si="1">SUM(BF17:BF1200)</f>
        <v>#N/A</v>
      </c>
      <c r="BG1" s="190" t="e">
        <f t="shared" si="1"/>
        <v>#N/A</v>
      </c>
      <c r="BH1" s="1436">
        <f t="shared" si="1"/>
        <v>0</v>
      </c>
      <c r="BI1" s="1437" t="e">
        <f t="shared" si="1"/>
        <v>#N/A</v>
      </c>
      <c r="BJ1" s="1436">
        <f t="shared" si="1"/>
        <v>0</v>
      </c>
      <c r="BK1" s="1454" t="e">
        <f t="shared" si="1"/>
        <v>#N/A</v>
      </c>
      <c r="BL1" s="261" t="e">
        <f t="shared" si="1"/>
        <v>#N/A</v>
      </c>
      <c r="BM1" s="277"/>
      <c r="BN1" s="185" t="e">
        <f t="shared" ref="BN1:CR1" si="2">SUM(BN17:BN1200)</f>
        <v>#N/A</v>
      </c>
      <c r="BO1" s="185">
        <f t="shared" si="2"/>
        <v>0</v>
      </c>
      <c r="BP1" s="351" t="e">
        <f t="shared" si="2"/>
        <v>#VALUE!</v>
      </c>
      <c r="BQ1" s="190" t="e">
        <f t="shared" si="2"/>
        <v>#VALUE!</v>
      </c>
      <c r="BR1" s="302" t="e">
        <f t="shared" si="2"/>
        <v>#N/A</v>
      </c>
      <c r="BS1" s="190" t="e">
        <f t="shared" si="2"/>
        <v>#N/A</v>
      </c>
      <c r="BT1" s="190" t="e">
        <f t="shared" si="2"/>
        <v>#N/A</v>
      </c>
      <c r="BU1" s="302" t="e">
        <f t="shared" si="2"/>
        <v>#N/A</v>
      </c>
      <c r="BV1" s="190" t="e">
        <f t="shared" si="2"/>
        <v>#N/A</v>
      </c>
      <c r="BW1" s="190" t="e">
        <f t="shared" si="2"/>
        <v>#N/A</v>
      </c>
      <c r="BX1" s="302" t="e">
        <f t="shared" si="2"/>
        <v>#N/A</v>
      </c>
      <c r="BY1" s="190" t="e">
        <f t="shared" si="2"/>
        <v>#N/A</v>
      </c>
      <c r="BZ1" s="190" t="e">
        <f t="shared" si="2"/>
        <v>#N/A</v>
      </c>
      <c r="CA1" s="302" t="e">
        <f t="shared" si="2"/>
        <v>#N/A</v>
      </c>
      <c r="CB1" s="190" t="e">
        <f t="shared" si="2"/>
        <v>#N/A</v>
      </c>
      <c r="CC1" s="190" t="e">
        <f t="shared" si="2"/>
        <v>#N/A</v>
      </c>
      <c r="CD1" s="302" t="e">
        <f t="shared" si="2"/>
        <v>#N/A</v>
      </c>
      <c r="CE1" s="190" t="e">
        <f t="shared" si="2"/>
        <v>#N/A</v>
      </c>
      <c r="CF1" s="190" t="e">
        <f t="shared" si="2"/>
        <v>#N/A</v>
      </c>
      <c r="CG1" s="302" t="e">
        <f t="shared" si="2"/>
        <v>#N/A</v>
      </c>
      <c r="CH1" s="190" t="e">
        <f t="shared" si="2"/>
        <v>#N/A</v>
      </c>
      <c r="CI1" s="190" t="e">
        <f t="shared" si="2"/>
        <v>#N/A</v>
      </c>
      <c r="CJ1" s="302" t="e">
        <f t="shared" si="2"/>
        <v>#N/A</v>
      </c>
      <c r="CK1" s="190" t="e">
        <f t="shared" si="2"/>
        <v>#N/A</v>
      </c>
      <c r="CL1" s="190" t="e">
        <f t="shared" si="2"/>
        <v>#N/A</v>
      </c>
      <c r="CM1" s="302">
        <f t="shared" si="2"/>
        <v>0</v>
      </c>
      <c r="CN1" s="190">
        <f t="shared" si="2"/>
        <v>0</v>
      </c>
      <c r="CO1" s="190">
        <f t="shared" si="2"/>
        <v>0</v>
      </c>
      <c r="CP1" s="1301" t="e">
        <f t="shared" si="2"/>
        <v>#N/A</v>
      </c>
      <c r="CQ1" s="296" t="e">
        <f t="shared" si="2"/>
        <v>#N/A</v>
      </c>
      <c r="CR1" s="190" t="e">
        <f t="shared" si="2"/>
        <v>#N/A</v>
      </c>
      <c r="CS1" s="306" t="s">
        <v>872</v>
      </c>
      <c r="CT1" s="296" t="e">
        <f>SUM(CT17:CT1200)</f>
        <v>#N/A</v>
      </c>
      <c r="CU1" s="190" t="e">
        <f>SUM(CU17:CU1200)</f>
        <v>#N/A</v>
      </c>
      <c r="CV1" s="306" t="s">
        <v>872</v>
      </c>
      <c r="CW1" s="296" t="e">
        <f>SUM(CW17:CW1200)</f>
        <v>#N/A</v>
      </c>
      <c r="CX1" s="190" t="e">
        <f>SUM(CX17:CX1200)</f>
        <v>#N/A</v>
      </c>
      <c r="CY1" s="310"/>
      <c r="CZ1" s="296" t="e">
        <f>SUM(CZ17:CZ1200)</f>
        <v>#N/A</v>
      </c>
      <c r="DA1" s="190">
        <f>SUM(DA17:DA1200)</f>
        <v>0</v>
      </c>
      <c r="DB1" s="306"/>
      <c r="DC1" s="296" t="e">
        <f>SUM(DC17:DC1200)</f>
        <v>#N/A</v>
      </c>
      <c r="DD1" s="190" t="e">
        <f>SUM(DD17:DD1200)</f>
        <v>#N/A</v>
      </c>
      <c r="DE1" s="306" t="s">
        <v>872</v>
      </c>
      <c r="DF1" s="296" t="e">
        <f>SUM(DF17:DF1200)</f>
        <v>#N/A</v>
      </c>
      <c r="DG1" s="190" t="e">
        <f>SUM(DG17:DG1200)</f>
        <v>#N/A</v>
      </c>
      <c r="DH1" s="306" t="e">
        <f>SUM(DH17:DH1200)</f>
        <v>#N/A</v>
      </c>
      <c r="DI1" s="296" t="e">
        <f>SUM(DI17:DI1200)</f>
        <v>#N/A</v>
      </c>
      <c r="DJ1" s="190" t="e">
        <f>SUM(DJ17:DJ1200)</f>
        <v>#N/A</v>
      </c>
      <c r="DK1" s="306"/>
      <c r="DL1" s="296" t="e">
        <f>SUM(DL17:DL1200)</f>
        <v>#N/A</v>
      </c>
      <c r="DM1" s="261" t="e">
        <f>SUM(DM17:DM1200)</f>
        <v>#N/A</v>
      </c>
      <c r="DN1" s="190"/>
      <c r="DO1" s="407"/>
      <c r="DP1" s="296" t="e">
        <f>SUM(DP17:DP1200)</f>
        <v>#N/A</v>
      </c>
      <c r="DQ1" s="190" t="e">
        <f>SUM(DQ17:DQ1200)</f>
        <v>#N/A</v>
      </c>
      <c r="DR1" s="302"/>
      <c r="DS1" s="296" t="e">
        <f t="shared" ref="DS1:DZ1" si="3">SUM(DS17:DS1200)</f>
        <v>#N/A</v>
      </c>
      <c r="DT1" s="190" t="e">
        <f t="shared" si="3"/>
        <v>#N/A</v>
      </c>
      <c r="DU1" s="407">
        <f t="shared" si="3"/>
        <v>0</v>
      </c>
      <c r="DV1" s="296" t="e">
        <f t="shared" si="3"/>
        <v>#N/A</v>
      </c>
      <c r="DW1" s="190">
        <f t="shared" si="3"/>
        <v>0</v>
      </c>
      <c r="DX1" s="302" t="e">
        <f t="shared" si="3"/>
        <v>#N/A</v>
      </c>
      <c r="DY1" s="296" t="e">
        <f t="shared" si="3"/>
        <v>#N/A</v>
      </c>
      <c r="DZ1" s="190" t="e">
        <f t="shared" si="3"/>
        <v>#N/A</v>
      </c>
      <c r="EA1" s="386"/>
      <c r="EB1" s="296" t="e">
        <f>SUM(EB17:EB1200)</f>
        <v>#N/A</v>
      </c>
      <c r="EC1" s="190" t="e">
        <f>SUM(EC17:EC1200)</f>
        <v>#N/A</v>
      </c>
      <c r="ED1" s="386"/>
      <c r="EE1" s="296" t="e">
        <f t="shared" ref="EE1:EK1" si="4">SUM(EE17:EE1200)</f>
        <v>#N/A</v>
      </c>
      <c r="EF1" s="190" t="e">
        <f t="shared" si="4"/>
        <v>#N/A</v>
      </c>
      <c r="EG1" s="381" t="e">
        <f t="shared" si="4"/>
        <v>#N/A</v>
      </c>
      <c r="EH1" s="190" t="e">
        <f t="shared" si="4"/>
        <v>#N/A</v>
      </c>
      <c r="EI1" s="384" t="e">
        <f t="shared" si="4"/>
        <v>#N/A</v>
      </c>
      <c r="EJ1" s="296" t="e">
        <f t="shared" si="4"/>
        <v>#N/A</v>
      </c>
      <c r="EK1" s="261" t="e">
        <f t="shared" si="4"/>
        <v>#N/A</v>
      </c>
      <c r="EL1" s="311"/>
      <c r="EM1" s="296">
        <f t="shared" ref="EM1:FC1" si="5">SUM(EM17:EM1200)</f>
        <v>0</v>
      </c>
      <c r="EN1" s="185">
        <f t="shared" si="5"/>
        <v>0</v>
      </c>
      <c r="EO1" s="318" t="e">
        <f t="shared" si="5"/>
        <v>#N/A</v>
      </c>
      <c r="EP1" s="296" t="e">
        <f t="shared" si="5"/>
        <v>#N/A</v>
      </c>
      <c r="EQ1" s="190" t="e">
        <f t="shared" si="5"/>
        <v>#N/A</v>
      </c>
      <c r="ER1" s="318" t="e">
        <f t="shared" si="5"/>
        <v>#N/A</v>
      </c>
      <c r="ES1" s="296" t="e">
        <f t="shared" si="5"/>
        <v>#N/A</v>
      </c>
      <c r="ET1" s="190" t="e">
        <f t="shared" si="5"/>
        <v>#N/A</v>
      </c>
      <c r="EU1" s="318" t="e">
        <f t="shared" si="5"/>
        <v>#N/A</v>
      </c>
      <c r="EV1" s="296" t="e">
        <f t="shared" si="5"/>
        <v>#N/A</v>
      </c>
      <c r="EW1" s="190" t="e">
        <f t="shared" si="5"/>
        <v>#N/A</v>
      </c>
      <c r="EX1" s="318" t="e">
        <f t="shared" si="5"/>
        <v>#N/A</v>
      </c>
      <c r="EY1" s="296" t="e">
        <f t="shared" si="5"/>
        <v>#N/A</v>
      </c>
      <c r="EZ1" s="190" t="e">
        <f t="shared" si="5"/>
        <v>#N/A</v>
      </c>
      <c r="FA1" s="318" t="e">
        <f t="shared" si="5"/>
        <v>#N/A</v>
      </c>
      <c r="FB1" s="296" t="e">
        <f t="shared" si="5"/>
        <v>#N/A</v>
      </c>
      <c r="FC1" s="190" t="e">
        <f t="shared" si="5"/>
        <v>#N/A</v>
      </c>
      <c r="FD1" s="318" t="e">
        <f>SUM(FD17:FD1500)</f>
        <v>#N/A</v>
      </c>
      <c r="FE1" s="296" t="e">
        <f>SUM(FE17:FE1500)</f>
        <v>#N/A</v>
      </c>
      <c r="FF1" s="190" t="e">
        <f>SUM(FF17:FF1500)</f>
        <v>#N/A</v>
      </c>
      <c r="FG1" s="318">
        <f t="shared" ref="FG1:GD1" si="6">SUM(FG17:FG1200)</f>
        <v>0</v>
      </c>
      <c r="FH1" s="296">
        <f t="shared" si="6"/>
        <v>0</v>
      </c>
      <c r="FI1" s="190">
        <f t="shared" si="6"/>
        <v>0</v>
      </c>
      <c r="FJ1" s="1430" t="e">
        <f t="shared" si="6"/>
        <v>#N/A</v>
      </c>
      <c r="FK1" s="1620" t="e">
        <f t="shared" si="6"/>
        <v>#VALUE!</v>
      </c>
      <c r="FL1" s="1621" t="e">
        <f t="shared" si="6"/>
        <v>#N/A</v>
      </c>
      <c r="FM1" s="1622" t="e">
        <f t="shared" si="6"/>
        <v>#VALUE!</v>
      </c>
      <c r="FN1" s="1621" t="e">
        <f t="shared" si="6"/>
        <v>#N/A</v>
      </c>
      <c r="FO1" s="1622" t="e">
        <f t="shared" si="6"/>
        <v>#N/A</v>
      </c>
      <c r="FP1" s="1621" t="e">
        <f t="shared" si="6"/>
        <v>#N/A</v>
      </c>
      <c r="FQ1" s="1622" t="e">
        <f t="shared" si="6"/>
        <v>#VALUE!</v>
      </c>
      <c r="FR1" s="1623" t="e">
        <f t="shared" si="6"/>
        <v>#N/A</v>
      </c>
      <c r="FS1" s="1624" t="e">
        <f t="shared" si="6"/>
        <v>#VALUE!</v>
      </c>
      <c r="FT1" s="1527" t="e">
        <f t="shared" si="6"/>
        <v>#N/A</v>
      </c>
      <c r="FU1" s="1528" t="e">
        <f t="shared" si="6"/>
        <v>#VALUE!</v>
      </c>
      <c r="FV1" s="1830" t="e">
        <f t="shared" si="6"/>
        <v>#N/A</v>
      </c>
      <c r="FW1" s="1828" t="e">
        <f t="shared" si="6"/>
        <v>#N/A</v>
      </c>
      <c r="FX1" s="1828" t="e">
        <f t="shared" si="6"/>
        <v>#N/A</v>
      </c>
      <c r="FY1" s="1829" t="e">
        <f t="shared" si="6"/>
        <v>#N/A</v>
      </c>
      <c r="FZ1" s="1498" t="e">
        <f t="shared" si="6"/>
        <v>#N/A</v>
      </c>
      <c r="GA1" s="1499" t="e">
        <f t="shared" si="6"/>
        <v>#N/A</v>
      </c>
      <c r="GB1" s="1498" t="e">
        <f t="shared" si="6"/>
        <v>#N/A</v>
      </c>
      <c r="GC1" s="1499" t="e">
        <f t="shared" si="6"/>
        <v>#N/A</v>
      </c>
      <c r="GD1" s="1500" t="e">
        <f t="shared" si="6"/>
        <v>#N/A</v>
      </c>
      <c r="GE1" s="1059"/>
      <c r="GF1" s="1059"/>
      <c r="GG1" s="1059"/>
      <c r="GH1" s="1059"/>
      <c r="GI1" s="1059"/>
      <c r="GJ1" s="1059"/>
      <c r="GM1" s="190" t="e">
        <f>SUM(GM17:GM1200)</f>
        <v>#N/A</v>
      </c>
      <c r="GN1" s="55"/>
      <c r="GO1" s="55"/>
      <c r="GS1" s="318">
        <f>SUM(GS14:GS15,GS17:GS1200)</f>
        <v>3</v>
      </c>
      <c r="GT1" s="296" t="e">
        <f>SUM(GT14:GT15,GT17:GT1200)</f>
        <v>#N/A</v>
      </c>
      <c r="GU1" s="190" t="e">
        <f>SUM(GU14:GU15,GU17:GU1200)</f>
        <v>#N/A</v>
      </c>
    </row>
    <row r="2" spans="1:256" s="134" customFormat="1" ht="12" customHeight="1">
      <c r="A2" s="1814" t="s">
        <v>4570</v>
      </c>
      <c r="B2" s="1815">
        <f>COUNTIF(D17:D1200,2)</f>
        <v>0</v>
      </c>
      <c r="C2" s="130"/>
      <c r="D2" s="131"/>
      <c r="E2" s="132"/>
      <c r="F2" s="3186"/>
      <c r="G2" s="1309">
        <f>MIN(G17:G1200)</f>
        <v>0</v>
      </c>
      <c r="H2" s="36" t="s">
        <v>1283</v>
      </c>
      <c r="I2" s="3153" t="s">
        <v>3435</v>
      </c>
      <c r="J2" s="3154"/>
      <c r="K2" s="3154"/>
      <c r="L2" s="3154"/>
      <c r="M2" s="3154"/>
      <c r="N2" s="3154"/>
      <c r="O2" s="3154"/>
      <c r="P2" s="3154"/>
      <c r="Q2" s="3154"/>
      <c r="R2" s="3154"/>
      <c r="S2" s="3155"/>
      <c r="T2" s="133"/>
      <c r="U2" s="230"/>
      <c r="W2" s="136"/>
      <c r="X2" s="136"/>
      <c r="Y2" s="136"/>
      <c r="Z2" s="136"/>
      <c r="AA2" s="136"/>
      <c r="AB2" s="136"/>
      <c r="AC2" s="136"/>
      <c r="AD2" s="234"/>
      <c r="AE2" s="136"/>
      <c r="AF2" s="136"/>
      <c r="AG2" s="136"/>
      <c r="AH2" s="136"/>
      <c r="AI2" s="136"/>
      <c r="AJ2" s="136"/>
      <c r="AK2" s="234"/>
      <c r="AL2" s="136"/>
      <c r="AM2" s="136"/>
      <c r="AN2" s="136"/>
      <c r="AO2" s="136"/>
      <c r="AP2" s="136"/>
      <c r="AQ2" s="136"/>
      <c r="AR2" s="136"/>
      <c r="AS2" s="136"/>
      <c r="AT2" s="136"/>
      <c r="AU2" s="136"/>
      <c r="AV2" s="352" t="str">
        <f t="shared" ref="AV2:BD2" si="7">IF(ISERROR(AVERAGE(AV17:AV1200)),"",AVERAGE(AV17:AV1200))</f>
        <v/>
      </c>
      <c r="AW2" s="352" t="str">
        <f t="shared" si="7"/>
        <v/>
      </c>
      <c r="AX2" s="191" t="str">
        <f t="shared" si="7"/>
        <v/>
      </c>
      <c r="AY2" s="1855" t="str">
        <f t="shared" si="7"/>
        <v/>
      </c>
      <c r="AZ2" s="287" t="str">
        <f t="shared" si="7"/>
        <v/>
      </c>
      <c r="BA2" s="323" t="str">
        <f t="shared" si="7"/>
        <v/>
      </c>
      <c r="BB2" s="352" t="str">
        <f t="shared" si="7"/>
        <v/>
      </c>
      <c r="BC2" s="186" t="str">
        <f t="shared" si="7"/>
        <v/>
      </c>
      <c r="BD2" s="191" t="str">
        <f t="shared" si="7"/>
        <v/>
      </c>
      <c r="BE2" s="191"/>
      <c r="BF2" s="287" t="str">
        <f t="shared" ref="BF2:BL2" si="8">IF(ISERROR(AVERAGE(BF17:BF1200)),"",AVERAGE(BF17:BF1200))</f>
        <v/>
      </c>
      <c r="BG2" s="191" t="str">
        <f t="shared" si="8"/>
        <v/>
      </c>
      <c r="BH2" s="1438" t="str">
        <f t="shared" si="8"/>
        <v/>
      </c>
      <c r="BI2" s="1439" t="str">
        <f t="shared" si="8"/>
        <v/>
      </c>
      <c r="BJ2" s="1438" t="str">
        <f t="shared" si="8"/>
        <v/>
      </c>
      <c r="BK2" s="1455" t="str">
        <f t="shared" si="8"/>
        <v/>
      </c>
      <c r="BL2" s="323" t="str">
        <f t="shared" si="8"/>
        <v/>
      </c>
      <c r="BM2" s="191"/>
      <c r="BN2" s="287" t="str">
        <f>IF(ISERROR(AVERAGE(BN17:BN1200)),"",AVERAGE(BN17:BN1200))</f>
        <v/>
      </c>
      <c r="BO2" s="186" t="str">
        <f>IF(ISERROR(AVERAGE(BO17:BO1200)),"",AVERAGE(BO17:BO1200))</f>
        <v/>
      </c>
      <c r="BP2" s="352" t="e">
        <f>AVERAGE(BP17:BP1200)</f>
        <v>#VALUE!</v>
      </c>
      <c r="BQ2" s="191" t="e">
        <f>AVERAGE(BQ17:BQ1200)</f>
        <v>#VALUE!</v>
      </c>
      <c r="BR2" s="303" t="e">
        <f>AVERAGE(BR17:BR1200)</f>
        <v>#N/A</v>
      </c>
      <c r="BS2" s="191" t="str">
        <f>IF(ISERROR(AVERAGE(BS17:BS1200)),"",AVERAGE(BS17:BS1200))</f>
        <v/>
      </c>
      <c r="BT2" s="191" t="str">
        <f>IF(ISERROR(AVERAGE(BT17:BT1200)),"",AVERAGE(BT17:BT1200))</f>
        <v/>
      </c>
      <c r="BU2" s="303" t="e">
        <f>AVERAGE(BU17:BU1200)</f>
        <v>#N/A</v>
      </c>
      <c r="BV2" s="191" t="str">
        <f>IF(ISERROR(AVERAGE(BV17:BV1200)),"",AVERAGE(BV17:BV1200))</f>
        <v/>
      </c>
      <c r="BW2" s="191" t="str">
        <f>IF(ISERROR(AVERAGE(BW17:BW1200)),"",AVERAGE(BW17:BW1200))</f>
        <v/>
      </c>
      <c r="BX2" s="303" t="e">
        <f>AVERAGE(BX17:BX1200)</f>
        <v>#N/A</v>
      </c>
      <c r="BY2" s="191" t="str">
        <f>IF(ISERROR(AVERAGE(BY17:BY1200)),"",AVERAGE(BY17:BY1200))</f>
        <v/>
      </c>
      <c r="BZ2" s="191" t="str">
        <f>IF(ISERROR(AVERAGE(BZ17:BZ1200)),"",AVERAGE(BZ17:BZ1200))</f>
        <v/>
      </c>
      <c r="CA2" s="303" t="e">
        <f>AVERAGE(CA17:CA1200)</f>
        <v>#N/A</v>
      </c>
      <c r="CB2" s="191" t="str">
        <f>IF(ISERROR(AVERAGE(CB17:CB1200)),"",AVERAGE(CB17:CB1200))</f>
        <v/>
      </c>
      <c r="CC2" s="191" t="str">
        <f>IF(ISERROR(AVERAGE(CC17:CC1200)),"",AVERAGE(CC17:CC1200))</f>
        <v/>
      </c>
      <c r="CD2" s="303" t="e">
        <f>AVERAGE(CD17:CD1200)</f>
        <v>#N/A</v>
      </c>
      <c r="CE2" s="191" t="str">
        <f>IF(ISERROR(AVERAGE(CE17:CE1200)),"",AVERAGE(CE17:CE1200))</f>
        <v/>
      </c>
      <c r="CF2" s="191" t="str">
        <f>IF(ISERROR(AVERAGE(CF17:CF1200)),"",AVERAGE(CF17:CF1200))</f>
        <v/>
      </c>
      <c r="CG2" s="303" t="e">
        <f>AVERAGE(CG17:CG1200)</f>
        <v>#N/A</v>
      </c>
      <c r="CH2" s="191" t="str">
        <f>IF(ISERROR(AVERAGE(CH17:CH1200)),"",AVERAGE(CH17:CH1200))</f>
        <v/>
      </c>
      <c r="CI2" s="191" t="str">
        <f>IF(ISERROR(AVERAGE(CI17:CI1200)),"",AVERAGE(CI17:CI1200))</f>
        <v/>
      </c>
      <c r="CJ2" s="303" t="e">
        <f>AVERAGE(CJ17:CJ1200)</f>
        <v>#N/A</v>
      </c>
      <c r="CK2" s="191" t="str">
        <f>IF(ISERROR(AVERAGE(CK17:CK1200)),"",AVERAGE(CK17:CK1200))</f>
        <v/>
      </c>
      <c r="CL2" s="191" t="str">
        <f>IF(ISERROR(AVERAGE(CL17:CL1200)),"",AVERAGE(CL17:CL1200))</f>
        <v/>
      </c>
      <c r="CM2" s="303"/>
      <c r="CN2" s="191" t="str">
        <f>IF(ISERROR(AVERAGE(CN17:CN1200)),"",AVERAGE(CN17:CN1200))</f>
        <v/>
      </c>
      <c r="CO2" s="191" t="str">
        <f>IF(ISERROR(AVERAGE(CO17:CO1200)),"",AVERAGE(CO17:CO1200))</f>
        <v/>
      </c>
      <c r="CP2" s="303" t="str">
        <f>IF(ISERROR(AVERAGE(CP17:CP1200)),"",AVERAGE(CP17:CP1200))</f>
        <v/>
      </c>
      <c r="CQ2" s="287" t="str">
        <f>IF(ISERROR(AVERAGE(CQ17:CQ1200)),"",AVERAGE(CQ17:CQ1200))</f>
        <v/>
      </c>
      <c r="CR2" s="191" t="str">
        <f>IF(ISERROR(AVERAGE(CR17:CR1200)),"",AVERAGE(CR17:CR1200))</f>
        <v/>
      </c>
      <c r="CS2" s="303"/>
      <c r="CT2" s="287" t="str">
        <f>IF(ISERROR(AVERAGE(CT17:CT1200)),"",AVERAGE(CT17:CT1200))</f>
        <v/>
      </c>
      <c r="CU2" s="191" t="str">
        <f>IF(ISERROR(AVERAGE(CU17:CU1200)),"",AVERAGE(CU17:CU1200))</f>
        <v/>
      </c>
      <c r="CV2" s="303" t="s">
        <v>872</v>
      </c>
      <c r="CW2" s="287" t="str">
        <f>IF(ISERROR(AVERAGE(CW17:CW1200)),"",AVERAGE(CW17:CW1200))</f>
        <v/>
      </c>
      <c r="CX2" s="191" t="str">
        <f>IF(ISERROR(AVERAGE(CX17:CX1200)),"",AVERAGE(CX17:CX1200))</f>
        <v/>
      </c>
      <c r="CY2" s="303"/>
      <c r="CZ2" s="287" t="str">
        <f>IF(ISERROR(AVERAGE(CZ17:CZ1200)),"",AVERAGE(CZ17:CZ1200))</f>
        <v/>
      </c>
      <c r="DA2" s="191" t="str">
        <f>IF(ISERROR(AVERAGE(DA17:DA1200)),"",AVERAGE(DA17:DA1200))</f>
        <v/>
      </c>
      <c r="DB2" s="303"/>
      <c r="DC2" s="287" t="str">
        <f>IF(ISERROR(AVERAGE(DC17:DC1200)),"",AVERAGE(DC17:DC1200))</f>
        <v/>
      </c>
      <c r="DD2" s="191" t="str">
        <f>IF(ISERROR(AVERAGE(DD17:DD1200)),"",AVERAGE(DD17:DD1200))</f>
        <v/>
      </c>
      <c r="DE2" s="303"/>
      <c r="DF2" s="287" t="str">
        <f>IF(ISERROR(AVERAGE(DF17:DF1200)),"",AVERAGE(DF17:DF1200))</f>
        <v/>
      </c>
      <c r="DG2" s="191" t="str">
        <f>IF(ISERROR(AVERAGE(DG17:DG1200)),"",AVERAGE(DG17:DG1200))</f>
        <v/>
      </c>
      <c r="DH2" s="303" t="str">
        <f>IF(ISERROR(AVERAGE(DH17:DH1200)),"",AVERAGE(DH17:DH1200))</f>
        <v/>
      </c>
      <c r="DI2" s="287" t="str">
        <f>IF(ISERROR(AVERAGE(DI17:DI1200)),"",AVERAGE(DI17:DI1200))</f>
        <v/>
      </c>
      <c r="DJ2" s="191" t="str">
        <f>IF(ISERROR(AVERAGE(DJ17:DJ1200)),"",AVERAGE(DJ17:DJ1200))</f>
        <v/>
      </c>
      <c r="DK2" s="303"/>
      <c r="DL2" s="287" t="str">
        <f>IF(ISERROR(AVERAGE(DL17:DL1200)),"",AVERAGE(DL17:DL1200))</f>
        <v/>
      </c>
      <c r="DM2" s="323" t="str">
        <f>IF(ISERROR(AVERAGE(DM17:DM1200)),"",AVERAGE(DM17:DM1200))</f>
        <v/>
      </c>
      <c r="DN2" s="191"/>
      <c r="DO2" s="1266"/>
      <c r="DP2" s="287" t="str">
        <f>IF(ISERROR(AVERAGE(DP17:DP1200)),"",AVERAGE(DP17:DP1200))</f>
        <v/>
      </c>
      <c r="DQ2" s="191" t="str">
        <f>IF(ISERROR(AVERAGE(DQ17:DQ1200)),"",AVERAGE(DQ17:DQ1200))</f>
        <v/>
      </c>
      <c r="DR2" s="303"/>
      <c r="DS2" s="287" t="str">
        <f t="shared" ref="DS2:DZ2" si="9">IF(ISERROR(AVERAGE(DS17:DS1200)),"",AVERAGE(DS17:DS1200))</f>
        <v/>
      </c>
      <c r="DT2" s="191" t="str">
        <f t="shared" si="9"/>
        <v/>
      </c>
      <c r="DU2" s="1266" t="str">
        <f t="shared" si="9"/>
        <v/>
      </c>
      <c r="DV2" s="287" t="str">
        <f t="shared" si="9"/>
        <v/>
      </c>
      <c r="DW2" s="191">
        <f t="shared" si="9"/>
        <v>0</v>
      </c>
      <c r="DX2" s="303" t="str">
        <f t="shared" si="9"/>
        <v/>
      </c>
      <c r="DY2" s="287" t="str">
        <f t="shared" si="9"/>
        <v/>
      </c>
      <c r="DZ2" s="191" t="str">
        <f t="shared" si="9"/>
        <v/>
      </c>
      <c r="EA2" s="319"/>
      <c r="EB2" s="287" t="str">
        <f>IF(ISERROR(AVERAGE(EB17:EB1200)),"",AVERAGE(EB17:EB1200))</f>
        <v/>
      </c>
      <c r="EC2" s="191" t="str">
        <f>IF(ISERROR(AVERAGE(EC17:EC1200)),"",AVERAGE(EC17:EC1200))</f>
        <v/>
      </c>
      <c r="ED2" s="319"/>
      <c r="EE2" s="287" t="str">
        <f>IF(ISERROR(AVERAGE(EE17:EE1200)),"",AVERAGE(EE17:EE1200))</f>
        <v/>
      </c>
      <c r="EF2" s="191" t="str">
        <f>IF(ISERROR(AVERAGE(EF17:EF1200)),"",AVERAGE(EF17:EF1200))</f>
        <v/>
      </c>
      <c r="EG2" s="280" t="str">
        <f>IF(ISERROR(AVERAGE(EG17:EG1200)),"",AVERAGE(EG17:EG1200))</f>
        <v/>
      </c>
      <c r="EH2" s="191" t="str">
        <f>IF(ISERROR(AVERAGE(EH17:EH1200)),"",AVERAGE(EH17:EH1200))</f>
        <v/>
      </c>
      <c r="EI2" s="385"/>
      <c r="EJ2" s="287" t="str">
        <f>IF(ISERROR(AVERAGE(EJ17:EJ1200)),"",AVERAGE(EJ17:EJ1200))</f>
        <v/>
      </c>
      <c r="EK2" s="323" t="str">
        <f>IF(ISERROR(AVERAGE(EK17:EK1200)),"",AVERAGE(EK17:EK1200))</f>
        <v/>
      </c>
      <c r="EL2" s="312"/>
      <c r="EM2" s="287" t="str">
        <f t="shared" ref="EM2:FC2" si="10">IF(ISERROR(AVERAGE(EM17:EM1200)),"",AVERAGE(EM17:EM1200))</f>
        <v/>
      </c>
      <c r="EN2" s="186" t="str">
        <f t="shared" si="10"/>
        <v/>
      </c>
      <c r="EO2" s="319" t="str">
        <f t="shared" si="10"/>
        <v/>
      </c>
      <c r="EP2" s="287" t="str">
        <f t="shared" si="10"/>
        <v/>
      </c>
      <c r="EQ2" s="191" t="str">
        <f t="shared" si="10"/>
        <v/>
      </c>
      <c r="ER2" s="319" t="str">
        <f t="shared" si="10"/>
        <v/>
      </c>
      <c r="ES2" s="287" t="str">
        <f t="shared" si="10"/>
        <v/>
      </c>
      <c r="ET2" s="191" t="str">
        <f t="shared" si="10"/>
        <v/>
      </c>
      <c r="EU2" s="319" t="str">
        <f t="shared" si="10"/>
        <v/>
      </c>
      <c r="EV2" s="287" t="str">
        <f t="shared" si="10"/>
        <v/>
      </c>
      <c r="EW2" s="191" t="str">
        <f t="shared" si="10"/>
        <v/>
      </c>
      <c r="EX2" s="319" t="str">
        <f t="shared" si="10"/>
        <v/>
      </c>
      <c r="EY2" s="287" t="str">
        <f t="shared" si="10"/>
        <v/>
      </c>
      <c r="EZ2" s="191" t="str">
        <f t="shared" si="10"/>
        <v/>
      </c>
      <c r="FA2" s="319" t="str">
        <f t="shared" si="10"/>
        <v/>
      </c>
      <c r="FB2" s="287" t="str">
        <f t="shared" si="10"/>
        <v/>
      </c>
      <c r="FC2" s="191" t="str">
        <f t="shared" si="10"/>
        <v/>
      </c>
      <c r="FD2" s="319" t="str">
        <f>IF(ISERROR(AVERAGE(FD17:FD1500)),"",AVERAGE(FD17:FD1500))</f>
        <v/>
      </c>
      <c r="FE2" s="287" t="str">
        <f>IF(ISERROR(AVERAGE(FE17:FE1500)),"",AVERAGE(FE17:FE1500))</f>
        <v/>
      </c>
      <c r="FF2" s="191" t="str">
        <f>IF(ISERROR(AVERAGE(FF17:FF1500)),"",AVERAGE(FF17:FF1500))</f>
        <v/>
      </c>
      <c r="FG2" s="319" t="str">
        <f t="shared" ref="FG2:FV2" si="11">IF(ISERROR(AVERAGE(FG17:FG1200)),"",AVERAGE(FG17:FG1200))</f>
        <v/>
      </c>
      <c r="FH2" s="287" t="str">
        <f t="shared" si="11"/>
        <v/>
      </c>
      <c r="FI2" s="191" t="str">
        <f t="shared" si="11"/>
        <v/>
      </c>
      <c r="FJ2" s="1614" t="str">
        <f t="shared" si="11"/>
        <v/>
      </c>
      <c r="FK2" s="191" t="str">
        <f t="shared" si="11"/>
        <v/>
      </c>
      <c r="FL2" s="1610" t="str">
        <f t="shared" si="11"/>
        <v/>
      </c>
      <c r="FM2" s="1625" t="str">
        <f t="shared" si="11"/>
        <v/>
      </c>
      <c r="FN2" s="1610" t="str">
        <f t="shared" si="11"/>
        <v/>
      </c>
      <c r="FO2" s="1625" t="str">
        <f t="shared" si="11"/>
        <v/>
      </c>
      <c r="FP2" s="1610" t="str">
        <f t="shared" si="11"/>
        <v/>
      </c>
      <c r="FQ2" s="1625" t="str">
        <f t="shared" si="11"/>
        <v/>
      </c>
      <c r="FR2" s="287" t="str">
        <f t="shared" si="11"/>
        <v/>
      </c>
      <c r="FS2" s="191" t="str">
        <f t="shared" si="11"/>
        <v/>
      </c>
      <c r="FT2" s="1626" t="str">
        <f t="shared" si="11"/>
        <v/>
      </c>
      <c r="FU2" s="1627" t="str">
        <f t="shared" si="11"/>
        <v/>
      </c>
      <c r="FV2" s="1831" t="str">
        <f t="shared" si="11"/>
        <v/>
      </c>
      <c r="FW2" s="3143"/>
      <c r="FX2" s="3143"/>
      <c r="FY2" s="3143"/>
      <c r="FZ2" s="3142" t="s">
        <v>3895</v>
      </c>
      <c r="GA2" s="3142"/>
      <c r="GB2" s="3142"/>
      <c r="GC2" s="3142"/>
      <c r="GD2" s="3142"/>
      <c r="GE2" s="3142"/>
      <c r="GF2" s="3142"/>
      <c r="GG2" s="3142"/>
      <c r="GH2" s="3142"/>
      <c r="GI2" s="3142"/>
      <c r="GJ2" s="3142"/>
      <c r="GM2" s="191" t="str">
        <f>IF(ISERROR(AVERAGE(GM17:GM1200)),"",AVERAGE(GM17:GM1200))</f>
        <v/>
      </c>
      <c r="GN2" s="1350"/>
      <c r="GO2" s="1350"/>
      <c r="GS2" s="319">
        <f t="shared" ref="GS2:GU2" si="12">IF(ISERROR(AVERAGE(GS17:GS1200)),"",AVERAGE(GS17:GS1200))</f>
        <v>1</v>
      </c>
      <c r="GT2" s="287" t="str">
        <f t="shared" si="12"/>
        <v/>
      </c>
      <c r="GU2" s="191" t="str">
        <f t="shared" si="12"/>
        <v/>
      </c>
    </row>
    <row r="3" spans="1:256" s="15" customFormat="1" ht="12" customHeight="1">
      <c r="A3" s="2092" t="str">
        <f>"NAPAP: "&amp;B3</f>
        <v>NAPAP: 0</v>
      </c>
      <c r="B3" s="2093">
        <f>COUNTIF(D18:D1201,5)</f>
        <v>0</v>
      </c>
      <c r="C3" s="22"/>
      <c r="D3" s="24"/>
      <c r="E3" s="81"/>
      <c r="F3" s="84"/>
      <c r="G3" s="1309">
        <f>MAX(G17:G1200)</f>
        <v>0</v>
      </c>
      <c r="H3" s="40" t="s">
        <v>1284</v>
      </c>
      <c r="I3" s="3160" t="s">
        <v>3319</v>
      </c>
      <c r="J3" s="3161"/>
      <c r="K3" s="3161"/>
      <c r="L3" s="3161"/>
      <c r="M3" s="3161"/>
      <c r="N3" s="3161"/>
      <c r="O3" s="3161"/>
      <c r="P3" s="3161"/>
      <c r="Q3" s="3161"/>
      <c r="R3" s="3161"/>
      <c r="S3" s="3162"/>
      <c r="T3" s="40"/>
      <c r="U3" s="231"/>
      <c r="W3" s="136"/>
      <c r="X3" s="136"/>
      <c r="Y3" s="136"/>
      <c r="Z3" s="136"/>
      <c r="AA3" s="136"/>
      <c r="AB3" s="136"/>
      <c r="AC3" s="136"/>
      <c r="AD3" s="234"/>
      <c r="AE3" s="136"/>
      <c r="AF3" s="136"/>
      <c r="AG3" s="136"/>
      <c r="AH3" s="136"/>
      <c r="AI3" s="136"/>
      <c r="AJ3" s="136"/>
      <c r="AK3" s="234"/>
      <c r="AL3" s="136"/>
      <c r="AM3" s="136"/>
      <c r="AN3" s="136"/>
      <c r="AO3" s="136"/>
      <c r="AP3" s="136"/>
      <c r="AQ3" s="136"/>
      <c r="AR3" s="136"/>
      <c r="AS3" s="136"/>
      <c r="AT3" s="136"/>
      <c r="AU3" s="136"/>
      <c r="AV3" s="212" t="str">
        <f t="shared" ref="AV3:BD3" si="13">IF(ISERROR(SUBTOTAL(9,AV17:AV1200)),"",SUBTOTAL(9,AV17:AV1200))</f>
        <v/>
      </c>
      <c r="AW3" s="212" t="str">
        <f t="shared" si="13"/>
        <v/>
      </c>
      <c r="AX3" s="28" t="str">
        <f t="shared" si="13"/>
        <v/>
      </c>
      <c r="AY3" s="1856" t="str">
        <f t="shared" si="13"/>
        <v/>
      </c>
      <c r="AZ3" s="288" t="str">
        <f t="shared" si="13"/>
        <v/>
      </c>
      <c r="BA3" s="187" t="str">
        <f t="shared" si="13"/>
        <v/>
      </c>
      <c r="BB3" s="212" t="str">
        <f t="shared" si="13"/>
        <v/>
      </c>
      <c r="BC3" s="1858" t="str">
        <f t="shared" si="13"/>
        <v/>
      </c>
      <c r="BD3" s="28" t="str">
        <f t="shared" si="13"/>
        <v/>
      </c>
      <c r="BE3" s="28"/>
      <c r="BF3" s="288" t="str">
        <f t="shared" ref="BF3:BL3" si="14">IF(ISERROR(SUBTOTAL(9,BF17:BF1200)),"",SUBTOTAL(9,BF17:BF1200))</f>
        <v/>
      </c>
      <c r="BG3" s="28" t="str">
        <f t="shared" si="14"/>
        <v/>
      </c>
      <c r="BH3" s="1440">
        <f t="shared" si="14"/>
        <v>0</v>
      </c>
      <c r="BI3" s="1441" t="str">
        <f t="shared" si="14"/>
        <v/>
      </c>
      <c r="BJ3" s="1440">
        <f t="shared" si="14"/>
        <v>0</v>
      </c>
      <c r="BK3" s="1456" t="str">
        <f t="shared" si="14"/>
        <v/>
      </c>
      <c r="BL3" s="187" t="str">
        <f t="shared" si="14"/>
        <v/>
      </c>
      <c r="BM3" s="28"/>
      <c r="BN3" s="288" t="str">
        <f>IF(ISERROR(SUBTOTAL(9,BN17:BN1200)),"",SUBTOTAL(9,BN17:BN1200))</f>
        <v/>
      </c>
      <c r="BO3" s="28">
        <f>IF(ISERROR(SUBTOTAL(9,BO17:BO1200)),"",SUBTOTAL(9,BO17:BO1200))</f>
        <v>0</v>
      </c>
      <c r="BP3" s="212" t="e">
        <f>SUBTOTAL(9,BP17:BP1200)</f>
        <v>#VALUE!</v>
      </c>
      <c r="BQ3" s="28" t="e">
        <f>SUBTOTAL(9,BQ17:BQ1200)</f>
        <v>#VALUE!</v>
      </c>
      <c r="BR3" s="192" t="e">
        <f>SUBTOTAL(9,BR17:BR1200)</f>
        <v>#N/A</v>
      </c>
      <c r="BS3" s="28" t="str">
        <f>IF(ISERROR(SUBTOTAL(9,BS17:BS1200)),"",SUBTOTAL(9,BS17:BS1200))</f>
        <v/>
      </c>
      <c r="BT3" s="28" t="str">
        <f>IF(ISERROR(SUBTOTAL(9,BT17:BT1200)),"",SUBTOTAL(9,BT17:BT1200))</f>
        <v/>
      </c>
      <c r="BU3" s="192" t="e">
        <f>SUBTOTAL(9,BU17:BU1200)</f>
        <v>#N/A</v>
      </c>
      <c r="BV3" s="28" t="str">
        <f>IF(ISERROR(SUBTOTAL(9,BV17:BV1200)),"",SUBTOTAL(9,BV17:BV1200))</f>
        <v/>
      </c>
      <c r="BW3" s="28" t="str">
        <f>IF(ISERROR(SUBTOTAL(9,BW17:BW1200)),"",SUBTOTAL(9,BW17:BW1200))</f>
        <v/>
      </c>
      <c r="BX3" s="192" t="e">
        <f>SUBTOTAL(9,BX17:BX1200)</f>
        <v>#N/A</v>
      </c>
      <c r="BY3" s="28" t="str">
        <f>IF(ISERROR(SUBTOTAL(9,BY17:BY1200)),"",SUBTOTAL(9,BY17:BY1200))</f>
        <v/>
      </c>
      <c r="BZ3" s="28" t="str">
        <f>IF(ISERROR(SUBTOTAL(9,BZ17:BZ1200)),"",SUBTOTAL(9,BZ17:BZ1200))</f>
        <v/>
      </c>
      <c r="CA3" s="192" t="e">
        <f>SUBTOTAL(9,CA17:CA1200)</f>
        <v>#N/A</v>
      </c>
      <c r="CB3" s="28" t="str">
        <f>IF(ISERROR(SUBTOTAL(9,CB17:CB1200)),"",SUBTOTAL(9,CB17:CB1200))</f>
        <v/>
      </c>
      <c r="CC3" s="28" t="str">
        <f>IF(ISERROR(SUBTOTAL(9,CC17:CC1200)),"",SUBTOTAL(9,CC17:CC1200))</f>
        <v/>
      </c>
      <c r="CD3" s="192" t="e">
        <f>SUBTOTAL(9,CD17:CD1200)</f>
        <v>#N/A</v>
      </c>
      <c r="CE3" s="28" t="str">
        <f>IF(ISERROR(SUBTOTAL(9,CE17:CE1200)),"",SUBTOTAL(9,CE17:CE1200))</f>
        <v/>
      </c>
      <c r="CF3" s="28" t="str">
        <f>IF(ISERROR(SUBTOTAL(9,CF17:CF1200)),"",SUBTOTAL(9,CF17:CF1200))</f>
        <v/>
      </c>
      <c r="CG3" s="192" t="e">
        <f>SUBTOTAL(9,CG17:CG1200)</f>
        <v>#N/A</v>
      </c>
      <c r="CH3" s="28" t="str">
        <f>IF(ISERROR(SUBTOTAL(9,CH17:CH1200)),"",SUBTOTAL(9,CH17:CH1200))</f>
        <v/>
      </c>
      <c r="CI3" s="28" t="str">
        <f>IF(ISERROR(SUBTOTAL(9,CI17:CI1200)),"",SUBTOTAL(9,CI17:CI1200))</f>
        <v/>
      </c>
      <c r="CJ3" s="192" t="e">
        <f>SUBTOTAL(9,CJ17:CJ1200)</f>
        <v>#N/A</v>
      </c>
      <c r="CK3" s="28" t="str">
        <f>IF(ISERROR(SUBTOTAL(9,CK17:CK1200)),"",SUBTOTAL(9,CK17:CK1200))</f>
        <v/>
      </c>
      <c r="CL3" s="28" t="str">
        <f>IF(ISERROR(SUBTOTAL(9,CL17:CL1200)),"",SUBTOTAL(9,CL17:CL1200))</f>
        <v/>
      </c>
      <c r="CM3" s="192">
        <f>SUBTOTAL(9,CM17:CM1200)</f>
        <v>0</v>
      </c>
      <c r="CN3" s="28">
        <f>IF(ISERROR(SUBTOTAL(9,CN17:CN1200)),"",SUBTOTAL(9,CN17:CN1200))</f>
        <v>0</v>
      </c>
      <c r="CO3" s="28">
        <f>IF(ISERROR(SUBTOTAL(9,CO17:CO1200)),"",SUBTOTAL(9,CO17:CO1200))</f>
        <v>0</v>
      </c>
      <c r="CP3" s="205" t="e">
        <f>SUBTOTAL(9,CP17:CP1200)</f>
        <v>#N/A</v>
      </c>
      <c r="CQ3" s="288" t="str">
        <f>IF(ISERROR(SUBTOTAL(9,CQ17:CQ1200)),"",SUBTOTAL(9,CQ17:CQ1200))</f>
        <v/>
      </c>
      <c r="CR3" s="28" t="str">
        <f>IF(ISERROR(SUBTOTAL(9,CR17:CR1200)),"",SUBTOTAL(9,CR17:CR1200))</f>
        <v/>
      </c>
      <c r="CS3" s="205"/>
      <c r="CT3" s="288" t="str">
        <f>IF(ISERROR(SUBTOTAL(9,CT17:CT1200)),"",SUBTOTAL(9,CT17:CT1200))</f>
        <v/>
      </c>
      <c r="CU3" s="28" t="str">
        <f>IF(ISERROR(SUBTOTAL(9,CU17:CU1200)),"",SUBTOTAL(9,CU17:CU1200))</f>
        <v/>
      </c>
      <c r="CV3" s="205" t="s">
        <v>872</v>
      </c>
      <c r="CW3" s="288" t="str">
        <f>IF(ISERROR(SUBTOTAL(9,CW17:CW1200)),"",SUBTOTAL(9,CW17:CW1200))</f>
        <v/>
      </c>
      <c r="CX3" s="28" t="str">
        <f>IF(ISERROR(SUBTOTAL(9,CX17:CX1200)),"",SUBTOTAL(9,CX17:CX1200))</f>
        <v/>
      </c>
      <c r="CY3" s="205"/>
      <c r="CZ3" s="288" t="str">
        <f>IF(ISERROR(SUBTOTAL(9,CZ17:CZ1200)),"",SUBTOTAL(9,CZ17:CZ1200))</f>
        <v/>
      </c>
      <c r="DA3" s="28">
        <f>IF(ISERROR(SUBTOTAL(9,DA17:DA1200)),"",SUBTOTAL(9,DA17:DA1200))</f>
        <v>0</v>
      </c>
      <c r="DB3" s="205"/>
      <c r="DC3" s="288" t="str">
        <f>IF(ISERROR(SUBTOTAL(9,DC17:DC1200)),"",SUBTOTAL(9,DC17:DC1200))</f>
        <v/>
      </c>
      <c r="DD3" s="28" t="str">
        <f>IF(ISERROR(SUBTOTAL(9,DD17:DD1200)),"",SUBTOTAL(9,DD17:DD1200))</f>
        <v/>
      </c>
      <c r="DE3" s="205"/>
      <c r="DF3" s="288" t="str">
        <f>IF(ISERROR(SUBTOTAL(9,DF17:DF1200)),"",SUBTOTAL(9,DF17:DF1200))</f>
        <v/>
      </c>
      <c r="DG3" s="28" t="str">
        <f>IF(ISERROR(SUBTOTAL(9,DG17:DG1200)),"",SUBTOTAL(9,DG17:DG1200))</f>
        <v/>
      </c>
      <c r="DH3" s="205" t="e">
        <f>SUBTOTAL(9,DH17:DH1200)</f>
        <v>#N/A</v>
      </c>
      <c r="DI3" s="288" t="str">
        <f>IF(ISERROR(SUBTOTAL(9,DI17:DI1200)),"",SUBTOTAL(9,DI17:DI1200))</f>
        <v/>
      </c>
      <c r="DJ3" s="28" t="str">
        <f>IF(ISERROR(SUBTOTAL(9,DJ17:DJ1200)),"",SUBTOTAL(9,DJ17:DJ1200))</f>
        <v/>
      </c>
      <c r="DK3" s="205"/>
      <c r="DL3" s="288" t="str">
        <f>IF(ISERROR(SUBTOTAL(9,DL17:DL1200)),"",SUBTOTAL(9,DL17:DL1200))</f>
        <v/>
      </c>
      <c r="DM3" s="187" t="str">
        <f>IF(ISERROR(SUBTOTAL(9,DM17:DM1200)),"",SUBTOTAL(9,DM17:DM1200))</f>
        <v/>
      </c>
      <c r="DN3" s="28"/>
      <c r="DO3" s="409"/>
      <c r="DP3" s="288" t="str">
        <f>IF(ISERROR(SUBTOTAL(9,DP17:DP1200)),"",SUBTOTAL(9,DP17:DP1200))</f>
        <v/>
      </c>
      <c r="DQ3" s="28" t="str">
        <f>IF(ISERROR(SUBTOTAL(9,DQ17:DQ1200)),"",SUBTOTAL(9,DQ17:DQ1200))</f>
        <v/>
      </c>
      <c r="DR3" s="206"/>
      <c r="DS3" s="288" t="str">
        <f t="shared" ref="DS3:DZ3" si="15">IF(ISERROR(SUBTOTAL(9,DS17:DS1200)),"",SUBTOTAL(9,DS17:DS1200))</f>
        <v/>
      </c>
      <c r="DT3" s="28" t="str">
        <f t="shared" si="15"/>
        <v/>
      </c>
      <c r="DU3" s="409">
        <f t="shared" si="15"/>
        <v>0</v>
      </c>
      <c r="DV3" s="288" t="str">
        <f t="shared" si="15"/>
        <v/>
      </c>
      <c r="DW3" s="28">
        <f t="shared" si="15"/>
        <v>0</v>
      </c>
      <c r="DX3" s="206" t="str">
        <f t="shared" si="15"/>
        <v/>
      </c>
      <c r="DY3" s="288" t="str">
        <f t="shared" si="15"/>
        <v/>
      </c>
      <c r="DZ3" s="28" t="str">
        <f t="shared" si="15"/>
        <v/>
      </c>
      <c r="EA3" s="387"/>
      <c r="EB3" s="288" t="str">
        <f>IF(ISERROR(SUBTOTAL(9,EB17:EB1200)),"",SUBTOTAL(9,EB17:EB1200))</f>
        <v/>
      </c>
      <c r="EC3" s="28" t="str">
        <f>IF(ISERROR(SUBTOTAL(9,EC17:EC1200)),"",SUBTOTAL(9,EC17:EC1200))</f>
        <v/>
      </c>
      <c r="ED3" s="387"/>
      <c r="EE3" s="288" t="str">
        <f>IF(ISERROR(SUBTOTAL(9,EE17:EE1200)),"",SUBTOTAL(9,EE17:EE1200))</f>
        <v/>
      </c>
      <c r="EF3" s="28" t="str">
        <f>IF(ISERROR(SUBTOTAL(9,EF17:EF1200)),"",SUBTOTAL(9,EF17:EF1200))</f>
        <v/>
      </c>
      <c r="EG3" s="281" t="str">
        <f>IF(ISERROR(SUBTOTAL(9,EG17:EG1200)),"",SUBTOTAL(9,EG17:EG1200))</f>
        <v/>
      </c>
      <c r="EH3" s="28" t="str">
        <f>IF(ISERROR(SUBTOTAL(9,EH17:EH1200)),"",SUBTOTAL(9,EH17:EH1200))</f>
        <v/>
      </c>
      <c r="EI3" s="382" t="e">
        <f>SUBTOTAL(9,EI17:EI1200)</f>
        <v>#N/A</v>
      </c>
      <c r="EJ3" s="288" t="str">
        <f>IF(ISERROR(SUBTOTAL(9,EJ17:EJ1200)),"",SUBTOTAL(9,EJ17:EJ1200))</f>
        <v/>
      </c>
      <c r="EK3" s="187" t="str">
        <f>IF(ISERROR(SUBTOTAL(9,EK17:EK1200)),"",SUBTOTAL(9,EK17:EK1200))</f>
        <v/>
      </c>
      <c r="EL3" s="192"/>
      <c r="EM3" s="288">
        <f>IF(ISERROR(SUBTOTAL(9,EM17:EM1200)),"",SUBTOTAL(9,EM17:EM1200))</f>
        <v>0</v>
      </c>
      <c r="EN3" s="28">
        <f>IF(ISERROR(SUBTOTAL(9,EN17:EN1200)),"",SUBTOTAL(9,EN17:EN1200))</f>
        <v>0</v>
      </c>
      <c r="EO3" s="320" t="e">
        <f t="shared" ref="EO3:EX3" si="16">SUBTOTAL(9,EO17:EO1200)</f>
        <v>#N/A</v>
      </c>
      <c r="EP3" s="288" t="e">
        <f t="shared" si="16"/>
        <v>#N/A</v>
      </c>
      <c r="EQ3" s="28" t="e">
        <f t="shared" si="16"/>
        <v>#N/A</v>
      </c>
      <c r="ER3" s="320" t="e">
        <f t="shared" si="16"/>
        <v>#N/A</v>
      </c>
      <c r="ES3" s="288" t="e">
        <f t="shared" si="16"/>
        <v>#N/A</v>
      </c>
      <c r="ET3" s="28" t="e">
        <f t="shared" si="16"/>
        <v>#N/A</v>
      </c>
      <c r="EU3" s="320" t="e">
        <f t="shared" si="16"/>
        <v>#N/A</v>
      </c>
      <c r="EV3" s="288" t="e">
        <f t="shared" si="16"/>
        <v>#N/A</v>
      </c>
      <c r="EW3" s="28" t="e">
        <f t="shared" si="16"/>
        <v>#N/A</v>
      </c>
      <c r="EX3" s="320" t="e">
        <f t="shared" si="16"/>
        <v>#N/A</v>
      </c>
      <c r="EY3" s="288" t="str">
        <f>IF(ISERROR(SUBTOTAL(9,EY17:EY1200)),"",SUBTOTAL(9,EY17:EY1200))</f>
        <v/>
      </c>
      <c r="EZ3" s="28" t="str">
        <f>IF(ISERROR(SUBTOTAL(9,EZ17:EZ1200)),"",SUBTOTAL(9,EZ17:EZ1200))</f>
        <v/>
      </c>
      <c r="FA3" s="320" t="e">
        <f>SUBTOTAL(9,FA17:FA1200)</f>
        <v>#N/A</v>
      </c>
      <c r="FB3" s="288" t="str">
        <f>IF(ISERROR(SUBTOTAL(9,FB17:FB1200)),"",SUBTOTAL(9,FB17:FB1200))</f>
        <v/>
      </c>
      <c r="FC3" s="28" t="str">
        <f>IF(ISERROR(SUBTOTAL(9,FC17:FC1200)),"",SUBTOTAL(9,FC17:FC1200))</f>
        <v/>
      </c>
      <c r="FD3" s="320" t="e">
        <f>SUBTOTAL(9,FD17:FD1500)</f>
        <v>#N/A</v>
      </c>
      <c r="FE3" s="288" t="str">
        <f>IF(ISERROR(SUBTOTAL(9,FE17:FE1500)),"",SUBTOTAL(9,FE17:FE1500))</f>
        <v/>
      </c>
      <c r="FF3" s="28" t="str">
        <f>IF(ISERROR(SUBTOTAL(9,FF17:FF1500)),"",SUBTOTAL(9,FF17:FF1500))</f>
        <v/>
      </c>
      <c r="FG3" s="320">
        <f>SUBTOTAL(9,FG17:FG1200)</f>
        <v>0</v>
      </c>
      <c r="FH3" s="288">
        <f>SUBTOTAL(9,FH17:FH1200)</f>
        <v>0</v>
      </c>
      <c r="FI3" s="28">
        <f>SUBTOTAL(9,FI17:FI1200)</f>
        <v>0</v>
      </c>
      <c r="FJ3" s="1615" t="str">
        <f t="shared" ref="FJ3:FV3" si="17">IF(ISERROR(SUBTOTAL(9,FJ17:FJ1200)),"",SUBTOTAL(9,FJ17:FJ1200))</f>
        <v/>
      </c>
      <c r="FK3" s="28" t="str">
        <f t="shared" si="17"/>
        <v/>
      </c>
      <c r="FL3" s="1611" t="str">
        <f t="shared" si="17"/>
        <v/>
      </c>
      <c r="FM3" s="404" t="str">
        <f t="shared" si="17"/>
        <v/>
      </c>
      <c r="FN3" s="1611" t="str">
        <f t="shared" si="17"/>
        <v/>
      </c>
      <c r="FO3" s="404" t="str">
        <f t="shared" si="17"/>
        <v/>
      </c>
      <c r="FP3" s="1611" t="str">
        <f t="shared" si="17"/>
        <v/>
      </c>
      <c r="FQ3" s="404" t="str">
        <f t="shared" si="17"/>
        <v/>
      </c>
      <c r="FR3" s="288" t="str">
        <f t="shared" si="17"/>
        <v/>
      </c>
      <c r="FS3" s="28" t="str">
        <f t="shared" si="17"/>
        <v/>
      </c>
      <c r="FT3" s="1628" t="str">
        <f t="shared" si="17"/>
        <v/>
      </c>
      <c r="FU3" s="1629" t="str">
        <f t="shared" si="17"/>
        <v/>
      </c>
      <c r="FV3" s="1832" t="str">
        <f t="shared" si="17"/>
        <v/>
      </c>
      <c r="FW3" s="3004"/>
      <c r="FX3" s="3004"/>
      <c r="FY3" s="3004"/>
      <c r="FZ3" s="3142" t="s">
        <v>3257</v>
      </c>
      <c r="GA3" s="3142"/>
      <c r="GB3" s="3142"/>
      <c r="GC3" s="3142"/>
      <c r="GD3" s="3142"/>
      <c r="GE3" s="3142"/>
      <c r="GF3" s="3142"/>
      <c r="GG3" s="3142"/>
      <c r="GH3" s="3142"/>
      <c r="GI3" s="3142"/>
      <c r="GJ3" s="3142"/>
      <c r="GM3" s="28" t="e">
        <f>SUBTOTAL(9,GM17:GM1200)</f>
        <v>#N/A</v>
      </c>
      <c r="GN3" s="55"/>
      <c r="GO3" s="55"/>
      <c r="GS3" s="320">
        <f t="shared" ref="GS3" si="18">SUBTOTAL(9,GS17:GS1200)</f>
        <v>1</v>
      </c>
      <c r="GT3" s="288" t="str">
        <f>IF(ISERROR(SUBTOTAL(9,GT17:GT1200)),"",SUBTOTAL(9,GT17:GT1200))</f>
        <v/>
      </c>
      <c r="GU3" s="28" t="str">
        <f>IF(ISERROR(SUBTOTAL(9,GU17:GU1200)),"",SUBTOTAL(9,GU17:GU1200))</f>
        <v/>
      </c>
    </row>
    <row r="4" spans="1:256" s="129" customFormat="1" ht="12" customHeight="1">
      <c r="A4" s="31"/>
      <c r="B4" s="31"/>
      <c r="C4" s="31"/>
      <c r="D4" s="30"/>
      <c r="E4" s="85"/>
      <c r="F4" s="86"/>
      <c r="G4" s="1309">
        <f>COUNTIF(G17:G1200,G2)</f>
        <v>0</v>
      </c>
      <c r="H4" s="1893" t="s">
        <v>2000</v>
      </c>
      <c r="I4" s="3163" t="s">
        <v>998</v>
      </c>
      <c r="J4" s="3164"/>
      <c r="K4" s="3164"/>
      <c r="L4" s="3164"/>
      <c r="M4" s="3164"/>
      <c r="N4" s="3164"/>
      <c r="O4" s="3164"/>
      <c r="P4" s="3164"/>
      <c r="Q4" s="3164"/>
      <c r="R4" s="3164"/>
      <c r="S4" s="3165"/>
      <c r="T4" s="41" t="s">
        <v>5339</v>
      </c>
      <c r="U4" s="232" t="e">
        <f>ROUND(SUM(U$17:U$1200),2)</f>
        <v>#N/A</v>
      </c>
      <c r="W4" s="136"/>
      <c r="X4" s="136"/>
      <c r="Y4" s="136"/>
      <c r="Z4" s="136"/>
      <c r="AA4" s="136"/>
      <c r="AB4" s="136"/>
      <c r="AC4" s="136"/>
      <c r="AD4" s="234"/>
      <c r="AE4" s="136"/>
      <c r="AF4" s="136"/>
      <c r="AG4" s="136"/>
      <c r="AH4" s="136"/>
      <c r="AI4" s="136"/>
      <c r="AJ4" s="136"/>
      <c r="AK4" s="234"/>
      <c r="AL4" s="136"/>
      <c r="AM4" s="136"/>
      <c r="AN4" s="136"/>
      <c r="AO4" s="136"/>
      <c r="AP4" s="136"/>
      <c r="AQ4" s="136"/>
      <c r="AR4" s="136"/>
      <c r="AS4" s="136"/>
      <c r="AT4" s="136"/>
      <c r="AU4" s="136"/>
      <c r="AV4" s="1881"/>
      <c r="AW4" s="1882" t="e">
        <f>AW3/$FT$1</f>
        <v>#VALUE!</v>
      </c>
      <c r="AX4" s="1883" t="e">
        <f>AX3/$FU$1</f>
        <v>#VALUE!</v>
      </c>
      <c r="AY4" s="1881"/>
      <c r="AZ4" s="1882" t="e">
        <f>AZ3/$FT$1</f>
        <v>#VALUE!</v>
      </c>
      <c r="BA4" s="1884" t="e">
        <f>BA3/$FU$1</f>
        <v>#VALUE!</v>
      </c>
      <c r="BB4" s="1885" t="e">
        <f>BB3/$FT$1</f>
        <v>#VALUE!</v>
      </c>
      <c r="BC4" s="1886" t="e">
        <f>BC3/$FU$1</f>
        <v>#VALUE!</v>
      </c>
      <c r="BD4" s="1887"/>
      <c r="BE4" s="1887"/>
      <c r="BF4" s="1888" t="e">
        <f>BF3/$FT$1</f>
        <v>#VALUE!</v>
      </c>
      <c r="BG4" s="1884" t="e">
        <f>BG3/$FU$1</f>
        <v>#VALUE!</v>
      </c>
      <c r="BH4" s="1885" t="e">
        <f>BH3/$FT$1</f>
        <v>#N/A</v>
      </c>
      <c r="BI4" s="1886" t="e">
        <f>BI3/$FU$1</f>
        <v>#VALUE!</v>
      </c>
      <c r="BJ4" s="1885" t="e">
        <f>BJ3/$FT$1</f>
        <v>#N/A</v>
      </c>
      <c r="BK4" s="1886" t="e">
        <f>BK3/$FU$1</f>
        <v>#VALUE!</v>
      </c>
      <c r="BL4" s="1886" t="e">
        <f>BL3/$FU$1</f>
        <v>#VALUE!</v>
      </c>
      <c r="BM4" s="1887"/>
      <c r="BN4" s="1888" t="e">
        <f>BN3/$FT$1</f>
        <v>#VALUE!</v>
      </c>
      <c r="BO4" s="1884" t="e">
        <f>BO3/$FU$1</f>
        <v>#VALUE!</v>
      </c>
      <c r="BP4" s="1888" t="e">
        <f>BP3/$FT$1</f>
        <v>#VALUE!</v>
      </c>
      <c r="BQ4" s="1884" t="e">
        <f>BQ3/$FU$1</f>
        <v>#VALUE!</v>
      </c>
      <c r="BR4" s="1889" t="e">
        <f>SUM(BS3:BT3)/SUM($FT$1:$FU$1)</f>
        <v>#N/A</v>
      </c>
      <c r="BS4" s="1888" t="e">
        <f>BS3/$FT$1</f>
        <v>#VALUE!</v>
      </c>
      <c r="BT4" s="1884" t="e">
        <f>BT3/$FU$1</f>
        <v>#VALUE!</v>
      </c>
      <c r="BU4" s="1889" t="e">
        <f>SUM(BV3:BW3)/SUM($FT$1:$FU$1)</f>
        <v>#N/A</v>
      </c>
      <c r="BV4" s="1888" t="e">
        <f>BV3/$FT$1</f>
        <v>#VALUE!</v>
      </c>
      <c r="BW4" s="1884" t="e">
        <f>BW3/$FU$1</f>
        <v>#VALUE!</v>
      </c>
      <c r="BX4" s="1889" t="e">
        <f>SUM(BY3:BZ3)/SUM($FT$1:$FU$1)</f>
        <v>#N/A</v>
      </c>
      <c r="BY4" s="1888" t="e">
        <f>BY3/$FT$1</f>
        <v>#VALUE!</v>
      </c>
      <c r="BZ4" s="1884" t="e">
        <f>BZ3/$FU$1</f>
        <v>#VALUE!</v>
      </c>
      <c r="CA4" s="1889" t="e">
        <f>SUM(CB3:CC3)/SUM($FT$1:$FU$1)</f>
        <v>#N/A</v>
      </c>
      <c r="CB4" s="1888" t="e">
        <f>CB3/$FT$1</f>
        <v>#VALUE!</v>
      </c>
      <c r="CC4" s="1884" t="e">
        <f>CC3/$FU$1</f>
        <v>#VALUE!</v>
      </c>
      <c r="CD4" s="1889" t="e">
        <f>SUM(CE3:CF3)/SUM($FT$1:$FU$1)</f>
        <v>#N/A</v>
      </c>
      <c r="CE4" s="1888" t="e">
        <f>CE3/$FT$1</f>
        <v>#VALUE!</v>
      </c>
      <c r="CF4" s="1884" t="e">
        <f>CF3/$FU$1</f>
        <v>#VALUE!</v>
      </c>
      <c r="CG4" s="1889" t="e">
        <f>SUM(CH3:CI3)/SUM($FT$1:$FU$1)</f>
        <v>#N/A</v>
      </c>
      <c r="CH4" s="1888" t="e">
        <f>CH3/$FT$1</f>
        <v>#VALUE!</v>
      </c>
      <c r="CI4" s="1884" t="e">
        <f>CI3/$FU$1</f>
        <v>#VALUE!</v>
      </c>
      <c r="CJ4" s="1889" t="e">
        <f>SUM(CK3:CL3)/SUM($FT$1:$FU$1)</f>
        <v>#N/A</v>
      </c>
      <c r="CK4" s="1888" t="e">
        <f>CK3/$FT$1</f>
        <v>#VALUE!</v>
      </c>
      <c r="CL4" s="1884" t="e">
        <f>CL3/$FU$1</f>
        <v>#VALUE!</v>
      </c>
      <c r="CM4" s="1889" t="e">
        <f>SUM(CN3:CO3)/SUM($FT$1:$FU$1)</f>
        <v>#N/A</v>
      </c>
      <c r="CN4" s="1888" t="e">
        <f>CN3/$FT$1</f>
        <v>#N/A</v>
      </c>
      <c r="CO4" s="1884" t="e">
        <f>CO3/$FU$1</f>
        <v>#VALUE!</v>
      </c>
      <c r="CP4" s="1889" t="e">
        <f>SUM(CQ3:CR3)/SUM($FT$1:$FU$1)</f>
        <v>#N/A</v>
      </c>
      <c r="CQ4" s="1888" t="e">
        <f>CQ3/$FT$1</f>
        <v>#VALUE!</v>
      </c>
      <c r="CR4" s="1884" t="e">
        <f>CR3/$FU$1</f>
        <v>#VALUE!</v>
      </c>
      <c r="CS4" s="1889" t="e">
        <f>SUM(CT3:CU3)/SUM($FT$1:$FU$1)</f>
        <v>#N/A</v>
      </c>
      <c r="CT4" s="1888" t="e">
        <f>CT3/$FT$1</f>
        <v>#VALUE!</v>
      </c>
      <c r="CU4" s="1884" t="e">
        <f>CU3/$FU$1</f>
        <v>#VALUE!</v>
      </c>
      <c r="CV4" s="1889" t="e">
        <f>SUM(CW3:CX3)/SUM($FT$1:$FU$1)</f>
        <v>#N/A</v>
      </c>
      <c r="CW4" s="1888" t="e">
        <f>CW3/$FT$1</f>
        <v>#VALUE!</v>
      </c>
      <c r="CX4" s="1884" t="e">
        <f>CX3/$FU$1</f>
        <v>#VALUE!</v>
      </c>
      <c r="CY4" s="1889" t="e">
        <f>SUM(CZ3:DA3)/SUM($FT$1:$FU$1)</f>
        <v>#N/A</v>
      </c>
      <c r="CZ4" s="1888" t="e">
        <f>CZ3/$FT$1</f>
        <v>#VALUE!</v>
      </c>
      <c r="DA4" s="1884" t="e">
        <f>DA3/$FU$1</f>
        <v>#VALUE!</v>
      </c>
      <c r="DB4" s="1889" t="e">
        <f>SUM(DC3:DD3)/SUM($FT$1:$FU$1)</f>
        <v>#N/A</v>
      </c>
      <c r="DC4" s="1888" t="e">
        <f>DC3/$FT$1</f>
        <v>#VALUE!</v>
      </c>
      <c r="DD4" s="1884" t="e">
        <f>DD3/$FU$1</f>
        <v>#VALUE!</v>
      </c>
      <c r="DE4" s="1889" t="e">
        <f>SUM(DF3:DG3)/SUM($FT$1:$FU$1)</f>
        <v>#N/A</v>
      </c>
      <c r="DF4" s="1888" t="e">
        <f>DF3/$FT$1</f>
        <v>#VALUE!</v>
      </c>
      <c r="DG4" s="1884" t="e">
        <f>DG3/$FU$1</f>
        <v>#VALUE!</v>
      </c>
      <c r="DH4" s="1889" t="e">
        <f>SUM(DI3:DJ3)/SUM($FT$1:$FU$1)</f>
        <v>#N/A</v>
      </c>
      <c r="DI4" s="1888" t="e">
        <f>DI3/$FT$1</f>
        <v>#VALUE!</v>
      </c>
      <c r="DJ4" s="1884" t="e">
        <f>DJ3/$FU$1</f>
        <v>#VALUE!</v>
      </c>
      <c r="DK4" s="1889" t="e">
        <f>SUM(DL3:DM3)/SUM($FT$1:$FU$1)</f>
        <v>#N/A</v>
      </c>
      <c r="DL4" s="1888" t="e">
        <f>DL3/$FT$1</f>
        <v>#VALUE!</v>
      </c>
      <c r="DM4" s="1884" t="e">
        <f>DM3/$FU$1</f>
        <v>#VALUE!</v>
      </c>
      <c r="DN4" s="1887"/>
      <c r="DO4" s="1889" t="e">
        <f>SUM(DP3:DQ3)/SUM($FT$1:$FU$1)</f>
        <v>#N/A</v>
      </c>
      <c r="DP4" s="1888" t="e">
        <f>DP3/$FT$1</f>
        <v>#VALUE!</v>
      </c>
      <c r="DQ4" s="1884" t="e">
        <f>DQ3/$FU$1</f>
        <v>#VALUE!</v>
      </c>
      <c r="DR4" s="1889" t="e">
        <f>SUM(DS3:DT3)/SUM($FT$1:$FU$1)</f>
        <v>#N/A</v>
      </c>
      <c r="DS4" s="1888" t="e">
        <f>DS3/$FT$1</f>
        <v>#VALUE!</v>
      </c>
      <c r="DT4" s="1884" t="e">
        <f>DT3/$FU$1</f>
        <v>#VALUE!</v>
      </c>
      <c r="DU4" s="1889" t="e">
        <f>SUM(DV3:DW3)/SUM($FT$1:$FU$1)</f>
        <v>#N/A</v>
      </c>
      <c r="DV4" s="1888" t="e">
        <f>DV3/$FT$1</f>
        <v>#VALUE!</v>
      </c>
      <c r="DW4" s="1884" t="e">
        <f>DW3/$FU$1</f>
        <v>#VALUE!</v>
      </c>
      <c r="DX4" s="1889" t="e">
        <f>SUM(DY3:DZ3)/SUM($FT$1:$FU$1)</f>
        <v>#N/A</v>
      </c>
      <c r="DY4" s="1888" t="e">
        <f>DY3/$FT$1</f>
        <v>#VALUE!</v>
      </c>
      <c r="DZ4" s="1884" t="e">
        <f>DZ3/$FU$1</f>
        <v>#VALUE!</v>
      </c>
      <c r="EA4" s="1889" t="e">
        <f>SUM(EB3:EC3)/SUM($FT$1:$FU$1)</f>
        <v>#N/A</v>
      </c>
      <c r="EB4" s="1888" t="e">
        <f>EB3/$FT$1</f>
        <v>#VALUE!</v>
      </c>
      <c r="EC4" s="1884" t="e">
        <f>EC3/$FU$1</f>
        <v>#VALUE!</v>
      </c>
      <c r="ED4" s="1889" t="e">
        <f>SUM(EE3:EF3)/SUM($FT$1:$FU$1)</f>
        <v>#N/A</v>
      </c>
      <c r="EE4" s="1888" t="e">
        <f>EE3/$FT$1</f>
        <v>#VALUE!</v>
      </c>
      <c r="EF4" s="1884" t="e">
        <f>EF3/$FU$1</f>
        <v>#VALUE!</v>
      </c>
      <c r="EG4" s="1888" t="e">
        <f>EG3/$FT$1</f>
        <v>#VALUE!</v>
      </c>
      <c r="EH4" s="1884" t="e">
        <f>EH3/$FU$1</f>
        <v>#VALUE!</v>
      </c>
      <c r="EI4" s="1889" t="e">
        <f>SUM(EG3:EH3,EJ3:EK3)/SUM($FT$1:$FU$1)</f>
        <v>#N/A</v>
      </c>
      <c r="EJ4" s="1888" t="e">
        <f>EJ3/$FT$1</f>
        <v>#VALUE!</v>
      </c>
      <c r="EK4" s="1884" t="e">
        <f>EK3/$FU$1</f>
        <v>#VALUE!</v>
      </c>
      <c r="EL4" s="1889" t="e">
        <f>SUM(EM3:EN3)/SUM($FT$1:$FU$1)</f>
        <v>#N/A</v>
      </c>
      <c r="EM4" s="1888" t="e">
        <f>EM3/$FT$1</f>
        <v>#N/A</v>
      </c>
      <c r="EN4" s="1884" t="e">
        <f>EN3/$FU$1</f>
        <v>#VALUE!</v>
      </c>
      <c r="EO4" s="1889" t="e">
        <f>SUM(EP3:EQ3)/SUM($FT$1:$FU$1)</f>
        <v>#N/A</v>
      </c>
      <c r="EP4" s="1888" t="e">
        <f>EP3/$FT$1</f>
        <v>#N/A</v>
      </c>
      <c r="EQ4" s="1884" t="e">
        <f>EQ3/$FU$1</f>
        <v>#N/A</v>
      </c>
      <c r="ER4" s="1889" t="e">
        <f>SUM(ES3:ET3)/SUM($FT$1:$FU$1)</f>
        <v>#N/A</v>
      </c>
      <c r="ES4" s="1888" t="e">
        <f>ES3/$FT$1</f>
        <v>#N/A</v>
      </c>
      <c r="ET4" s="1884" t="e">
        <f>ET3/$FU$1</f>
        <v>#N/A</v>
      </c>
      <c r="EU4" s="1889" t="e">
        <f>SUM(EV3:EW3)/SUM($FT$1:$FU$1)</f>
        <v>#N/A</v>
      </c>
      <c r="EV4" s="1888" t="e">
        <f>EV3/$FT$1</f>
        <v>#N/A</v>
      </c>
      <c r="EW4" s="1884" t="e">
        <f>EW3/$FU$1</f>
        <v>#N/A</v>
      </c>
      <c r="EX4" s="2499" t="e">
        <f>SUM(EY3:EZ3)/SUM($FT$1:$FU$1)</f>
        <v>#N/A</v>
      </c>
      <c r="EY4" s="1888" t="e">
        <f>EY3/$FT$1</f>
        <v>#VALUE!</v>
      </c>
      <c r="EZ4" s="1884" t="e">
        <f>EZ3/$FU$1</f>
        <v>#VALUE!</v>
      </c>
      <c r="FA4" s="1889" t="e">
        <f>SUM(FB3:FC3)/SUM($FT$1:$FU$1)</f>
        <v>#N/A</v>
      </c>
      <c r="FB4" s="1888" t="e">
        <f>FB3/$FT$1</f>
        <v>#VALUE!</v>
      </c>
      <c r="FC4" s="1884" t="e">
        <f>FC3/$FU$1</f>
        <v>#VALUE!</v>
      </c>
      <c r="FD4" s="1889" t="e">
        <f>SUM(FE3:FF3)/SUM($FT$1:$FU$1)</f>
        <v>#N/A</v>
      </c>
      <c r="FE4" s="1888" t="e">
        <f>FE3/$FT$1</f>
        <v>#VALUE!</v>
      </c>
      <c r="FF4" s="1884" t="e">
        <f>FF3/$FU$1</f>
        <v>#VALUE!</v>
      </c>
      <c r="FG4" s="1889" t="e">
        <f>SUM(FH3:FI3)/SUM($FT$1:$FU$1)</f>
        <v>#N/A</v>
      </c>
      <c r="FH4" s="1888" t="e">
        <f>FH3/$FT$1</f>
        <v>#N/A</v>
      </c>
      <c r="FI4" s="1891" t="e">
        <f>FI3/$FU$1</f>
        <v>#VALUE!</v>
      </c>
      <c r="FJ4" s="1892" t="e">
        <f>FJ3/$FT$1</f>
        <v>#VALUE!</v>
      </c>
      <c r="FK4" s="1890" t="e">
        <f>FK3/$FU$1</f>
        <v>#VALUE!</v>
      </c>
      <c r="FL4" s="1882" t="e">
        <f>FL3/$FT$1</f>
        <v>#VALUE!</v>
      </c>
      <c r="FM4" s="1890" t="e">
        <f>FM3/$FU$1</f>
        <v>#VALUE!</v>
      </c>
      <c r="FN4" s="1882" t="e">
        <f>FN3/$FT$1</f>
        <v>#VALUE!</v>
      </c>
      <c r="FO4" s="1890" t="e">
        <f>FO3/$FU$1</f>
        <v>#VALUE!</v>
      </c>
      <c r="FP4" s="1882" t="e">
        <f>FP3/$FT$1</f>
        <v>#VALUE!</v>
      </c>
      <c r="FQ4" s="1890" t="e">
        <f>FQ3/$FU$1</f>
        <v>#VALUE!</v>
      </c>
      <c r="FR4" s="1882" t="e">
        <f>FR3/$FT$1</f>
        <v>#VALUE!</v>
      </c>
      <c r="FS4" s="1890" t="e">
        <f>FS3/$FU$1</f>
        <v>#VALUE!</v>
      </c>
      <c r="FT4" s="1882" t="e">
        <f>FT3/$FT$1</f>
        <v>#VALUE!</v>
      </c>
      <c r="FU4" s="1890" t="e">
        <f>FU3/$FU$1</f>
        <v>#VALUE!</v>
      </c>
      <c r="FV4" s="1833"/>
      <c r="FW4" s="3004"/>
      <c r="FX4" s="3004"/>
      <c r="FY4" s="3004"/>
      <c r="FZ4" s="3142" t="s">
        <v>3896</v>
      </c>
      <c r="GA4" s="3142"/>
      <c r="GB4" s="3142"/>
      <c r="GC4" s="3142"/>
      <c r="GD4" s="3142"/>
      <c r="GE4" s="3142"/>
      <c r="GF4" s="3142"/>
      <c r="GG4" s="3142"/>
      <c r="GH4" s="3142"/>
      <c r="GI4" s="3142"/>
      <c r="GJ4" s="3142"/>
      <c r="GM4" s="1351" t="str">
        <f>IF(ISERROR(GM3/GM1),"",GM3/IF($D$1=$D$8,$FU$1,GM1))</f>
        <v/>
      </c>
      <c r="GN4" s="1059"/>
      <c r="GO4" s="1059"/>
      <c r="GS4" s="2499" t="e">
        <f>SUM(GT3:GU3)/SUM($FT$1:$FU$1)</f>
        <v>#N/A</v>
      </c>
      <c r="GT4" s="1888" t="e">
        <f>GT3/$FT$1</f>
        <v>#VALUE!</v>
      </c>
      <c r="GU4" s="1884" t="e">
        <f>GU3/$FU$1</f>
        <v>#VALUE!</v>
      </c>
    </row>
    <row r="5" spans="1:256" s="15" customFormat="1" ht="12" customHeight="1" thickBot="1">
      <c r="A5" s="22"/>
      <c r="B5" s="22"/>
      <c r="C5" s="22"/>
      <c r="D5" s="24"/>
      <c r="E5" s="81"/>
      <c r="F5" s="84"/>
      <c r="G5" s="1309" t="str">
        <f>IF(G2=G3,"",COUNTIF(G17:G1200,G3))</f>
        <v/>
      </c>
      <c r="H5" s="40" t="s">
        <v>1426</v>
      </c>
      <c r="I5" s="3163"/>
      <c r="J5" s="3164"/>
      <c r="K5" s="3164"/>
      <c r="L5" s="3164"/>
      <c r="M5" s="3164"/>
      <c r="N5" s="3164"/>
      <c r="O5" s="3164"/>
      <c r="P5" s="3164"/>
      <c r="Q5" s="3164"/>
      <c r="R5" s="3164"/>
      <c r="S5" s="3165"/>
      <c r="T5" s="40"/>
      <c r="U5" s="231"/>
      <c r="W5" s="136"/>
      <c r="X5" s="136"/>
      <c r="Y5" s="136"/>
      <c r="Z5" s="136"/>
      <c r="AA5" s="136"/>
      <c r="AB5" s="136"/>
      <c r="AC5" s="136"/>
      <c r="AD5" s="234"/>
      <c r="AE5" s="136"/>
      <c r="AF5" s="136"/>
      <c r="AG5" s="136"/>
      <c r="AH5" s="136"/>
      <c r="AI5" s="136"/>
      <c r="AJ5" s="136"/>
      <c r="AK5" s="234"/>
      <c r="AL5" s="136"/>
      <c r="AM5" s="136"/>
      <c r="AN5" s="136"/>
      <c r="AO5" s="136"/>
      <c r="AP5" s="136"/>
      <c r="AQ5" s="136"/>
      <c r="AR5" s="136"/>
      <c r="AS5" s="136"/>
      <c r="AT5" s="136"/>
      <c r="AU5" s="136"/>
      <c r="AV5" s="389">
        <f>IF(ISERROR(SUBTOTAL(1,AV$17:AV$1200)),0,SUBTOTAL(1,AV$17:AV$1200))</f>
        <v>0</v>
      </c>
      <c r="AW5" s="389">
        <f>IF(ISERROR(SUBTOTAL(1,AW$17:AW$1200)),0,SUBTOTAL(1,AW$17:AW$1200))</f>
        <v>0</v>
      </c>
      <c r="AX5" s="159">
        <f>IF(ISERROR(SUBTOTAL(1,AX$17:AX$1200)),0,SUBTOTAL(1,AX$17:AX$1200))</f>
        <v>0</v>
      </c>
      <c r="AY5" s="206" t="str">
        <f>IF(ISERROR(SUBTOTAL(1,AY$17:AY$1200)),"",SUBTOTAL(1,AY$17:AY$1200))</f>
        <v/>
      </c>
      <c r="AZ5" s="288" t="str">
        <f>IF(ISERROR(SUBTOTAL(1,AZ$17:AZ$1200)),"",SUBTOTAL(1,AZ$17:AZ$1200))</f>
        <v/>
      </c>
      <c r="BA5" s="187" t="str">
        <f>IF(ISERROR(SUBTOTAL(1,BA$17:BA$1200)),"",SUBTOTAL(1,BA$17:BA$1200))</f>
        <v/>
      </c>
      <c r="BB5" s="389">
        <f>IF(ISERROR(SUBTOTAL(1,BB$17:BB$1200)),0,SUBTOTAL(1,BB$17:BB$1200))</f>
        <v>0</v>
      </c>
      <c r="BC5" s="1859">
        <f>IF(ISERROR(SUBTOTAL(1,BC$17:BC$1200)),0,SUBTOTAL(1,BC$17:BC$1200))</f>
        <v>0</v>
      </c>
      <c r="BD5" s="159">
        <f>IF(ISERROR(SUBTOTAL(1,BD$17:BD$1200)),0,SUBTOTAL(1,BD$17:BD$1200))</f>
        <v>0</v>
      </c>
      <c r="BE5" s="28"/>
      <c r="BF5" s="357">
        <f t="shared" ref="BF5:BL5" si="19">IF(ISERROR(SUBTOTAL(1,BF$17:BF$1200)),0,SUBTOTAL(1,BF$17:BF$1200))</f>
        <v>0</v>
      </c>
      <c r="BG5" s="159">
        <f t="shared" si="19"/>
        <v>0</v>
      </c>
      <c r="BH5" s="1442">
        <f t="shared" si="19"/>
        <v>0</v>
      </c>
      <c r="BI5" s="1443">
        <f t="shared" si="19"/>
        <v>0</v>
      </c>
      <c r="BJ5" s="1442">
        <f t="shared" si="19"/>
        <v>0</v>
      </c>
      <c r="BK5" s="1457">
        <f t="shared" si="19"/>
        <v>0</v>
      </c>
      <c r="BL5" s="258">
        <f t="shared" si="19"/>
        <v>0</v>
      </c>
      <c r="BM5" s="28"/>
      <c r="BN5" s="288" t="str">
        <f t="shared" ref="BN5:CL5" si="20">IF(ISERROR(SUBTOTAL(1,BN$17:BN$1200)),"",SUBTOTAL(1,BN$17:BN$1200))</f>
        <v/>
      </c>
      <c r="BO5" s="28" t="str">
        <f t="shared" si="20"/>
        <v/>
      </c>
      <c r="BP5" s="212" t="str">
        <f t="shared" si="20"/>
        <v/>
      </c>
      <c r="BQ5" s="28" t="str">
        <f t="shared" si="20"/>
        <v/>
      </c>
      <c r="BR5" s="206" t="str">
        <f t="shared" si="20"/>
        <v/>
      </c>
      <c r="BS5" s="28" t="str">
        <f t="shared" si="20"/>
        <v/>
      </c>
      <c r="BT5" s="28" t="str">
        <f t="shared" si="20"/>
        <v/>
      </c>
      <c r="BU5" s="206" t="str">
        <f t="shared" si="20"/>
        <v/>
      </c>
      <c r="BV5" s="28" t="str">
        <f t="shared" si="20"/>
        <v/>
      </c>
      <c r="BW5" s="28" t="str">
        <f t="shared" si="20"/>
        <v/>
      </c>
      <c r="BX5" s="206" t="str">
        <f t="shared" si="20"/>
        <v/>
      </c>
      <c r="BY5" s="28" t="str">
        <f t="shared" si="20"/>
        <v/>
      </c>
      <c r="BZ5" s="28" t="str">
        <f t="shared" si="20"/>
        <v/>
      </c>
      <c r="CA5" s="206" t="str">
        <f t="shared" si="20"/>
        <v/>
      </c>
      <c r="CB5" s="28" t="str">
        <f t="shared" si="20"/>
        <v/>
      </c>
      <c r="CC5" s="28" t="str">
        <f t="shared" si="20"/>
        <v/>
      </c>
      <c r="CD5" s="206" t="str">
        <f t="shared" si="20"/>
        <v/>
      </c>
      <c r="CE5" s="28" t="str">
        <f t="shared" si="20"/>
        <v/>
      </c>
      <c r="CF5" s="28" t="str">
        <f t="shared" si="20"/>
        <v/>
      </c>
      <c r="CG5" s="206" t="str">
        <f t="shared" si="20"/>
        <v/>
      </c>
      <c r="CH5" s="28" t="str">
        <f t="shared" si="20"/>
        <v/>
      </c>
      <c r="CI5" s="28" t="str">
        <f t="shared" si="20"/>
        <v/>
      </c>
      <c r="CJ5" s="206" t="str">
        <f t="shared" si="20"/>
        <v/>
      </c>
      <c r="CK5" s="28" t="str">
        <f t="shared" si="20"/>
        <v/>
      </c>
      <c r="CL5" s="28" t="str">
        <f t="shared" si="20"/>
        <v/>
      </c>
      <c r="CM5" s="206"/>
      <c r="CN5" s="28" t="str">
        <f>IF(ISERROR(SUBTOTAL(1,CN$17:CN$1200)),"",SUBTOTAL(1,CN$17:CN$1200))</f>
        <v/>
      </c>
      <c r="CO5" s="28" t="str">
        <f>IF(ISERROR(SUBTOTAL(1,CO$17:CO$1200)),"",SUBTOTAL(1,CO$17:CO$1200))</f>
        <v/>
      </c>
      <c r="CP5" s="206" t="str">
        <f>IF(ISERROR(SUBTOTAL(1,CP$17:CP$1200)),"",SUBTOTAL(1,CP$17:CP$1200))</f>
        <v/>
      </c>
      <c r="CQ5" s="288" t="str">
        <f>IF(ISERROR(SUBTOTAL(1,CQ$17:CQ$1200)),"",SUBTOTAL(1,CQ$17:CQ$1200))</f>
        <v/>
      </c>
      <c r="CR5" s="28" t="str">
        <f>IF(ISERROR(SUBTOTAL(1,CR$17:CR$1200)),"",SUBTOTAL(1,CR$17:CR$1200))</f>
        <v/>
      </c>
      <c r="CS5" s="206" t="s">
        <v>872</v>
      </c>
      <c r="CT5" s="288" t="str">
        <f>IF(ISERROR(SUBTOTAL(1,CT$17:CT$1200)),"",SUBTOTAL(1,CT$17:CT$1200))</f>
        <v/>
      </c>
      <c r="CU5" s="28" t="str">
        <f>IF(ISERROR(SUBTOTAL(1,CU$17:CU$1200)),"",SUBTOTAL(1,CU$17:CU$1200))</f>
        <v/>
      </c>
      <c r="CV5" s="206" t="s">
        <v>872</v>
      </c>
      <c r="CW5" s="288" t="str">
        <f>IF(ISERROR(SUBTOTAL(1,CW$17:CW$1200)),"",SUBTOTAL(1,CW$17:CW$1200))</f>
        <v/>
      </c>
      <c r="CX5" s="28" t="str">
        <f>IF(ISERROR(SUBTOTAL(1,CX$17:CX$1200)),"",SUBTOTAL(1,CX$17:CX$1200))</f>
        <v/>
      </c>
      <c r="CY5" s="206"/>
      <c r="CZ5" s="288" t="str">
        <f>IF(ISERROR(SUBTOTAL(1,CZ$17:CZ$1200)),"",SUBTOTAL(1,CZ$17:CZ$1200))</f>
        <v/>
      </c>
      <c r="DA5" s="28" t="str">
        <f>IF(ISERROR(SUBTOTAL(1,DA$17:DA$1200)),"",SUBTOTAL(1,DA$17:DA$1200))</f>
        <v/>
      </c>
      <c r="DB5" s="206"/>
      <c r="DC5" s="288" t="str">
        <f>IF(ISERROR(SUBTOTAL(1,DC$17:DC$1200)),"",SUBTOTAL(1,DC$17:DC$1200))</f>
        <v/>
      </c>
      <c r="DD5" s="28" t="str">
        <f>IF(ISERROR(SUBTOTAL(1,DD$17:DD$1200)),"",SUBTOTAL(1,DD$17:DD$1200))</f>
        <v/>
      </c>
      <c r="DE5" s="206" t="str">
        <f>IF(ISERROR(SUBTOTAL(1,DE$17:DE$1200)),"",SUBTOTAL(1,DE$17:DE$1200))</f>
        <v/>
      </c>
      <c r="DF5" s="288" t="str">
        <f>IF(ISERROR(SUBTOTAL(1,DF$17:DF$1200)),"",SUBTOTAL(1,DF$17:DF$1200))</f>
        <v/>
      </c>
      <c r="DG5" s="28" t="str">
        <f>IF(ISERROR(SUBTOTAL(1,DG$17:DG$1200)),"",SUBTOTAL(1,DG$17:DG$1200))</f>
        <v/>
      </c>
      <c r="DH5" s="206" t="e">
        <f>SUBTOTAL(1,DH$17:DH$1200)</f>
        <v>#N/A</v>
      </c>
      <c r="DI5" s="288" t="str">
        <f>IF(ISERROR(SUBTOTAL(1,DI$17:DI$1200)),"",SUBTOTAL(1,DI$17:DI$1200))</f>
        <v/>
      </c>
      <c r="DJ5" s="28" t="str">
        <f>IF(ISERROR(SUBTOTAL(1,DJ$17:DJ$1200)),"",SUBTOTAL(1,DJ$17:DJ$1200))</f>
        <v/>
      </c>
      <c r="DK5" s="206"/>
      <c r="DL5" s="288" t="str">
        <f>IF(ISERROR(SUBTOTAL(1,DL$17:DL$1200)),"",SUBTOTAL(1,DL$17:DL$1200))</f>
        <v/>
      </c>
      <c r="DM5" s="187" t="str">
        <f>IF(ISERROR(SUBTOTAL(1,DM$17:DM$1200)),"",SUBTOTAL(1,DM$17:DM$1200))</f>
        <v/>
      </c>
      <c r="DN5" s="28"/>
      <c r="DO5" s="409"/>
      <c r="DP5" s="288" t="str">
        <f>IF(ISERROR(SUBTOTAL(1,DP$17:DP$1200)),"",SUBTOTAL(1,DP$17:DP$1200))</f>
        <v/>
      </c>
      <c r="DQ5" s="28" t="str">
        <f>IF(ISERROR(SUBTOTAL(1,DQ$17:DQ$1200)),"",SUBTOTAL(1,DQ$17:DQ$1200))</f>
        <v/>
      </c>
      <c r="DR5" s="206"/>
      <c r="DS5" s="288" t="str">
        <f>IF(ISERROR(SUBTOTAL(1,DS$17:DS$1200)),"",SUBTOTAL(1,DS$17:DS$1200))</f>
        <v/>
      </c>
      <c r="DT5" s="28" t="str">
        <f>IF(ISERROR(SUBTOTAL(1,DT$17:DT$1200)),"",SUBTOTAL(1,DT$17:DT$1200))</f>
        <v/>
      </c>
      <c r="DU5" s="409" t="str">
        <f>IF(ISERROR(SUBTOTAL(1,DU$17:DU$1200)),"",SUBTOTAL(1,DU$17:DU$1200))</f>
        <v/>
      </c>
      <c r="DV5" s="288"/>
      <c r="DW5" s="28"/>
      <c r="DX5" s="206" t="str">
        <f>IF(ISERROR(SUBTOTAL(1,DX$17:DX$1200)),"",SUBTOTAL(1,DX$17:DX$1200))</f>
        <v/>
      </c>
      <c r="DY5" s="288" t="str">
        <f>IF(ISERROR(SUBTOTAL(1,DY$17:DY$1200)),"",SUBTOTAL(1,DY$17:DY$1200))</f>
        <v/>
      </c>
      <c r="DZ5" s="28" t="str">
        <f>IF(ISERROR(SUBTOTAL(1,DZ$17:DZ$1200)),"",SUBTOTAL(1,DZ$17:DZ$1200))</f>
        <v/>
      </c>
      <c r="EA5" s="320"/>
      <c r="EB5" s="288" t="str">
        <f>IF(ISERROR(SUBTOTAL(1,EB$17:EB$1200)),"",SUBTOTAL(1,EB$17:EB$1200))</f>
        <v/>
      </c>
      <c r="EC5" s="28" t="str">
        <f>IF(ISERROR(SUBTOTAL(1,EC$17:EC$1200)),"",SUBTOTAL(1,EC$17:EC$1200))</f>
        <v/>
      </c>
      <c r="ED5" s="320"/>
      <c r="EE5" s="288" t="str">
        <f t="shared" ref="EE5:EK5" si="21">IF(ISERROR(SUBTOTAL(1,EE$17:EE$1200)),"",SUBTOTAL(1,EE$17:EE$1200))</f>
        <v/>
      </c>
      <c r="EF5" s="28" t="str">
        <f t="shared" si="21"/>
        <v/>
      </c>
      <c r="EG5" s="281" t="str">
        <f t="shared" si="21"/>
        <v/>
      </c>
      <c r="EH5" s="28" t="str">
        <f t="shared" si="21"/>
        <v/>
      </c>
      <c r="EI5" s="382" t="str">
        <f t="shared" si="21"/>
        <v/>
      </c>
      <c r="EJ5" s="288" t="str">
        <f t="shared" si="21"/>
        <v/>
      </c>
      <c r="EK5" s="187" t="str">
        <f t="shared" si="21"/>
        <v/>
      </c>
      <c r="EL5" s="192"/>
      <c r="EM5" s="288" t="str">
        <f t="shared" ref="EM5:FC5" si="22">IF(ISERROR(SUBTOTAL(1,EM$17:EM$1200)),"",SUBTOTAL(1,EM$17:EM$1200))</f>
        <v/>
      </c>
      <c r="EN5" s="28" t="str">
        <f t="shared" si="22"/>
        <v/>
      </c>
      <c r="EO5" s="320" t="str">
        <f t="shared" si="22"/>
        <v/>
      </c>
      <c r="EP5" s="288" t="str">
        <f t="shared" si="22"/>
        <v/>
      </c>
      <c r="EQ5" s="28" t="str">
        <f t="shared" si="22"/>
        <v/>
      </c>
      <c r="ER5" s="320" t="str">
        <f t="shared" si="22"/>
        <v/>
      </c>
      <c r="ES5" s="288" t="str">
        <f t="shared" si="22"/>
        <v/>
      </c>
      <c r="ET5" s="28" t="str">
        <f t="shared" si="22"/>
        <v/>
      </c>
      <c r="EU5" s="320" t="str">
        <f t="shared" si="22"/>
        <v/>
      </c>
      <c r="EV5" s="288" t="str">
        <f t="shared" si="22"/>
        <v/>
      </c>
      <c r="EW5" s="28" t="str">
        <f t="shared" si="22"/>
        <v/>
      </c>
      <c r="EX5" s="320" t="str">
        <f t="shared" si="22"/>
        <v/>
      </c>
      <c r="EY5" s="288" t="str">
        <f t="shared" si="22"/>
        <v/>
      </c>
      <c r="EZ5" s="28" t="str">
        <f t="shared" si="22"/>
        <v/>
      </c>
      <c r="FA5" s="320" t="str">
        <f t="shared" si="22"/>
        <v/>
      </c>
      <c r="FB5" s="288" t="str">
        <f t="shared" si="22"/>
        <v/>
      </c>
      <c r="FC5" s="28" t="str">
        <f t="shared" si="22"/>
        <v/>
      </c>
      <c r="FD5" s="320" t="str">
        <f>IF(ISERROR(SUBTOTAL(1,FD$17:FD$1500)),"",SUBTOTAL(1,FD$17:FD$1500))</f>
        <v/>
      </c>
      <c r="FE5" s="288" t="str">
        <f>IF(ISERROR(SUBTOTAL(1,FE$17:FE$1500)),"",SUBTOTAL(1,FE$17:FE$1500))</f>
        <v/>
      </c>
      <c r="FF5" s="28" t="str">
        <f>IF(ISERROR(SUBTOTAL(1,FF$17:FF$1500)),"",SUBTOTAL(1,FF$17:FF$1500))</f>
        <v/>
      </c>
      <c r="FG5" s="320" t="str">
        <f t="shared" ref="FG5:FV5" si="23">IF(ISERROR(SUBTOTAL(1,FG$17:FG$1200)),"",SUBTOTAL(1,FG$17:FG$1200))</f>
        <v/>
      </c>
      <c r="FH5" s="288" t="str">
        <f t="shared" si="23"/>
        <v/>
      </c>
      <c r="FI5" s="28" t="str">
        <f t="shared" si="23"/>
        <v/>
      </c>
      <c r="FJ5" s="1615" t="str">
        <f t="shared" si="23"/>
        <v/>
      </c>
      <c r="FK5" s="28" t="str">
        <f t="shared" si="23"/>
        <v/>
      </c>
      <c r="FL5" s="1611" t="str">
        <f t="shared" si="23"/>
        <v/>
      </c>
      <c r="FM5" s="404" t="str">
        <f t="shared" si="23"/>
        <v/>
      </c>
      <c r="FN5" s="1611" t="str">
        <f t="shared" si="23"/>
        <v/>
      </c>
      <c r="FO5" s="404" t="str">
        <f t="shared" si="23"/>
        <v/>
      </c>
      <c r="FP5" s="1611" t="str">
        <f t="shared" si="23"/>
        <v/>
      </c>
      <c r="FQ5" s="404" t="str">
        <f t="shared" si="23"/>
        <v/>
      </c>
      <c r="FR5" s="288" t="str">
        <f t="shared" si="23"/>
        <v/>
      </c>
      <c r="FS5" s="28" t="str">
        <f t="shared" si="23"/>
        <v/>
      </c>
      <c r="FT5" s="1628" t="str">
        <f t="shared" si="23"/>
        <v/>
      </c>
      <c r="FU5" s="1629" t="str">
        <f t="shared" si="23"/>
        <v/>
      </c>
      <c r="FV5" s="1832" t="str">
        <f t="shared" si="23"/>
        <v/>
      </c>
      <c r="FW5" s="3004"/>
      <c r="FX5" s="3004"/>
      <c r="FY5" s="3004"/>
      <c r="FZ5" s="3144" t="s">
        <v>3777</v>
      </c>
      <c r="GA5" s="3144"/>
      <c r="GB5" s="3144"/>
      <c r="GC5" s="3144"/>
      <c r="GD5" s="3144"/>
      <c r="GE5" s="3144"/>
      <c r="GF5" s="3144"/>
      <c r="GG5" s="3144"/>
      <c r="GH5" s="3144"/>
      <c r="GI5" s="3144"/>
      <c r="GJ5" s="3144"/>
      <c r="GM5" s="28" t="str">
        <f>IF(ISERROR(SUBTOTAL(1,GM$17:GM$1200)),"",SUBTOTAL(1,GM$17:GM$1200))</f>
        <v/>
      </c>
      <c r="GN5" s="55"/>
      <c r="GO5" s="55"/>
      <c r="GS5" s="320">
        <f t="shared" ref="GS5:GU5" si="24">IF(ISERROR(SUBTOTAL(1,GS$17:GS$1200)),"",SUBTOTAL(1,GS$17:GS$1200))</f>
        <v>1</v>
      </c>
      <c r="GT5" s="288" t="str">
        <f t="shared" si="24"/>
        <v/>
      </c>
      <c r="GU5" s="28" t="str">
        <f t="shared" si="24"/>
        <v/>
      </c>
    </row>
    <row r="6" spans="1:256" s="15" customFormat="1" ht="12" customHeight="1">
      <c r="A6" s="3187" t="s">
        <v>313</v>
      </c>
      <c r="B6" s="3188"/>
      <c r="C6" s="3189"/>
      <c r="D6" s="24"/>
      <c r="E6" s="81"/>
      <c r="F6" s="84"/>
      <c r="G6" s="1309">
        <f>D1-SUM(G4:G5)</f>
        <v>1</v>
      </c>
      <c r="H6" s="40" t="s">
        <v>248</v>
      </c>
      <c r="I6" s="87"/>
      <c r="J6" s="87"/>
      <c r="K6" s="88"/>
      <c r="L6" s="87"/>
      <c r="M6" s="89"/>
      <c r="N6" s="88"/>
      <c r="O6" s="88"/>
      <c r="P6" s="88"/>
      <c r="Q6" s="88"/>
      <c r="R6" s="88"/>
      <c r="S6" s="88"/>
      <c r="T6" s="40"/>
      <c r="U6" s="231"/>
      <c r="W6" s="136"/>
      <c r="X6" s="136"/>
      <c r="Y6" s="136"/>
      <c r="Z6" s="136"/>
      <c r="AA6" s="136"/>
      <c r="AB6" s="136"/>
      <c r="AC6" s="136"/>
      <c r="AD6" s="234"/>
      <c r="AE6" s="136"/>
      <c r="AF6" s="136"/>
      <c r="AG6" s="136"/>
      <c r="AH6" s="136"/>
      <c r="AI6" s="136"/>
      <c r="AJ6" s="136"/>
      <c r="AK6" s="234"/>
      <c r="AL6" s="136"/>
      <c r="AM6" s="136"/>
      <c r="AN6" s="136"/>
      <c r="AO6" s="136"/>
      <c r="AP6" s="136"/>
      <c r="AQ6" s="136"/>
      <c r="AR6" s="136"/>
      <c r="AS6" s="136"/>
      <c r="AT6" s="136"/>
      <c r="AU6" s="136"/>
      <c r="AV6" s="213">
        <f>SUBTOTAL(2,AV$17:AV$1200)</f>
        <v>0</v>
      </c>
      <c r="AW6" s="213">
        <f>SUBTOTAL(2,AW$17:AW$1200)</f>
        <v>0</v>
      </c>
      <c r="AX6" s="34">
        <f>SUBTOTAL(2,AX$17:AX$1200)</f>
        <v>0</v>
      </c>
      <c r="AY6" s="207"/>
      <c r="AZ6" s="289">
        <f>IF(ISERROR(SUBTOTAL(2,AZ$17:AZ$1200)),"",SUBTOTAL(2,AZ$17:AZ$1200))</f>
        <v>0</v>
      </c>
      <c r="BA6" s="188">
        <f>IF(ISERROR(SUBTOTAL(2,BA$17:BA$1200)),"",SUBTOTAL(2,BA$17:BA$1200))</f>
        <v>0</v>
      </c>
      <c r="BB6" s="213">
        <f>SUBTOTAL(2,BB$17:BB$1200)</f>
        <v>0</v>
      </c>
      <c r="BC6" s="1860">
        <f>SUBTOTAL(2,BC$17:BC$1200)</f>
        <v>0</v>
      </c>
      <c r="BD6" s="34">
        <f>SUBTOTAL(2,BD$17:BD$1200)</f>
        <v>0</v>
      </c>
      <c r="BE6" s="34"/>
      <c r="BF6" s="289">
        <f t="shared" ref="BF6:BL6" si="25">SUBTOTAL(2,BF$17:BF$1200)</f>
        <v>0</v>
      </c>
      <c r="BG6" s="34">
        <f t="shared" si="25"/>
        <v>0</v>
      </c>
      <c r="BH6" s="1444">
        <f t="shared" si="25"/>
        <v>0</v>
      </c>
      <c r="BI6" s="1445">
        <f t="shared" si="25"/>
        <v>0</v>
      </c>
      <c r="BJ6" s="1444">
        <f t="shared" si="25"/>
        <v>0</v>
      </c>
      <c r="BK6" s="1458">
        <f t="shared" si="25"/>
        <v>0</v>
      </c>
      <c r="BL6" s="188">
        <f t="shared" si="25"/>
        <v>0</v>
      </c>
      <c r="BM6" s="366"/>
      <c r="BN6" s="289">
        <f>IF(ISERROR(SUBTOTAL(2,BN$17:BN$1200)),"",SUBTOTAL(2,BN$17:BN$1200))</f>
        <v>0</v>
      </c>
      <c r="BO6" s="34">
        <f>IF(ISERROR(SUBTOTAL(2,BO$17:BO$1200)),"",SUBTOTAL(2,BO$17:BO$1200))</f>
        <v>0</v>
      </c>
      <c r="BP6" s="213"/>
      <c r="BQ6" s="34"/>
      <c r="BR6" s="207"/>
      <c r="BS6" s="34">
        <f>IF(ISERROR(SUBTOTAL(2,BS$17:BS$1200)),"",SUBTOTAL(2,BS$17:BS$1200))</f>
        <v>0</v>
      </c>
      <c r="BT6" s="34">
        <f>IF(ISERROR(SUBTOTAL(2,BT$17:BT$1200)),"",SUBTOTAL(2,BT$17:BT$1200))</f>
        <v>0</v>
      </c>
      <c r="BU6" s="207"/>
      <c r="BV6" s="34">
        <f>IF(ISERROR(SUBTOTAL(2,BV$17:BV$1200)),"",SUBTOTAL(2,BV$17:BV$1200))</f>
        <v>0</v>
      </c>
      <c r="BW6" s="34">
        <f>IF(ISERROR(SUBTOTAL(2,BW$17:BW$1200)),"",SUBTOTAL(2,BW$17:BW$1200))</f>
        <v>0</v>
      </c>
      <c r="BX6" s="207"/>
      <c r="BY6" s="34">
        <f>IF(ISERROR(SUBTOTAL(2,BY$17:BY$1200)),"",SUBTOTAL(2,BY$17:BY$1200))</f>
        <v>0</v>
      </c>
      <c r="BZ6" s="34">
        <f>IF(ISERROR(SUBTOTAL(2,BZ$17:BZ$1200)),"",SUBTOTAL(2,BZ$17:BZ$1200))</f>
        <v>0</v>
      </c>
      <c r="CA6" s="207"/>
      <c r="CB6" s="34">
        <f>IF(ISERROR(SUBTOTAL(2,CB$17:CB$1200)),"",SUBTOTAL(2,CB$17:CB$1200))</f>
        <v>0</v>
      </c>
      <c r="CC6" s="34">
        <f>IF(ISERROR(SUBTOTAL(2,CC$17:CC$1200)),"",SUBTOTAL(2,CC$17:CC$1200))</f>
        <v>0</v>
      </c>
      <c r="CD6" s="207"/>
      <c r="CE6" s="34">
        <f>IF(ISERROR(SUBTOTAL(2,CE$17:CE$1200)),"",SUBTOTAL(2,CE$17:CE$1200))</f>
        <v>0</v>
      </c>
      <c r="CF6" s="34">
        <f>IF(ISERROR(SUBTOTAL(2,CF$17:CF$1200)),"",SUBTOTAL(2,CF$17:CF$1200))</f>
        <v>0</v>
      </c>
      <c r="CG6" s="207"/>
      <c r="CH6" s="34">
        <f>IF(ISERROR(SUBTOTAL(2,CH$17:CH$1200)),"",SUBTOTAL(2,CH$17:CH$1200))</f>
        <v>0</v>
      </c>
      <c r="CI6" s="34">
        <f>IF(ISERROR(SUBTOTAL(2,CI$17:CI$1200)),"",SUBTOTAL(2,CI$17:CI$1200))</f>
        <v>0</v>
      </c>
      <c r="CJ6" s="207"/>
      <c r="CK6" s="34">
        <f>IF(ISERROR(SUBTOTAL(2,CK$17:CK$1200)),"",SUBTOTAL(2,CK$17:CK$1200))</f>
        <v>0</v>
      </c>
      <c r="CL6" s="34">
        <f>IF(ISERROR(SUBTOTAL(2,CL$17:CL$1200)),"",SUBTOTAL(2,CL$17:CL$1200))</f>
        <v>0</v>
      </c>
      <c r="CM6" s="207">
        <f>SUBTOTAL(2,CM$17:CM$1200)</f>
        <v>0</v>
      </c>
      <c r="CN6" s="34">
        <f>IF(ISERROR(SUBTOTAL(2,CN$17:CN$1200)),"",SUBTOTAL(2,CN$17:CN$1200))</f>
        <v>0</v>
      </c>
      <c r="CO6" s="34">
        <f>IF(ISERROR(SUBTOTAL(2,CO$17:CO$1200)),"",SUBTOTAL(2,CO$17:CO$1200))</f>
        <v>0</v>
      </c>
      <c r="CP6" s="207">
        <f>SUBTOTAL(2,CP$17:CP$1200)</f>
        <v>0</v>
      </c>
      <c r="CQ6" s="289">
        <f>IF(ISERROR(SUBTOTAL(2,CQ$17:CQ$1200)),"",SUBTOTAL(2,CQ$17:CQ$1200))</f>
        <v>0</v>
      </c>
      <c r="CR6" s="34">
        <f>IF(ISERROR(SUBTOTAL(2,CR$17:CR$1200)),"",SUBTOTAL(2,CR$17:CR$1200))</f>
        <v>0</v>
      </c>
      <c r="CS6" s="207" t="s">
        <v>872</v>
      </c>
      <c r="CT6" s="289">
        <f>IF(ISERROR(SUBTOTAL(2,CT$17:CT$1200)),"",SUBTOTAL(2,CT$17:CT$1200))</f>
        <v>0</v>
      </c>
      <c r="CU6" s="34">
        <f>IF(ISERROR(SUBTOTAL(2,CU$17:CU$1200)),"",SUBTOTAL(2,CU$17:CU$1200))</f>
        <v>0</v>
      </c>
      <c r="CV6" s="207" t="s">
        <v>872</v>
      </c>
      <c r="CW6" s="289">
        <f>IF(ISERROR(SUBTOTAL(2,CW$17:CW$1200)),"",SUBTOTAL(2,CW$17:CW$1200))</f>
        <v>0</v>
      </c>
      <c r="CX6" s="34">
        <f>IF(ISERROR(SUBTOTAL(2,CX$17:CX$1200)),"",SUBTOTAL(2,CX$17:CX$1200))</f>
        <v>0</v>
      </c>
      <c r="CY6" s="207"/>
      <c r="CZ6" s="289">
        <f>IF(ISERROR(SUBTOTAL(2,CZ$17:CZ$1200)),"",SUBTOTAL(2,CZ$17:CZ$1200))</f>
        <v>0</v>
      </c>
      <c r="DA6" s="34">
        <f>IF(ISERROR(SUBTOTAL(2,DA$17:DA$1200)),"",SUBTOTAL(2,DA$17:DA$1200))</f>
        <v>0</v>
      </c>
      <c r="DB6" s="207"/>
      <c r="DC6" s="289">
        <f>IF(ISERROR(SUBTOTAL(2,DC$17:DC$1200)),"",SUBTOTAL(2,DC$17:DC$1200))</f>
        <v>0</v>
      </c>
      <c r="DD6" s="34">
        <f>IF(ISERROR(SUBTOTAL(2,DD$17:DD$1200)),"",SUBTOTAL(2,DD$17:DD$1200))</f>
        <v>0</v>
      </c>
      <c r="DE6" s="207"/>
      <c r="DF6" s="289">
        <f>IF(ISERROR(SUBTOTAL(2,DF$17:DF$1200)),"",SUBTOTAL(2,DF$17:DF$1200))</f>
        <v>0</v>
      </c>
      <c r="DG6" s="34">
        <f>IF(ISERROR(SUBTOTAL(2,DG$17:DG$1200)),"",SUBTOTAL(2,DG$17:DG$1200))</f>
        <v>0</v>
      </c>
      <c r="DH6" s="207">
        <f>SUBTOTAL(2,DH$17:DH$1200)</f>
        <v>0</v>
      </c>
      <c r="DI6" s="289">
        <f>IF(ISERROR(SUBTOTAL(2,DI$17:DI$1200)),"",SUBTOTAL(2,DI$17:DI$1200))</f>
        <v>0</v>
      </c>
      <c r="DJ6" s="34">
        <f>IF(ISERROR(SUBTOTAL(2,DJ$17:DJ$1200)),"",SUBTOTAL(2,DJ$17:DJ$1200))</f>
        <v>0</v>
      </c>
      <c r="DK6" s="207"/>
      <c r="DL6" s="289">
        <f>IF(ISERROR(SUBTOTAL(2,DL$17:DL$1200)),"",SUBTOTAL(2,DL$17:DL$1200))</f>
        <v>0</v>
      </c>
      <c r="DM6" s="188">
        <f>IF(ISERROR(SUBTOTAL(2,DM$17:DM$1200)),"",SUBTOTAL(2,DM$17:DM$1200))</f>
        <v>0</v>
      </c>
      <c r="DN6" s="34"/>
      <c r="DO6" s="411"/>
      <c r="DP6" s="289">
        <f>IF(ISERROR(SUBTOTAL(2,DP$17:DP$1200)),"",SUBTOTAL(2,DP$17:DP$1200))</f>
        <v>0</v>
      </c>
      <c r="DQ6" s="34">
        <f>IF(ISERROR(SUBTOTAL(2,DQ$17:DQ$1200)),"",SUBTOTAL(2,DQ$17:DQ$1200))</f>
        <v>0</v>
      </c>
      <c r="DR6" s="207"/>
      <c r="DS6" s="289">
        <f>IF(ISERROR(SUBTOTAL(2,DS$17:DS$1200)),"",SUBTOTAL(2,DS$17:DS$1200))</f>
        <v>0</v>
      </c>
      <c r="DT6" s="34">
        <f>IF(ISERROR(SUBTOTAL(2,DT$17:DT$1200)),"",SUBTOTAL(2,DT$17:DT$1200))</f>
        <v>0</v>
      </c>
      <c r="DU6" s="411">
        <f>COUNT(DU$17:DU$1200)-COUNTIF(DU17:DU1200,0)</f>
        <v>0</v>
      </c>
      <c r="DV6" s="289"/>
      <c r="DW6" s="34"/>
      <c r="DX6" s="207"/>
      <c r="DY6" s="289">
        <f>IF(ISERROR(SUBTOTAL(2,DY$17:DY$1200)),"",SUBTOTAL(2,DY$17:DY$1200))</f>
        <v>0</v>
      </c>
      <c r="DZ6" s="34">
        <f>IF(ISERROR(SUBTOTAL(2,DZ$17:DZ$1200)),"",SUBTOTAL(2,DZ$17:DZ$1200))</f>
        <v>0</v>
      </c>
      <c r="EA6" s="321"/>
      <c r="EB6" s="289">
        <f>IF(ISERROR(SUBTOTAL(2,EB$17:EB$1200)),"",SUBTOTAL(2,EB$17:EB$1200))</f>
        <v>0</v>
      </c>
      <c r="EC6" s="34">
        <f>IF(ISERROR(SUBTOTAL(2,EC$17:EC$1200)),"",SUBTOTAL(2,EC$17:EC$1200))</f>
        <v>0</v>
      </c>
      <c r="ED6" s="321"/>
      <c r="EE6" s="289">
        <f>IF(ISERROR(SUBTOTAL(2,EE$17:EE$1200)),"",SUBTOTAL(2,EE$17:EE$1200))</f>
        <v>0</v>
      </c>
      <c r="EF6" s="34">
        <f>IF(ISERROR(SUBTOTAL(2,EF$17:EF$1200)),"",SUBTOTAL(2,EF$17:EF$1200))</f>
        <v>0</v>
      </c>
      <c r="EG6" s="282">
        <f>IF(ISERROR(SUBTOTAL(2,EG$17:EG$1200)),"",SUBTOTAL(2,EG$17:EG$1200))</f>
        <v>0</v>
      </c>
      <c r="EH6" s="34">
        <f>IF(ISERROR(SUBTOTAL(2,EH$17:EH$1200)),"",SUBTOTAL(2,EH$17:EH$1200))</f>
        <v>0</v>
      </c>
      <c r="EI6" s="383">
        <f>SUBTOTAL(2,EI$17:EI$1200)</f>
        <v>0</v>
      </c>
      <c r="EJ6" s="289">
        <f>IF(ISERROR(SUBTOTAL(2,EJ$17:EJ$1200)),"",SUBTOTAL(2,EJ$17:EJ$1200))</f>
        <v>0</v>
      </c>
      <c r="EK6" s="188">
        <f>IF(ISERROR(SUBTOTAL(2,EK$17:EK$1200)),"",SUBTOTAL(2,EK$17:EK$1200))</f>
        <v>0</v>
      </c>
      <c r="EL6" s="259"/>
      <c r="EM6" s="289">
        <f>IF(ISERROR(SUBTOTAL(2,EM$17:EM$1200)),"",SUBTOTAL(2,EM$17:EM$1200))</f>
        <v>0</v>
      </c>
      <c r="EN6" s="34">
        <f>IF(ISERROR(SUBTOTAL(2,EN$17:EN$1200)),"",SUBTOTAL(2,EN$17:EN$1200))</f>
        <v>0</v>
      </c>
      <c r="EO6" s="321">
        <f t="shared" ref="EO6:EX6" si="26">SUBTOTAL(2,EO$17:EO$1200)</f>
        <v>0</v>
      </c>
      <c r="EP6" s="289">
        <f t="shared" si="26"/>
        <v>0</v>
      </c>
      <c r="EQ6" s="34">
        <f t="shared" si="26"/>
        <v>0</v>
      </c>
      <c r="ER6" s="321">
        <f t="shared" si="26"/>
        <v>0</v>
      </c>
      <c r="ES6" s="289">
        <f t="shared" si="26"/>
        <v>0</v>
      </c>
      <c r="ET6" s="34">
        <f t="shared" si="26"/>
        <v>0</v>
      </c>
      <c r="EU6" s="321">
        <f t="shared" si="26"/>
        <v>0</v>
      </c>
      <c r="EV6" s="289">
        <f t="shared" si="26"/>
        <v>0</v>
      </c>
      <c r="EW6" s="34">
        <f t="shared" si="26"/>
        <v>0</v>
      </c>
      <c r="EX6" s="2500">
        <f t="shared" si="26"/>
        <v>0</v>
      </c>
      <c r="EY6" s="289">
        <f>IF(ISERROR(SUBTOTAL(2,EY$17:EY$1200)),"",SUBTOTAL(2,EY$17:EY$1200))</f>
        <v>0</v>
      </c>
      <c r="EZ6" s="34">
        <f>IF(ISERROR(SUBTOTAL(2,EZ$17:EZ$1200)),"",SUBTOTAL(2,EZ$17:EZ$1200))</f>
        <v>0</v>
      </c>
      <c r="FA6" s="321">
        <f>SUBTOTAL(2,FA$17:FA$1200)</f>
        <v>0</v>
      </c>
      <c r="FB6" s="289">
        <f>IF(ISERROR(SUBTOTAL(2,FB$17:FB$1200)),"",SUBTOTAL(2,FB$17:FB$1200))</f>
        <v>0</v>
      </c>
      <c r="FC6" s="34">
        <f>IF(ISERROR(SUBTOTAL(2,FC$17:FC$1200)),"",SUBTOTAL(2,FC$17:FC$1200))</f>
        <v>0</v>
      </c>
      <c r="FD6" s="321">
        <f>SUBTOTAL(2,FD$17:FD$1500)</f>
        <v>0</v>
      </c>
      <c r="FE6" s="289">
        <f>IF(ISERROR(SUBTOTAL(2,FE$17:FE$1500)),"",SUBTOTAL(2,FE$17:FE$1500))</f>
        <v>0</v>
      </c>
      <c r="FF6" s="34">
        <f>IF(ISERROR(SUBTOTAL(2,FF$17:FF$1500)),"",SUBTOTAL(2,FF$17:FF$1500))</f>
        <v>0</v>
      </c>
      <c r="FG6" s="321">
        <f>SUBTOTAL(2,FG$17:FG$1200)</f>
        <v>0</v>
      </c>
      <c r="FH6" s="289">
        <f>SUBTOTAL(2,FH$17:FH$1200)</f>
        <v>0</v>
      </c>
      <c r="FI6" s="34">
        <f>SUBTOTAL(2,FI$17:FI$1200)</f>
        <v>0</v>
      </c>
      <c r="FJ6" s="1431">
        <f t="shared" ref="FJ6:FV6" si="27">IF(ISERROR(SUBTOTAL(2,FJ$17:FJ$1200)),"",SUBTOTAL(2,FJ$17:FJ$1200))</f>
        <v>0</v>
      </c>
      <c r="FK6" s="34">
        <f t="shared" si="27"/>
        <v>0</v>
      </c>
      <c r="FL6" s="291">
        <f t="shared" si="27"/>
        <v>0</v>
      </c>
      <c r="FM6" s="250">
        <f t="shared" si="27"/>
        <v>0</v>
      </c>
      <c r="FN6" s="291">
        <f t="shared" si="27"/>
        <v>0</v>
      </c>
      <c r="FO6" s="250">
        <f t="shared" si="27"/>
        <v>0</v>
      </c>
      <c r="FP6" s="291">
        <f t="shared" si="27"/>
        <v>0</v>
      </c>
      <c r="FQ6" s="250">
        <f t="shared" si="27"/>
        <v>0</v>
      </c>
      <c r="FR6" s="289">
        <f t="shared" si="27"/>
        <v>0</v>
      </c>
      <c r="FS6" s="34">
        <f t="shared" si="27"/>
        <v>0</v>
      </c>
      <c r="FT6" s="1630">
        <f t="shared" si="27"/>
        <v>0</v>
      </c>
      <c r="FU6" s="1631">
        <f t="shared" si="27"/>
        <v>0</v>
      </c>
      <c r="FV6" s="1834">
        <f t="shared" si="27"/>
        <v>0</v>
      </c>
      <c r="FW6" s="3004"/>
      <c r="FX6" s="3004"/>
      <c r="FY6" s="3004"/>
      <c r="FZ6" s="3145" t="s">
        <v>3897</v>
      </c>
      <c r="GA6" s="3145"/>
      <c r="GB6" s="3145"/>
      <c r="GC6" s="3145"/>
      <c r="GD6" s="3145"/>
      <c r="GE6" s="3145"/>
      <c r="GF6" s="3145"/>
      <c r="GG6" s="3145"/>
      <c r="GH6" s="3145"/>
      <c r="GI6" s="3145"/>
      <c r="GJ6" s="3145"/>
      <c r="GM6" s="1352">
        <f>SUBTOTAL(2,GM$17:GM$1200)</f>
        <v>0</v>
      </c>
      <c r="GN6" s="55"/>
      <c r="GO6" s="55"/>
      <c r="GS6" s="2500">
        <f t="shared" ref="GS6" si="28">SUBTOTAL(2,GS$17:GS$1200)</f>
        <v>1</v>
      </c>
      <c r="GT6" s="289">
        <f>IF(ISERROR(SUBTOTAL(2,GT$17:GT$1200)),"",SUBTOTAL(2,GT$17:GT$1200))</f>
        <v>0</v>
      </c>
      <c r="GU6" s="34">
        <f>IF(ISERROR(SUBTOTAL(2,GU$17:GU$1200)),"",SUBTOTAL(2,GU$17:GU$1200))</f>
        <v>0</v>
      </c>
    </row>
    <row r="7" spans="1:256" s="135" customFormat="1" ht="12" customHeight="1">
      <c r="A7" s="3190">
        <v>3000</v>
      </c>
      <c r="B7" s="3191"/>
      <c r="C7" s="3192"/>
      <c r="D7" s="32"/>
      <c r="E7" s="90"/>
      <c r="F7" s="91"/>
      <c r="G7" s="90"/>
      <c r="H7" s="41" t="s">
        <v>3852</v>
      </c>
      <c r="I7" s="165" t="s">
        <v>3439</v>
      </c>
      <c r="J7" s="165"/>
      <c r="K7" s="165"/>
      <c r="L7" s="164"/>
      <c r="M7" s="91"/>
      <c r="N7" s="92"/>
      <c r="O7" s="92"/>
      <c r="P7" s="92"/>
      <c r="Q7" s="92"/>
      <c r="R7" s="92"/>
      <c r="S7" s="92"/>
      <c r="T7" s="41">
        <v>0</v>
      </c>
      <c r="U7" s="232"/>
      <c r="V7" s="129"/>
      <c r="W7" s="136"/>
      <c r="X7" s="136"/>
      <c r="Y7" s="136"/>
      <c r="Z7" s="136"/>
      <c r="AA7" s="136"/>
      <c r="AB7" s="136"/>
      <c r="AC7" s="136"/>
      <c r="AD7" s="234"/>
      <c r="AE7" s="136"/>
      <c r="AF7" s="136"/>
      <c r="AG7" s="136"/>
      <c r="AH7" s="136"/>
      <c r="AI7" s="136"/>
      <c r="AJ7" s="136"/>
      <c r="AK7" s="234"/>
      <c r="AL7" s="136"/>
      <c r="AM7" s="136"/>
      <c r="AN7" s="136"/>
      <c r="AO7" s="136"/>
      <c r="AP7" s="136"/>
      <c r="AQ7" s="136"/>
      <c r="AR7" s="136"/>
      <c r="AS7" s="136"/>
      <c r="AT7" s="136"/>
      <c r="AU7" s="136"/>
      <c r="AV7" s="194">
        <f t="shared" ref="AV7:BC7" si="29">IF(ISERROR(AV6/$D$1),"",AV6/$D$1)</f>
        <v>0</v>
      </c>
      <c r="AW7" s="194">
        <f t="shared" si="29"/>
        <v>0</v>
      </c>
      <c r="AX7" s="33">
        <f t="shared" si="29"/>
        <v>0</v>
      </c>
      <c r="AY7" s="208">
        <f t="shared" si="29"/>
        <v>0</v>
      </c>
      <c r="AZ7" s="33">
        <f t="shared" si="29"/>
        <v>0</v>
      </c>
      <c r="BA7" s="189">
        <f t="shared" si="29"/>
        <v>0</v>
      </c>
      <c r="BB7" s="194">
        <f t="shared" si="29"/>
        <v>0</v>
      </c>
      <c r="BC7" s="1861">
        <f t="shared" si="29"/>
        <v>0</v>
      </c>
      <c r="BD7" s="33">
        <f t="shared" ref="BD7:BL7" si="30">IF(ISERROR(BD6/$D$1),"",BD6/$D$1)</f>
        <v>0</v>
      </c>
      <c r="BE7" s="1260"/>
      <c r="BF7" s="33">
        <f t="shared" si="30"/>
        <v>0</v>
      </c>
      <c r="BG7" s="33">
        <f t="shared" si="30"/>
        <v>0</v>
      </c>
      <c r="BH7" s="1446">
        <f t="shared" si="30"/>
        <v>0</v>
      </c>
      <c r="BI7" s="1447">
        <f t="shared" si="30"/>
        <v>0</v>
      </c>
      <c r="BJ7" s="1446">
        <f t="shared" si="30"/>
        <v>0</v>
      </c>
      <c r="BK7" s="33">
        <f t="shared" si="30"/>
        <v>0</v>
      </c>
      <c r="BL7" s="189">
        <f t="shared" si="30"/>
        <v>0</v>
      </c>
      <c r="BM7" s="33"/>
      <c r="BN7" s="33">
        <f>IF(ISERROR(BN6/$D$1),"",BN6/$D$1)</f>
        <v>0</v>
      </c>
      <c r="BO7" s="33">
        <f>IF(ISERROR(BO6/$D$1),"",BO6/$D$1)</f>
        <v>0</v>
      </c>
      <c r="BP7" s="353" t="str">
        <f>IF(ISERROR(BP8/BP5),"",BP8/BP5)</f>
        <v/>
      </c>
      <c r="BQ7" s="278" t="str">
        <f>IF(ISERROR(BQ8/BQ5),"",BQ8/BQ5)</f>
        <v/>
      </c>
      <c r="BR7" s="304" t="str">
        <f>IF(ISERROR(BR8/BR5),"",BR8/BR5)</f>
        <v/>
      </c>
      <c r="BS7" s="33">
        <f>IF(ISERROR(BS6/$D$1),"",BS6/$D$1)</f>
        <v>0</v>
      </c>
      <c r="BT7" s="33">
        <f>IF(ISERROR(BT6/$D$1),"",BT6/$D$1)</f>
        <v>0</v>
      </c>
      <c r="BU7" s="304" t="str">
        <f>IF(ISERROR(BU8/BU5),"",BU8/BU5)</f>
        <v/>
      </c>
      <c r="BV7" s="33">
        <f>IF(ISERROR(BV6/$D$1),"",BV6/$D$1)</f>
        <v>0</v>
      </c>
      <c r="BW7" s="33">
        <f>IF(ISERROR(BW6/$D$1),"",BW6/$D$1)</f>
        <v>0</v>
      </c>
      <c r="BX7" s="304" t="str">
        <f>IF(ISERROR(BX8/BX5),"",BX8/BX5)</f>
        <v/>
      </c>
      <c r="BY7" s="33">
        <f>IF(ISERROR(BY6/$D$1),"",BY6/$D$1)</f>
        <v>0</v>
      </c>
      <c r="BZ7" s="33">
        <f>IF(ISERROR(BZ6/$D$1),"",BZ6/$D$1)</f>
        <v>0</v>
      </c>
      <c r="CA7" s="304" t="str">
        <f>IF(ISERROR(CA8/CA5),"",CA8/CA5)</f>
        <v/>
      </c>
      <c r="CB7" s="33">
        <f>IF(ISERROR(CB6/$D$1),"",CB6/$D$1)</f>
        <v>0</v>
      </c>
      <c r="CC7" s="33">
        <f>IF(ISERROR(CC6/$D$1),"",CC6/$D$1)</f>
        <v>0</v>
      </c>
      <c r="CD7" s="304" t="str">
        <f>IF(ISERROR(CD8/CD5),"",CD8/CD5)</f>
        <v/>
      </c>
      <c r="CE7" s="33">
        <f>IF(ISERROR(CE6/$D$1),"",CE6/$D$1)</f>
        <v>0</v>
      </c>
      <c r="CF7" s="33">
        <f>IF(ISERROR(CF6/$D$1),"",CF6/$D$1)</f>
        <v>0</v>
      </c>
      <c r="CG7" s="304" t="str">
        <f>IF(ISERROR(CG8/CG5),"",CG8/CG5)</f>
        <v/>
      </c>
      <c r="CH7" s="33">
        <f>IF(ISERROR(CH6/$D$1),"",CH6/$D$1)</f>
        <v>0</v>
      </c>
      <c r="CI7" s="33">
        <f>IF(ISERROR(CI6/$D$1),"",CI6/$D$1)</f>
        <v>0</v>
      </c>
      <c r="CJ7" s="211"/>
      <c r="CK7" s="33">
        <f>IF(ISERROR(CK6/$D$1),"",CK6/$D$1)</f>
        <v>0</v>
      </c>
      <c r="CL7" s="33">
        <f>IF(ISERROR(CL6/$D$1),"",CL6/$D$1)</f>
        <v>0</v>
      </c>
      <c r="CM7" s="211">
        <f>IF(ISERROR(CM6/$D$1),"",CM6/$D$1)</f>
        <v>0</v>
      </c>
      <c r="CN7" s="33">
        <f>IF(ISERROR(CN6/$D$1),"",CN6/$D$1)</f>
        <v>0</v>
      </c>
      <c r="CO7" s="33">
        <f>IF(ISERROR(CO6/$D$1),"",CO6/$D$1)</f>
        <v>0</v>
      </c>
      <c r="CP7" s="208"/>
      <c r="CQ7" s="33">
        <f>IF(ISERROR(CQ6/$D$1),"",CQ6/$D$1)</f>
        <v>0</v>
      </c>
      <c r="CR7" s="33">
        <f>IF(ISERROR(CR6/$D$1),"",CR6/$D$1)</f>
        <v>0</v>
      </c>
      <c r="CS7" s="208"/>
      <c r="CT7" s="33">
        <f>IF(ISERROR(CT6/$D$1),"",CT6/$D$1)</f>
        <v>0</v>
      </c>
      <c r="CU7" s="33">
        <f>IF(ISERROR(CU6/$D$1),"",CU6/$D$1)</f>
        <v>0</v>
      </c>
      <c r="CV7" s="208"/>
      <c r="CW7" s="33">
        <f>IF(ISERROR(CW6/$D$1),"",CW6/$D$1)</f>
        <v>0</v>
      </c>
      <c r="CX7" s="33">
        <f>IF(ISERROR(CX6/$D$1),"",CX6/$D$1)</f>
        <v>0</v>
      </c>
      <c r="CY7" s="208"/>
      <c r="CZ7" s="33">
        <f>IF(ISERROR(CZ6/$D$1),"",CZ6/$D$1)</f>
        <v>0</v>
      </c>
      <c r="DA7" s="33">
        <f>IF(ISERROR(DA6/$D$1),"",DA6/$D$1)</f>
        <v>0</v>
      </c>
      <c r="DB7" s="208"/>
      <c r="DC7" s="33">
        <f>IF(ISERROR(DC6/$D$1),"",DC6/$D$1)</f>
        <v>0</v>
      </c>
      <c r="DD7" s="33">
        <f>IF(ISERROR(DD6/$D$1),"",DD6/$D$1)</f>
        <v>0</v>
      </c>
      <c r="DE7" s="208"/>
      <c r="DF7" s="33">
        <f>IF(ISERROR(DF6/$D$1),"",DF6/$D$1)</f>
        <v>0</v>
      </c>
      <c r="DG7" s="33">
        <f>IF(ISERROR(DG6/$D$1),"",DG6/$D$1)</f>
        <v>0</v>
      </c>
      <c r="DH7" s="208">
        <f>IF(ISERROR(DH6/$D$1),"",DH6/$D$1)</f>
        <v>0</v>
      </c>
      <c r="DI7" s="33">
        <f>IF(ISERROR(DI6/$D$1),"",DI6/$D$1)</f>
        <v>0</v>
      </c>
      <c r="DJ7" s="33">
        <f>IF(ISERROR(DJ6/$D$1),"",DJ6/$D$1)</f>
        <v>0</v>
      </c>
      <c r="DK7" s="208"/>
      <c r="DL7" s="33">
        <f>IF(ISERROR(DL6/$D$1),"",DL6/$D$1)</f>
        <v>0</v>
      </c>
      <c r="DM7" s="189">
        <f>IF(ISERROR(DM6/$D$1),"",DM6/$D$1)</f>
        <v>0</v>
      </c>
      <c r="DN7" s="33"/>
      <c r="DO7" s="1267"/>
      <c r="DP7" s="33">
        <f t="shared" ref="DP7:DZ7" si="31">IF(ISERROR(DP6/$D$1),"",DP6/$D$1)</f>
        <v>0</v>
      </c>
      <c r="DQ7" s="33">
        <f t="shared" si="31"/>
        <v>0</v>
      </c>
      <c r="DR7" s="208"/>
      <c r="DS7" s="33">
        <f t="shared" si="31"/>
        <v>0</v>
      </c>
      <c r="DT7" s="33">
        <f t="shared" si="31"/>
        <v>0</v>
      </c>
      <c r="DU7" s="1267"/>
      <c r="DV7" s="33">
        <f>IF(ISERROR(DV6/$D$1),"",DV6/$D$1)</f>
        <v>0</v>
      </c>
      <c r="DW7" s="33">
        <f>IF(ISERROR(DW6/$D$1),"",DW6/$D$1)</f>
        <v>0</v>
      </c>
      <c r="DX7" s="208">
        <f t="shared" si="31"/>
        <v>0</v>
      </c>
      <c r="DY7" s="33">
        <f t="shared" si="31"/>
        <v>0</v>
      </c>
      <c r="DZ7" s="33">
        <f t="shared" si="31"/>
        <v>0</v>
      </c>
      <c r="EA7" s="208"/>
      <c r="EB7" s="33">
        <f>IF(ISERROR(EB6/$D$1),"",EB6/$D$1)</f>
        <v>0</v>
      </c>
      <c r="EC7" s="33">
        <f>IF(ISERROR(EC6/$D$1),"",EC6/$D$1)</f>
        <v>0</v>
      </c>
      <c r="ED7" s="208"/>
      <c r="EE7" s="33">
        <f t="shared" ref="EE7:EK7" si="32">IF(ISERROR(EE6/$D$1),"",EE6/$D$1)</f>
        <v>0</v>
      </c>
      <c r="EF7" s="33">
        <f t="shared" si="32"/>
        <v>0</v>
      </c>
      <c r="EG7" s="196">
        <f t="shared" si="32"/>
        <v>0</v>
      </c>
      <c r="EH7" s="33">
        <f t="shared" si="32"/>
        <v>0</v>
      </c>
      <c r="EI7" s="314">
        <f t="shared" si="32"/>
        <v>0</v>
      </c>
      <c r="EJ7" s="33">
        <f t="shared" si="32"/>
        <v>0</v>
      </c>
      <c r="EK7" s="189">
        <f t="shared" si="32"/>
        <v>0</v>
      </c>
      <c r="EL7" s="194"/>
      <c r="EM7" s="33">
        <f>IF(ISERROR(EM6/$D$1),"",EM6/$D$1)</f>
        <v>0</v>
      </c>
      <c r="EN7" s="33">
        <f>IF(ISERROR(EN6/$D$1),"",EN6/$D$1)</f>
        <v>0</v>
      </c>
      <c r="EO7" s="194">
        <f t="shared" ref="EO7:ET7" si="33">IF(ISERROR(EO6/$D$1),"",EO6/$D$1)</f>
        <v>0</v>
      </c>
      <c r="EP7" s="33">
        <f t="shared" si="33"/>
        <v>0</v>
      </c>
      <c r="EQ7" s="33">
        <f t="shared" si="33"/>
        <v>0</v>
      </c>
      <c r="ER7" s="194">
        <f t="shared" si="33"/>
        <v>0</v>
      </c>
      <c r="ES7" s="33">
        <f t="shared" si="33"/>
        <v>0</v>
      </c>
      <c r="ET7" s="33">
        <f t="shared" si="33"/>
        <v>0</v>
      </c>
      <c r="EU7" s="194"/>
      <c r="EV7" s="33"/>
      <c r="EW7" s="33"/>
      <c r="EX7" s="2501"/>
      <c r="EY7" s="33">
        <f>IF(ISERROR(EY6/$D$1),"",EY6/$D$1)</f>
        <v>0</v>
      </c>
      <c r="EZ7" s="33">
        <f>IF(ISERROR(EZ6/$D$1),"",EZ6/$D$1)</f>
        <v>0</v>
      </c>
      <c r="FA7" s="194"/>
      <c r="FB7" s="33">
        <f>IF(ISERROR(FB6/$D$1),"",FB6/$D$1)</f>
        <v>0</v>
      </c>
      <c r="FC7" s="33">
        <f>IF(ISERROR(FC6/$D$1),"",FC6/$D$1)</f>
        <v>0</v>
      </c>
      <c r="FD7" s="194"/>
      <c r="FE7" s="33">
        <f>IF(ISERROR(FE6/$D$1),"",FE6/$D$1)</f>
        <v>0</v>
      </c>
      <c r="FF7" s="33">
        <f>IF(ISERROR(FF6/$D$1),"",FF6/$D$1)</f>
        <v>0</v>
      </c>
      <c r="FG7" s="194"/>
      <c r="FH7" s="33"/>
      <c r="FI7" s="33"/>
      <c r="FJ7" s="1616">
        <f t="shared" ref="FJ7:FV7" si="34">IF(ISERROR(FJ6/$D$1),"",FJ6/$D$1)</f>
        <v>0</v>
      </c>
      <c r="FK7" s="33">
        <f t="shared" si="34"/>
        <v>0</v>
      </c>
      <c r="FL7" s="1612">
        <f t="shared" si="34"/>
        <v>0</v>
      </c>
      <c r="FM7" s="405">
        <f t="shared" si="34"/>
        <v>0</v>
      </c>
      <c r="FN7" s="1612">
        <f t="shared" si="34"/>
        <v>0</v>
      </c>
      <c r="FO7" s="405">
        <f t="shared" si="34"/>
        <v>0</v>
      </c>
      <c r="FP7" s="1612">
        <f>IF(ISERROR(FP6/$D$1),"",FP6/$D$1)</f>
        <v>0</v>
      </c>
      <c r="FQ7" s="405">
        <f>IF(ISERROR(FQ6/$D$1),"",FQ6/$D$1)</f>
        <v>0</v>
      </c>
      <c r="FR7" s="33">
        <f t="shared" si="34"/>
        <v>0</v>
      </c>
      <c r="FS7" s="33">
        <f t="shared" si="34"/>
        <v>0</v>
      </c>
      <c r="FT7" s="1632">
        <f t="shared" si="34"/>
        <v>0</v>
      </c>
      <c r="FU7" s="1633">
        <f t="shared" si="34"/>
        <v>0</v>
      </c>
      <c r="FV7" s="1835">
        <f t="shared" si="34"/>
        <v>0</v>
      </c>
      <c r="FW7" s="3004"/>
      <c r="FX7" s="3004"/>
      <c r="FY7" s="3004"/>
      <c r="FZ7" s="3145" t="s">
        <v>4371</v>
      </c>
      <c r="GA7" s="3145"/>
      <c r="GB7" s="3145"/>
      <c r="GC7" s="3145"/>
      <c r="GD7" s="3145"/>
      <c r="GE7" s="3145"/>
      <c r="GF7" s="3145"/>
      <c r="GG7" s="3145"/>
      <c r="GH7" s="3145"/>
      <c r="GI7" s="3145"/>
      <c r="GJ7" s="3145"/>
      <c r="GK7" s="129"/>
      <c r="GL7" s="129"/>
      <c r="GM7" s="1353"/>
      <c r="GN7" s="1059"/>
      <c r="GO7" s="1059"/>
      <c r="GP7" s="129"/>
      <c r="GQ7" s="129"/>
      <c r="GR7" s="129"/>
      <c r="GS7" s="2501"/>
      <c r="GT7" s="33">
        <f>IF(ISERROR(GT6/$D$1),"",GT6/$D$1)</f>
        <v>0</v>
      </c>
      <c r="GU7" s="33">
        <f>IF(ISERROR(GU6/$D$1),"",GU6/$D$1)</f>
        <v>0</v>
      </c>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c r="IH7" s="129"/>
      <c r="II7" s="129"/>
      <c r="IJ7" s="129"/>
      <c r="IK7" s="129"/>
      <c r="IL7" s="129"/>
      <c r="IM7" s="129"/>
      <c r="IN7" s="129"/>
      <c r="IO7" s="129"/>
      <c r="IP7" s="129"/>
      <c r="IQ7" s="129"/>
      <c r="IR7" s="129"/>
      <c r="IS7" s="129"/>
      <c r="IT7" s="129"/>
      <c r="IU7" s="129"/>
    </row>
    <row r="8" spans="1:256" s="43" customFormat="1" ht="12" customHeight="1" thickBot="1">
      <c r="A8" s="3182" t="s">
        <v>312</v>
      </c>
      <c r="B8" s="3183"/>
      <c r="C8" s="3184"/>
      <c r="D8" s="1">
        <f>SUBTOTAL(2,C$17:C$1201)</f>
        <v>1</v>
      </c>
      <c r="E8" s="93"/>
      <c r="F8" s="1819">
        <f>VALUE(MaxOps)</f>
        <v>3000</v>
      </c>
      <c r="G8" s="1905">
        <f>IF(Cnt_FiltO=3000,(ROUNDUP(D1,-2)+ROUND(D1/10,-1)),MaxOps)</f>
        <v>100</v>
      </c>
      <c r="H8" s="40" t="s">
        <v>249</v>
      </c>
      <c r="I8" s="87"/>
      <c r="J8" s="87"/>
      <c r="K8" s="88"/>
      <c r="L8" s="87"/>
      <c r="M8" s="89"/>
      <c r="N8" s="88"/>
      <c r="O8" s="88"/>
      <c r="P8" s="1133"/>
      <c r="Q8" s="1133"/>
      <c r="R8" s="1133"/>
      <c r="S8" s="1133"/>
      <c r="T8" s="94" t="s">
        <v>1611</v>
      </c>
      <c r="U8" s="233" t="e">
        <f>AVERAGE(U17:U1200)</f>
        <v>#N/A</v>
      </c>
      <c r="W8" s="136"/>
      <c r="X8" s="136"/>
      <c r="Y8" s="136"/>
      <c r="Z8" s="136"/>
      <c r="AA8" s="136"/>
      <c r="AB8" s="136"/>
      <c r="AC8" s="136"/>
      <c r="AD8" s="234"/>
      <c r="AE8" s="136"/>
      <c r="AF8" s="136"/>
      <c r="AG8" s="136"/>
      <c r="AH8" s="136"/>
      <c r="AI8" s="136"/>
      <c r="AJ8" s="136"/>
      <c r="AK8" s="234"/>
      <c r="AL8" s="136"/>
      <c r="AM8" s="136"/>
      <c r="AN8" s="136"/>
      <c r="AO8" s="136"/>
      <c r="AP8" s="136"/>
      <c r="AQ8" s="136"/>
      <c r="AR8" s="136"/>
      <c r="AS8" s="136"/>
      <c r="AT8" s="136"/>
      <c r="AU8" s="136"/>
      <c r="AV8" s="212" t="e">
        <f>SUBTOTAL(4,AV$17:AV$1200)</f>
        <v>#VALUE!</v>
      </c>
      <c r="AW8" s="212" t="e">
        <f>SUBTOTAL(4,AW$17:AW$1200)</f>
        <v>#N/A</v>
      </c>
      <c r="AX8" s="28" t="e">
        <f>SUBTOTAL(4,AX$17:AX$1200)</f>
        <v>#VALUE!</v>
      </c>
      <c r="AY8" s="206"/>
      <c r="AZ8" s="288" t="e">
        <f>SUBTOTAL(4,AZ$17:AZ$1200)</f>
        <v>#N/A</v>
      </c>
      <c r="BA8" s="187" t="e">
        <f>SUBTOTAL(4,BA$17:BA$1200)</f>
        <v>#N/A</v>
      </c>
      <c r="BB8" s="212" t="e">
        <f>SUBTOTAL(4,BB$17:BB$1200)</f>
        <v>#N/A</v>
      </c>
      <c r="BC8" s="1858" t="e">
        <f>SUBTOTAL(4,BC$17:BC$1200)</f>
        <v>#VALUE!</v>
      </c>
      <c r="BD8" s="28" t="e">
        <f>SUBTOTAL(4,BD$17:BD$1200)</f>
        <v>#N/A</v>
      </c>
      <c r="BE8" s="279"/>
      <c r="BF8" s="288" t="e">
        <f t="shared" ref="BF8:BL8" si="35">SUBTOTAL(4,BF$17:BF$1200)</f>
        <v>#N/A</v>
      </c>
      <c r="BG8" s="28" t="e">
        <f t="shared" si="35"/>
        <v>#N/A</v>
      </c>
      <c r="BH8" s="1440">
        <f t="shared" si="35"/>
        <v>0</v>
      </c>
      <c r="BI8" s="1441" t="e">
        <f t="shared" si="35"/>
        <v>#N/A</v>
      </c>
      <c r="BJ8" s="1440">
        <f t="shared" si="35"/>
        <v>0</v>
      </c>
      <c r="BK8" s="28" t="e">
        <f t="shared" si="35"/>
        <v>#N/A</v>
      </c>
      <c r="BL8" s="187" t="e">
        <f t="shared" si="35"/>
        <v>#N/A</v>
      </c>
      <c r="BM8" s="367"/>
      <c r="BN8" s="288" t="e">
        <f t="shared" ref="BN8:CR8" si="36">SUBTOTAL(4,BN$17:BN$1200)</f>
        <v>#N/A</v>
      </c>
      <c r="BO8" s="28">
        <f t="shared" si="36"/>
        <v>0</v>
      </c>
      <c r="BP8" s="354" t="e">
        <f t="shared" si="36"/>
        <v>#VALUE!</v>
      </c>
      <c r="BQ8" s="279" t="e">
        <f t="shared" si="36"/>
        <v>#VALUE!</v>
      </c>
      <c r="BR8" s="205" t="e">
        <f t="shared" si="36"/>
        <v>#N/A</v>
      </c>
      <c r="BS8" s="28" t="e">
        <f t="shared" si="36"/>
        <v>#N/A</v>
      </c>
      <c r="BT8" s="28" t="e">
        <f t="shared" si="36"/>
        <v>#N/A</v>
      </c>
      <c r="BU8" s="205" t="e">
        <f t="shared" si="36"/>
        <v>#N/A</v>
      </c>
      <c r="BV8" s="28" t="e">
        <f t="shared" si="36"/>
        <v>#N/A</v>
      </c>
      <c r="BW8" s="28" t="e">
        <f t="shared" si="36"/>
        <v>#N/A</v>
      </c>
      <c r="BX8" s="205" t="e">
        <f t="shared" si="36"/>
        <v>#N/A</v>
      </c>
      <c r="BY8" s="28" t="e">
        <f t="shared" si="36"/>
        <v>#N/A</v>
      </c>
      <c r="BZ8" s="28" t="e">
        <f t="shared" si="36"/>
        <v>#N/A</v>
      </c>
      <c r="CA8" s="205" t="e">
        <f t="shared" si="36"/>
        <v>#N/A</v>
      </c>
      <c r="CB8" s="28" t="e">
        <f t="shared" si="36"/>
        <v>#N/A</v>
      </c>
      <c r="CC8" s="28" t="e">
        <f t="shared" si="36"/>
        <v>#N/A</v>
      </c>
      <c r="CD8" s="205" t="e">
        <f t="shared" si="36"/>
        <v>#N/A</v>
      </c>
      <c r="CE8" s="28" t="e">
        <f t="shared" si="36"/>
        <v>#N/A</v>
      </c>
      <c r="CF8" s="28" t="e">
        <f t="shared" si="36"/>
        <v>#N/A</v>
      </c>
      <c r="CG8" s="205" t="e">
        <f t="shared" si="36"/>
        <v>#N/A</v>
      </c>
      <c r="CH8" s="28" t="e">
        <f t="shared" si="36"/>
        <v>#N/A</v>
      </c>
      <c r="CI8" s="28" t="e">
        <f t="shared" si="36"/>
        <v>#N/A</v>
      </c>
      <c r="CJ8" s="205" t="e">
        <f t="shared" si="36"/>
        <v>#N/A</v>
      </c>
      <c r="CK8" s="28" t="e">
        <f t="shared" si="36"/>
        <v>#N/A</v>
      </c>
      <c r="CL8" s="28" t="e">
        <f t="shared" si="36"/>
        <v>#N/A</v>
      </c>
      <c r="CM8" s="205">
        <f t="shared" si="36"/>
        <v>0</v>
      </c>
      <c r="CN8" s="28">
        <f t="shared" si="36"/>
        <v>0</v>
      </c>
      <c r="CO8" s="28">
        <f t="shared" si="36"/>
        <v>0</v>
      </c>
      <c r="CP8" s="205" t="e">
        <f t="shared" si="36"/>
        <v>#N/A</v>
      </c>
      <c r="CQ8" s="288" t="e">
        <f t="shared" si="36"/>
        <v>#N/A</v>
      </c>
      <c r="CR8" s="28" t="e">
        <f t="shared" si="36"/>
        <v>#N/A</v>
      </c>
      <c r="CS8" s="206"/>
      <c r="CT8" s="288" t="e">
        <f>SUBTOTAL(4,CT$17:CT$1200)</f>
        <v>#N/A</v>
      </c>
      <c r="CU8" s="28" t="e">
        <f>SUBTOTAL(4,CU$17:CU$1200)</f>
        <v>#N/A</v>
      </c>
      <c r="CV8" s="206"/>
      <c r="CW8" s="288" t="e">
        <f>SUBTOTAL(4,CW$17:CW$1200)</f>
        <v>#N/A</v>
      </c>
      <c r="CX8" s="28" t="e">
        <f>SUBTOTAL(4,CX$17:CX$1200)</f>
        <v>#N/A</v>
      </c>
      <c r="CY8" s="206"/>
      <c r="CZ8" s="288" t="e">
        <f>SUBTOTAL(4,CZ$17:CZ$1200)</f>
        <v>#N/A</v>
      </c>
      <c r="DA8" s="28">
        <f>SUBTOTAL(4,DA$17:DA$1200)</f>
        <v>0</v>
      </c>
      <c r="DB8" s="205"/>
      <c r="DC8" s="288" t="e">
        <f>SUBTOTAL(4,DC$17:DC$1200)</f>
        <v>#N/A</v>
      </c>
      <c r="DD8" s="28" t="e">
        <f>SUBTOTAL(4,DD$17:DD$1200)</f>
        <v>#N/A</v>
      </c>
      <c r="DE8" s="206"/>
      <c r="DF8" s="288" t="e">
        <f>SUBTOTAL(4,DF$17:DF$1200)</f>
        <v>#N/A</v>
      </c>
      <c r="DG8" s="28" t="e">
        <f>SUBTOTAL(4,DG$17:DG$1200)</f>
        <v>#N/A</v>
      </c>
      <c r="DH8" s="206" t="e">
        <f>SUBTOTAL(4,DH$17:DH$1200)</f>
        <v>#N/A</v>
      </c>
      <c r="DI8" s="288" t="e">
        <f>SUBTOTAL(4,DI$17:DI$1200)</f>
        <v>#N/A</v>
      </c>
      <c r="DJ8" s="28" t="e">
        <f>SUBTOTAL(4,DJ$17:DJ$1200)</f>
        <v>#N/A</v>
      </c>
      <c r="DK8" s="206"/>
      <c r="DL8" s="288" t="e">
        <f>SUBTOTAL(4,DL$17:DL$1200)</f>
        <v>#N/A</v>
      </c>
      <c r="DM8" s="187" t="e">
        <f>SUBTOTAL(4,DM$17:DM$1200)</f>
        <v>#N/A</v>
      </c>
      <c r="DN8" s="28"/>
      <c r="DO8" s="409"/>
      <c r="DP8" s="288" t="e">
        <f>SUBTOTAL(4,DP$17:DP$1200)</f>
        <v>#N/A</v>
      </c>
      <c r="DQ8" s="28" t="e">
        <f>SUBTOTAL(4,DQ$17:DQ$1200)</f>
        <v>#N/A</v>
      </c>
      <c r="DR8" s="206"/>
      <c r="DS8" s="288" t="e">
        <f>SUBTOTAL(4,DS$17:DS$1200)</f>
        <v>#N/A</v>
      </c>
      <c r="DT8" s="28" t="e">
        <f>SUBTOTAL(4,DT$17:DT$1200)</f>
        <v>#N/A</v>
      </c>
      <c r="DU8" s="409">
        <f>SUBTOTAL(4,DU$17:DU$1200)</f>
        <v>0</v>
      </c>
      <c r="DV8" s="288"/>
      <c r="DW8" s="28">
        <f>SUBTOTAL(4,DW$17:DW$1200)</f>
        <v>0</v>
      </c>
      <c r="DX8" s="206"/>
      <c r="DY8" s="288" t="e">
        <f>SUBTOTAL(4,DY$17:DY$1200)</f>
        <v>#N/A</v>
      </c>
      <c r="DZ8" s="28" t="e">
        <f>SUBTOTAL(4,DZ$17:DZ$1200)</f>
        <v>#N/A</v>
      </c>
      <c r="EA8" s="320"/>
      <c r="EB8" s="288" t="e">
        <f>SUBTOTAL(4,EB$17:EB$1200)</f>
        <v>#N/A</v>
      </c>
      <c r="EC8" s="28" t="e">
        <f>SUBTOTAL(4,EC$17:EC$1200)</f>
        <v>#N/A</v>
      </c>
      <c r="ED8" s="320"/>
      <c r="EE8" s="288" t="e">
        <f t="shared" ref="EE8:EK8" si="37">SUBTOTAL(4,EE$17:EE$1200)</f>
        <v>#N/A</v>
      </c>
      <c r="EF8" s="28" t="e">
        <f t="shared" si="37"/>
        <v>#N/A</v>
      </c>
      <c r="EG8" s="281" t="e">
        <f t="shared" si="37"/>
        <v>#N/A</v>
      </c>
      <c r="EH8" s="28" t="e">
        <f t="shared" si="37"/>
        <v>#N/A</v>
      </c>
      <c r="EI8" s="382" t="e">
        <f t="shared" si="37"/>
        <v>#N/A</v>
      </c>
      <c r="EJ8" s="288" t="e">
        <f t="shared" si="37"/>
        <v>#N/A</v>
      </c>
      <c r="EK8" s="187" t="e">
        <f t="shared" si="37"/>
        <v>#N/A</v>
      </c>
      <c r="EL8" s="192"/>
      <c r="EM8" s="288">
        <f t="shared" ref="EM8:FC8" si="38">SUBTOTAL(4,EM$17:EM$1200)</f>
        <v>0</v>
      </c>
      <c r="EN8" s="28">
        <f t="shared" si="38"/>
        <v>0</v>
      </c>
      <c r="EO8" s="320" t="e">
        <f t="shared" si="38"/>
        <v>#N/A</v>
      </c>
      <c r="EP8" s="288" t="e">
        <f t="shared" si="38"/>
        <v>#N/A</v>
      </c>
      <c r="EQ8" s="28" t="e">
        <f t="shared" si="38"/>
        <v>#N/A</v>
      </c>
      <c r="ER8" s="320" t="e">
        <f t="shared" si="38"/>
        <v>#N/A</v>
      </c>
      <c r="ES8" s="288" t="e">
        <f t="shared" si="38"/>
        <v>#N/A</v>
      </c>
      <c r="ET8" s="28" t="e">
        <f t="shared" si="38"/>
        <v>#N/A</v>
      </c>
      <c r="EU8" s="393" t="e">
        <f t="shared" si="38"/>
        <v>#N/A</v>
      </c>
      <c r="EV8" s="288" t="e">
        <f t="shared" si="38"/>
        <v>#N/A</v>
      </c>
      <c r="EW8" s="28" t="e">
        <f t="shared" si="38"/>
        <v>#N/A</v>
      </c>
      <c r="EX8" s="393" t="e">
        <f t="shared" si="38"/>
        <v>#N/A</v>
      </c>
      <c r="EY8" s="288" t="e">
        <f t="shared" si="38"/>
        <v>#N/A</v>
      </c>
      <c r="EZ8" s="28" t="e">
        <f t="shared" si="38"/>
        <v>#N/A</v>
      </c>
      <c r="FA8" s="393" t="e">
        <f t="shared" si="38"/>
        <v>#N/A</v>
      </c>
      <c r="FB8" s="288" t="e">
        <f t="shared" si="38"/>
        <v>#N/A</v>
      </c>
      <c r="FC8" s="28" t="e">
        <f t="shared" si="38"/>
        <v>#N/A</v>
      </c>
      <c r="FD8" s="393" t="e">
        <f>SUBTOTAL(4,FD$17:FD$1500)</f>
        <v>#N/A</v>
      </c>
      <c r="FE8" s="288" t="e">
        <f>SUBTOTAL(4,FE$17:FE$1500)</f>
        <v>#N/A</v>
      </c>
      <c r="FF8" s="28" t="e">
        <f>SUBTOTAL(4,FF$17:FF$1500)</f>
        <v>#N/A</v>
      </c>
      <c r="FG8" s="320">
        <f t="shared" ref="FG8:FV8" si="39">SUBTOTAL(4,FG$17:FG$1200)</f>
        <v>0</v>
      </c>
      <c r="FH8" s="288">
        <f t="shared" si="39"/>
        <v>0</v>
      </c>
      <c r="FI8" s="28">
        <f t="shared" si="39"/>
        <v>0</v>
      </c>
      <c r="FJ8" s="1615" t="e">
        <f t="shared" si="39"/>
        <v>#N/A</v>
      </c>
      <c r="FK8" s="28" t="e">
        <f t="shared" si="39"/>
        <v>#VALUE!</v>
      </c>
      <c r="FL8" s="1634" t="e">
        <f t="shared" si="39"/>
        <v>#N/A</v>
      </c>
      <c r="FM8" s="1635" t="e">
        <f t="shared" si="39"/>
        <v>#VALUE!</v>
      </c>
      <c r="FN8" s="1634" t="e">
        <f t="shared" si="39"/>
        <v>#N/A</v>
      </c>
      <c r="FO8" s="1635" t="e">
        <f t="shared" si="39"/>
        <v>#N/A</v>
      </c>
      <c r="FP8" s="1634" t="e">
        <f t="shared" si="39"/>
        <v>#N/A</v>
      </c>
      <c r="FQ8" s="1635" t="e">
        <f t="shared" si="39"/>
        <v>#VALUE!</v>
      </c>
      <c r="FR8" s="1636" t="e">
        <f t="shared" si="39"/>
        <v>#N/A</v>
      </c>
      <c r="FS8" s="1637" t="e">
        <f t="shared" si="39"/>
        <v>#VALUE!</v>
      </c>
      <c r="FT8" s="1628" t="e">
        <f t="shared" si="39"/>
        <v>#N/A</v>
      </c>
      <c r="FU8" s="1629" t="e">
        <f t="shared" si="39"/>
        <v>#VALUE!</v>
      </c>
      <c r="FV8" s="1832" t="e">
        <f t="shared" si="39"/>
        <v>#N/A</v>
      </c>
      <c r="FW8" s="3127"/>
      <c r="FX8" s="3127"/>
      <c r="FY8" s="3127"/>
      <c r="FZ8" s="3146" t="s">
        <v>447</v>
      </c>
      <c r="GA8" s="3146"/>
      <c r="GB8" s="3146"/>
      <c r="GC8" s="3146"/>
      <c r="GD8" s="3146"/>
      <c r="GE8" s="3146"/>
      <c r="GF8" s="3146"/>
      <c r="GG8" s="3146"/>
      <c r="GH8" s="3146"/>
      <c r="GI8" s="3146"/>
      <c r="GJ8" s="3146"/>
      <c r="GM8" s="28" t="e">
        <f>SUBTOTAL(4,GM$17:GM$1200)</f>
        <v>#N/A</v>
      </c>
      <c r="GN8" s="1354"/>
      <c r="GO8" s="1354"/>
      <c r="GS8" s="393">
        <f t="shared" ref="GS8:GU8" si="40">SUBTOTAL(4,GS$17:GS$1200)</f>
        <v>1</v>
      </c>
      <c r="GT8" s="288" t="e">
        <f t="shared" si="40"/>
        <v>#N/A</v>
      </c>
      <c r="GU8" s="28" t="e">
        <f t="shared" si="40"/>
        <v>#N/A</v>
      </c>
    </row>
    <row r="9" spans="1:256" s="136" customFormat="1" ht="12" customHeight="1" thickBot="1">
      <c r="A9" s="3172" t="s">
        <v>3690</v>
      </c>
      <c r="B9" s="2"/>
      <c r="C9" s="2"/>
      <c r="D9" s="1097" t="s">
        <v>3434</v>
      </c>
      <c r="E9" s="95"/>
      <c r="F9" s="95"/>
      <c r="G9" s="95"/>
      <c r="H9" s="95"/>
      <c r="I9" s="96"/>
      <c r="J9" s="95"/>
      <c r="K9" s="1265"/>
      <c r="L9" s="95"/>
      <c r="M9" s="95"/>
      <c r="N9" s="95"/>
      <c r="O9" s="95"/>
      <c r="P9" s="95"/>
      <c r="Q9" s="95"/>
      <c r="R9" s="95"/>
      <c r="S9" s="1100" t="s">
        <v>2510</v>
      </c>
      <c r="T9" s="2801" t="str">
        <f>IF(M9="","",IF(VALUE(LEFT(RIGHT(M9,6),4))=ANNEE,RIGHT(M9,6),""))</f>
        <v/>
      </c>
      <c r="U9" s="1183">
        <v>100000</v>
      </c>
      <c r="V9" s="2"/>
      <c r="W9" s="2"/>
      <c r="X9" s="2"/>
      <c r="Y9" s="2"/>
      <c r="Z9" s="2"/>
      <c r="AA9" s="3195" t="s">
        <v>1068</v>
      </c>
      <c r="AB9" s="3196"/>
      <c r="AC9" s="3196"/>
      <c r="AD9" s="3196"/>
      <c r="AE9" s="3196"/>
      <c r="AF9" s="3196"/>
      <c r="AG9" s="3196"/>
      <c r="AH9" s="3197"/>
      <c r="AI9" s="3198" t="s">
        <v>1071</v>
      </c>
      <c r="AJ9" s="3199"/>
      <c r="AK9" s="3199"/>
      <c r="AL9" s="3199"/>
      <c r="AM9" s="3199"/>
      <c r="AN9" s="3199"/>
      <c r="AO9" s="3200"/>
      <c r="AP9" s="3219" t="s">
        <v>1072</v>
      </c>
      <c r="AQ9" s="3220"/>
      <c r="AR9" s="3220"/>
      <c r="AS9" s="3220"/>
      <c r="AT9" s="3220"/>
      <c r="AU9" s="3221"/>
      <c r="AW9" s="3203" t="s">
        <v>3401</v>
      </c>
      <c r="AX9" s="3204"/>
      <c r="AY9" s="183"/>
      <c r="AZ9" s="8"/>
      <c r="BA9" s="377"/>
      <c r="BB9" s="183"/>
      <c r="BC9" s="375"/>
      <c r="BD9" s="1857"/>
      <c r="BE9" s="1242"/>
      <c r="BF9" s="8"/>
      <c r="BG9" s="8"/>
      <c r="BH9" s="1448"/>
      <c r="BI9" s="1449"/>
      <c r="BJ9" s="1448"/>
      <c r="BK9" s="1453">
        <v>39815</v>
      </c>
      <c r="BL9" s="369"/>
      <c r="BM9" s="368"/>
      <c r="BN9" s="290" t="e">
        <f>SUM(BN14:BN15)</f>
        <v>#N/A</v>
      </c>
      <c r="BO9" s="294" t="e">
        <f>SUM(BO14:BO15)</f>
        <v>#N/A</v>
      </c>
      <c r="BP9" s="183"/>
      <c r="BQ9" s="8"/>
      <c r="BR9" s="3124" t="str">
        <f>ParaN!G4</f>
        <v>XI.III.8</v>
      </c>
      <c r="BS9" s="3125"/>
      <c r="BT9" s="3125"/>
      <c r="BU9" s="3124" t="str">
        <f>ParaN!G1</f>
        <v>XI.III.6</v>
      </c>
      <c r="BV9" s="3125"/>
      <c r="BW9" s="3133"/>
      <c r="BX9" s="3124" t="str">
        <f>ParaN!G2</f>
        <v>XI.III.6</v>
      </c>
      <c r="BY9" s="3125"/>
      <c r="BZ9" s="3133"/>
      <c r="CA9" s="3124" t="str">
        <f>BX9</f>
        <v>XI.III.6</v>
      </c>
      <c r="CB9" s="3125"/>
      <c r="CC9" s="3133"/>
      <c r="CD9" s="3124" t="s">
        <v>1352</v>
      </c>
      <c r="CE9" s="3125"/>
      <c r="CF9" s="3133"/>
      <c r="CG9" s="3124" t="s">
        <v>150</v>
      </c>
      <c r="CH9" s="3125"/>
      <c r="CI9" s="3125"/>
      <c r="CJ9" s="3124" t="s">
        <v>4175</v>
      </c>
      <c r="CK9" s="3125"/>
      <c r="CL9" s="3133"/>
      <c r="CM9" s="3135"/>
      <c r="CN9" s="3125"/>
      <c r="CO9" s="3125"/>
      <c r="CP9" s="3124" t="s">
        <v>4176</v>
      </c>
      <c r="CQ9" s="3125"/>
      <c r="CR9" s="3133"/>
      <c r="CS9" s="3124" t="str">
        <f>ParaN!G78</f>
        <v>XI.III.12-6°</v>
      </c>
      <c r="CT9" s="3125"/>
      <c r="CU9" s="3125"/>
      <c r="CV9" s="3124" t="s">
        <v>152</v>
      </c>
      <c r="CW9" s="3125"/>
      <c r="CX9" s="3126"/>
      <c r="CY9" s="183"/>
      <c r="CZ9" s="3125" t="str">
        <f>ParaN!G31</f>
        <v>XI.III.12-7°</v>
      </c>
      <c r="DA9" s="3126"/>
      <c r="DB9" s="3124" t="s">
        <v>4176</v>
      </c>
      <c r="DC9" s="3125"/>
      <c r="DD9" s="3125"/>
      <c r="DE9" s="3124" t="str">
        <f>ParaN!G79</f>
        <v>XII.XI.21</v>
      </c>
      <c r="DF9" s="3125"/>
      <c r="DG9" s="3125"/>
      <c r="DH9" s="183"/>
      <c r="DI9" s="3125" t="str">
        <f>ParaN!G43</f>
        <v>XI.III.28</v>
      </c>
      <c r="DJ9" s="3126"/>
      <c r="DK9" s="209"/>
      <c r="DL9" s="329"/>
      <c r="DM9" s="324"/>
      <c r="DN9" s="329"/>
      <c r="DO9" s="3135" t="str">
        <f>ParaN!G50</f>
        <v>XI.III.31</v>
      </c>
      <c r="DP9" s="3125"/>
      <c r="DQ9" s="3133"/>
      <c r="DR9" s="3124">
        <f>ParaN!G55</f>
        <v>0</v>
      </c>
      <c r="DS9" s="3125"/>
      <c r="DT9" s="3125"/>
      <c r="DX9" s="183"/>
      <c r="DY9" s="8"/>
      <c r="DZ9" s="8"/>
      <c r="EA9" s="3124" t="str">
        <f>ParaN!G77</f>
        <v>XI.IV.9</v>
      </c>
      <c r="EB9" s="3125"/>
      <c r="EC9" s="3126"/>
      <c r="ED9" s="3125" t="str">
        <f>ParaN!G75</f>
        <v>XI.IV.6</v>
      </c>
      <c r="EE9" s="3125"/>
      <c r="EF9" s="3133"/>
      <c r="EG9" s="3124" t="str">
        <f>ParaN!G74</f>
        <v>XI.IV.3</v>
      </c>
      <c r="EH9" s="3134"/>
      <c r="EI9" s="315"/>
      <c r="EJ9" s="3125" t="str">
        <f>ParaN!G106</f>
        <v>XI.IV.3</v>
      </c>
      <c r="EK9" s="3126"/>
      <c r="EL9" s="183"/>
      <c r="EM9" s="3125" t="str">
        <f>ParaN!G76</f>
        <v>XI.IV.7</v>
      </c>
      <c r="EN9" s="3126"/>
      <c r="EO9" s="183"/>
      <c r="EP9" s="8"/>
      <c r="EQ9" s="8"/>
      <c r="ER9" s="183"/>
      <c r="ES9" s="8"/>
      <c r="ET9" s="8"/>
      <c r="EU9" s="183"/>
      <c r="EV9" s="290">
        <f>SUM(EV14:EV15)</f>
        <v>0</v>
      </c>
      <c r="EW9" s="294">
        <f>SUM(EW14:EW15)</f>
        <v>0</v>
      </c>
      <c r="EX9" s="2502"/>
      <c r="EY9" s="3125" t="s">
        <v>448</v>
      </c>
      <c r="EZ9" s="3126"/>
      <c r="FA9" s="183"/>
      <c r="FB9" s="8"/>
      <c r="FC9" s="8"/>
      <c r="FD9" s="183"/>
      <c r="FE9" s="8"/>
      <c r="FF9" s="8"/>
      <c r="FG9" s="183"/>
      <c r="FH9" s="181"/>
      <c r="FI9" s="181"/>
      <c r="FJ9" s="1432" t="e">
        <f>SUM(FJ14:FJ15)</f>
        <v>#N/A</v>
      </c>
      <c r="FK9" s="1429" t="e">
        <f>SUM(FK14:FK15)</f>
        <v>#N/A</v>
      </c>
      <c r="FL9" s="1638"/>
      <c r="FM9" s="1639"/>
      <c r="FN9" s="422"/>
      <c r="FO9" s="1613"/>
      <c r="FP9" s="422"/>
      <c r="FQ9" s="1613"/>
      <c r="FR9" s="290" t="e">
        <f>SUM(FR14:FR15)</f>
        <v>#N/A</v>
      </c>
      <c r="FS9" s="1429" t="e">
        <f>SUM(FS14:FS15)</f>
        <v>#N/A</v>
      </c>
      <c r="FT9" s="1640" t="e">
        <f>SUM(FT14:FT15)</f>
        <v>#N/A</v>
      </c>
      <c r="FU9" s="1641" t="e">
        <f>SUM(FU14:FU15)</f>
        <v>#N/A</v>
      </c>
      <c r="FV9" s="1836"/>
      <c r="FW9" s="3236"/>
      <c r="FX9" s="3236"/>
      <c r="FY9" s="3236"/>
      <c r="FZ9" s="3146"/>
      <c r="GA9" s="3146"/>
      <c r="GB9" s="3146"/>
      <c r="GC9" s="3146"/>
      <c r="GD9" s="3146"/>
      <c r="GE9" s="3146"/>
      <c r="GF9" s="3146"/>
      <c r="GG9" s="3146"/>
      <c r="GH9" s="3146"/>
      <c r="GI9" s="3146"/>
      <c r="GJ9" s="3146"/>
      <c r="GM9" s="1355"/>
      <c r="GN9" s="1355"/>
      <c r="GO9" s="1355"/>
      <c r="GS9" s="3037" t="s">
        <v>5360</v>
      </c>
    </row>
    <row r="10" spans="1:256" s="3" customFormat="1" ht="75" customHeight="1" thickTop="1">
      <c r="A10" s="3173"/>
      <c r="B10" s="3175" t="s">
        <v>3397</v>
      </c>
      <c r="C10" s="3177" t="s">
        <v>3563</v>
      </c>
      <c r="D10" s="3179" t="s">
        <v>5119</v>
      </c>
      <c r="E10" s="3177" t="s">
        <v>3398</v>
      </c>
      <c r="F10" s="3181" t="s">
        <v>55</v>
      </c>
      <c r="G10" s="3181" t="s">
        <v>56</v>
      </c>
      <c r="H10" s="97" t="str">
        <f>CONCATENATE("FILTER OP :",I3,"
Crit 1: ",I4,"
Crit 2 ",I5)</f>
        <v xml:space="preserve">FILTER OP :Aucun filtre est appliqué
Crit 1: 
Crit 2 </v>
      </c>
      <c r="I10" s="1087" t="s">
        <v>1290</v>
      </c>
      <c r="J10" s="3168" t="s">
        <v>2928</v>
      </c>
      <c r="K10" s="3168" t="s">
        <v>3440</v>
      </c>
      <c r="L10" s="1087" t="s">
        <v>1291</v>
      </c>
      <c r="M10" s="3166" t="s">
        <v>4436</v>
      </c>
      <c r="N10" s="3168" t="s">
        <v>1629</v>
      </c>
      <c r="O10" s="3158" t="s">
        <v>1630</v>
      </c>
      <c r="P10" s="3170" t="s">
        <v>1333</v>
      </c>
      <c r="Q10" s="3156" t="s">
        <v>1331</v>
      </c>
      <c r="R10" s="3156" t="s">
        <v>1332</v>
      </c>
      <c r="S10" s="3168" t="s">
        <v>3441</v>
      </c>
      <c r="T10" s="3193" t="s">
        <v>4475</v>
      </c>
      <c r="U10" s="3" t="s">
        <v>3442</v>
      </c>
      <c r="V10" s="3037" t="s">
        <v>3445</v>
      </c>
      <c r="W10" s="3209" t="s">
        <v>3394</v>
      </c>
      <c r="X10" s="3207" t="s">
        <v>3399</v>
      </c>
      <c r="Y10" s="3083" t="s">
        <v>1013</v>
      </c>
      <c r="Z10" s="3083" t="s">
        <v>1014</v>
      </c>
      <c r="AA10" s="17"/>
      <c r="AB10" s="3210" t="s">
        <v>2091</v>
      </c>
      <c r="AC10" s="3211"/>
      <c r="AD10" s="235"/>
      <c r="AE10" s="3158" t="s">
        <v>746</v>
      </c>
      <c r="AF10" s="3158" t="s">
        <v>4536</v>
      </c>
      <c r="AG10" s="3158" t="s">
        <v>1987</v>
      </c>
      <c r="AH10" s="3158" t="s">
        <v>2961</v>
      </c>
      <c r="AI10" s="3158" t="s">
        <v>1069</v>
      </c>
      <c r="AJ10" s="3158" t="s">
        <v>1070</v>
      </c>
      <c r="AK10" s="235"/>
      <c r="AL10" s="3158" t="s">
        <v>3014</v>
      </c>
      <c r="AM10" s="3158" t="s">
        <v>4540</v>
      </c>
      <c r="AN10" s="3158" t="s">
        <v>747</v>
      </c>
      <c r="AO10" s="3158" t="s">
        <v>4539</v>
      </c>
      <c r="AP10" s="18"/>
      <c r="AQ10" s="19"/>
      <c r="AR10" s="18"/>
      <c r="AS10" s="19"/>
      <c r="AT10" s="18"/>
      <c r="AU10" s="19"/>
      <c r="AV10" s="3209" t="s">
        <v>3400</v>
      </c>
      <c r="AW10" s="3224" t="str">
        <f>"Traitement indexée 
'Année clôturée'  : "&amp; ANNEE-1</f>
        <v>Traitement indexée 
'Année clôturée'  : 2026</v>
      </c>
      <c r="AX10" s="3201" t="str">
        <f>"Traitement indexée 
Année à budgetiser  : "&amp; ANNEE</f>
        <v>Traitement indexée 
Année à budgetiser  : 2027</v>
      </c>
      <c r="AY10" s="3128" t="s">
        <v>410</v>
      </c>
      <c r="AZ10" s="3129"/>
      <c r="BA10" s="3122"/>
      <c r="BB10" s="3212" t="s">
        <v>1612</v>
      </c>
      <c r="BC10" s="3213"/>
      <c r="BD10" s="3217" t="s">
        <v>4215</v>
      </c>
      <c r="BE10" s="3228" t="str">
        <f xml:space="preserve"> "#  =&gt; "&amp;COUNTIF(BE16:BE1199,"4/5s")&amp;" MP en semaine 4/5                    "
&amp;
" #  =&gt;"&amp;COUNTIF(BE16:BE1199,"50%")&amp;" MP avec départ antcipé volontaire"</f>
        <v>#  =&gt; 0 MP en semaine 4/5                     #  =&gt;0 MP avec départ antcipé volontaire</v>
      </c>
      <c r="BF10" s="3229"/>
      <c r="BG10" s="3230"/>
      <c r="BH10" s="3205" t="s">
        <v>1784</v>
      </c>
      <c r="BI10" s="3215" t="s">
        <v>1785</v>
      </c>
      <c r="BJ10" s="3205" t="s">
        <v>1784</v>
      </c>
      <c r="BK10" s="356" t="s">
        <v>4216</v>
      </c>
      <c r="BL10" s="370" t="s">
        <v>4217</v>
      </c>
      <c r="BM10" s="182" t="s">
        <v>3364</v>
      </c>
      <c r="BN10" s="3226" t="s">
        <v>224</v>
      </c>
      <c r="BO10" s="3227"/>
      <c r="BP10" s="284" t="s">
        <v>225</v>
      </c>
      <c r="BQ10" s="182" t="s">
        <v>226</v>
      </c>
      <c r="BR10" s="195" t="s">
        <v>523</v>
      </c>
      <c r="BS10" s="3222" t="e">
        <f>IF(BR3/1976&gt;0.8,CONCATENATE("-EQP: ",ROUND(BR3/1976,2)),"")</f>
        <v>#N/A</v>
      </c>
      <c r="BT10" s="3223"/>
      <c r="BU10" s="195" t="s">
        <v>523</v>
      </c>
      <c r="BV10" s="182" t="s">
        <v>538</v>
      </c>
      <c r="BW10" s="182" t="s">
        <v>538</v>
      </c>
      <c r="BX10" s="195" t="s">
        <v>523</v>
      </c>
      <c r="BY10" s="182" t="s">
        <v>538</v>
      </c>
      <c r="BZ10" s="182" t="s">
        <v>538</v>
      </c>
      <c r="CA10" s="195" t="s">
        <v>523</v>
      </c>
      <c r="CB10" s="182" t="s">
        <v>538</v>
      </c>
      <c r="CC10" s="182" t="s">
        <v>538</v>
      </c>
      <c r="CD10" s="195" t="s">
        <v>523</v>
      </c>
      <c r="CE10" s="182" t="s">
        <v>538</v>
      </c>
      <c r="CF10" s="182" t="s">
        <v>538</v>
      </c>
      <c r="CG10" s="284" t="s">
        <v>3827</v>
      </c>
      <c r="CH10" s="182" t="s">
        <v>538</v>
      </c>
      <c r="CI10" s="182" t="s">
        <v>538</v>
      </c>
      <c r="CJ10" s="284" t="s">
        <v>3365</v>
      </c>
      <c r="CK10" s="182" t="s">
        <v>538</v>
      </c>
      <c r="CL10" s="182" t="s">
        <v>538</v>
      </c>
      <c r="CM10" s="284" t="s">
        <v>3365</v>
      </c>
      <c r="CN10" s="182" t="s">
        <v>538</v>
      </c>
      <c r="CO10" s="182" t="s">
        <v>538</v>
      </c>
      <c r="CP10" s="195" t="s">
        <v>1504</v>
      </c>
      <c r="CQ10" s="3076" t="s">
        <v>538</v>
      </c>
      <c r="CR10" s="3077"/>
      <c r="CS10" s="440" t="s">
        <v>1654</v>
      </c>
      <c r="CT10" s="3072" t="str">
        <f>CONCATENATE("#Y /",COUNTIF(CS17:CS1200,"Y"))</f>
        <v>#Y /0</v>
      </c>
      <c r="CU10" s="3121"/>
      <c r="CV10" s="284" t="s">
        <v>535</v>
      </c>
      <c r="CW10" s="3140" t="str">
        <f>CONCATENATE("#4107 : ",COUNTIF(CV17:CV1200,"UB"),"  
",CONCATENATE("#4067 : ",COUNTIF(CV17:CV1200,"TP")))</f>
        <v>#4107 : 0  
#4067 : 0</v>
      </c>
      <c r="CX10" s="3141"/>
      <c r="CY10" s="1134" t="s">
        <v>3518</v>
      </c>
      <c r="CZ10" s="3129" t="s">
        <v>3521</v>
      </c>
      <c r="DA10" s="3122"/>
      <c r="DB10" s="195" t="s">
        <v>3520</v>
      </c>
      <c r="DC10" s="3076" t="s">
        <v>538</v>
      </c>
      <c r="DD10" s="3077"/>
      <c r="DE10" s="440" t="s">
        <v>1487</v>
      </c>
      <c r="DF10" s="3072" t="str">
        <f>CONCATENATE("#UF : ",COUNTIF(DE17:DE1200,"UF"),"
",CONCATENATE("#TY/UF : ",COUNTIF(DE17:DE1200,"TYUF"),"
",CONCATENATE("#TY : ",COUNTIF(DE17:DE1200,"TY"))))</f>
        <v>#UF : 0
#TY/UF : 0
#TY : 0</v>
      </c>
      <c r="DG10" s="3073"/>
      <c r="DH10" s="195" t="s">
        <v>3513</v>
      </c>
      <c r="DI10" s="3138" t="s">
        <v>3775</v>
      </c>
      <c r="DJ10" s="3139"/>
      <c r="DK10" s="308" t="s">
        <v>1986</v>
      </c>
      <c r="DL10" s="3138" t="s">
        <v>3515</v>
      </c>
      <c r="DM10" s="3139"/>
      <c r="DN10" s="284"/>
      <c r="DO10" s="3136" t="str">
        <f>CONCATENATE("#Approfondi : ",COUNTIF(DN17:DN1200,"3"),"  
 ",CONCATENATE("#Ordinaire : ",COUNTIF(DN17:DN1200,"2"),"
 ",CONCATENATE("#Ancien Régime: ",COUNTIF(DN17:DN1200,"Old"))))</f>
        <v>#Approfondi : 0  
 #Ordinaire : 0
 #Ancien Régime: 0</v>
      </c>
      <c r="DP10" s="3136" t="str">
        <f>CONCATENATE("#Approfondi : ",COUNTIF(DN17:DN650,"3"),"  
 ",CONCATENATE("#Ordinaire : ",COUNTIF(DN17:DN650,"2"),"
 ",CONCATENATE("#Ancien Stat: ",COUNTIF(DN17:DN650,"Old"))))</f>
        <v>#Approfondi : 0  
 #Ordinaire : 0
 #Ancien Stat: 0</v>
      </c>
      <c r="DQ10" s="3137"/>
      <c r="DR10" s="284" t="s">
        <v>4320</v>
      </c>
      <c r="DS10" s="182" t="s">
        <v>538</v>
      </c>
      <c r="DT10" s="182" t="s">
        <v>538</v>
      </c>
      <c r="DU10" s="2516" t="s">
        <v>5278</v>
      </c>
      <c r="DV10" s="3242" t="s">
        <v>5276</v>
      </c>
      <c r="DW10" s="3243"/>
      <c r="DX10" s="3128" t="s">
        <v>4369</v>
      </c>
      <c r="DY10" s="3129"/>
      <c r="DZ10" s="3122"/>
      <c r="EA10" s="1134" t="s">
        <v>931</v>
      </c>
      <c r="EB10" s="3088" t="s">
        <v>4334</v>
      </c>
      <c r="EC10" s="3122"/>
      <c r="ED10" s="1525" t="s">
        <v>405</v>
      </c>
      <c r="EE10" s="3088" t="s">
        <v>2507</v>
      </c>
      <c r="EF10" s="3122"/>
      <c r="EG10" s="3131" t="str">
        <f>CONCATENATE("#4047: ",COUNTIF(EI17:EI1200,"ME"))</f>
        <v>#4047: 0</v>
      </c>
      <c r="EH10" s="3132"/>
      <c r="EI10" s="316" t="s">
        <v>2025</v>
      </c>
      <c r="EJ10" s="182"/>
      <c r="EK10" s="327" t="s">
        <v>538</v>
      </c>
      <c r="EL10" s="3086" t="s">
        <v>2026</v>
      </c>
      <c r="EM10" s="3088" t="s">
        <v>2028</v>
      </c>
      <c r="EN10" s="3089"/>
      <c r="EO10" s="3086" t="s">
        <v>2029</v>
      </c>
      <c r="EP10" s="3088" t="s">
        <v>2028</v>
      </c>
      <c r="EQ10" s="3089"/>
      <c r="ER10" s="3086" t="s">
        <v>2026</v>
      </c>
      <c r="ES10" s="3088" t="s">
        <v>2028</v>
      </c>
      <c r="ET10" s="3089"/>
      <c r="EU10" s="3086" t="s">
        <v>2026</v>
      </c>
      <c r="EV10" s="3088" t="s">
        <v>2028</v>
      </c>
      <c r="EW10" s="3089"/>
      <c r="EX10" s="3149" t="s">
        <v>5365</v>
      </c>
      <c r="EY10" s="3088" t="s">
        <v>2028</v>
      </c>
      <c r="EZ10" s="3089"/>
      <c r="FA10" s="3086" t="s">
        <v>2026</v>
      </c>
      <c r="FB10" s="3088" t="s">
        <v>2028</v>
      </c>
      <c r="FC10" s="3089"/>
      <c r="FD10" s="3086" t="s">
        <v>2026</v>
      </c>
      <c r="FE10" s="3088" t="s">
        <v>2028</v>
      </c>
      <c r="FF10" s="3089"/>
      <c r="FG10" s="3086"/>
      <c r="FH10" s="3088" t="s">
        <v>2028</v>
      </c>
      <c r="FI10" s="3074"/>
      <c r="FJ10" s="3249">
        <v>9500</v>
      </c>
      <c r="FK10" s="3250"/>
      <c r="FL10" s="3247" t="s">
        <v>968</v>
      </c>
      <c r="FM10" s="3248"/>
      <c r="FN10" s="3247">
        <v>9500</v>
      </c>
      <c r="FO10" s="3248"/>
      <c r="FP10" s="3240" t="str">
        <f xml:space="preserve"> IF(PatrATAO="","! Charges     patronales  exclus !","! Charges     patronales  inclus !")</f>
        <v>! Charges     patronales  inclus !</v>
      </c>
      <c r="FQ10" s="3241"/>
      <c r="FR10" s="3130">
        <v>9593</v>
      </c>
      <c r="FS10" s="3130"/>
      <c r="FT10" s="1642"/>
      <c r="FU10" s="1643"/>
      <c r="FV10" s="3092" t="str">
        <f>FormAide!D62 &amp; "    C)"</f>
        <v>Partie fixe de l'allocation de fin d'année (AFA)
Base de la charge Patronale &amp; Subvention Sociale II    C)</v>
      </c>
      <c r="FW10" s="3148"/>
      <c r="FX10" s="3148"/>
      <c r="FY10" s="3148"/>
      <c r="FZ10" s="3146"/>
      <c r="GA10" s="3146"/>
      <c r="GB10" s="3146"/>
      <c r="GC10" s="3146"/>
      <c r="GD10" s="3146"/>
      <c r="GE10" s="3146"/>
      <c r="GF10" s="3147"/>
      <c r="GG10" s="3147"/>
      <c r="GH10" s="3147"/>
      <c r="GI10" s="3147"/>
      <c r="GJ10" s="3147"/>
      <c r="GM10" s="1356"/>
      <c r="GN10" s="1356"/>
      <c r="GO10" s="1356"/>
      <c r="GP10" s="3083" t="s">
        <v>2719</v>
      </c>
      <c r="GR10" s="3039" t="s">
        <v>5244</v>
      </c>
      <c r="GS10" s="3037"/>
      <c r="GT10" s="3038" t="s">
        <v>5366</v>
      </c>
      <c r="GU10" s="3038"/>
    </row>
    <row r="11" spans="1:256" s="19" customFormat="1" ht="80.25" customHeight="1">
      <c r="A11" s="3174"/>
      <c r="B11" s="3176"/>
      <c r="C11" s="3178"/>
      <c r="D11" s="3180"/>
      <c r="E11" s="3178"/>
      <c r="F11" s="3157"/>
      <c r="G11" s="3157"/>
      <c r="H11" s="98" t="s">
        <v>1281</v>
      </c>
      <c r="I11" s="18" t="s">
        <v>3443</v>
      </c>
      <c r="J11" s="3159"/>
      <c r="K11" s="3159"/>
      <c r="L11" s="1101" t="s">
        <v>3517</v>
      </c>
      <c r="M11" s="3167"/>
      <c r="N11" s="3159"/>
      <c r="O11" s="3159"/>
      <c r="P11" s="3171"/>
      <c r="Q11" s="3157"/>
      <c r="R11" s="3157"/>
      <c r="S11" s="3159"/>
      <c r="T11" s="3194"/>
      <c r="U11" s="18" t="s">
        <v>3444</v>
      </c>
      <c r="V11" s="3169"/>
      <c r="W11" s="3169"/>
      <c r="X11" s="3208" t="s">
        <v>1505</v>
      </c>
      <c r="Y11" s="3084"/>
      <c r="Z11" s="3084"/>
      <c r="AA11" s="20"/>
      <c r="AB11" s="18" t="s">
        <v>3300</v>
      </c>
      <c r="AC11" s="18" t="s">
        <v>2023</v>
      </c>
      <c r="AD11" s="228"/>
      <c r="AE11" s="3159"/>
      <c r="AF11" s="3159"/>
      <c r="AG11" s="3159"/>
      <c r="AH11" s="3159"/>
      <c r="AI11" s="3159"/>
      <c r="AJ11" s="3159"/>
      <c r="AK11" s="228"/>
      <c r="AL11" s="3159"/>
      <c r="AM11" s="3159"/>
      <c r="AN11" s="3159"/>
      <c r="AO11" s="3159"/>
      <c r="AP11" s="18" t="s">
        <v>1452</v>
      </c>
      <c r="AQ11" s="18"/>
      <c r="AR11" s="18" t="s">
        <v>6</v>
      </c>
      <c r="AS11" s="18"/>
      <c r="AT11" s="18" t="s">
        <v>2086</v>
      </c>
      <c r="AU11" s="18"/>
      <c r="AV11" s="3169"/>
      <c r="AW11" s="3225"/>
      <c r="AX11" s="3202"/>
      <c r="AY11" s="3081" t="s">
        <v>4370</v>
      </c>
      <c r="AZ11" s="3082"/>
      <c r="BA11" s="3082"/>
      <c r="BB11" s="3214" t="s">
        <v>4214</v>
      </c>
      <c r="BC11" s="3213"/>
      <c r="BD11" s="3218"/>
      <c r="BE11" s="3231" t="s">
        <v>3597</v>
      </c>
      <c r="BF11" s="3232"/>
      <c r="BG11" s="3233"/>
      <c r="BH11" s="3206"/>
      <c r="BI11" s="3216"/>
      <c r="BJ11" s="3206"/>
      <c r="BK11" s="3234" t="s">
        <v>4218</v>
      </c>
      <c r="BL11" s="3235"/>
      <c r="BM11" s="3040" t="s">
        <v>868</v>
      </c>
      <c r="BN11" s="3041"/>
      <c r="BO11" s="3042"/>
      <c r="BP11" s="195" t="s">
        <v>1964</v>
      </c>
      <c r="BQ11" s="21" t="s">
        <v>1964</v>
      </c>
      <c r="BR11" s="3040" t="s">
        <v>1787</v>
      </c>
      <c r="BS11" s="3041"/>
      <c r="BT11" s="3042"/>
      <c r="BU11" s="3040" t="s">
        <v>1786</v>
      </c>
      <c r="BV11" s="3041"/>
      <c r="BW11" s="3042"/>
      <c r="BX11" s="3040" t="s">
        <v>3642</v>
      </c>
      <c r="BY11" s="3041"/>
      <c r="BZ11" s="3042"/>
      <c r="CA11" s="3040" t="s">
        <v>2380</v>
      </c>
      <c r="CB11" s="3041"/>
      <c r="CC11" s="3042"/>
      <c r="CD11" s="3040" t="s">
        <v>609</v>
      </c>
      <c r="CE11" s="3041"/>
      <c r="CF11" s="3041"/>
      <c r="CG11" s="3040" t="s">
        <v>610</v>
      </c>
      <c r="CH11" s="3041"/>
      <c r="CI11" s="3041"/>
      <c r="CJ11" s="3040" t="s">
        <v>2317</v>
      </c>
      <c r="CK11" s="3041"/>
      <c r="CL11" s="3041"/>
      <c r="CM11" s="3040" t="s">
        <v>2379</v>
      </c>
      <c r="CN11" s="3041"/>
      <c r="CO11" s="3041"/>
      <c r="CP11" s="3040" t="s">
        <v>3774</v>
      </c>
      <c r="CQ11" s="3041"/>
      <c r="CR11" s="3041"/>
      <c r="CS11" s="3074" t="s">
        <v>5299</v>
      </c>
      <c r="CT11" s="3075"/>
      <c r="CU11" s="3075"/>
      <c r="CV11" s="3074" t="s">
        <v>5300</v>
      </c>
      <c r="CW11" s="3075"/>
      <c r="CX11" s="3075"/>
      <c r="CY11" s="195" t="s">
        <v>3643</v>
      </c>
      <c r="CZ11" s="3074" t="s">
        <v>5301</v>
      </c>
      <c r="DA11" s="3075"/>
      <c r="DB11" s="3074" t="s">
        <v>5302</v>
      </c>
      <c r="DC11" s="3075"/>
      <c r="DD11" s="3075"/>
      <c r="DE11" s="3040" t="s">
        <v>3320</v>
      </c>
      <c r="DF11" s="3041"/>
      <c r="DG11" s="3041"/>
      <c r="DH11" s="210" t="s">
        <v>3514</v>
      </c>
      <c r="DI11" s="3041" t="s">
        <v>309</v>
      </c>
      <c r="DJ11" s="3239"/>
      <c r="DK11" s="3040" t="s">
        <v>1067</v>
      </c>
      <c r="DL11" s="3041"/>
      <c r="DM11" s="3042"/>
      <c r="DN11" s="3040" t="s">
        <v>457</v>
      </c>
      <c r="DO11" s="3041"/>
      <c r="DP11" s="3041"/>
      <c r="DQ11" s="3042"/>
      <c r="DR11" s="3040" t="s">
        <v>2732</v>
      </c>
      <c r="DS11" s="3041"/>
      <c r="DT11" s="3042"/>
      <c r="DU11" s="3078" t="s">
        <v>5277</v>
      </c>
      <c r="DV11" s="3079"/>
      <c r="DW11" s="3080"/>
      <c r="DX11" s="3081" t="str">
        <f>FormAide!D41</f>
        <v>Allocation "Fixe"  Montant indexé du moteur salariale</v>
      </c>
      <c r="DY11" s="3082"/>
      <c r="DZ11" s="3082"/>
      <c r="EA11" s="3040" t="s">
        <v>3766</v>
      </c>
      <c r="EB11" s="3041"/>
      <c r="EC11" s="3042"/>
      <c r="ED11" s="3040" t="s">
        <v>3765</v>
      </c>
      <c r="EE11" s="3041"/>
      <c r="EF11" s="3042"/>
      <c r="EG11" s="3123" t="s">
        <v>5298</v>
      </c>
      <c r="EH11" s="3123"/>
      <c r="EI11" s="3123"/>
      <c r="EJ11" s="3123"/>
      <c r="EK11" s="3123"/>
      <c r="EL11" s="3087"/>
      <c r="EM11" s="3041" t="s">
        <v>3764</v>
      </c>
      <c r="EN11" s="3041"/>
      <c r="EO11" s="3087"/>
      <c r="EP11" s="3041" t="s">
        <v>1747</v>
      </c>
      <c r="EQ11" s="3041"/>
      <c r="ER11" s="3087"/>
      <c r="ES11" s="3041" t="s">
        <v>4547</v>
      </c>
      <c r="ET11" s="3041"/>
      <c r="EU11" s="3087"/>
      <c r="EV11" s="3085" t="s">
        <v>4483</v>
      </c>
      <c r="EW11" s="3042"/>
      <c r="EX11" s="3150"/>
      <c r="EY11" s="3041" t="s">
        <v>5363</v>
      </c>
      <c r="EZ11" s="3041"/>
      <c r="FA11" s="3087"/>
      <c r="FB11" s="3041" t="s">
        <v>5322</v>
      </c>
      <c r="FC11" s="3041"/>
      <c r="FD11" s="3087"/>
      <c r="FE11" s="3041" t="s">
        <v>5323</v>
      </c>
      <c r="FF11" s="3041"/>
      <c r="FG11" s="3087" t="str">
        <f>FormAide!C55</f>
        <v>121-48/99</v>
      </c>
      <c r="FH11" s="3244" t="str">
        <f>FormAide!D55</f>
        <v>Autres Indemnités</v>
      </c>
      <c r="FI11" s="3245"/>
      <c r="FJ11" s="3246" t="str">
        <f>FormAide!D56</f>
        <v>Cotisations  Patronales Ordinaires sur Allocations Fixes, Traitement, Mandat, Supplém Sem volontaire4jrs &amp; partie fixe AFA"</v>
      </c>
      <c r="FK11" s="3041"/>
      <c r="FL11" s="3237" t="str">
        <f>FormAide!D57</f>
        <v>Côtisations patronales pensions sur Traitement, Mandat et allocations fixes</v>
      </c>
      <c r="FM11" s="3238" t="s">
        <v>449</v>
      </c>
      <c r="FN11" s="3237" t="str">
        <f>FormAide!D58</f>
        <v>Cotisations patronales ordinaires sur les Allocations Variables</v>
      </c>
      <c r="FO11" s="3238" t="s">
        <v>449</v>
      </c>
      <c r="FP11" s="3237" t="s">
        <v>1162</v>
      </c>
      <c r="FQ11" s="3238"/>
      <c r="FR11" s="3041" t="s">
        <v>1163</v>
      </c>
      <c r="FS11" s="3041"/>
      <c r="FT11" s="3090" t="s">
        <v>1845</v>
      </c>
      <c r="FU11" s="3091"/>
      <c r="FV11" s="3093"/>
      <c r="FW11" s="3251" t="s">
        <v>2065</v>
      </c>
      <c r="FX11" s="3252"/>
      <c r="FY11" s="3253" t="str">
        <f>"Calcul de la Subvention Sociale  II A+B
&amp; Mandat 
&amp; PatrAFAFixe  " &amp; ANNEE
&amp;" Quid ? : AllocFoncDir"</f>
        <v>Calcul de la Subvention Sociale  II A+B
&amp; Mandat 
&amp; PatrAFAFixe  2027 Quid ? : AllocFoncDir</v>
      </c>
      <c r="FZ11" s="3253"/>
      <c r="GA11" s="3152" t="s">
        <v>3403</v>
      </c>
      <c r="GB11" s="3152"/>
      <c r="GC11" s="3151" t="s">
        <v>2070</v>
      </c>
      <c r="GD11" s="3151"/>
      <c r="GE11" s="65" t="s">
        <v>1083</v>
      </c>
      <c r="GF11" s="65" t="s">
        <v>4177</v>
      </c>
      <c r="GG11" s="21" t="s">
        <v>2071</v>
      </c>
      <c r="GH11" s="21" t="s">
        <v>2072</v>
      </c>
      <c r="GI11" s="21" t="s">
        <v>2073</v>
      </c>
      <c r="GJ11" s="21" t="s">
        <v>2074</v>
      </c>
      <c r="GK11" s="21" t="s">
        <v>2075</v>
      </c>
      <c r="GL11" s="21" t="s">
        <v>4073</v>
      </c>
      <c r="GM11" s="1357" t="s">
        <v>890</v>
      </c>
      <c r="GN11" s="1357" t="s">
        <v>3292</v>
      </c>
      <c r="GO11" s="1357" t="s">
        <v>1562</v>
      </c>
      <c r="GP11" s="3084"/>
      <c r="GQ11" s="1302" t="s">
        <v>3395</v>
      </c>
      <c r="GR11" s="3039"/>
      <c r="GS11" s="3037"/>
      <c r="GT11" s="19">
        <f>MTC_QPP</f>
        <v>1.0900000000000001</v>
      </c>
      <c r="GU11" s="19">
        <f>MTC_Patr</f>
        <v>4.91</v>
      </c>
      <c r="GV11" s="19" t="s">
        <v>5895</v>
      </c>
      <c r="GW11" s="19" t="s">
        <v>5888</v>
      </c>
    </row>
    <row r="12" spans="1:256" s="14" customFormat="1" ht="26.25" customHeight="1">
      <c r="A12" s="11"/>
      <c r="B12" s="11">
        <f>COUNTIF(B18:B1201,DatPrest)</f>
        <v>0</v>
      </c>
      <c r="C12" s="11"/>
      <c r="D12" s="11"/>
      <c r="E12" s="2038" t="e">
        <f>IF(AND(VALUE(VLOOKUP(ZoneNr,Man_2,16,0))&gt;0,VALUE(VLOOKUP(ZoneNr,Man_2,16,0))&lt;ANNEE),1,"")</f>
        <v>#N/A</v>
      </c>
      <c r="F12" s="100"/>
      <c r="G12" s="101"/>
      <c r="H12" s="101"/>
      <c r="I12" s="99"/>
      <c r="J12" s="99"/>
      <c r="K12" s="2478">
        <f>ANNEE-1</f>
        <v>2026</v>
      </c>
      <c r="L12" s="99"/>
      <c r="M12" s="3043" t="str">
        <f>CONCATENATE("Vérifie ET copier l'échelle de l'avancements de l'année précédente: ",K12, " dans
 la colonne K")</f>
        <v>Vérifie ET copier l'échelle de l'avancements de l'année précédente: 2026 dans
 la colonne K</v>
      </c>
      <c r="N12" s="99"/>
      <c r="O12" s="99"/>
      <c r="Q12" s="102"/>
      <c r="R12" s="102"/>
      <c r="U12" s="180"/>
      <c r="V12" s="180"/>
      <c r="W12" s="180"/>
      <c r="X12" s="180"/>
      <c r="Y12" s="11"/>
      <c r="Z12" s="12"/>
      <c r="AA12" s="13"/>
      <c r="AB12" s="13"/>
      <c r="AC12" s="13"/>
      <c r="AD12" s="236"/>
      <c r="AE12" s="13"/>
      <c r="AF12" s="13"/>
      <c r="AG12" s="13"/>
      <c r="AH12" s="13"/>
      <c r="AI12" s="13"/>
      <c r="AJ12" s="13"/>
      <c r="AK12" s="236"/>
      <c r="AL12" s="13"/>
      <c r="AM12" s="13"/>
      <c r="AN12" s="13"/>
      <c r="AO12" s="13"/>
      <c r="AP12" s="13"/>
      <c r="AQ12" s="13"/>
      <c r="AR12" s="13"/>
      <c r="AS12" s="3046" t="s">
        <v>1289</v>
      </c>
      <c r="AT12" s="3047"/>
      <c r="AU12" s="3047"/>
      <c r="AV12" s="3061"/>
      <c r="AW12" s="3060" t="str">
        <f>FormAide!C5</f>
        <v>111-01/00</v>
      </c>
      <c r="AX12" s="3061"/>
      <c r="AY12" s="1245" t="s">
        <v>664</v>
      </c>
      <c r="AZ12" s="3060" t="s">
        <v>3900</v>
      </c>
      <c r="BA12" s="3048" t="e">
        <f>FormAide!#REF!</f>
        <v>#REF!</v>
      </c>
      <c r="BB12" s="3046" t="str">
        <f>FormAide!C9</f>
        <v>111-01/02</v>
      </c>
      <c r="BC12" s="3061"/>
      <c r="BD12" s="391"/>
      <c r="BE12" s="3046" t="str">
        <f>FormAide!B10</f>
        <v>111-01/04</v>
      </c>
      <c r="BF12" s="3047"/>
      <c r="BG12" s="3048"/>
      <c r="BH12" s="3058" t="str">
        <f>FormAide!B11</f>
        <v>112-01</v>
      </c>
      <c r="BI12" s="3059" t="str">
        <f>FormAide!C11</f>
        <v>112-01</v>
      </c>
      <c r="BJ12" s="3047" t="str">
        <f>FormAide!B12&amp;"  
"&amp;FormAide!B13</f>
        <v>111-01/12_F  
111-01/12_V</v>
      </c>
      <c r="BK12" s="3047" t="str">
        <f>FormAide!B12&amp;"     
 " &amp; FormAide!B13</f>
        <v>111-01/12_F     
 111-01/12_V</v>
      </c>
      <c r="BL12" s="3048"/>
      <c r="BM12" s="3060" t="str">
        <f>FormAide!C8</f>
        <v>111-01/01</v>
      </c>
      <c r="BN12" s="3047"/>
      <c r="BO12" s="3048"/>
      <c r="BP12" s="263"/>
      <c r="BQ12" s="13"/>
      <c r="BR12" s="3060" t="str">
        <f>FormAide!C16</f>
        <v>111-08/00</v>
      </c>
      <c r="BS12" s="3047"/>
      <c r="BT12" s="3047"/>
      <c r="BU12" s="3060" t="str">
        <f>FormAide!C17</f>
        <v>111-08/01</v>
      </c>
      <c r="BV12" s="3047"/>
      <c r="BW12" s="3061"/>
      <c r="BX12" s="3060" t="str">
        <f>FormAide!C18</f>
        <v>111-08/20</v>
      </c>
      <c r="BY12" s="3047"/>
      <c r="BZ12" s="3061"/>
      <c r="CA12" s="3060" t="str">
        <f>FormAide!C19</f>
        <v>111-08/21</v>
      </c>
      <c r="CB12" s="3047"/>
      <c r="CC12" s="3061"/>
      <c r="CD12" s="3060" t="str">
        <f>FormAide!C20</f>
        <v>111-08/03</v>
      </c>
      <c r="CE12" s="3047"/>
      <c r="CF12" s="3061"/>
      <c r="CG12" s="3060" t="str">
        <f>FormAide!C21</f>
        <v>111-08/04</v>
      </c>
      <c r="CH12" s="3047"/>
      <c r="CI12" s="3047"/>
      <c r="CJ12" s="3060" t="str">
        <f>FormAide!C22</f>
        <v>111-08/05</v>
      </c>
      <c r="CK12" s="3047"/>
      <c r="CL12" s="3047"/>
      <c r="CM12" s="3060" t="str">
        <f>FormAide!C23</f>
        <v>111-08/06</v>
      </c>
      <c r="CN12" s="3047"/>
      <c r="CO12" s="3048"/>
      <c r="CP12" s="3060" t="str">
        <f>FormAide!C24</f>
        <v>111-08/07</v>
      </c>
      <c r="CQ12" s="3047"/>
      <c r="CR12" s="3061"/>
      <c r="CS12" s="3060" t="str">
        <f>FormAide!C26</f>
        <v>111-01/05</v>
      </c>
      <c r="CT12" s="3047"/>
      <c r="CU12" s="3048"/>
      <c r="CV12" s="3046" t="str">
        <f>FormAide!C27</f>
        <v>111-01/06</v>
      </c>
      <c r="CW12" s="3047"/>
      <c r="CX12" s="3061"/>
      <c r="CY12" s="3060" t="str">
        <f>FormAide!C28</f>
        <v>111-01/07</v>
      </c>
      <c r="CZ12" s="3047"/>
      <c r="DA12" s="3048"/>
      <c r="DB12" s="3060" t="str">
        <f>FormAide!C29</f>
        <v>111-01/08</v>
      </c>
      <c r="DC12" s="3047"/>
      <c r="DD12" s="3048"/>
      <c r="DE12" s="3047" t="str">
        <f>FormAide!C30</f>
        <v>111-01/09</v>
      </c>
      <c r="DF12" s="3047"/>
      <c r="DG12" s="3061"/>
      <c r="DH12" s="3060" t="str">
        <f>FormAide!C31</f>
        <v>111-01/40</v>
      </c>
      <c r="DI12" s="3047"/>
      <c r="DJ12" s="3047"/>
      <c r="DK12" s="3060" t="str">
        <f>FormAide!C32</f>
        <v>111-01/41</v>
      </c>
      <c r="DL12" s="3047" t="s">
        <v>4238</v>
      </c>
      <c r="DM12" s="3048" t="s">
        <v>4238</v>
      </c>
      <c r="DN12" s="1308"/>
      <c r="DO12" s="3047" t="str">
        <f>FormAide!C33</f>
        <v>111-01/50</v>
      </c>
      <c r="DP12" s="3047"/>
      <c r="DQ12" s="3047"/>
      <c r="DR12" s="3060" t="str">
        <f>FormAide!C34</f>
        <v>111-01/51</v>
      </c>
      <c r="DS12" s="3047"/>
      <c r="DT12" s="3048"/>
      <c r="DU12" s="3060" t="s">
        <v>5274</v>
      </c>
      <c r="DV12" s="3047"/>
      <c r="DW12" s="3048"/>
      <c r="DX12" s="1245" t="s">
        <v>3776</v>
      </c>
      <c r="DY12" s="3060" t="str">
        <f>FormAide!$C$41</f>
        <v>111-01/99</v>
      </c>
      <c r="DZ12" s="3048" t="str">
        <f>FormAide!C41</f>
        <v>111-01/99</v>
      </c>
      <c r="EA12" s="3282" t="str">
        <f>FormAide!C43</f>
        <v>121-03</v>
      </c>
      <c r="EB12" s="3283"/>
      <c r="EC12" s="3284"/>
      <c r="ED12" s="3282" t="str">
        <f>FormAide!C44</f>
        <v>121-48/01</v>
      </c>
      <c r="EE12" s="3283"/>
      <c r="EF12" s="3284"/>
      <c r="EG12" s="3110" t="str">
        <f>FormAide!C45</f>
        <v>121-48/02</v>
      </c>
      <c r="EH12" s="3111"/>
      <c r="EI12" s="317"/>
      <c r="EJ12" s="3293" t="str">
        <f>FormAide!C51</f>
        <v>121-48/03</v>
      </c>
      <c r="EK12" s="3286"/>
      <c r="EL12" s="3110" t="str">
        <f>FormAide!C46</f>
        <v>121-48/04</v>
      </c>
      <c r="EM12" s="3285"/>
      <c r="EN12" s="3286"/>
      <c r="EO12" s="3110" t="str">
        <f>FormAide!C48</f>
        <v>115-01/10</v>
      </c>
      <c r="EP12" s="3285"/>
      <c r="EQ12" s="3286"/>
      <c r="ER12" s="3110" t="str">
        <f>FormAide!C49</f>
        <v>115-01/11</v>
      </c>
      <c r="ES12" s="3285"/>
      <c r="ET12" s="3286"/>
      <c r="EU12" s="3110" t="str">
        <f>FormAide!C50</f>
        <v>121-01</v>
      </c>
      <c r="EV12" s="3285"/>
      <c r="EW12" s="3286"/>
      <c r="EX12" s="3110" t="str">
        <f>FormAide!C52</f>
        <v>121-48/20</v>
      </c>
      <c r="EY12" s="3285"/>
      <c r="EZ12" s="3286"/>
      <c r="FA12" s="3110" t="str">
        <f>FormAide!C53</f>
        <v>121-48/21</v>
      </c>
      <c r="FB12" s="3285"/>
      <c r="FC12" s="3286"/>
      <c r="FD12" s="3110" t="s">
        <v>204</v>
      </c>
      <c r="FE12" s="3285"/>
      <c r="FF12" s="3286"/>
      <c r="FG12" s="264"/>
      <c r="FH12" s="3108" t="str">
        <f>FormAide!C55</f>
        <v>121-48/99</v>
      </c>
      <c r="FI12" s="3109"/>
      <c r="FJ12" s="3294" t="str">
        <f>FormAide!C56</f>
        <v>113-01</v>
      </c>
      <c r="FK12" s="3047"/>
      <c r="FL12" s="3096" t="str">
        <f>FormAide!C57</f>
        <v>113-21</v>
      </c>
      <c r="FM12" s="3097"/>
      <c r="FN12" s="3096" t="str">
        <f>FormAide!C58</f>
        <v>113-08</v>
      </c>
      <c r="FO12" s="3097"/>
      <c r="FP12" s="3096" t="str">
        <f>FormAide!C59</f>
        <v>117-01</v>
      </c>
      <c r="FQ12" s="3097"/>
      <c r="FR12" s="3047" t="str">
        <f>FormAide!C60</f>
        <v>118-01</v>
      </c>
      <c r="FS12" s="3047"/>
      <c r="FT12" s="1644"/>
      <c r="FU12" s="1645"/>
      <c r="FV12" s="478"/>
      <c r="FW12" s="3296" t="s">
        <v>4348</v>
      </c>
      <c r="FX12" s="3295"/>
      <c r="FY12" s="333"/>
      <c r="FZ12" s="337"/>
      <c r="GA12" s="3280" t="s">
        <v>4347</v>
      </c>
      <c r="GB12" s="3295"/>
      <c r="GC12" s="3280" t="s">
        <v>4349</v>
      </c>
      <c r="GD12" s="3281"/>
      <c r="GE12" s="167" t="s">
        <v>1742</v>
      </c>
      <c r="GF12" s="63"/>
      <c r="GG12" s="63"/>
      <c r="GH12" s="63"/>
      <c r="GJ12" s="19"/>
      <c r="GM12" s="1358"/>
      <c r="GN12" s="1358"/>
      <c r="GO12" s="1358"/>
      <c r="GS12" s="14" t="s">
        <v>5361</v>
      </c>
      <c r="GT12" s="14" t="s">
        <v>5349</v>
      </c>
      <c r="GU12" s="14" t="s">
        <v>5350</v>
      </c>
    </row>
    <row r="13" spans="1:256" s="42" customFormat="1" ht="15.75" customHeight="1">
      <c r="A13" s="26">
        <v>1</v>
      </c>
      <c r="B13" s="26">
        <v>2</v>
      </c>
      <c r="C13" s="26">
        <v>3</v>
      </c>
      <c r="D13" s="26">
        <v>4</v>
      </c>
      <c r="E13" s="1914">
        <v>5</v>
      </c>
      <c r="F13" s="103">
        <v>6</v>
      </c>
      <c r="G13" s="103">
        <v>7</v>
      </c>
      <c r="H13" s="103">
        <v>8</v>
      </c>
      <c r="I13" s="103">
        <v>9</v>
      </c>
      <c r="J13" s="103">
        <v>10</v>
      </c>
      <c r="K13" s="103">
        <v>11</v>
      </c>
      <c r="L13" s="103">
        <v>12</v>
      </c>
      <c r="M13" s="3044"/>
      <c r="N13" s="103">
        <v>14</v>
      </c>
      <c r="O13" s="103">
        <v>15</v>
      </c>
      <c r="P13" s="103">
        <v>16</v>
      </c>
      <c r="Q13" s="103">
        <v>17</v>
      </c>
      <c r="R13" s="103">
        <v>18</v>
      </c>
      <c r="S13" s="103">
        <v>19</v>
      </c>
      <c r="T13" s="103">
        <v>20</v>
      </c>
      <c r="U13" s="103">
        <v>21</v>
      </c>
      <c r="V13" s="103">
        <v>22</v>
      </c>
      <c r="W13" s="103">
        <v>23</v>
      </c>
      <c r="X13" s="103">
        <v>24</v>
      </c>
      <c r="Y13" s="103">
        <v>25</v>
      </c>
      <c r="Z13" s="103">
        <v>26</v>
      </c>
      <c r="AA13" s="103">
        <v>27</v>
      </c>
      <c r="AB13" s="103">
        <v>28</v>
      </c>
      <c r="AC13" s="103">
        <v>29</v>
      </c>
      <c r="AD13" s="237">
        <v>30</v>
      </c>
      <c r="AE13" s="103">
        <v>31</v>
      </c>
      <c r="AF13" s="103">
        <v>32</v>
      </c>
      <c r="AG13" s="103">
        <v>33</v>
      </c>
      <c r="AH13" s="103">
        <v>34</v>
      </c>
      <c r="AI13" s="103">
        <v>35</v>
      </c>
      <c r="AJ13" s="103">
        <v>36</v>
      </c>
      <c r="AK13" s="103">
        <v>37</v>
      </c>
      <c r="AL13" s="103">
        <v>38</v>
      </c>
      <c r="AM13" s="103">
        <v>39</v>
      </c>
      <c r="AN13" s="103">
        <v>40</v>
      </c>
      <c r="AO13" s="103">
        <v>41</v>
      </c>
      <c r="AP13" s="103">
        <v>42</v>
      </c>
      <c r="AQ13" s="103">
        <v>43</v>
      </c>
      <c r="AR13" s="103">
        <v>44</v>
      </c>
      <c r="AS13" s="103">
        <v>45</v>
      </c>
      <c r="AT13" s="103">
        <v>46</v>
      </c>
      <c r="AU13" s="103">
        <v>47</v>
      </c>
      <c r="AV13" s="184">
        <v>48</v>
      </c>
      <c r="AW13" s="285">
        <v>49</v>
      </c>
      <c r="AX13" s="226">
        <v>50</v>
      </c>
      <c r="AY13" s="2524" t="s">
        <v>1754</v>
      </c>
      <c r="AZ13" s="227" t="s">
        <v>1755</v>
      </c>
      <c r="BA13" s="227" t="s">
        <v>1756</v>
      </c>
      <c r="BB13" s="184" t="s">
        <v>665</v>
      </c>
      <c r="BC13" s="227" t="s">
        <v>666</v>
      </c>
      <c r="BD13" s="103" t="s">
        <v>667</v>
      </c>
      <c r="BE13" s="1521" t="s">
        <v>668</v>
      </c>
      <c r="BF13" s="227" t="s">
        <v>669</v>
      </c>
      <c r="BG13" s="325" t="s">
        <v>670</v>
      </c>
      <c r="BH13" s="1450" t="s">
        <v>438</v>
      </c>
      <c r="BI13" s="1451" t="s">
        <v>439</v>
      </c>
      <c r="BJ13" s="1450" t="s">
        <v>671</v>
      </c>
      <c r="BK13" s="227" t="s">
        <v>1757</v>
      </c>
      <c r="BL13" s="325" t="s">
        <v>1758</v>
      </c>
      <c r="BM13" s="1450" t="s">
        <v>2037</v>
      </c>
      <c r="BN13" s="227" t="s">
        <v>4321</v>
      </c>
      <c r="BO13" s="325" t="s">
        <v>4322</v>
      </c>
      <c r="BP13" s="285" t="s">
        <v>4323</v>
      </c>
      <c r="BQ13" s="227" t="s">
        <v>408</v>
      </c>
      <c r="BR13" s="285" t="s">
        <v>409</v>
      </c>
      <c r="BS13" s="227" t="s">
        <v>4324</v>
      </c>
      <c r="BT13" s="227" t="s">
        <v>4325</v>
      </c>
      <c r="BU13" s="285" t="s">
        <v>4326</v>
      </c>
      <c r="BV13" s="227" t="s">
        <v>4327</v>
      </c>
      <c r="BW13" s="227" t="s">
        <v>4328</v>
      </c>
      <c r="BX13" s="285" t="s">
        <v>4329</v>
      </c>
      <c r="BY13" s="227" t="s">
        <v>4330</v>
      </c>
      <c r="BZ13" s="227" t="s">
        <v>4331</v>
      </c>
      <c r="CA13" s="285" t="s">
        <v>4332</v>
      </c>
      <c r="CB13" s="227" t="s">
        <v>4333</v>
      </c>
      <c r="CC13" s="227" t="s">
        <v>3068</v>
      </c>
      <c r="CD13" s="285" t="s">
        <v>711</v>
      </c>
      <c r="CE13" s="227" t="s">
        <v>1178</v>
      </c>
      <c r="CF13" s="227" t="s">
        <v>1179</v>
      </c>
      <c r="CG13" s="285" t="s">
        <v>714</v>
      </c>
      <c r="CH13" s="227" t="s">
        <v>715</v>
      </c>
      <c r="CI13" s="227" t="s">
        <v>716</v>
      </c>
      <c r="CJ13" s="285" t="s">
        <v>717</v>
      </c>
      <c r="CK13" s="227" t="s">
        <v>3066</v>
      </c>
      <c r="CL13" s="227" t="s">
        <v>3067</v>
      </c>
      <c r="CM13" s="285" t="s">
        <v>3068</v>
      </c>
      <c r="CN13" s="227" t="s">
        <v>1177</v>
      </c>
      <c r="CO13" s="325" t="s">
        <v>712</v>
      </c>
      <c r="CP13" s="285" t="s">
        <v>713</v>
      </c>
      <c r="CQ13" s="227" t="s">
        <v>487</v>
      </c>
      <c r="CR13" s="227" t="s">
        <v>488</v>
      </c>
      <c r="CS13" s="438" t="s">
        <v>1180</v>
      </c>
      <c r="CT13" s="439" t="s">
        <v>1181</v>
      </c>
      <c r="CU13" s="439" t="s">
        <v>1182</v>
      </c>
      <c r="CV13" s="285" t="s">
        <v>1183</v>
      </c>
      <c r="CW13" s="227" t="s">
        <v>1759</v>
      </c>
      <c r="CX13" s="227" t="s">
        <v>1760</v>
      </c>
      <c r="CY13" s="285" t="s">
        <v>1761</v>
      </c>
      <c r="CZ13" s="227" t="s">
        <v>1762</v>
      </c>
      <c r="DA13" s="227" t="s">
        <v>1763</v>
      </c>
      <c r="DB13" s="285" t="s">
        <v>1764</v>
      </c>
      <c r="DC13" s="227" t="s">
        <v>1765</v>
      </c>
      <c r="DD13" s="227" t="s">
        <v>1766</v>
      </c>
      <c r="DE13" s="285" t="s">
        <v>1767</v>
      </c>
      <c r="DF13" s="227" t="s">
        <v>1768</v>
      </c>
      <c r="DG13" s="227" t="s">
        <v>1769</v>
      </c>
      <c r="DH13" s="285" t="s">
        <v>1770</v>
      </c>
      <c r="DI13" s="227" t="s">
        <v>1771</v>
      </c>
      <c r="DJ13" s="227" t="s">
        <v>1772</v>
      </c>
      <c r="DK13" s="285" t="s">
        <v>1773</v>
      </c>
      <c r="DL13" s="227" t="s">
        <v>1774</v>
      </c>
      <c r="DM13" s="325" t="s">
        <v>1775</v>
      </c>
      <c r="DN13" s="1253" t="s">
        <v>1776</v>
      </c>
      <c r="DO13" s="227" t="s">
        <v>1777</v>
      </c>
      <c r="DP13" s="227" t="s">
        <v>1778</v>
      </c>
      <c r="DQ13" s="227" t="s">
        <v>1779</v>
      </c>
      <c r="DR13" s="285" t="s">
        <v>1780</v>
      </c>
      <c r="DS13" s="227" t="s">
        <v>1781</v>
      </c>
      <c r="DT13" s="227" t="s">
        <v>1782</v>
      </c>
      <c r="DU13" s="285" t="s">
        <v>1783</v>
      </c>
      <c r="DV13" s="227" t="s">
        <v>5275</v>
      </c>
      <c r="DW13" s="325">
        <v>127</v>
      </c>
      <c r="DX13" s="285">
        <v>128</v>
      </c>
      <c r="DY13" s="227">
        <v>129</v>
      </c>
      <c r="DZ13" s="227">
        <v>130</v>
      </c>
      <c r="EA13" s="285">
        <v>131</v>
      </c>
      <c r="EB13" s="227">
        <v>132</v>
      </c>
      <c r="EC13" s="227">
        <v>133</v>
      </c>
      <c r="ED13" s="285">
        <v>134</v>
      </c>
      <c r="EE13" s="227">
        <v>135</v>
      </c>
      <c r="EF13" s="227">
        <v>136</v>
      </c>
      <c r="EG13" s="285">
        <v>137</v>
      </c>
      <c r="EH13" s="1423">
        <v>138</v>
      </c>
      <c r="EI13" s="227">
        <v>139</v>
      </c>
      <c r="EJ13" s="1422">
        <v>140</v>
      </c>
      <c r="EK13" s="325">
        <v>141</v>
      </c>
      <c r="EL13" s="227">
        <v>142</v>
      </c>
      <c r="EM13" s="227">
        <v>143</v>
      </c>
      <c r="EN13" s="227">
        <v>144</v>
      </c>
      <c r="EO13" s="227">
        <v>145</v>
      </c>
      <c r="EP13" s="227">
        <v>146</v>
      </c>
      <c r="EQ13" s="227">
        <v>147</v>
      </c>
      <c r="ER13" s="227">
        <v>148</v>
      </c>
      <c r="ES13" s="227">
        <v>149</v>
      </c>
      <c r="ET13" s="227">
        <v>150</v>
      </c>
      <c r="EU13" s="227">
        <v>151</v>
      </c>
      <c r="EV13" s="227">
        <v>152</v>
      </c>
      <c r="EW13" s="227">
        <v>153</v>
      </c>
      <c r="EX13" s="2503">
        <v>154</v>
      </c>
      <c r="EY13" s="227">
        <v>155</v>
      </c>
      <c r="EZ13" s="227">
        <v>156</v>
      </c>
      <c r="FA13" s="227">
        <v>157</v>
      </c>
      <c r="FB13" s="227">
        <v>158</v>
      </c>
      <c r="FC13" s="227">
        <v>159</v>
      </c>
      <c r="FD13" s="285">
        <v>160</v>
      </c>
      <c r="FE13" s="227">
        <v>161</v>
      </c>
      <c r="FF13" s="227">
        <v>162</v>
      </c>
      <c r="FG13" s="285">
        <v>163</v>
      </c>
      <c r="FH13" s="227">
        <v>164</v>
      </c>
      <c r="FI13" s="227">
        <v>165</v>
      </c>
      <c r="FJ13" s="1433">
        <v>166</v>
      </c>
      <c r="FK13" s="227">
        <v>167</v>
      </c>
      <c r="FL13" s="292">
        <v>168</v>
      </c>
      <c r="FM13" s="251">
        <v>169</v>
      </c>
      <c r="FN13" s="292">
        <v>170</v>
      </c>
      <c r="FO13" s="251">
        <v>171</v>
      </c>
      <c r="FP13" s="292">
        <v>172</v>
      </c>
      <c r="FQ13" s="251">
        <v>173</v>
      </c>
      <c r="FR13" s="227">
        <v>174</v>
      </c>
      <c r="FS13" s="227">
        <v>175</v>
      </c>
      <c r="FT13" s="1427">
        <v>176</v>
      </c>
      <c r="FU13" s="1428">
        <v>177</v>
      </c>
      <c r="FV13" s="251">
        <v>178</v>
      </c>
      <c r="FW13" s="227">
        <v>179</v>
      </c>
      <c r="FX13" s="227">
        <v>180</v>
      </c>
      <c r="FY13" s="184">
        <v>181</v>
      </c>
      <c r="FZ13" s="227">
        <v>182</v>
      </c>
      <c r="GA13" s="184">
        <v>183</v>
      </c>
      <c r="GB13" s="227">
        <v>184</v>
      </c>
      <c r="GC13" s="184">
        <v>185</v>
      </c>
      <c r="GD13" s="227">
        <v>186</v>
      </c>
      <c r="GE13" s="1745">
        <v>187</v>
      </c>
      <c r="GF13" s="1745">
        <v>188</v>
      </c>
      <c r="GG13" s="1745">
        <v>189</v>
      </c>
      <c r="GH13" s="1745">
        <v>190</v>
      </c>
      <c r="GI13" s="1745">
        <v>191</v>
      </c>
      <c r="GJ13" s="1745">
        <v>192</v>
      </c>
      <c r="GK13" s="1745">
        <v>193</v>
      </c>
      <c r="GL13" s="1745">
        <v>194</v>
      </c>
      <c r="GM13" s="1745">
        <v>195</v>
      </c>
      <c r="GN13" s="1745">
        <v>196</v>
      </c>
      <c r="GO13" s="1745">
        <v>197</v>
      </c>
      <c r="GP13" s="1745">
        <v>198</v>
      </c>
      <c r="GQ13" s="1745">
        <v>199</v>
      </c>
      <c r="GR13" s="1745">
        <v>200</v>
      </c>
      <c r="GS13" s="1745">
        <v>201</v>
      </c>
      <c r="GT13" s="1745">
        <v>202</v>
      </c>
      <c r="GU13" s="1745">
        <v>203</v>
      </c>
      <c r="GV13" s="1745" t="s">
        <v>5889</v>
      </c>
      <c r="GW13" s="1745" t="s">
        <v>5890</v>
      </c>
      <c r="GX13" s="1745"/>
      <c r="GY13" s="241"/>
      <c r="GZ13" s="241"/>
      <c r="HA13" s="241"/>
      <c r="HB13" s="241"/>
      <c r="HC13" s="241"/>
      <c r="HD13" s="241"/>
      <c r="HE13" s="241"/>
      <c r="HF13" s="241"/>
      <c r="HG13" s="241"/>
      <c r="HH13" s="241"/>
      <c r="HI13" s="241"/>
      <c r="HJ13" s="241"/>
      <c r="HK13" s="241"/>
      <c r="HL13" s="241"/>
      <c r="HM13" s="241"/>
      <c r="HN13" s="241"/>
      <c r="HO13" s="241"/>
      <c r="HP13" s="241"/>
      <c r="HQ13" s="241"/>
      <c r="HR13" s="241"/>
      <c r="HS13" s="241"/>
      <c r="HT13" s="241"/>
      <c r="HU13" s="241"/>
      <c r="HV13" s="241"/>
      <c r="HW13" s="241"/>
      <c r="HX13" s="241"/>
      <c r="HY13" s="241"/>
      <c r="HZ13" s="241"/>
      <c r="IA13" s="241"/>
      <c r="IB13" s="241"/>
      <c r="IC13" s="241"/>
      <c r="ID13" s="241"/>
      <c r="IE13" s="241"/>
      <c r="IF13" s="241"/>
      <c r="IG13" s="241"/>
      <c r="IH13" s="241"/>
      <c r="II13" s="241"/>
      <c r="IJ13" s="241"/>
      <c r="IK13" s="241"/>
      <c r="IL13" s="241"/>
      <c r="IM13" s="241"/>
      <c r="IN13" s="241"/>
      <c r="IO13" s="241"/>
      <c r="IP13" s="241"/>
      <c r="IQ13" s="241"/>
      <c r="IR13" s="241"/>
      <c r="IS13" s="241"/>
      <c r="IT13" s="241"/>
      <c r="IU13" s="241"/>
    </row>
    <row r="14" spans="1:256" s="1501" customFormat="1" ht="23.25" customHeight="1">
      <c r="A14" s="3260"/>
      <c r="B14" s="3260"/>
      <c r="C14" s="3260"/>
      <c r="D14" s="1479">
        <v>2</v>
      </c>
      <c r="E14" s="2039">
        <v>1</v>
      </c>
      <c r="F14" s="3254"/>
      <c r="G14" s="1481" t="s">
        <v>1085</v>
      </c>
      <c r="H14" s="1482" t="s">
        <v>1280</v>
      </c>
      <c r="I14" s="3254"/>
      <c r="J14" s="3254"/>
      <c r="K14" s="1482"/>
      <c r="L14" s="3254"/>
      <c r="M14" s="3044"/>
      <c r="N14" s="3254"/>
      <c r="O14" s="3254"/>
      <c r="P14" s="3254"/>
      <c r="Q14" s="1483"/>
      <c r="R14" s="1484"/>
      <c r="S14" s="1485" t="s">
        <v>3402</v>
      </c>
      <c r="T14" s="1486">
        <v>0.1</v>
      </c>
      <c r="U14" s="1487">
        <f>COUNTIF(U17:U1200,T14)</f>
        <v>0</v>
      </c>
      <c r="V14" s="3258"/>
      <c r="W14" s="218">
        <f>IF(OR(E14="1",E14=1),1,2)</f>
        <v>1</v>
      </c>
      <c r="X14" s="3258"/>
      <c r="Y14" s="3260"/>
      <c r="Z14" s="3260"/>
      <c r="AA14" s="3256"/>
      <c r="AB14" s="3260"/>
      <c r="AC14" s="3062"/>
      <c r="AD14" s="1488"/>
      <c r="AE14" s="3062" t="e">
        <f>SUM(AE17:AE24)</f>
        <v>#VALUE!</v>
      </c>
      <c r="AF14" s="3062"/>
      <c r="AG14" s="3062" t="e">
        <f>SUM(AG17:AG24)</f>
        <v>#VALUE!</v>
      </c>
      <c r="AH14" s="3062"/>
      <c r="AI14" s="3062"/>
      <c r="AJ14" s="3062"/>
      <c r="AK14" s="1488"/>
      <c r="AL14" s="3062">
        <f>SUM(AL17:AL24)</f>
        <v>0</v>
      </c>
      <c r="AM14" s="3062"/>
      <c r="AN14" s="3062">
        <f>SUM(AN17:AN24)</f>
        <v>0</v>
      </c>
      <c r="AO14" s="3062"/>
      <c r="AP14" s="3062"/>
      <c r="AQ14" s="3062"/>
      <c r="AR14" s="3062"/>
      <c r="AS14" s="3062"/>
      <c r="AT14" s="3062"/>
      <c r="AU14" s="3062"/>
      <c r="AV14" s="3064"/>
      <c r="AW14" s="3300" t="s">
        <v>1753</v>
      </c>
      <c r="AX14" s="3301"/>
      <c r="AY14" s="3066" t="s">
        <v>3070</v>
      </c>
      <c r="AZ14" s="3067"/>
      <c r="BA14" s="3068"/>
      <c r="BB14" s="3064"/>
      <c r="BC14" s="3278"/>
      <c r="BD14" s="3274"/>
      <c r="BE14" s="1489"/>
      <c r="BF14" s="1490"/>
      <c r="BG14" s="1490"/>
      <c r="BH14" s="3276" t="s">
        <v>407</v>
      </c>
      <c r="BI14" s="3262"/>
      <c r="BJ14" s="3276" t="s">
        <v>407</v>
      </c>
      <c r="BK14" s="3116" t="s">
        <v>3018</v>
      </c>
      <c r="BL14" s="3117"/>
      <c r="BM14" s="1491" t="e">
        <f>VLOOKUP($F$1,Man_2,5,0)</f>
        <v>#N/A</v>
      </c>
      <c r="BN14" s="1492" t="e">
        <f>IF(OR(W14="",BM14=0,W14=1,W14="1"),0,IF(SecrFix="",ROUND(VLOOKUP(BM14,Mandat,4)*VLOOKUP(BM14,Mandat,9),2),ROUND(SecrFix/12*IndW_N,2)))</f>
        <v>#N/A</v>
      </c>
      <c r="BO14" s="1493" t="e">
        <f>IF(BM14=0,0,IF(SecrFix="",ROUND(VLOOKUP(BM14,Mandat,IF(OR(W14=2,W14="2"),5,3))*VLOOKUP(BM14,Mandat,9),2),ROUND(SecrFix*IF(OR(W14=2,W14="2"),IndW_N1,IndW),2)))</f>
        <v>#N/A</v>
      </c>
      <c r="BP14" s="3054"/>
      <c r="BQ14" s="3055"/>
      <c r="BR14" s="3304">
        <v>1</v>
      </c>
      <c r="BS14" s="1523"/>
      <c r="BT14" s="1523"/>
      <c r="BU14" s="3049">
        <v>1</v>
      </c>
      <c r="BV14" s="1523"/>
      <c r="BW14" s="1523"/>
      <c r="BX14" s="3049">
        <v>1</v>
      </c>
      <c r="BY14" s="1523"/>
      <c r="BZ14" s="1523"/>
      <c r="CA14" s="3049">
        <v>1</v>
      </c>
      <c r="CB14" s="1523"/>
      <c r="CC14" s="1523"/>
      <c r="CD14" s="3049">
        <v>1</v>
      </c>
      <c r="CE14" s="1523"/>
      <c r="CF14" s="1523"/>
      <c r="CG14" s="3112"/>
      <c r="CH14" s="3112"/>
      <c r="CI14" s="3055"/>
      <c r="CJ14" s="3102" t="s">
        <v>2211</v>
      </c>
      <c r="CK14" s="3103"/>
      <c r="CL14" s="3118"/>
      <c r="CM14" s="3102" t="s">
        <v>2211</v>
      </c>
      <c r="CN14" s="3103"/>
      <c r="CO14" s="3272"/>
      <c r="CP14" s="3102"/>
      <c r="CQ14" s="3103"/>
      <c r="CR14" s="3264"/>
      <c r="CS14" s="3054"/>
      <c r="CT14" s="3112"/>
      <c r="CU14" s="3055"/>
      <c r="CV14" s="3054"/>
      <c r="CW14" s="3112"/>
      <c r="CX14" s="3055"/>
      <c r="CY14" s="3054"/>
      <c r="CZ14" s="3112"/>
      <c r="DA14" s="3055"/>
      <c r="DB14" s="3102" t="e">
        <f>IF(SUM(DB17:DB53)&gt;=1,"Aangeduid aantal wordt berekend =&gt;aantal te controleren","")</f>
        <v>#N/A</v>
      </c>
      <c r="DC14" s="3103"/>
      <c r="DD14" s="3264"/>
      <c r="DE14" s="3054"/>
      <c r="DF14" s="3112"/>
      <c r="DG14" s="3055"/>
      <c r="DH14" s="3054"/>
      <c r="DI14" s="3112"/>
      <c r="DJ14" s="3055"/>
      <c r="DK14" s="3266"/>
      <c r="DL14" s="3267"/>
      <c r="DM14" s="3268"/>
      <c r="DN14" s="1494"/>
      <c r="DO14" s="3098" t="e">
        <f>IF(MAX(DO17:DO1200)=4,"Montant à remplir dans (DI &amp;) DJ","")</f>
        <v>#N/A</v>
      </c>
      <c r="DP14" s="3098"/>
      <c r="DQ14" s="3099"/>
      <c r="DR14" s="3102" t="e">
        <f>IF(SUM(DR17:DR53)&gt;=6*D1,"Bedrag wordt geïndexeerd
=&gt;ev aantal te vermelden","")</f>
        <v>#N/A</v>
      </c>
      <c r="DS14" s="3103"/>
      <c r="DT14" s="3104"/>
      <c r="DU14" s="3266"/>
      <c r="DV14" s="3267"/>
      <c r="DW14" s="3268"/>
      <c r="DX14" s="3054"/>
      <c r="DY14" s="3112"/>
      <c r="DZ14" s="3055"/>
      <c r="EA14" s="3054"/>
      <c r="EB14" s="3112"/>
      <c r="EC14" s="3055"/>
      <c r="ED14" s="3287" t="s">
        <v>406</v>
      </c>
      <c r="EE14" s="3288"/>
      <c r="EF14" s="3289"/>
      <c r="EG14" s="3054"/>
      <c r="EH14" s="3112"/>
      <c r="EI14" s="3112"/>
      <c r="EJ14" s="3112"/>
      <c r="EK14" s="3055"/>
      <c r="EL14" s="3054"/>
      <c r="EM14" s="3112"/>
      <c r="EN14" s="3055"/>
      <c r="EO14" s="3054"/>
      <c r="EP14" s="3112"/>
      <c r="EQ14" s="3055"/>
      <c r="ER14" s="3054"/>
      <c r="ES14" s="3112"/>
      <c r="ET14" s="3114"/>
      <c r="EU14" s="1495"/>
      <c r="EV14" s="1492">
        <f>ROUND(EU14/12*IndDiffDec,2)</f>
        <v>0</v>
      </c>
      <c r="EW14" s="1493">
        <f>ROUND(EU14/12*11*IndDiffNab,2)</f>
        <v>0</v>
      </c>
      <c r="EX14" s="3297" t="s">
        <v>5364</v>
      </c>
      <c r="EY14" s="3298"/>
      <c r="EZ14" s="3298"/>
      <c r="FA14" s="3054"/>
      <c r="FB14" s="3112"/>
      <c r="FC14" s="3055"/>
      <c r="FD14" s="3054"/>
      <c r="FE14" s="3112"/>
      <c r="FF14" s="3055"/>
      <c r="FG14" s="3054"/>
      <c r="FH14" s="3112"/>
      <c r="FI14" s="3112"/>
      <c r="FJ14" s="1646" t="e">
        <f>ROUND(Ops!BN14*IF($D14=1,ZIVStat,ZIVContr),2)</f>
        <v>#N/A</v>
      </c>
      <c r="FK14" s="1647" t="e">
        <f>ROUND(Ops!BO14*IF($D14=1,ZIVStat,ZIVContr),2)</f>
        <v>#N/A</v>
      </c>
      <c r="FL14" s="1648"/>
      <c r="FM14" s="298"/>
      <c r="FN14" s="1648"/>
      <c r="FO14" s="298"/>
      <c r="FP14" s="454"/>
      <c r="FQ14" s="297"/>
      <c r="FR14" s="249" t="e">
        <f>ROUND(BN14*PctSvSocDst,2)</f>
        <v>#N/A</v>
      </c>
      <c r="FS14" s="216" t="e">
        <f>ROUND(BO14*PctSvSocDst,2)</f>
        <v>#N/A</v>
      </c>
      <c r="FT14" s="1649" t="e">
        <f>BN14+FJ14+EV14+FR14</f>
        <v>#N/A</v>
      </c>
      <c r="FU14" s="1650" t="e">
        <f>BO14+FK14+EW14+FS14</f>
        <v>#N/A</v>
      </c>
      <c r="FV14" s="1497" t="e">
        <f t="shared" ref="FV14:GD14" si="41">SUM(FV17:FV1200)</f>
        <v>#N/A</v>
      </c>
      <c r="FW14" s="1498" t="e">
        <f t="shared" si="41"/>
        <v>#N/A</v>
      </c>
      <c r="FX14" s="1498" t="e">
        <f t="shared" si="41"/>
        <v>#N/A</v>
      </c>
      <c r="FY14" s="1499" t="e">
        <f t="shared" si="41"/>
        <v>#N/A</v>
      </c>
      <c r="FZ14" s="1498" t="e">
        <f t="shared" si="41"/>
        <v>#N/A</v>
      </c>
      <c r="GA14" s="1499" t="e">
        <f t="shared" si="41"/>
        <v>#N/A</v>
      </c>
      <c r="GB14" s="1498" t="e">
        <f t="shared" si="41"/>
        <v>#N/A</v>
      </c>
      <c r="GC14" s="1499" t="e">
        <f t="shared" si="41"/>
        <v>#N/A</v>
      </c>
      <c r="GD14" s="1500" t="e">
        <f t="shared" si="41"/>
        <v>#N/A</v>
      </c>
      <c r="GJ14" s="299"/>
      <c r="GM14" s="1502"/>
      <c r="GN14" s="1502"/>
      <c r="GO14" s="1502"/>
      <c r="GQ14" s="2122" t="s">
        <v>5242</v>
      </c>
      <c r="GR14" s="1501">
        <f>COUNTIF(GR17:GR1200,1)</f>
        <v>0</v>
      </c>
      <c r="GS14" s="2882">
        <v>1</v>
      </c>
      <c r="GT14" s="2883">
        <f>IF(OR(GS14=0,GS14=""),0,ROUND(MTC_QPP*MC_Nbr,2))</f>
        <v>233.26</v>
      </c>
      <c r="GU14" s="2884">
        <f>IF(OR(GS14=0,GS14=""),0,ROUND(MTC_Patr*MC_Nbr,2))</f>
        <v>1050.74</v>
      </c>
      <c r="GV14" s="1503"/>
      <c r="GW14" s="1503"/>
      <c r="GX14" s="1503"/>
      <c r="GY14" s="1503"/>
      <c r="GZ14" s="1503"/>
      <c r="HA14" s="1503"/>
      <c r="HB14" s="1503"/>
      <c r="HC14" s="1503"/>
      <c r="HD14" s="1503"/>
      <c r="HE14" s="1503"/>
      <c r="HF14" s="1503"/>
      <c r="HG14" s="1503"/>
      <c r="HH14" s="1503"/>
      <c r="HI14" s="1503"/>
      <c r="HJ14" s="1503"/>
      <c r="HK14" s="1503"/>
      <c r="HL14" s="1503"/>
      <c r="HM14" s="1503"/>
      <c r="HN14" s="1503"/>
      <c r="HO14" s="1503"/>
      <c r="HP14" s="1503"/>
      <c r="HQ14" s="1503"/>
      <c r="HR14" s="1503"/>
      <c r="HS14" s="1503"/>
      <c r="HT14" s="1503"/>
      <c r="HU14" s="1503"/>
      <c r="HV14" s="1503"/>
      <c r="HW14" s="1503"/>
      <c r="HX14" s="1503"/>
      <c r="HY14" s="1503"/>
      <c r="HZ14" s="1503"/>
      <c r="IA14" s="1503"/>
      <c r="IB14" s="1503"/>
      <c r="IC14" s="1503"/>
      <c r="ID14" s="1503"/>
      <c r="IE14" s="1503"/>
      <c r="IF14" s="1503"/>
      <c r="IG14" s="1503"/>
      <c r="IH14" s="1503"/>
      <c r="II14" s="1503"/>
      <c r="IJ14" s="1503"/>
      <c r="IK14" s="1503"/>
      <c r="IL14" s="1503"/>
      <c r="IM14" s="1503"/>
      <c r="IN14" s="1503"/>
      <c r="IO14" s="1503"/>
      <c r="IP14" s="1503"/>
      <c r="IQ14" s="1503"/>
      <c r="IR14" s="1503"/>
      <c r="IS14" s="1503"/>
      <c r="IT14" s="1503"/>
      <c r="IU14" s="1503"/>
      <c r="IV14" s="1503"/>
    </row>
    <row r="15" spans="1:256" s="1503" customFormat="1" ht="23.25" customHeight="1">
      <c r="A15" s="3261"/>
      <c r="B15" s="3261"/>
      <c r="C15" s="3261"/>
      <c r="D15" s="1504">
        <v>2</v>
      </c>
      <c r="E15" s="2040">
        <v>1</v>
      </c>
      <c r="F15" s="3255"/>
      <c r="G15" s="1506" t="s">
        <v>1086</v>
      </c>
      <c r="H15" s="1507" t="s">
        <v>3042</v>
      </c>
      <c r="I15" s="3255"/>
      <c r="J15" s="3255"/>
      <c r="K15" s="2479" t="e">
        <f>LEFT(K12,(LEN(K12)-9))</f>
        <v>#VALUE!</v>
      </c>
      <c r="L15" s="3255"/>
      <c r="M15" s="3045"/>
      <c r="N15" s="3255"/>
      <c r="O15" s="3255"/>
      <c r="P15" s="3255"/>
      <c r="Q15" s="1508"/>
      <c r="R15" s="1509"/>
      <c r="S15" s="1510" t="s">
        <v>3402</v>
      </c>
      <c r="T15" s="1511">
        <v>0.8</v>
      </c>
      <c r="U15" s="1512">
        <f>COUNTIF(U17:U1200,T15)</f>
        <v>0</v>
      </c>
      <c r="V15" s="3259"/>
      <c r="W15" s="218">
        <f>IF(OR(E15="1",E15=1),1,2)</f>
        <v>1</v>
      </c>
      <c r="X15" s="3259"/>
      <c r="Y15" s="3261"/>
      <c r="Z15" s="3261"/>
      <c r="AA15" s="3257"/>
      <c r="AB15" s="3261"/>
      <c r="AC15" s="3063"/>
      <c r="AD15" s="1513"/>
      <c r="AE15" s="3063"/>
      <c r="AF15" s="3063"/>
      <c r="AG15" s="3063"/>
      <c r="AH15" s="3063"/>
      <c r="AI15" s="3063"/>
      <c r="AJ15" s="3063"/>
      <c r="AK15" s="1513"/>
      <c r="AL15" s="3063"/>
      <c r="AM15" s="3063"/>
      <c r="AN15" s="3063"/>
      <c r="AO15" s="3063"/>
      <c r="AP15" s="3063"/>
      <c r="AQ15" s="3063"/>
      <c r="AR15" s="3063"/>
      <c r="AS15" s="3063"/>
      <c r="AT15" s="3063"/>
      <c r="AU15" s="3063"/>
      <c r="AV15" s="3065"/>
      <c r="AW15" s="3302"/>
      <c r="AX15" s="3303"/>
      <c r="AY15" s="3069"/>
      <c r="AZ15" s="3070"/>
      <c r="BA15" s="3071"/>
      <c r="BB15" s="3065"/>
      <c r="BC15" s="3279"/>
      <c r="BD15" s="3275"/>
      <c r="BE15" s="1514"/>
      <c r="BF15" s="1515"/>
      <c r="BG15" s="1515"/>
      <c r="BH15" s="3277"/>
      <c r="BI15" s="3263"/>
      <c r="BJ15" s="3277"/>
      <c r="BK15" s="3051" t="s">
        <v>3019</v>
      </c>
      <c r="BL15" s="3052"/>
      <c r="BM15" s="1516" t="e">
        <f>VLOOKUP($F$1,Man_2,5,0)</f>
        <v>#N/A</v>
      </c>
      <c r="BN15" s="1517" t="e">
        <f>IF(OR(W15="",BM15=0,W15=1,W15="1"),0,IF(CS_FIX="",ROUND(VLOOKUP(BM15,Mandat,4)*VLOOKUP(BM15,Mandat,8),2),ROUND(CS_FIX/12*IndW_N,2)))</f>
        <v>#N/A</v>
      </c>
      <c r="BO15" s="1518" t="e">
        <f>IF(BM15=0,0,IF(CS_FIX="",ROUND(VLOOKUP(BM15,Mandat,IF(OR(W15=2,W15="2"),5,3))*VLOOKUP(BM15,Mandat,8),2),ROUND(CS_FIX*IF(OR(W15=2,W15="2"),IndW_N1,IndW),2)))</f>
        <v>#N/A</v>
      </c>
      <c r="BP15" s="3056"/>
      <c r="BQ15" s="3057"/>
      <c r="BR15" s="3305"/>
      <c r="BS15" s="1523"/>
      <c r="BT15" s="1523"/>
      <c r="BU15" s="3050"/>
      <c r="BV15" s="1523"/>
      <c r="BW15" s="1523"/>
      <c r="BX15" s="3053"/>
      <c r="BY15" s="1523"/>
      <c r="BZ15" s="1523"/>
      <c r="CA15" s="3050"/>
      <c r="CB15" s="1523"/>
      <c r="CC15" s="1523"/>
      <c r="CD15" s="3050"/>
      <c r="CE15" s="1523"/>
      <c r="CF15" s="1523"/>
      <c r="CG15" s="3113"/>
      <c r="CH15" s="3113"/>
      <c r="CI15" s="3057"/>
      <c r="CJ15" s="3119"/>
      <c r="CK15" s="3120"/>
      <c r="CL15" s="3120"/>
      <c r="CM15" s="3119"/>
      <c r="CN15" s="3120"/>
      <c r="CO15" s="3273"/>
      <c r="CP15" s="3119"/>
      <c r="CQ15" s="3120"/>
      <c r="CR15" s="3265"/>
      <c r="CS15" s="3056"/>
      <c r="CT15" s="3113"/>
      <c r="CU15" s="3057"/>
      <c r="CV15" s="3056"/>
      <c r="CW15" s="3113"/>
      <c r="CX15" s="3057"/>
      <c r="CY15" s="3056"/>
      <c r="CZ15" s="3113"/>
      <c r="DA15" s="3057"/>
      <c r="DB15" s="3119"/>
      <c r="DC15" s="3120"/>
      <c r="DD15" s="3265"/>
      <c r="DE15" s="3056"/>
      <c r="DF15" s="3113"/>
      <c r="DG15" s="3057"/>
      <c r="DH15" s="3056"/>
      <c r="DI15" s="3113"/>
      <c r="DJ15" s="3057"/>
      <c r="DK15" s="3269"/>
      <c r="DL15" s="3270"/>
      <c r="DM15" s="3271"/>
      <c r="DN15" s="1519"/>
      <c r="DO15" s="3100"/>
      <c r="DP15" s="3100"/>
      <c r="DQ15" s="3101"/>
      <c r="DR15" s="3105"/>
      <c r="DS15" s="3106"/>
      <c r="DT15" s="3107"/>
      <c r="DU15" s="3269"/>
      <c r="DV15" s="3270"/>
      <c r="DW15" s="3271"/>
      <c r="DX15" s="3056"/>
      <c r="DY15" s="3113"/>
      <c r="DZ15" s="3057"/>
      <c r="EA15" s="3056"/>
      <c r="EB15" s="3113"/>
      <c r="EC15" s="3057"/>
      <c r="ED15" s="3290"/>
      <c r="EE15" s="3291"/>
      <c r="EF15" s="3292"/>
      <c r="EG15" s="3056"/>
      <c r="EH15" s="3113"/>
      <c r="EI15" s="3113"/>
      <c r="EJ15" s="3113"/>
      <c r="EK15" s="3057"/>
      <c r="EL15" s="3056"/>
      <c r="EM15" s="3113"/>
      <c r="EN15" s="3057"/>
      <c r="EO15" s="3056"/>
      <c r="EP15" s="3113"/>
      <c r="EQ15" s="3057"/>
      <c r="ER15" s="3056"/>
      <c r="ES15" s="3113"/>
      <c r="ET15" s="3115"/>
      <c r="EU15" s="1495"/>
      <c r="EV15" s="1517">
        <f>ROUND(EU15/12*IndDiffDec,2)</f>
        <v>0</v>
      </c>
      <c r="EW15" s="1518">
        <f>ROUND(EU15/12*11*IndDiffNab,2)</f>
        <v>0</v>
      </c>
      <c r="EX15" s="3299"/>
      <c r="EY15" s="3299"/>
      <c r="EZ15" s="3299"/>
      <c r="FA15" s="3056"/>
      <c r="FB15" s="3113"/>
      <c r="FC15" s="3057"/>
      <c r="FD15" s="3056"/>
      <c r="FE15" s="3113"/>
      <c r="FF15" s="3057"/>
      <c r="FG15" s="3056"/>
      <c r="FH15" s="3113"/>
      <c r="FI15" s="3113"/>
      <c r="FJ15" s="1651" t="e">
        <f>ROUND(Ops!BN15*IF($D15=1,ZIVStat,ZIVContr),2)</f>
        <v>#N/A</v>
      </c>
      <c r="FK15" s="1652" t="e">
        <f>ROUND(Ops!BO15*IF($D15=1,ZIVStat,ZIVContr),2)</f>
        <v>#N/A</v>
      </c>
      <c r="FL15" s="454"/>
      <c r="FM15" s="297"/>
      <c r="FN15" s="454"/>
      <c r="FO15" s="297"/>
      <c r="FP15" s="454"/>
      <c r="FQ15" s="297"/>
      <c r="FR15" s="249" t="e">
        <f>ROUND(BN15*PctSvSocDst,2)</f>
        <v>#N/A</v>
      </c>
      <c r="FS15" s="216" t="e">
        <f>ROUND(BO15*PctSvSocDst,2)</f>
        <v>#N/A</v>
      </c>
      <c r="FT15" s="1649" t="e">
        <f>BN15+FJ15+EV15+FR15</f>
        <v>#N/A</v>
      </c>
      <c r="FU15" s="1650" t="e">
        <f>BO15+FK15+EW15+FS15</f>
        <v>#N/A</v>
      </c>
      <c r="FV15" s="485" t="str">
        <f t="shared" ref="FV15:GD15" si="42">IF(ISERROR(SUBTOTAL(9,FV17:FV1200)),"",SUBTOTAL(9,FV17:FV1200))</f>
        <v/>
      </c>
      <c r="FW15" s="332" t="str">
        <f t="shared" si="42"/>
        <v/>
      </c>
      <c r="FX15" s="332" t="str">
        <f t="shared" si="42"/>
        <v/>
      </c>
      <c r="FY15" s="335" t="str">
        <f t="shared" si="42"/>
        <v/>
      </c>
      <c r="FZ15" s="332" t="str">
        <f t="shared" si="42"/>
        <v/>
      </c>
      <c r="GA15" s="335" t="str">
        <f t="shared" si="42"/>
        <v/>
      </c>
      <c r="GB15" s="332" t="str">
        <f t="shared" si="42"/>
        <v/>
      </c>
      <c r="GC15" s="335" t="str">
        <f t="shared" si="42"/>
        <v/>
      </c>
      <c r="GD15" s="341" t="str">
        <f t="shared" si="42"/>
        <v/>
      </c>
      <c r="GM15" s="1520"/>
      <c r="GN15" s="1520"/>
      <c r="GO15" s="1520"/>
      <c r="GQ15" s="2122" t="s">
        <v>5243</v>
      </c>
      <c r="GR15" s="1501">
        <f>COUNTIF(GR17:GR1200,0)</f>
        <v>0</v>
      </c>
      <c r="GS15" s="2882">
        <v>1</v>
      </c>
      <c r="GT15" s="2883">
        <f>IF(OR(GS15=0,GS15=""),0,ROUND(MTC_QPP*MC_Nbr,2))</f>
        <v>233.26</v>
      </c>
      <c r="GU15" s="2884">
        <f>IF(OR(GS15=0,GS15=""),0,ROUND(MTC_Patr*MC_Nbr,2))</f>
        <v>1050.74</v>
      </c>
    </row>
    <row r="16" spans="1:256" ht="11.25" customHeight="1" thickBot="1">
      <c r="A16" s="265" t="s">
        <v>1795</v>
      </c>
      <c r="B16" s="1009"/>
      <c r="C16" s="1010"/>
      <c r="D16" s="973" t="s">
        <v>1596</v>
      </c>
      <c r="E16" s="1132" t="s">
        <v>3694</v>
      </c>
      <c r="F16" s="974" t="s">
        <v>4535</v>
      </c>
      <c r="G16" s="974" t="s">
        <v>3693</v>
      </c>
      <c r="H16" s="974" t="s">
        <v>1281</v>
      </c>
      <c r="I16" s="974" t="s">
        <v>3692</v>
      </c>
      <c r="J16" s="974" t="s">
        <v>4511</v>
      </c>
      <c r="K16" s="974" t="s">
        <v>3440</v>
      </c>
      <c r="L16" s="973" t="s">
        <v>4512</v>
      </c>
      <c r="M16" s="973" t="s">
        <v>3885</v>
      </c>
      <c r="N16" s="973" t="s">
        <v>3886</v>
      </c>
      <c r="O16" s="973" t="s">
        <v>1384</v>
      </c>
      <c r="P16" s="973" t="s">
        <v>3887</v>
      </c>
      <c r="Q16" s="1132" t="s">
        <v>2523</v>
      </c>
      <c r="R16" s="1132" t="s">
        <v>4510</v>
      </c>
      <c r="S16" s="1132" t="s">
        <v>3888</v>
      </c>
      <c r="T16" s="2801" t="e">
        <f>IF(M16="","",IF(VALUE(LEFT(RIGHT(M16,6),4))=ANNEE,RIGHT(M16,6),""))</f>
        <v>#VALUE!</v>
      </c>
      <c r="U16" s="1259"/>
      <c r="V16" s="975"/>
      <c r="W16" s="975"/>
      <c r="X16" s="975"/>
      <c r="Y16" s="225"/>
      <c r="Z16" s="225"/>
      <c r="AA16" s="976"/>
      <c r="AB16" s="225"/>
      <c r="AC16" s="225"/>
      <c r="AD16" s="238"/>
      <c r="AE16" s="225"/>
      <c r="AF16" s="225"/>
      <c r="AG16" s="225"/>
      <c r="AH16" s="225"/>
      <c r="AI16" s="225"/>
      <c r="AJ16" s="225"/>
      <c r="AK16" s="238"/>
      <c r="AL16" s="225"/>
      <c r="AM16" s="225"/>
      <c r="AN16" s="225"/>
      <c r="AO16" s="225"/>
      <c r="AP16" s="225"/>
      <c r="AQ16" s="225"/>
      <c r="AR16" s="225"/>
      <c r="AS16" s="225"/>
      <c r="AT16" s="225"/>
      <c r="AU16" s="225"/>
      <c r="AV16" s="977"/>
      <c r="AW16" s="978">
        <f>ANNEE-1</f>
        <v>2026</v>
      </c>
      <c r="AX16" s="979">
        <f>ANNEE</f>
        <v>2027</v>
      </c>
      <c r="AY16" s="984"/>
      <c r="AZ16" s="980">
        <f>ANNEE-1</f>
        <v>2026</v>
      </c>
      <c r="BA16" s="979">
        <f>ANNEE</f>
        <v>2027</v>
      </c>
      <c r="BB16" s="980">
        <f>ANNEE-1</f>
        <v>2026</v>
      </c>
      <c r="BC16" s="979">
        <f>ANNEE</f>
        <v>2027</v>
      </c>
      <c r="BD16" s="981"/>
      <c r="BE16" s="1243"/>
      <c r="BF16" s="980">
        <f>ANNEE-1</f>
        <v>2026</v>
      </c>
      <c r="BG16" s="979">
        <f>ANNEE</f>
        <v>2027</v>
      </c>
      <c r="BH16" s="980">
        <f>BF16</f>
        <v>2026</v>
      </c>
      <c r="BI16" s="1452">
        <f>ANNEE</f>
        <v>2027</v>
      </c>
      <c r="BJ16" s="980">
        <f>BH16</f>
        <v>2026</v>
      </c>
      <c r="BK16" s="3094">
        <f>ANNEE</f>
        <v>2027</v>
      </c>
      <c r="BL16" s="3095"/>
      <c r="BM16" s="983"/>
      <c r="BN16" s="980">
        <f>ANNEE-1</f>
        <v>2026</v>
      </c>
      <c r="BO16" s="979">
        <f>ANNEE</f>
        <v>2027</v>
      </c>
      <c r="BP16" s="978">
        <f>ANNEE-1</f>
        <v>2026</v>
      </c>
      <c r="BQ16" s="979">
        <f>ANNEE</f>
        <v>2027</v>
      </c>
      <c r="BR16" s="984"/>
      <c r="BS16" s="993">
        <f>ANNEE-1</f>
        <v>2026</v>
      </c>
      <c r="BT16" s="994">
        <f>ANNEE</f>
        <v>2027</v>
      </c>
      <c r="BU16" s="984"/>
      <c r="BV16" s="993">
        <f>ANNEE-1</f>
        <v>2026</v>
      </c>
      <c r="BW16" s="994">
        <f>ANNEE</f>
        <v>2027</v>
      </c>
      <c r="BX16" s="984"/>
      <c r="BY16" s="993">
        <f>ANNEE-1</f>
        <v>2026</v>
      </c>
      <c r="BZ16" s="994">
        <f>ANNEE</f>
        <v>2027</v>
      </c>
      <c r="CA16" s="984"/>
      <c r="CB16" s="993">
        <f>ANNEE-1</f>
        <v>2026</v>
      </c>
      <c r="CC16" s="994">
        <f>ANNEE</f>
        <v>2027</v>
      </c>
      <c r="CD16" s="984"/>
      <c r="CE16" s="993">
        <f>ANNEE-1</f>
        <v>2026</v>
      </c>
      <c r="CF16" s="994">
        <f>ANNEE</f>
        <v>2027</v>
      </c>
      <c r="CG16" s="984"/>
      <c r="CH16" s="980">
        <f>ANNEE-1</f>
        <v>2026</v>
      </c>
      <c r="CI16" s="979">
        <f>ANNEE</f>
        <v>2027</v>
      </c>
      <c r="CJ16" s="984"/>
      <c r="CK16" s="980">
        <f>ANNEE-1</f>
        <v>2026</v>
      </c>
      <c r="CL16" s="979">
        <f>ANNEE</f>
        <v>2027</v>
      </c>
      <c r="CM16" s="984"/>
      <c r="CN16" s="980">
        <f>ANNEE-1</f>
        <v>2026</v>
      </c>
      <c r="CO16" s="979">
        <f>ANNEE</f>
        <v>2027</v>
      </c>
      <c r="CP16" s="984"/>
      <c r="CQ16" s="980">
        <f>ANNEE-1</f>
        <v>2026</v>
      </c>
      <c r="CR16" s="979">
        <f>ANNEE</f>
        <v>2027</v>
      </c>
      <c r="CS16" s="984"/>
      <c r="CT16" s="980">
        <f>ANNEE-1</f>
        <v>2026</v>
      </c>
      <c r="CU16" s="979">
        <f>ANNEE</f>
        <v>2027</v>
      </c>
      <c r="CV16" s="984"/>
      <c r="CW16" s="980">
        <f>ANNEE-1</f>
        <v>2026</v>
      </c>
      <c r="CX16" s="979">
        <f>ANNEE</f>
        <v>2027</v>
      </c>
      <c r="CY16" s="984"/>
      <c r="CZ16" s="980">
        <f>ANNEE-1</f>
        <v>2026</v>
      </c>
      <c r="DA16" s="979">
        <f>ANNEE</f>
        <v>2027</v>
      </c>
      <c r="DB16" s="984"/>
      <c r="DC16" s="980">
        <f>ANNEE-1</f>
        <v>2026</v>
      </c>
      <c r="DD16" s="979">
        <f>ANNEE</f>
        <v>2027</v>
      </c>
      <c r="DE16" s="984"/>
      <c r="DF16" s="980">
        <f>ANNEE-1</f>
        <v>2026</v>
      </c>
      <c r="DG16" s="979">
        <f>ANNEE</f>
        <v>2027</v>
      </c>
      <c r="DH16" s="986"/>
      <c r="DI16" s="980">
        <f>ANNEE-1</f>
        <v>2026</v>
      </c>
      <c r="DJ16" s="979">
        <f>ANNEE</f>
        <v>2027</v>
      </c>
      <c r="DK16" s="987"/>
      <c r="DL16" s="980">
        <f>ANNEE-1</f>
        <v>2026</v>
      </c>
      <c r="DM16" s="985">
        <f>ANNEE</f>
        <v>2027</v>
      </c>
      <c r="DN16" s="1254"/>
      <c r="DO16" s="1255"/>
      <c r="DP16" s="980">
        <f>ANNEE-1</f>
        <v>2026</v>
      </c>
      <c r="DQ16" s="979">
        <f>ANNEE</f>
        <v>2027</v>
      </c>
      <c r="DR16" s="984"/>
      <c r="DS16" s="980">
        <f>ANNEE-1</f>
        <v>2026</v>
      </c>
      <c r="DT16" s="979">
        <f>ANNEE</f>
        <v>2027</v>
      </c>
      <c r="DU16" s="987"/>
      <c r="DV16" s="980">
        <f>ANNEE-1</f>
        <v>2026</v>
      </c>
      <c r="DW16" s="985">
        <f>ANNEE</f>
        <v>2027</v>
      </c>
      <c r="DX16" s="984"/>
      <c r="DY16" s="980">
        <f>ANNEE-1</f>
        <v>2026</v>
      </c>
      <c r="DZ16" s="979">
        <f>ANNEE</f>
        <v>2027</v>
      </c>
      <c r="EA16" s="988"/>
      <c r="EB16" s="980">
        <f>ANNEE-1</f>
        <v>2026</v>
      </c>
      <c r="EC16" s="979">
        <f>ANNEE</f>
        <v>2027</v>
      </c>
      <c r="ED16" s="988"/>
      <c r="EE16" s="980">
        <f>ANNEE-1</f>
        <v>2026</v>
      </c>
      <c r="EF16" s="979">
        <f>ANNEE</f>
        <v>2027</v>
      </c>
      <c r="EG16" s="978">
        <f>EE16</f>
        <v>2026</v>
      </c>
      <c r="EH16" s="1424">
        <f>EF16</f>
        <v>2027</v>
      </c>
      <c r="EI16" s="1426"/>
      <c r="EJ16" s="980">
        <f>ANNEE-1</f>
        <v>2026</v>
      </c>
      <c r="EK16" s="979">
        <f>ANNEE</f>
        <v>2027</v>
      </c>
      <c r="EL16" s="982"/>
      <c r="EM16" s="980">
        <f>ANNEE-1</f>
        <v>2026</v>
      </c>
      <c r="EN16" s="985">
        <f>ANNEE</f>
        <v>2027</v>
      </c>
      <c r="EO16" s="982"/>
      <c r="EP16" s="980">
        <f>ANNEE-1</f>
        <v>2026</v>
      </c>
      <c r="EQ16" s="985">
        <f>ANNEE</f>
        <v>2027</v>
      </c>
      <c r="ER16" s="982"/>
      <c r="ES16" s="980">
        <f>ANNEE-1</f>
        <v>2026</v>
      </c>
      <c r="ET16" s="979">
        <f>ANNEE</f>
        <v>2027</v>
      </c>
      <c r="EU16" s="982"/>
      <c r="EV16" s="980">
        <f>ANNEE-1</f>
        <v>2026</v>
      </c>
      <c r="EW16" s="979">
        <f>ANNEE</f>
        <v>2027</v>
      </c>
      <c r="EX16" s="2504"/>
      <c r="EY16" s="980">
        <f>ANNEE-1</f>
        <v>2026</v>
      </c>
      <c r="EZ16" s="979">
        <f>ANNEE</f>
        <v>2027</v>
      </c>
      <c r="FA16" s="982"/>
      <c r="FB16" s="980">
        <f>ANNEE-1</f>
        <v>2026</v>
      </c>
      <c r="FC16" s="979">
        <f>ANNEE</f>
        <v>2027</v>
      </c>
      <c r="FD16" s="982"/>
      <c r="FE16" s="980">
        <f>ANNEE-1</f>
        <v>2026</v>
      </c>
      <c r="FF16" s="979">
        <f>ANNEE</f>
        <v>2027</v>
      </c>
      <c r="FG16" s="982"/>
      <c r="FH16" s="980">
        <f>ANNEE-1</f>
        <v>2026</v>
      </c>
      <c r="FI16" s="979">
        <f>ANNEE</f>
        <v>2027</v>
      </c>
      <c r="FJ16" s="1434">
        <f>ANNEE-1</f>
        <v>2026</v>
      </c>
      <c r="FK16" s="979">
        <f>ANNEE</f>
        <v>2027</v>
      </c>
      <c r="FL16" s="991">
        <f>ANNEE-1</f>
        <v>2026</v>
      </c>
      <c r="FM16" s="990">
        <f>ANNEE</f>
        <v>2027</v>
      </c>
      <c r="FN16" s="991">
        <f>ANNEE-1</f>
        <v>2026</v>
      </c>
      <c r="FO16" s="990">
        <f>ANNEE</f>
        <v>2027</v>
      </c>
      <c r="FP16" s="991">
        <f>ANNEE-1</f>
        <v>2026</v>
      </c>
      <c r="FQ16" s="990">
        <f>ANNEE</f>
        <v>2027</v>
      </c>
      <c r="FR16" s="980">
        <f>ANNEE-1</f>
        <v>2026</v>
      </c>
      <c r="FS16" s="979">
        <f>ANNEE</f>
        <v>2027</v>
      </c>
      <c r="FT16" s="1653">
        <f>ANNEE-1</f>
        <v>2026</v>
      </c>
      <c r="FU16" s="1654">
        <f>ANNEE</f>
        <v>2027</v>
      </c>
      <c r="FV16" s="992"/>
      <c r="FW16" s="993">
        <f>ANNEE-1</f>
        <v>2026</v>
      </c>
      <c r="FX16" s="994">
        <f>ANNEE</f>
        <v>2027</v>
      </c>
      <c r="FY16" s="995">
        <f>ANNEE-1</f>
        <v>2026</v>
      </c>
      <c r="FZ16" s="979">
        <f>ANNEE</f>
        <v>2027</v>
      </c>
      <c r="GA16" s="995">
        <f>ANNEE-1</f>
        <v>2026</v>
      </c>
      <c r="GB16" s="979">
        <f>ANNEE</f>
        <v>2027</v>
      </c>
      <c r="GC16" s="995">
        <f>ANNEE-1</f>
        <v>2026</v>
      </c>
      <c r="GD16" s="989">
        <f>ANNEE</f>
        <v>2027</v>
      </c>
      <c r="GE16" s="983"/>
      <c r="GF16" s="983"/>
      <c r="GG16" s="983"/>
      <c r="GH16" s="983"/>
      <c r="GI16" s="983"/>
      <c r="GJ16" s="983"/>
      <c r="GK16" s="983"/>
      <c r="GL16" s="983"/>
      <c r="GM16" s="1359"/>
      <c r="GN16" s="1359"/>
      <c r="GO16" s="1359"/>
      <c r="GP16" s="983"/>
      <c r="GQ16" s="983"/>
      <c r="GR16" s="983"/>
      <c r="GS16" s="2504"/>
      <c r="GT16" s="2878">
        <f>+ANNEE</f>
        <v>2027</v>
      </c>
      <c r="GU16" s="2878">
        <f>+ANNEE</f>
        <v>2027</v>
      </c>
      <c r="GV16" s="2878">
        <f>+ANNEE</f>
        <v>2027</v>
      </c>
      <c r="GW16" s="2878">
        <f>+ANNEE</f>
        <v>2027</v>
      </c>
      <c r="GX16" s="2878"/>
    </row>
    <row r="17" spans="1:256" s="198" customFormat="1" ht="12" customHeight="1" thickTop="1">
      <c r="A17" s="1252">
        <f>C17</f>
        <v>1</v>
      </c>
      <c r="B17" s="200"/>
      <c r="C17" s="486">
        <f>C16+1</f>
        <v>1</v>
      </c>
      <c r="D17" s="996"/>
      <c r="E17" s="996"/>
      <c r="F17" s="996"/>
      <c r="G17" s="996"/>
      <c r="H17" s="1264"/>
      <c r="I17" s="1264"/>
      <c r="J17" s="1264"/>
      <c r="K17" s="175"/>
      <c r="L17" s="1264"/>
      <c r="M17" s="1264"/>
      <c r="N17" s="1264"/>
      <c r="O17" s="1264"/>
      <c r="P17" s="1264"/>
      <c r="Q17" s="997"/>
      <c r="R17" s="997"/>
      <c r="S17" s="997"/>
      <c r="T17" s="2801" t="str">
        <f>IF(M17="","",IF(VALUE(LEFT(RIGHT(M17,6),4))=ANNEE,RIGHT(M17,6),""))</f>
        <v/>
      </c>
      <c r="U17" s="233" t="e">
        <f>IF(BE17="",LEFT(R17,6)/full,VLOOKUP(BE17,Prest_supl,6,0))</f>
        <v>#N/A</v>
      </c>
      <c r="V17" s="49" t="e">
        <f>VLOOKUP(D17,StCtr,2,0)</f>
        <v>#N/A</v>
      </c>
      <c r="W17" s="218" t="e">
        <f>IF(OR(E17="1",E17=1),1,IF(ARREST="",2,1))</f>
        <v>#N/A</v>
      </c>
      <c r="X17" s="218" t="e">
        <f>HLOOKUP(K17,ZkBarOps,5,0)</f>
        <v>#N/A</v>
      </c>
      <c r="Y17" s="216" t="str">
        <f>IF(T17="",IF(N17="","",N17),LEFT(M17,SEARCH("-",M17)-2))</f>
        <v/>
      </c>
      <c r="Z17" s="216">
        <f>IF(Y17=N17,O17,RIGHT(L17,6))</f>
        <v>0</v>
      </c>
      <c r="AA17" s="215" t="e">
        <f>VALUE(LEFT(L17,4))</f>
        <v>#VALUE!</v>
      </c>
      <c r="AB17" s="216" t="e">
        <f>IF(ANNEE-AA17&lt;0,0,ANNEE-AA17)-IF(MID(L17,5,2)="01",IF(OR(E17="2",E17="2"),1,0),1)</f>
        <v>#VALUE!</v>
      </c>
      <c r="AC17" s="216" t="e">
        <f>VALUE(RIGHT(L17,2))</f>
        <v>#VALUE!</v>
      </c>
      <c r="AD17" s="239" t="e">
        <f>HLOOKUP($K17,ZkBarOps,8,0)</f>
        <v>#N/A</v>
      </c>
      <c r="AE17" s="216" t="e">
        <f>VLOOKUP(AB17,TabBarOps,AD17)</f>
        <v>#VALUE!</v>
      </c>
      <c r="AF17" s="216" t="e">
        <f>VLOOKUP(AC17,E_A,IF(W17=2,1,2))</f>
        <v>#VALUE!</v>
      </c>
      <c r="AG17" s="216" t="e">
        <f>IF(AF17=12,"",VLOOKUP(AB17+1,TabBarOps,AD17))</f>
        <v>#VALUE!</v>
      </c>
      <c r="AH17" s="216" t="e">
        <f>IF(AND(AG17&lt;AL17,12-AF17=AO17),0,12-AF17)</f>
        <v>#VALUE!</v>
      </c>
      <c r="AI17" s="216" t="str">
        <f>IF(Y17="","",ANNEE-VALUE(LEFT(Z17,4))-IF(MID(Z17,5,2)="01",IF(W17=2,1,0),1))</f>
        <v/>
      </c>
      <c r="AJ17" s="216" t="str">
        <f>IF(AI17="","",VALUE(RIGHT(Z17,2)))</f>
        <v/>
      </c>
      <c r="AK17" s="239" t="str">
        <f>IF(Y17="","",HLOOKUP(Y17,ZkBarOps,8,0))</f>
        <v/>
      </c>
      <c r="AL17" s="216" t="str">
        <f>IF(AND(N17="",T17=""),"",VLOOKUP(AI17,TabBarOps,AK17))</f>
        <v/>
      </c>
      <c r="AM17" s="216" t="str">
        <f>IF(AI17="","",VLOOKUP(AJ17,E_A,IF(W17=2,1,2)))</f>
        <v/>
      </c>
      <c r="AN17" s="216" t="str">
        <f>IF(OR(AM17=12,AI17="",AND(N17="",T17="")),"",VLOOKUP(AI17+1,TabBarOps,AK17))</f>
        <v/>
      </c>
      <c r="AO17" s="216" t="str">
        <f>IF(AI17="","",12-AM17)</f>
        <v/>
      </c>
      <c r="AP17" s="216" t="e">
        <f>IF(AND(T17&lt;&gt;"",IF(M17="",0,VALUE(RIGHT(M17,2)))&lt;AF17),AJ17-1,MIN(AF17,AM17))</f>
        <v>#VALUE!</v>
      </c>
      <c r="AQ17" s="216" t="e">
        <f>MAX(AE17,IF(AND(AJ17&lt;&gt;1,T17&lt;&gt;""),0,AL17))</f>
        <v>#VALUE!</v>
      </c>
      <c r="AR17" s="216" t="e">
        <f>IF(AS17="",0,IF(AND(T17&lt;&gt;"",AF17=AM17),AJ17-1-AF17,MAX(AF17,AM17)-AP17))</f>
        <v>#VALUE!</v>
      </c>
      <c r="AS17" s="216" t="e">
        <f>IF(AND(AM17&lt;AJ17,T17&lt;&gt;""),IF(AG17="",0,AG17),IF(AF17&gt;AM17,MAX(AN17,AE17),MAX(AG17,AL17)))</f>
        <v>#VALUE!</v>
      </c>
      <c r="AT17" s="216" t="e">
        <f>12-AP17-AR17</f>
        <v>#VALUE!</v>
      </c>
      <c r="AU17" s="216" t="e">
        <f>MAX(AG17,IF(AN17="",AL17,AN17))</f>
        <v>#VALUE!</v>
      </c>
      <c r="AV17" s="217" t="e">
        <f>ROUND((AP17*AQ17+AR17*IF(AS17="",0,AS17)+AT17*AU17)/12,2)</f>
        <v>#VALUE!</v>
      </c>
      <c r="AW17" s="355" t="e">
        <f>IF(W17=1,0,(ROUND(AQ17/12*IndW_N1*U17,2)))+IF(AZ17&lt;0,AZ17,0)</f>
        <v>#N/A</v>
      </c>
      <c r="AX17" s="217" t="e">
        <f>ROUND(IndW*GW17*U17,2)+IF(BA17&lt;0,BA17,0)</f>
        <v>#VALUE!</v>
      </c>
      <c r="AY17" s="1559" t="e">
        <f>IF(OR(V17=5,GE17=""),0,IF(ISNA(VLOOKUP(F17,Zk_PrestAll,66,0)),0,VLOOKUP(F17,Zk_PrestAll,66,0)))-IF(ISNA(VLOOKUP(F17,Zk_PrestAll,67,0)),0,VLOOKUP(F17,Zk_PrestAll,67,0))</f>
        <v>#N/A</v>
      </c>
      <c r="AZ17" s="249" t="e">
        <f>IF(OR(AY17=0,AY17="",W17=1),0,ROUND(AY17/12*IndDiffDec,2))</f>
        <v>#N/A</v>
      </c>
      <c r="BA17" s="221" t="e">
        <f>IF(OR(AY17=0,AY17=""),0,ROUND(AY17/12*IF(W17=1,12*IndDiff,11*IndDiffNab),2))</f>
        <v>#N/A</v>
      </c>
      <c r="BB17" s="300" t="e">
        <f>IF(AW17=0,0,ROUND(VLOOKUP(AQ17,HS_FR,IF(OR(S17=1,S17="1"),2,3))*IndW_N1/12,2))</f>
        <v>#N/A</v>
      </c>
      <c r="BC17" s="217" t="e">
        <f>ROUND(VLOOKUP(AV17,HS_FR,IF(OR(S17=1,S17="1"),2,3))*IF(W17=2,IndW_N1/12*11,IndW_N),2)</f>
        <v>#VALUE!</v>
      </c>
      <c r="BD17" s="392" t="e">
        <f>ROUND(U17*AV17*IndW,2)</f>
        <v>#N/A</v>
      </c>
      <c r="BE17" s="1244" t="e">
        <f>IF(OR(V17=5,GE17=""),"",IF(VLOOKUP(F17,Zk_PrestAll,59,0)&gt;1,"4/5s",IF(VLOOKUP(F17,Zk_PrestAll,60,0)&gt;1,"50%","")))</f>
        <v>#N/A</v>
      </c>
      <c r="BF17" s="249" t="e">
        <f>IF(AND(W17=2,BE17&lt;&gt;""),ROUND(VLOOKUP(BE17,Prest_supl,4,0),2),"")</f>
        <v>#N/A</v>
      </c>
      <c r="BG17" s="252" t="e">
        <f>IF(BE17&lt;&gt;"",ROUND(VLOOKUP(BE17,Prest_supl,IF(W17=2,5,3),0),2),"")</f>
        <v>#N/A</v>
      </c>
      <c r="BH17" s="1469"/>
      <c r="BI17" s="216" t="e">
        <f>ROUND((BD17+SUM(BN17:BO17))*0.92/12,2)</f>
        <v>#N/A</v>
      </c>
      <c r="BJ17" s="1469"/>
      <c r="BK17" s="1459" t="e">
        <f>ROUND(EjtAfaFix*U17,2)</f>
        <v>#N/A</v>
      </c>
      <c r="BL17" s="260" t="e">
        <f>ROUND((GO17*PctVarAFA)+(IF(GN17&lt;=EJT_Min,EJT_Min,IF(GN17&gt;=EJT_Max,EJT_Max,GN17))),2)</f>
        <v>#N/A</v>
      </c>
      <c r="BM17" s="214" t="str">
        <f>IF(J17="o6",VLOOKUP(F17,Zk_PrestAll,68,0),"")</f>
        <v/>
      </c>
      <c r="BN17" s="293" t="e">
        <f>IF(AND(W17=2,BM17&lt;&gt;""),VLOOKUP(MandatZPZ,Mandat,4,0),"")</f>
        <v>#N/A</v>
      </c>
      <c r="BO17" s="217" t="str">
        <f>IF(BM17&lt;&gt;"",VLOOKUP(MandatZPZ,Mandat,IF(W17=1,3,5),0),"")</f>
        <v/>
      </c>
      <c r="BP17" s="355" t="e">
        <f>AV17/1850*IndT_N1</f>
        <v>#VALUE!</v>
      </c>
      <c r="BQ17" s="217" t="e">
        <f>AV17/1850*IF(W17=1,IndW,IndW_N)</f>
        <v>#VALUE!</v>
      </c>
      <c r="BR17" s="1193" t="e">
        <f>IF(OR(V17=5,GE17=""),0,INT(VLOOKUP(F17,Zk_PrestAll,3,0)*HrPct))</f>
        <v>#N/A</v>
      </c>
      <c r="BS17" s="249" t="e">
        <f>IF(OR(J17="06",BR17="",BR17=0),"",ROUND(BP17*INT(BR17/6),2))</f>
        <v>#N/A</v>
      </c>
      <c r="BT17" s="216" t="e">
        <f>IF(OR(J17="06",BR17="",BR17=0),"",ROUND($BQ17*(BR17-INT(BR17/6)),2))</f>
        <v>#N/A</v>
      </c>
      <c r="BU17" s="1195" t="e">
        <f>IF(OR(V17=5,GE17=""),0,INT(VLOOKUP(F17,Zk_PrestAll,4,0)*WEPct))</f>
        <v>#N/A</v>
      </c>
      <c r="BV17" s="249" t="e">
        <f>IF(OR(J17="04",J17="05",J17="06",BU17="",BU17=0),"",ROUND(INT(BU17/12)*$BP17,2))</f>
        <v>#N/A</v>
      </c>
      <c r="BW17" s="216" t="e">
        <f>IF(OR(J17="04",J17="05",J17="06",BU17="",BU17=0),"",ROUND((BU17-INT(BU17/12))*$BQ17,2))</f>
        <v>#N/A</v>
      </c>
      <c r="BX17" s="1195" t="e">
        <f>IF(OR(V17=5,GE17=""),0,INT(VLOOKUP(F17,Zk_PrestAll,5,0)+IF(GE17="",0,VLOOKUP(F17,Zk_PrestAll,6,0))*Noct1Pct))</f>
        <v>#N/A</v>
      </c>
      <c r="BY17" s="249" t="e">
        <f>IF(OR(J17="04",J17="05",J17="06",BX17="",BX17=0),"",ROUND(INT(BX17/12)*$BP17*DA,2))</f>
        <v>#N/A</v>
      </c>
      <c r="BZ17" s="216" t="e">
        <f>IF(OR(J17="04",J17="05",J17="06",BX17="",BX17=0),"",ROUND((BX17-INT(BX17/12))*$BQ17*DA,2))</f>
        <v>#N/A</v>
      </c>
      <c r="CA17" s="1195" t="e">
        <f>INT(IF(OR(V17=5,GE17=""),0,VLOOKUP(F17,Zk_PrestAll,7,0)*Noct2Pct))</f>
        <v>#N/A</v>
      </c>
      <c r="CB17" s="249" t="e">
        <f>IF(OR(J17="04",J17="05",J17="06",CA17="",CA17=0),"",ROUND(INT(CA17/12)*$BP17*DB,2))</f>
        <v>#N/A</v>
      </c>
      <c r="CC17" s="216" t="e">
        <f>IF(OR(J17="04",J17="05",J17="06",CA17="",CA17=0),"",ROUND((CA17-INT(CA17/12))*$BQ17*DB,2))</f>
        <v>#N/A</v>
      </c>
      <c r="CD17" s="1195" t="e">
        <f>IF(OR(V17=5,GE17=""),0,INT((VLOOKUP(F17,Zk_PrestAll,8,0)+VLOOKUP(F17,Zk_PrestAll,9,0)*15/24)*BT_CRPct))</f>
        <v>#N/A</v>
      </c>
      <c r="CE17" s="249" t="e">
        <f>IF(OR(J17="06",J17="07",CD17="",CD17=0),"",ROUND(INT(CD17/12)*BP17/15,2))</f>
        <v>#N/A</v>
      </c>
      <c r="CF17" s="216" t="e">
        <f>IF(OR(J17="06",J17="07",,CD17="",CD17=0),"",ROUND((CD17-INT(CD17/12))*BQ17/15,2))</f>
        <v>#N/A</v>
      </c>
      <c r="CG17" s="1195" t="e">
        <f>IF(OR(V17=5,GE17=""),0,VLOOKUP(F17,Zk_PrestAll,10,0))</f>
        <v>#N/A</v>
      </c>
      <c r="CH17" s="249" t="e">
        <f>IF(OR(J17="o6",CG17="",CG17=0),"",ROUND(INT(CG17/12)*BP17*30%,2))</f>
        <v>#N/A</v>
      </c>
      <c r="CI17" s="216" t="e">
        <f>IF(OR(J17="o6",CG17="",CG17=0),"",ROUND((CG17-INT(CG17/12))*BP17*30%,2))</f>
        <v>#N/A</v>
      </c>
      <c r="CJ17" s="1195" t="e">
        <f>IF(OR(V17=5,GE17=""),"",VLOOKUP(F17,Zk_PrestAll,12,0)+VLOOKUP(F17,Zk_PrestAll,13,0))</f>
        <v>#N/A</v>
      </c>
      <c r="CK17" s="249" t="e">
        <f>IF(OR(J17="o6",CJ17="",CJ17=0,X17="h"),"",ROUND(IF(W17=1,0,IndT_N1)*(INT(CJ17/12)),2))</f>
        <v>#N/A</v>
      </c>
      <c r="CL17" s="216" t="e">
        <f>IF(OR(J17="o6",CJ17="",CJ17=0,X17="h"),"",ROUND(IF(W17=1,IndT*CJ17,IndT_N*(CJ17-(CJ17/12))),2))</f>
        <v>#N/A</v>
      </c>
      <c r="CM17" s="1194" t="str">
        <f>IF(GE17="","",VLOOKUP(F17,Zk_PrestAll,14,0))</f>
        <v/>
      </c>
      <c r="CN17" s="1524" t="str">
        <f>IF(OR(CM17="",J17="p6",CM17=0,CM17=""),"",ROUND(CM17*1/12*IndDiffDec,2))</f>
        <v/>
      </c>
      <c r="CO17" s="217" t="str">
        <f>IF(OR(CM17="",J17="p6",CM17=0,CM17=""),"",ROUND(CM17*11/12*IndDiffDec,2))</f>
        <v/>
      </c>
      <c r="CP17" s="1193" t="e">
        <f>IF(OR(V17=5,GE17=""),0,IF(OR(LEFT(GH17,4)="4009",DB17&lt;&gt;""),"",IF(GF17&lt;&gt;"",GF17,IF(AND(GH17&lt;&gt;"",VALUE(GG17)&gt;0),CONCATENATE(GH17,IF(VALUE(GG17)&lt;10,"0"&amp;GG17,GG17)),""))))</f>
        <v>#N/A</v>
      </c>
      <c r="CQ17" s="293" t="e">
        <f>IF(CP17="","",ROUND(IF(LEN(CP17)&gt;2,INT(VALUE(RIGHT(CP17,2))/12)*VLOOKUP(LEFT(CP17,2),Ens_Ond,4,0),INT(CP17/12)*MentDec),2))</f>
        <v>#N/A</v>
      </c>
      <c r="CR17" s="217" t="e">
        <f>IF(CP17="","",ROUND(IF(LEN(CP17)&gt;2,(VALUE(RIGHT(CP17,2))-INT(VALUE(RIGHT(CP17,2))/12))*VLOOKUP(LEFT(CP17,2),Ens_Ond,IF(W17=1,3,5),0),(CP17-INT(CP17/12))*IF(W17=1,MentVoor,MentNab)),2))</f>
        <v>#N/A</v>
      </c>
      <c r="CS17" s="305" t="e">
        <f>IF(OR(V17=5,ISNA(VLOOKUP(F17,Zk_PrestAll,23,0))),"",IF(VLOOKUP(F17,Zk_PrestAll,23,0)=0,"","Y"))</f>
        <v>#N/A</v>
      </c>
      <c r="CT17" s="249" t="e">
        <f>IF(AND(BM17="",CS17="Y",CX17="",EH17="",OR(X17="S",X17="H"),W17=2),ROUND(U17*TVDec,2),"")</f>
        <v>#N/A</v>
      </c>
      <c r="CU17" s="216" t="e">
        <f>IF(AND(BM17="",CS17="Y",CX17="",EH17="",OR(X17="s",X17="H")),ROUND(U17*IF(W17=1,TVVoor,TVNab),2),"")</f>
        <v>#N/A</v>
      </c>
      <c r="CV17" s="1193" t="e">
        <f>IF(OR(V17=5,GE17=""),"",CONCATENATE(IF(VLOOKUP(F17,Zk_PrestAll,24,0)=0,"","TP"),IF(VLOOKUP(F17,Zk_PrestAll,25,0)=0,"","UB")))</f>
        <v>#N/A</v>
      </c>
      <c r="CW17" s="249" t="e">
        <f>IF(OR(CV17="",BM17&lt;&gt;"",W17=1),"",ROUND(VLOOKUP(X17,IF(CV17="TP",Moto,Moto_T),4,0)*U17,2))</f>
        <v>#N/A</v>
      </c>
      <c r="CX17" s="216" t="e">
        <f>IF(OR(CV17="",BM17&lt;&gt;""),"",ROUND(VLOOKUP(X17,IF(CV17="TP",Moto,Moto_T),IF(W17=1,3,5),0)*U17,2))</f>
        <v>#N/A</v>
      </c>
      <c r="CY17" s="305" t="str">
        <f>IF(GE17="","",IF(VLOOKUP(F17,Zk_PrestAll,55,0)=0,"",VLOOKUP(F17,Zk_PrestAll,55,0)))</f>
        <v/>
      </c>
      <c r="CZ17" s="249" t="e">
        <f>IF(OR(W17=1,CY17=""),"",ROUND(VLOOKUP(X17,MDAnCr,4,0)*U17,2))</f>
        <v>#N/A</v>
      </c>
      <c r="DA17" s="216" t="str">
        <f>IF(CY17="","",ROUND(VLOOKUP(X17,MDAnCr,IF(W17=1,3,5),0)*U17,2))</f>
        <v/>
      </c>
      <c r="DB17" s="307" t="e">
        <f>IF(OR(V17=5,GE17=""),"",IF(VLOOKUP(F17,Zk_PrestAll,20,0)=0,"","Y"))</f>
        <v>#N/A</v>
      </c>
      <c r="DC17" s="328" t="e">
        <f>IF(AND(W17=2,DB17="y"),ROUND(InstrDec*U17,2),"")</f>
        <v>#N/A</v>
      </c>
      <c r="DD17" s="322" t="e">
        <f>IF(DB17="y",ROUND(IF(W17=1,InstrVoor,InstrNab)*U17,2),"")</f>
        <v>#N/A</v>
      </c>
      <c r="DE17" s="305" t="e">
        <f>IF(OR(V17=5,CS17="y",ISNA(VLOOKUP(F17,Zk_PrestAll,1,0))),"",CONCATENATE(IF(VLOOKUP(F17,Zk_PrestAll,26,0)=0,"","TY"),IF(VLOOKUP(F17,Zk_PrestAll,27,0)=0,"","UF")))</f>
        <v>#N/A</v>
      </c>
      <c r="DF17" s="249" t="e">
        <f>IF(OR(BM17&lt;&gt;"",DE17="",W17=1),"",(ROUND(IF(LEFT(DE17,2)="TY",TYDec,0)+IF(RIGHT(DE17,2)="UF",VLOOKUP(X17,Comp,4,0),0)*U17,2)))</f>
        <v>#N/A</v>
      </c>
      <c r="DG17" s="216" t="e">
        <f>IF(OR(BM17&lt;&gt;"",DE17=""),"",ROUND((IF(LEFT(DE17,2)="TY",IF(W17=1,TYVoor,TYNab),0)+IF(RIGHT(DE17,2)="UF",VLOOKUP(X17,Comp,IF(W17=1,3,5),0),0))*U17,2))</f>
        <v>#N/A</v>
      </c>
      <c r="DH17" s="305" t="e">
        <f>IF(OR(V17=5,BXL_YN="N",GE17=""),"",VALUE(VLOOKUP(F17,Zk_PrestAll,28,0)))</f>
        <v>#N/A</v>
      </c>
      <c r="DI17" s="249" t="e">
        <f>IF(OR(DH17="",W17=1),"",ROUND(IF(DH17&lt;=6,VLOOKUP(DH17,bxl,4,0),VLOOKUP(DH17,Bxl_N,3,1)),2))</f>
        <v>#N/A</v>
      </c>
      <c r="DJ17" s="216" t="e">
        <f>IF(DH17="","",ROUND(IF(DH17&lt;=6,VLOOKUP(DH17,bxl,IF(W17=1,3,5),0),VLOOKUP(DH17,Bxl_N,IF(W17=1,2,4),1))*U17,2))</f>
        <v>#N/A</v>
      </c>
      <c r="DK17" s="309" t="e">
        <f>IF(OR(V17=5,GE17=""),"",IF(VLOOKUP(F17,Zk_PrestAll,29,0)=0,"","y"))</f>
        <v>#N/A</v>
      </c>
      <c r="DL17" s="293" t="e">
        <f>IF(AND(DK17="y",W17=2,OR(X17="S",X17="H",DI17&lt;&gt;"")),ROUND(UMdec*U17,2),"")</f>
        <v>#N/A</v>
      </c>
      <c r="DM17" s="326" t="e">
        <f>IF(AND(DK17="Y",DJ17&gt;0),ROUND(IF(W17=2,umNab,UM)*U17,2),"")</f>
        <v>#N/A</v>
      </c>
      <c r="DN17" s="1256" t="e">
        <f>IF(OR(V17=5,DO17=""),"",IF(VLOOKUP(F17,Zk_PrestAll,33,0)&gt;0,2,IF(VLOOKUP(F17,Zk_PrestAll,34,0)&gt;0,3,"old")))</f>
        <v>#N/A</v>
      </c>
      <c r="DO17" s="214" t="e">
        <f>IF(OR(V17=5,GE17=""),"",IF(VLOOKUP(F17,Zk_PrestAll,30,0)+VLOOKUP(F17,Zk_PrestAll,31,0)+VLOOKUP(F17,Zk_PrestAll,32,0)&gt;0,VLOOKUP(F17,Zk_PrestAll,30,0)+VLOOKUP(F17,Zk_PrestAll,31,0)+VLOOKUP(F17,Zk_PrestAll,32,0),IF(VLOOKUP(F17,Zk_PrestAll,33,0)&gt;0,VLOOKUP(F17,Zk_PrestAll,33,0),IF(VLOOKUP(F17,Zk_PrestAll,34,0)&gt;0,VLOOKUP(F17,Zk_PrestAll,34,0),""))))</f>
        <v>#N/A</v>
      </c>
      <c r="DP17" s="1257" t="e">
        <f>IF(OR(W17=1,DO17=""),"",ROUND(IF(DN17="old",(DO17/12*IndDiffDec),VLOOKUP(X17,BILN,4))*U17,2))</f>
        <v>#N/A</v>
      </c>
      <c r="DQ17" s="1258" t="e">
        <f>IF(DO17="","",ROUND(IF(DN17="old",DO17/12*11*IF(W17=1,IndDiff,IndDiffNab),VLOOKUP(X17,IF(DN17=3,APPROF,BILN),IF(W17=1,3,5)))*U17,2))</f>
        <v>#N/A</v>
      </c>
      <c r="DR17" s="305" t="e">
        <f>IF(OR(V17=5,GE17=""),"",IF(VLOOKUP(F17,Zk_PrestAll,35,0)=0,"",VLOOKUP(F17,Zk_PrestAll,35,0)))</f>
        <v>#N/A</v>
      </c>
      <c r="DS17" s="249" t="e">
        <f>IF($DR17="","",IF($W17=1,0,ROUND(VLOOKUP($X17,BILAutre,4,0)*$U17,2)))</f>
        <v>#N/A</v>
      </c>
      <c r="DT17" s="216" t="e">
        <f>IF($DR17="","",ROUND(VLOOKUP($X17,BILAutre,IF($W17=1,3,5),0)*$U17,2))</f>
        <v>#N/A</v>
      </c>
      <c r="DU17" s="2518" t="str">
        <f>IF(GE17="","",IF(VLOOKUP(F17,Zk_PrestAll,62,0)=0,"",VLOOKUP(F17,Zk_PrestAll,62,0)))</f>
        <v/>
      </c>
      <c r="DV17" s="249" t="e">
        <f>IF(OR(DU17="",$W17=1),0,ROUND(T_DirDec*$U17,2))</f>
        <v>#N/A</v>
      </c>
      <c r="DW17" s="221">
        <f>IF(DU17="",0,ROUND(T_DirPost*IF(W17=1,1,11/12)*$U17,2))</f>
        <v>0</v>
      </c>
      <c r="DX17" s="305" t="e">
        <f>IF(OR(V17=5,GE17=""),"",-VLOOKUP(F17,Zk_PrestAll,56,0)+VLOOKUP(F17,Zk_PrestAll,65,0))</f>
        <v>#N/A</v>
      </c>
      <c r="DY17" s="249" t="e">
        <f>IF(OR(DX17=0,DX17="",W17=1),0,ROUND(DX17/12*IndDiffDec,2))</f>
        <v>#N/A</v>
      </c>
      <c r="DZ17" s="221" t="e">
        <f>IF(OR(DX17=0,DX17=""),0,ROUND(DX17/12*IF(W17=1,12*IndDiff,11*IndDiffNab),2))</f>
        <v>#N/A</v>
      </c>
      <c r="EA17" s="388" t="e">
        <f>IF(V17=5,"","Y")</f>
        <v>#N/A</v>
      </c>
      <c r="EB17" s="249" t="e">
        <f>IF(AND(W17=2,EA17="Y"),ROUND(TenDec*U17,2),"")</f>
        <v>#N/A</v>
      </c>
      <c r="EC17" s="216" t="e">
        <f>IF(EA17="Y",ROUND(IF(W17=1,TenVoor,TenNab)*U17,2),"")</f>
        <v>#N/A</v>
      </c>
      <c r="ED17" s="1461" t="e">
        <f>IF(OR(V17=5,ISNA(VLOOKUP(F17,Zk_PrestAll,58,0))),"",VLOOKUP(F17,Zk_PrestAll,58,0))</f>
        <v>#N/A</v>
      </c>
      <c r="EE17" s="249" t="e">
        <f>IF(OR(W17=1,ED17=0,ED17=""),"",ROUND(TfDec*U17,2))</f>
        <v>#N/A</v>
      </c>
      <c r="EF17" s="216" t="e">
        <f>IF(ED17="","",IF(VALUE(ED17)=0,"",ROUND(IF(W17=1,TFVoor,TfNab)*U17,2)))</f>
        <v>#N/A</v>
      </c>
      <c r="EG17" s="355" t="e">
        <f>IF(AND(BM17="",EI17="ME",W17=2),ROUND(EnqDec*U17,2),"")</f>
        <v>#N/A</v>
      </c>
      <c r="EH17" s="1425" t="e">
        <f>IF(AND(BM17="",EI17="ME"),ROUND(IF(W17=1,EnqVoor,EnqNab)*U17,2),"")</f>
        <v>#N/A</v>
      </c>
      <c r="EI17" s="1470" t="e">
        <f>IF(OR(V17=5,GE17=""),"",IF(VLOOKUP(F17,Zk_PrestAll,36,0)&gt;0,"ME",IF(VLOOKUP(F17,Zk_PrestAll,37,0)&gt;0,VLOOKUP(F17,Zk_PrestAll,37,0),"")))</f>
        <v>#N/A</v>
      </c>
      <c r="EJ17" s="249" t="e">
        <f>IF(OR(EI17="",EI17="ME",W17=1),"",ROUND(INT(EI17/12)*EnqJVoor,2))</f>
        <v>#N/A</v>
      </c>
      <c r="EK17" s="221" t="e">
        <f>IF(OR(EI17="",EI17="ME"),"",ROUND(IF(W17=1,EI17*EnqJVoor,(EI17-INT(EI17/12))*EnqJNab),2))</f>
        <v>#N/A</v>
      </c>
      <c r="EL17" s="313" t="str">
        <f>IF(GE17="","",VLOOKUP(F17,Zk_PrestAll,54,0))</f>
        <v/>
      </c>
      <c r="EM17" s="249" t="str">
        <f>IF(EL17="","",IF(W17=1,"",ROUND(EL17/12*IndDiffDec,2)))</f>
        <v/>
      </c>
      <c r="EN17" s="221" t="str">
        <f>IF(EL17="","",ROUND(EL17/12*11*IndDiffNab,2))</f>
        <v/>
      </c>
      <c r="EO17" s="313" t="e">
        <f>IF(OR(V17=5,GE17=""),"",VLOOKUP(F17,Zk_PrestAll,52,0))</f>
        <v>#N/A</v>
      </c>
      <c r="EP17" s="249" t="e">
        <f>IF(OR(EO17=0,EO17=""),"",INT(EO17/12)*IndKmDec)</f>
        <v>#N/A</v>
      </c>
      <c r="EQ17" s="216" t="e">
        <f>IF(OR(EO17=0,EO17=""),"",(EO17-INT(EO17/12))*IndKmN)</f>
        <v>#N/A</v>
      </c>
      <c r="ER17" s="313" t="e">
        <f>IF(OR(V17=5,GE17=""),"",VLOOKUP(F17,Zk_PrestAll,53,0))</f>
        <v>#N/A</v>
      </c>
      <c r="ES17" s="249" t="e">
        <f>IF(OR(ER17="",ER17=0),"",ROUND(ER17/12*IndDiffDec,2))</f>
        <v>#N/A</v>
      </c>
      <c r="ET17" s="216" t="e">
        <f>IF(OR(ER17="",ER17=0),"",ROUND(ER17/12*11*IndDiffNab,2))</f>
        <v>#N/A</v>
      </c>
      <c r="EU17" s="313" t="e">
        <f>IF(OR(V17=5,ISNA(VLOOKUP(GE17,Zk_PrestAll,1,0))),0,VLOOKUP(F17,Zk_PrestAll,50,0))</f>
        <v>#N/A</v>
      </c>
      <c r="EV17" s="249" t="e">
        <f>ROUND(EU17/12*IndDiffDec,2)</f>
        <v>#N/A</v>
      </c>
      <c r="EW17" s="216" t="e">
        <f>ROUND(EU17/12*11*IndDiffNab,2)</f>
        <v>#N/A</v>
      </c>
      <c r="EX17" s="2505" t="e">
        <f>IF(OR(V17=5,GE17=""),"",(IF(AND(NeutrNego="",ANNEE&gt;=2023),0,VLOOKUP(F17,Zk_PrestAll,47,0)*IF(NeutrNego="",5/6,1)*IndW)))</f>
        <v>#N/A</v>
      </c>
      <c r="EY17" s="249" t="e">
        <f>IF(EX17="","",ROUND(EX17/12,2))</f>
        <v>#N/A</v>
      </c>
      <c r="EZ17" s="221" t="e">
        <f>IF(EX17="","",ROUND(EX17/12*11,2))</f>
        <v>#N/A</v>
      </c>
      <c r="FA17" s="313" t="e">
        <f>IF(OR(V17=5,GE17=""),"",(VLOOKUP(F17,Zk_PrestAll,48,0)*IF(ANNEE&gt;=2023,0,10/12))+VLOOKUP(F17,Zk_PrestAll,49,0))</f>
        <v>#N/A</v>
      </c>
      <c r="FB17" s="249" t="e">
        <f>IF(FA17="","",ROUND(FA17/12*IndDiffDec,2))</f>
        <v>#N/A</v>
      </c>
      <c r="FC17" s="221" t="e">
        <f>IF(FA17="","",ROUND(FA17/12*11*IndDiffNab,2))</f>
        <v>#N/A</v>
      </c>
      <c r="FD17" s="313" t="e">
        <f>IF(OR(V17=5,GE17=""),"",VLOOKUP(F17,Zk_PrestAll,57,0)*IF(ANNEE&gt;=2023,0,IF(NeutrNego="",10/12,1)))</f>
        <v>#N/A</v>
      </c>
      <c r="FE17" s="249" t="e">
        <f>IF(OR(ANNEE&gt;2022,FD17=""),"",ROUND(FD17/12*IndDiffDec,2))</f>
        <v>#N/A</v>
      </c>
      <c r="FF17" s="221" t="e">
        <f>IF(OR(ANNEE&gt;2022,FD17=""),"",ROUND(FD17/12*11*IndDiffNab,2))</f>
        <v>#N/A</v>
      </c>
      <c r="FG17" s="313"/>
      <c r="FH17" s="249"/>
      <c r="FI17" s="216"/>
      <c r="FJ17" s="1435" t="e">
        <f>ROUND(($AW17+IF(V17&lt;&gt;1,BB17,0)+IF($BF17="",0,$BF17)+IF($BN17="",0,$BN17)+$FW17)*VLOOKUP(V17,ChPatBdr,3),2)</f>
        <v>#N/A</v>
      </c>
      <c r="FK17" s="216" t="e">
        <f>ROUND(($AX17+IF(V17&lt;&gt;1,BC17,0)+IF($BG17="",0,$BG17)+IF($BO17="",0,$BO17)+FV17+$FX17)*VLOOKUP(V17,ChPatBdr,3),2)</f>
        <v>#VALUE!</v>
      </c>
      <c r="FL17" s="1268" t="e">
        <f>ROUND(($AW17+IF(AZ17&lt;0,0,AZ17)+IF(V17=1,0,BB17)+IF($BF17="",0,$BF17)+IF($BN17="",0,$BN17))*IF(V17=1,PatPensX_1,0),2)</f>
        <v>#N/A</v>
      </c>
      <c r="FM17" s="1655" t="e">
        <f>ROUND(($AX17+IF(BA17&lt;0,0,BA17)+IF(V17&lt;&gt;1,BC17,0)+IF($BG17="",0,$BG17)+IF($BO17="",0,$BO17))*VLOOKUP(V17,ChPatBdr,2),2)</f>
        <v>#VALUE!</v>
      </c>
      <c r="FN17" s="1268" t="e">
        <f>ROUND(GA17*VLOOKUP(V17,ChPatBdr,3),2)</f>
        <v>#N/A</v>
      </c>
      <c r="FO17" s="1655" t="e">
        <f>ROUND(GB17*VLOOKUP(V17,ChPatBdr,3),2)</f>
        <v>#N/A</v>
      </c>
      <c r="FP17" s="1268" t="e">
        <f>ROUND((AW17+IF(BN17="",0,BN17)+FW17+GA17+GC17+BB17+IF(BF17="",0,BF17)+IF(PatrATAO="",0,FJ17+FL17+FN17))*IF(GJ17="Empl",ArbO_Bed,ArbO_Ops),2)*IF(V17=5,0,1)</f>
        <v>#N/A</v>
      </c>
      <c r="FQ17" s="1656" t="e">
        <f>ROUND((AX17+IF(BO17="",0,BO17)+FX17+GB17+GD17+SUM(BI17:BL17,BC17)+IF(BG17="",0,BG17)+IF(PatrATAO="",0,FK17+FM17+FO17))*IF(GJ17="empl",ArbO_Bed,ArbO_Ops),2)*IF(V17=5,0,1)</f>
        <v>#VALUE!</v>
      </c>
      <c r="FR17" s="249" t="e">
        <f>ROUND((AW17+IF(BN17="",0,BN17)+FW17+GA17)*PctSvSocDst,2)</f>
        <v>#N/A</v>
      </c>
      <c r="FS17" s="216" t="e">
        <f>ROUND((AX17+IF(BO17="",0,BO17)+FX17+GB17)*PctSvSocDst,2)</f>
        <v>#VALUE!</v>
      </c>
      <c r="FT17" s="1657" t="e">
        <f>AW17+BB17+IF(BF17="",0,BF17)+BH17+BJ17+IF(BN17="",0,BN17)+FJ17+FL17+FN17+FR17+FP17+FW17+GA17+GC17</f>
        <v>#N/A</v>
      </c>
      <c r="FU17" s="1658" t="e">
        <f>AX17+BC17+IF(BG17="",0,BG17)+BI17+BK17+BL17+IF(BO17="",0,BO17)+FK17+FM17+FO17+FS17+FQ17+FX17+GB17+GD17</f>
        <v>#VALUE!</v>
      </c>
      <c r="FV17" s="242" t="e">
        <f>ROUND(EjtAfaPat*U17,2)</f>
        <v>#N/A</v>
      </c>
      <c r="FW17" s="2522" t="e">
        <f>IF(AZ17&lt;0,0,AZ17)+IF(CT17="",0,CT17)+IF(CW17="",0,CW17)+IF(CZ17="",0,CZ17)+IF(DC17="",0,DC17)+IF(DF17="",0,DF17)+IF(DI17="",0,DI17)+IF(DL17="",0,DL17)+IF(DP17="",0,DP17)+IF(DS17="",0,DS17)+IF(DV17="",0,DV17)+IF(DY17="",0,DY17)</f>
        <v>#N/A</v>
      </c>
      <c r="FX17" s="2523" t="e">
        <f>IF(BA17&lt;0,0,BA17)+IF(CU17="",0,CU17)+IF(CX17="",0,CX17)+IF(DA17="",0,DA17)+IF(DD17="",0,DD17)+IF(DG17="",0,DG17)+IF(DJ17="",0,DJ17)+IF(DM17="",0,DM17)+IF(DQ17="",0,DQ17)+IF(DT17="",0,DT17)+IF(DW17="",0,DW17)+IF(DZ17="",0,DZ17)</f>
        <v>#N/A</v>
      </c>
      <c r="FY17" s="336" t="e">
        <f>ROUND((FW17+IF(BN17="",0,BN17)+GA17)*VLOOKUP(V17,ChPatBdr,4),2)</f>
        <v>#N/A</v>
      </c>
      <c r="FZ17" s="223" t="e">
        <f>ROUND((FX17+IF(BO17="",0,BO17)+FV17+GB17)*VLOOKUP(V17,ChPatBdr,4),2)</f>
        <v>#N/A</v>
      </c>
      <c r="GA17" s="338" t="e">
        <f>IF(BS17="",0,BS17)+IF(BV17="",0,BV17)+IF(BY17="",0,BY17)+IF(CB17="",0,CB17)+IF(CE17="",0,CE17)+IF(CH17="",0,CH17)+IF(CK17="",0,CK17)+IF(CN17="",0,CN17)+IF(CQ17="",0,CQ17)</f>
        <v>#N/A</v>
      </c>
      <c r="GB17" s="204" t="e">
        <f>IF(BT17="",0,BT17)+IF(BW17="",0,BW17)+IF(BZ17="",0,BZ17)+IF(CC17="",0,CC17)+IF(CF17="",0,CF17)+IF(CI17="",0,CI17)+IF(CL17="",0,CL17)+IF(CO17="",0,CO17)+IF(CR17="",0,CR17)</f>
        <v>#N/A</v>
      </c>
      <c r="GC17" s="339" t="e">
        <f>IF(EB17="",0,EB17)+IF(EE17="",0,EE17)+IF(EG17="",0,EG17)+IF(EJ17="",0,EJ17)+IF(EM17="",0,EM17)+IF(EP17="",0,EP17)+IF(ES17="",0,ES17)+IF(EV17="",0,EV17)+IF(EY17="",0,EY17)+IF(FB17="",0,FB17)+IF(FE17="",0,FE17)+IF(FH17="",0,FH17)</f>
        <v>#N/A</v>
      </c>
      <c r="GD17" s="342" t="e">
        <f>IF(EC17="",0,EC17)+IF(EF17="",0,EF17)+IF(EH17="",0,EH17)+IF(EK17="",0,EK17)+IF(EN17="",0,EN17)+IF(EQ17="",0,EQ17)+IF(ET17="",0,ET17)+IF(EW17="",0,EW17)+IF(EZ17="",0,EZ17)+IF(FC17="",0,FC17)+IF(FF17="",0,FF17)+IF(FI17="",0,FI17)</f>
        <v>#N/A</v>
      </c>
      <c r="GE17" s="199" t="str">
        <f>IF(ISNA(VLOOKUP(F17,Zk_PrestAll,1,0)),"",VLOOKUP(F17,Zk_PrestAll,1,0))</f>
        <v/>
      </c>
      <c r="GF17" s="199" t="e">
        <f>IF(OR(GE17="",VLOOKUP(F17,Zk_PrestAll,15,0)=0),"",VLOOKUP(F17,Zk_PrestAll,15,0))</f>
        <v>#N/A</v>
      </c>
      <c r="GG17" s="199" t="str">
        <f>IF(GE17="","",CONCATENATE(IF(VLOOKUP(F17,Zk_PrestAll,17,0)=0,0,VLOOKUP(F17,Zk_PrestAll,17,0))+IF(VLOOKUP(F17,Zk_PrestAll,18,0)=0,0,VLOOKUP(F17,Zk_PrestAll,18,0))+IF(VLOOKUP(F17,Zk_PrestAll,19,0)=0,0,VLOOKUP(F17,Zk_PrestAll,19,0))+IF(VLOOKUP(F17,Zk_PrestAll,19,0)=0,0,VLOOKUP(F17,Zk_PrestAll,21,0))))</f>
        <v/>
      </c>
      <c r="GH17" s="199" t="str">
        <f>IF(F17="","",CONCATENATE(IF(VLOOKUP(F17,Zk_PrestAll,21,0)=0,"","DB"),IF(VALUE(VLOOKUP(F17,Zk_PrestAll,17,0))=0,"","CU"),IF(VLOOKUP(F17,Zk_PrestAll,18,0)=0,"","CV"),IF(VLOOKUP(F17,Zk_PrestAll,19,0)=0,"","CW"),IF(VLOOKUP(F17,Zk_PrestAll,20,0)=0,"","4009"),IF(GF17="","","Ment")))</f>
        <v/>
      </c>
      <c r="GI17" s="199" t="e">
        <f>IF(VALUE(GG17)&gt;99,"max=99",IF(AND(RIGHT(CP17,2)="4009",SUM(BR17+BU17+BX17+CA17+CD17)&gt;0),"Cumul ECA interdit - ou statut O7",""))</f>
        <v>#VALUE!</v>
      </c>
      <c r="GJ17" s="199" t="e">
        <f>IF((BR17+BU17+BX17+CA17+CD17+CG17+IF(CJ17="",0,CJ17))=0,"Empl",1)</f>
        <v>#N/A</v>
      </c>
      <c r="GK17" s="199" t="str">
        <f>LEFT(F17,9)</f>
        <v/>
      </c>
      <c r="GL17" s="49">
        <f>IF(ISERROR(VALUE(R17)),3,VALUE(R17))</f>
        <v>0</v>
      </c>
      <c r="GM17" s="28" t="e">
        <f>(FT17+FU17-(GA17+GB17+GC17+(GD17+(IF(EB17="",0,EB17)+IF(EC17="",0,EC17)+IF(EE17="",0,EE17)+IF(EF17="",0,EF17)+IF(EG17="",0,EG17)+IF(EH17="",0,EH17)+IF(EM17="",0,EM17)+IF(EN17="",0,EN17)))))/(38*52)</f>
        <v>#N/A</v>
      </c>
      <c r="GN17" s="28" t="e">
        <f>ROUND(GO17/12*AFApct2/IndW*IndW_N1,2)</f>
        <v>#N/A</v>
      </c>
      <c r="GO17" s="322" t="e">
        <f>SUM(BD17,BB17:BC17,BF17:BG17,BN17:BO17)*U17</f>
        <v>#N/A</v>
      </c>
      <c r="GP17" s="1190" t="e">
        <f>DATE(VALUE(LEFT(I17,4)+VLOOKUP(X17,DatPensOps,2,0)),VALUE(MID(I17,5,2))+1,1)</f>
        <v>#VALUE!</v>
      </c>
      <c r="GQ17" s="1190" t="e">
        <f>DATE(VALUE(LEFT(I17,4)+VLOOKUP(X17,DatPensOps,3,0)),VALUE(MID(I17,5,2))+1,1)</f>
        <v>#VALUE!</v>
      </c>
      <c r="GR17" t="str">
        <f>IF(L17="","",IF(VALUE(LEFT(L17,6))&lt;=DatStop19Toel,1,0))</f>
        <v/>
      </c>
      <c r="GS17" s="2879">
        <f>IF(RIGHT(J17,1)="3",0,1)</f>
        <v>1</v>
      </c>
      <c r="GT17" s="2880" t="e">
        <f>IF(OR(V17=5,GE17="",GS17=0),"",ROUND(MTC_QPP*MC_Nbr*U17,2))</f>
        <v>#N/A</v>
      </c>
      <c r="GU17" s="2881" t="e">
        <f>IF(OR(V17=5,GE17="",GS17=0),"",ROUND(MTC_Patr*MC_Nbr*U17,2))</f>
        <v>#N/A</v>
      </c>
      <c r="GV17" s="49" t="e">
        <f>(IF(AV17&gt;22173.97,ROUND(MIN(AV17-22173.97,AV17)/(1.02/0.02),2),0))</f>
        <v>#VALUE!</v>
      </c>
      <c r="GW17" s="28" t="e">
        <f>AV17-GV17</f>
        <v>#VALUE!</v>
      </c>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row>
    <row r="18" spans="1:256" s="198" customFormat="1" ht="12" customHeight="1">
      <c r="A18" s="1252"/>
      <c r="B18" s="200"/>
      <c r="C18" s="486"/>
      <c r="D18" s="203"/>
      <c r="E18" s="203"/>
      <c r="F18" s="203"/>
      <c r="G18" s="203"/>
      <c r="H18" s="175"/>
      <c r="I18" s="1265"/>
      <c r="J18" s="1265"/>
      <c r="K18" s="175"/>
      <c r="L18" s="1265"/>
      <c r="M18" s="1265"/>
      <c r="N18" s="1265"/>
      <c r="O18" s="1265"/>
      <c r="P18" s="1265"/>
      <c r="Q18" s="999"/>
      <c r="R18" s="999"/>
      <c r="S18" s="999"/>
      <c r="T18" s="2801"/>
      <c r="U18" s="233"/>
      <c r="V18" s="49"/>
      <c r="W18" s="218"/>
      <c r="X18" s="218"/>
      <c r="Y18" s="216"/>
      <c r="Z18" s="216"/>
      <c r="AA18" s="215"/>
      <c r="AB18" s="216"/>
      <c r="AC18" s="216"/>
      <c r="AD18" s="239"/>
      <c r="AE18" s="216"/>
      <c r="AF18" s="216"/>
      <c r="AG18" s="216"/>
      <c r="AH18" s="216"/>
      <c r="AI18" s="216"/>
      <c r="AJ18" s="216"/>
      <c r="AK18" s="239"/>
      <c r="AL18" s="216"/>
      <c r="AM18" s="216"/>
      <c r="AN18" s="216"/>
      <c r="AO18" s="216"/>
      <c r="AP18" s="216"/>
      <c r="AQ18" s="216"/>
      <c r="AR18" s="216"/>
      <c r="AS18" s="216"/>
      <c r="AT18" s="216"/>
      <c r="AU18" s="216"/>
      <c r="AV18" s="217"/>
      <c r="AW18" s="355"/>
      <c r="AX18" s="217"/>
      <c r="AY18" s="1559"/>
      <c r="AZ18" s="249"/>
      <c r="BA18" s="221"/>
      <c r="BB18" s="300"/>
      <c r="BC18" s="217"/>
      <c r="BD18" s="392"/>
      <c r="BE18" s="1244"/>
      <c r="BF18" s="249"/>
      <c r="BG18" s="252"/>
      <c r="BH18" s="1469"/>
      <c r="BI18" s="216"/>
      <c r="BJ18" s="1469"/>
      <c r="BK18" s="1459"/>
      <c r="BL18" s="260"/>
      <c r="BM18" s="214"/>
      <c r="BN18" s="293"/>
      <c r="BO18" s="217"/>
      <c r="BP18" s="355"/>
      <c r="BQ18" s="217"/>
      <c r="BR18" s="1193"/>
      <c r="BS18" s="249"/>
      <c r="BT18" s="216"/>
      <c r="BU18" s="1195"/>
      <c r="BV18" s="249"/>
      <c r="BW18" s="216"/>
      <c r="BX18" s="1195"/>
      <c r="BY18" s="249"/>
      <c r="BZ18" s="216"/>
      <c r="CA18" s="1195"/>
      <c r="CB18" s="249"/>
      <c r="CC18" s="216"/>
      <c r="CD18" s="1195"/>
      <c r="CE18" s="249"/>
      <c r="CF18" s="216"/>
      <c r="CG18" s="1195"/>
      <c r="CH18" s="249"/>
      <c r="CI18" s="216"/>
      <c r="CJ18" s="1195"/>
      <c r="CK18" s="249"/>
      <c r="CL18" s="216"/>
      <c r="CM18" s="1194"/>
      <c r="CN18" s="1524"/>
      <c r="CO18" s="217"/>
      <c r="CP18" s="1193"/>
      <c r="CQ18" s="293"/>
      <c r="CR18" s="217"/>
      <c r="CS18" s="305"/>
      <c r="CT18" s="249"/>
      <c r="CU18" s="216"/>
      <c r="CV18" s="1193"/>
      <c r="CW18" s="249"/>
      <c r="CX18" s="216"/>
      <c r="CY18" s="305"/>
      <c r="CZ18" s="249"/>
      <c r="DA18" s="216"/>
      <c r="DB18" s="307"/>
      <c r="DC18" s="328"/>
      <c r="DD18" s="322"/>
      <c r="DE18" s="305"/>
      <c r="DF18" s="249"/>
      <c r="DG18" s="216"/>
      <c r="DH18" s="305"/>
      <c r="DI18" s="249"/>
      <c r="DJ18" s="216"/>
      <c r="DK18" s="309"/>
      <c r="DL18" s="293"/>
      <c r="DM18" s="326"/>
      <c r="DN18" s="1256"/>
      <c r="DO18" s="214"/>
      <c r="DP18" s="1257"/>
      <c r="DQ18" s="1258"/>
      <c r="DR18" s="305"/>
      <c r="DS18" s="249"/>
      <c r="DT18" s="216"/>
      <c r="DU18" s="2518"/>
      <c r="DV18" s="1030"/>
      <c r="DW18" s="2519"/>
      <c r="DX18" s="305"/>
      <c r="DY18" s="249"/>
      <c r="DZ18" s="221"/>
      <c r="EA18" s="388"/>
      <c r="EB18" s="249"/>
      <c r="EC18" s="216"/>
      <c r="ED18" s="1461"/>
      <c r="EE18" s="249"/>
      <c r="EF18" s="216"/>
      <c r="EG18" s="355"/>
      <c r="EH18" s="1425"/>
      <c r="EI18" s="1470"/>
      <c r="EJ18" s="249"/>
      <c r="EK18" s="221"/>
      <c r="EL18" s="313"/>
      <c r="EM18" s="249"/>
      <c r="EN18" s="221"/>
      <c r="EO18" s="313"/>
      <c r="EP18" s="249"/>
      <c r="EQ18" s="216"/>
      <c r="ER18" s="313"/>
      <c r="ES18" s="249"/>
      <c r="ET18" s="216"/>
      <c r="EU18" s="313"/>
      <c r="EV18" s="249"/>
      <c r="EW18" s="216"/>
      <c r="EX18" s="2505"/>
      <c r="EY18" s="249"/>
      <c r="EZ18" s="221"/>
      <c r="FA18" s="313"/>
      <c r="FB18" s="249"/>
      <c r="FC18" s="221"/>
      <c r="FD18" s="313"/>
      <c r="FE18" s="249"/>
      <c r="FF18" s="221"/>
      <c r="FG18" s="313"/>
      <c r="FH18" s="249"/>
      <c r="FI18" s="216"/>
      <c r="FJ18" s="1435"/>
      <c r="FK18" s="216"/>
      <c r="FL18" s="1268"/>
      <c r="FM18" s="1655"/>
      <c r="FN18" s="1268"/>
      <c r="FO18" s="1655"/>
      <c r="FP18" s="1268"/>
      <c r="FQ18" s="1656"/>
      <c r="FR18" s="249"/>
      <c r="FS18" s="216"/>
      <c r="FT18" s="1657"/>
      <c r="FU18" s="1658"/>
      <c r="FV18" s="242"/>
      <c r="FW18" s="2522"/>
      <c r="FX18" s="2523"/>
      <c r="FY18" s="336"/>
      <c r="FZ18" s="223"/>
      <c r="GA18" s="338"/>
      <c r="GB18" s="204"/>
      <c r="GC18" s="339"/>
      <c r="GD18" s="342"/>
      <c r="GE18" s="199"/>
      <c r="GF18" s="199"/>
      <c r="GG18" s="199"/>
      <c r="GH18" s="199"/>
      <c r="GI18" s="199"/>
      <c r="GJ18" s="199"/>
      <c r="GK18" s="199"/>
      <c r="GL18" s="49"/>
      <c r="GM18" s="28"/>
      <c r="GN18" s="28"/>
      <c r="GO18" s="322"/>
      <c r="GP18" s="1190"/>
      <c r="GQ18" s="1190"/>
      <c r="GR18" s="49"/>
      <c r="GS18" s="2879"/>
      <c r="GT18" s="2880"/>
      <c r="GU18" s="2881"/>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c r="IR18" s="49"/>
      <c r="IS18" s="49"/>
      <c r="IT18" s="49"/>
      <c r="IU18" s="49"/>
      <c r="IV18" s="49"/>
    </row>
    <row r="19" spans="1:256" s="198" customFormat="1" ht="12" customHeight="1">
      <c r="A19" s="1252"/>
      <c r="B19" s="200"/>
      <c r="C19" s="486"/>
      <c r="D19" s="203"/>
      <c r="E19" s="203"/>
      <c r="F19" s="203"/>
      <c r="G19" s="203"/>
      <c r="H19" s="175"/>
      <c r="I19" s="1265"/>
      <c r="J19" s="1265"/>
      <c r="K19" s="175"/>
      <c r="L19" s="1265"/>
      <c r="M19" s="1265"/>
      <c r="N19" s="1265"/>
      <c r="O19" s="1265"/>
      <c r="P19" s="1265"/>
      <c r="Q19" s="999"/>
      <c r="R19" s="999"/>
      <c r="S19" s="999"/>
      <c r="T19" s="2801"/>
      <c r="U19" s="233"/>
      <c r="V19" s="49"/>
      <c r="W19" s="218"/>
      <c r="X19" s="218"/>
      <c r="Y19" s="216"/>
      <c r="Z19" s="216"/>
      <c r="AA19" s="215"/>
      <c r="AB19" s="216"/>
      <c r="AC19" s="216"/>
      <c r="AD19" s="239"/>
      <c r="AE19" s="216"/>
      <c r="AF19" s="216"/>
      <c r="AG19" s="216"/>
      <c r="AH19" s="216"/>
      <c r="AI19" s="216"/>
      <c r="AJ19" s="216"/>
      <c r="AK19" s="239"/>
      <c r="AL19" s="216"/>
      <c r="AM19" s="216"/>
      <c r="AN19" s="216"/>
      <c r="AO19" s="216"/>
      <c r="AP19" s="216"/>
      <c r="AQ19" s="216"/>
      <c r="AR19" s="216"/>
      <c r="AS19" s="216"/>
      <c r="AT19" s="216"/>
      <c r="AU19" s="216"/>
      <c r="AV19" s="217"/>
      <c r="AW19" s="355"/>
      <c r="AX19" s="217"/>
      <c r="AY19" s="1559"/>
      <c r="AZ19" s="249"/>
      <c r="BA19" s="221"/>
      <c r="BB19" s="300"/>
      <c r="BC19" s="217"/>
      <c r="BD19" s="392"/>
      <c r="BE19" s="1244"/>
      <c r="BF19" s="249"/>
      <c r="BG19" s="252"/>
      <c r="BH19" s="1469"/>
      <c r="BI19" s="216"/>
      <c r="BJ19" s="1469"/>
      <c r="BK19" s="1459"/>
      <c r="BL19" s="260"/>
      <c r="BM19" s="214"/>
      <c r="BN19" s="293"/>
      <c r="BO19" s="217"/>
      <c r="BP19" s="355"/>
      <c r="BQ19" s="217"/>
      <c r="BR19" s="1193"/>
      <c r="BS19" s="249"/>
      <c r="BT19" s="216"/>
      <c r="BU19" s="1195"/>
      <c r="BV19" s="249"/>
      <c r="BW19" s="216"/>
      <c r="BX19" s="1195"/>
      <c r="BY19" s="249"/>
      <c r="BZ19" s="216"/>
      <c r="CA19" s="1195"/>
      <c r="CB19" s="249"/>
      <c r="CC19" s="216"/>
      <c r="CD19" s="1195"/>
      <c r="CE19" s="249"/>
      <c r="CF19" s="216"/>
      <c r="CG19" s="1195"/>
      <c r="CH19" s="249"/>
      <c r="CI19" s="216"/>
      <c r="CJ19" s="1195"/>
      <c r="CK19" s="249"/>
      <c r="CL19" s="216"/>
      <c r="CM19" s="1194"/>
      <c r="CN19" s="1524"/>
      <c r="CO19" s="217"/>
      <c r="CP19" s="1193"/>
      <c r="CQ19" s="293"/>
      <c r="CR19" s="217"/>
      <c r="CS19" s="305"/>
      <c r="CT19" s="249"/>
      <c r="CU19" s="216"/>
      <c r="CV19" s="1193"/>
      <c r="CW19" s="249"/>
      <c r="CX19" s="216"/>
      <c r="CY19" s="305"/>
      <c r="CZ19" s="249"/>
      <c r="DA19" s="216"/>
      <c r="DB19" s="307"/>
      <c r="DC19" s="328"/>
      <c r="DD19" s="322"/>
      <c r="DE19" s="305"/>
      <c r="DF19" s="249"/>
      <c r="DG19" s="216"/>
      <c r="DH19" s="305"/>
      <c r="DI19" s="249"/>
      <c r="DJ19" s="216"/>
      <c r="DK19" s="309"/>
      <c r="DL19" s="293"/>
      <c r="DM19" s="326"/>
      <c r="DN19" s="1256"/>
      <c r="DO19" s="214"/>
      <c r="DP19" s="1257"/>
      <c r="DQ19" s="1258"/>
      <c r="DR19" s="305"/>
      <c r="DS19" s="249"/>
      <c r="DT19" s="216"/>
      <c r="DU19" s="2518"/>
      <c r="DV19" s="1030"/>
      <c r="DW19" s="2519"/>
      <c r="DX19" s="305"/>
      <c r="DY19" s="249"/>
      <c r="DZ19" s="221"/>
      <c r="EA19" s="388"/>
      <c r="EB19" s="249"/>
      <c r="EC19" s="216"/>
      <c r="ED19" s="1461"/>
      <c r="EE19" s="249"/>
      <c r="EF19" s="216"/>
      <c r="EG19" s="355"/>
      <c r="EH19" s="1425"/>
      <c r="EI19" s="1470"/>
      <c r="EJ19" s="249"/>
      <c r="EK19" s="221"/>
      <c r="EL19" s="313"/>
      <c r="EM19" s="249"/>
      <c r="EN19" s="221"/>
      <c r="EO19" s="313"/>
      <c r="EP19" s="249"/>
      <c r="EQ19" s="216"/>
      <c r="ER19" s="313"/>
      <c r="ES19" s="249"/>
      <c r="ET19" s="216"/>
      <c r="EU19" s="313"/>
      <c r="EV19" s="249"/>
      <c r="EW19" s="216"/>
      <c r="EX19" s="2505"/>
      <c r="EY19" s="249"/>
      <c r="EZ19" s="221"/>
      <c r="FA19" s="313"/>
      <c r="FB19" s="249"/>
      <c r="FC19" s="221"/>
      <c r="FD19" s="313"/>
      <c r="FE19" s="249"/>
      <c r="FF19" s="221"/>
      <c r="FG19" s="313"/>
      <c r="FH19" s="249"/>
      <c r="FI19" s="216"/>
      <c r="FJ19" s="1435"/>
      <c r="FK19" s="216"/>
      <c r="FL19" s="1268"/>
      <c r="FM19" s="1655"/>
      <c r="FN19" s="1268"/>
      <c r="FO19" s="1655"/>
      <c r="FP19" s="1268"/>
      <c r="FQ19" s="1656"/>
      <c r="FR19" s="249"/>
      <c r="FS19" s="216"/>
      <c r="FT19" s="1657"/>
      <c r="FU19" s="1658"/>
      <c r="FV19" s="242"/>
      <c r="FW19" s="2522"/>
      <c r="FX19" s="2523"/>
      <c r="FY19" s="336"/>
      <c r="FZ19" s="223"/>
      <c r="GA19" s="338"/>
      <c r="GB19" s="204"/>
      <c r="GC19" s="339"/>
      <c r="GD19" s="342"/>
      <c r="GE19" s="199"/>
      <c r="GF19" s="199"/>
      <c r="GG19" s="199"/>
      <c r="GH19" s="199"/>
      <c r="GI19" s="199"/>
      <c r="GJ19" s="199"/>
      <c r="GK19" s="199"/>
      <c r="GL19" s="49"/>
      <c r="GM19" s="28"/>
      <c r="GN19" s="28"/>
      <c r="GO19" s="322"/>
      <c r="GP19" s="1190"/>
      <c r="GQ19" s="1190"/>
      <c r="GR19" s="49"/>
      <c r="GS19" s="2879"/>
      <c r="GT19" s="2880"/>
      <c r="GU19" s="2881"/>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c r="IR19" s="49"/>
      <c r="IS19" s="49"/>
      <c r="IT19" s="49"/>
      <c r="IU19" s="49"/>
      <c r="IV19" s="49"/>
    </row>
    <row r="20" spans="1:256" s="198" customFormat="1" ht="12" customHeight="1">
      <c r="A20" s="1252"/>
      <c r="B20" s="200"/>
      <c r="C20" s="486"/>
      <c r="D20" s="203"/>
      <c r="E20" s="203"/>
      <c r="F20" s="203"/>
      <c r="G20" s="203"/>
      <c r="H20" s="175"/>
      <c r="I20" s="1265"/>
      <c r="J20" s="1265"/>
      <c r="K20" s="175"/>
      <c r="L20" s="1265"/>
      <c r="M20" s="1265"/>
      <c r="N20" s="1265"/>
      <c r="O20" s="1265"/>
      <c r="P20" s="1265"/>
      <c r="Q20" s="999"/>
      <c r="R20" s="999"/>
      <c r="S20" s="999"/>
      <c r="T20" s="2801"/>
      <c r="U20" s="233"/>
      <c r="V20" s="49"/>
      <c r="W20" s="218"/>
      <c r="X20" s="218"/>
      <c r="Y20" s="216"/>
      <c r="Z20" s="216"/>
      <c r="AA20" s="215"/>
      <c r="AB20" s="216"/>
      <c r="AC20" s="216"/>
      <c r="AD20" s="239"/>
      <c r="AE20" s="216"/>
      <c r="AF20" s="216"/>
      <c r="AG20" s="216"/>
      <c r="AH20" s="216"/>
      <c r="AI20" s="216"/>
      <c r="AJ20" s="216"/>
      <c r="AK20" s="239"/>
      <c r="AL20" s="216"/>
      <c r="AM20" s="216"/>
      <c r="AN20" s="216"/>
      <c r="AO20" s="216"/>
      <c r="AP20" s="216"/>
      <c r="AQ20" s="216"/>
      <c r="AR20" s="216"/>
      <c r="AS20" s="216"/>
      <c r="AT20" s="216"/>
      <c r="AU20" s="216"/>
      <c r="AV20" s="217"/>
      <c r="AW20" s="355"/>
      <c r="AX20" s="217"/>
      <c r="AY20" s="1559"/>
      <c r="AZ20" s="249"/>
      <c r="BA20" s="221"/>
      <c r="BB20" s="300"/>
      <c r="BC20" s="217"/>
      <c r="BD20" s="392"/>
      <c r="BE20" s="1244"/>
      <c r="BF20" s="249"/>
      <c r="BG20" s="252"/>
      <c r="BH20" s="1469"/>
      <c r="BI20" s="216"/>
      <c r="BJ20" s="1469"/>
      <c r="BK20" s="1459"/>
      <c r="BL20" s="260"/>
      <c r="BM20" s="214"/>
      <c r="BN20" s="293"/>
      <c r="BO20" s="217"/>
      <c r="BP20" s="355"/>
      <c r="BQ20" s="217"/>
      <c r="BR20" s="1193"/>
      <c r="BS20" s="249"/>
      <c r="BT20" s="216"/>
      <c r="BU20" s="1195"/>
      <c r="BV20" s="249"/>
      <c r="BW20" s="216"/>
      <c r="BX20" s="1195"/>
      <c r="BY20" s="249"/>
      <c r="BZ20" s="216"/>
      <c r="CA20" s="1195"/>
      <c r="CB20" s="249"/>
      <c r="CC20" s="216"/>
      <c r="CD20" s="1195"/>
      <c r="CE20" s="249"/>
      <c r="CF20" s="216"/>
      <c r="CG20" s="1195"/>
      <c r="CH20" s="249"/>
      <c r="CI20" s="216"/>
      <c r="CJ20" s="1195"/>
      <c r="CK20" s="249"/>
      <c r="CL20" s="216"/>
      <c r="CM20" s="1194"/>
      <c r="CN20" s="1524"/>
      <c r="CO20" s="217"/>
      <c r="CP20" s="1193"/>
      <c r="CQ20" s="293"/>
      <c r="CR20" s="217"/>
      <c r="CS20" s="305"/>
      <c r="CT20" s="249"/>
      <c r="CU20" s="216"/>
      <c r="CV20" s="1193"/>
      <c r="CW20" s="249"/>
      <c r="CX20" s="216"/>
      <c r="CY20" s="305"/>
      <c r="CZ20" s="249"/>
      <c r="DA20" s="216"/>
      <c r="DB20" s="307"/>
      <c r="DC20" s="328"/>
      <c r="DD20" s="322"/>
      <c r="DE20" s="305"/>
      <c r="DF20" s="249"/>
      <c r="DG20" s="216"/>
      <c r="DH20" s="305"/>
      <c r="DI20" s="249"/>
      <c r="DJ20" s="216"/>
      <c r="DK20" s="309"/>
      <c r="DL20" s="293"/>
      <c r="DM20" s="326"/>
      <c r="DN20" s="1256"/>
      <c r="DO20" s="214"/>
      <c r="DP20" s="1257"/>
      <c r="DQ20" s="1258"/>
      <c r="DR20" s="305"/>
      <c r="DS20" s="249"/>
      <c r="DT20" s="216"/>
      <c r="DU20" s="2518"/>
      <c r="DV20" s="1030"/>
      <c r="DW20" s="2519"/>
      <c r="DX20" s="305"/>
      <c r="DY20" s="249"/>
      <c r="DZ20" s="221"/>
      <c r="EA20" s="388"/>
      <c r="EB20" s="249"/>
      <c r="EC20" s="216"/>
      <c r="ED20" s="1461"/>
      <c r="EE20" s="249"/>
      <c r="EF20" s="216"/>
      <c r="EG20" s="355"/>
      <c r="EH20" s="1425"/>
      <c r="EI20" s="1470"/>
      <c r="EJ20" s="249"/>
      <c r="EK20" s="221"/>
      <c r="EL20" s="313"/>
      <c r="EM20" s="249"/>
      <c r="EN20" s="221"/>
      <c r="EO20" s="313"/>
      <c r="EP20" s="249"/>
      <c r="EQ20" s="216"/>
      <c r="ER20" s="313"/>
      <c r="ES20" s="249"/>
      <c r="ET20" s="216"/>
      <c r="EU20" s="313"/>
      <c r="EV20" s="249"/>
      <c r="EW20" s="216"/>
      <c r="EX20" s="2505"/>
      <c r="EY20" s="249"/>
      <c r="EZ20" s="221"/>
      <c r="FA20" s="313"/>
      <c r="FB20" s="249"/>
      <c r="FC20" s="221"/>
      <c r="FD20" s="313"/>
      <c r="FE20" s="249"/>
      <c r="FF20" s="221"/>
      <c r="FG20" s="313"/>
      <c r="FH20" s="249"/>
      <c r="FI20" s="216"/>
      <c r="FJ20" s="1435"/>
      <c r="FK20" s="216"/>
      <c r="FL20" s="1268"/>
      <c r="FM20" s="1655"/>
      <c r="FN20" s="1268"/>
      <c r="FO20" s="1655"/>
      <c r="FP20" s="1268"/>
      <c r="FQ20" s="1656"/>
      <c r="FR20" s="249"/>
      <c r="FS20" s="216"/>
      <c r="FT20" s="1657"/>
      <c r="FU20" s="1658"/>
      <c r="FV20" s="242"/>
      <c r="FW20" s="2522"/>
      <c r="FX20" s="2523"/>
      <c r="FY20" s="336"/>
      <c r="FZ20" s="223"/>
      <c r="GA20" s="338"/>
      <c r="GB20" s="204"/>
      <c r="GC20" s="339"/>
      <c r="GD20" s="342"/>
      <c r="GE20" s="199"/>
      <c r="GF20" s="199"/>
      <c r="GG20" s="199"/>
      <c r="GH20" s="199"/>
      <c r="GI20" s="199"/>
      <c r="GJ20" s="199"/>
      <c r="GK20" s="199"/>
      <c r="GL20" s="49"/>
      <c r="GM20" s="28"/>
      <c r="GN20" s="28"/>
      <c r="GO20" s="322"/>
      <c r="GP20" s="1190"/>
      <c r="GQ20" s="1190"/>
      <c r="GR20" s="49"/>
      <c r="GS20" s="2879"/>
      <c r="GT20" s="2880"/>
      <c r="GU20" s="2881"/>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c r="IR20" s="49"/>
      <c r="IS20" s="49"/>
      <c r="IT20" s="49"/>
      <c r="IU20" s="49"/>
      <c r="IV20" s="49"/>
    </row>
    <row r="21" spans="1:256" s="198" customFormat="1" ht="12" customHeight="1">
      <c r="A21" s="1252"/>
      <c r="B21" s="200"/>
      <c r="C21" s="486"/>
      <c r="D21" s="203"/>
      <c r="E21" s="203"/>
      <c r="F21" s="203"/>
      <c r="G21" s="203"/>
      <c r="H21" s="175"/>
      <c r="I21" s="1265"/>
      <c r="J21" s="1265"/>
      <c r="K21" s="175"/>
      <c r="L21" s="1265"/>
      <c r="M21" s="1265"/>
      <c r="N21" s="1265"/>
      <c r="O21" s="1265"/>
      <c r="P21" s="1265"/>
      <c r="Q21" s="999"/>
      <c r="R21" s="999"/>
      <c r="S21" s="999"/>
      <c r="T21" s="2801"/>
      <c r="U21" s="233"/>
      <c r="V21" s="49"/>
      <c r="W21" s="218"/>
      <c r="X21" s="218"/>
      <c r="Y21" s="216"/>
      <c r="Z21" s="216"/>
      <c r="AA21" s="215"/>
      <c r="AB21" s="216"/>
      <c r="AC21" s="216"/>
      <c r="AD21" s="239"/>
      <c r="AE21" s="216"/>
      <c r="AF21" s="216"/>
      <c r="AG21" s="216"/>
      <c r="AH21" s="216"/>
      <c r="AI21" s="216"/>
      <c r="AJ21" s="216"/>
      <c r="AK21" s="239"/>
      <c r="AL21" s="216"/>
      <c r="AM21" s="216"/>
      <c r="AN21" s="216"/>
      <c r="AO21" s="216"/>
      <c r="AP21" s="216"/>
      <c r="AQ21" s="216"/>
      <c r="AR21" s="216"/>
      <c r="AS21" s="216"/>
      <c r="AT21" s="216"/>
      <c r="AU21" s="216"/>
      <c r="AV21" s="217"/>
      <c r="AW21" s="355"/>
      <c r="AX21" s="217"/>
      <c r="AY21" s="1559"/>
      <c r="AZ21" s="249"/>
      <c r="BA21" s="221"/>
      <c r="BB21" s="300"/>
      <c r="BC21" s="217"/>
      <c r="BD21" s="392"/>
      <c r="BE21" s="1244"/>
      <c r="BF21" s="249"/>
      <c r="BG21" s="252"/>
      <c r="BH21" s="1469"/>
      <c r="BI21" s="216"/>
      <c r="BJ21" s="1469"/>
      <c r="BK21" s="1459"/>
      <c r="BL21" s="260"/>
      <c r="BM21" s="214"/>
      <c r="BN21" s="293"/>
      <c r="BO21" s="217"/>
      <c r="BP21" s="355"/>
      <c r="BQ21" s="217"/>
      <c r="BR21" s="1193"/>
      <c r="BS21" s="249"/>
      <c r="BT21" s="216"/>
      <c r="BU21" s="1195"/>
      <c r="BV21" s="249"/>
      <c r="BW21" s="216"/>
      <c r="BX21" s="1195"/>
      <c r="BY21" s="249"/>
      <c r="BZ21" s="216"/>
      <c r="CA21" s="1195"/>
      <c r="CB21" s="249"/>
      <c r="CC21" s="216"/>
      <c r="CD21" s="1195"/>
      <c r="CE21" s="249"/>
      <c r="CF21" s="216"/>
      <c r="CG21" s="1195"/>
      <c r="CH21" s="249"/>
      <c r="CI21" s="216"/>
      <c r="CJ21" s="1195"/>
      <c r="CK21" s="249"/>
      <c r="CL21" s="216"/>
      <c r="CM21" s="1194"/>
      <c r="CN21" s="1524"/>
      <c r="CO21" s="217"/>
      <c r="CP21" s="1193"/>
      <c r="CQ21" s="293"/>
      <c r="CR21" s="217"/>
      <c r="CS21" s="305"/>
      <c r="CT21" s="249"/>
      <c r="CU21" s="216"/>
      <c r="CV21" s="1193"/>
      <c r="CW21" s="249"/>
      <c r="CX21" s="216"/>
      <c r="CY21" s="305"/>
      <c r="CZ21" s="249"/>
      <c r="DA21" s="216"/>
      <c r="DB21" s="307"/>
      <c r="DC21" s="328"/>
      <c r="DD21" s="322"/>
      <c r="DE21" s="305"/>
      <c r="DF21" s="249"/>
      <c r="DG21" s="216"/>
      <c r="DH21" s="305"/>
      <c r="DI21" s="249"/>
      <c r="DJ21" s="216"/>
      <c r="DK21" s="309"/>
      <c r="DL21" s="293"/>
      <c r="DM21" s="326"/>
      <c r="DN21" s="1256"/>
      <c r="DO21" s="214"/>
      <c r="DP21" s="1257"/>
      <c r="DQ21" s="1258"/>
      <c r="DR21" s="305"/>
      <c r="DS21" s="249"/>
      <c r="DT21" s="216"/>
      <c r="DU21" s="2518"/>
      <c r="DV21" s="1030"/>
      <c r="DW21" s="2519"/>
      <c r="DX21" s="305"/>
      <c r="DY21" s="249"/>
      <c r="DZ21" s="221"/>
      <c r="EA21" s="388"/>
      <c r="EB21" s="249"/>
      <c r="EC21" s="216"/>
      <c r="ED21" s="1461"/>
      <c r="EE21" s="249"/>
      <c r="EF21" s="216"/>
      <c r="EG21" s="355"/>
      <c r="EH21" s="1425"/>
      <c r="EI21" s="1470"/>
      <c r="EJ21" s="249"/>
      <c r="EK21" s="221"/>
      <c r="EL21" s="313"/>
      <c r="EM21" s="249"/>
      <c r="EN21" s="221"/>
      <c r="EO21" s="313"/>
      <c r="EP21" s="249"/>
      <c r="EQ21" s="216"/>
      <c r="ER21" s="313"/>
      <c r="ES21" s="249"/>
      <c r="ET21" s="216"/>
      <c r="EU21" s="313"/>
      <c r="EV21" s="249"/>
      <c r="EW21" s="216"/>
      <c r="EX21" s="2505"/>
      <c r="EY21" s="249"/>
      <c r="EZ21" s="221"/>
      <c r="FA21" s="313"/>
      <c r="FB21" s="249"/>
      <c r="FC21" s="221"/>
      <c r="FD21" s="313"/>
      <c r="FE21" s="249"/>
      <c r="FF21" s="221"/>
      <c r="FG21" s="313"/>
      <c r="FH21" s="249"/>
      <c r="FI21" s="216"/>
      <c r="FJ21" s="1435"/>
      <c r="FK21" s="216"/>
      <c r="FL21" s="1268"/>
      <c r="FM21" s="1655"/>
      <c r="FN21" s="1268"/>
      <c r="FO21" s="1655"/>
      <c r="FP21" s="1268"/>
      <c r="FQ21" s="1656"/>
      <c r="FR21" s="249"/>
      <c r="FS21" s="216"/>
      <c r="FT21" s="1657"/>
      <c r="FU21" s="1658"/>
      <c r="FV21" s="242"/>
      <c r="FW21" s="2522"/>
      <c r="FX21" s="2523"/>
      <c r="FY21" s="336"/>
      <c r="FZ21" s="223"/>
      <c r="GA21" s="338"/>
      <c r="GB21" s="204"/>
      <c r="GC21" s="339"/>
      <c r="GD21" s="342"/>
      <c r="GE21" s="199"/>
      <c r="GF21" s="199"/>
      <c r="GG21" s="199"/>
      <c r="GH21" s="199"/>
      <c r="GI21" s="199"/>
      <c r="GJ21" s="199"/>
      <c r="GK21" s="199"/>
      <c r="GL21" s="49"/>
      <c r="GM21" s="28"/>
      <c r="GN21" s="28"/>
      <c r="GO21" s="322"/>
      <c r="GP21" s="1190"/>
      <c r="GQ21" s="1190"/>
      <c r="GR21" s="49"/>
      <c r="GS21" s="2879"/>
      <c r="GT21" s="2880"/>
      <c r="GU21" s="2881"/>
      <c r="GV21" s="49"/>
      <c r="GW21" s="49"/>
      <c r="GX21" s="49"/>
      <c r="GY21" s="49"/>
      <c r="GZ21" s="49"/>
      <c r="HA21" s="49"/>
      <c r="HB21" s="49"/>
      <c r="HC21" s="49"/>
      <c r="HD21" s="49"/>
      <c r="HE21" s="49"/>
      <c r="HF21" s="49"/>
      <c r="HG21" s="49"/>
      <c r="HH21" s="49"/>
      <c r="HI21" s="49"/>
      <c r="HJ21" s="49"/>
      <c r="HK21" s="49"/>
      <c r="HL21" s="49"/>
      <c r="HM21" s="49"/>
      <c r="HN21" s="49"/>
      <c r="HO21" s="49"/>
      <c r="HP21" s="49"/>
      <c r="HQ21" s="49"/>
      <c r="HR21" s="49"/>
      <c r="HS21" s="49"/>
      <c r="HT21" s="49"/>
      <c r="HU21" s="49"/>
      <c r="HV21" s="49"/>
      <c r="HW21" s="49"/>
      <c r="HX21" s="49"/>
      <c r="HY21" s="49"/>
      <c r="HZ21" s="49"/>
      <c r="IA21" s="49"/>
      <c r="IB21" s="49"/>
      <c r="IC21" s="49"/>
      <c r="ID21" s="49"/>
      <c r="IE21" s="49"/>
      <c r="IF21" s="49"/>
      <c r="IG21" s="49"/>
      <c r="IH21" s="49"/>
      <c r="II21" s="49"/>
      <c r="IJ21" s="49"/>
      <c r="IK21" s="49"/>
      <c r="IL21" s="49"/>
      <c r="IM21" s="49"/>
      <c r="IN21" s="49"/>
      <c r="IO21" s="49"/>
      <c r="IP21" s="49"/>
      <c r="IQ21" s="49"/>
      <c r="IR21" s="49"/>
      <c r="IS21" s="49"/>
      <c r="IT21" s="49"/>
      <c r="IU21" s="49"/>
      <c r="IV21" s="49"/>
    </row>
    <row r="22" spans="1:256" s="198" customFormat="1" ht="12" customHeight="1">
      <c r="A22" s="1252"/>
      <c r="B22" s="200"/>
      <c r="C22" s="486"/>
      <c r="D22" s="203"/>
      <c r="E22" s="203"/>
      <c r="F22" s="203"/>
      <c r="G22" s="203"/>
      <c r="H22" s="175"/>
      <c r="I22" s="1265"/>
      <c r="J22" s="1265"/>
      <c r="K22" s="175"/>
      <c r="L22" s="1265"/>
      <c r="M22" s="1265"/>
      <c r="N22" s="1265"/>
      <c r="O22" s="1265"/>
      <c r="P22" s="1265"/>
      <c r="Q22" s="999"/>
      <c r="R22" s="999"/>
      <c r="S22" s="999"/>
      <c r="T22" s="2801"/>
      <c r="U22" s="233"/>
      <c r="V22" s="49"/>
      <c r="W22" s="218"/>
      <c r="X22" s="218"/>
      <c r="Y22" s="216"/>
      <c r="Z22" s="216"/>
      <c r="AA22" s="215"/>
      <c r="AB22" s="216"/>
      <c r="AC22" s="216"/>
      <c r="AD22" s="239"/>
      <c r="AE22" s="216"/>
      <c r="AF22" s="216"/>
      <c r="AG22" s="216"/>
      <c r="AH22" s="216"/>
      <c r="AI22" s="216"/>
      <c r="AJ22" s="216"/>
      <c r="AK22" s="239"/>
      <c r="AL22" s="216"/>
      <c r="AM22" s="216"/>
      <c r="AN22" s="216"/>
      <c r="AO22" s="216"/>
      <c r="AP22" s="216"/>
      <c r="AQ22" s="216"/>
      <c r="AR22" s="216"/>
      <c r="AS22" s="216"/>
      <c r="AT22" s="216"/>
      <c r="AU22" s="216"/>
      <c r="AV22" s="217"/>
      <c r="AW22" s="355"/>
      <c r="AX22" s="217"/>
      <c r="AY22" s="1559"/>
      <c r="AZ22" s="249"/>
      <c r="BA22" s="221"/>
      <c r="BB22" s="300"/>
      <c r="BC22" s="217"/>
      <c r="BD22" s="392"/>
      <c r="BE22" s="1244"/>
      <c r="BF22" s="249"/>
      <c r="BG22" s="252"/>
      <c r="BH22" s="1469"/>
      <c r="BI22" s="216"/>
      <c r="BJ22" s="1469"/>
      <c r="BK22" s="1459"/>
      <c r="BL22" s="260"/>
      <c r="BM22" s="214"/>
      <c r="BN22" s="293"/>
      <c r="BO22" s="217"/>
      <c r="BP22" s="355"/>
      <c r="BQ22" s="217"/>
      <c r="BR22" s="1193"/>
      <c r="BS22" s="249"/>
      <c r="BT22" s="216"/>
      <c r="BU22" s="1195"/>
      <c r="BV22" s="249"/>
      <c r="BW22" s="216"/>
      <c r="BX22" s="1195"/>
      <c r="BY22" s="249"/>
      <c r="BZ22" s="216"/>
      <c r="CA22" s="1195"/>
      <c r="CB22" s="249"/>
      <c r="CC22" s="216"/>
      <c r="CD22" s="1195"/>
      <c r="CE22" s="249"/>
      <c r="CF22" s="216"/>
      <c r="CG22" s="1195"/>
      <c r="CH22" s="249"/>
      <c r="CI22" s="216"/>
      <c r="CJ22" s="1195"/>
      <c r="CK22" s="249"/>
      <c r="CL22" s="216"/>
      <c r="CM22" s="1194"/>
      <c r="CN22" s="1524"/>
      <c r="CO22" s="217"/>
      <c r="CP22" s="1193"/>
      <c r="CQ22" s="293"/>
      <c r="CR22" s="217"/>
      <c r="CS22" s="305"/>
      <c r="CT22" s="249"/>
      <c r="CU22" s="216"/>
      <c r="CV22" s="1193"/>
      <c r="CW22" s="249"/>
      <c r="CX22" s="216"/>
      <c r="CY22" s="305"/>
      <c r="CZ22" s="249"/>
      <c r="DA22" s="216"/>
      <c r="DB22" s="307"/>
      <c r="DC22" s="328"/>
      <c r="DD22" s="322"/>
      <c r="DE22" s="305"/>
      <c r="DF22" s="249"/>
      <c r="DG22" s="216"/>
      <c r="DH22" s="305"/>
      <c r="DI22" s="249"/>
      <c r="DJ22" s="216"/>
      <c r="DK22" s="309"/>
      <c r="DL22" s="293"/>
      <c r="DM22" s="326"/>
      <c r="DN22" s="1256"/>
      <c r="DO22" s="214"/>
      <c r="DP22" s="1257"/>
      <c r="DQ22" s="1258"/>
      <c r="DR22" s="305"/>
      <c r="DS22" s="249"/>
      <c r="DT22" s="216"/>
      <c r="DU22" s="2518"/>
      <c r="DV22" s="1030"/>
      <c r="DW22" s="2519"/>
      <c r="DX22" s="305"/>
      <c r="DY22" s="249"/>
      <c r="DZ22" s="221"/>
      <c r="EA22" s="388"/>
      <c r="EB22" s="249"/>
      <c r="EC22" s="216"/>
      <c r="ED22" s="1461"/>
      <c r="EE22" s="249"/>
      <c r="EF22" s="216"/>
      <c r="EG22" s="355"/>
      <c r="EH22" s="1425"/>
      <c r="EI22" s="1470"/>
      <c r="EJ22" s="249"/>
      <c r="EK22" s="221"/>
      <c r="EL22" s="313"/>
      <c r="EM22" s="249"/>
      <c r="EN22" s="221"/>
      <c r="EO22" s="313"/>
      <c r="EP22" s="249"/>
      <c r="EQ22" s="216"/>
      <c r="ER22" s="313"/>
      <c r="ES22" s="249"/>
      <c r="ET22" s="216"/>
      <c r="EU22" s="313"/>
      <c r="EV22" s="249"/>
      <c r="EW22" s="216"/>
      <c r="EX22" s="2505"/>
      <c r="EY22" s="249"/>
      <c r="EZ22" s="221"/>
      <c r="FA22" s="313"/>
      <c r="FB22" s="249"/>
      <c r="FC22" s="221"/>
      <c r="FD22" s="313"/>
      <c r="FE22" s="249"/>
      <c r="FF22" s="221"/>
      <c r="FG22" s="313"/>
      <c r="FH22" s="249"/>
      <c r="FI22" s="216"/>
      <c r="FJ22" s="1435"/>
      <c r="FK22" s="216"/>
      <c r="FL22" s="1268"/>
      <c r="FM22" s="1655"/>
      <c r="FN22" s="1268"/>
      <c r="FO22" s="1655"/>
      <c r="FP22" s="1268"/>
      <c r="FQ22" s="1656"/>
      <c r="FR22" s="249"/>
      <c r="FS22" s="216"/>
      <c r="FT22" s="1657"/>
      <c r="FU22" s="1658"/>
      <c r="FV22" s="242"/>
      <c r="FW22" s="2522"/>
      <c r="FX22" s="2523"/>
      <c r="FY22" s="336"/>
      <c r="FZ22" s="223"/>
      <c r="GA22" s="338"/>
      <c r="GB22" s="204"/>
      <c r="GC22" s="339"/>
      <c r="GD22" s="342"/>
      <c r="GE22" s="199"/>
      <c r="GF22" s="199"/>
      <c r="GG22" s="199"/>
      <c r="GH22" s="199"/>
      <c r="GI22" s="199"/>
      <c r="GJ22" s="199"/>
      <c r="GK22" s="199"/>
      <c r="GL22" s="49"/>
      <c r="GM22" s="28"/>
      <c r="GN22" s="28"/>
      <c r="GO22" s="322"/>
      <c r="GP22" s="1190"/>
      <c r="GQ22" s="1190"/>
      <c r="GR22" s="49"/>
      <c r="GS22" s="2879"/>
      <c r="GT22" s="2880"/>
      <c r="GU22" s="2881"/>
      <c r="GV22" s="49"/>
      <c r="GW22" s="49"/>
      <c r="GX22" s="49"/>
      <c r="GY22" s="49"/>
      <c r="GZ22" s="49"/>
      <c r="HA22" s="49"/>
      <c r="HB22" s="49"/>
      <c r="HC22" s="49"/>
      <c r="HD22" s="49"/>
      <c r="HE22" s="49"/>
      <c r="HF22" s="49"/>
      <c r="HG22" s="49"/>
      <c r="HH22" s="49"/>
      <c r="HI22" s="49"/>
      <c r="HJ22" s="49"/>
      <c r="HK22" s="49"/>
      <c r="HL22" s="49"/>
      <c r="HM22" s="49"/>
      <c r="HN22" s="49"/>
      <c r="HO22" s="49"/>
      <c r="HP22" s="49"/>
      <c r="HQ22" s="49"/>
      <c r="HR22" s="49"/>
      <c r="HS22" s="49"/>
      <c r="HT22" s="49"/>
      <c r="HU22" s="49"/>
      <c r="HV22" s="49"/>
      <c r="HW22" s="49"/>
      <c r="HX22" s="49"/>
      <c r="HY22" s="49"/>
      <c r="HZ22" s="49"/>
      <c r="IA22" s="49"/>
      <c r="IB22" s="49"/>
      <c r="IC22" s="49"/>
      <c r="ID22" s="49"/>
      <c r="IE22" s="49"/>
      <c r="IF22" s="49"/>
      <c r="IG22" s="49"/>
      <c r="IH22" s="49"/>
      <c r="II22" s="49"/>
      <c r="IJ22" s="49"/>
      <c r="IK22" s="49"/>
      <c r="IL22" s="49"/>
      <c r="IM22" s="49"/>
      <c r="IN22" s="49"/>
      <c r="IO22" s="49"/>
      <c r="IP22" s="49"/>
      <c r="IQ22" s="49"/>
      <c r="IR22" s="49"/>
      <c r="IS22" s="49"/>
      <c r="IT22" s="49"/>
      <c r="IU22" s="49"/>
      <c r="IV22" s="49"/>
    </row>
    <row r="23" spans="1:256" s="198" customFormat="1" ht="12" customHeight="1">
      <c r="A23" s="1252"/>
      <c r="B23" s="200"/>
      <c r="C23" s="486"/>
      <c r="D23" s="203"/>
      <c r="E23" s="203"/>
      <c r="F23" s="203"/>
      <c r="G23" s="203"/>
      <c r="H23" s="175"/>
      <c r="I23" s="1265"/>
      <c r="J23" s="1265"/>
      <c r="K23" s="175"/>
      <c r="L23" s="1265"/>
      <c r="M23" s="1265"/>
      <c r="N23" s="1265"/>
      <c r="O23" s="1265"/>
      <c r="P23" s="1265"/>
      <c r="Q23" s="999"/>
      <c r="R23" s="999"/>
      <c r="S23" s="999"/>
      <c r="T23" s="2801"/>
      <c r="U23" s="233"/>
      <c r="V23" s="49"/>
      <c r="W23" s="218"/>
      <c r="X23" s="218"/>
      <c r="Y23" s="216"/>
      <c r="Z23" s="216"/>
      <c r="AA23" s="215"/>
      <c r="AB23" s="216"/>
      <c r="AC23" s="216"/>
      <c r="AD23" s="239"/>
      <c r="AE23" s="216"/>
      <c r="AF23" s="216"/>
      <c r="AG23" s="216"/>
      <c r="AH23" s="216"/>
      <c r="AI23" s="216"/>
      <c r="AJ23" s="216"/>
      <c r="AK23" s="239"/>
      <c r="AL23" s="216"/>
      <c r="AM23" s="216"/>
      <c r="AN23" s="216"/>
      <c r="AO23" s="216"/>
      <c r="AP23" s="216"/>
      <c r="AQ23" s="216"/>
      <c r="AR23" s="216"/>
      <c r="AS23" s="216"/>
      <c r="AT23" s="216"/>
      <c r="AU23" s="216"/>
      <c r="AV23" s="217"/>
      <c r="AW23" s="355"/>
      <c r="AX23" s="217"/>
      <c r="AY23" s="1559"/>
      <c r="AZ23" s="249"/>
      <c r="BA23" s="221"/>
      <c r="BB23" s="300"/>
      <c r="BC23" s="217"/>
      <c r="BD23" s="392"/>
      <c r="BE23" s="1244"/>
      <c r="BF23" s="249"/>
      <c r="BG23" s="252"/>
      <c r="BH23" s="1469"/>
      <c r="BI23" s="216"/>
      <c r="BJ23" s="1469"/>
      <c r="BK23" s="1459"/>
      <c r="BL23" s="260"/>
      <c r="BM23" s="214"/>
      <c r="BN23" s="293"/>
      <c r="BO23" s="217"/>
      <c r="BP23" s="355"/>
      <c r="BQ23" s="217"/>
      <c r="BR23" s="1193"/>
      <c r="BS23" s="249"/>
      <c r="BT23" s="216"/>
      <c r="BU23" s="1195"/>
      <c r="BV23" s="249"/>
      <c r="BW23" s="216"/>
      <c r="BX23" s="1195"/>
      <c r="BY23" s="249"/>
      <c r="BZ23" s="216"/>
      <c r="CA23" s="1195"/>
      <c r="CB23" s="249"/>
      <c r="CC23" s="216"/>
      <c r="CD23" s="1195"/>
      <c r="CE23" s="249"/>
      <c r="CF23" s="216"/>
      <c r="CG23" s="1195"/>
      <c r="CH23" s="249"/>
      <c r="CI23" s="216"/>
      <c r="CJ23" s="1195"/>
      <c r="CK23" s="249"/>
      <c r="CL23" s="216"/>
      <c r="CM23" s="1194"/>
      <c r="CN23" s="1524"/>
      <c r="CO23" s="217"/>
      <c r="CP23" s="1193"/>
      <c r="CQ23" s="293"/>
      <c r="CR23" s="217"/>
      <c r="CS23" s="305"/>
      <c r="CT23" s="249"/>
      <c r="CU23" s="216"/>
      <c r="CV23" s="1193"/>
      <c r="CW23" s="249"/>
      <c r="CX23" s="216"/>
      <c r="CY23" s="305"/>
      <c r="CZ23" s="249"/>
      <c r="DA23" s="216"/>
      <c r="DB23" s="307"/>
      <c r="DC23" s="328"/>
      <c r="DD23" s="322"/>
      <c r="DE23" s="305"/>
      <c r="DF23" s="249"/>
      <c r="DG23" s="216"/>
      <c r="DH23" s="305"/>
      <c r="DI23" s="249"/>
      <c r="DJ23" s="216"/>
      <c r="DK23" s="309"/>
      <c r="DL23" s="293"/>
      <c r="DM23" s="326"/>
      <c r="DN23" s="1256"/>
      <c r="DO23" s="214"/>
      <c r="DP23" s="1257"/>
      <c r="DQ23" s="1258"/>
      <c r="DR23" s="305"/>
      <c r="DS23" s="249"/>
      <c r="DT23" s="216"/>
      <c r="DU23" s="2518"/>
      <c r="DV23" s="1030"/>
      <c r="DW23" s="2519"/>
      <c r="DX23" s="305"/>
      <c r="DY23" s="249"/>
      <c r="DZ23" s="221"/>
      <c r="EA23" s="388"/>
      <c r="EB23" s="249"/>
      <c r="EC23" s="216"/>
      <c r="ED23" s="1461"/>
      <c r="EE23" s="249"/>
      <c r="EF23" s="216"/>
      <c r="EG23" s="355"/>
      <c r="EH23" s="1425"/>
      <c r="EI23" s="1470"/>
      <c r="EJ23" s="249"/>
      <c r="EK23" s="221"/>
      <c r="EL23" s="313"/>
      <c r="EM23" s="249"/>
      <c r="EN23" s="221"/>
      <c r="EO23" s="313"/>
      <c r="EP23" s="249"/>
      <c r="EQ23" s="216"/>
      <c r="ER23" s="313"/>
      <c r="ES23" s="249"/>
      <c r="ET23" s="216"/>
      <c r="EU23" s="313"/>
      <c r="EV23" s="249"/>
      <c r="EW23" s="216"/>
      <c r="EX23" s="2505"/>
      <c r="EY23" s="249"/>
      <c r="EZ23" s="221"/>
      <c r="FA23" s="313"/>
      <c r="FB23" s="249"/>
      <c r="FC23" s="221"/>
      <c r="FD23" s="313"/>
      <c r="FE23" s="249"/>
      <c r="FF23" s="221"/>
      <c r="FG23" s="313"/>
      <c r="FH23" s="249"/>
      <c r="FI23" s="216"/>
      <c r="FJ23" s="1435"/>
      <c r="FK23" s="216"/>
      <c r="FL23" s="1268"/>
      <c r="FM23" s="1655"/>
      <c r="FN23" s="1268"/>
      <c r="FO23" s="1655"/>
      <c r="FP23" s="1268"/>
      <c r="FQ23" s="1656"/>
      <c r="FR23" s="249"/>
      <c r="FS23" s="216"/>
      <c r="FT23" s="1657"/>
      <c r="FU23" s="1658"/>
      <c r="FV23" s="242"/>
      <c r="FW23" s="2522"/>
      <c r="FX23" s="2523"/>
      <c r="FY23" s="336"/>
      <c r="FZ23" s="223"/>
      <c r="GA23" s="338"/>
      <c r="GB23" s="204"/>
      <c r="GC23" s="339"/>
      <c r="GD23" s="342"/>
      <c r="GE23" s="199"/>
      <c r="GF23" s="199"/>
      <c r="GG23" s="199"/>
      <c r="GH23" s="199"/>
      <c r="GI23" s="199"/>
      <c r="GJ23" s="199"/>
      <c r="GK23" s="199"/>
      <c r="GL23" s="49"/>
      <c r="GM23" s="28"/>
      <c r="GN23" s="28"/>
      <c r="GO23" s="322"/>
      <c r="GP23" s="1190"/>
      <c r="GQ23" s="1190"/>
      <c r="GR23" s="49"/>
      <c r="GS23" s="2879"/>
      <c r="GT23" s="2880"/>
      <c r="GU23" s="2881"/>
      <c r="GV23" s="49"/>
      <c r="GW23" s="49"/>
      <c r="GX23" s="49"/>
      <c r="GY23" s="49"/>
      <c r="GZ23" s="49"/>
      <c r="HA23" s="49"/>
      <c r="HB23" s="49"/>
      <c r="HC23" s="49"/>
      <c r="HD23" s="49"/>
      <c r="HE23" s="49"/>
      <c r="HF23" s="49"/>
      <c r="HG23" s="49"/>
      <c r="HH23" s="49"/>
      <c r="HI23" s="49"/>
      <c r="HJ23" s="49"/>
      <c r="HK23" s="49"/>
      <c r="HL23" s="49"/>
      <c r="HM23" s="49"/>
      <c r="HN23" s="49"/>
      <c r="HO23" s="49"/>
      <c r="HP23" s="49"/>
      <c r="HQ23" s="49"/>
      <c r="HR23" s="49"/>
      <c r="HS23" s="49"/>
      <c r="HT23" s="49"/>
      <c r="HU23" s="49"/>
      <c r="HV23" s="49"/>
      <c r="HW23" s="49"/>
      <c r="HX23" s="49"/>
      <c r="HY23" s="49"/>
      <c r="HZ23" s="49"/>
      <c r="IA23" s="49"/>
      <c r="IB23" s="49"/>
      <c r="IC23" s="49"/>
      <c r="ID23" s="49"/>
      <c r="IE23" s="49"/>
      <c r="IF23" s="49"/>
      <c r="IG23" s="49"/>
      <c r="IH23" s="49"/>
      <c r="II23" s="49"/>
      <c r="IJ23" s="49"/>
      <c r="IK23" s="49"/>
      <c r="IL23" s="49"/>
      <c r="IM23" s="49"/>
      <c r="IN23" s="49"/>
      <c r="IO23" s="49"/>
      <c r="IP23" s="49"/>
      <c r="IQ23" s="49"/>
      <c r="IR23" s="49"/>
      <c r="IS23" s="49"/>
      <c r="IT23" s="49"/>
      <c r="IU23" s="49"/>
      <c r="IV23" s="49"/>
    </row>
    <row r="24" spans="1:256" s="198" customFormat="1" ht="12" customHeight="1">
      <c r="A24" s="1252"/>
      <c r="B24" s="200"/>
      <c r="C24" s="486"/>
      <c r="D24" s="203"/>
      <c r="E24" s="203"/>
      <c r="F24" s="203"/>
      <c r="G24" s="203"/>
      <c r="H24" s="175"/>
      <c r="I24" s="1265"/>
      <c r="J24" s="1265"/>
      <c r="K24" s="175"/>
      <c r="L24" s="1265"/>
      <c r="M24" s="1265"/>
      <c r="N24" s="1265"/>
      <c r="O24" s="1265"/>
      <c r="P24" s="1265"/>
      <c r="Q24" s="999"/>
      <c r="R24" s="999"/>
      <c r="S24" s="999"/>
      <c r="T24" s="2801"/>
      <c r="U24" s="233"/>
      <c r="V24" s="49"/>
      <c r="W24" s="218"/>
      <c r="X24" s="218"/>
      <c r="Y24" s="216"/>
      <c r="Z24" s="216"/>
      <c r="AA24" s="215"/>
      <c r="AB24" s="216"/>
      <c r="AC24" s="216"/>
      <c r="AD24" s="239"/>
      <c r="AE24" s="216"/>
      <c r="AF24" s="216"/>
      <c r="AG24" s="216"/>
      <c r="AH24" s="216"/>
      <c r="AI24" s="216"/>
      <c r="AJ24" s="216"/>
      <c r="AK24" s="239"/>
      <c r="AL24" s="216"/>
      <c r="AM24" s="216"/>
      <c r="AN24" s="216"/>
      <c r="AO24" s="216"/>
      <c r="AP24" s="216"/>
      <c r="AQ24" s="216"/>
      <c r="AR24" s="216"/>
      <c r="AS24" s="216"/>
      <c r="AT24" s="216"/>
      <c r="AU24" s="216"/>
      <c r="AV24" s="217"/>
      <c r="AW24" s="355"/>
      <c r="AX24" s="217"/>
      <c r="AY24" s="1559"/>
      <c r="AZ24" s="249"/>
      <c r="BA24" s="221"/>
      <c r="BB24" s="300"/>
      <c r="BC24" s="217"/>
      <c r="BD24" s="392"/>
      <c r="BE24" s="1244"/>
      <c r="BF24" s="249"/>
      <c r="BG24" s="252"/>
      <c r="BH24" s="1469"/>
      <c r="BI24" s="216"/>
      <c r="BJ24" s="1469"/>
      <c r="BK24" s="1459"/>
      <c r="BL24" s="260"/>
      <c r="BM24" s="214"/>
      <c r="BN24" s="293"/>
      <c r="BO24" s="217"/>
      <c r="BP24" s="355"/>
      <c r="BQ24" s="217"/>
      <c r="BR24" s="1193"/>
      <c r="BS24" s="249"/>
      <c r="BT24" s="216"/>
      <c r="BU24" s="1195"/>
      <c r="BV24" s="249"/>
      <c r="BW24" s="216"/>
      <c r="BX24" s="1195"/>
      <c r="BY24" s="249"/>
      <c r="BZ24" s="216"/>
      <c r="CA24" s="1195"/>
      <c r="CB24" s="249"/>
      <c r="CC24" s="216"/>
      <c r="CD24" s="1195"/>
      <c r="CE24" s="249"/>
      <c r="CF24" s="216"/>
      <c r="CG24" s="1195"/>
      <c r="CH24" s="249"/>
      <c r="CI24" s="216"/>
      <c r="CJ24" s="1195"/>
      <c r="CK24" s="249"/>
      <c r="CL24" s="216"/>
      <c r="CM24" s="1194"/>
      <c r="CN24" s="1524"/>
      <c r="CO24" s="217"/>
      <c r="CP24" s="1193"/>
      <c r="CQ24" s="293"/>
      <c r="CR24" s="217"/>
      <c r="CS24" s="305"/>
      <c r="CT24" s="249"/>
      <c r="CU24" s="216"/>
      <c r="CV24" s="1193"/>
      <c r="CW24" s="249"/>
      <c r="CX24" s="216"/>
      <c r="CY24" s="305"/>
      <c r="CZ24" s="249"/>
      <c r="DA24" s="216"/>
      <c r="DB24" s="307"/>
      <c r="DC24" s="328"/>
      <c r="DD24" s="322"/>
      <c r="DE24" s="305"/>
      <c r="DF24" s="249"/>
      <c r="DG24" s="216"/>
      <c r="DH24" s="305"/>
      <c r="DI24" s="249"/>
      <c r="DJ24" s="216"/>
      <c r="DK24" s="309"/>
      <c r="DL24" s="293"/>
      <c r="DM24" s="326"/>
      <c r="DN24" s="1256"/>
      <c r="DO24" s="214"/>
      <c r="DP24" s="1257"/>
      <c r="DQ24" s="1258"/>
      <c r="DR24" s="305"/>
      <c r="DS24" s="249"/>
      <c r="DT24" s="216"/>
      <c r="DU24" s="2518"/>
      <c r="DV24" s="1030"/>
      <c r="DW24" s="2519"/>
      <c r="DX24" s="305"/>
      <c r="DY24" s="249"/>
      <c r="DZ24" s="221"/>
      <c r="EA24" s="388"/>
      <c r="EB24" s="249"/>
      <c r="EC24" s="216"/>
      <c r="ED24" s="1461"/>
      <c r="EE24" s="249"/>
      <c r="EF24" s="216"/>
      <c r="EG24" s="355"/>
      <c r="EH24" s="1425"/>
      <c r="EI24" s="1470"/>
      <c r="EJ24" s="249"/>
      <c r="EK24" s="221"/>
      <c r="EL24" s="313"/>
      <c r="EM24" s="249"/>
      <c r="EN24" s="221"/>
      <c r="EO24" s="313"/>
      <c r="EP24" s="249"/>
      <c r="EQ24" s="216"/>
      <c r="ER24" s="313"/>
      <c r="ES24" s="249"/>
      <c r="ET24" s="216"/>
      <c r="EU24" s="313"/>
      <c r="EV24" s="249"/>
      <c r="EW24" s="216"/>
      <c r="EX24" s="2505"/>
      <c r="EY24" s="249"/>
      <c r="EZ24" s="221"/>
      <c r="FA24" s="313"/>
      <c r="FB24" s="249"/>
      <c r="FC24" s="221"/>
      <c r="FD24" s="313"/>
      <c r="FE24" s="249"/>
      <c r="FF24" s="221"/>
      <c r="FG24" s="313"/>
      <c r="FH24" s="249"/>
      <c r="FI24" s="216"/>
      <c r="FJ24" s="1435"/>
      <c r="FK24" s="216"/>
      <c r="FL24" s="1268"/>
      <c r="FM24" s="1655"/>
      <c r="FN24" s="1268"/>
      <c r="FO24" s="1655"/>
      <c r="FP24" s="1268"/>
      <c r="FQ24" s="1656"/>
      <c r="FR24" s="249"/>
      <c r="FS24" s="216"/>
      <c r="FT24" s="1657"/>
      <c r="FU24" s="1658"/>
      <c r="FV24" s="242"/>
      <c r="FW24" s="2522"/>
      <c r="FX24" s="2523"/>
      <c r="FY24" s="336"/>
      <c r="FZ24" s="223"/>
      <c r="GA24" s="338"/>
      <c r="GB24" s="204"/>
      <c r="GC24" s="339"/>
      <c r="GD24" s="342"/>
      <c r="GE24" s="199"/>
      <c r="GF24" s="199"/>
      <c r="GG24" s="199"/>
      <c r="GH24" s="199"/>
      <c r="GI24" s="199"/>
      <c r="GJ24" s="199"/>
      <c r="GK24" s="199"/>
      <c r="GL24" s="49"/>
      <c r="GM24" s="28"/>
      <c r="GN24" s="28"/>
      <c r="GO24" s="322"/>
      <c r="GP24" s="1190"/>
      <c r="GQ24" s="1190"/>
      <c r="GR24" s="49"/>
      <c r="GS24" s="2879"/>
      <c r="GT24" s="2880"/>
      <c r="GU24" s="2881"/>
      <c r="GV24" s="49"/>
      <c r="GW24" s="49"/>
      <c r="GX24" s="49"/>
      <c r="GY24" s="49"/>
      <c r="GZ24" s="49"/>
      <c r="HA24" s="49"/>
      <c r="HB24" s="49"/>
      <c r="HC24" s="49"/>
      <c r="HD24" s="49"/>
      <c r="HE24" s="49"/>
      <c r="HF24" s="49"/>
      <c r="HG24" s="49"/>
      <c r="HH24" s="49"/>
      <c r="HI24" s="49"/>
      <c r="HJ24" s="49"/>
      <c r="HK24" s="49"/>
      <c r="HL24" s="49"/>
      <c r="HM24" s="49"/>
      <c r="HN24" s="49"/>
      <c r="HO24" s="49"/>
      <c r="HP24" s="49"/>
      <c r="HQ24" s="49"/>
      <c r="HR24" s="49"/>
      <c r="HS24" s="49"/>
      <c r="HT24" s="49"/>
      <c r="HU24" s="49"/>
      <c r="HV24" s="49"/>
      <c r="HW24" s="49"/>
      <c r="HX24" s="49"/>
      <c r="HY24" s="49"/>
      <c r="HZ24" s="49"/>
      <c r="IA24" s="49"/>
      <c r="IB24" s="49"/>
      <c r="IC24" s="49"/>
      <c r="ID24" s="49"/>
      <c r="IE24" s="49"/>
      <c r="IF24" s="49"/>
      <c r="IG24" s="49"/>
      <c r="IH24" s="49"/>
      <c r="II24" s="49"/>
      <c r="IJ24" s="49"/>
      <c r="IK24" s="49"/>
      <c r="IL24" s="49"/>
      <c r="IM24" s="49"/>
      <c r="IN24" s="49"/>
      <c r="IO24" s="49"/>
      <c r="IP24" s="49"/>
      <c r="IQ24" s="49"/>
      <c r="IR24" s="49"/>
      <c r="IS24" s="49"/>
      <c r="IT24" s="49"/>
      <c r="IU24" s="49"/>
      <c r="IV24" s="49"/>
    </row>
    <row r="25" spans="1:256" s="198" customFormat="1" ht="12" customHeight="1">
      <c r="A25" s="1252"/>
      <c r="B25" s="200"/>
      <c r="C25" s="486"/>
      <c r="D25" s="203"/>
      <c r="E25" s="203"/>
      <c r="F25" s="203"/>
      <c r="G25" s="203"/>
      <c r="H25" s="175"/>
      <c r="I25" s="1265"/>
      <c r="J25" s="1265"/>
      <c r="K25" s="175"/>
      <c r="L25" s="1265"/>
      <c r="M25" s="1265"/>
      <c r="N25" s="1265"/>
      <c r="O25" s="1265"/>
      <c r="P25" s="1265"/>
      <c r="Q25" s="999"/>
      <c r="R25" s="999"/>
      <c r="S25" s="999"/>
      <c r="T25" s="2801"/>
      <c r="U25" s="233"/>
      <c r="V25" s="49"/>
      <c r="W25" s="218"/>
      <c r="X25" s="218"/>
      <c r="Y25" s="216"/>
      <c r="Z25" s="216"/>
      <c r="AA25" s="215"/>
      <c r="AB25" s="216"/>
      <c r="AC25" s="216"/>
      <c r="AD25" s="239"/>
      <c r="AE25" s="216"/>
      <c r="AF25" s="216"/>
      <c r="AG25" s="216"/>
      <c r="AH25" s="216"/>
      <c r="AI25" s="216"/>
      <c r="AJ25" s="216"/>
      <c r="AK25" s="239"/>
      <c r="AL25" s="216"/>
      <c r="AM25" s="216"/>
      <c r="AN25" s="216"/>
      <c r="AO25" s="216"/>
      <c r="AP25" s="216"/>
      <c r="AQ25" s="216"/>
      <c r="AR25" s="216"/>
      <c r="AS25" s="216"/>
      <c r="AT25" s="216"/>
      <c r="AU25" s="216"/>
      <c r="AV25" s="217"/>
      <c r="AW25" s="355"/>
      <c r="AX25" s="217"/>
      <c r="AY25" s="1559"/>
      <c r="AZ25" s="249"/>
      <c r="BA25" s="221"/>
      <c r="BB25" s="300"/>
      <c r="BC25" s="217"/>
      <c r="BD25" s="392"/>
      <c r="BE25" s="1244"/>
      <c r="BF25" s="249"/>
      <c r="BG25" s="252"/>
      <c r="BH25" s="1469"/>
      <c r="BI25" s="216"/>
      <c r="BJ25" s="1469"/>
      <c r="BK25" s="1459"/>
      <c r="BL25" s="260"/>
      <c r="BM25" s="214"/>
      <c r="BN25" s="293"/>
      <c r="BO25" s="217"/>
      <c r="BP25" s="355"/>
      <c r="BQ25" s="217"/>
      <c r="BR25" s="1193"/>
      <c r="BS25" s="249"/>
      <c r="BT25" s="216"/>
      <c r="BU25" s="1195"/>
      <c r="BV25" s="249"/>
      <c r="BW25" s="216"/>
      <c r="BX25" s="1195"/>
      <c r="BY25" s="249"/>
      <c r="BZ25" s="216"/>
      <c r="CA25" s="1195"/>
      <c r="CB25" s="249"/>
      <c r="CC25" s="216"/>
      <c r="CD25" s="1195"/>
      <c r="CE25" s="249"/>
      <c r="CF25" s="216"/>
      <c r="CG25" s="1195"/>
      <c r="CH25" s="249"/>
      <c r="CI25" s="216"/>
      <c r="CJ25" s="1195"/>
      <c r="CK25" s="249"/>
      <c r="CL25" s="216"/>
      <c r="CM25" s="1194"/>
      <c r="CN25" s="1524"/>
      <c r="CO25" s="217"/>
      <c r="CP25" s="1193"/>
      <c r="CQ25" s="293"/>
      <c r="CR25" s="217"/>
      <c r="CS25" s="305"/>
      <c r="CT25" s="249"/>
      <c r="CU25" s="216"/>
      <c r="CV25" s="1193"/>
      <c r="CW25" s="249"/>
      <c r="CX25" s="216"/>
      <c r="CY25" s="305"/>
      <c r="CZ25" s="249"/>
      <c r="DA25" s="216"/>
      <c r="DB25" s="307"/>
      <c r="DC25" s="328"/>
      <c r="DD25" s="322"/>
      <c r="DE25" s="305"/>
      <c r="DF25" s="249"/>
      <c r="DG25" s="216"/>
      <c r="DH25" s="305"/>
      <c r="DI25" s="249"/>
      <c r="DJ25" s="216"/>
      <c r="DK25" s="309"/>
      <c r="DL25" s="293"/>
      <c r="DM25" s="326"/>
      <c r="DN25" s="1256"/>
      <c r="DO25" s="214"/>
      <c r="DP25" s="1257"/>
      <c r="DQ25" s="1258"/>
      <c r="DR25" s="305"/>
      <c r="DS25" s="249"/>
      <c r="DT25" s="216"/>
      <c r="DU25" s="2518"/>
      <c r="DV25" s="1030"/>
      <c r="DW25" s="2519"/>
      <c r="DX25" s="305"/>
      <c r="DY25" s="249"/>
      <c r="DZ25" s="221"/>
      <c r="EA25" s="388"/>
      <c r="EB25" s="249"/>
      <c r="EC25" s="216"/>
      <c r="ED25" s="1461"/>
      <c r="EE25" s="249"/>
      <c r="EF25" s="216"/>
      <c r="EG25" s="355"/>
      <c r="EH25" s="1425"/>
      <c r="EI25" s="1470"/>
      <c r="EJ25" s="249"/>
      <c r="EK25" s="221"/>
      <c r="EL25" s="313"/>
      <c r="EM25" s="249"/>
      <c r="EN25" s="221"/>
      <c r="EO25" s="313"/>
      <c r="EP25" s="249"/>
      <c r="EQ25" s="216"/>
      <c r="ER25" s="313"/>
      <c r="ES25" s="249"/>
      <c r="ET25" s="216"/>
      <c r="EU25" s="313"/>
      <c r="EV25" s="249"/>
      <c r="EW25" s="216"/>
      <c r="EX25" s="2505"/>
      <c r="EY25" s="249"/>
      <c r="EZ25" s="221"/>
      <c r="FA25" s="313"/>
      <c r="FB25" s="249"/>
      <c r="FC25" s="221"/>
      <c r="FD25" s="313"/>
      <c r="FE25" s="249"/>
      <c r="FF25" s="221"/>
      <c r="FG25" s="313"/>
      <c r="FH25" s="249"/>
      <c r="FI25" s="216"/>
      <c r="FJ25" s="1435"/>
      <c r="FK25" s="216"/>
      <c r="FL25" s="1268"/>
      <c r="FM25" s="1655"/>
      <c r="FN25" s="1268"/>
      <c r="FO25" s="1655"/>
      <c r="FP25" s="1268"/>
      <c r="FQ25" s="1656"/>
      <c r="FR25" s="249"/>
      <c r="FS25" s="216"/>
      <c r="FT25" s="1657"/>
      <c r="FU25" s="1658"/>
      <c r="FV25" s="242"/>
      <c r="FW25" s="2522"/>
      <c r="FX25" s="2523"/>
      <c r="FY25" s="336"/>
      <c r="FZ25" s="223"/>
      <c r="GA25" s="338"/>
      <c r="GB25" s="204"/>
      <c r="GC25" s="339"/>
      <c r="GD25" s="342"/>
      <c r="GE25" s="199"/>
      <c r="GF25" s="199"/>
      <c r="GG25" s="199"/>
      <c r="GH25" s="199"/>
      <c r="GI25" s="199"/>
      <c r="GJ25" s="199"/>
      <c r="GK25" s="199"/>
      <c r="GL25" s="49"/>
      <c r="GM25" s="28"/>
      <c r="GN25" s="28"/>
      <c r="GO25" s="322"/>
      <c r="GP25" s="1190"/>
      <c r="GQ25" s="1190"/>
      <c r="GR25" s="49"/>
      <c r="GS25" s="2879"/>
      <c r="GT25" s="2880"/>
      <c r="GU25" s="2881"/>
      <c r="GV25" s="49"/>
      <c r="GW25" s="49"/>
      <c r="GX25" s="49"/>
      <c r="GY25" s="49"/>
      <c r="GZ25" s="49"/>
      <c r="HA25" s="49"/>
      <c r="HB25" s="49"/>
      <c r="HC25" s="49"/>
      <c r="HD25" s="49"/>
      <c r="HE25" s="49"/>
      <c r="HF25" s="49"/>
      <c r="HG25" s="49"/>
      <c r="HH25" s="49"/>
      <c r="HI25" s="49"/>
      <c r="HJ25" s="49"/>
      <c r="HK25" s="49"/>
      <c r="HL25" s="49"/>
      <c r="HM25" s="49"/>
      <c r="HN25" s="49"/>
      <c r="HO25" s="49"/>
      <c r="HP25" s="49"/>
      <c r="HQ25" s="49"/>
      <c r="HR25" s="49"/>
      <c r="HS25" s="49"/>
      <c r="HT25" s="49"/>
      <c r="HU25" s="49"/>
      <c r="HV25" s="49"/>
      <c r="HW25" s="49"/>
      <c r="HX25" s="49"/>
      <c r="HY25" s="49"/>
      <c r="HZ25" s="49"/>
      <c r="IA25" s="49"/>
      <c r="IB25" s="49"/>
      <c r="IC25" s="49"/>
      <c r="ID25" s="49"/>
      <c r="IE25" s="49"/>
      <c r="IF25" s="49"/>
      <c r="IG25" s="49"/>
      <c r="IH25" s="49"/>
      <c r="II25" s="49"/>
      <c r="IJ25" s="49"/>
      <c r="IK25" s="49"/>
      <c r="IL25" s="49"/>
      <c r="IM25" s="49"/>
      <c r="IN25" s="49"/>
      <c r="IO25" s="49"/>
      <c r="IP25" s="49"/>
      <c r="IQ25" s="49"/>
      <c r="IR25" s="49"/>
      <c r="IS25" s="49"/>
      <c r="IT25" s="49"/>
      <c r="IU25" s="49"/>
      <c r="IV25" s="49"/>
    </row>
    <row r="26" spans="1:256" s="198" customFormat="1" ht="12" customHeight="1">
      <c r="A26" s="1252"/>
      <c r="B26" s="200"/>
      <c r="C26" s="486"/>
      <c r="D26" s="203"/>
      <c r="E26" s="203"/>
      <c r="F26" s="203"/>
      <c r="G26" s="203"/>
      <c r="H26" s="175"/>
      <c r="I26" s="1265"/>
      <c r="J26" s="1265"/>
      <c r="K26" s="175"/>
      <c r="L26" s="1265"/>
      <c r="M26" s="1265"/>
      <c r="N26" s="1265"/>
      <c r="O26" s="1265"/>
      <c r="P26" s="1265"/>
      <c r="Q26" s="999"/>
      <c r="R26" s="999"/>
      <c r="S26" s="999"/>
      <c r="T26" s="2801"/>
      <c r="U26" s="233"/>
      <c r="V26" s="49"/>
      <c r="W26" s="218"/>
      <c r="X26" s="218"/>
      <c r="Y26" s="216"/>
      <c r="Z26" s="216"/>
      <c r="AA26" s="215"/>
      <c r="AB26" s="216"/>
      <c r="AC26" s="216"/>
      <c r="AD26" s="239"/>
      <c r="AE26" s="216"/>
      <c r="AF26" s="216"/>
      <c r="AG26" s="216"/>
      <c r="AH26" s="216"/>
      <c r="AI26" s="216"/>
      <c r="AJ26" s="216"/>
      <c r="AK26" s="239"/>
      <c r="AL26" s="216"/>
      <c r="AM26" s="216"/>
      <c r="AN26" s="216"/>
      <c r="AO26" s="216"/>
      <c r="AP26" s="216"/>
      <c r="AQ26" s="216"/>
      <c r="AR26" s="216"/>
      <c r="AS26" s="216"/>
      <c r="AT26" s="216"/>
      <c r="AU26" s="216"/>
      <c r="AV26" s="217"/>
      <c r="AW26" s="355"/>
      <c r="AX26" s="217"/>
      <c r="AY26" s="1559"/>
      <c r="AZ26" s="249"/>
      <c r="BA26" s="221"/>
      <c r="BB26" s="300"/>
      <c r="BC26" s="217"/>
      <c r="BD26" s="392"/>
      <c r="BE26" s="1244"/>
      <c r="BF26" s="249"/>
      <c r="BG26" s="252"/>
      <c r="BH26" s="1469"/>
      <c r="BI26" s="216"/>
      <c r="BJ26" s="1469"/>
      <c r="BK26" s="1459"/>
      <c r="BL26" s="260"/>
      <c r="BM26" s="214"/>
      <c r="BN26" s="293"/>
      <c r="BO26" s="217"/>
      <c r="BP26" s="355"/>
      <c r="BQ26" s="217"/>
      <c r="BR26" s="1193"/>
      <c r="BS26" s="249"/>
      <c r="BT26" s="216"/>
      <c r="BU26" s="1195"/>
      <c r="BV26" s="249"/>
      <c r="BW26" s="216"/>
      <c r="BX26" s="1195"/>
      <c r="BY26" s="249"/>
      <c r="BZ26" s="216"/>
      <c r="CA26" s="1195"/>
      <c r="CB26" s="249"/>
      <c r="CC26" s="216"/>
      <c r="CD26" s="1195"/>
      <c r="CE26" s="249"/>
      <c r="CF26" s="216"/>
      <c r="CG26" s="1195"/>
      <c r="CH26" s="249"/>
      <c r="CI26" s="216"/>
      <c r="CJ26" s="1195"/>
      <c r="CK26" s="249"/>
      <c r="CL26" s="216"/>
      <c r="CM26" s="1194"/>
      <c r="CN26" s="1524"/>
      <c r="CO26" s="217"/>
      <c r="CP26" s="1193"/>
      <c r="CQ26" s="293"/>
      <c r="CR26" s="217"/>
      <c r="CS26" s="305"/>
      <c r="CT26" s="249"/>
      <c r="CU26" s="216"/>
      <c r="CV26" s="1193"/>
      <c r="CW26" s="249"/>
      <c r="CX26" s="216"/>
      <c r="CY26" s="305"/>
      <c r="CZ26" s="249"/>
      <c r="DA26" s="216"/>
      <c r="DB26" s="307"/>
      <c r="DC26" s="328"/>
      <c r="DD26" s="322"/>
      <c r="DE26" s="305"/>
      <c r="DF26" s="249"/>
      <c r="DG26" s="216"/>
      <c r="DH26" s="305"/>
      <c r="DI26" s="249"/>
      <c r="DJ26" s="216"/>
      <c r="DK26" s="309"/>
      <c r="DL26" s="293"/>
      <c r="DM26" s="326"/>
      <c r="DN26" s="1256"/>
      <c r="DO26" s="214"/>
      <c r="DP26" s="1257"/>
      <c r="DQ26" s="1258"/>
      <c r="DR26" s="305"/>
      <c r="DS26" s="249"/>
      <c r="DT26" s="216"/>
      <c r="DU26" s="2518"/>
      <c r="DV26" s="1030"/>
      <c r="DW26" s="2519"/>
      <c r="DX26" s="305"/>
      <c r="DY26" s="249"/>
      <c r="DZ26" s="221"/>
      <c r="EA26" s="388"/>
      <c r="EB26" s="249"/>
      <c r="EC26" s="216"/>
      <c r="ED26" s="1461"/>
      <c r="EE26" s="249"/>
      <c r="EF26" s="216"/>
      <c r="EG26" s="355"/>
      <c r="EH26" s="1425"/>
      <c r="EI26" s="1470"/>
      <c r="EJ26" s="249"/>
      <c r="EK26" s="221"/>
      <c r="EL26" s="313"/>
      <c r="EM26" s="249"/>
      <c r="EN26" s="221"/>
      <c r="EO26" s="313"/>
      <c r="EP26" s="249"/>
      <c r="EQ26" s="216"/>
      <c r="ER26" s="313"/>
      <c r="ES26" s="249"/>
      <c r="ET26" s="216"/>
      <c r="EU26" s="313"/>
      <c r="EV26" s="249"/>
      <c r="EW26" s="216"/>
      <c r="EX26" s="2505"/>
      <c r="EY26" s="249"/>
      <c r="EZ26" s="221"/>
      <c r="FA26" s="313"/>
      <c r="FB26" s="249"/>
      <c r="FC26" s="221"/>
      <c r="FD26" s="313"/>
      <c r="FE26" s="249"/>
      <c r="FF26" s="221"/>
      <c r="FG26" s="313"/>
      <c r="FH26" s="249"/>
      <c r="FI26" s="216"/>
      <c r="FJ26" s="1435"/>
      <c r="FK26" s="216"/>
      <c r="FL26" s="1268"/>
      <c r="FM26" s="1655"/>
      <c r="FN26" s="1268"/>
      <c r="FO26" s="1655"/>
      <c r="FP26" s="1268"/>
      <c r="FQ26" s="1656"/>
      <c r="FR26" s="249"/>
      <c r="FS26" s="216"/>
      <c r="FT26" s="1657"/>
      <c r="FU26" s="1658"/>
      <c r="FV26" s="242"/>
      <c r="FW26" s="2522"/>
      <c r="FX26" s="2523"/>
      <c r="FY26" s="336"/>
      <c r="FZ26" s="223"/>
      <c r="GA26" s="338"/>
      <c r="GB26" s="204"/>
      <c r="GC26" s="339"/>
      <c r="GD26" s="342"/>
      <c r="GE26" s="199"/>
      <c r="GF26" s="199"/>
      <c r="GG26" s="199"/>
      <c r="GH26" s="199"/>
      <c r="GI26" s="199"/>
      <c r="GJ26" s="199"/>
      <c r="GK26" s="199"/>
      <c r="GL26" s="49"/>
      <c r="GM26" s="28"/>
      <c r="GN26" s="28"/>
      <c r="GO26" s="322"/>
      <c r="GP26" s="1190"/>
      <c r="GQ26" s="1190"/>
      <c r="GR26" s="49"/>
      <c r="GS26" s="2879"/>
      <c r="GT26" s="2880"/>
      <c r="GU26" s="2881"/>
      <c r="GV26" s="49"/>
      <c r="GW26" s="49"/>
      <c r="GX26" s="49"/>
      <c r="GY26" s="49"/>
      <c r="GZ26" s="49"/>
      <c r="HA26" s="49"/>
      <c r="HB26" s="49"/>
      <c r="HC26" s="49"/>
      <c r="HD26" s="49"/>
      <c r="HE26" s="49"/>
      <c r="HF26" s="49"/>
      <c r="HG26" s="49"/>
      <c r="HH26" s="49"/>
      <c r="HI26" s="49"/>
      <c r="HJ26" s="49"/>
      <c r="HK26" s="49"/>
      <c r="HL26" s="49"/>
      <c r="HM26" s="49"/>
      <c r="HN26" s="49"/>
      <c r="HO26" s="49"/>
      <c r="HP26" s="49"/>
      <c r="HQ26" s="49"/>
      <c r="HR26" s="49"/>
      <c r="HS26" s="49"/>
      <c r="HT26" s="49"/>
      <c r="HU26" s="49"/>
      <c r="HV26" s="49"/>
      <c r="HW26" s="49"/>
      <c r="HX26" s="49"/>
      <c r="HY26" s="49"/>
      <c r="HZ26" s="49"/>
      <c r="IA26" s="49"/>
      <c r="IB26" s="49"/>
      <c r="IC26" s="49"/>
      <c r="ID26" s="49"/>
      <c r="IE26" s="49"/>
      <c r="IF26" s="49"/>
      <c r="IG26" s="49"/>
      <c r="IH26" s="49"/>
      <c r="II26" s="49"/>
      <c r="IJ26" s="49"/>
      <c r="IK26" s="49"/>
      <c r="IL26" s="49"/>
      <c r="IM26" s="49"/>
      <c r="IN26" s="49"/>
      <c r="IO26" s="49"/>
      <c r="IP26" s="49"/>
      <c r="IQ26" s="49"/>
      <c r="IR26" s="49"/>
      <c r="IS26" s="49"/>
      <c r="IT26" s="49"/>
      <c r="IU26" s="49"/>
      <c r="IV26" s="49"/>
    </row>
    <row r="27" spans="1:256" s="198" customFormat="1" ht="12" customHeight="1">
      <c r="A27" s="1252"/>
      <c r="B27" s="200"/>
      <c r="C27" s="486"/>
      <c r="D27" s="203"/>
      <c r="E27" s="203"/>
      <c r="F27" s="203"/>
      <c r="G27" s="203"/>
      <c r="H27" s="175"/>
      <c r="I27" s="1265"/>
      <c r="J27" s="1265"/>
      <c r="K27" s="175"/>
      <c r="L27" s="1265"/>
      <c r="M27" s="1265"/>
      <c r="N27" s="1265"/>
      <c r="O27" s="1265"/>
      <c r="P27" s="1265"/>
      <c r="Q27" s="999"/>
      <c r="R27" s="999"/>
      <c r="S27" s="999"/>
      <c r="T27" s="2801"/>
      <c r="U27" s="233"/>
      <c r="V27" s="49"/>
      <c r="W27" s="218"/>
      <c r="X27" s="218"/>
      <c r="Y27" s="216"/>
      <c r="Z27" s="216"/>
      <c r="AA27" s="215"/>
      <c r="AB27" s="216"/>
      <c r="AC27" s="216"/>
      <c r="AD27" s="239"/>
      <c r="AE27" s="216"/>
      <c r="AF27" s="216"/>
      <c r="AG27" s="216"/>
      <c r="AH27" s="216"/>
      <c r="AI27" s="216"/>
      <c r="AJ27" s="216"/>
      <c r="AK27" s="239"/>
      <c r="AL27" s="216"/>
      <c r="AM27" s="216"/>
      <c r="AN27" s="216"/>
      <c r="AO27" s="216"/>
      <c r="AP27" s="216"/>
      <c r="AQ27" s="216"/>
      <c r="AR27" s="216"/>
      <c r="AS27" s="216"/>
      <c r="AT27" s="216"/>
      <c r="AU27" s="216"/>
      <c r="AV27" s="217"/>
      <c r="AW27" s="355"/>
      <c r="AX27" s="217"/>
      <c r="AY27" s="1559"/>
      <c r="AZ27" s="249"/>
      <c r="BA27" s="221"/>
      <c r="BB27" s="300"/>
      <c r="BC27" s="217"/>
      <c r="BD27" s="392"/>
      <c r="BE27" s="1244"/>
      <c r="BF27" s="249"/>
      <c r="BG27" s="252"/>
      <c r="BH27" s="1469"/>
      <c r="BI27" s="216"/>
      <c r="BJ27" s="1469"/>
      <c r="BK27" s="1459"/>
      <c r="BL27" s="260"/>
      <c r="BM27" s="214"/>
      <c r="BN27" s="293"/>
      <c r="BO27" s="217"/>
      <c r="BP27" s="355"/>
      <c r="BQ27" s="217"/>
      <c r="BR27" s="1193"/>
      <c r="BS27" s="249"/>
      <c r="BT27" s="216"/>
      <c r="BU27" s="1195"/>
      <c r="BV27" s="249"/>
      <c r="BW27" s="216"/>
      <c r="BX27" s="1195"/>
      <c r="BY27" s="249"/>
      <c r="BZ27" s="216"/>
      <c r="CA27" s="1195"/>
      <c r="CB27" s="249"/>
      <c r="CC27" s="216"/>
      <c r="CD27" s="1195"/>
      <c r="CE27" s="249"/>
      <c r="CF27" s="216"/>
      <c r="CG27" s="1195"/>
      <c r="CH27" s="249"/>
      <c r="CI27" s="216"/>
      <c r="CJ27" s="1195"/>
      <c r="CK27" s="249"/>
      <c r="CL27" s="216"/>
      <c r="CM27" s="1194"/>
      <c r="CN27" s="1524"/>
      <c r="CO27" s="217"/>
      <c r="CP27" s="1193"/>
      <c r="CQ27" s="293"/>
      <c r="CR27" s="217"/>
      <c r="CS27" s="305"/>
      <c r="CT27" s="249"/>
      <c r="CU27" s="216"/>
      <c r="CV27" s="1193"/>
      <c r="CW27" s="249"/>
      <c r="CX27" s="216"/>
      <c r="CY27" s="305"/>
      <c r="CZ27" s="249"/>
      <c r="DA27" s="216"/>
      <c r="DB27" s="307"/>
      <c r="DC27" s="328"/>
      <c r="DD27" s="322"/>
      <c r="DE27" s="305"/>
      <c r="DF27" s="249"/>
      <c r="DG27" s="216"/>
      <c r="DH27" s="305"/>
      <c r="DI27" s="249"/>
      <c r="DJ27" s="216"/>
      <c r="DK27" s="309"/>
      <c r="DL27" s="293"/>
      <c r="DM27" s="326"/>
      <c r="DN27" s="1256"/>
      <c r="DO27" s="214"/>
      <c r="DP27" s="1257"/>
      <c r="DQ27" s="1258"/>
      <c r="DR27" s="305"/>
      <c r="DS27" s="249"/>
      <c r="DT27" s="216"/>
      <c r="DU27" s="2518"/>
      <c r="DV27" s="1030"/>
      <c r="DW27" s="2519"/>
      <c r="DX27" s="305"/>
      <c r="DY27" s="249"/>
      <c r="DZ27" s="221"/>
      <c r="EA27" s="388"/>
      <c r="EB27" s="249"/>
      <c r="EC27" s="216"/>
      <c r="ED27" s="1461"/>
      <c r="EE27" s="249"/>
      <c r="EF27" s="216"/>
      <c r="EG27" s="355"/>
      <c r="EH27" s="1425"/>
      <c r="EI27" s="1470"/>
      <c r="EJ27" s="249"/>
      <c r="EK27" s="221"/>
      <c r="EL27" s="313"/>
      <c r="EM27" s="249"/>
      <c r="EN27" s="221"/>
      <c r="EO27" s="313"/>
      <c r="EP27" s="249"/>
      <c r="EQ27" s="216"/>
      <c r="ER27" s="313"/>
      <c r="ES27" s="249"/>
      <c r="ET27" s="216"/>
      <c r="EU27" s="313"/>
      <c r="EV27" s="249"/>
      <c r="EW27" s="216"/>
      <c r="EX27" s="2505"/>
      <c r="EY27" s="249"/>
      <c r="EZ27" s="221"/>
      <c r="FA27" s="313"/>
      <c r="FB27" s="249"/>
      <c r="FC27" s="221"/>
      <c r="FD27" s="313"/>
      <c r="FE27" s="249"/>
      <c r="FF27" s="221"/>
      <c r="FG27" s="313"/>
      <c r="FH27" s="249"/>
      <c r="FI27" s="216"/>
      <c r="FJ27" s="1435"/>
      <c r="FK27" s="216"/>
      <c r="FL27" s="1268"/>
      <c r="FM27" s="1655"/>
      <c r="FN27" s="1268"/>
      <c r="FO27" s="1655"/>
      <c r="FP27" s="1268"/>
      <c r="FQ27" s="1656"/>
      <c r="FR27" s="249"/>
      <c r="FS27" s="216"/>
      <c r="FT27" s="1657"/>
      <c r="FU27" s="1658"/>
      <c r="FV27" s="242"/>
      <c r="FW27" s="2522"/>
      <c r="FX27" s="2523"/>
      <c r="FY27" s="336"/>
      <c r="FZ27" s="223"/>
      <c r="GA27" s="338"/>
      <c r="GB27" s="204"/>
      <c r="GC27" s="339"/>
      <c r="GD27" s="342"/>
      <c r="GE27" s="199"/>
      <c r="GF27" s="199"/>
      <c r="GG27" s="199"/>
      <c r="GH27" s="199"/>
      <c r="GI27" s="199"/>
      <c r="GJ27" s="199"/>
      <c r="GK27" s="199"/>
      <c r="GL27" s="49"/>
      <c r="GM27" s="28"/>
      <c r="GN27" s="28"/>
      <c r="GO27" s="322"/>
      <c r="GP27" s="1190"/>
      <c r="GQ27" s="1190"/>
      <c r="GR27" s="49"/>
      <c r="GS27" s="2879"/>
      <c r="GT27" s="2880"/>
      <c r="GU27" s="2881"/>
      <c r="GV27" s="49"/>
      <c r="GW27" s="49"/>
      <c r="GX27" s="49"/>
      <c r="GY27" s="49"/>
      <c r="GZ27" s="49"/>
      <c r="HA27" s="49"/>
      <c r="HB27" s="49"/>
      <c r="HC27" s="49"/>
      <c r="HD27" s="49"/>
      <c r="HE27" s="49"/>
      <c r="HF27" s="49"/>
      <c r="HG27" s="49"/>
      <c r="HH27" s="49"/>
      <c r="HI27" s="49"/>
      <c r="HJ27" s="49"/>
      <c r="HK27" s="49"/>
      <c r="HL27" s="49"/>
      <c r="HM27" s="49"/>
      <c r="HN27" s="49"/>
      <c r="HO27" s="49"/>
      <c r="HP27" s="49"/>
      <c r="HQ27" s="49"/>
      <c r="HR27" s="49"/>
      <c r="HS27" s="49"/>
      <c r="HT27" s="49"/>
      <c r="HU27" s="49"/>
      <c r="HV27" s="49"/>
      <c r="HW27" s="49"/>
      <c r="HX27" s="49"/>
      <c r="HY27" s="49"/>
      <c r="HZ27" s="49"/>
      <c r="IA27" s="49"/>
      <c r="IB27" s="49"/>
      <c r="IC27" s="49"/>
      <c r="ID27" s="49"/>
      <c r="IE27" s="49"/>
      <c r="IF27" s="49"/>
      <c r="IG27" s="49"/>
      <c r="IH27" s="49"/>
      <c r="II27" s="49"/>
      <c r="IJ27" s="49"/>
      <c r="IK27" s="49"/>
      <c r="IL27" s="49"/>
      <c r="IM27" s="49"/>
      <c r="IN27" s="49"/>
      <c r="IO27" s="49"/>
      <c r="IP27" s="49"/>
      <c r="IQ27" s="49"/>
      <c r="IR27" s="49"/>
      <c r="IS27" s="49"/>
      <c r="IT27" s="49"/>
      <c r="IU27" s="49"/>
      <c r="IV27" s="49"/>
    </row>
    <row r="28" spans="1:256" s="198" customFormat="1" ht="12" customHeight="1">
      <c r="A28" s="1252"/>
      <c r="B28" s="200"/>
      <c r="C28" s="486"/>
      <c r="D28" s="203"/>
      <c r="E28" s="203"/>
      <c r="F28" s="203"/>
      <c r="G28" s="203"/>
      <c r="H28" s="175"/>
      <c r="I28" s="1265"/>
      <c r="J28" s="1265"/>
      <c r="K28" s="175"/>
      <c r="L28" s="1265"/>
      <c r="M28" s="1265"/>
      <c r="N28" s="1265"/>
      <c r="O28" s="1265"/>
      <c r="P28" s="1265"/>
      <c r="Q28" s="999"/>
      <c r="R28" s="999"/>
      <c r="S28" s="999"/>
      <c r="T28" s="2801"/>
      <c r="U28" s="233"/>
      <c r="V28" s="49"/>
      <c r="W28" s="218"/>
      <c r="X28" s="218"/>
      <c r="Y28" s="216"/>
      <c r="Z28" s="216"/>
      <c r="AA28" s="215"/>
      <c r="AB28" s="216"/>
      <c r="AC28" s="216"/>
      <c r="AD28" s="239"/>
      <c r="AE28" s="216"/>
      <c r="AF28" s="216"/>
      <c r="AG28" s="216"/>
      <c r="AH28" s="216"/>
      <c r="AI28" s="216"/>
      <c r="AJ28" s="216"/>
      <c r="AK28" s="239"/>
      <c r="AL28" s="216"/>
      <c r="AM28" s="216"/>
      <c r="AN28" s="216"/>
      <c r="AO28" s="216"/>
      <c r="AP28" s="216"/>
      <c r="AQ28" s="216"/>
      <c r="AR28" s="216"/>
      <c r="AS28" s="216"/>
      <c r="AT28" s="216"/>
      <c r="AU28" s="216"/>
      <c r="AV28" s="217"/>
      <c r="AW28" s="355"/>
      <c r="AX28" s="217"/>
      <c r="AY28" s="1559"/>
      <c r="AZ28" s="249"/>
      <c r="BA28" s="221"/>
      <c r="BB28" s="300"/>
      <c r="BC28" s="217"/>
      <c r="BD28" s="392"/>
      <c r="BE28" s="1244"/>
      <c r="BF28" s="249"/>
      <c r="BG28" s="252"/>
      <c r="BH28" s="1469"/>
      <c r="BI28" s="216"/>
      <c r="BJ28" s="1469"/>
      <c r="BK28" s="1459"/>
      <c r="BL28" s="260"/>
      <c r="BM28" s="214"/>
      <c r="BN28" s="293"/>
      <c r="BO28" s="217"/>
      <c r="BP28" s="355"/>
      <c r="BQ28" s="217"/>
      <c r="BR28" s="1193"/>
      <c r="BS28" s="249"/>
      <c r="BT28" s="216"/>
      <c r="BU28" s="1195"/>
      <c r="BV28" s="249"/>
      <c r="BW28" s="216"/>
      <c r="BX28" s="1195"/>
      <c r="BY28" s="249"/>
      <c r="BZ28" s="216"/>
      <c r="CA28" s="1195"/>
      <c r="CB28" s="249"/>
      <c r="CC28" s="216"/>
      <c r="CD28" s="1195"/>
      <c r="CE28" s="249"/>
      <c r="CF28" s="216"/>
      <c r="CG28" s="1195"/>
      <c r="CH28" s="249"/>
      <c r="CI28" s="216"/>
      <c r="CJ28" s="1195"/>
      <c r="CK28" s="249"/>
      <c r="CL28" s="216"/>
      <c r="CM28" s="1194"/>
      <c r="CN28" s="1524"/>
      <c r="CO28" s="217"/>
      <c r="CP28" s="1193"/>
      <c r="CQ28" s="293"/>
      <c r="CR28" s="217"/>
      <c r="CS28" s="305"/>
      <c r="CT28" s="249"/>
      <c r="CU28" s="216"/>
      <c r="CV28" s="1193"/>
      <c r="CW28" s="249"/>
      <c r="CX28" s="216"/>
      <c r="CY28" s="305"/>
      <c r="CZ28" s="249"/>
      <c r="DA28" s="216"/>
      <c r="DB28" s="307"/>
      <c r="DC28" s="328"/>
      <c r="DD28" s="322"/>
      <c r="DE28" s="305"/>
      <c r="DF28" s="249"/>
      <c r="DG28" s="216"/>
      <c r="DH28" s="305"/>
      <c r="DI28" s="249"/>
      <c r="DJ28" s="216"/>
      <c r="DK28" s="309"/>
      <c r="DL28" s="293"/>
      <c r="DM28" s="326"/>
      <c r="DN28" s="1256"/>
      <c r="DO28" s="214"/>
      <c r="DP28" s="1257"/>
      <c r="DQ28" s="1258"/>
      <c r="DR28" s="305"/>
      <c r="DS28" s="249"/>
      <c r="DT28" s="216"/>
      <c r="DU28" s="2518"/>
      <c r="DV28" s="1030"/>
      <c r="DW28" s="2519"/>
      <c r="DX28" s="305"/>
      <c r="DY28" s="249"/>
      <c r="DZ28" s="221"/>
      <c r="EA28" s="388"/>
      <c r="EB28" s="249"/>
      <c r="EC28" s="216"/>
      <c r="ED28" s="1461"/>
      <c r="EE28" s="249"/>
      <c r="EF28" s="216"/>
      <c r="EG28" s="355"/>
      <c r="EH28" s="1425"/>
      <c r="EI28" s="1470"/>
      <c r="EJ28" s="249"/>
      <c r="EK28" s="221"/>
      <c r="EL28" s="313"/>
      <c r="EM28" s="249"/>
      <c r="EN28" s="221"/>
      <c r="EO28" s="313"/>
      <c r="EP28" s="249"/>
      <c r="EQ28" s="216"/>
      <c r="ER28" s="313"/>
      <c r="ES28" s="249"/>
      <c r="ET28" s="216"/>
      <c r="EU28" s="313"/>
      <c r="EV28" s="249"/>
      <c r="EW28" s="216"/>
      <c r="EX28" s="2505"/>
      <c r="EY28" s="249"/>
      <c r="EZ28" s="221"/>
      <c r="FA28" s="313"/>
      <c r="FB28" s="249"/>
      <c r="FC28" s="221"/>
      <c r="FD28" s="313"/>
      <c r="FE28" s="249"/>
      <c r="FF28" s="221"/>
      <c r="FG28" s="313"/>
      <c r="FH28" s="249"/>
      <c r="FI28" s="216"/>
      <c r="FJ28" s="1435"/>
      <c r="FK28" s="216"/>
      <c r="FL28" s="1268"/>
      <c r="FM28" s="1655"/>
      <c r="FN28" s="1268"/>
      <c r="FO28" s="1655"/>
      <c r="FP28" s="1268"/>
      <c r="FQ28" s="1656"/>
      <c r="FR28" s="249"/>
      <c r="FS28" s="216"/>
      <c r="FT28" s="1657"/>
      <c r="FU28" s="1658"/>
      <c r="FV28" s="242"/>
      <c r="FW28" s="2522"/>
      <c r="FX28" s="2523"/>
      <c r="FY28" s="336"/>
      <c r="FZ28" s="223"/>
      <c r="GA28" s="338"/>
      <c r="GB28" s="204"/>
      <c r="GC28" s="339"/>
      <c r="GD28" s="342"/>
      <c r="GE28" s="199"/>
      <c r="GF28" s="199"/>
      <c r="GG28" s="199"/>
      <c r="GH28" s="199"/>
      <c r="GI28" s="199"/>
      <c r="GJ28" s="199"/>
      <c r="GK28" s="199"/>
      <c r="GL28" s="49"/>
      <c r="GM28" s="28"/>
      <c r="GN28" s="28"/>
      <c r="GO28" s="322"/>
      <c r="GP28" s="1190"/>
      <c r="GQ28" s="1190"/>
      <c r="GR28" s="49"/>
      <c r="GS28" s="2879"/>
      <c r="GT28" s="2880"/>
      <c r="GU28" s="2881"/>
      <c r="GV28" s="49"/>
      <c r="GW28" s="49"/>
      <c r="GX28" s="49"/>
      <c r="GY28" s="49"/>
      <c r="GZ28" s="49"/>
      <c r="HA28" s="49"/>
      <c r="HB28" s="49"/>
      <c r="HC28" s="49"/>
      <c r="HD28" s="49"/>
      <c r="HE28" s="49"/>
      <c r="HF28" s="49"/>
      <c r="HG28" s="49"/>
      <c r="HH28" s="49"/>
      <c r="HI28" s="49"/>
      <c r="HJ28" s="49"/>
      <c r="HK28" s="49"/>
      <c r="HL28" s="49"/>
      <c r="HM28" s="49"/>
      <c r="HN28" s="49"/>
      <c r="HO28" s="49"/>
      <c r="HP28" s="49"/>
      <c r="HQ28" s="49"/>
      <c r="HR28" s="49"/>
      <c r="HS28" s="49"/>
      <c r="HT28" s="49"/>
      <c r="HU28" s="49"/>
      <c r="HV28" s="49"/>
      <c r="HW28" s="49"/>
      <c r="HX28" s="49"/>
      <c r="HY28" s="49"/>
      <c r="HZ28" s="49"/>
      <c r="IA28" s="49"/>
      <c r="IB28" s="49"/>
      <c r="IC28" s="49"/>
      <c r="ID28" s="49"/>
      <c r="IE28" s="49"/>
      <c r="IF28" s="49"/>
      <c r="IG28" s="49"/>
      <c r="IH28" s="49"/>
      <c r="II28" s="49"/>
      <c r="IJ28" s="49"/>
      <c r="IK28" s="49"/>
      <c r="IL28" s="49"/>
      <c r="IM28" s="49"/>
      <c r="IN28" s="49"/>
      <c r="IO28" s="49"/>
      <c r="IP28" s="49"/>
      <c r="IQ28" s="49"/>
      <c r="IR28" s="49"/>
      <c r="IS28" s="49"/>
      <c r="IT28" s="49"/>
      <c r="IU28" s="49"/>
      <c r="IV28" s="49"/>
    </row>
    <row r="29" spans="1:256" s="198" customFormat="1" ht="12" customHeight="1">
      <c r="A29" s="1252"/>
      <c r="B29" s="200"/>
      <c r="C29" s="486"/>
      <c r="D29" s="203"/>
      <c r="E29" s="203"/>
      <c r="F29" s="203"/>
      <c r="G29" s="203"/>
      <c r="H29" s="175"/>
      <c r="I29" s="1265"/>
      <c r="J29" s="1265"/>
      <c r="K29" s="175"/>
      <c r="L29" s="1265"/>
      <c r="M29" s="1265"/>
      <c r="N29" s="1265"/>
      <c r="O29" s="1265"/>
      <c r="P29" s="1265"/>
      <c r="Q29" s="999"/>
      <c r="R29" s="999"/>
      <c r="S29" s="999"/>
      <c r="T29" s="2801"/>
      <c r="U29" s="233"/>
      <c r="V29" s="49"/>
      <c r="W29" s="218"/>
      <c r="X29" s="218"/>
      <c r="Y29" s="216"/>
      <c r="Z29" s="216"/>
      <c r="AA29" s="215"/>
      <c r="AB29" s="216"/>
      <c r="AC29" s="216"/>
      <c r="AD29" s="239"/>
      <c r="AE29" s="216"/>
      <c r="AF29" s="216"/>
      <c r="AG29" s="216"/>
      <c r="AH29" s="216"/>
      <c r="AI29" s="216"/>
      <c r="AJ29" s="216"/>
      <c r="AK29" s="239"/>
      <c r="AL29" s="216"/>
      <c r="AM29" s="216"/>
      <c r="AN29" s="216"/>
      <c r="AO29" s="216"/>
      <c r="AP29" s="216"/>
      <c r="AQ29" s="216"/>
      <c r="AR29" s="216"/>
      <c r="AS29" s="216"/>
      <c r="AT29" s="216"/>
      <c r="AU29" s="216"/>
      <c r="AV29" s="217"/>
      <c r="AW29" s="355"/>
      <c r="AX29" s="217"/>
      <c r="AY29" s="1559"/>
      <c r="AZ29" s="249"/>
      <c r="BA29" s="221"/>
      <c r="BB29" s="300"/>
      <c r="BC29" s="217"/>
      <c r="BD29" s="392"/>
      <c r="BE29" s="1244"/>
      <c r="BF29" s="249"/>
      <c r="BG29" s="252"/>
      <c r="BH29" s="1469"/>
      <c r="BI29" s="216"/>
      <c r="BJ29" s="1469"/>
      <c r="BK29" s="1459"/>
      <c r="BL29" s="260"/>
      <c r="BM29" s="214"/>
      <c r="BN29" s="293"/>
      <c r="BO29" s="217"/>
      <c r="BP29" s="355"/>
      <c r="BQ29" s="217"/>
      <c r="BR29" s="1193"/>
      <c r="BS29" s="249"/>
      <c r="BT29" s="216"/>
      <c r="BU29" s="1195"/>
      <c r="BV29" s="249"/>
      <c r="BW29" s="216"/>
      <c r="BX29" s="1195"/>
      <c r="BY29" s="249"/>
      <c r="BZ29" s="216"/>
      <c r="CA29" s="1195"/>
      <c r="CB29" s="249"/>
      <c r="CC29" s="216"/>
      <c r="CD29" s="1195"/>
      <c r="CE29" s="249"/>
      <c r="CF29" s="216"/>
      <c r="CG29" s="1195"/>
      <c r="CH29" s="249"/>
      <c r="CI29" s="216"/>
      <c r="CJ29" s="1195"/>
      <c r="CK29" s="249"/>
      <c r="CL29" s="216"/>
      <c r="CM29" s="1194"/>
      <c r="CN29" s="1524"/>
      <c r="CO29" s="217"/>
      <c r="CP29" s="1193"/>
      <c r="CQ29" s="293"/>
      <c r="CR29" s="217"/>
      <c r="CS29" s="305"/>
      <c r="CT29" s="249"/>
      <c r="CU29" s="216"/>
      <c r="CV29" s="1193"/>
      <c r="CW29" s="249"/>
      <c r="CX29" s="216"/>
      <c r="CY29" s="305"/>
      <c r="CZ29" s="249"/>
      <c r="DA29" s="216"/>
      <c r="DB29" s="307"/>
      <c r="DC29" s="328"/>
      <c r="DD29" s="322"/>
      <c r="DE29" s="305"/>
      <c r="DF29" s="249"/>
      <c r="DG29" s="216"/>
      <c r="DH29" s="305"/>
      <c r="DI29" s="249"/>
      <c r="DJ29" s="216"/>
      <c r="DK29" s="309"/>
      <c r="DL29" s="293"/>
      <c r="DM29" s="326"/>
      <c r="DN29" s="1256"/>
      <c r="DO29" s="214"/>
      <c r="DP29" s="1257"/>
      <c r="DQ29" s="1258"/>
      <c r="DR29" s="305"/>
      <c r="DS29" s="249"/>
      <c r="DT29" s="216"/>
      <c r="DU29" s="2518"/>
      <c r="DV29" s="1030"/>
      <c r="DW29" s="2519"/>
      <c r="DX29" s="305"/>
      <c r="DY29" s="249"/>
      <c r="DZ29" s="221"/>
      <c r="EA29" s="388"/>
      <c r="EB29" s="249"/>
      <c r="EC29" s="216"/>
      <c r="ED29" s="1461"/>
      <c r="EE29" s="249"/>
      <c r="EF29" s="216"/>
      <c r="EG29" s="355"/>
      <c r="EH29" s="1425"/>
      <c r="EI29" s="1470"/>
      <c r="EJ29" s="249"/>
      <c r="EK29" s="221"/>
      <c r="EL29" s="313"/>
      <c r="EM29" s="249"/>
      <c r="EN29" s="221"/>
      <c r="EO29" s="313"/>
      <c r="EP29" s="249"/>
      <c r="EQ29" s="216"/>
      <c r="ER29" s="313"/>
      <c r="ES29" s="249"/>
      <c r="ET29" s="216"/>
      <c r="EU29" s="313"/>
      <c r="EV29" s="249"/>
      <c r="EW29" s="216"/>
      <c r="EX29" s="2505"/>
      <c r="EY29" s="249"/>
      <c r="EZ29" s="221"/>
      <c r="FA29" s="313"/>
      <c r="FB29" s="249"/>
      <c r="FC29" s="221"/>
      <c r="FD29" s="313"/>
      <c r="FE29" s="249"/>
      <c r="FF29" s="221"/>
      <c r="FG29" s="313"/>
      <c r="FH29" s="249"/>
      <c r="FI29" s="216"/>
      <c r="FJ29" s="1435"/>
      <c r="FK29" s="216"/>
      <c r="FL29" s="1268"/>
      <c r="FM29" s="1655"/>
      <c r="FN29" s="1268"/>
      <c r="FO29" s="1655"/>
      <c r="FP29" s="1268"/>
      <c r="FQ29" s="1656"/>
      <c r="FR29" s="249"/>
      <c r="FS29" s="216"/>
      <c r="FT29" s="1657"/>
      <c r="FU29" s="1658"/>
      <c r="FV29" s="242"/>
      <c r="FW29" s="2522"/>
      <c r="FX29" s="2523"/>
      <c r="FY29" s="336"/>
      <c r="FZ29" s="223"/>
      <c r="GA29" s="338"/>
      <c r="GB29" s="204"/>
      <c r="GC29" s="339"/>
      <c r="GD29" s="342"/>
      <c r="GE29" s="199"/>
      <c r="GF29" s="199"/>
      <c r="GG29" s="199"/>
      <c r="GH29" s="199"/>
      <c r="GI29" s="199"/>
      <c r="GJ29" s="199"/>
      <c r="GK29" s="199"/>
      <c r="GL29" s="49"/>
      <c r="GM29" s="28"/>
      <c r="GN29" s="28"/>
      <c r="GO29" s="322"/>
      <c r="GP29" s="1190"/>
      <c r="GQ29" s="1190"/>
      <c r="GR29" s="49"/>
      <c r="GS29" s="2879"/>
      <c r="GT29" s="2880"/>
      <c r="GU29" s="2881"/>
      <c r="GV29" s="49"/>
      <c r="GW29" s="49"/>
      <c r="GX29" s="49"/>
      <c r="GY29" s="49"/>
      <c r="GZ29" s="49"/>
      <c r="HA29" s="49"/>
      <c r="HB29" s="49"/>
      <c r="HC29" s="49"/>
      <c r="HD29" s="49"/>
      <c r="HE29" s="49"/>
      <c r="HF29" s="49"/>
      <c r="HG29" s="49"/>
      <c r="HH29" s="49"/>
      <c r="HI29" s="49"/>
      <c r="HJ29" s="49"/>
      <c r="HK29" s="49"/>
      <c r="HL29" s="49"/>
      <c r="HM29" s="49"/>
      <c r="HN29" s="49"/>
      <c r="HO29" s="49"/>
      <c r="HP29" s="49"/>
      <c r="HQ29" s="49"/>
      <c r="HR29" s="49"/>
      <c r="HS29" s="49"/>
      <c r="HT29" s="49"/>
      <c r="HU29" s="49"/>
      <c r="HV29" s="49"/>
      <c r="HW29" s="49"/>
      <c r="HX29" s="49"/>
      <c r="HY29" s="49"/>
      <c r="HZ29" s="49"/>
      <c r="IA29" s="49"/>
      <c r="IB29" s="49"/>
      <c r="IC29" s="49"/>
      <c r="ID29" s="49"/>
      <c r="IE29" s="49"/>
      <c r="IF29" s="49"/>
      <c r="IG29" s="49"/>
      <c r="IH29" s="49"/>
      <c r="II29" s="49"/>
      <c r="IJ29" s="49"/>
      <c r="IK29" s="49"/>
      <c r="IL29" s="49"/>
      <c r="IM29" s="49"/>
      <c r="IN29" s="49"/>
      <c r="IO29" s="49"/>
      <c r="IP29" s="49"/>
      <c r="IQ29" s="49"/>
      <c r="IR29" s="49"/>
      <c r="IS29" s="49"/>
      <c r="IT29" s="49"/>
      <c r="IU29" s="49"/>
      <c r="IV29" s="49"/>
    </row>
    <row r="30" spans="1:256" s="198" customFormat="1" ht="12" customHeight="1">
      <c r="A30" s="1252"/>
      <c r="B30" s="200"/>
      <c r="C30" s="486"/>
      <c r="D30" s="203"/>
      <c r="E30" s="203"/>
      <c r="F30" s="203"/>
      <c r="G30" s="203"/>
      <c r="H30" s="175"/>
      <c r="I30" s="1265"/>
      <c r="J30" s="1265"/>
      <c r="K30" s="175"/>
      <c r="L30" s="1265"/>
      <c r="M30" s="1265"/>
      <c r="N30" s="1265"/>
      <c r="O30" s="1265"/>
      <c r="P30" s="1265"/>
      <c r="Q30" s="999"/>
      <c r="R30" s="999"/>
      <c r="S30" s="999"/>
      <c r="T30" s="2801"/>
      <c r="U30" s="233"/>
      <c r="V30" s="49"/>
      <c r="W30" s="218"/>
      <c r="X30" s="218"/>
      <c r="Y30" s="216"/>
      <c r="Z30" s="216"/>
      <c r="AA30" s="215"/>
      <c r="AB30" s="216"/>
      <c r="AC30" s="216"/>
      <c r="AD30" s="239"/>
      <c r="AE30" s="216"/>
      <c r="AF30" s="216"/>
      <c r="AG30" s="216"/>
      <c r="AH30" s="216"/>
      <c r="AI30" s="216"/>
      <c r="AJ30" s="216"/>
      <c r="AK30" s="239"/>
      <c r="AL30" s="216"/>
      <c r="AM30" s="216"/>
      <c r="AN30" s="216"/>
      <c r="AO30" s="216"/>
      <c r="AP30" s="216"/>
      <c r="AQ30" s="216"/>
      <c r="AR30" s="216"/>
      <c r="AS30" s="216"/>
      <c r="AT30" s="216"/>
      <c r="AU30" s="216"/>
      <c r="AV30" s="217"/>
      <c r="AW30" s="355"/>
      <c r="AX30" s="217"/>
      <c r="AY30" s="1559"/>
      <c r="AZ30" s="249"/>
      <c r="BA30" s="221"/>
      <c r="BB30" s="300"/>
      <c r="BC30" s="217"/>
      <c r="BD30" s="392"/>
      <c r="BE30" s="1244"/>
      <c r="BF30" s="249"/>
      <c r="BG30" s="252"/>
      <c r="BH30" s="1469"/>
      <c r="BI30" s="216"/>
      <c r="BJ30" s="1469"/>
      <c r="BK30" s="1459"/>
      <c r="BL30" s="260"/>
      <c r="BM30" s="214"/>
      <c r="BN30" s="293"/>
      <c r="BO30" s="217"/>
      <c r="BP30" s="355"/>
      <c r="BQ30" s="217"/>
      <c r="BR30" s="1193"/>
      <c r="BS30" s="249"/>
      <c r="BT30" s="216"/>
      <c r="BU30" s="1195"/>
      <c r="BV30" s="249"/>
      <c r="BW30" s="216"/>
      <c r="BX30" s="1195"/>
      <c r="BY30" s="249"/>
      <c r="BZ30" s="216"/>
      <c r="CA30" s="1195"/>
      <c r="CB30" s="249"/>
      <c r="CC30" s="216"/>
      <c r="CD30" s="1195"/>
      <c r="CE30" s="249"/>
      <c r="CF30" s="216"/>
      <c r="CG30" s="1195"/>
      <c r="CH30" s="249"/>
      <c r="CI30" s="216"/>
      <c r="CJ30" s="1195"/>
      <c r="CK30" s="249"/>
      <c r="CL30" s="216"/>
      <c r="CM30" s="1194"/>
      <c r="CN30" s="1524"/>
      <c r="CO30" s="217"/>
      <c r="CP30" s="1193"/>
      <c r="CQ30" s="293"/>
      <c r="CR30" s="217"/>
      <c r="CS30" s="305"/>
      <c r="CT30" s="249"/>
      <c r="CU30" s="216"/>
      <c r="CV30" s="1193"/>
      <c r="CW30" s="249"/>
      <c r="CX30" s="216"/>
      <c r="CY30" s="305"/>
      <c r="CZ30" s="249"/>
      <c r="DA30" s="216"/>
      <c r="DB30" s="307"/>
      <c r="DC30" s="328"/>
      <c r="DD30" s="322"/>
      <c r="DE30" s="305"/>
      <c r="DF30" s="249"/>
      <c r="DG30" s="216"/>
      <c r="DH30" s="305"/>
      <c r="DI30" s="249"/>
      <c r="DJ30" s="216"/>
      <c r="DK30" s="309"/>
      <c r="DL30" s="293"/>
      <c r="DM30" s="326"/>
      <c r="DN30" s="1256"/>
      <c r="DO30" s="214"/>
      <c r="DP30" s="1257"/>
      <c r="DQ30" s="1258"/>
      <c r="DR30" s="305"/>
      <c r="DS30" s="249"/>
      <c r="DT30" s="216"/>
      <c r="DU30" s="2518"/>
      <c r="DV30" s="1030"/>
      <c r="DW30" s="2519"/>
      <c r="DX30" s="305"/>
      <c r="DY30" s="249"/>
      <c r="DZ30" s="221"/>
      <c r="EA30" s="388"/>
      <c r="EB30" s="249"/>
      <c r="EC30" s="216"/>
      <c r="ED30" s="1461"/>
      <c r="EE30" s="249"/>
      <c r="EF30" s="216"/>
      <c r="EG30" s="355"/>
      <c r="EH30" s="1425"/>
      <c r="EI30" s="1470"/>
      <c r="EJ30" s="249"/>
      <c r="EK30" s="221"/>
      <c r="EL30" s="313"/>
      <c r="EM30" s="249"/>
      <c r="EN30" s="221"/>
      <c r="EO30" s="313"/>
      <c r="EP30" s="249"/>
      <c r="EQ30" s="216"/>
      <c r="ER30" s="313"/>
      <c r="ES30" s="249"/>
      <c r="ET30" s="216"/>
      <c r="EU30" s="313"/>
      <c r="EV30" s="249"/>
      <c r="EW30" s="216"/>
      <c r="EX30" s="2505"/>
      <c r="EY30" s="249"/>
      <c r="EZ30" s="221"/>
      <c r="FA30" s="313"/>
      <c r="FB30" s="249"/>
      <c r="FC30" s="221"/>
      <c r="FD30" s="313"/>
      <c r="FE30" s="249"/>
      <c r="FF30" s="221"/>
      <c r="FG30" s="313"/>
      <c r="FH30" s="249"/>
      <c r="FI30" s="216"/>
      <c r="FJ30" s="1435"/>
      <c r="FK30" s="216"/>
      <c r="FL30" s="1268"/>
      <c r="FM30" s="1655"/>
      <c r="FN30" s="1268"/>
      <c r="FO30" s="1655"/>
      <c r="FP30" s="1268"/>
      <c r="FQ30" s="1656"/>
      <c r="FR30" s="249"/>
      <c r="FS30" s="216"/>
      <c r="FT30" s="1657"/>
      <c r="FU30" s="1658"/>
      <c r="FV30" s="242"/>
      <c r="FW30" s="2522"/>
      <c r="FX30" s="2523"/>
      <c r="FY30" s="336"/>
      <c r="FZ30" s="223"/>
      <c r="GA30" s="338"/>
      <c r="GB30" s="204"/>
      <c r="GC30" s="339"/>
      <c r="GD30" s="342"/>
      <c r="GE30" s="199"/>
      <c r="GF30" s="199"/>
      <c r="GG30" s="199"/>
      <c r="GH30" s="199"/>
      <c r="GI30" s="199"/>
      <c r="GJ30" s="199"/>
      <c r="GK30" s="199"/>
      <c r="GL30" s="49"/>
      <c r="GM30" s="28"/>
      <c r="GN30" s="28"/>
      <c r="GO30" s="322"/>
      <c r="GP30" s="1190"/>
      <c r="GQ30" s="1190"/>
      <c r="GR30" s="49"/>
      <c r="GS30" s="2879"/>
      <c r="GT30" s="2880"/>
      <c r="GU30" s="2881"/>
      <c r="GV30" s="49"/>
      <c r="GW30" s="49"/>
      <c r="GX30" s="49"/>
      <c r="GY30" s="49"/>
      <c r="GZ30" s="49"/>
      <c r="HA30" s="49"/>
      <c r="HB30" s="49"/>
      <c r="HC30" s="49"/>
      <c r="HD30" s="49"/>
      <c r="HE30" s="49"/>
      <c r="HF30" s="49"/>
      <c r="HG30" s="49"/>
      <c r="HH30" s="49"/>
      <c r="HI30" s="49"/>
      <c r="HJ30" s="49"/>
      <c r="HK30" s="49"/>
      <c r="HL30" s="49"/>
      <c r="HM30" s="49"/>
      <c r="HN30" s="49"/>
      <c r="HO30" s="49"/>
      <c r="HP30" s="49"/>
      <c r="HQ30" s="49"/>
      <c r="HR30" s="49"/>
      <c r="HS30" s="49"/>
      <c r="HT30" s="49"/>
      <c r="HU30" s="49"/>
      <c r="HV30" s="49"/>
      <c r="HW30" s="49"/>
      <c r="HX30" s="49"/>
      <c r="HY30" s="49"/>
      <c r="HZ30" s="49"/>
      <c r="IA30" s="49"/>
      <c r="IB30" s="49"/>
      <c r="IC30" s="49"/>
      <c r="ID30" s="49"/>
      <c r="IE30" s="49"/>
      <c r="IF30" s="49"/>
      <c r="IG30" s="49"/>
      <c r="IH30" s="49"/>
      <c r="II30" s="49"/>
      <c r="IJ30" s="49"/>
      <c r="IK30" s="49"/>
      <c r="IL30" s="49"/>
      <c r="IM30" s="49"/>
      <c r="IN30" s="49"/>
      <c r="IO30" s="49"/>
      <c r="IP30" s="49"/>
      <c r="IQ30" s="49"/>
      <c r="IR30" s="49"/>
      <c r="IS30" s="49"/>
      <c r="IT30" s="49"/>
      <c r="IU30" s="49"/>
      <c r="IV30" s="49"/>
    </row>
    <row r="31" spans="1:256" s="198" customFormat="1" ht="12" customHeight="1">
      <c r="A31" s="1252"/>
      <c r="B31" s="200"/>
      <c r="C31" s="486"/>
      <c r="D31" s="203"/>
      <c r="E31" s="203"/>
      <c r="F31" s="203"/>
      <c r="G31" s="203"/>
      <c r="H31" s="175"/>
      <c r="I31" s="1265"/>
      <c r="J31" s="1265"/>
      <c r="K31" s="175"/>
      <c r="L31" s="1265"/>
      <c r="M31" s="1265"/>
      <c r="N31" s="1265"/>
      <c r="O31" s="1265"/>
      <c r="P31" s="1265"/>
      <c r="Q31" s="999"/>
      <c r="R31" s="999"/>
      <c r="S31" s="999"/>
      <c r="T31" s="2801"/>
      <c r="U31" s="233"/>
      <c r="V31" s="49"/>
      <c r="W31" s="218"/>
      <c r="X31" s="218"/>
      <c r="Y31" s="216"/>
      <c r="Z31" s="216"/>
      <c r="AA31" s="215"/>
      <c r="AB31" s="216"/>
      <c r="AC31" s="216"/>
      <c r="AD31" s="239"/>
      <c r="AE31" s="216"/>
      <c r="AF31" s="216"/>
      <c r="AG31" s="216"/>
      <c r="AH31" s="216"/>
      <c r="AI31" s="216"/>
      <c r="AJ31" s="216"/>
      <c r="AK31" s="239"/>
      <c r="AL31" s="216"/>
      <c r="AM31" s="216"/>
      <c r="AN31" s="216"/>
      <c r="AO31" s="216"/>
      <c r="AP31" s="216"/>
      <c r="AQ31" s="216"/>
      <c r="AR31" s="216"/>
      <c r="AS31" s="216"/>
      <c r="AT31" s="216"/>
      <c r="AU31" s="216"/>
      <c r="AV31" s="217"/>
      <c r="AW31" s="355"/>
      <c r="AX31" s="217"/>
      <c r="AY31" s="1559"/>
      <c r="AZ31" s="249"/>
      <c r="BA31" s="221"/>
      <c r="BB31" s="300"/>
      <c r="BC31" s="217"/>
      <c r="BD31" s="392"/>
      <c r="BE31" s="1244"/>
      <c r="BF31" s="249"/>
      <c r="BG31" s="252"/>
      <c r="BH31" s="1469"/>
      <c r="BI31" s="216"/>
      <c r="BJ31" s="1469"/>
      <c r="BK31" s="1459"/>
      <c r="BL31" s="260"/>
      <c r="BM31" s="214"/>
      <c r="BN31" s="293"/>
      <c r="BO31" s="217"/>
      <c r="BP31" s="355"/>
      <c r="BQ31" s="217"/>
      <c r="BR31" s="1193"/>
      <c r="BS31" s="249"/>
      <c r="BT31" s="216"/>
      <c r="BU31" s="1195"/>
      <c r="BV31" s="249"/>
      <c r="BW31" s="216"/>
      <c r="BX31" s="1195"/>
      <c r="BY31" s="249"/>
      <c r="BZ31" s="216"/>
      <c r="CA31" s="1195"/>
      <c r="CB31" s="249"/>
      <c r="CC31" s="216"/>
      <c r="CD31" s="1195"/>
      <c r="CE31" s="249"/>
      <c r="CF31" s="216"/>
      <c r="CG31" s="1195"/>
      <c r="CH31" s="249"/>
      <c r="CI31" s="216"/>
      <c r="CJ31" s="1195"/>
      <c r="CK31" s="249"/>
      <c r="CL31" s="216"/>
      <c r="CM31" s="1194"/>
      <c r="CN31" s="1524"/>
      <c r="CO31" s="217"/>
      <c r="CP31" s="1193"/>
      <c r="CQ31" s="293"/>
      <c r="CR31" s="217"/>
      <c r="CS31" s="305"/>
      <c r="CT31" s="249"/>
      <c r="CU31" s="216"/>
      <c r="CV31" s="1193"/>
      <c r="CW31" s="249"/>
      <c r="CX31" s="216"/>
      <c r="CY31" s="305"/>
      <c r="CZ31" s="249"/>
      <c r="DA31" s="216"/>
      <c r="DB31" s="307"/>
      <c r="DC31" s="328"/>
      <c r="DD31" s="322"/>
      <c r="DE31" s="305"/>
      <c r="DF31" s="249"/>
      <c r="DG31" s="216"/>
      <c r="DH31" s="305"/>
      <c r="DI31" s="249"/>
      <c r="DJ31" s="216"/>
      <c r="DK31" s="309"/>
      <c r="DL31" s="293"/>
      <c r="DM31" s="326"/>
      <c r="DN31" s="1256"/>
      <c r="DO31" s="214"/>
      <c r="DP31" s="1257"/>
      <c r="DQ31" s="1258"/>
      <c r="DR31" s="305"/>
      <c r="DS31" s="249"/>
      <c r="DT31" s="216"/>
      <c r="DU31" s="2518"/>
      <c r="DV31" s="1030"/>
      <c r="DW31" s="2519"/>
      <c r="DX31" s="305"/>
      <c r="DY31" s="249"/>
      <c r="DZ31" s="221"/>
      <c r="EA31" s="388"/>
      <c r="EB31" s="249"/>
      <c r="EC31" s="216"/>
      <c r="ED31" s="1461"/>
      <c r="EE31" s="249"/>
      <c r="EF31" s="216"/>
      <c r="EG31" s="355"/>
      <c r="EH31" s="1425"/>
      <c r="EI31" s="1470"/>
      <c r="EJ31" s="249"/>
      <c r="EK31" s="221"/>
      <c r="EL31" s="313"/>
      <c r="EM31" s="249"/>
      <c r="EN31" s="221"/>
      <c r="EO31" s="313"/>
      <c r="EP31" s="249"/>
      <c r="EQ31" s="216"/>
      <c r="ER31" s="313"/>
      <c r="ES31" s="249"/>
      <c r="ET31" s="216"/>
      <c r="EU31" s="313"/>
      <c r="EV31" s="249"/>
      <c r="EW31" s="216"/>
      <c r="EX31" s="2505"/>
      <c r="EY31" s="249"/>
      <c r="EZ31" s="221"/>
      <c r="FA31" s="313"/>
      <c r="FB31" s="249"/>
      <c r="FC31" s="221"/>
      <c r="FD31" s="313"/>
      <c r="FE31" s="249"/>
      <c r="FF31" s="221"/>
      <c r="FG31" s="313"/>
      <c r="FH31" s="249"/>
      <c r="FI31" s="216"/>
      <c r="FJ31" s="1435"/>
      <c r="FK31" s="216"/>
      <c r="FL31" s="1268"/>
      <c r="FM31" s="1655"/>
      <c r="FN31" s="1268"/>
      <c r="FO31" s="1655"/>
      <c r="FP31" s="1268"/>
      <c r="FQ31" s="1656"/>
      <c r="FR31" s="249"/>
      <c r="FS31" s="216"/>
      <c r="FT31" s="1657"/>
      <c r="FU31" s="1658"/>
      <c r="FV31" s="242"/>
      <c r="FW31" s="2522"/>
      <c r="FX31" s="2523"/>
      <c r="FY31" s="336"/>
      <c r="FZ31" s="223"/>
      <c r="GA31" s="338"/>
      <c r="GB31" s="204"/>
      <c r="GC31" s="339"/>
      <c r="GD31" s="342"/>
      <c r="GE31" s="199"/>
      <c r="GF31" s="199"/>
      <c r="GG31" s="199"/>
      <c r="GH31" s="199"/>
      <c r="GI31" s="199"/>
      <c r="GJ31" s="199"/>
      <c r="GK31" s="199"/>
      <c r="GL31" s="49"/>
      <c r="GM31" s="28"/>
      <c r="GN31" s="28"/>
      <c r="GO31" s="322"/>
      <c r="GP31" s="1190"/>
      <c r="GQ31" s="1190"/>
      <c r="GR31" s="49"/>
      <c r="GS31" s="2879"/>
      <c r="GT31" s="2880"/>
      <c r="GU31" s="2881"/>
      <c r="GV31" s="49"/>
      <c r="GW31" s="49"/>
      <c r="GX31" s="49"/>
      <c r="GY31" s="49"/>
      <c r="GZ31" s="49"/>
      <c r="HA31" s="49"/>
      <c r="HB31" s="49"/>
      <c r="HC31" s="49"/>
      <c r="HD31" s="49"/>
      <c r="HE31" s="49"/>
      <c r="HF31" s="49"/>
      <c r="HG31" s="49"/>
      <c r="HH31" s="49"/>
      <c r="HI31" s="49"/>
      <c r="HJ31" s="49"/>
      <c r="HK31" s="49"/>
      <c r="HL31" s="49"/>
      <c r="HM31" s="49"/>
      <c r="HN31" s="49"/>
      <c r="HO31" s="49"/>
      <c r="HP31" s="49"/>
      <c r="HQ31" s="49"/>
      <c r="HR31" s="49"/>
      <c r="HS31" s="49"/>
      <c r="HT31" s="49"/>
      <c r="HU31" s="49"/>
      <c r="HV31" s="49"/>
      <c r="HW31" s="49"/>
      <c r="HX31" s="49"/>
      <c r="HY31" s="49"/>
      <c r="HZ31" s="49"/>
      <c r="IA31" s="49"/>
      <c r="IB31" s="49"/>
      <c r="IC31" s="49"/>
      <c r="ID31" s="49"/>
      <c r="IE31" s="49"/>
      <c r="IF31" s="49"/>
      <c r="IG31" s="49"/>
      <c r="IH31" s="49"/>
      <c r="II31" s="49"/>
      <c r="IJ31" s="49"/>
      <c r="IK31" s="49"/>
      <c r="IL31" s="49"/>
      <c r="IM31" s="49"/>
      <c r="IN31" s="49"/>
      <c r="IO31" s="49"/>
      <c r="IP31" s="49"/>
      <c r="IQ31" s="49"/>
      <c r="IR31" s="49"/>
      <c r="IS31" s="49"/>
      <c r="IT31" s="49"/>
      <c r="IU31" s="49"/>
      <c r="IV31" s="49"/>
    </row>
    <row r="32" spans="1:256" s="198" customFormat="1" ht="12" customHeight="1">
      <c r="A32" s="1252"/>
      <c r="B32" s="200"/>
      <c r="C32" s="486"/>
      <c r="D32" s="203"/>
      <c r="E32" s="203"/>
      <c r="F32" s="203"/>
      <c r="G32" s="203"/>
      <c r="H32" s="175"/>
      <c r="I32" s="1265"/>
      <c r="J32" s="1265"/>
      <c r="K32" s="175"/>
      <c r="L32" s="1265"/>
      <c r="M32" s="1265"/>
      <c r="N32" s="1265"/>
      <c r="O32" s="1265"/>
      <c r="P32" s="1265"/>
      <c r="Q32" s="999"/>
      <c r="R32" s="999"/>
      <c r="S32" s="999"/>
      <c r="T32" s="2801"/>
      <c r="U32" s="233"/>
      <c r="V32" s="49"/>
      <c r="W32" s="218"/>
      <c r="X32" s="218"/>
      <c r="Y32" s="216"/>
      <c r="Z32" s="216"/>
      <c r="AA32" s="215"/>
      <c r="AB32" s="216"/>
      <c r="AC32" s="216"/>
      <c r="AD32" s="239"/>
      <c r="AE32" s="216"/>
      <c r="AF32" s="216"/>
      <c r="AG32" s="216"/>
      <c r="AH32" s="216"/>
      <c r="AI32" s="216"/>
      <c r="AJ32" s="216"/>
      <c r="AK32" s="239"/>
      <c r="AL32" s="216"/>
      <c r="AM32" s="216"/>
      <c r="AN32" s="216"/>
      <c r="AO32" s="216"/>
      <c r="AP32" s="216"/>
      <c r="AQ32" s="216"/>
      <c r="AR32" s="216"/>
      <c r="AS32" s="216"/>
      <c r="AT32" s="216"/>
      <c r="AU32" s="216"/>
      <c r="AV32" s="217"/>
      <c r="AW32" s="355"/>
      <c r="AX32" s="217"/>
      <c r="AY32" s="1559"/>
      <c r="AZ32" s="249"/>
      <c r="BA32" s="221"/>
      <c r="BB32" s="300"/>
      <c r="BC32" s="217"/>
      <c r="BD32" s="392"/>
      <c r="BE32" s="1244"/>
      <c r="BF32" s="249"/>
      <c r="BG32" s="252"/>
      <c r="BH32" s="1469"/>
      <c r="BI32" s="216"/>
      <c r="BJ32" s="1469"/>
      <c r="BK32" s="1459"/>
      <c r="BL32" s="260"/>
      <c r="BM32" s="214"/>
      <c r="BN32" s="293"/>
      <c r="BO32" s="217"/>
      <c r="BP32" s="355"/>
      <c r="BQ32" s="217"/>
      <c r="BR32" s="1193"/>
      <c r="BS32" s="249"/>
      <c r="BT32" s="216"/>
      <c r="BU32" s="1195"/>
      <c r="BV32" s="249"/>
      <c r="BW32" s="216"/>
      <c r="BX32" s="1195"/>
      <c r="BY32" s="249"/>
      <c r="BZ32" s="216"/>
      <c r="CA32" s="1195"/>
      <c r="CB32" s="249"/>
      <c r="CC32" s="216"/>
      <c r="CD32" s="1195"/>
      <c r="CE32" s="249"/>
      <c r="CF32" s="216"/>
      <c r="CG32" s="1195"/>
      <c r="CH32" s="249"/>
      <c r="CI32" s="216"/>
      <c r="CJ32" s="1195"/>
      <c r="CK32" s="249"/>
      <c r="CL32" s="216"/>
      <c r="CM32" s="1194"/>
      <c r="CN32" s="1524"/>
      <c r="CO32" s="217"/>
      <c r="CP32" s="1193"/>
      <c r="CQ32" s="293"/>
      <c r="CR32" s="217"/>
      <c r="CS32" s="305"/>
      <c r="CT32" s="249"/>
      <c r="CU32" s="216"/>
      <c r="CV32" s="1193"/>
      <c r="CW32" s="249"/>
      <c r="CX32" s="216"/>
      <c r="CY32" s="305"/>
      <c r="CZ32" s="249"/>
      <c r="DA32" s="216"/>
      <c r="DB32" s="307"/>
      <c r="DC32" s="328"/>
      <c r="DD32" s="322"/>
      <c r="DE32" s="305"/>
      <c r="DF32" s="249"/>
      <c r="DG32" s="216"/>
      <c r="DH32" s="305"/>
      <c r="DI32" s="249"/>
      <c r="DJ32" s="216"/>
      <c r="DK32" s="309"/>
      <c r="DL32" s="293"/>
      <c r="DM32" s="326"/>
      <c r="DN32" s="1256"/>
      <c r="DO32" s="214"/>
      <c r="DP32" s="1257"/>
      <c r="DQ32" s="1258"/>
      <c r="DR32" s="305"/>
      <c r="DS32" s="249"/>
      <c r="DT32" s="216"/>
      <c r="DU32" s="2518"/>
      <c r="DV32" s="1030"/>
      <c r="DW32" s="2519"/>
      <c r="DX32" s="305"/>
      <c r="DY32" s="249"/>
      <c r="DZ32" s="221"/>
      <c r="EA32" s="388"/>
      <c r="EB32" s="249"/>
      <c r="EC32" s="216"/>
      <c r="ED32" s="1461"/>
      <c r="EE32" s="249"/>
      <c r="EF32" s="216"/>
      <c r="EG32" s="355"/>
      <c r="EH32" s="1425"/>
      <c r="EI32" s="1470"/>
      <c r="EJ32" s="249"/>
      <c r="EK32" s="221"/>
      <c r="EL32" s="313"/>
      <c r="EM32" s="249"/>
      <c r="EN32" s="221"/>
      <c r="EO32" s="313"/>
      <c r="EP32" s="249"/>
      <c r="EQ32" s="216"/>
      <c r="ER32" s="313"/>
      <c r="ES32" s="249"/>
      <c r="ET32" s="216"/>
      <c r="EU32" s="313"/>
      <c r="EV32" s="249"/>
      <c r="EW32" s="216"/>
      <c r="EX32" s="2505"/>
      <c r="EY32" s="249"/>
      <c r="EZ32" s="221"/>
      <c r="FA32" s="313"/>
      <c r="FB32" s="249"/>
      <c r="FC32" s="221"/>
      <c r="FD32" s="313"/>
      <c r="FE32" s="249"/>
      <c r="FF32" s="221"/>
      <c r="FG32" s="313"/>
      <c r="FH32" s="249"/>
      <c r="FI32" s="216"/>
      <c r="FJ32" s="1435"/>
      <c r="FK32" s="216"/>
      <c r="FL32" s="1268"/>
      <c r="FM32" s="1655"/>
      <c r="FN32" s="1268"/>
      <c r="FO32" s="1655"/>
      <c r="FP32" s="1268"/>
      <c r="FQ32" s="1656"/>
      <c r="FR32" s="249"/>
      <c r="FS32" s="216"/>
      <c r="FT32" s="1657"/>
      <c r="FU32" s="1658"/>
      <c r="FV32" s="242"/>
      <c r="FW32" s="2522"/>
      <c r="FX32" s="2523"/>
      <c r="FY32" s="336"/>
      <c r="FZ32" s="223"/>
      <c r="GA32" s="338"/>
      <c r="GB32" s="204"/>
      <c r="GC32" s="339"/>
      <c r="GD32" s="342"/>
      <c r="GE32" s="199"/>
      <c r="GF32" s="199"/>
      <c r="GG32" s="199"/>
      <c r="GH32" s="199"/>
      <c r="GI32" s="199"/>
      <c r="GJ32" s="199"/>
      <c r="GK32" s="199"/>
      <c r="GL32" s="49"/>
      <c r="GM32" s="28"/>
      <c r="GN32" s="28"/>
      <c r="GO32" s="322"/>
      <c r="GP32" s="1190"/>
      <c r="GQ32" s="1190"/>
      <c r="GR32" s="49"/>
      <c r="GS32" s="2879"/>
      <c r="GT32" s="2880"/>
      <c r="GU32" s="2881"/>
      <c r="GV32" s="49"/>
      <c r="GW32" s="49"/>
      <c r="GX32" s="49"/>
      <c r="GY32" s="49"/>
      <c r="GZ32" s="49"/>
      <c r="HA32" s="49"/>
      <c r="HB32" s="49"/>
      <c r="HC32" s="49"/>
      <c r="HD32" s="49"/>
      <c r="HE32" s="49"/>
      <c r="HF32" s="49"/>
      <c r="HG32" s="49"/>
      <c r="HH32" s="49"/>
      <c r="HI32" s="49"/>
      <c r="HJ32" s="49"/>
      <c r="HK32" s="49"/>
      <c r="HL32" s="49"/>
      <c r="HM32" s="49"/>
      <c r="HN32" s="49"/>
      <c r="HO32" s="49"/>
      <c r="HP32" s="49"/>
      <c r="HQ32" s="49"/>
      <c r="HR32" s="49"/>
      <c r="HS32" s="49"/>
      <c r="HT32" s="49"/>
      <c r="HU32" s="49"/>
      <c r="HV32" s="49"/>
      <c r="HW32" s="49"/>
      <c r="HX32" s="49"/>
      <c r="HY32" s="49"/>
      <c r="HZ32" s="49"/>
      <c r="IA32" s="49"/>
      <c r="IB32" s="49"/>
      <c r="IC32" s="49"/>
      <c r="ID32" s="49"/>
      <c r="IE32" s="49"/>
      <c r="IF32" s="49"/>
      <c r="IG32" s="49"/>
      <c r="IH32" s="49"/>
      <c r="II32" s="49"/>
      <c r="IJ32" s="49"/>
      <c r="IK32" s="49"/>
      <c r="IL32" s="49"/>
      <c r="IM32" s="49"/>
      <c r="IN32" s="49"/>
      <c r="IO32" s="49"/>
      <c r="IP32" s="49"/>
      <c r="IQ32" s="49"/>
      <c r="IR32" s="49"/>
      <c r="IS32" s="49"/>
      <c r="IT32" s="49"/>
      <c r="IU32" s="49"/>
      <c r="IV32" s="49"/>
    </row>
    <row r="33" spans="1:256" s="198" customFormat="1" ht="12" customHeight="1">
      <c r="A33" s="1252"/>
      <c r="B33" s="200"/>
      <c r="C33" s="486"/>
      <c r="D33" s="203"/>
      <c r="E33" s="203"/>
      <c r="F33" s="203"/>
      <c r="G33" s="203"/>
      <c r="H33" s="175"/>
      <c r="I33" s="1265"/>
      <c r="J33" s="1265"/>
      <c r="K33" s="175"/>
      <c r="L33" s="1265"/>
      <c r="M33" s="1265"/>
      <c r="N33" s="1265"/>
      <c r="O33" s="1265"/>
      <c r="P33" s="1265"/>
      <c r="Q33" s="999"/>
      <c r="R33" s="999"/>
      <c r="S33" s="999"/>
      <c r="T33" s="2801"/>
      <c r="U33" s="233"/>
      <c r="V33" s="49"/>
      <c r="W33" s="218"/>
      <c r="X33" s="218"/>
      <c r="Y33" s="216"/>
      <c r="Z33" s="216"/>
      <c r="AA33" s="215"/>
      <c r="AB33" s="216"/>
      <c r="AC33" s="216"/>
      <c r="AD33" s="239"/>
      <c r="AE33" s="216"/>
      <c r="AF33" s="216"/>
      <c r="AG33" s="216"/>
      <c r="AH33" s="216"/>
      <c r="AI33" s="216"/>
      <c r="AJ33" s="216"/>
      <c r="AK33" s="239"/>
      <c r="AL33" s="216"/>
      <c r="AM33" s="216"/>
      <c r="AN33" s="216"/>
      <c r="AO33" s="216"/>
      <c r="AP33" s="216"/>
      <c r="AQ33" s="216"/>
      <c r="AR33" s="216"/>
      <c r="AS33" s="216"/>
      <c r="AT33" s="216"/>
      <c r="AU33" s="216"/>
      <c r="AV33" s="217"/>
      <c r="AW33" s="355"/>
      <c r="AX33" s="217"/>
      <c r="AY33" s="1559"/>
      <c r="AZ33" s="249"/>
      <c r="BA33" s="221"/>
      <c r="BB33" s="300"/>
      <c r="BC33" s="217"/>
      <c r="BD33" s="392"/>
      <c r="BE33" s="1244"/>
      <c r="BF33" s="249"/>
      <c r="BG33" s="252"/>
      <c r="BH33" s="1469"/>
      <c r="BI33" s="216"/>
      <c r="BJ33" s="1469"/>
      <c r="BK33" s="1459"/>
      <c r="BL33" s="260"/>
      <c r="BM33" s="214"/>
      <c r="BN33" s="293"/>
      <c r="BO33" s="217"/>
      <c r="BP33" s="355"/>
      <c r="BQ33" s="217"/>
      <c r="BR33" s="1193"/>
      <c r="BS33" s="249"/>
      <c r="BT33" s="216"/>
      <c r="BU33" s="1195"/>
      <c r="BV33" s="249"/>
      <c r="BW33" s="216"/>
      <c r="BX33" s="1195"/>
      <c r="BY33" s="249"/>
      <c r="BZ33" s="216"/>
      <c r="CA33" s="1195"/>
      <c r="CB33" s="249"/>
      <c r="CC33" s="216"/>
      <c r="CD33" s="1195"/>
      <c r="CE33" s="249"/>
      <c r="CF33" s="216"/>
      <c r="CG33" s="1195"/>
      <c r="CH33" s="249"/>
      <c r="CI33" s="216"/>
      <c r="CJ33" s="1195"/>
      <c r="CK33" s="249"/>
      <c r="CL33" s="216"/>
      <c r="CM33" s="1194"/>
      <c r="CN33" s="1524"/>
      <c r="CO33" s="217"/>
      <c r="CP33" s="1193"/>
      <c r="CQ33" s="293"/>
      <c r="CR33" s="217"/>
      <c r="CS33" s="305"/>
      <c r="CT33" s="249"/>
      <c r="CU33" s="216"/>
      <c r="CV33" s="1193"/>
      <c r="CW33" s="249"/>
      <c r="CX33" s="216"/>
      <c r="CY33" s="305"/>
      <c r="CZ33" s="249"/>
      <c r="DA33" s="216"/>
      <c r="DB33" s="307"/>
      <c r="DC33" s="328"/>
      <c r="DD33" s="322"/>
      <c r="DE33" s="305"/>
      <c r="DF33" s="249"/>
      <c r="DG33" s="216"/>
      <c r="DH33" s="305"/>
      <c r="DI33" s="249"/>
      <c r="DJ33" s="216"/>
      <c r="DK33" s="309"/>
      <c r="DL33" s="293"/>
      <c r="DM33" s="326"/>
      <c r="DN33" s="1256"/>
      <c r="DO33" s="214"/>
      <c r="DP33" s="1257"/>
      <c r="DQ33" s="1258"/>
      <c r="DR33" s="305"/>
      <c r="DS33" s="249"/>
      <c r="DT33" s="216"/>
      <c r="DU33" s="2518"/>
      <c r="DV33" s="1030"/>
      <c r="DW33" s="2519"/>
      <c r="DX33" s="305"/>
      <c r="DY33" s="249"/>
      <c r="DZ33" s="221"/>
      <c r="EA33" s="388"/>
      <c r="EB33" s="249"/>
      <c r="EC33" s="216"/>
      <c r="ED33" s="1461"/>
      <c r="EE33" s="249"/>
      <c r="EF33" s="216"/>
      <c r="EG33" s="355"/>
      <c r="EH33" s="1425"/>
      <c r="EI33" s="1470"/>
      <c r="EJ33" s="249"/>
      <c r="EK33" s="221"/>
      <c r="EL33" s="313"/>
      <c r="EM33" s="249"/>
      <c r="EN33" s="221"/>
      <c r="EO33" s="313"/>
      <c r="EP33" s="249"/>
      <c r="EQ33" s="216"/>
      <c r="ER33" s="313"/>
      <c r="ES33" s="249"/>
      <c r="ET33" s="216"/>
      <c r="EU33" s="313"/>
      <c r="EV33" s="249"/>
      <c r="EW33" s="216"/>
      <c r="EX33" s="2505"/>
      <c r="EY33" s="249"/>
      <c r="EZ33" s="221"/>
      <c r="FA33" s="313"/>
      <c r="FB33" s="249"/>
      <c r="FC33" s="221"/>
      <c r="FD33" s="313"/>
      <c r="FE33" s="249"/>
      <c r="FF33" s="221"/>
      <c r="FG33" s="313"/>
      <c r="FH33" s="249"/>
      <c r="FI33" s="216"/>
      <c r="FJ33" s="1435"/>
      <c r="FK33" s="216"/>
      <c r="FL33" s="1268"/>
      <c r="FM33" s="1655"/>
      <c r="FN33" s="1268"/>
      <c r="FO33" s="1655"/>
      <c r="FP33" s="1268"/>
      <c r="FQ33" s="1656"/>
      <c r="FR33" s="249"/>
      <c r="FS33" s="216"/>
      <c r="FT33" s="1657"/>
      <c r="FU33" s="1658"/>
      <c r="FV33" s="242"/>
      <c r="FW33" s="2522"/>
      <c r="FX33" s="2523"/>
      <c r="FY33" s="336"/>
      <c r="FZ33" s="223"/>
      <c r="GA33" s="338"/>
      <c r="GB33" s="204"/>
      <c r="GC33" s="339"/>
      <c r="GD33" s="342"/>
      <c r="GE33" s="199"/>
      <c r="GF33" s="199"/>
      <c r="GG33" s="199"/>
      <c r="GH33" s="199"/>
      <c r="GI33" s="199"/>
      <c r="GJ33" s="199"/>
      <c r="GK33" s="199"/>
      <c r="GL33" s="49"/>
      <c r="GM33" s="28"/>
      <c r="GN33" s="28"/>
      <c r="GO33" s="322"/>
      <c r="GP33" s="1190"/>
      <c r="GQ33" s="1190"/>
      <c r="GR33" s="49"/>
      <c r="GS33" s="2879"/>
      <c r="GT33" s="2880"/>
      <c r="GU33" s="2881"/>
      <c r="GV33" s="49"/>
      <c r="GW33" s="49"/>
      <c r="GX33" s="49"/>
      <c r="GY33" s="49"/>
      <c r="GZ33" s="49"/>
      <c r="HA33" s="49"/>
      <c r="HB33" s="49"/>
      <c r="HC33" s="49"/>
      <c r="HD33" s="49"/>
      <c r="HE33" s="49"/>
      <c r="HF33" s="49"/>
      <c r="HG33" s="49"/>
      <c r="HH33" s="49"/>
      <c r="HI33" s="49"/>
      <c r="HJ33" s="49"/>
      <c r="HK33" s="49"/>
      <c r="HL33" s="49"/>
      <c r="HM33" s="49"/>
      <c r="HN33" s="49"/>
      <c r="HO33" s="49"/>
      <c r="HP33" s="49"/>
      <c r="HQ33" s="49"/>
      <c r="HR33" s="49"/>
      <c r="HS33" s="49"/>
      <c r="HT33" s="49"/>
      <c r="HU33" s="49"/>
      <c r="HV33" s="49"/>
      <c r="HW33" s="49"/>
      <c r="HX33" s="49"/>
      <c r="HY33" s="49"/>
      <c r="HZ33" s="49"/>
      <c r="IA33" s="49"/>
      <c r="IB33" s="49"/>
      <c r="IC33" s="49"/>
      <c r="ID33" s="49"/>
      <c r="IE33" s="49"/>
      <c r="IF33" s="49"/>
      <c r="IG33" s="49"/>
      <c r="IH33" s="49"/>
      <c r="II33" s="49"/>
      <c r="IJ33" s="49"/>
      <c r="IK33" s="49"/>
      <c r="IL33" s="49"/>
      <c r="IM33" s="49"/>
      <c r="IN33" s="49"/>
      <c r="IO33" s="49"/>
      <c r="IP33" s="49"/>
      <c r="IQ33" s="49"/>
      <c r="IR33" s="49"/>
      <c r="IS33" s="49"/>
      <c r="IT33" s="49"/>
      <c r="IU33" s="49"/>
      <c r="IV33" s="49"/>
    </row>
    <row r="34" spans="1:256" s="198" customFormat="1" ht="12" customHeight="1">
      <c r="A34" s="1252"/>
      <c r="B34" s="200"/>
      <c r="C34" s="486"/>
      <c r="D34" s="203"/>
      <c r="E34" s="203"/>
      <c r="F34" s="203"/>
      <c r="G34" s="203"/>
      <c r="H34" s="175"/>
      <c r="I34" s="1265"/>
      <c r="J34" s="1265"/>
      <c r="K34" s="175"/>
      <c r="L34" s="1265"/>
      <c r="M34" s="1265"/>
      <c r="N34" s="1265"/>
      <c r="O34" s="1265"/>
      <c r="P34" s="1265"/>
      <c r="Q34" s="999"/>
      <c r="R34" s="999"/>
      <c r="S34" s="999"/>
      <c r="T34" s="2801"/>
      <c r="U34" s="233"/>
      <c r="V34" s="49"/>
      <c r="W34" s="218"/>
      <c r="X34" s="218"/>
      <c r="Y34" s="216"/>
      <c r="Z34" s="216"/>
      <c r="AA34" s="215"/>
      <c r="AB34" s="216"/>
      <c r="AC34" s="216"/>
      <c r="AD34" s="239"/>
      <c r="AE34" s="216"/>
      <c r="AF34" s="216"/>
      <c r="AG34" s="216"/>
      <c r="AH34" s="216"/>
      <c r="AI34" s="216"/>
      <c r="AJ34" s="216"/>
      <c r="AK34" s="239"/>
      <c r="AL34" s="216"/>
      <c r="AM34" s="216"/>
      <c r="AN34" s="216"/>
      <c r="AO34" s="216"/>
      <c r="AP34" s="216"/>
      <c r="AQ34" s="216"/>
      <c r="AR34" s="216"/>
      <c r="AS34" s="216"/>
      <c r="AT34" s="216"/>
      <c r="AU34" s="216"/>
      <c r="AV34" s="217"/>
      <c r="AW34" s="355"/>
      <c r="AX34" s="217"/>
      <c r="AY34" s="1559"/>
      <c r="AZ34" s="249"/>
      <c r="BA34" s="221"/>
      <c r="BB34" s="300"/>
      <c r="BC34" s="217"/>
      <c r="BD34" s="392"/>
      <c r="BE34" s="1244"/>
      <c r="BF34" s="249"/>
      <c r="BG34" s="252"/>
      <c r="BH34" s="1469"/>
      <c r="BI34" s="216"/>
      <c r="BJ34" s="1469"/>
      <c r="BK34" s="1459"/>
      <c r="BL34" s="260"/>
      <c r="BM34" s="214"/>
      <c r="BN34" s="293"/>
      <c r="BO34" s="217"/>
      <c r="BP34" s="355"/>
      <c r="BQ34" s="217"/>
      <c r="BR34" s="1193"/>
      <c r="BS34" s="249"/>
      <c r="BT34" s="216"/>
      <c r="BU34" s="1195"/>
      <c r="BV34" s="249"/>
      <c r="BW34" s="216"/>
      <c r="BX34" s="1195"/>
      <c r="BY34" s="249"/>
      <c r="BZ34" s="216"/>
      <c r="CA34" s="1195"/>
      <c r="CB34" s="249"/>
      <c r="CC34" s="216"/>
      <c r="CD34" s="1195"/>
      <c r="CE34" s="249"/>
      <c r="CF34" s="216"/>
      <c r="CG34" s="1195"/>
      <c r="CH34" s="249"/>
      <c r="CI34" s="216"/>
      <c r="CJ34" s="1195"/>
      <c r="CK34" s="249"/>
      <c r="CL34" s="216"/>
      <c r="CM34" s="1194"/>
      <c r="CN34" s="1524"/>
      <c r="CO34" s="217"/>
      <c r="CP34" s="1193"/>
      <c r="CQ34" s="293"/>
      <c r="CR34" s="217"/>
      <c r="CS34" s="305"/>
      <c r="CT34" s="249"/>
      <c r="CU34" s="216"/>
      <c r="CV34" s="1193"/>
      <c r="CW34" s="249"/>
      <c r="CX34" s="216"/>
      <c r="CY34" s="305"/>
      <c r="CZ34" s="249"/>
      <c r="DA34" s="216"/>
      <c r="DB34" s="307"/>
      <c r="DC34" s="328"/>
      <c r="DD34" s="322"/>
      <c r="DE34" s="305"/>
      <c r="DF34" s="249"/>
      <c r="DG34" s="216"/>
      <c r="DH34" s="305"/>
      <c r="DI34" s="249"/>
      <c r="DJ34" s="216"/>
      <c r="DK34" s="309"/>
      <c r="DL34" s="293"/>
      <c r="DM34" s="326"/>
      <c r="DN34" s="1256"/>
      <c r="DO34" s="214"/>
      <c r="DP34" s="1257"/>
      <c r="DQ34" s="1258"/>
      <c r="DR34" s="305"/>
      <c r="DS34" s="249"/>
      <c r="DT34" s="216"/>
      <c r="DU34" s="2518"/>
      <c r="DV34" s="1030"/>
      <c r="DW34" s="2519"/>
      <c r="DX34" s="305"/>
      <c r="DY34" s="249"/>
      <c r="DZ34" s="221"/>
      <c r="EA34" s="388"/>
      <c r="EB34" s="249"/>
      <c r="EC34" s="216"/>
      <c r="ED34" s="1461"/>
      <c r="EE34" s="249"/>
      <c r="EF34" s="216"/>
      <c r="EG34" s="355"/>
      <c r="EH34" s="1425"/>
      <c r="EI34" s="1470"/>
      <c r="EJ34" s="249"/>
      <c r="EK34" s="221"/>
      <c r="EL34" s="313"/>
      <c r="EM34" s="249"/>
      <c r="EN34" s="221"/>
      <c r="EO34" s="313"/>
      <c r="EP34" s="249"/>
      <c r="EQ34" s="216"/>
      <c r="ER34" s="313"/>
      <c r="ES34" s="249"/>
      <c r="ET34" s="216"/>
      <c r="EU34" s="313"/>
      <c r="EV34" s="249"/>
      <c r="EW34" s="216"/>
      <c r="EX34" s="2505"/>
      <c r="EY34" s="249"/>
      <c r="EZ34" s="221"/>
      <c r="FA34" s="313"/>
      <c r="FB34" s="249"/>
      <c r="FC34" s="221"/>
      <c r="FD34" s="313"/>
      <c r="FE34" s="249"/>
      <c r="FF34" s="221"/>
      <c r="FG34" s="313"/>
      <c r="FH34" s="249"/>
      <c r="FI34" s="216"/>
      <c r="FJ34" s="1435"/>
      <c r="FK34" s="216"/>
      <c r="FL34" s="1268"/>
      <c r="FM34" s="1655"/>
      <c r="FN34" s="1268"/>
      <c r="FO34" s="1655"/>
      <c r="FP34" s="1268"/>
      <c r="FQ34" s="1656"/>
      <c r="FR34" s="249"/>
      <c r="FS34" s="216"/>
      <c r="FT34" s="1657"/>
      <c r="FU34" s="1658"/>
      <c r="FV34" s="242"/>
      <c r="FW34" s="2522"/>
      <c r="FX34" s="2523"/>
      <c r="FY34" s="336"/>
      <c r="FZ34" s="223"/>
      <c r="GA34" s="338"/>
      <c r="GB34" s="204"/>
      <c r="GC34" s="339"/>
      <c r="GD34" s="342"/>
      <c r="GE34" s="199"/>
      <c r="GF34" s="199"/>
      <c r="GG34" s="199"/>
      <c r="GH34" s="199"/>
      <c r="GI34" s="199"/>
      <c r="GJ34" s="199"/>
      <c r="GK34" s="199"/>
      <c r="GL34" s="49"/>
      <c r="GM34" s="28"/>
      <c r="GN34" s="28"/>
      <c r="GO34" s="322"/>
      <c r="GP34" s="1190"/>
      <c r="GQ34" s="1190"/>
      <c r="GR34" s="49"/>
      <c r="GS34" s="2879"/>
      <c r="GT34" s="2880"/>
      <c r="GU34" s="2881"/>
      <c r="GV34" s="49"/>
      <c r="GW34" s="49"/>
      <c r="GX34" s="49"/>
      <c r="GY34" s="49"/>
      <c r="GZ34" s="49"/>
      <c r="HA34" s="49"/>
      <c r="HB34" s="49"/>
      <c r="HC34" s="49"/>
      <c r="HD34" s="49"/>
      <c r="HE34" s="49"/>
      <c r="HF34" s="49"/>
      <c r="HG34" s="49"/>
      <c r="HH34" s="49"/>
      <c r="HI34" s="49"/>
      <c r="HJ34" s="49"/>
      <c r="HK34" s="49"/>
      <c r="HL34" s="49"/>
      <c r="HM34" s="49"/>
      <c r="HN34" s="49"/>
      <c r="HO34" s="49"/>
      <c r="HP34" s="49"/>
      <c r="HQ34" s="49"/>
      <c r="HR34" s="49"/>
      <c r="HS34" s="49"/>
      <c r="HT34" s="49"/>
      <c r="HU34" s="49"/>
      <c r="HV34" s="49"/>
      <c r="HW34" s="49"/>
      <c r="HX34" s="49"/>
      <c r="HY34" s="49"/>
      <c r="HZ34" s="49"/>
      <c r="IA34" s="49"/>
      <c r="IB34" s="49"/>
      <c r="IC34" s="49"/>
      <c r="ID34" s="49"/>
      <c r="IE34" s="49"/>
      <c r="IF34" s="49"/>
      <c r="IG34" s="49"/>
      <c r="IH34" s="49"/>
      <c r="II34" s="49"/>
      <c r="IJ34" s="49"/>
      <c r="IK34" s="49"/>
      <c r="IL34" s="49"/>
      <c r="IM34" s="49"/>
      <c r="IN34" s="49"/>
      <c r="IO34" s="49"/>
      <c r="IP34" s="49"/>
      <c r="IQ34" s="49"/>
      <c r="IR34" s="49"/>
      <c r="IS34" s="49"/>
      <c r="IT34" s="49"/>
      <c r="IU34" s="49"/>
      <c r="IV34" s="49"/>
    </row>
    <row r="35" spans="1:256" s="198" customFormat="1" ht="12" customHeight="1">
      <c r="A35" s="1252"/>
      <c r="B35" s="200"/>
      <c r="C35" s="486"/>
      <c r="D35" s="203"/>
      <c r="E35" s="203"/>
      <c r="F35" s="203"/>
      <c r="G35" s="203"/>
      <c r="H35" s="175"/>
      <c r="I35" s="1265"/>
      <c r="J35" s="1265"/>
      <c r="K35" s="175"/>
      <c r="L35" s="1265"/>
      <c r="M35" s="1265"/>
      <c r="N35" s="1265"/>
      <c r="O35" s="1265"/>
      <c r="P35" s="1265"/>
      <c r="Q35" s="999"/>
      <c r="R35" s="999"/>
      <c r="S35" s="999"/>
      <c r="T35" s="2801"/>
      <c r="U35" s="233"/>
      <c r="V35" s="49"/>
      <c r="W35" s="218"/>
      <c r="X35" s="218"/>
      <c r="Y35" s="216"/>
      <c r="Z35" s="216"/>
      <c r="AA35" s="215"/>
      <c r="AB35" s="216"/>
      <c r="AC35" s="216"/>
      <c r="AD35" s="239"/>
      <c r="AE35" s="216"/>
      <c r="AF35" s="216"/>
      <c r="AG35" s="216"/>
      <c r="AH35" s="216"/>
      <c r="AI35" s="216"/>
      <c r="AJ35" s="216"/>
      <c r="AK35" s="239"/>
      <c r="AL35" s="216"/>
      <c r="AM35" s="216"/>
      <c r="AN35" s="216"/>
      <c r="AO35" s="216"/>
      <c r="AP35" s="216"/>
      <c r="AQ35" s="216"/>
      <c r="AR35" s="216"/>
      <c r="AS35" s="216"/>
      <c r="AT35" s="216"/>
      <c r="AU35" s="216"/>
      <c r="AV35" s="217"/>
      <c r="AW35" s="355"/>
      <c r="AX35" s="217"/>
      <c r="AY35" s="1559"/>
      <c r="AZ35" s="249"/>
      <c r="BA35" s="221"/>
      <c r="BB35" s="300"/>
      <c r="BC35" s="217"/>
      <c r="BD35" s="392"/>
      <c r="BE35" s="1244"/>
      <c r="BF35" s="249"/>
      <c r="BG35" s="252"/>
      <c r="BH35" s="1469"/>
      <c r="BI35" s="216"/>
      <c r="BJ35" s="1469"/>
      <c r="BK35" s="1459"/>
      <c r="BL35" s="260"/>
      <c r="BM35" s="214"/>
      <c r="BN35" s="293"/>
      <c r="BO35" s="217"/>
      <c r="BP35" s="355"/>
      <c r="BQ35" s="217"/>
      <c r="BR35" s="1193"/>
      <c r="BS35" s="249"/>
      <c r="BT35" s="216"/>
      <c r="BU35" s="1195"/>
      <c r="BV35" s="249"/>
      <c r="BW35" s="216"/>
      <c r="BX35" s="1195"/>
      <c r="BY35" s="249"/>
      <c r="BZ35" s="216"/>
      <c r="CA35" s="1195"/>
      <c r="CB35" s="249"/>
      <c r="CC35" s="216"/>
      <c r="CD35" s="1195"/>
      <c r="CE35" s="249"/>
      <c r="CF35" s="216"/>
      <c r="CG35" s="1195"/>
      <c r="CH35" s="249"/>
      <c r="CI35" s="216"/>
      <c r="CJ35" s="1195"/>
      <c r="CK35" s="249"/>
      <c r="CL35" s="216"/>
      <c r="CM35" s="1194"/>
      <c r="CN35" s="1524"/>
      <c r="CO35" s="217"/>
      <c r="CP35" s="1193"/>
      <c r="CQ35" s="293"/>
      <c r="CR35" s="217"/>
      <c r="CS35" s="305"/>
      <c r="CT35" s="249"/>
      <c r="CU35" s="216"/>
      <c r="CV35" s="1193"/>
      <c r="CW35" s="249"/>
      <c r="CX35" s="216"/>
      <c r="CY35" s="305"/>
      <c r="CZ35" s="249"/>
      <c r="DA35" s="216"/>
      <c r="DB35" s="307"/>
      <c r="DC35" s="328"/>
      <c r="DD35" s="322"/>
      <c r="DE35" s="305"/>
      <c r="DF35" s="249"/>
      <c r="DG35" s="216"/>
      <c r="DH35" s="305"/>
      <c r="DI35" s="249"/>
      <c r="DJ35" s="216"/>
      <c r="DK35" s="309"/>
      <c r="DL35" s="293"/>
      <c r="DM35" s="326"/>
      <c r="DN35" s="1256"/>
      <c r="DO35" s="214"/>
      <c r="DP35" s="1257"/>
      <c r="DQ35" s="1258"/>
      <c r="DR35" s="305"/>
      <c r="DS35" s="249"/>
      <c r="DT35" s="216"/>
      <c r="DU35" s="2518"/>
      <c r="DV35" s="1030"/>
      <c r="DW35" s="2519"/>
      <c r="DX35" s="305"/>
      <c r="DY35" s="249"/>
      <c r="DZ35" s="221"/>
      <c r="EA35" s="388"/>
      <c r="EB35" s="249"/>
      <c r="EC35" s="216"/>
      <c r="ED35" s="1461"/>
      <c r="EE35" s="249"/>
      <c r="EF35" s="216"/>
      <c r="EG35" s="355"/>
      <c r="EH35" s="1425"/>
      <c r="EI35" s="1470"/>
      <c r="EJ35" s="249"/>
      <c r="EK35" s="221"/>
      <c r="EL35" s="313"/>
      <c r="EM35" s="249"/>
      <c r="EN35" s="221"/>
      <c r="EO35" s="313"/>
      <c r="EP35" s="249"/>
      <c r="EQ35" s="216"/>
      <c r="ER35" s="313"/>
      <c r="ES35" s="249"/>
      <c r="ET35" s="216"/>
      <c r="EU35" s="313"/>
      <c r="EV35" s="249"/>
      <c r="EW35" s="216"/>
      <c r="EX35" s="2505"/>
      <c r="EY35" s="249"/>
      <c r="EZ35" s="221"/>
      <c r="FA35" s="313"/>
      <c r="FB35" s="249"/>
      <c r="FC35" s="221"/>
      <c r="FD35" s="313"/>
      <c r="FE35" s="249"/>
      <c r="FF35" s="221"/>
      <c r="FG35" s="313"/>
      <c r="FH35" s="249"/>
      <c r="FI35" s="216"/>
      <c r="FJ35" s="1435"/>
      <c r="FK35" s="216"/>
      <c r="FL35" s="1268"/>
      <c r="FM35" s="1655"/>
      <c r="FN35" s="1268"/>
      <c r="FO35" s="1655"/>
      <c r="FP35" s="1268"/>
      <c r="FQ35" s="1656"/>
      <c r="FR35" s="249"/>
      <c r="FS35" s="216"/>
      <c r="FT35" s="1657"/>
      <c r="FU35" s="1658"/>
      <c r="FV35" s="242"/>
      <c r="FW35" s="2522"/>
      <c r="FX35" s="2523"/>
      <c r="FY35" s="336"/>
      <c r="FZ35" s="223"/>
      <c r="GA35" s="338"/>
      <c r="GB35" s="204"/>
      <c r="GC35" s="339"/>
      <c r="GD35" s="342"/>
      <c r="GE35" s="199"/>
      <c r="GF35" s="199"/>
      <c r="GG35" s="199"/>
      <c r="GH35" s="199"/>
      <c r="GI35" s="199"/>
      <c r="GJ35" s="199"/>
      <c r="GK35" s="199"/>
      <c r="GL35" s="49"/>
      <c r="GM35" s="28"/>
      <c r="GN35" s="28"/>
      <c r="GO35" s="322"/>
      <c r="GP35" s="1190"/>
      <c r="GQ35" s="1190"/>
      <c r="GR35" s="49"/>
      <c r="GS35" s="2879"/>
      <c r="GT35" s="2880"/>
      <c r="GU35" s="2881"/>
      <c r="GV35" s="49"/>
      <c r="GW35" s="49"/>
      <c r="GX35" s="49"/>
      <c r="GY35" s="49"/>
      <c r="GZ35" s="49"/>
      <c r="HA35" s="49"/>
      <c r="HB35" s="49"/>
      <c r="HC35" s="49"/>
      <c r="HD35" s="49"/>
      <c r="HE35" s="49"/>
      <c r="HF35" s="49"/>
      <c r="HG35" s="49"/>
      <c r="HH35" s="49"/>
      <c r="HI35" s="49"/>
      <c r="HJ35" s="49"/>
      <c r="HK35" s="49"/>
      <c r="HL35" s="49"/>
      <c r="HM35" s="49"/>
      <c r="HN35" s="49"/>
      <c r="HO35" s="49"/>
      <c r="HP35" s="49"/>
      <c r="HQ35" s="49"/>
      <c r="HR35" s="49"/>
      <c r="HS35" s="49"/>
      <c r="HT35" s="49"/>
      <c r="HU35" s="49"/>
      <c r="HV35" s="49"/>
      <c r="HW35" s="49"/>
      <c r="HX35" s="49"/>
      <c r="HY35" s="49"/>
      <c r="HZ35" s="49"/>
      <c r="IA35" s="49"/>
      <c r="IB35" s="49"/>
      <c r="IC35" s="49"/>
      <c r="ID35" s="49"/>
      <c r="IE35" s="49"/>
      <c r="IF35" s="49"/>
      <c r="IG35" s="49"/>
      <c r="IH35" s="49"/>
      <c r="II35" s="49"/>
      <c r="IJ35" s="49"/>
      <c r="IK35" s="49"/>
      <c r="IL35" s="49"/>
      <c r="IM35" s="49"/>
      <c r="IN35" s="49"/>
      <c r="IO35" s="49"/>
      <c r="IP35" s="49"/>
      <c r="IQ35" s="49"/>
      <c r="IR35" s="49"/>
      <c r="IS35" s="49"/>
      <c r="IT35" s="49"/>
      <c r="IU35" s="49"/>
      <c r="IV35" s="49"/>
    </row>
    <row r="36" spans="1:256" s="198" customFormat="1" ht="12" customHeight="1">
      <c r="A36" s="1252"/>
      <c r="B36" s="200"/>
      <c r="C36" s="486"/>
      <c r="D36" s="203"/>
      <c r="E36" s="203"/>
      <c r="F36" s="203"/>
      <c r="G36" s="203"/>
      <c r="H36" s="175"/>
      <c r="I36" s="1265"/>
      <c r="J36" s="1265"/>
      <c r="K36" s="175"/>
      <c r="L36" s="1265"/>
      <c r="M36" s="1265"/>
      <c r="N36" s="1265"/>
      <c r="O36" s="1265"/>
      <c r="P36" s="1265"/>
      <c r="Q36" s="999"/>
      <c r="R36" s="999"/>
      <c r="S36" s="999"/>
      <c r="T36" s="2801"/>
      <c r="U36" s="233"/>
      <c r="V36" s="49"/>
      <c r="W36" s="218"/>
      <c r="X36" s="218"/>
      <c r="Y36" s="216"/>
      <c r="Z36" s="216"/>
      <c r="AA36" s="215"/>
      <c r="AB36" s="216"/>
      <c r="AC36" s="216"/>
      <c r="AD36" s="239"/>
      <c r="AE36" s="216"/>
      <c r="AF36" s="216"/>
      <c r="AG36" s="216"/>
      <c r="AH36" s="216"/>
      <c r="AI36" s="216"/>
      <c r="AJ36" s="216"/>
      <c r="AK36" s="239"/>
      <c r="AL36" s="216"/>
      <c r="AM36" s="216"/>
      <c r="AN36" s="216"/>
      <c r="AO36" s="216"/>
      <c r="AP36" s="216"/>
      <c r="AQ36" s="216"/>
      <c r="AR36" s="216"/>
      <c r="AS36" s="216"/>
      <c r="AT36" s="216"/>
      <c r="AU36" s="216"/>
      <c r="AV36" s="217"/>
      <c r="AW36" s="355"/>
      <c r="AX36" s="217"/>
      <c r="AY36" s="1559"/>
      <c r="AZ36" s="249"/>
      <c r="BA36" s="221"/>
      <c r="BB36" s="300"/>
      <c r="BC36" s="217"/>
      <c r="BD36" s="392"/>
      <c r="BE36" s="1244"/>
      <c r="BF36" s="249"/>
      <c r="BG36" s="252"/>
      <c r="BH36" s="1469"/>
      <c r="BI36" s="216"/>
      <c r="BJ36" s="1469"/>
      <c r="BK36" s="1459"/>
      <c r="BL36" s="260"/>
      <c r="BM36" s="214"/>
      <c r="BN36" s="293"/>
      <c r="BO36" s="217"/>
      <c r="BP36" s="355"/>
      <c r="BQ36" s="217"/>
      <c r="BR36" s="1193"/>
      <c r="BS36" s="249"/>
      <c r="BT36" s="216"/>
      <c r="BU36" s="1195"/>
      <c r="BV36" s="249"/>
      <c r="BW36" s="216"/>
      <c r="BX36" s="1195"/>
      <c r="BY36" s="249"/>
      <c r="BZ36" s="216"/>
      <c r="CA36" s="1195"/>
      <c r="CB36" s="249"/>
      <c r="CC36" s="216"/>
      <c r="CD36" s="1195"/>
      <c r="CE36" s="249"/>
      <c r="CF36" s="216"/>
      <c r="CG36" s="1195"/>
      <c r="CH36" s="249"/>
      <c r="CI36" s="216"/>
      <c r="CJ36" s="1195"/>
      <c r="CK36" s="249"/>
      <c r="CL36" s="216"/>
      <c r="CM36" s="1194"/>
      <c r="CN36" s="1524"/>
      <c r="CO36" s="217"/>
      <c r="CP36" s="1193"/>
      <c r="CQ36" s="293"/>
      <c r="CR36" s="217"/>
      <c r="CS36" s="305"/>
      <c r="CT36" s="249"/>
      <c r="CU36" s="216"/>
      <c r="CV36" s="1193"/>
      <c r="CW36" s="249"/>
      <c r="CX36" s="216"/>
      <c r="CY36" s="305"/>
      <c r="CZ36" s="249"/>
      <c r="DA36" s="216"/>
      <c r="DB36" s="307"/>
      <c r="DC36" s="328"/>
      <c r="DD36" s="322"/>
      <c r="DE36" s="305"/>
      <c r="DF36" s="249"/>
      <c r="DG36" s="216"/>
      <c r="DH36" s="305"/>
      <c r="DI36" s="249"/>
      <c r="DJ36" s="216"/>
      <c r="DK36" s="309"/>
      <c r="DL36" s="293"/>
      <c r="DM36" s="326"/>
      <c r="DN36" s="1256"/>
      <c r="DO36" s="214"/>
      <c r="DP36" s="1257"/>
      <c r="DQ36" s="1258"/>
      <c r="DR36" s="305"/>
      <c r="DS36" s="249"/>
      <c r="DT36" s="216"/>
      <c r="DU36" s="2518"/>
      <c r="DV36" s="1030"/>
      <c r="DW36" s="2519"/>
      <c r="DX36" s="305"/>
      <c r="DY36" s="249"/>
      <c r="DZ36" s="221"/>
      <c r="EA36" s="388"/>
      <c r="EB36" s="249"/>
      <c r="EC36" s="216"/>
      <c r="ED36" s="1461"/>
      <c r="EE36" s="249"/>
      <c r="EF36" s="216"/>
      <c r="EG36" s="355"/>
      <c r="EH36" s="1425"/>
      <c r="EI36" s="1470"/>
      <c r="EJ36" s="249"/>
      <c r="EK36" s="221"/>
      <c r="EL36" s="313"/>
      <c r="EM36" s="249"/>
      <c r="EN36" s="221"/>
      <c r="EO36" s="313"/>
      <c r="EP36" s="249"/>
      <c r="EQ36" s="216"/>
      <c r="ER36" s="313"/>
      <c r="ES36" s="249"/>
      <c r="ET36" s="216"/>
      <c r="EU36" s="313"/>
      <c r="EV36" s="249"/>
      <c r="EW36" s="216"/>
      <c r="EX36" s="2505"/>
      <c r="EY36" s="249"/>
      <c r="EZ36" s="221"/>
      <c r="FA36" s="313"/>
      <c r="FB36" s="249"/>
      <c r="FC36" s="221"/>
      <c r="FD36" s="313"/>
      <c r="FE36" s="249"/>
      <c r="FF36" s="221"/>
      <c r="FG36" s="313"/>
      <c r="FH36" s="249"/>
      <c r="FI36" s="216"/>
      <c r="FJ36" s="1435"/>
      <c r="FK36" s="216"/>
      <c r="FL36" s="1268"/>
      <c r="FM36" s="1655"/>
      <c r="FN36" s="1268"/>
      <c r="FO36" s="1655"/>
      <c r="FP36" s="1268"/>
      <c r="FQ36" s="1656"/>
      <c r="FR36" s="249"/>
      <c r="FS36" s="216"/>
      <c r="FT36" s="1657"/>
      <c r="FU36" s="1658"/>
      <c r="FV36" s="242"/>
      <c r="FW36" s="2522"/>
      <c r="FX36" s="2523"/>
      <c r="FY36" s="336"/>
      <c r="FZ36" s="223"/>
      <c r="GA36" s="338"/>
      <c r="GB36" s="204"/>
      <c r="GC36" s="339"/>
      <c r="GD36" s="342"/>
      <c r="GE36" s="199"/>
      <c r="GF36" s="199"/>
      <c r="GG36" s="199"/>
      <c r="GH36" s="199"/>
      <c r="GI36" s="199"/>
      <c r="GJ36" s="199"/>
      <c r="GK36" s="199"/>
      <c r="GL36" s="49"/>
      <c r="GM36" s="28"/>
      <c r="GN36" s="28"/>
      <c r="GO36" s="322"/>
      <c r="GP36" s="1190"/>
      <c r="GQ36" s="1190"/>
      <c r="GR36" s="49"/>
      <c r="GS36" s="2879"/>
      <c r="GT36" s="2880"/>
      <c r="GU36" s="2881"/>
      <c r="GV36" s="49"/>
      <c r="GW36" s="49"/>
      <c r="GX36" s="49"/>
      <c r="GY36" s="49"/>
      <c r="GZ36" s="49"/>
      <c r="HA36" s="49"/>
      <c r="HB36" s="49"/>
      <c r="HC36" s="49"/>
      <c r="HD36" s="49"/>
      <c r="HE36" s="49"/>
      <c r="HF36" s="49"/>
      <c r="HG36" s="49"/>
      <c r="HH36" s="49"/>
      <c r="HI36" s="49"/>
      <c r="HJ36" s="49"/>
      <c r="HK36" s="49"/>
      <c r="HL36" s="49"/>
      <c r="HM36" s="49"/>
      <c r="HN36" s="49"/>
      <c r="HO36" s="49"/>
      <c r="HP36" s="49"/>
      <c r="HQ36" s="49"/>
      <c r="HR36" s="49"/>
      <c r="HS36" s="49"/>
      <c r="HT36" s="49"/>
      <c r="HU36" s="49"/>
      <c r="HV36" s="49"/>
      <c r="HW36" s="49"/>
      <c r="HX36" s="49"/>
      <c r="HY36" s="49"/>
      <c r="HZ36" s="49"/>
      <c r="IA36" s="49"/>
      <c r="IB36" s="49"/>
      <c r="IC36" s="49"/>
      <c r="ID36" s="49"/>
      <c r="IE36" s="49"/>
      <c r="IF36" s="49"/>
      <c r="IG36" s="49"/>
      <c r="IH36" s="49"/>
      <c r="II36" s="49"/>
      <c r="IJ36" s="49"/>
      <c r="IK36" s="49"/>
      <c r="IL36" s="49"/>
      <c r="IM36" s="49"/>
      <c r="IN36" s="49"/>
      <c r="IO36" s="49"/>
      <c r="IP36" s="49"/>
      <c r="IQ36" s="49"/>
      <c r="IR36" s="49"/>
      <c r="IS36" s="49"/>
      <c r="IT36" s="49"/>
      <c r="IU36" s="49"/>
      <c r="IV36" s="49"/>
    </row>
    <row r="37" spans="1:256" s="198" customFormat="1" ht="12" customHeight="1">
      <c r="A37" s="1252"/>
      <c r="B37" s="200"/>
      <c r="C37" s="486"/>
      <c r="D37" s="203"/>
      <c r="E37" s="203"/>
      <c r="F37" s="203"/>
      <c r="G37" s="203"/>
      <c r="H37" s="175"/>
      <c r="I37" s="1265"/>
      <c r="J37" s="1265"/>
      <c r="K37" s="175"/>
      <c r="L37" s="1265"/>
      <c r="M37" s="1265"/>
      <c r="N37" s="1265"/>
      <c r="O37" s="1265"/>
      <c r="P37" s="1265"/>
      <c r="Q37" s="999"/>
      <c r="R37" s="999"/>
      <c r="S37" s="999"/>
      <c r="T37" s="2801"/>
      <c r="U37" s="233"/>
      <c r="V37" s="49"/>
      <c r="W37" s="218"/>
      <c r="X37" s="218"/>
      <c r="Y37" s="216"/>
      <c r="Z37" s="216"/>
      <c r="AA37" s="215"/>
      <c r="AB37" s="216"/>
      <c r="AC37" s="216"/>
      <c r="AD37" s="239"/>
      <c r="AE37" s="216"/>
      <c r="AF37" s="216"/>
      <c r="AG37" s="216"/>
      <c r="AH37" s="216"/>
      <c r="AI37" s="216"/>
      <c r="AJ37" s="216"/>
      <c r="AK37" s="239"/>
      <c r="AL37" s="216"/>
      <c r="AM37" s="216"/>
      <c r="AN37" s="216"/>
      <c r="AO37" s="216"/>
      <c r="AP37" s="216"/>
      <c r="AQ37" s="216"/>
      <c r="AR37" s="216"/>
      <c r="AS37" s="216"/>
      <c r="AT37" s="216"/>
      <c r="AU37" s="216"/>
      <c r="AV37" s="217"/>
      <c r="AW37" s="355"/>
      <c r="AX37" s="217"/>
      <c r="AY37" s="1559"/>
      <c r="AZ37" s="249"/>
      <c r="BA37" s="221"/>
      <c r="BB37" s="300"/>
      <c r="BC37" s="217"/>
      <c r="BD37" s="392"/>
      <c r="BE37" s="1244"/>
      <c r="BF37" s="249"/>
      <c r="BG37" s="252"/>
      <c r="BH37" s="1469"/>
      <c r="BI37" s="216"/>
      <c r="BJ37" s="1469"/>
      <c r="BK37" s="1459"/>
      <c r="BL37" s="260"/>
      <c r="BM37" s="214"/>
      <c r="BN37" s="293"/>
      <c r="BO37" s="217"/>
      <c r="BP37" s="355"/>
      <c r="BQ37" s="217"/>
      <c r="BR37" s="1193"/>
      <c r="BS37" s="249"/>
      <c r="BT37" s="216"/>
      <c r="BU37" s="1195"/>
      <c r="BV37" s="249"/>
      <c r="BW37" s="216"/>
      <c r="BX37" s="1195"/>
      <c r="BY37" s="249"/>
      <c r="BZ37" s="216"/>
      <c r="CA37" s="1195"/>
      <c r="CB37" s="249"/>
      <c r="CC37" s="216"/>
      <c r="CD37" s="1195"/>
      <c r="CE37" s="249"/>
      <c r="CF37" s="216"/>
      <c r="CG37" s="1195"/>
      <c r="CH37" s="249"/>
      <c r="CI37" s="216"/>
      <c r="CJ37" s="1195"/>
      <c r="CK37" s="249"/>
      <c r="CL37" s="216"/>
      <c r="CM37" s="1194"/>
      <c r="CN37" s="1524"/>
      <c r="CO37" s="217"/>
      <c r="CP37" s="1193"/>
      <c r="CQ37" s="293"/>
      <c r="CR37" s="217"/>
      <c r="CS37" s="305"/>
      <c r="CT37" s="249"/>
      <c r="CU37" s="216"/>
      <c r="CV37" s="1193"/>
      <c r="CW37" s="249"/>
      <c r="CX37" s="216"/>
      <c r="CY37" s="305"/>
      <c r="CZ37" s="249"/>
      <c r="DA37" s="216"/>
      <c r="DB37" s="307"/>
      <c r="DC37" s="328"/>
      <c r="DD37" s="322"/>
      <c r="DE37" s="305"/>
      <c r="DF37" s="249"/>
      <c r="DG37" s="216"/>
      <c r="DH37" s="305"/>
      <c r="DI37" s="249"/>
      <c r="DJ37" s="216"/>
      <c r="DK37" s="309"/>
      <c r="DL37" s="293"/>
      <c r="DM37" s="326"/>
      <c r="DN37" s="1256"/>
      <c r="DO37" s="214"/>
      <c r="DP37" s="1257"/>
      <c r="DQ37" s="1258"/>
      <c r="DR37" s="305"/>
      <c r="DS37" s="249"/>
      <c r="DT37" s="216"/>
      <c r="DU37" s="2518"/>
      <c r="DV37" s="1030"/>
      <c r="DW37" s="2519"/>
      <c r="DX37" s="305"/>
      <c r="DY37" s="249"/>
      <c r="DZ37" s="221"/>
      <c r="EA37" s="388"/>
      <c r="EB37" s="249"/>
      <c r="EC37" s="216"/>
      <c r="ED37" s="1461"/>
      <c r="EE37" s="249"/>
      <c r="EF37" s="216"/>
      <c r="EG37" s="355"/>
      <c r="EH37" s="1425"/>
      <c r="EI37" s="1470"/>
      <c r="EJ37" s="249"/>
      <c r="EK37" s="221"/>
      <c r="EL37" s="313"/>
      <c r="EM37" s="249"/>
      <c r="EN37" s="221"/>
      <c r="EO37" s="313"/>
      <c r="EP37" s="249"/>
      <c r="EQ37" s="216"/>
      <c r="ER37" s="313"/>
      <c r="ES37" s="249"/>
      <c r="ET37" s="216"/>
      <c r="EU37" s="313"/>
      <c r="EV37" s="249"/>
      <c r="EW37" s="216"/>
      <c r="EX37" s="2505"/>
      <c r="EY37" s="249"/>
      <c r="EZ37" s="221"/>
      <c r="FA37" s="313"/>
      <c r="FB37" s="249"/>
      <c r="FC37" s="221"/>
      <c r="FD37" s="313"/>
      <c r="FE37" s="249"/>
      <c r="FF37" s="221"/>
      <c r="FG37" s="313"/>
      <c r="FH37" s="249"/>
      <c r="FI37" s="216"/>
      <c r="FJ37" s="1435"/>
      <c r="FK37" s="216"/>
      <c r="FL37" s="1268"/>
      <c r="FM37" s="1655"/>
      <c r="FN37" s="1268"/>
      <c r="FO37" s="1655"/>
      <c r="FP37" s="1268"/>
      <c r="FQ37" s="1656"/>
      <c r="FR37" s="249"/>
      <c r="FS37" s="216"/>
      <c r="FT37" s="1657"/>
      <c r="FU37" s="1658"/>
      <c r="FV37" s="242"/>
      <c r="FW37" s="2522"/>
      <c r="FX37" s="2523"/>
      <c r="FY37" s="336"/>
      <c r="FZ37" s="223"/>
      <c r="GA37" s="338"/>
      <c r="GB37" s="204"/>
      <c r="GC37" s="339"/>
      <c r="GD37" s="342"/>
      <c r="GE37" s="199"/>
      <c r="GF37" s="199"/>
      <c r="GG37" s="199"/>
      <c r="GH37" s="199"/>
      <c r="GI37" s="199"/>
      <c r="GJ37" s="199"/>
      <c r="GK37" s="199"/>
      <c r="GL37" s="49"/>
      <c r="GM37" s="28"/>
      <c r="GN37" s="28"/>
      <c r="GO37" s="322"/>
      <c r="GP37" s="1190"/>
      <c r="GQ37" s="1190"/>
      <c r="GR37" s="49"/>
      <c r="GS37" s="2879"/>
      <c r="GT37" s="2880"/>
      <c r="GU37" s="2881"/>
      <c r="GV37" s="49"/>
      <c r="GW37" s="49"/>
      <c r="GX37" s="49"/>
      <c r="GY37" s="49"/>
      <c r="GZ37" s="49"/>
      <c r="HA37" s="49"/>
      <c r="HB37" s="49"/>
      <c r="HC37" s="49"/>
      <c r="HD37" s="49"/>
      <c r="HE37" s="49"/>
      <c r="HF37" s="49"/>
      <c r="HG37" s="49"/>
      <c r="HH37" s="49"/>
      <c r="HI37" s="49"/>
      <c r="HJ37" s="49"/>
      <c r="HK37" s="49"/>
      <c r="HL37" s="49"/>
      <c r="HM37" s="49"/>
      <c r="HN37" s="49"/>
      <c r="HO37" s="49"/>
      <c r="HP37" s="49"/>
      <c r="HQ37" s="49"/>
      <c r="HR37" s="49"/>
      <c r="HS37" s="49"/>
      <c r="HT37" s="49"/>
      <c r="HU37" s="49"/>
      <c r="HV37" s="49"/>
      <c r="HW37" s="49"/>
      <c r="HX37" s="49"/>
      <c r="HY37" s="49"/>
      <c r="HZ37" s="49"/>
      <c r="IA37" s="49"/>
      <c r="IB37" s="49"/>
      <c r="IC37" s="49"/>
      <c r="ID37" s="49"/>
      <c r="IE37" s="49"/>
      <c r="IF37" s="49"/>
      <c r="IG37" s="49"/>
      <c r="IH37" s="49"/>
      <c r="II37" s="49"/>
      <c r="IJ37" s="49"/>
      <c r="IK37" s="49"/>
      <c r="IL37" s="49"/>
      <c r="IM37" s="49"/>
      <c r="IN37" s="49"/>
      <c r="IO37" s="49"/>
      <c r="IP37" s="49"/>
      <c r="IQ37" s="49"/>
      <c r="IR37" s="49"/>
      <c r="IS37" s="49"/>
      <c r="IT37" s="49"/>
      <c r="IU37" s="49"/>
      <c r="IV37" s="49"/>
    </row>
    <row r="38" spans="1:256" s="198" customFormat="1" ht="12" customHeight="1">
      <c r="A38" s="1252"/>
      <c r="B38" s="200"/>
      <c r="C38" s="486"/>
      <c r="D38" s="203"/>
      <c r="E38" s="203"/>
      <c r="F38" s="203"/>
      <c r="G38" s="203"/>
      <c r="H38" s="175"/>
      <c r="I38" s="1265"/>
      <c r="J38" s="1265"/>
      <c r="K38" s="175"/>
      <c r="L38" s="1265"/>
      <c r="M38" s="1265"/>
      <c r="N38" s="1265"/>
      <c r="O38" s="1265"/>
      <c r="P38" s="1265"/>
      <c r="Q38" s="999"/>
      <c r="R38" s="999"/>
      <c r="S38" s="999"/>
      <c r="T38" s="2801"/>
      <c r="U38" s="233"/>
      <c r="V38" s="49"/>
      <c r="W38" s="218"/>
      <c r="X38" s="218"/>
      <c r="Y38" s="216"/>
      <c r="Z38" s="216"/>
      <c r="AA38" s="215"/>
      <c r="AB38" s="216"/>
      <c r="AC38" s="216"/>
      <c r="AD38" s="239"/>
      <c r="AE38" s="216"/>
      <c r="AF38" s="216"/>
      <c r="AG38" s="216"/>
      <c r="AH38" s="216"/>
      <c r="AI38" s="216"/>
      <c r="AJ38" s="216"/>
      <c r="AK38" s="239"/>
      <c r="AL38" s="216"/>
      <c r="AM38" s="216"/>
      <c r="AN38" s="216"/>
      <c r="AO38" s="216"/>
      <c r="AP38" s="216"/>
      <c r="AQ38" s="216"/>
      <c r="AR38" s="216"/>
      <c r="AS38" s="216"/>
      <c r="AT38" s="216"/>
      <c r="AU38" s="216"/>
      <c r="AV38" s="217"/>
      <c r="AW38" s="355"/>
      <c r="AX38" s="217"/>
      <c r="AY38" s="1559"/>
      <c r="AZ38" s="249"/>
      <c r="BA38" s="221"/>
      <c r="BB38" s="300"/>
      <c r="BC38" s="217"/>
      <c r="BD38" s="392"/>
      <c r="BE38" s="1244"/>
      <c r="BF38" s="249"/>
      <c r="BG38" s="252"/>
      <c r="BH38" s="1469"/>
      <c r="BI38" s="216"/>
      <c r="BJ38" s="1469"/>
      <c r="BK38" s="1459"/>
      <c r="BL38" s="260"/>
      <c r="BM38" s="214"/>
      <c r="BN38" s="293"/>
      <c r="BO38" s="217"/>
      <c r="BP38" s="355"/>
      <c r="BQ38" s="217"/>
      <c r="BR38" s="1193"/>
      <c r="BS38" s="249"/>
      <c r="BT38" s="216"/>
      <c r="BU38" s="1195"/>
      <c r="BV38" s="249"/>
      <c r="BW38" s="216"/>
      <c r="BX38" s="1195"/>
      <c r="BY38" s="249"/>
      <c r="BZ38" s="216"/>
      <c r="CA38" s="1195"/>
      <c r="CB38" s="249"/>
      <c r="CC38" s="216"/>
      <c r="CD38" s="1195"/>
      <c r="CE38" s="249"/>
      <c r="CF38" s="216"/>
      <c r="CG38" s="1195"/>
      <c r="CH38" s="249"/>
      <c r="CI38" s="216"/>
      <c r="CJ38" s="1195"/>
      <c r="CK38" s="249"/>
      <c r="CL38" s="216"/>
      <c r="CM38" s="1194"/>
      <c r="CN38" s="1524"/>
      <c r="CO38" s="217"/>
      <c r="CP38" s="1193"/>
      <c r="CQ38" s="293"/>
      <c r="CR38" s="217"/>
      <c r="CS38" s="305"/>
      <c r="CT38" s="249"/>
      <c r="CU38" s="216"/>
      <c r="CV38" s="1193"/>
      <c r="CW38" s="249"/>
      <c r="CX38" s="216"/>
      <c r="CY38" s="305"/>
      <c r="CZ38" s="249"/>
      <c r="DA38" s="216"/>
      <c r="DB38" s="307"/>
      <c r="DC38" s="328"/>
      <c r="DD38" s="322"/>
      <c r="DE38" s="305"/>
      <c r="DF38" s="249"/>
      <c r="DG38" s="216"/>
      <c r="DH38" s="305"/>
      <c r="DI38" s="249"/>
      <c r="DJ38" s="216"/>
      <c r="DK38" s="309"/>
      <c r="DL38" s="293"/>
      <c r="DM38" s="326"/>
      <c r="DN38" s="1256"/>
      <c r="DO38" s="214"/>
      <c r="DP38" s="1257"/>
      <c r="DQ38" s="1258"/>
      <c r="DR38" s="305"/>
      <c r="DS38" s="249"/>
      <c r="DT38" s="216"/>
      <c r="DU38" s="2518"/>
      <c r="DV38" s="1030"/>
      <c r="DW38" s="2519"/>
      <c r="DX38" s="305"/>
      <c r="DY38" s="249"/>
      <c r="DZ38" s="221"/>
      <c r="EA38" s="388"/>
      <c r="EB38" s="249"/>
      <c r="EC38" s="216"/>
      <c r="ED38" s="1461"/>
      <c r="EE38" s="249"/>
      <c r="EF38" s="216"/>
      <c r="EG38" s="355"/>
      <c r="EH38" s="1425"/>
      <c r="EI38" s="1470"/>
      <c r="EJ38" s="249"/>
      <c r="EK38" s="221"/>
      <c r="EL38" s="313"/>
      <c r="EM38" s="249"/>
      <c r="EN38" s="221"/>
      <c r="EO38" s="313"/>
      <c r="EP38" s="249"/>
      <c r="EQ38" s="216"/>
      <c r="ER38" s="313"/>
      <c r="ES38" s="249"/>
      <c r="ET38" s="216"/>
      <c r="EU38" s="313"/>
      <c r="EV38" s="249"/>
      <c r="EW38" s="216"/>
      <c r="EX38" s="2505"/>
      <c r="EY38" s="249"/>
      <c r="EZ38" s="221"/>
      <c r="FA38" s="313"/>
      <c r="FB38" s="249"/>
      <c r="FC38" s="221"/>
      <c r="FD38" s="313"/>
      <c r="FE38" s="249"/>
      <c r="FF38" s="221"/>
      <c r="FG38" s="313"/>
      <c r="FH38" s="249"/>
      <c r="FI38" s="216"/>
      <c r="FJ38" s="1435"/>
      <c r="FK38" s="216"/>
      <c r="FL38" s="1268"/>
      <c r="FM38" s="1655"/>
      <c r="FN38" s="1268"/>
      <c r="FO38" s="1655"/>
      <c r="FP38" s="1268"/>
      <c r="FQ38" s="1656"/>
      <c r="FR38" s="249"/>
      <c r="FS38" s="216"/>
      <c r="FT38" s="1657"/>
      <c r="FU38" s="1658"/>
      <c r="FV38" s="242"/>
      <c r="FW38" s="2522"/>
      <c r="FX38" s="2523"/>
      <c r="FY38" s="336"/>
      <c r="FZ38" s="223"/>
      <c r="GA38" s="338"/>
      <c r="GB38" s="204"/>
      <c r="GC38" s="339"/>
      <c r="GD38" s="342"/>
      <c r="GE38" s="199"/>
      <c r="GF38" s="199"/>
      <c r="GG38" s="199"/>
      <c r="GH38" s="199"/>
      <c r="GI38" s="199"/>
      <c r="GJ38" s="199"/>
      <c r="GK38" s="199"/>
      <c r="GL38" s="49"/>
      <c r="GM38" s="28"/>
      <c r="GN38" s="28"/>
      <c r="GO38" s="322"/>
      <c r="GP38" s="1190"/>
      <c r="GQ38" s="1190"/>
      <c r="GR38" s="49"/>
      <c r="GS38" s="2879"/>
      <c r="GT38" s="2880"/>
      <c r="GU38" s="2881"/>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49"/>
      <c r="IG38" s="49"/>
      <c r="IH38" s="49"/>
      <c r="II38" s="49"/>
      <c r="IJ38" s="49"/>
      <c r="IK38" s="49"/>
      <c r="IL38" s="49"/>
      <c r="IM38" s="49"/>
      <c r="IN38" s="49"/>
      <c r="IO38" s="49"/>
      <c r="IP38" s="49"/>
      <c r="IQ38" s="49"/>
      <c r="IR38" s="49"/>
      <c r="IS38" s="49"/>
      <c r="IT38" s="49"/>
      <c r="IU38" s="49"/>
      <c r="IV38" s="49"/>
    </row>
    <row r="39" spans="1:256" s="198" customFormat="1" ht="12" customHeight="1">
      <c r="A39" s="1252"/>
      <c r="B39" s="200"/>
      <c r="C39" s="486"/>
      <c r="D39" s="203"/>
      <c r="E39" s="203"/>
      <c r="F39" s="203"/>
      <c r="G39" s="203"/>
      <c r="H39" s="175"/>
      <c r="I39" s="1265"/>
      <c r="J39" s="1265"/>
      <c r="K39" s="175"/>
      <c r="L39" s="1265"/>
      <c r="M39" s="1265"/>
      <c r="N39" s="1265"/>
      <c r="O39" s="1265"/>
      <c r="P39" s="1265"/>
      <c r="Q39" s="999"/>
      <c r="R39" s="999"/>
      <c r="S39" s="999"/>
      <c r="T39" s="2801"/>
      <c r="U39" s="233"/>
      <c r="V39" s="49"/>
      <c r="W39" s="218"/>
      <c r="X39" s="218"/>
      <c r="Y39" s="216"/>
      <c r="Z39" s="216"/>
      <c r="AA39" s="215"/>
      <c r="AB39" s="216"/>
      <c r="AC39" s="216"/>
      <c r="AD39" s="239"/>
      <c r="AE39" s="216"/>
      <c r="AF39" s="216"/>
      <c r="AG39" s="216"/>
      <c r="AH39" s="216"/>
      <c r="AI39" s="216"/>
      <c r="AJ39" s="216"/>
      <c r="AK39" s="239"/>
      <c r="AL39" s="216"/>
      <c r="AM39" s="216"/>
      <c r="AN39" s="216"/>
      <c r="AO39" s="216"/>
      <c r="AP39" s="216"/>
      <c r="AQ39" s="216"/>
      <c r="AR39" s="216"/>
      <c r="AS39" s="216"/>
      <c r="AT39" s="216"/>
      <c r="AU39" s="216"/>
      <c r="AV39" s="217"/>
      <c r="AW39" s="355"/>
      <c r="AX39" s="217"/>
      <c r="AY39" s="1559"/>
      <c r="AZ39" s="249"/>
      <c r="BA39" s="221"/>
      <c r="BB39" s="300"/>
      <c r="BC39" s="217"/>
      <c r="BD39" s="392"/>
      <c r="BE39" s="1244"/>
      <c r="BF39" s="249"/>
      <c r="BG39" s="252"/>
      <c r="BH39" s="1469"/>
      <c r="BI39" s="216"/>
      <c r="BJ39" s="1469"/>
      <c r="BK39" s="1459"/>
      <c r="BL39" s="260"/>
      <c r="BM39" s="214"/>
      <c r="BN39" s="293"/>
      <c r="BO39" s="217"/>
      <c r="BP39" s="355"/>
      <c r="BQ39" s="217"/>
      <c r="BR39" s="1193"/>
      <c r="BS39" s="249"/>
      <c r="BT39" s="216"/>
      <c r="BU39" s="1195"/>
      <c r="BV39" s="249"/>
      <c r="BW39" s="216"/>
      <c r="BX39" s="1195"/>
      <c r="BY39" s="249"/>
      <c r="BZ39" s="216"/>
      <c r="CA39" s="1195"/>
      <c r="CB39" s="249"/>
      <c r="CC39" s="216"/>
      <c r="CD39" s="1195"/>
      <c r="CE39" s="249"/>
      <c r="CF39" s="216"/>
      <c r="CG39" s="1195"/>
      <c r="CH39" s="249"/>
      <c r="CI39" s="216"/>
      <c r="CJ39" s="1195"/>
      <c r="CK39" s="249"/>
      <c r="CL39" s="216"/>
      <c r="CM39" s="1194"/>
      <c r="CN39" s="1524"/>
      <c r="CO39" s="217"/>
      <c r="CP39" s="1193"/>
      <c r="CQ39" s="293"/>
      <c r="CR39" s="217"/>
      <c r="CS39" s="305"/>
      <c r="CT39" s="249"/>
      <c r="CU39" s="216"/>
      <c r="CV39" s="1193"/>
      <c r="CW39" s="249"/>
      <c r="CX39" s="216"/>
      <c r="CY39" s="305"/>
      <c r="CZ39" s="249"/>
      <c r="DA39" s="216"/>
      <c r="DB39" s="307"/>
      <c r="DC39" s="328"/>
      <c r="DD39" s="322"/>
      <c r="DE39" s="305"/>
      <c r="DF39" s="249"/>
      <c r="DG39" s="216"/>
      <c r="DH39" s="305"/>
      <c r="DI39" s="249"/>
      <c r="DJ39" s="216"/>
      <c r="DK39" s="309"/>
      <c r="DL39" s="293"/>
      <c r="DM39" s="326"/>
      <c r="DN39" s="1256"/>
      <c r="DO39" s="214"/>
      <c r="DP39" s="1257"/>
      <c r="DQ39" s="1258"/>
      <c r="DR39" s="305"/>
      <c r="DS39" s="249"/>
      <c r="DT39" s="216"/>
      <c r="DU39" s="2518"/>
      <c r="DV39" s="1030"/>
      <c r="DW39" s="2519"/>
      <c r="DX39" s="305"/>
      <c r="DY39" s="249"/>
      <c r="DZ39" s="221"/>
      <c r="EA39" s="388"/>
      <c r="EB39" s="249"/>
      <c r="EC39" s="216"/>
      <c r="ED39" s="1461"/>
      <c r="EE39" s="249"/>
      <c r="EF39" s="216"/>
      <c r="EG39" s="355"/>
      <c r="EH39" s="1425"/>
      <c r="EI39" s="1470"/>
      <c r="EJ39" s="249"/>
      <c r="EK39" s="221"/>
      <c r="EL39" s="313"/>
      <c r="EM39" s="249"/>
      <c r="EN39" s="221"/>
      <c r="EO39" s="313"/>
      <c r="EP39" s="249"/>
      <c r="EQ39" s="216"/>
      <c r="ER39" s="313"/>
      <c r="ES39" s="249"/>
      <c r="ET39" s="216"/>
      <c r="EU39" s="313"/>
      <c r="EV39" s="249"/>
      <c r="EW39" s="216"/>
      <c r="EX39" s="2505"/>
      <c r="EY39" s="249"/>
      <c r="EZ39" s="221"/>
      <c r="FA39" s="313"/>
      <c r="FB39" s="249"/>
      <c r="FC39" s="221"/>
      <c r="FD39" s="313"/>
      <c r="FE39" s="249"/>
      <c r="FF39" s="221"/>
      <c r="FG39" s="313"/>
      <c r="FH39" s="249"/>
      <c r="FI39" s="216"/>
      <c r="FJ39" s="1435"/>
      <c r="FK39" s="216"/>
      <c r="FL39" s="1268"/>
      <c r="FM39" s="1655"/>
      <c r="FN39" s="1268"/>
      <c r="FO39" s="1655"/>
      <c r="FP39" s="1268"/>
      <c r="FQ39" s="1656"/>
      <c r="FR39" s="249"/>
      <c r="FS39" s="216"/>
      <c r="FT39" s="1657"/>
      <c r="FU39" s="1658"/>
      <c r="FV39" s="242"/>
      <c r="FW39" s="2522"/>
      <c r="FX39" s="2523"/>
      <c r="FY39" s="336"/>
      <c r="FZ39" s="223"/>
      <c r="GA39" s="338"/>
      <c r="GB39" s="204"/>
      <c r="GC39" s="339"/>
      <c r="GD39" s="342"/>
      <c r="GE39" s="199"/>
      <c r="GF39" s="199"/>
      <c r="GG39" s="199"/>
      <c r="GH39" s="199"/>
      <c r="GI39" s="199"/>
      <c r="GJ39" s="199"/>
      <c r="GK39" s="199"/>
      <c r="GL39" s="49"/>
      <c r="GM39" s="28"/>
      <c r="GN39" s="28"/>
      <c r="GO39" s="322"/>
      <c r="GP39" s="1190"/>
      <c r="GQ39" s="1190"/>
      <c r="GR39" s="49"/>
      <c r="GS39" s="2879"/>
      <c r="GT39" s="2880"/>
      <c r="GU39" s="2881"/>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49"/>
      <c r="IG39" s="49"/>
      <c r="IH39" s="49"/>
      <c r="II39" s="49"/>
      <c r="IJ39" s="49"/>
      <c r="IK39" s="49"/>
      <c r="IL39" s="49"/>
      <c r="IM39" s="49"/>
      <c r="IN39" s="49"/>
      <c r="IO39" s="49"/>
      <c r="IP39" s="49"/>
      <c r="IQ39" s="49"/>
      <c r="IR39" s="49"/>
      <c r="IS39" s="49"/>
      <c r="IT39" s="49"/>
      <c r="IU39" s="49"/>
      <c r="IV39" s="49"/>
    </row>
    <row r="40" spans="1:256" s="198" customFormat="1" ht="12" customHeight="1">
      <c r="A40" s="1252"/>
      <c r="B40" s="200"/>
      <c r="C40" s="486"/>
      <c r="D40" s="203"/>
      <c r="E40" s="203"/>
      <c r="F40" s="203"/>
      <c r="G40" s="203"/>
      <c r="H40" s="175"/>
      <c r="I40" s="1265"/>
      <c r="J40" s="1265"/>
      <c r="K40" s="175"/>
      <c r="L40" s="1265"/>
      <c r="M40" s="1265"/>
      <c r="N40" s="1265"/>
      <c r="O40" s="1265"/>
      <c r="P40" s="1265"/>
      <c r="Q40" s="999"/>
      <c r="R40" s="999"/>
      <c r="S40" s="999"/>
      <c r="T40" s="2801"/>
      <c r="U40" s="233"/>
      <c r="V40" s="49"/>
      <c r="W40" s="218"/>
      <c r="X40" s="218"/>
      <c r="Y40" s="216"/>
      <c r="Z40" s="216"/>
      <c r="AA40" s="215"/>
      <c r="AB40" s="216"/>
      <c r="AC40" s="216"/>
      <c r="AD40" s="239"/>
      <c r="AE40" s="216"/>
      <c r="AF40" s="216"/>
      <c r="AG40" s="216"/>
      <c r="AH40" s="216"/>
      <c r="AI40" s="216"/>
      <c r="AJ40" s="216"/>
      <c r="AK40" s="239"/>
      <c r="AL40" s="216"/>
      <c r="AM40" s="216"/>
      <c r="AN40" s="216"/>
      <c r="AO40" s="216"/>
      <c r="AP40" s="216"/>
      <c r="AQ40" s="216"/>
      <c r="AR40" s="216"/>
      <c r="AS40" s="216"/>
      <c r="AT40" s="216"/>
      <c r="AU40" s="216"/>
      <c r="AV40" s="217"/>
      <c r="AW40" s="355"/>
      <c r="AX40" s="217"/>
      <c r="AY40" s="1559"/>
      <c r="AZ40" s="249"/>
      <c r="BA40" s="221"/>
      <c r="BB40" s="300"/>
      <c r="BC40" s="217"/>
      <c r="BD40" s="392"/>
      <c r="BE40" s="1244"/>
      <c r="BF40" s="249"/>
      <c r="BG40" s="252"/>
      <c r="BH40" s="1469"/>
      <c r="BI40" s="216"/>
      <c r="BJ40" s="1469"/>
      <c r="BK40" s="1459"/>
      <c r="BL40" s="260"/>
      <c r="BM40" s="214"/>
      <c r="BN40" s="293"/>
      <c r="BO40" s="217"/>
      <c r="BP40" s="355"/>
      <c r="BQ40" s="217"/>
      <c r="BR40" s="1193"/>
      <c r="BS40" s="249"/>
      <c r="BT40" s="216"/>
      <c r="BU40" s="1195"/>
      <c r="BV40" s="249"/>
      <c r="BW40" s="216"/>
      <c r="BX40" s="1195"/>
      <c r="BY40" s="249"/>
      <c r="BZ40" s="216"/>
      <c r="CA40" s="1195"/>
      <c r="CB40" s="249"/>
      <c r="CC40" s="216"/>
      <c r="CD40" s="1195"/>
      <c r="CE40" s="249"/>
      <c r="CF40" s="216"/>
      <c r="CG40" s="1195"/>
      <c r="CH40" s="249"/>
      <c r="CI40" s="216"/>
      <c r="CJ40" s="1195"/>
      <c r="CK40" s="249"/>
      <c r="CL40" s="216"/>
      <c r="CM40" s="1194"/>
      <c r="CN40" s="1524"/>
      <c r="CO40" s="217"/>
      <c r="CP40" s="1193"/>
      <c r="CQ40" s="293"/>
      <c r="CR40" s="217"/>
      <c r="CS40" s="305"/>
      <c r="CT40" s="249"/>
      <c r="CU40" s="216"/>
      <c r="CV40" s="1193"/>
      <c r="CW40" s="249"/>
      <c r="CX40" s="216"/>
      <c r="CY40" s="305"/>
      <c r="CZ40" s="249"/>
      <c r="DA40" s="216"/>
      <c r="DB40" s="307"/>
      <c r="DC40" s="328"/>
      <c r="DD40" s="322"/>
      <c r="DE40" s="305"/>
      <c r="DF40" s="249"/>
      <c r="DG40" s="216"/>
      <c r="DH40" s="305"/>
      <c r="DI40" s="249"/>
      <c r="DJ40" s="216"/>
      <c r="DK40" s="309"/>
      <c r="DL40" s="293"/>
      <c r="DM40" s="326"/>
      <c r="DN40" s="1256"/>
      <c r="DO40" s="214"/>
      <c r="DP40" s="1257"/>
      <c r="DQ40" s="1258"/>
      <c r="DR40" s="305"/>
      <c r="DS40" s="249"/>
      <c r="DT40" s="216"/>
      <c r="DU40" s="2518"/>
      <c r="DV40"/>
      <c r="DW40"/>
      <c r="DX40" s="305"/>
      <c r="DY40" s="249"/>
      <c r="DZ40" s="221"/>
      <c r="EA40" s="388"/>
      <c r="EB40" s="249"/>
      <c r="EC40" s="216"/>
      <c r="ED40" s="1461"/>
      <c r="EE40" s="249"/>
      <c r="EF40" s="216"/>
      <c r="EG40" s="355"/>
      <c r="EH40" s="1425"/>
      <c r="EI40" s="1470"/>
      <c r="EJ40" s="249"/>
      <c r="EK40" s="221"/>
      <c r="EL40" s="313"/>
      <c r="EM40" s="249"/>
      <c r="EN40" s="221"/>
      <c r="EO40" s="313"/>
      <c r="EP40" s="249"/>
      <c r="EQ40" s="216"/>
      <c r="ER40" s="313"/>
      <c r="ES40" s="249"/>
      <c r="ET40" s="216"/>
      <c r="EU40" s="313"/>
      <c r="EV40" s="249"/>
      <c r="EW40" s="216"/>
      <c r="EX40" s="2505"/>
      <c r="EY40" s="249"/>
      <c r="EZ40" s="221"/>
      <c r="FA40" s="313"/>
      <c r="FB40" s="249"/>
      <c r="FC40" s="221"/>
      <c r="FD40" s="313"/>
      <c r="FE40" s="249"/>
      <c r="FF40" s="221"/>
      <c r="FG40" s="313"/>
      <c r="FH40" s="249"/>
      <c r="FI40" s="216"/>
      <c r="FJ40" s="1435"/>
      <c r="FK40" s="216"/>
      <c r="FL40" s="1268"/>
      <c r="FM40" s="1655"/>
      <c r="FN40" s="1268"/>
      <c r="FO40" s="1655"/>
      <c r="FP40" s="1268"/>
      <c r="FQ40" s="1656"/>
      <c r="FR40" s="249"/>
      <c r="FS40" s="216"/>
      <c r="FT40" s="1657"/>
      <c r="FU40" s="1658"/>
      <c r="FV40" s="242"/>
      <c r="FW40" s="2522"/>
      <c r="FX40" s="2523"/>
      <c r="FY40" s="336"/>
      <c r="FZ40" s="223"/>
      <c r="GA40" s="338"/>
      <c r="GB40" s="204"/>
      <c r="GC40" s="339"/>
      <c r="GD40" s="342"/>
      <c r="GE40" s="199"/>
      <c r="GF40" s="199"/>
      <c r="GG40" s="199"/>
      <c r="GH40" s="199"/>
      <c r="GI40" s="199"/>
      <c r="GJ40" s="199"/>
      <c r="GK40" s="199"/>
      <c r="GL40" s="49"/>
      <c r="GM40" s="28"/>
      <c r="GN40" s="28"/>
      <c r="GO40" s="322"/>
      <c r="GP40" s="1190"/>
      <c r="GQ40" s="1190"/>
      <c r="GR40" s="49"/>
      <c r="GS40" s="2879"/>
      <c r="GT40" s="2880"/>
      <c r="GU40" s="2881"/>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49"/>
      <c r="IF40" s="49"/>
      <c r="IG40" s="49"/>
      <c r="IH40" s="49"/>
      <c r="II40" s="49"/>
      <c r="IJ40" s="49"/>
      <c r="IK40" s="49"/>
      <c r="IL40" s="49"/>
      <c r="IM40" s="49"/>
      <c r="IN40" s="49"/>
      <c r="IO40" s="49"/>
      <c r="IP40" s="49"/>
      <c r="IQ40" s="49"/>
      <c r="IR40" s="49"/>
      <c r="IS40" s="49"/>
      <c r="IT40" s="49"/>
      <c r="IU40" s="49"/>
      <c r="IV40" s="49"/>
    </row>
    <row r="41" spans="1:256" s="198" customFormat="1" ht="12" customHeight="1">
      <c r="A41" s="1252"/>
      <c r="B41" s="200"/>
      <c r="C41" s="486"/>
      <c r="D41" s="203"/>
      <c r="E41" s="203"/>
      <c r="F41" s="203"/>
      <c r="G41" s="203"/>
      <c r="H41" s="175"/>
      <c r="I41" s="1265"/>
      <c r="J41" s="1265"/>
      <c r="K41" s="175"/>
      <c r="L41" s="1265"/>
      <c r="M41" s="1265"/>
      <c r="N41" s="1265"/>
      <c r="O41" s="1265"/>
      <c r="P41" s="1265"/>
      <c r="Q41" s="999"/>
      <c r="R41" s="999"/>
      <c r="S41" s="999"/>
      <c r="T41" s="2801"/>
      <c r="U41" s="233"/>
      <c r="V41" s="49"/>
      <c r="W41" s="218"/>
      <c r="X41" s="218"/>
      <c r="Y41" s="216"/>
      <c r="Z41" s="216"/>
      <c r="AA41" s="215"/>
      <c r="AB41" s="216"/>
      <c r="AC41" s="216"/>
      <c r="AD41" s="239"/>
      <c r="AE41" s="216"/>
      <c r="AF41" s="216"/>
      <c r="AG41" s="216"/>
      <c r="AH41" s="216"/>
      <c r="AI41" s="216"/>
      <c r="AJ41" s="216"/>
      <c r="AK41" s="239"/>
      <c r="AL41" s="216"/>
      <c r="AM41" s="216"/>
      <c r="AN41" s="216"/>
      <c r="AO41" s="216"/>
      <c r="AP41" s="216"/>
      <c r="AQ41" s="216"/>
      <c r="AR41" s="216"/>
      <c r="AS41" s="216"/>
      <c r="AT41" s="216"/>
      <c r="AU41" s="216"/>
      <c r="AV41" s="217"/>
      <c r="AW41" s="355"/>
      <c r="AX41" s="217"/>
      <c r="AY41" s="1559"/>
      <c r="AZ41" s="249"/>
      <c r="BA41" s="221"/>
      <c r="BB41" s="300"/>
      <c r="BC41" s="217"/>
      <c r="BD41" s="392"/>
      <c r="BE41" s="1244"/>
      <c r="BF41" s="249"/>
      <c r="BG41" s="252"/>
      <c r="BH41" s="1469"/>
      <c r="BI41" s="216"/>
      <c r="BJ41" s="1469"/>
      <c r="BK41" s="1459"/>
      <c r="BL41" s="260"/>
      <c r="BM41" s="214"/>
      <c r="BN41" s="293"/>
      <c r="BO41" s="217"/>
      <c r="BP41" s="355"/>
      <c r="BQ41" s="217"/>
      <c r="BR41" s="1193"/>
      <c r="BS41" s="249"/>
      <c r="BT41" s="216"/>
      <c r="BU41" s="1195"/>
      <c r="BV41" s="249"/>
      <c r="BW41" s="216"/>
      <c r="BX41" s="1195"/>
      <c r="BY41" s="249"/>
      <c r="BZ41" s="216"/>
      <c r="CA41" s="1195"/>
      <c r="CB41" s="249"/>
      <c r="CC41" s="216"/>
      <c r="CD41" s="1195"/>
      <c r="CE41" s="249"/>
      <c r="CF41" s="216"/>
      <c r="CG41" s="1195"/>
      <c r="CH41" s="249"/>
      <c r="CI41" s="216"/>
      <c r="CJ41" s="1195"/>
      <c r="CK41" s="249"/>
      <c r="CL41" s="216"/>
      <c r="CM41" s="1194"/>
      <c r="CN41" s="1524"/>
      <c r="CO41" s="217"/>
      <c r="CP41" s="1193"/>
      <c r="CQ41" s="293"/>
      <c r="CR41" s="217"/>
      <c r="CS41" s="305"/>
      <c r="CT41" s="249"/>
      <c r="CU41" s="216"/>
      <c r="CV41" s="1193"/>
      <c r="CW41" s="249"/>
      <c r="CX41" s="216"/>
      <c r="CY41" s="305"/>
      <c r="CZ41" s="249"/>
      <c r="DA41" s="216"/>
      <c r="DB41" s="307"/>
      <c r="DC41" s="328"/>
      <c r="DD41" s="322"/>
      <c r="DE41" s="305"/>
      <c r="DF41" s="249"/>
      <c r="DG41" s="216"/>
      <c r="DH41" s="305"/>
      <c r="DI41" s="249"/>
      <c r="DJ41" s="216"/>
      <c r="DK41" s="309"/>
      <c r="DL41" s="293"/>
      <c r="DM41" s="326"/>
      <c r="DN41" s="1256"/>
      <c r="DO41" s="214"/>
      <c r="DP41" s="1257"/>
      <c r="DQ41" s="1258"/>
      <c r="DR41" s="305"/>
      <c r="DS41" s="249"/>
      <c r="DT41" s="216"/>
      <c r="DU41" s="2518"/>
      <c r="DV41"/>
      <c r="DW41"/>
      <c r="DX41" s="305"/>
      <c r="DY41" s="249"/>
      <c r="DZ41" s="221"/>
      <c r="EA41" s="388"/>
      <c r="EB41" s="249"/>
      <c r="EC41" s="216"/>
      <c r="ED41" s="1461"/>
      <c r="EE41" s="249"/>
      <c r="EF41" s="216"/>
      <c r="EG41" s="355"/>
      <c r="EH41" s="1425"/>
      <c r="EI41" s="1470"/>
      <c r="EJ41" s="249"/>
      <c r="EK41" s="221"/>
      <c r="EL41" s="313"/>
      <c r="EM41" s="249"/>
      <c r="EN41" s="221"/>
      <c r="EO41" s="313"/>
      <c r="EP41" s="249"/>
      <c r="EQ41" s="216"/>
      <c r="ER41" s="313"/>
      <c r="ES41" s="249"/>
      <c r="ET41" s="216"/>
      <c r="EU41" s="313"/>
      <c r="EV41" s="249"/>
      <c r="EW41" s="216"/>
      <c r="EX41" s="2505"/>
      <c r="EY41" s="249"/>
      <c r="EZ41" s="221"/>
      <c r="FA41" s="313"/>
      <c r="FB41" s="249"/>
      <c r="FC41" s="221"/>
      <c r="FD41" s="313"/>
      <c r="FE41" s="249"/>
      <c r="FF41" s="221"/>
      <c r="FG41" s="313"/>
      <c r="FH41" s="249"/>
      <c r="FI41" s="216"/>
      <c r="FJ41" s="1435"/>
      <c r="FK41" s="216"/>
      <c r="FL41" s="1268"/>
      <c r="FM41" s="1655"/>
      <c r="FN41" s="1268"/>
      <c r="FO41" s="1655"/>
      <c r="FP41" s="1268"/>
      <c r="FQ41" s="1656"/>
      <c r="FR41" s="249"/>
      <c r="FS41" s="216"/>
      <c r="FT41" s="1657"/>
      <c r="FU41" s="1658"/>
      <c r="FV41" s="242"/>
      <c r="FW41" s="2522"/>
      <c r="FX41" s="2523"/>
      <c r="FY41" s="336"/>
      <c r="FZ41" s="223"/>
      <c r="GA41" s="338"/>
      <c r="GB41" s="204"/>
      <c r="GC41" s="339"/>
      <c r="GD41" s="342"/>
      <c r="GE41" s="199"/>
      <c r="GF41" s="199"/>
      <c r="GG41" s="199"/>
      <c r="GH41" s="199"/>
      <c r="GI41" s="199"/>
      <c r="GJ41" s="199"/>
      <c r="GK41" s="199"/>
      <c r="GL41" s="49"/>
      <c r="GM41" s="28"/>
      <c r="GN41" s="28"/>
      <c r="GO41" s="322"/>
      <c r="GP41" s="1190"/>
      <c r="GQ41" s="1190"/>
      <c r="GR41" s="49"/>
      <c r="GS41" s="2879"/>
      <c r="GT41" s="2880"/>
      <c r="GU41" s="2881"/>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49"/>
      <c r="IG41" s="49"/>
      <c r="IH41" s="49"/>
      <c r="II41" s="49"/>
      <c r="IJ41" s="49"/>
      <c r="IK41" s="49"/>
      <c r="IL41" s="49"/>
      <c r="IM41" s="49"/>
      <c r="IN41" s="49"/>
      <c r="IO41" s="49"/>
      <c r="IP41" s="49"/>
      <c r="IQ41" s="49"/>
      <c r="IR41" s="49"/>
      <c r="IS41" s="49"/>
      <c r="IT41" s="49"/>
      <c r="IU41" s="49"/>
      <c r="IV41" s="49"/>
    </row>
    <row r="42" spans="1:256" s="198" customFormat="1" ht="12" customHeight="1">
      <c r="A42" s="1252"/>
      <c r="B42" s="200"/>
      <c r="C42" s="486"/>
      <c r="D42" s="203"/>
      <c r="E42" s="203"/>
      <c r="F42" s="203"/>
      <c r="G42" s="203"/>
      <c r="H42" s="175"/>
      <c r="I42" s="1265"/>
      <c r="J42" s="1265"/>
      <c r="K42" s="175"/>
      <c r="L42" s="1265"/>
      <c r="M42" s="1265"/>
      <c r="N42" s="1265"/>
      <c r="O42" s="1265"/>
      <c r="P42" s="1265"/>
      <c r="Q42" s="999"/>
      <c r="R42" s="999"/>
      <c r="S42" s="999"/>
      <c r="T42" s="2801"/>
      <c r="U42" s="233"/>
      <c r="V42" s="49"/>
      <c r="W42" s="218"/>
      <c r="X42" s="218"/>
      <c r="Y42" s="216"/>
      <c r="Z42" s="216"/>
      <c r="AA42" s="215"/>
      <c r="AB42" s="216"/>
      <c r="AC42" s="216"/>
      <c r="AD42" s="239"/>
      <c r="AE42" s="216"/>
      <c r="AF42" s="216"/>
      <c r="AG42" s="216"/>
      <c r="AH42" s="216"/>
      <c r="AI42" s="216"/>
      <c r="AJ42" s="216"/>
      <c r="AK42" s="239"/>
      <c r="AL42" s="216"/>
      <c r="AM42" s="216"/>
      <c r="AN42" s="216"/>
      <c r="AO42" s="216"/>
      <c r="AP42" s="216"/>
      <c r="AQ42" s="216"/>
      <c r="AR42" s="216"/>
      <c r="AS42" s="216"/>
      <c r="AT42" s="216"/>
      <c r="AU42" s="216"/>
      <c r="AV42" s="217"/>
      <c r="AW42" s="355"/>
      <c r="AX42" s="217"/>
      <c r="AY42" s="1559"/>
      <c r="AZ42" s="249"/>
      <c r="BA42" s="221"/>
      <c r="BB42" s="300"/>
      <c r="BC42" s="217"/>
      <c r="BD42" s="392"/>
      <c r="BE42" s="1244"/>
      <c r="BF42" s="249"/>
      <c r="BG42" s="252"/>
      <c r="BH42" s="1469"/>
      <c r="BI42" s="216"/>
      <c r="BJ42" s="1469"/>
      <c r="BK42" s="1459"/>
      <c r="BL42" s="260"/>
      <c r="BM42" s="214"/>
      <c r="BN42" s="293"/>
      <c r="BO42" s="217"/>
      <c r="BP42" s="355"/>
      <c r="BQ42" s="217"/>
      <c r="BR42" s="1193"/>
      <c r="BS42" s="249"/>
      <c r="BT42" s="216"/>
      <c r="BU42" s="1195"/>
      <c r="BV42" s="249"/>
      <c r="BW42" s="216"/>
      <c r="BX42" s="1195"/>
      <c r="BY42" s="249"/>
      <c r="BZ42" s="216"/>
      <c r="CA42" s="1195"/>
      <c r="CB42" s="249"/>
      <c r="CC42" s="216"/>
      <c r="CD42" s="1195"/>
      <c r="CE42" s="249"/>
      <c r="CF42" s="216"/>
      <c r="CG42" s="1195"/>
      <c r="CH42" s="249"/>
      <c r="CI42" s="216"/>
      <c r="CJ42" s="1195"/>
      <c r="CK42" s="249"/>
      <c r="CL42" s="216"/>
      <c r="CM42" s="1194"/>
      <c r="CN42" s="1524"/>
      <c r="CO42" s="217"/>
      <c r="CP42" s="1193"/>
      <c r="CQ42" s="293"/>
      <c r="CR42" s="217"/>
      <c r="CS42" s="305"/>
      <c r="CT42" s="249"/>
      <c r="CU42" s="216"/>
      <c r="CV42" s="1193"/>
      <c r="CW42" s="249"/>
      <c r="CX42" s="216"/>
      <c r="CY42" s="305"/>
      <c r="CZ42" s="249"/>
      <c r="DA42" s="216"/>
      <c r="DB42" s="307"/>
      <c r="DC42" s="328"/>
      <c r="DD42" s="322"/>
      <c r="DE42" s="305"/>
      <c r="DF42" s="249"/>
      <c r="DG42" s="216"/>
      <c r="DH42" s="305"/>
      <c r="DI42" s="249"/>
      <c r="DJ42" s="216"/>
      <c r="DK42" s="309"/>
      <c r="DL42" s="293"/>
      <c r="DM42" s="326"/>
      <c r="DN42" s="1256"/>
      <c r="DO42" s="214"/>
      <c r="DP42" s="1257"/>
      <c r="DQ42" s="1258"/>
      <c r="DR42" s="305"/>
      <c r="DS42" s="249"/>
      <c r="DT42" s="216"/>
      <c r="DU42" s="2518"/>
      <c r="DV42"/>
      <c r="DW42"/>
      <c r="DX42" s="305"/>
      <c r="DY42" s="249"/>
      <c r="DZ42" s="221"/>
      <c r="EA42" s="388"/>
      <c r="EB42" s="249"/>
      <c r="EC42" s="216"/>
      <c r="ED42" s="1461"/>
      <c r="EE42" s="249"/>
      <c r="EF42" s="216"/>
      <c r="EG42" s="355"/>
      <c r="EH42" s="1425"/>
      <c r="EI42" s="1470"/>
      <c r="EJ42" s="249"/>
      <c r="EK42" s="221"/>
      <c r="EL42" s="313"/>
      <c r="EM42" s="249"/>
      <c r="EN42" s="221"/>
      <c r="EO42" s="313"/>
      <c r="EP42" s="249"/>
      <c r="EQ42" s="216"/>
      <c r="ER42" s="313"/>
      <c r="ES42" s="249"/>
      <c r="ET42" s="216"/>
      <c r="EU42" s="313"/>
      <c r="EV42" s="249"/>
      <c r="EW42" s="216"/>
      <c r="EX42" s="2505"/>
      <c r="EY42" s="249"/>
      <c r="EZ42" s="221"/>
      <c r="FA42" s="313"/>
      <c r="FB42" s="249"/>
      <c r="FC42" s="221"/>
      <c r="FD42" s="313"/>
      <c r="FE42" s="249"/>
      <c r="FF42" s="221"/>
      <c r="FG42" s="313"/>
      <c r="FH42" s="249"/>
      <c r="FI42" s="216"/>
      <c r="FJ42" s="1435"/>
      <c r="FK42" s="216"/>
      <c r="FL42" s="1268"/>
      <c r="FM42" s="1655"/>
      <c r="FN42" s="1268"/>
      <c r="FO42" s="1655"/>
      <c r="FP42" s="1268"/>
      <c r="FQ42" s="1656"/>
      <c r="FR42" s="249"/>
      <c r="FS42" s="216"/>
      <c r="FT42" s="1657"/>
      <c r="FU42" s="1658"/>
      <c r="FV42" s="242"/>
      <c r="FW42" s="2522"/>
      <c r="FX42" s="2523"/>
      <c r="FY42" s="336"/>
      <c r="FZ42" s="223"/>
      <c r="GA42" s="338"/>
      <c r="GB42" s="204"/>
      <c r="GC42" s="339"/>
      <c r="GD42" s="342"/>
      <c r="GE42" s="199"/>
      <c r="GF42" s="199"/>
      <c r="GG42" s="199"/>
      <c r="GH42" s="199"/>
      <c r="GI42" s="199"/>
      <c r="GJ42" s="199"/>
      <c r="GK42" s="199"/>
      <c r="GL42" s="49"/>
      <c r="GM42" s="28"/>
      <c r="GN42" s="28"/>
      <c r="GO42" s="322"/>
      <c r="GP42" s="1190"/>
      <c r="GQ42" s="1190"/>
      <c r="GR42" s="49"/>
      <c r="GS42" s="2879"/>
      <c r="GT42" s="2880"/>
      <c r="GU42" s="2881"/>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49"/>
      <c r="IG42" s="49"/>
      <c r="IH42" s="49"/>
      <c r="II42" s="49"/>
      <c r="IJ42" s="49"/>
      <c r="IK42" s="49"/>
      <c r="IL42" s="49"/>
      <c r="IM42" s="49"/>
      <c r="IN42" s="49"/>
      <c r="IO42" s="49"/>
      <c r="IP42" s="49"/>
      <c r="IQ42" s="49"/>
      <c r="IR42" s="49"/>
      <c r="IS42" s="49"/>
      <c r="IT42" s="49"/>
      <c r="IU42" s="49"/>
      <c r="IV42" s="49"/>
    </row>
    <row r="43" spans="1:256" s="198" customFormat="1" ht="12" customHeight="1">
      <c r="A43" s="1252"/>
      <c r="B43" s="200"/>
      <c r="C43" s="486"/>
      <c r="D43" s="203"/>
      <c r="E43" s="203"/>
      <c r="F43" s="203"/>
      <c r="G43" s="203"/>
      <c r="H43" s="175"/>
      <c r="I43" s="1265"/>
      <c r="J43" s="1265"/>
      <c r="K43" s="175"/>
      <c r="L43" s="1265"/>
      <c r="M43" s="1265"/>
      <c r="N43" s="1265"/>
      <c r="O43" s="1265"/>
      <c r="P43" s="1265"/>
      <c r="Q43" s="999"/>
      <c r="R43" s="999"/>
      <c r="S43" s="999"/>
      <c r="T43" s="2801"/>
      <c r="U43" s="233"/>
      <c r="V43" s="49"/>
      <c r="W43" s="218"/>
      <c r="X43" s="218"/>
      <c r="Y43" s="216"/>
      <c r="Z43" s="216"/>
      <c r="AA43" s="215"/>
      <c r="AB43" s="216"/>
      <c r="AC43" s="216"/>
      <c r="AD43" s="239"/>
      <c r="AE43" s="216"/>
      <c r="AF43" s="216"/>
      <c r="AG43" s="216"/>
      <c r="AH43" s="216"/>
      <c r="AI43" s="216"/>
      <c r="AJ43" s="216"/>
      <c r="AK43" s="239"/>
      <c r="AL43" s="216"/>
      <c r="AM43" s="216"/>
      <c r="AN43" s="216"/>
      <c r="AO43" s="216"/>
      <c r="AP43" s="216"/>
      <c r="AQ43" s="216"/>
      <c r="AR43" s="216"/>
      <c r="AS43" s="216"/>
      <c r="AT43" s="216"/>
      <c r="AU43" s="216"/>
      <c r="AV43" s="217"/>
      <c r="AW43" s="355"/>
      <c r="AX43" s="217"/>
      <c r="AY43" s="1559"/>
      <c r="AZ43" s="249"/>
      <c r="BA43" s="221"/>
      <c r="BB43" s="300"/>
      <c r="BC43" s="217"/>
      <c r="BD43" s="392"/>
      <c r="BE43" s="1244"/>
      <c r="BF43" s="249"/>
      <c r="BG43" s="252"/>
      <c r="BH43" s="1469"/>
      <c r="BI43" s="216"/>
      <c r="BJ43" s="1469"/>
      <c r="BK43" s="1459"/>
      <c r="BL43" s="260"/>
      <c r="BM43" s="214"/>
      <c r="BN43" s="293"/>
      <c r="BO43" s="217"/>
      <c r="BP43" s="355"/>
      <c r="BQ43" s="217"/>
      <c r="BR43" s="1193"/>
      <c r="BS43" s="249"/>
      <c r="BT43" s="216"/>
      <c r="BU43" s="1195"/>
      <c r="BV43" s="249"/>
      <c r="BW43" s="216"/>
      <c r="BX43" s="1195"/>
      <c r="BY43" s="249"/>
      <c r="BZ43" s="216"/>
      <c r="CA43" s="1195"/>
      <c r="CB43" s="249"/>
      <c r="CC43" s="216"/>
      <c r="CD43" s="1195"/>
      <c r="CE43" s="249"/>
      <c r="CF43" s="216"/>
      <c r="CG43" s="1195"/>
      <c r="CH43" s="249"/>
      <c r="CI43" s="216"/>
      <c r="CJ43" s="1195"/>
      <c r="CK43" s="249"/>
      <c r="CL43" s="216"/>
      <c r="CM43" s="1194"/>
      <c r="CN43" s="1524"/>
      <c r="CO43" s="217"/>
      <c r="CP43" s="1193"/>
      <c r="CQ43" s="293"/>
      <c r="CR43" s="217"/>
      <c r="CS43" s="305"/>
      <c r="CT43" s="249"/>
      <c r="CU43" s="216"/>
      <c r="CV43" s="1193"/>
      <c r="CW43" s="249"/>
      <c r="CX43" s="216"/>
      <c r="CY43" s="305"/>
      <c r="CZ43" s="249"/>
      <c r="DA43" s="216"/>
      <c r="DB43" s="307"/>
      <c r="DC43" s="328"/>
      <c r="DD43" s="322"/>
      <c r="DE43" s="305"/>
      <c r="DF43" s="249"/>
      <c r="DG43" s="216"/>
      <c r="DH43" s="305"/>
      <c r="DI43" s="249"/>
      <c r="DJ43" s="216"/>
      <c r="DK43" s="309"/>
      <c r="DL43" s="293"/>
      <c r="DM43" s="326"/>
      <c r="DN43" s="1256"/>
      <c r="DO43" s="214"/>
      <c r="DP43" s="1257"/>
      <c r="DQ43" s="1258"/>
      <c r="DR43" s="305"/>
      <c r="DS43" s="249"/>
      <c r="DT43" s="216"/>
      <c r="DU43" s="2518"/>
      <c r="DV43"/>
      <c r="DW43"/>
      <c r="DX43" s="305"/>
      <c r="DY43" s="249"/>
      <c r="DZ43" s="221"/>
      <c r="EA43" s="388"/>
      <c r="EB43" s="249"/>
      <c r="EC43" s="216"/>
      <c r="ED43" s="1461"/>
      <c r="EE43" s="249"/>
      <c r="EF43" s="216"/>
      <c r="EG43" s="355"/>
      <c r="EH43" s="1425"/>
      <c r="EI43" s="1470"/>
      <c r="EJ43" s="249"/>
      <c r="EK43" s="221"/>
      <c r="EL43" s="313"/>
      <c r="EM43" s="249"/>
      <c r="EN43" s="221"/>
      <c r="EO43" s="313"/>
      <c r="EP43" s="249"/>
      <c r="EQ43" s="216"/>
      <c r="ER43" s="313"/>
      <c r="ES43" s="249"/>
      <c r="ET43" s="216"/>
      <c r="EU43" s="313"/>
      <c r="EV43" s="249"/>
      <c r="EW43" s="216"/>
      <c r="EX43" s="2505"/>
      <c r="EY43" s="249"/>
      <c r="EZ43" s="221"/>
      <c r="FA43" s="313"/>
      <c r="FB43" s="249"/>
      <c r="FC43" s="221"/>
      <c r="FD43" s="313"/>
      <c r="FE43" s="249"/>
      <c r="FF43" s="221"/>
      <c r="FG43" s="313"/>
      <c r="FH43" s="249"/>
      <c r="FI43" s="216"/>
      <c r="FJ43" s="1435"/>
      <c r="FK43" s="216"/>
      <c r="FL43" s="1268"/>
      <c r="FM43" s="1655"/>
      <c r="FN43" s="1268"/>
      <c r="FO43" s="1655"/>
      <c r="FP43" s="1268"/>
      <c r="FQ43" s="1656"/>
      <c r="FR43" s="249"/>
      <c r="FS43" s="216"/>
      <c r="FT43" s="1657"/>
      <c r="FU43" s="1658"/>
      <c r="FV43" s="242"/>
      <c r="FW43" s="2522"/>
      <c r="FX43" s="2523"/>
      <c r="FY43" s="336"/>
      <c r="FZ43" s="223"/>
      <c r="GA43" s="338"/>
      <c r="GB43" s="204"/>
      <c r="GC43" s="339"/>
      <c r="GD43" s="342"/>
      <c r="GE43" s="199"/>
      <c r="GF43" s="199"/>
      <c r="GG43" s="199"/>
      <c r="GH43" s="199"/>
      <c r="GI43" s="199"/>
      <c r="GJ43" s="199"/>
      <c r="GK43" s="199"/>
      <c r="GL43" s="49"/>
      <c r="GM43" s="28"/>
      <c r="GN43" s="28"/>
      <c r="GO43" s="322"/>
      <c r="GP43" s="1190"/>
      <c r="GQ43" s="1190"/>
      <c r="GR43" s="49"/>
      <c r="GS43" s="2879"/>
      <c r="GT43" s="2880"/>
      <c r="GU43" s="2881"/>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49"/>
      <c r="IG43" s="49"/>
      <c r="IH43" s="49"/>
      <c r="II43" s="49"/>
      <c r="IJ43" s="49"/>
      <c r="IK43" s="49"/>
      <c r="IL43" s="49"/>
      <c r="IM43" s="49"/>
      <c r="IN43" s="49"/>
      <c r="IO43" s="49"/>
      <c r="IP43" s="49"/>
      <c r="IQ43" s="49"/>
      <c r="IR43" s="49"/>
      <c r="IS43" s="49"/>
      <c r="IT43" s="49"/>
      <c r="IU43" s="49"/>
      <c r="IV43" s="49"/>
    </row>
    <row r="44" spans="1:256" s="198" customFormat="1" ht="12" customHeight="1">
      <c r="A44" s="1252"/>
      <c r="B44" s="200"/>
      <c r="C44" s="486"/>
      <c r="D44" s="203"/>
      <c r="E44" s="203"/>
      <c r="F44" s="203"/>
      <c r="G44" s="203"/>
      <c r="H44" s="175"/>
      <c r="I44" s="1265"/>
      <c r="J44" s="1265"/>
      <c r="K44" s="175"/>
      <c r="L44" s="1265"/>
      <c r="M44" s="1265"/>
      <c r="N44" s="1265"/>
      <c r="O44" s="1265"/>
      <c r="P44" s="1265"/>
      <c r="Q44" s="999"/>
      <c r="R44" s="999"/>
      <c r="S44" s="999"/>
      <c r="T44" s="2801"/>
      <c r="U44" s="233"/>
      <c r="V44" s="49"/>
      <c r="W44" s="218"/>
      <c r="X44" s="218"/>
      <c r="Y44" s="216"/>
      <c r="Z44" s="216"/>
      <c r="AA44" s="215"/>
      <c r="AB44" s="216"/>
      <c r="AC44" s="216"/>
      <c r="AD44" s="239"/>
      <c r="AE44" s="216"/>
      <c r="AF44" s="216"/>
      <c r="AG44" s="216"/>
      <c r="AH44" s="216"/>
      <c r="AI44" s="216"/>
      <c r="AJ44" s="216"/>
      <c r="AK44" s="239"/>
      <c r="AL44" s="216"/>
      <c r="AM44" s="216"/>
      <c r="AN44" s="216"/>
      <c r="AO44" s="216"/>
      <c r="AP44" s="216"/>
      <c r="AQ44" s="216"/>
      <c r="AR44" s="216"/>
      <c r="AS44" s="216"/>
      <c r="AT44" s="216"/>
      <c r="AU44" s="216"/>
      <c r="AV44" s="217"/>
      <c r="AW44" s="355"/>
      <c r="AX44" s="217"/>
      <c r="AY44" s="1559"/>
      <c r="AZ44" s="249"/>
      <c r="BA44" s="221"/>
      <c r="BB44" s="300"/>
      <c r="BC44" s="217"/>
      <c r="BD44" s="392"/>
      <c r="BE44" s="1244"/>
      <c r="BF44" s="249"/>
      <c r="BG44" s="252"/>
      <c r="BH44" s="1469"/>
      <c r="BI44" s="216"/>
      <c r="BJ44" s="1469"/>
      <c r="BK44" s="1459"/>
      <c r="BL44" s="260"/>
      <c r="BM44" s="214"/>
      <c r="BN44" s="293"/>
      <c r="BO44" s="217"/>
      <c r="BP44" s="355"/>
      <c r="BQ44" s="217"/>
      <c r="BR44" s="1193"/>
      <c r="BS44" s="249"/>
      <c r="BT44" s="216"/>
      <c r="BU44" s="1195"/>
      <c r="BV44" s="249"/>
      <c r="BW44" s="216"/>
      <c r="BX44" s="1195"/>
      <c r="BY44" s="249"/>
      <c r="BZ44" s="216"/>
      <c r="CA44" s="1195"/>
      <c r="CB44" s="249"/>
      <c r="CC44" s="216"/>
      <c r="CD44" s="1195"/>
      <c r="CE44" s="249"/>
      <c r="CF44" s="216"/>
      <c r="CG44" s="1195"/>
      <c r="CH44" s="249"/>
      <c r="CI44" s="216"/>
      <c r="CJ44" s="1195"/>
      <c r="CK44" s="249"/>
      <c r="CL44" s="216"/>
      <c r="CM44" s="1194"/>
      <c r="CN44" s="1524"/>
      <c r="CO44" s="217"/>
      <c r="CP44" s="1193"/>
      <c r="CQ44" s="293"/>
      <c r="CR44" s="217"/>
      <c r="CS44" s="305"/>
      <c r="CT44" s="249"/>
      <c r="CU44" s="216"/>
      <c r="CV44" s="1193"/>
      <c r="CW44" s="249"/>
      <c r="CX44" s="216"/>
      <c r="CY44" s="305"/>
      <c r="CZ44" s="249"/>
      <c r="DA44" s="216"/>
      <c r="DB44" s="307"/>
      <c r="DC44" s="328"/>
      <c r="DD44" s="322"/>
      <c r="DE44" s="305"/>
      <c r="DF44" s="249"/>
      <c r="DG44" s="216"/>
      <c r="DH44" s="305"/>
      <c r="DI44" s="249"/>
      <c r="DJ44" s="216"/>
      <c r="DK44" s="309"/>
      <c r="DL44" s="293"/>
      <c r="DM44" s="326"/>
      <c r="DN44" s="1256"/>
      <c r="DO44" s="214"/>
      <c r="DP44" s="1257"/>
      <c r="DQ44" s="1258"/>
      <c r="DR44" s="305"/>
      <c r="DS44" s="249"/>
      <c r="DT44" s="216"/>
      <c r="DU44" s="2518"/>
      <c r="DV44"/>
      <c r="DW44"/>
      <c r="DX44" s="305"/>
      <c r="DY44" s="249"/>
      <c r="DZ44" s="221"/>
      <c r="EA44" s="388"/>
      <c r="EB44" s="249"/>
      <c r="EC44" s="216"/>
      <c r="ED44" s="1461"/>
      <c r="EE44" s="249"/>
      <c r="EF44" s="216"/>
      <c r="EG44" s="355"/>
      <c r="EH44" s="1425"/>
      <c r="EI44" s="1470"/>
      <c r="EJ44" s="249"/>
      <c r="EK44" s="221"/>
      <c r="EL44" s="313"/>
      <c r="EM44" s="249"/>
      <c r="EN44" s="221"/>
      <c r="EO44" s="313"/>
      <c r="EP44" s="249"/>
      <c r="EQ44" s="216"/>
      <c r="ER44" s="313"/>
      <c r="ES44" s="249"/>
      <c r="ET44" s="216"/>
      <c r="EU44" s="313"/>
      <c r="EV44" s="249"/>
      <c r="EW44" s="216"/>
      <c r="EX44" s="2505"/>
      <c r="EY44" s="249"/>
      <c r="EZ44" s="221"/>
      <c r="FA44" s="313"/>
      <c r="FB44" s="249"/>
      <c r="FC44" s="221"/>
      <c r="FD44" s="313"/>
      <c r="FE44" s="249"/>
      <c r="FF44" s="221"/>
      <c r="FG44" s="313"/>
      <c r="FH44" s="249"/>
      <c r="FI44" s="216"/>
      <c r="FJ44" s="1435"/>
      <c r="FK44" s="216"/>
      <c r="FL44" s="1268"/>
      <c r="FM44" s="1655"/>
      <c r="FN44" s="1268"/>
      <c r="FO44" s="1655"/>
      <c r="FP44" s="1268"/>
      <c r="FQ44" s="1656"/>
      <c r="FR44" s="249"/>
      <c r="FS44" s="216"/>
      <c r="FT44" s="1657"/>
      <c r="FU44" s="1658"/>
      <c r="FV44" s="242"/>
      <c r="FW44" s="2522"/>
      <c r="FX44" s="2523"/>
      <c r="FY44" s="336"/>
      <c r="FZ44" s="223"/>
      <c r="GA44" s="338"/>
      <c r="GB44" s="204"/>
      <c r="GC44" s="339"/>
      <c r="GD44" s="342"/>
      <c r="GE44" s="199"/>
      <c r="GF44" s="199"/>
      <c r="GG44" s="199"/>
      <c r="GH44" s="199"/>
      <c r="GI44" s="199"/>
      <c r="GJ44" s="199"/>
      <c r="GK44" s="199"/>
      <c r="GL44" s="49"/>
      <c r="GM44" s="28"/>
      <c r="GN44" s="28"/>
      <c r="GO44" s="322"/>
      <c r="GP44" s="1190"/>
      <c r="GQ44" s="1190"/>
      <c r="GR44" s="49"/>
      <c r="GS44" s="2879"/>
      <c r="GT44" s="2880"/>
      <c r="GU44" s="2881"/>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49"/>
      <c r="IG44" s="49"/>
      <c r="IH44" s="49"/>
      <c r="II44" s="49"/>
      <c r="IJ44" s="49"/>
      <c r="IK44" s="49"/>
      <c r="IL44" s="49"/>
      <c r="IM44" s="49"/>
      <c r="IN44" s="49"/>
      <c r="IO44" s="49"/>
      <c r="IP44" s="49"/>
      <c r="IQ44" s="49"/>
      <c r="IR44" s="49"/>
      <c r="IS44" s="49"/>
      <c r="IT44" s="49"/>
      <c r="IU44" s="49"/>
      <c r="IV44" s="49"/>
    </row>
    <row r="45" spans="1:256" s="198" customFormat="1" ht="12" customHeight="1">
      <c r="A45" s="1252"/>
      <c r="B45" s="200"/>
      <c r="C45" s="486"/>
      <c r="D45" s="203"/>
      <c r="E45" s="203"/>
      <c r="F45" s="203"/>
      <c r="G45" s="203"/>
      <c r="H45" s="175"/>
      <c r="I45" s="1265"/>
      <c r="J45" s="1265"/>
      <c r="K45" s="175"/>
      <c r="L45" s="1265"/>
      <c r="M45" s="1265"/>
      <c r="N45" s="1265"/>
      <c r="O45" s="1265"/>
      <c r="P45" s="1265"/>
      <c r="Q45" s="999"/>
      <c r="R45" s="999"/>
      <c r="S45" s="999"/>
      <c r="T45" s="2801"/>
      <c r="U45" s="233"/>
      <c r="V45" s="49"/>
      <c r="W45" s="218"/>
      <c r="X45" s="218"/>
      <c r="Y45" s="216"/>
      <c r="Z45" s="216"/>
      <c r="AA45" s="215"/>
      <c r="AB45" s="216"/>
      <c r="AC45" s="216"/>
      <c r="AD45" s="239"/>
      <c r="AE45" s="216"/>
      <c r="AF45" s="216"/>
      <c r="AG45" s="216"/>
      <c r="AH45" s="216"/>
      <c r="AI45" s="216"/>
      <c r="AJ45" s="216"/>
      <c r="AK45" s="239"/>
      <c r="AL45" s="216"/>
      <c r="AM45" s="216"/>
      <c r="AN45" s="216"/>
      <c r="AO45" s="216"/>
      <c r="AP45" s="216"/>
      <c r="AQ45" s="216"/>
      <c r="AR45" s="216"/>
      <c r="AS45" s="216"/>
      <c r="AT45" s="216"/>
      <c r="AU45" s="216"/>
      <c r="AV45" s="217"/>
      <c r="AW45" s="355"/>
      <c r="AX45" s="217"/>
      <c r="AY45" s="1559"/>
      <c r="AZ45" s="249"/>
      <c r="BA45" s="221"/>
      <c r="BB45" s="300"/>
      <c r="BC45" s="217"/>
      <c r="BD45" s="392"/>
      <c r="BE45" s="1244"/>
      <c r="BF45" s="249"/>
      <c r="BG45" s="252"/>
      <c r="BH45" s="1469"/>
      <c r="BI45" s="216"/>
      <c r="BJ45" s="1469"/>
      <c r="BK45" s="1459"/>
      <c r="BL45" s="260"/>
      <c r="BM45" s="214"/>
      <c r="BN45" s="293"/>
      <c r="BO45" s="217"/>
      <c r="BP45" s="355"/>
      <c r="BQ45" s="217"/>
      <c r="BR45" s="1193"/>
      <c r="BS45" s="249"/>
      <c r="BT45" s="216"/>
      <c r="BU45" s="1195"/>
      <c r="BV45" s="249"/>
      <c r="BW45" s="216"/>
      <c r="BX45" s="1195"/>
      <c r="BY45" s="249"/>
      <c r="BZ45" s="216"/>
      <c r="CA45" s="1195"/>
      <c r="CB45" s="249"/>
      <c r="CC45" s="216"/>
      <c r="CD45" s="1195"/>
      <c r="CE45" s="249"/>
      <c r="CF45" s="216"/>
      <c r="CG45" s="1195"/>
      <c r="CH45" s="249"/>
      <c r="CI45" s="216"/>
      <c r="CJ45" s="1195"/>
      <c r="CK45" s="249"/>
      <c r="CL45" s="216"/>
      <c r="CM45" s="1194"/>
      <c r="CN45" s="1524"/>
      <c r="CO45" s="217"/>
      <c r="CP45" s="1193"/>
      <c r="CQ45" s="293"/>
      <c r="CR45" s="217"/>
      <c r="CS45" s="305"/>
      <c r="CT45" s="249"/>
      <c r="CU45" s="216"/>
      <c r="CV45" s="1193"/>
      <c r="CW45" s="249"/>
      <c r="CX45" s="216"/>
      <c r="CY45" s="305"/>
      <c r="CZ45" s="249"/>
      <c r="DA45" s="216"/>
      <c r="DB45" s="307"/>
      <c r="DC45" s="328"/>
      <c r="DD45" s="322"/>
      <c r="DE45" s="305"/>
      <c r="DF45" s="249"/>
      <c r="DG45" s="216"/>
      <c r="DH45" s="305"/>
      <c r="DI45" s="249"/>
      <c r="DJ45" s="216"/>
      <c r="DK45" s="309"/>
      <c r="DL45" s="293"/>
      <c r="DM45" s="326"/>
      <c r="DN45" s="1256"/>
      <c r="DO45" s="214"/>
      <c r="DP45" s="1257"/>
      <c r="DQ45" s="1258"/>
      <c r="DR45" s="305"/>
      <c r="DS45" s="249"/>
      <c r="DT45" s="216"/>
      <c r="DU45" s="2518"/>
      <c r="DV45"/>
      <c r="DW45"/>
      <c r="DX45" s="305"/>
      <c r="DY45" s="249"/>
      <c r="DZ45" s="221"/>
      <c r="EA45" s="388"/>
      <c r="EB45" s="249"/>
      <c r="EC45" s="216"/>
      <c r="ED45" s="1461"/>
      <c r="EE45" s="249"/>
      <c r="EF45" s="216"/>
      <c r="EG45" s="355"/>
      <c r="EH45" s="1425"/>
      <c r="EI45" s="1470"/>
      <c r="EJ45" s="249"/>
      <c r="EK45" s="221"/>
      <c r="EL45" s="313"/>
      <c r="EM45" s="249"/>
      <c r="EN45" s="221"/>
      <c r="EO45" s="313"/>
      <c r="EP45" s="249"/>
      <c r="EQ45" s="216"/>
      <c r="ER45" s="313"/>
      <c r="ES45" s="249"/>
      <c r="ET45" s="216"/>
      <c r="EU45" s="313"/>
      <c r="EV45" s="249"/>
      <c r="EW45" s="216"/>
      <c r="EX45" s="2505"/>
      <c r="EY45" s="249"/>
      <c r="EZ45" s="221"/>
      <c r="FA45" s="313"/>
      <c r="FB45" s="249"/>
      <c r="FC45" s="221"/>
      <c r="FD45" s="313"/>
      <c r="FE45" s="249"/>
      <c r="FF45" s="221"/>
      <c r="FG45" s="313"/>
      <c r="FH45" s="249"/>
      <c r="FI45" s="216"/>
      <c r="FJ45" s="1435"/>
      <c r="FK45" s="216"/>
      <c r="FL45" s="1268"/>
      <c r="FM45" s="1655"/>
      <c r="FN45" s="1268"/>
      <c r="FO45" s="1655"/>
      <c r="FP45" s="1268"/>
      <c r="FQ45" s="1656"/>
      <c r="FR45" s="249"/>
      <c r="FS45" s="216"/>
      <c r="FT45" s="1657"/>
      <c r="FU45" s="1658"/>
      <c r="FV45" s="242"/>
      <c r="FW45" s="2522"/>
      <c r="FX45" s="2523"/>
      <c r="FY45" s="336"/>
      <c r="FZ45" s="223"/>
      <c r="GA45" s="338"/>
      <c r="GB45" s="204"/>
      <c r="GC45" s="339"/>
      <c r="GD45" s="342"/>
      <c r="GE45" s="199"/>
      <c r="GF45" s="199"/>
      <c r="GG45" s="199"/>
      <c r="GH45" s="199"/>
      <c r="GI45" s="199"/>
      <c r="GJ45" s="199"/>
      <c r="GK45" s="199"/>
      <c r="GL45" s="49"/>
      <c r="GM45" s="28"/>
      <c r="GN45" s="28"/>
      <c r="GO45" s="322"/>
      <c r="GP45" s="1190"/>
      <c r="GQ45" s="1190"/>
      <c r="GR45" s="49"/>
      <c r="GS45" s="2879"/>
      <c r="GT45" s="2880"/>
      <c r="GU45" s="2881"/>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row>
    <row r="46" spans="1:256" s="198" customFormat="1" ht="12" customHeight="1">
      <c r="A46" s="1252"/>
      <c r="B46" s="200"/>
      <c r="C46" s="486"/>
      <c r="D46" s="203"/>
      <c r="E46" s="203"/>
      <c r="F46" s="203"/>
      <c r="G46" s="203"/>
      <c r="H46" s="175"/>
      <c r="I46" s="1265"/>
      <c r="J46" s="1265"/>
      <c r="K46" s="175"/>
      <c r="L46" s="1265"/>
      <c r="M46" s="1265"/>
      <c r="N46" s="1265"/>
      <c r="O46" s="1265"/>
      <c r="P46" s="1265"/>
      <c r="Q46" s="999"/>
      <c r="R46" s="999"/>
      <c r="S46" s="999"/>
      <c r="T46" s="2801"/>
      <c r="U46" s="233"/>
      <c r="V46" s="49"/>
      <c r="W46" s="218"/>
      <c r="X46" s="218"/>
      <c r="Y46" s="216"/>
      <c r="Z46" s="216"/>
      <c r="AA46" s="215"/>
      <c r="AB46" s="216"/>
      <c r="AC46" s="216"/>
      <c r="AD46" s="239"/>
      <c r="AE46" s="216"/>
      <c r="AF46" s="216"/>
      <c r="AG46" s="216"/>
      <c r="AH46" s="216"/>
      <c r="AI46" s="216"/>
      <c r="AJ46" s="216"/>
      <c r="AK46" s="239"/>
      <c r="AL46" s="216"/>
      <c r="AM46" s="216"/>
      <c r="AN46" s="216"/>
      <c r="AO46" s="216"/>
      <c r="AP46" s="216"/>
      <c r="AQ46" s="216"/>
      <c r="AR46" s="216"/>
      <c r="AS46" s="216"/>
      <c r="AT46" s="216"/>
      <c r="AU46" s="216"/>
      <c r="AV46" s="217"/>
      <c r="AW46" s="355"/>
      <c r="AX46" s="217"/>
      <c r="AY46" s="1559"/>
      <c r="AZ46" s="249"/>
      <c r="BA46" s="221"/>
      <c r="BB46" s="300"/>
      <c r="BC46" s="217"/>
      <c r="BD46" s="392"/>
      <c r="BE46" s="1244"/>
      <c r="BF46" s="249"/>
      <c r="BG46" s="252"/>
      <c r="BH46" s="1469"/>
      <c r="BI46" s="216"/>
      <c r="BJ46" s="1469"/>
      <c r="BK46" s="1459"/>
      <c r="BL46" s="260"/>
      <c r="BM46" s="214"/>
      <c r="BN46" s="293"/>
      <c r="BO46" s="217"/>
      <c r="BP46" s="355"/>
      <c r="BQ46" s="217"/>
      <c r="BR46" s="1193"/>
      <c r="BS46" s="249"/>
      <c r="BT46" s="216"/>
      <c r="BU46" s="1195"/>
      <c r="BV46" s="249"/>
      <c r="BW46" s="216"/>
      <c r="BX46" s="1195"/>
      <c r="BY46" s="249"/>
      <c r="BZ46" s="216"/>
      <c r="CA46" s="1195"/>
      <c r="CB46" s="249"/>
      <c r="CC46" s="216"/>
      <c r="CD46" s="1195"/>
      <c r="CE46" s="249"/>
      <c r="CF46" s="216"/>
      <c r="CG46" s="1195"/>
      <c r="CH46" s="249"/>
      <c r="CI46" s="216"/>
      <c r="CJ46" s="1195"/>
      <c r="CK46" s="249"/>
      <c r="CL46" s="216"/>
      <c r="CM46" s="1194"/>
      <c r="CN46" s="1524"/>
      <c r="CO46" s="217"/>
      <c r="CP46" s="1193"/>
      <c r="CQ46" s="293"/>
      <c r="CR46" s="217"/>
      <c r="CS46" s="305"/>
      <c r="CT46" s="249"/>
      <c r="CU46" s="216"/>
      <c r="CV46" s="1193"/>
      <c r="CW46" s="249"/>
      <c r="CX46" s="216"/>
      <c r="CY46" s="305"/>
      <c r="CZ46" s="249"/>
      <c r="DA46" s="216"/>
      <c r="DB46" s="307"/>
      <c r="DC46" s="328"/>
      <c r="DD46" s="322"/>
      <c r="DE46" s="305"/>
      <c r="DF46" s="249"/>
      <c r="DG46" s="216"/>
      <c r="DH46" s="305"/>
      <c r="DI46" s="249"/>
      <c r="DJ46" s="216"/>
      <c r="DK46" s="309"/>
      <c r="DL46" s="293"/>
      <c r="DM46" s="326"/>
      <c r="DN46" s="1256"/>
      <c r="DO46" s="214"/>
      <c r="DP46" s="1257"/>
      <c r="DQ46" s="1258"/>
      <c r="DR46" s="305"/>
      <c r="DS46" s="249"/>
      <c r="DT46" s="216"/>
      <c r="DU46" s="2518"/>
      <c r="DV46"/>
      <c r="DW46"/>
      <c r="DX46" s="305"/>
      <c r="DY46" s="249"/>
      <c r="DZ46" s="221"/>
      <c r="EA46" s="388"/>
      <c r="EB46" s="249"/>
      <c r="EC46" s="216"/>
      <c r="ED46" s="1461"/>
      <c r="EE46" s="249"/>
      <c r="EF46" s="216"/>
      <c r="EG46" s="355"/>
      <c r="EH46" s="1425"/>
      <c r="EI46" s="1470"/>
      <c r="EJ46" s="249"/>
      <c r="EK46" s="221"/>
      <c r="EL46" s="313"/>
      <c r="EM46" s="249"/>
      <c r="EN46" s="221"/>
      <c r="EO46" s="313"/>
      <c r="EP46" s="249"/>
      <c r="EQ46" s="216"/>
      <c r="ER46" s="313"/>
      <c r="ES46" s="249"/>
      <c r="ET46" s="216"/>
      <c r="EU46" s="313"/>
      <c r="EV46" s="249"/>
      <c r="EW46" s="216"/>
      <c r="EX46" s="2505"/>
      <c r="EY46" s="249"/>
      <c r="EZ46" s="221"/>
      <c r="FA46" s="313"/>
      <c r="FB46" s="249"/>
      <c r="FC46" s="221"/>
      <c r="FD46" s="313"/>
      <c r="FE46" s="249"/>
      <c r="FF46" s="221"/>
      <c r="FG46" s="313"/>
      <c r="FH46" s="249"/>
      <c r="FI46" s="216"/>
      <c r="FJ46" s="1435"/>
      <c r="FK46" s="216"/>
      <c r="FL46" s="1268"/>
      <c r="FM46" s="1655"/>
      <c r="FN46" s="1268"/>
      <c r="FO46" s="1655"/>
      <c r="FP46" s="1268"/>
      <c r="FQ46" s="1656"/>
      <c r="FR46" s="249"/>
      <c r="FS46" s="216"/>
      <c r="FT46" s="1657"/>
      <c r="FU46" s="1658"/>
      <c r="FV46" s="242"/>
      <c r="FW46" s="2522"/>
      <c r="FX46" s="2523"/>
      <c r="FY46" s="336"/>
      <c r="FZ46" s="223"/>
      <c r="GA46" s="338"/>
      <c r="GB46" s="204"/>
      <c r="GC46" s="339"/>
      <c r="GD46" s="342"/>
      <c r="GE46" s="199"/>
      <c r="GF46" s="199"/>
      <c r="GG46" s="199"/>
      <c r="GH46" s="199"/>
      <c r="GI46" s="199"/>
      <c r="GJ46" s="199"/>
      <c r="GK46" s="199"/>
      <c r="GL46" s="49"/>
      <c r="GM46" s="28"/>
      <c r="GN46" s="28"/>
      <c r="GO46" s="322"/>
      <c r="GP46" s="1190"/>
      <c r="GQ46" s="1190"/>
      <c r="GR46" s="49"/>
      <c r="GS46" s="2879"/>
      <c r="GT46" s="2880"/>
      <c r="GU46" s="2881"/>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49"/>
      <c r="IG46" s="49"/>
      <c r="IH46" s="49"/>
      <c r="II46" s="49"/>
      <c r="IJ46" s="49"/>
      <c r="IK46" s="49"/>
      <c r="IL46" s="49"/>
      <c r="IM46" s="49"/>
      <c r="IN46" s="49"/>
      <c r="IO46" s="49"/>
      <c r="IP46" s="49"/>
      <c r="IQ46" s="49"/>
      <c r="IR46" s="49"/>
      <c r="IS46" s="49"/>
      <c r="IT46" s="49"/>
      <c r="IU46" s="49"/>
      <c r="IV46" s="49"/>
    </row>
    <row r="47" spans="1:256" s="198" customFormat="1" ht="12" customHeight="1">
      <c r="A47" s="1252"/>
      <c r="B47" s="200"/>
      <c r="C47" s="486"/>
      <c r="D47" s="203"/>
      <c r="E47" s="203"/>
      <c r="F47" s="203"/>
      <c r="G47" s="203"/>
      <c r="H47" s="175"/>
      <c r="I47" s="1265"/>
      <c r="J47" s="1265"/>
      <c r="K47" s="175"/>
      <c r="L47" s="1265"/>
      <c r="M47" s="1265"/>
      <c r="N47" s="1265"/>
      <c r="O47" s="1265"/>
      <c r="P47" s="1265"/>
      <c r="Q47" s="999"/>
      <c r="R47" s="999"/>
      <c r="S47" s="999"/>
      <c r="T47" s="2801"/>
      <c r="U47" s="233"/>
      <c r="V47" s="49"/>
      <c r="W47" s="218"/>
      <c r="X47" s="218"/>
      <c r="Y47" s="216"/>
      <c r="Z47" s="216"/>
      <c r="AA47" s="215"/>
      <c r="AB47" s="216"/>
      <c r="AC47" s="216"/>
      <c r="AD47" s="239"/>
      <c r="AE47" s="216"/>
      <c r="AF47" s="216"/>
      <c r="AG47" s="216"/>
      <c r="AH47" s="216"/>
      <c r="AI47" s="216"/>
      <c r="AJ47" s="216"/>
      <c r="AK47" s="239"/>
      <c r="AL47" s="216"/>
      <c r="AM47" s="216"/>
      <c r="AN47" s="216"/>
      <c r="AO47" s="216"/>
      <c r="AP47" s="216"/>
      <c r="AQ47" s="216"/>
      <c r="AR47" s="216"/>
      <c r="AS47" s="216"/>
      <c r="AT47" s="216"/>
      <c r="AU47" s="216"/>
      <c r="AV47" s="217"/>
      <c r="AW47" s="355"/>
      <c r="AX47" s="217"/>
      <c r="AY47" s="1559"/>
      <c r="AZ47" s="249"/>
      <c r="BA47" s="221"/>
      <c r="BB47" s="300"/>
      <c r="BC47" s="217"/>
      <c r="BD47" s="392"/>
      <c r="BE47" s="1244"/>
      <c r="BF47" s="249"/>
      <c r="BG47" s="252"/>
      <c r="BH47" s="1469"/>
      <c r="BI47" s="216"/>
      <c r="BJ47" s="1469"/>
      <c r="BK47" s="1459"/>
      <c r="BL47" s="260"/>
      <c r="BM47" s="214"/>
      <c r="BN47" s="293"/>
      <c r="BO47" s="217"/>
      <c r="BP47" s="355"/>
      <c r="BQ47" s="217"/>
      <c r="BR47" s="1193"/>
      <c r="BS47" s="249"/>
      <c r="BT47" s="216"/>
      <c r="BU47" s="1195"/>
      <c r="BV47" s="249"/>
      <c r="BW47" s="216"/>
      <c r="BX47" s="1195"/>
      <c r="BY47" s="249"/>
      <c r="BZ47" s="216"/>
      <c r="CA47" s="1195"/>
      <c r="CB47" s="249"/>
      <c r="CC47" s="216"/>
      <c r="CD47" s="1195"/>
      <c r="CE47" s="249"/>
      <c r="CF47" s="216"/>
      <c r="CG47" s="1195"/>
      <c r="CH47" s="249"/>
      <c r="CI47" s="216"/>
      <c r="CJ47" s="1195"/>
      <c r="CK47" s="249"/>
      <c r="CL47" s="216"/>
      <c r="CM47" s="1194"/>
      <c r="CN47" s="1524"/>
      <c r="CO47" s="217"/>
      <c r="CP47" s="1193"/>
      <c r="CQ47" s="293"/>
      <c r="CR47" s="217"/>
      <c r="CS47" s="305"/>
      <c r="CT47" s="249"/>
      <c r="CU47" s="216"/>
      <c r="CV47" s="1193"/>
      <c r="CW47" s="249"/>
      <c r="CX47" s="216"/>
      <c r="CY47" s="305"/>
      <c r="CZ47" s="249"/>
      <c r="DA47" s="216"/>
      <c r="DB47" s="307"/>
      <c r="DC47" s="328"/>
      <c r="DD47" s="322"/>
      <c r="DE47" s="305"/>
      <c r="DF47" s="249"/>
      <c r="DG47" s="216"/>
      <c r="DH47" s="305"/>
      <c r="DI47" s="249"/>
      <c r="DJ47" s="216"/>
      <c r="DK47" s="309"/>
      <c r="DL47" s="293"/>
      <c r="DM47" s="326"/>
      <c r="DN47" s="1256"/>
      <c r="DO47" s="214"/>
      <c r="DP47" s="1257"/>
      <c r="DQ47" s="1258"/>
      <c r="DR47" s="305"/>
      <c r="DS47" s="249"/>
      <c r="DT47" s="216"/>
      <c r="DU47" s="2518"/>
      <c r="DV47"/>
      <c r="DW47"/>
      <c r="DX47" s="305"/>
      <c r="DY47" s="249"/>
      <c r="DZ47" s="221"/>
      <c r="EA47" s="388"/>
      <c r="EB47" s="249"/>
      <c r="EC47" s="216"/>
      <c r="ED47" s="1461"/>
      <c r="EE47" s="249"/>
      <c r="EF47" s="216"/>
      <c r="EG47" s="355"/>
      <c r="EH47" s="1425"/>
      <c r="EI47" s="1470"/>
      <c r="EJ47" s="249"/>
      <c r="EK47" s="221"/>
      <c r="EL47" s="313"/>
      <c r="EM47" s="249"/>
      <c r="EN47" s="221"/>
      <c r="EO47" s="313"/>
      <c r="EP47" s="249"/>
      <c r="EQ47" s="216"/>
      <c r="ER47" s="313"/>
      <c r="ES47" s="249"/>
      <c r="ET47" s="216"/>
      <c r="EU47" s="313"/>
      <c r="EV47" s="249"/>
      <c r="EW47" s="216"/>
      <c r="EX47" s="2505"/>
      <c r="EY47" s="249"/>
      <c r="EZ47" s="221"/>
      <c r="FA47" s="313"/>
      <c r="FB47" s="249"/>
      <c r="FC47" s="221"/>
      <c r="FD47" s="313"/>
      <c r="FE47" s="249"/>
      <c r="FF47" s="221"/>
      <c r="FG47" s="313"/>
      <c r="FH47" s="249"/>
      <c r="FI47" s="216"/>
      <c r="FJ47" s="1435"/>
      <c r="FK47" s="216"/>
      <c r="FL47" s="1268"/>
      <c r="FM47" s="1655"/>
      <c r="FN47" s="1268"/>
      <c r="FO47" s="1655"/>
      <c r="FP47" s="1268"/>
      <c r="FQ47" s="1656"/>
      <c r="FR47" s="249"/>
      <c r="FS47" s="216"/>
      <c r="FT47" s="1657"/>
      <c r="FU47" s="1658"/>
      <c r="FV47" s="242"/>
      <c r="FW47" s="2522"/>
      <c r="FX47" s="2523"/>
      <c r="FY47" s="336"/>
      <c r="FZ47" s="223"/>
      <c r="GA47" s="338"/>
      <c r="GB47" s="204"/>
      <c r="GC47" s="339"/>
      <c r="GD47" s="342"/>
      <c r="GE47" s="199"/>
      <c r="GF47" s="199"/>
      <c r="GG47" s="199"/>
      <c r="GH47" s="199"/>
      <c r="GI47" s="199"/>
      <c r="GJ47" s="199"/>
      <c r="GK47" s="199"/>
      <c r="GL47" s="49"/>
      <c r="GM47" s="28"/>
      <c r="GN47" s="28"/>
      <c r="GO47" s="322"/>
      <c r="GP47" s="1190"/>
      <c r="GQ47" s="1190"/>
      <c r="GR47" s="49"/>
      <c r="GS47" s="2879"/>
      <c r="GT47" s="2880"/>
      <c r="GU47" s="2881"/>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49"/>
      <c r="IG47" s="49"/>
      <c r="IH47" s="49"/>
      <c r="II47" s="49"/>
      <c r="IJ47" s="49"/>
      <c r="IK47" s="49"/>
      <c r="IL47" s="49"/>
      <c r="IM47" s="49"/>
      <c r="IN47" s="49"/>
      <c r="IO47" s="49"/>
      <c r="IP47" s="49"/>
      <c r="IQ47" s="49"/>
      <c r="IR47" s="49"/>
      <c r="IS47" s="49"/>
      <c r="IT47" s="49"/>
      <c r="IU47" s="49"/>
      <c r="IV47" s="49"/>
    </row>
    <row r="48" spans="1:256" s="198" customFormat="1" ht="12" customHeight="1">
      <c r="A48" s="1252"/>
      <c r="B48" s="200"/>
      <c r="C48" s="486"/>
      <c r="D48" s="203"/>
      <c r="E48" s="203"/>
      <c r="F48" s="203"/>
      <c r="G48" s="203"/>
      <c r="H48" s="175"/>
      <c r="I48" s="1265"/>
      <c r="J48" s="1265"/>
      <c r="K48" s="175"/>
      <c r="L48" s="1265"/>
      <c r="M48" s="1265"/>
      <c r="N48" s="1265"/>
      <c r="O48" s="1265"/>
      <c r="P48" s="1265"/>
      <c r="Q48" s="999"/>
      <c r="R48" s="999"/>
      <c r="S48" s="999"/>
      <c r="T48" s="2801"/>
      <c r="U48" s="233"/>
      <c r="V48" s="49"/>
      <c r="W48" s="218"/>
      <c r="X48" s="218"/>
      <c r="Y48" s="216"/>
      <c r="Z48" s="216"/>
      <c r="AA48" s="215"/>
      <c r="AB48" s="216"/>
      <c r="AC48" s="216"/>
      <c r="AD48" s="239"/>
      <c r="AE48" s="216"/>
      <c r="AF48" s="216"/>
      <c r="AG48" s="216"/>
      <c r="AH48" s="216"/>
      <c r="AI48" s="216"/>
      <c r="AJ48" s="216"/>
      <c r="AK48" s="239"/>
      <c r="AL48" s="216"/>
      <c r="AM48" s="216"/>
      <c r="AN48" s="216"/>
      <c r="AO48" s="216"/>
      <c r="AP48" s="216"/>
      <c r="AQ48" s="216"/>
      <c r="AR48" s="216"/>
      <c r="AS48" s="216"/>
      <c r="AT48" s="216"/>
      <c r="AU48" s="216"/>
      <c r="AV48" s="217"/>
      <c r="AW48" s="355"/>
      <c r="AX48" s="217"/>
      <c r="AY48" s="1559"/>
      <c r="AZ48" s="249"/>
      <c r="BA48" s="221"/>
      <c r="BB48" s="300"/>
      <c r="BC48" s="217"/>
      <c r="BD48" s="392"/>
      <c r="BE48" s="1244"/>
      <c r="BF48" s="249"/>
      <c r="BG48" s="252"/>
      <c r="BH48" s="1469"/>
      <c r="BI48" s="216"/>
      <c r="BJ48" s="1469"/>
      <c r="BK48" s="1459"/>
      <c r="BL48" s="260"/>
      <c r="BM48" s="214"/>
      <c r="BN48" s="293"/>
      <c r="BO48" s="217"/>
      <c r="BP48" s="355"/>
      <c r="BQ48" s="217"/>
      <c r="BR48" s="1193"/>
      <c r="BS48" s="249"/>
      <c r="BT48" s="216"/>
      <c r="BU48" s="1195"/>
      <c r="BV48" s="249"/>
      <c r="BW48" s="216"/>
      <c r="BX48" s="1195"/>
      <c r="BY48" s="249"/>
      <c r="BZ48" s="216"/>
      <c r="CA48" s="1195"/>
      <c r="CB48" s="249"/>
      <c r="CC48" s="216"/>
      <c r="CD48" s="1195"/>
      <c r="CE48" s="249"/>
      <c r="CF48" s="216"/>
      <c r="CG48" s="1195"/>
      <c r="CH48" s="249"/>
      <c r="CI48" s="216"/>
      <c r="CJ48" s="1195"/>
      <c r="CK48" s="249"/>
      <c r="CL48" s="216"/>
      <c r="CM48" s="1194"/>
      <c r="CN48" s="1524"/>
      <c r="CO48" s="217"/>
      <c r="CP48" s="1193"/>
      <c r="CQ48" s="293"/>
      <c r="CR48" s="217"/>
      <c r="CS48" s="305"/>
      <c r="CT48" s="249"/>
      <c r="CU48" s="216"/>
      <c r="CV48" s="1193"/>
      <c r="CW48" s="249"/>
      <c r="CX48" s="216"/>
      <c r="CY48" s="305"/>
      <c r="CZ48" s="249"/>
      <c r="DA48" s="216"/>
      <c r="DB48" s="307"/>
      <c r="DC48" s="328"/>
      <c r="DD48" s="322"/>
      <c r="DE48" s="305"/>
      <c r="DF48" s="249"/>
      <c r="DG48" s="216"/>
      <c r="DH48" s="305"/>
      <c r="DI48" s="249"/>
      <c r="DJ48" s="216"/>
      <c r="DK48" s="309"/>
      <c r="DL48" s="293"/>
      <c r="DM48" s="326"/>
      <c r="DN48" s="1256"/>
      <c r="DO48" s="214"/>
      <c r="DP48" s="1257"/>
      <c r="DQ48" s="1258"/>
      <c r="DR48" s="305"/>
      <c r="DS48" s="249"/>
      <c r="DT48" s="216"/>
      <c r="DU48" s="2518"/>
      <c r="DV48"/>
      <c r="DW48"/>
      <c r="DX48" s="305"/>
      <c r="DY48" s="249"/>
      <c r="DZ48" s="221"/>
      <c r="EA48" s="388"/>
      <c r="EB48" s="249"/>
      <c r="EC48" s="216"/>
      <c r="ED48" s="1461"/>
      <c r="EE48" s="249"/>
      <c r="EF48" s="216"/>
      <c r="EG48" s="355"/>
      <c r="EH48" s="1425"/>
      <c r="EI48" s="1470"/>
      <c r="EJ48" s="249"/>
      <c r="EK48" s="221"/>
      <c r="EL48" s="313"/>
      <c r="EM48" s="249"/>
      <c r="EN48" s="221"/>
      <c r="EO48" s="313"/>
      <c r="EP48" s="249"/>
      <c r="EQ48" s="216"/>
      <c r="ER48" s="313"/>
      <c r="ES48" s="249"/>
      <c r="ET48" s="216"/>
      <c r="EU48" s="313"/>
      <c r="EV48" s="249"/>
      <c r="EW48" s="216"/>
      <c r="EX48" s="2505"/>
      <c r="EY48" s="249"/>
      <c r="EZ48" s="221"/>
      <c r="FA48" s="313"/>
      <c r="FB48" s="249"/>
      <c r="FC48" s="221"/>
      <c r="FD48" s="313"/>
      <c r="FE48" s="249"/>
      <c r="FF48" s="221"/>
      <c r="FG48" s="313"/>
      <c r="FH48" s="249"/>
      <c r="FI48" s="216"/>
      <c r="FJ48" s="1435"/>
      <c r="FK48" s="216"/>
      <c r="FL48" s="1268"/>
      <c r="FM48" s="1655"/>
      <c r="FN48" s="1268"/>
      <c r="FO48" s="1655"/>
      <c r="FP48" s="1268"/>
      <c r="FQ48" s="1656"/>
      <c r="FR48" s="249"/>
      <c r="FS48" s="216"/>
      <c r="FT48" s="1657"/>
      <c r="FU48" s="1658"/>
      <c r="FV48" s="242"/>
      <c r="FW48" s="2522"/>
      <c r="FX48" s="2523"/>
      <c r="FY48" s="336"/>
      <c r="FZ48" s="223"/>
      <c r="GA48" s="338"/>
      <c r="GB48" s="204"/>
      <c r="GC48" s="339"/>
      <c r="GD48" s="342"/>
      <c r="GE48" s="199"/>
      <c r="GF48" s="199"/>
      <c r="GG48" s="199"/>
      <c r="GH48" s="199"/>
      <c r="GI48" s="199"/>
      <c r="GJ48" s="199"/>
      <c r="GK48" s="199"/>
      <c r="GL48" s="49"/>
      <c r="GM48" s="28"/>
      <c r="GN48" s="28"/>
      <c r="GO48" s="322"/>
      <c r="GP48" s="1190"/>
      <c r="GQ48" s="1190"/>
      <c r="GR48" s="49"/>
      <c r="GS48" s="2879"/>
      <c r="GT48" s="2880"/>
      <c r="GU48" s="2881"/>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49"/>
      <c r="IG48" s="49"/>
      <c r="IH48" s="49"/>
      <c r="II48" s="49"/>
      <c r="IJ48" s="49"/>
      <c r="IK48" s="49"/>
      <c r="IL48" s="49"/>
      <c r="IM48" s="49"/>
      <c r="IN48" s="49"/>
      <c r="IO48" s="49"/>
      <c r="IP48" s="49"/>
      <c r="IQ48" s="49"/>
      <c r="IR48" s="49"/>
      <c r="IS48" s="49"/>
      <c r="IT48" s="49"/>
      <c r="IU48" s="49"/>
      <c r="IV48" s="49"/>
    </row>
    <row r="49" spans="1:256" s="198" customFormat="1" ht="12" customHeight="1">
      <c r="A49" s="1252"/>
      <c r="B49" s="200"/>
      <c r="C49" s="486"/>
      <c r="D49" s="203"/>
      <c r="E49" s="203"/>
      <c r="F49" s="203"/>
      <c r="G49" s="203"/>
      <c r="H49" s="175"/>
      <c r="I49" s="1265"/>
      <c r="J49" s="1265"/>
      <c r="K49" s="175"/>
      <c r="L49" s="1265"/>
      <c r="M49" s="1265"/>
      <c r="N49" s="1265"/>
      <c r="O49" s="1265"/>
      <c r="P49" s="1265"/>
      <c r="Q49" s="999"/>
      <c r="R49" s="999"/>
      <c r="S49" s="999"/>
      <c r="T49" s="2801"/>
      <c r="U49" s="233"/>
      <c r="V49" s="49"/>
      <c r="W49" s="218"/>
      <c r="X49" s="218"/>
      <c r="Y49" s="216"/>
      <c r="Z49" s="216"/>
      <c r="AA49" s="215"/>
      <c r="AB49" s="216"/>
      <c r="AC49" s="216"/>
      <c r="AD49" s="239"/>
      <c r="AE49" s="216"/>
      <c r="AF49" s="216"/>
      <c r="AG49" s="216"/>
      <c r="AH49" s="216"/>
      <c r="AI49" s="216"/>
      <c r="AJ49" s="216"/>
      <c r="AK49" s="239"/>
      <c r="AL49" s="216"/>
      <c r="AM49" s="216"/>
      <c r="AN49" s="216"/>
      <c r="AO49" s="216"/>
      <c r="AP49" s="216"/>
      <c r="AQ49" s="216"/>
      <c r="AR49" s="216"/>
      <c r="AS49" s="216"/>
      <c r="AT49" s="216"/>
      <c r="AU49" s="216"/>
      <c r="AV49" s="217"/>
      <c r="AW49" s="355"/>
      <c r="AX49" s="217"/>
      <c r="AY49" s="1559"/>
      <c r="AZ49" s="249"/>
      <c r="BA49" s="221"/>
      <c r="BB49" s="300"/>
      <c r="BC49" s="217"/>
      <c r="BD49" s="392"/>
      <c r="BE49" s="1244"/>
      <c r="BF49" s="249"/>
      <c r="BG49" s="252"/>
      <c r="BH49" s="1469"/>
      <c r="BI49" s="216"/>
      <c r="BJ49" s="1469"/>
      <c r="BK49" s="1459"/>
      <c r="BL49" s="260"/>
      <c r="BM49" s="214"/>
      <c r="BN49" s="293"/>
      <c r="BO49" s="217"/>
      <c r="BP49" s="355"/>
      <c r="BQ49" s="217"/>
      <c r="BR49" s="1193"/>
      <c r="BS49" s="249"/>
      <c r="BT49" s="216"/>
      <c r="BU49" s="1195"/>
      <c r="BV49" s="249"/>
      <c r="BW49" s="216"/>
      <c r="BX49" s="1195"/>
      <c r="BY49" s="249"/>
      <c r="BZ49" s="216"/>
      <c r="CA49" s="1195"/>
      <c r="CB49" s="249"/>
      <c r="CC49" s="216"/>
      <c r="CD49" s="1195"/>
      <c r="CE49" s="249"/>
      <c r="CF49" s="216"/>
      <c r="CG49" s="1195"/>
      <c r="CH49" s="249"/>
      <c r="CI49" s="216"/>
      <c r="CJ49" s="1195"/>
      <c r="CK49" s="249"/>
      <c r="CL49" s="216"/>
      <c r="CM49" s="1194"/>
      <c r="CN49" s="1524"/>
      <c r="CO49" s="217"/>
      <c r="CP49" s="1193"/>
      <c r="CQ49" s="293"/>
      <c r="CR49" s="217"/>
      <c r="CS49" s="305"/>
      <c r="CT49" s="249"/>
      <c r="CU49" s="216"/>
      <c r="CV49" s="1193"/>
      <c r="CW49" s="249"/>
      <c r="CX49" s="216"/>
      <c r="CY49" s="305"/>
      <c r="CZ49" s="249"/>
      <c r="DA49" s="216"/>
      <c r="DB49" s="307"/>
      <c r="DC49" s="328"/>
      <c r="DD49" s="322"/>
      <c r="DE49" s="305"/>
      <c r="DF49" s="249"/>
      <c r="DG49" s="216"/>
      <c r="DH49" s="305"/>
      <c r="DI49" s="249"/>
      <c r="DJ49" s="216"/>
      <c r="DK49" s="309"/>
      <c r="DL49" s="293"/>
      <c r="DM49" s="326"/>
      <c r="DN49" s="1256"/>
      <c r="DO49" s="214"/>
      <c r="DP49" s="1257"/>
      <c r="DQ49" s="1258"/>
      <c r="DR49" s="305"/>
      <c r="DS49" s="249"/>
      <c r="DT49" s="216"/>
      <c r="DU49" s="2518"/>
      <c r="DV49"/>
      <c r="DW49"/>
      <c r="DX49" s="305"/>
      <c r="DY49" s="249"/>
      <c r="DZ49" s="221"/>
      <c r="EA49" s="388"/>
      <c r="EB49" s="249"/>
      <c r="EC49" s="216"/>
      <c r="ED49" s="1461"/>
      <c r="EE49" s="249"/>
      <c r="EF49" s="216"/>
      <c r="EG49" s="355"/>
      <c r="EH49" s="1425"/>
      <c r="EI49" s="1470"/>
      <c r="EJ49" s="249"/>
      <c r="EK49" s="221"/>
      <c r="EL49" s="313"/>
      <c r="EM49" s="249"/>
      <c r="EN49" s="221"/>
      <c r="EO49" s="313"/>
      <c r="EP49" s="249"/>
      <c r="EQ49" s="216"/>
      <c r="ER49" s="313"/>
      <c r="ES49" s="249"/>
      <c r="ET49" s="216"/>
      <c r="EU49" s="313"/>
      <c r="EV49" s="249"/>
      <c r="EW49" s="216"/>
      <c r="EX49" s="2505"/>
      <c r="EY49" s="249"/>
      <c r="EZ49" s="221"/>
      <c r="FA49" s="313"/>
      <c r="FB49" s="249"/>
      <c r="FC49" s="221"/>
      <c r="FD49" s="313"/>
      <c r="FE49" s="249"/>
      <c r="FF49" s="221"/>
      <c r="FG49" s="313"/>
      <c r="FH49" s="249"/>
      <c r="FI49" s="216"/>
      <c r="FJ49" s="1435"/>
      <c r="FK49" s="216"/>
      <c r="FL49" s="1268"/>
      <c r="FM49" s="1655"/>
      <c r="FN49" s="1268"/>
      <c r="FO49" s="1655"/>
      <c r="FP49" s="1268"/>
      <c r="FQ49" s="1656"/>
      <c r="FR49" s="249"/>
      <c r="FS49" s="216"/>
      <c r="FT49" s="1657"/>
      <c r="FU49" s="1658"/>
      <c r="FV49" s="242"/>
      <c r="FW49" s="2522"/>
      <c r="FX49" s="2523"/>
      <c r="FY49" s="336"/>
      <c r="FZ49" s="223"/>
      <c r="GA49" s="338"/>
      <c r="GB49" s="204"/>
      <c r="GC49" s="339"/>
      <c r="GD49" s="342"/>
      <c r="GE49" s="199"/>
      <c r="GF49" s="199"/>
      <c r="GG49" s="199"/>
      <c r="GH49" s="199"/>
      <c r="GI49" s="199"/>
      <c r="GJ49" s="199"/>
      <c r="GK49" s="199"/>
      <c r="GL49" s="49"/>
      <c r="GM49" s="28"/>
      <c r="GN49" s="28"/>
      <c r="GO49" s="322"/>
      <c r="GP49" s="1190"/>
      <c r="GQ49" s="1190"/>
      <c r="GR49" s="49"/>
      <c r="GS49" s="2879"/>
      <c r="GT49" s="2880"/>
      <c r="GU49" s="2881"/>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49"/>
      <c r="IG49" s="49"/>
      <c r="IH49" s="49"/>
      <c r="II49" s="49"/>
      <c r="IJ49" s="49"/>
      <c r="IK49" s="49"/>
      <c r="IL49" s="49"/>
      <c r="IM49" s="49"/>
      <c r="IN49" s="49"/>
      <c r="IO49" s="49"/>
      <c r="IP49" s="49"/>
      <c r="IQ49" s="49"/>
      <c r="IR49" s="49"/>
      <c r="IS49" s="49"/>
      <c r="IT49" s="49"/>
      <c r="IU49" s="49"/>
      <c r="IV49" s="49"/>
    </row>
    <row r="50" spans="1:256" s="198" customFormat="1" ht="12" customHeight="1">
      <c r="A50" s="1252"/>
      <c r="B50" s="200"/>
      <c r="C50" s="486"/>
      <c r="D50" s="203"/>
      <c r="E50" s="203"/>
      <c r="F50" s="203"/>
      <c r="G50" s="203"/>
      <c r="H50" s="175"/>
      <c r="I50" s="1265"/>
      <c r="J50" s="1265"/>
      <c r="K50" s="175"/>
      <c r="L50" s="1265"/>
      <c r="M50" s="1265"/>
      <c r="N50" s="1265"/>
      <c r="O50" s="1265"/>
      <c r="P50" s="1265"/>
      <c r="Q50" s="999"/>
      <c r="R50" s="999"/>
      <c r="S50" s="999"/>
      <c r="T50" s="2801"/>
      <c r="U50" s="233"/>
      <c r="V50" s="49"/>
      <c r="W50" s="218"/>
      <c r="X50" s="218"/>
      <c r="Y50" s="216"/>
      <c r="Z50" s="216"/>
      <c r="AA50" s="215"/>
      <c r="AB50" s="216"/>
      <c r="AC50" s="216"/>
      <c r="AD50" s="239"/>
      <c r="AE50" s="216"/>
      <c r="AF50" s="216"/>
      <c r="AG50" s="216"/>
      <c r="AH50" s="216"/>
      <c r="AI50" s="216"/>
      <c r="AJ50" s="216"/>
      <c r="AK50" s="239"/>
      <c r="AL50" s="216"/>
      <c r="AM50" s="216"/>
      <c r="AN50" s="216"/>
      <c r="AO50" s="216"/>
      <c r="AP50" s="216"/>
      <c r="AQ50" s="216"/>
      <c r="AR50" s="216"/>
      <c r="AS50" s="216"/>
      <c r="AT50" s="216"/>
      <c r="AU50" s="216"/>
      <c r="AV50" s="217"/>
      <c r="AW50" s="355"/>
      <c r="AX50" s="217"/>
      <c r="AY50" s="1559"/>
      <c r="AZ50" s="249"/>
      <c r="BA50" s="221"/>
      <c r="BB50" s="300"/>
      <c r="BC50" s="217"/>
      <c r="BD50" s="392"/>
      <c r="BE50" s="1244"/>
      <c r="BF50" s="249"/>
      <c r="BG50" s="252"/>
      <c r="BH50" s="1469"/>
      <c r="BI50" s="216"/>
      <c r="BJ50" s="1469"/>
      <c r="BK50" s="1459"/>
      <c r="BL50" s="260"/>
      <c r="BM50" s="214"/>
      <c r="BN50" s="293"/>
      <c r="BO50" s="217"/>
      <c r="BP50" s="355"/>
      <c r="BQ50" s="217"/>
      <c r="BR50" s="1193"/>
      <c r="BS50" s="249"/>
      <c r="BT50" s="216"/>
      <c r="BU50" s="1195"/>
      <c r="BV50" s="249"/>
      <c r="BW50" s="216"/>
      <c r="BX50" s="1195"/>
      <c r="BY50" s="249"/>
      <c r="BZ50" s="216"/>
      <c r="CA50" s="1195"/>
      <c r="CB50" s="249"/>
      <c r="CC50" s="216"/>
      <c r="CD50" s="1195"/>
      <c r="CE50" s="249"/>
      <c r="CF50" s="216"/>
      <c r="CG50" s="1195"/>
      <c r="CH50" s="249"/>
      <c r="CI50" s="216"/>
      <c r="CJ50" s="1195"/>
      <c r="CK50" s="249"/>
      <c r="CL50" s="216"/>
      <c r="CM50" s="1194"/>
      <c r="CN50" s="1524"/>
      <c r="CO50" s="217"/>
      <c r="CP50" s="1193"/>
      <c r="CQ50" s="293"/>
      <c r="CR50" s="217"/>
      <c r="CS50" s="305"/>
      <c r="CT50" s="249"/>
      <c r="CU50" s="216"/>
      <c r="CV50" s="1193"/>
      <c r="CW50" s="249"/>
      <c r="CX50" s="216"/>
      <c r="CY50" s="305"/>
      <c r="CZ50" s="249"/>
      <c r="DA50" s="216"/>
      <c r="DB50" s="307"/>
      <c r="DC50" s="328"/>
      <c r="DD50" s="322"/>
      <c r="DE50" s="305"/>
      <c r="DF50" s="249"/>
      <c r="DG50" s="216"/>
      <c r="DH50" s="305"/>
      <c r="DI50" s="249"/>
      <c r="DJ50" s="216"/>
      <c r="DK50" s="309"/>
      <c r="DL50" s="293"/>
      <c r="DM50" s="326"/>
      <c r="DN50" s="1256"/>
      <c r="DO50" s="214"/>
      <c r="DP50" s="1257"/>
      <c r="DQ50" s="1258"/>
      <c r="DR50" s="305"/>
      <c r="DS50" s="249"/>
      <c r="DT50" s="216"/>
      <c r="DU50" s="2518"/>
      <c r="DV50"/>
      <c r="DW50"/>
      <c r="DX50" s="305"/>
      <c r="DY50" s="249"/>
      <c r="DZ50" s="221"/>
      <c r="EA50" s="388"/>
      <c r="EB50" s="249"/>
      <c r="EC50" s="216"/>
      <c r="ED50" s="1461"/>
      <c r="EE50" s="249"/>
      <c r="EF50" s="216"/>
      <c r="EG50" s="355"/>
      <c r="EH50" s="1425"/>
      <c r="EI50" s="1470"/>
      <c r="EJ50" s="249"/>
      <c r="EK50" s="221"/>
      <c r="EL50" s="313"/>
      <c r="EM50" s="249"/>
      <c r="EN50" s="221"/>
      <c r="EO50" s="313"/>
      <c r="EP50" s="249"/>
      <c r="EQ50" s="216"/>
      <c r="ER50" s="313"/>
      <c r="ES50" s="249"/>
      <c r="ET50" s="216"/>
      <c r="EU50" s="313"/>
      <c r="EV50" s="249"/>
      <c r="EW50" s="216"/>
      <c r="EX50" s="2505"/>
      <c r="EY50" s="249"/>
      <c r="EZ50" s="221"/>
      <c r="FA50" s="313"/>
      <c r="FB50" s="249"/>
      <c r="FC50" s="221"/>
      <c r="FD50" s="313"/>
      <c r="FE50" s="249"/>
      <c r="FF50" s="221"/>
      <c r="FG50" s="313"/>
      <c r="FH50" s="249"/>
      <c r="FI50" s="216"/>
      <c r="FJ50" s="1435"/>
      <c r="FK50" s="216"/>
      <c r="FL50" s="1268"/>
      <c r="FM50" s="1655"/>
      <c r="FN50" s="1268"/>
      <c r="FO50" s="1655"/>
      <c r="FP50" s="1268"/>
      <c r="FQ50" s="1656"/>
      <c r="FR50" s="249"/>
      <c r="FS50" s="216"/>
      <c r="FT50" s="1657"/>
      <c r="FU50" s="1658"/>
      <c r="FV50" s="242"/>
      <c r="FW50" s="2522"/>
      <c r="FX50" s="2523"/>
      <c r="FY50" s="336"/>
      <c r="FZ50" s="223"/>
      <c r="GA50" s="338"/>
      <c r="GB50" s="204"/>
      <c r="GC50" s="339"/>
      <c r="GD50" s="342"/>
      <c r="GE50" s="199"/>
      <c r="GF50" s="199"/>
      <c r="GG50" s="199"/>
      <c r="GH50" s="199"/>
      <c r="GI50" s="199"/>
      <c r="GJ50" s="199"/>
      <c r="GK50" s="199"/>
      <c r="GL50" s="49"/>
      <c r="GM50" s="28"/>
      <c r="GN50" s="28"/>
      <c r="GO50" s="322"/>
      <c r="GP50" s="1190"/>
      <c r="GQ50" s="1190"/>
      <c r="GR50" s="49"/>
      <c r="GS50" s="2879"/>
      <c r="GT50" s="2880"/>
      <c r="GU50" s="2881"/>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49"/>
      <c r="IG50" s="49"/>
      <c r="IH50" s="49"/>
      <c r="II50" s="49"/>
      <c r="IJ50" s="49"/>
      <c r="IK50" s="49"/>
      <c r="IL50" s="49"/>
      <c r="IM50" s="49"/>
      <c r="IN50" s="49"/>
      <c r="IO50" s="49"/>
      <c r="IP50" s="49"/>
      <c r="IQ50" s="49"/>
      <c r="IR50" s="49"/>
      <c r="IS50" s="49"/>
      <c r="IT50" s="49"/>
      <c r="IU50" s="49"/>
      <c r="IV50" s="49"/>
    </row>
    <row r="51" spans="1:256" s="198" customFormat="1" ht="12" customHeight="1">
      <c r="A51" s="1252"/>
      <c r="B51" s="200"/>
      <c r="C51" s="486"/>
      <c r="D51" s="203"/>
      <c r="E51" s="203"/>
      <c r="F51" s="203"/>
      <c r="G51" s="203"/>
      <c r="H51" s="175"/>
      <c r="I51" s="1265"/>
      <c r="J51" s="1265"/>
      <c r="K51" s="175"/>
      <c r="L51" s="1265"/>
      <c r="M51" s="1265"/>
      <c r="N51" s="1265"/>
      <c r="O51" s="1265"/>
      <c r="P51" s="1265"/>
      <c r="Q51" s="999"/>
      <c r="R51" s="999"/>
      <c r="S51" s="999"/>
      <c r="T51" s="2801"/>
      <c r="U51" s="233"/>
      <c r="V51" s="49"/>
      <c r="W51" s="218"/>
      <c r="X51" s="218"/>
      <c r="Y51" s="216"/>
      <c r="Z51" s="216"/>
      <c r="AA51" s="215"/>
      <c r="AB51" s="216"/>
      <c r="AC51" s="216"/>
      <c r="AD51" s="239"/>
      <c r="AE51" s="216"/>
      <c r="AF51" s="216"/>
      <c r="AG51" s="216"/>
      <c r="AH51" s="216"/>
      <c r="AI51" s="216"/>
      <c r="AJ51" s="216"/>
      <c r="AK51" s="239"/>
      <c r="AL51" s="216"/>
      <c r="AM51" s="216"/>
      <c r="AN51" s="216"/>
      <c r="AO51" s="216"/>
      <c r="AP51" s="216"/>
      <c r="AQ51" s="216"/>
      <c r="AR51" s="216"/>
      <c r="AS51" s="216"/>
      <c r="AT51" s="216"/>
      <c r="AU51" s="216"/>
      <c r="AV51" s="217"/>
      <c r="AW51" s="355"/>
      <c r="AX51" s="217"/>
      <c r="AY51" s="1559"/>
      <c r="AZ51" s="249"/>
      <c r="BA51" s="221"/>
      <c r="BB51" s="300"/>
      <c r="BC51" s="217"/>
      <c r="BD51" s="392"/>
      <c r="BE51" s="1244"/>
      <c r="BF51" s="249"/>
      <c r="BG51" s="252"/>
      <c r="BH51" s="1469"/>
      <c r="BI51" s="216"/>
      <c r="BJ51" s="1469"/>
      <c r="BK51" s="1459"/>
      <c r="BL51" s="260"/>
      <c r="BM51" s="214"/>
      <c r="BN51" s="293"/>
      <c r="BO51" s="217"/>
      <c r="BP51" s="355"/>
      <c r="BQ51" s="217"/>
      <c r="BR51" s="1193"/>
      <c r="BS51" s="249"/>
      <c r="BT51" s="216"/>
      <c r="BU51" s="1195"/>
      <c r="BV51" s="249"/>
      <c r="BW51" s="216"/>
      <c r="BX51" s="1195"/>
      <c r="BY51" s="249"/>
      <c r="BZ51" s="216"/>
      <c r="CA51" s="1195"/>
      <c r="CB51" s="249"/>
      <c r="CC51" s="216"/>
      <c r="CD51" s="1195"/>
      <c r="CE51" s="249"/>
      <c r="CF51" s="216"/>
      <c r="CG51" s="1195"/>
      <c r="CH51" s="249"/>
      <c r="CI51" s="216"/>
      <c r="CJ51" s="1195"/>
      <c r="CK51" s="249"/>
      <c r="CL51" s="216"/>
      <c r="CM51" s="1194"/>
      <c r="CN51" s="1524"/>
      <c r="CO51" s="217"/>
      <c r="CP51" s="1193"/>
      <c r="CQ51" s="293"/>
      <c r="CR51" s="217"/>
      <c r="CS51" s="305"/>
      <c r="CT51" s="249"/>
      <c r="CU51" s="216"/>
      <c r="CV51" s="1193"/>
      <c r="CW51" s="249"/>
      <c r="CX51" s="216"/>
      <c r="CY51" s="305"/>
      <c r="CZ51" s="249"/>
      <c r="DA51" s="216"/>
      <c r="DB51" s="307"/>
      <c r="DC51" s="328"/>
      <c r="DD51" s="322"/>
      <c r="DE51" s="305"/>
      <c r="DF51" s="249"/>
      <c r="DG51" s="216"/>
      <c r="DH51" s="305"/>
      <c r="DI51" s="249"/>
      <c r="DJ51" s="216"/>
      <c r="DK51" s="309"/>
      <c r="DL51" s="293"/>
      <c r="DM51" s="326"/>
      <c r="DN51" s="1256"/>
      <c r="DO51" s="214"/>
      <c r="DP51" s="1257"/>
      <c r="DQ51" s="1258"/>
      <c r="DR51" s="305"/>
      <c r="DS51" s="249"/>
      <c r="DT51" s="216"/>
      <c r="DU51" s="2518"/>
      <c r="DV51"/>
      <c r="DW51"/>
      <c r="DX51" s="305"/>
      <c r="DY51" s="249"/>
      <c r="DZ51" s="221"/>
      <c r="EA51" s="388"/>
      <c r="EB51" s="249"/>
      <c r="EC51" s="216"/>
      <c r="ED51" s="1461"/>
      <c r="EE51" s="249"/>
      <c r="EF51" s="216"/>
      <c r="EG51" s="355"/>
      <c r="EH51" s="1425"/>
      <c r="EI51" s="1470"/>
      <c r="EJ51" s="249"/>
      <c r="EK51" s="221"/>
      <c r="EL51" s="313"/>
      <c r="EM51" s="249"/>
      <c r="EN51" s="221"/>
      <c r="EO51" s="313"/>
      <c r="EP51" s="249"/>
      <c r="EQ51" s="216"/>
      <c r="ER51" s="313"/>
      <c r="ES51" s="249"/>
      <c r="ET51" s="216"/>
      <c r="EU51" s="313"/>
      <c r="EV51" s="249"/>
      <c r="EW51" s="216"/>
      <c r="EX51" s="2505"/>
      <c r="EY51" s="249"/>
      <c r="EZ51" s="221"/>
      <c r="FA51" s="313"/>
      <c r="FB51" s="249"/>
      <c r="FC51" s="221"/>
      <c r="FD51" s="313"/>
      <c r="FE51" s="249"/>
      <c r="FF51" s="221"/>
      <c r="FG51" s="313"/>
      <c r="FH51" s="249"/>
      <c r="FI51" s="216"/>
      <c r="FJ51" s="1435"/>
      <c r="FK51" s="216"/>
      <c r="FL51" s="1268"/>
      <c r="FM51" s="1655"/>
      <c r="FN51" s="1268"/>
      <c r="FO51" s="1655"/>
      <c r="FP51" s="1268"/>
      <c r="FQ51" s="1656"/>
      <c r="FR51" s="249"/>
      <c r="FS51" s="216"/>
      <c r="FT51" s="1657"/>
      <c r="FU51" s="1658"/>
      <c r="FV51" s="242"/>
      <c r="FW51" s="2522"/>
      <c r="FX51" s="2523"/>
      <c r="FY51" s="336"/>
      <c r="FZ51" s="223"/>
      <c r="GA51" s="338"/>
      <c r="GB51" s="204"/>
      <c r="GC51" s="339"/>
      <c r="GD51" s="342"/>
      <c r="GE51" s="199"/>
      <c r="GF51" s="199"/>
      <c r="GG51" s="199"/>
      <c r="GH51" s="199"/>
      <c r="GI51" s="199"/>
      <c r="GJ51" s="199"/>
      <c r="GK51" s="199"/>
      <c r="GL51" s="49"/>
      <c r="GM51" s="28"/>
      <c r="GN51" s="28"/>
      <c r="GO51" s="322"/>
      <c r="GP51" s="1190"/>
      <c r="GQ51" s="1190"/>
      <c r="GR51" s="49"/>
      <c r="GS51" s="2879"/>
      <c r="GT51" s="2880"/>
      <c r="GU51" s="2881"/>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49"/>
      <c r="IG51" s="49"/>
      <c r="IH51" s="49"/>
      <c r="II51" s="49"/>
      <c r="IJ51" s="49"/>
      <c r="IK51" s="49"/>
      <c r="IL51" s="49"/>
      <c r="IM51" s="49"/>
      <c r="IN51" s="49"/>
      <c r="IO51" s="49"/>
      <c r="IP51" s="49"/>
      <c r="IQ51" s="49"/>
      <c r="IR51" s="49"/>
      <c r="IS51" s="49"/>
      <c r="IT51" s="49"/>
      <c r="IU51" s="49"/>
      <c r="IV51" s="49"/>
    </row>
    <row r="52" spans="1:256" s="198" customFormat="1" ht="12" customHeight="1">
      <c r="A52" s="1252"/>
      <c r="B52" s="200"/>
      <c r="C52" s="486"/>
      <c r="D52" s="203"/>
      <c r="E52" s="203"/>
      <c r="F52" s="203"/>
      <c r="G52" s="203"/>
      <c r="H52" s="175"/>
      <c r="I52" s="1265"/>
      <c r="J52" s="1265"/>
      <c r="K52" s="175"/>
      <c r="L52" s="1265"/>
      <c r="M52" s="1265"/>
      <c r="N52" s="1265"/>
      <c r="O52" s="1265"/>
      <c r="P52" s="1265"/>
      <c r="Q52" s="999"/>
      <c r="R52" s="999"/>
      <c r="S52" s="999"/>
      <c r="T52" s="2801"/>
      <c r="U52" s="233"/>
      <c r="V52" s="49"/>
      <c r="W52" s="218"/>
      <c r="X52" s="218"/>
      <c r="Y52" s="216"/>
      <c r="Z52" s="216"/>
      <c r="AA52" s="215"/>
      <c r="AB52" s="216"/>
      <c r="AC52" s="216"/>
      <c r="AD52" s="239"/>
      <c r="AE52" s="216"/>
      <c r="AF52" s="216"/>
      <c r="AG52" s="216"/>
      <c r="AH52" s="216"/>
      <c r="AI52" s="216"/>
      <c r="AJ52" s="216"/>
      <c r="AK52" s="239"/>
      <c r="AL52" s="216"/>
      <c r="AM52" s="216"/>
      <c r="AN52" s="216"/>
      <c r="AO52" s="216"/>
      <c r="AP52" s="216"/>
      <c r="AQ52" s="216"/>
      <c r="AR52" s="216"/>
      <c r="AS52" s="216"/>
      <c r="AT52" s="216"/>
      <c r="AU52" s="216"/>
      <c r="AV52" s="217"/>
      <c r="AW52" s="355"/>
      <c r="AX52" s="217"/>
      <c r="AY52" s="1559"/>
      <c r="AZ52" s="249"/>
      <c r="BA52" s="221"/>
      <c r="BB52" s="300"/>
      <c r="BC52" s="217"/>
      <c r="BD52" s="392"/>
      <c r="BE52" s="1244"/>
      <c r="BF52" s="249"/>
      <c r="BG52" s="252"/>
      <c r="BH52" s="1469"/>
      <c r="BI52" s="216"/>
      <c r="BJ52" s="1469"/>
      <c r="BK52" s="1459"/>
      <c r="BL52" s="260"/>
      <c r="BM52" s="214"/>
      <c r="BN52" s="293"/>
      <c r="BO52" s="217"/>
      <c r="BP52" s="355"/>
      <c r="BQ52" s="217"/>
      <c r="BR52" s="1193"/>
      <c r="BS52" s="249"/>
      <c r="BT52" s="216"/>
      <c r="BU52" s="1195"/>
      <c r="BV52" s="249"/>
      <c r="BW52" s="216"/>
      <c r="BX52" s="1195"/>
      <c r="BY52" s="249"/>
      <c r="BZ52" s="216"/>
      <c r="CA52" s="1195"/>
      <c r="CB52" s="249"/>
      <c r="CC52" s="216"/>
      <c r="CD52" s="1195"/>
      <c r="CE52" s="249"/>
      <c r="CF52" s="216"/>
      <c r="CG52" s="1195"/>
      <c r="CH52" s="249"/>
      <c r="CI52" s="216"/>
      <c r="CJ52" s="1195"/>
      <c r="CK52" s="249"/>
      <c r="CL52" s="216"/>
      <c r="CM52" s="1194"/>
      <c r="CN52" s="1524"/>
      <c r="CO52" s="217"/>
      <c r="CP52" s="1193"/>
      <c r="CQ52" s="293"/>
      <c r="CR52" s="217"/>
      <c r="CS52" s="305"/>
      <c r="CT52" s="249"/>
      <c r="CU52" s="216"/>
      <c r="CV52" s="1193"/>
      <c r="CW52" s="249"/>
      <c r="CX52" s="216"/>
      <c r="CY52" s="305"/>
      <c r="CZ52" s="249"/>
      <c r="DA52" s="216"/>
      <c r="DB52" s="307"/>
      <c r="DC52" s="328"/>
      <c r="DD52" s="322"/>
      <c r="DE52" s="305"/>
      <c r="DF52" s="249"/>
      <c r="DG52" s="216"/>
      <c r="DH52" s="305"/>
      <c r="DI52" s="249"/>
      <c r="DJ52" s="216"/>
      <c r="DK52" s="309"/>
      <c r="DL52" s="293"/>
      <c r="DM52" s="326"/>
      <c r="DN52" s="1256"/>
      <c r="DO52" s="214"/>
      <c r="DP52" s="1257"/>
      <c r="DQ52" s="1258"/>
      <c r="DR52" s="305"/>
      <c r="DS52" s="249"/>
      <c r="DT52" s="216"/>
      <c r="DU52" s="2518"/>
      <c r="DV52"/>
      <c r="DW52"/>
      <c r="DX52" s="305"/>
      <c r="DY52" s="249"/>
      <c r="DZ52" s="221"/>
      <c r="EA52" s="388"/>
      <c r="EB52" s="249"/>
      <c r="EC52" s="216"/>
      <c r="ED52" s="1461"/>
      <c r="EE52" s="249"/>
      <c r="EF52" s="216"/>
      <c r="EG52" s="355"/>
      <c r="EH52" s="1425"/>
      <c r="EI52" s="1470"/>
      <c r="EJ52" s="249"/>
      <c r="EK52" s="221"/>
      <c r="EL52" s="313"/>
      <c r="EM52" s="249"/>
      <c r="EN52" s="221"/>
      <c r="EO52" s="313"/>
      <c r="EP52" s="249"/>
      <c r="EQ52" s="216"/>
      <c r="ER52" s="313"/>
      <c r="ES52" s="249"/>
      <c r="ET52" s="216"/>
      <c r="EU52" s="313"/>
      <c r="EV52" s="249"/>
      <c r="EW52" s="216"/>
      <c r="EX52" s="2505"/>
      <c r="EY52" s="249"/>
      <c r="EZ52" s="221"/>
      <c r="FA52" s="313"/>
      <c r="FB52" s="249"/>
      <c r="FC52" s="221"/>
      <c r="FD52" s="313"/>
      <c r="FE52" s="249"/>
      <c r="FF52" s="221"/>
      <c r="FG52" s="313"/>
      <c r="FH52" s="249"/>
      <c r="FI52" s="216"/>
      <c r="FJ52" s="1435"/>
      <c r="FK52" s="216"/>
      <c r="FL52" s="1268"/>
      <c r="FM52" s="1655"/>
      <c r="FN52" s="1268"/>
      <c r="FO52" s="1655"/>
      <c r="FP52" s="1268"/>
      <c r="FQ52" s="1656"/>
      <c r="FR52" s="249"/>
      <c r="FS52" s="216"/>
      <c r="FT52" s="1657"/>
      <c r="FU52" s="1658"/>
      <c r="FV52" s="242"/>
      <c r="FW52" s="2522"/>
      <c r="FX52" s="2523"/>
      <c r="FY52" s="336"/>
      <c r="FZ52" s="223"/>
      <c r="GA52" s="338"/>
      <c r="GB52" s="204"/>
      <c r="GC52" s="339"/>
      <c r="GD52" s="342"/>
      <c r="GE52" s="199"/>
      <c r="GF52" s="199"/>
      <c r="GG52" s="199"/>
      <c r="GH52" s="199"/>
      <c r="GI52" s="199"/>
      <c r="GJ52" s="199"/>
      <c r="GK52" s="199"/>
      <c r="GL52" s="49"/>
      <c r="GM52" s="28"/>
      <c r="GN52" s="28"/>
      <c r="GO52" s="322"/>
      <c r="GP52" s="1190"/>
      <c r="GQ52" s="1190"/>
      <c r="GR52" s="49"/>
      <c r="GS52" s="2879"/>
      <c r="GT52" s="2880"/>
      <c r="GU52" s="2881"/>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49"/>
      <c r="IG52" s="49"/>
      <c r="IH52" s="49"/>
      <c r="II52" s="49"/>
      <c r="IJ52" s="49"/>
      <c r="IK52" s="49"/>
      <c r="IL52" s="49"/>
      <c r="IM52" s="49"/>
      <c r="IN52" s="49"/>
      <c r="IO52" s="49"/>
      <c r="IP52" s="49"/>
      <c r="IQ52" s="49"/>
      <c r="IR52" s="49"/>
      <c r="IS52" s="49"/>
      <c r="IT52" s="49"/>
      <c r="IU52" s="49"/>
      <c r="IV52" s="49"/>
    </row>
    <row r="53" spans="1:256" s="198" customFormat="1" ht="12" customHeight="1">
      <c r="A53" s="1252"/>
      <c r="B53" s="200"/>
      <c r="C53" s="486"/>
      <c r="D53" s="203"/>
      <c r="E53" s="203"/>
      <c r="F53" s="203"/>
      <c r="G53" s="203"/>
      <c r="H53" s="175"/>
      <c r="I53" s="1265"/>
      <c r="J53" s="1265"/>
      <c r="K53" s="175"/>
      <c r="L53" s="1265"/>
      <c r="M53" s="1265"/>
      <c r="N53" s="1265"/>
      <c r="O53" s="1265"/>
      <c r="P53" s="1265"/>
      <c r="Q53" s="999"/>
      <c r="R53" s="999"/>
      <c r="S53" s="999"/>
      <c r="T53" s="2801"/>
      <c r="U53" s="233"/>
      <c r="V53" s="49"/>
      <c r="W53" s="218"/>
      <c r="X53" s="218"/>
      <c r="Y53" s="216"/>
      <c r="Z53" s="216"/>
      <c r="AA53" s="215"/>
      <c r="AB53" s="216"/>
      <c r="AC53" s="216"/>
      <c r="AD53" s="239"/>
      <c r="AE53" s="216"/>
      <c r="AF53" s="216"/>
      <c r="AG53" s="216"/>
      <c r="AH53" s="216"/>
      <c r="AI53" s="216"/>
      <c r="AJ53" s="216"/>
      <c r="AK53" s="239"/>
      <c r="AL53" s="216"/>
      <c r="AM53" s="216"/>
      <c r="AN53" s="216"/>
      <c r="AO53" s="216"/>
      <c r="AP53" s="216"/>
      <c r="AQ53" s="216"/>
      <c r="AR53" s="216"/>
      <c r="AS53" s="216"/>
      <c r="AT53" s="216"/>
      <c r="AU53" s="216"/>
      <c r="AV53" s="217"/>
      <c r="AW53" s="355"/>
      <c r="AX53" s="217"/>
      <c r="AY53" s="1559"/>
      <c r="AZ53" s="249"/>
      <c r="BA53" s="221"/>
      <c r="BB53" s="300"/>
      <c r="BC53" s="217"/>
      <c r="BD53" s="392"/>
      <c r="BE53" s="1244"/>
      <c r="BF53" s="249"/>
      <c r="BG53" s="252"/>
      <c r="BH53" s="1469"/>
      <c r="BI53" s="216"/>
      <c r="BJ53" s="1469"/>
      <c r="BK53" s="1459"/>
      <c r="BL53" s="260"/>
      <c r="BM53" s="214"/>
      <c r="BN53" s="293"/>
      <c r="BO53" s="217"/>
      <c r="BP53" s="355"/>
      <c r="BQ53" s="217"/>
      <c r="BR53" s="1193"/>
      <c r="BS53" s="249"/>
      <c r="BT53" s="216"/>
      <c r="BU53" s="1195"/>
      <c r="BV53" s="249"/>
      <c r="BW53" s="216"/>
      <c r="BX53" s="1195"/>
      <c r="BY53" s="249"/>
      <c r="BZ53" s="216"/>
      <c r="CA53" s="1195"/>
      <c r="CB53" s="249"/>
      <c r="CC53" s="216"/>
      <c r="CD53" s="1195"/>
      <c r="CE53" s="249"/>
      <c r="CF53" s="216"/>
      <c r="CG53" s="1195"/>
      <c r="CH53" s="249"/>
      <c r="CI53" s="216"/>
      <c r="CJ53" s="1195"/>
      <c r="CK53" s="249"/>
      <c r="CL53" s="216"/>
      <c r="CM53" s="1194"/>
      <c r="CN53" s="1524"/>
      <c r="CO53" s="217"/>
      <c r="CP53" s="1193"/>
      <c r="CQ53" s="293"/>
      <c r="CR53" s="217"/>
      <c r="CS53" s="305"/>
      <c r="CT53" s="249"/>
      <c r="CU53" s="216"/>
      <c r="CV53" s="1193"/>
      <c r="CW53" s="249"/>
      <c r="CX53" s="216"/>
      <c r="CY53" s="305"/>
      <c r="CZ53" s="249"/>
      <c r="DA53" s="216"/>
      <c r="DB53" s="307"/>
      <c r="DC53" s="328"/>
      <c r="DD53" s="322"/>
      <c r="DE53" s="305"/>
      <c r="DF53" s="249"/>
      <c r="DG53" s="216"/>
      <c r="DH53" s="305"/>
      <c r="DI53" s="249"/>
      <c r="DJ53" s="216"/>
      <c r="DK53" s="309"/>
      <c r="DL53" s="293"/>
      <c r="DM53" s="326"/>
      <c r="DN53" s="1256"/>
      <c r="DO53" s="214"/>
      <c r="DP53" s="1257"/>
      <c r="DQ53" s="1258"/>
      <c r="DR53" s="305"/>
      <c r="DS53" s="249"/>
      <c r="DT53" s="216"/>
      <c r="DU53" s="2518"/>
      <c r="DV53"/>
      <c r="DW53"/>
      <c r="DX53" s="305"/>
      <c r="DY53" s="249"/>
      <c r="DZ53" s="221"/>
      <c r="EA53" s="388"/>
      <c r="EB53" s="249"/>
      <c r="EC53" s="216"/>
      <c r="ED53" s="1461"/>
      <c r="EE53" s="249"/>
      <c r="EF53" s="216"/>
      <c r="EG53" s="355"/>
      <c r="EH53" s="1425"/>
      <c r="EI53" s="1470"/>
      <c r="EJ53" s="249"/>
      <c r="EK53" s="221"/>
      <c r="EL53" s="313"/>
      <c r="EM53" s="249"/>
      <c r="EN53" s="221"/>
      <c r="EO53" s="313"/>
      <c r="EP53" s="249"/>
      <c r="EQ53" s="216"/>
      <c r="ER53" s="313"/>
      <c r="ES53" s="249"/>
      <c r="ET53" s="216"/>
      <c r="EU53" s="313"/>
      <c r="EV53" s="249"/>
      <c r="EW53" s="216"/>
      <c r="EX53" s="2505"/>
      <c r="EY53" s="249"/>
      <c r="EZ53" s="221"/>
      <c r="FA53" s="313"/>
      <c r="FB53" s="249"/>
      <c r="FC53" s="221"/>
      <c r="FD53" s="313"/>
      <c r="FE53" s="249"/>
      <c r="FF53" s="221"/>
      <c r="FG53" s="313"/>
      <c r="FH53" s="249"/>
      <c r="FI53" s="216"/>
      <c r="FJ53" s="1435"/>
      <c r="FK53" s="216"/>
      <c r="FL53" s="1268"/>
      <c r="FM53" s="1655"/>
      <c r="FN53" s="1268"/>
      <c r="FO53" s="1655"/>
      <c r="FP53" s="1268"/>
      <c r="FQ53" s="1656"/>
      <c r="FR53" s="249"/>
      <c r="FS53" s="216"/>
      <c r="FT53" s="1657"/>
      <c r="FU53" s="1658"/>
      <c r="FV53" s="242"/>
      <c r="FW53" s="2522"/>
      <c r="FX53" s="2523"/>
      <c r="FY53" s="336"/>
      <c r="FZ53" s="223"/>
      <c r="GA53" s="338"/>
      <c r="GB53" s="204"/>
      <c r="GC53" s="339"/>
      <c r="GD53" s="342"/>
      <c r="GE53" s="199"/>
      <c r="GF53" s="199"/>
      <c r="GG53" s="199"/>
      <c r="GH53" s="199"/>
      <c r="GI53" s="199"/>
      <c r="GJ53" s="199"/>
      <c r="GK53" s="199"/>
      <c r="GL53" s="49"/>
      <c r="GM53" s="28"/>
      <c r="GN53" s="28"/>
      <c r="GO53" s="322"/>
      <c r="GP53" s="1190"/>
      <c r="GQ53" s="1190"/>
      <c r="GR53" s="49"/>
      <c r="GS53" s="2879"/>
      <c r="GT53" s="2880"/>
      <c r="GU53" s="2881"/>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49"/>
      <c r="IG53" s="49"/>
      <c r="IH53" s="49"/>
      <c r="II53" s="49"/>
      <c r="IJ53" s="49"/>
      <c r="IK53" s="49"/>
      <c r="IL53" s="49"/>
      <c r="IM53" s="49"/>
      <c r="IN53" s="49"/>
      <c r="IO53" s="49"/>
      <c r="IP53" s="49"/>
      <c r="IQ53" s="49"/>
      <c r="IR53" s="49"/>
      <c r="IS53" s="49"/>
      <c r="IT53" s="49"/>
      <c r="IU53" s="49"/>
      <c r="IV53" s="49"/>
    </row>
    <row r="54" spans="1:256" s="198" customFormat="1" ht="12" customHeight="1">
      <c r="A54" s="1252"/>
      <c r="B54" s="200"/>
      <c r="C54" s="486"/>
      <c r="D54" s="203"/>
      <c r="E54" s="203"/>
      <c r="F54" s="203"/>
      <c r="G54" s="203"/>
      <c r="H54" s="175"/>
      <c r="I54" s="1265"/>
      <c r="J54" s="1265"/>
      <c r="K54" s="175"/>
      <c r="L54" s="1265"/>
      <c r="M54" s="1265"/>
      <c r="N54" s="1265"/>
      <c r="O54" s="1265"/>
      <c r="P54" s="1265"/>
      <c r="Q54" s="999"/>
      <c r="R54" s="999"/>
      <c r="S54" s="999"/>
      <c r="T54" s="2801"/>
      <c r="U54" s="233"/>
      <c r="V54" s="49"/>
      <c r="W54" s="218"/>
      <c r="X54" s="218"/>
      <c r="Y54" s="216"/>
      <c r="Z54" s="216"/>
      <c r="AA54" s="215"/>
      <c r="AB54" s="216"/>
      <c r="AC54" s="216"/>
      <c r="AD54" s="239"/>
      <c r="AE54" s="216"/>
      <c r="AF54" s="216"/>
      <c r="AG54" s="216"/>
      <c r="AH54" s="216"/>
      <c r="AI54" s="216"/>
      <c r="AJ54" s="216"/>
      <c r="AK54" s="239"/>
      <c r="AL54" s="216"/>
      <c r="AM54" s="216"/>
      <c r="AN54" s="216"/>
      <c r="AO54" s="216"/>
      <c r="AP54" s="216"/>
      <c r="AQ54" s="216"/>
      <c r="AR54" s="216"/>
      <c r="AS54" s="216"/>
      <c r="AT54" s="216"/>
      <c r="AU54" s="216"/>
      <c r="AV54" s="217"/>
      <c r="AW54" s="355"/>
      <c r="AX54" s="217"/>
      <c r="AY54" s="1559"/>
      <c r="AZ54" s="249"/>
      <c r="BA54" s="221"/>
      <c r="BB54" s="300"/>
      <c r="BC54" s="217"/>
      <c r="BD54" s="392"/>
      <c r="BE54" s="1244"/>
      <c r="BF54" s="249"/>
      <c r="BG54" s="252"/>
      <c r="BH54" s="1469"/>
      <c r="BI54" s="216"/>
      <c r="BJ54" s="1469"/>
      <c r="BK54" s="1459"/>
      <c r="BL54" s="260"/>
      <c r="BM54" s="214"/>
      <c r="BN54" s="293"/>
      <c r="BO54" s="217"/>
      <c r="BP54" s="355"/>
      <c r="BQ54" s="217"/>
      <c r="BR54" s="1193"/>
      <c r="BS54" s="249"/>
      <c r="BT54" s="216"/>
      <c r="BU54" s="1195"/>
      <c r="BV54" s="249"/>
      <c r="BW54" s="216"/>
      <c r="BX54" s="1195"/>
      <c r="BY54" s="249"/>
      <c r="BZ54" s="216"/>
      <c r="CA54" s="1195"/>
      <c r="CB54" s="249"/>
      <c r="CC54" s="216"/>
      <c r="CD54" s="1195"/>
      <c r="CE54" s="249"/>
      <c r="CF54" s="216"/>
      <c r="CG54" s="1195"/>
      <c r="CH54" s="249"/>
      <c r="CI54" s="216"/>
      <c r="CJ54" s="1195"/>
      <c r="CK54" s="249"/>
      <c r="CL54" s="216"/>
      <c r="CM54" s="1194"/>
      <c r="CN54" s="1524"/>
      <c r="CO54" s="217"/>
      <c r="CP54" s="1193"/>
      <c r="CQ54" s="293"/>
      <c r="CR54" s="217"/>
      <c r="CS54" s="305"/>
      <c r="CT54" s="249"/>
      <c r="CU54" s="216"/>
      <c r="CV54" s="1193"/>
      <c r="CW54" s="249"/>
      <c r="CX54" s="216"/>
      <c r="CY54" s="305"/>
      <c r="CZ54" s="249"/>
      <c r="DA54" s="216"/>
      <c r="DB54" s="307"/>
      <c r="DC54" s="328"/>
      <c r="DD54" s="322"/>
      <c r="DE54" s="305"/>
      <c r="DF54" s="249"/>
      <c r="DG54" s="216"/>
      <c r="DH54" s="305"/>
      <c r="DI54" s="249"/>
      <c r="DJ54" s="216"/>
      <c r="DK54" s="309"/>
      <c r="DL54" s="293"/>
      <c r="DM54" s="326"/>
      <c r="DN54" s="1256"/>
      <c r="DO54" s="214"/>
      <c r="DP54" s="1257"/>
      <c r="DQ54" s="1258"/>
      <c r="DR54" s="305"/>
      <c r="DS54" s="249"/>
      <c r="DT54" s="216"/>
      <c r="DU54" s="2518"/>
      <c r="DV54"/>
      <c r="DW54"/>
      <c r="DX54" s="305"/>
      <c r="DY54" s="249"/>
      <c r="DZ54" s="221"/>
      <c r="EA54" s="388"/>
      <c r="EB54" s="249"/>
      <c r="EC54" s="216"/>
      <c r="ED54" s="1461"/>
      <c r="EE54" s="249"/>
      <c r="EF54" s="216"/>
      <c r="EG54" s="355"/>
      <c r="EH54" s="1425"/>
      <c r="EI54" s="1470"/>
      <c r="EJ54" s="249"/>
      <c r="EK54" s="221"/>
      <c r="EL54" s="313"/>
      <c r="EM54" s="249"/>
      <c r="EN54" s="221"/>
      <c r="EO54" s="313"/>
      <c r="EP54" s="249"/>
      <c r="EQ54" s="216"/>
      <c r="ER54" s="313"/>
      <c r="ES54" s="249"/>
      <c r="ET54" s="216"/>
      <c r="EU54" s="313"/>
      <c r="EV54" s="249"/>
      <c r="EW54" s="216"/>
      <c r="EX54" s="2505"/>
      <c r="EY54" s="249"/>
      <c r="EZ54" s="221"/>
      <c r="FA54" s="313"/>
      <c r="FB54" s="249"/>
      <c r="FC54" s="221"/>
      <c r="FD54" s="313"/>
      <c r="FE54" s="249"/>
      <c r="FF54" s="221"/>
      <c r="FG54" s="313"/>
      <c r="FH54" s="249"/>
      <c r="FI54" s="216"/>
      <c r="FJ54" s="1435"/>
      <c r="FK54" s="216"/>
      <c r="FL54" s="1268"/>
      <c r="FM54" s="1655"/>
      <c r="FN54" s="1268"/>
      <c r="FO54" s="1655"/>
      <c r="FP54" s="1268"/>
      <c r="FQ54" s="1656"/>
      <c r="FR54" s="249"/>
      <c r="FS54" s="216"/>
      <c r="FT54" s="1657"/>
      <c r="FU54" s="1658"/>
      <c r="FV54" s="242"/>
      <c r="FW54" s="2522"/>
      <c r="FX54" s="2523"/>
      <c r="FY54" s="336"/>
      <c r="FZ54" s="223"/>
      <c r="GA54" s="338"/>
      <c r="GB54" s="204"/>
      <c r="GC54" s="339"/>
      <c r="GD54" s="342"/>
      <c r="GE54" s="199"/>
      <c r="GF54" s="199"/>
      <c r="GG54" s="199"/>
      <c r="GH54" s="199"/>
      <c r="GI54" s="199"/>
      <c r="GJ54" s="199"/>
      <c r="GK54" s="199"/>
      <c r="GL54" s="49"/>
      <c r="GM54" s="28"/>
      <c r="GN54" s="28"/>
      <c r="GO54" s="322"/>
      <c r="GP54" s="1190"/>
      <c r="GQ54" s="1190"/>
      <c r="GR54" s="49"/>
      <c r="GS54" s="2879"/>
      <c r="GT54" s="2880"/>
      <c r="GU54" s="2881"/>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49"/>
      <c r="IG54" s="49"/>
      <c r="IH54" s="49"/>
      <c r="II54" s="49"/>
      <c r="IJ54" s="49"/>
      <c r="IK54" s="49"/>
      <c r="IL54" s="49"/>
      <c r="IM54" s="49"/>
      <c r="IN54" s="49"/>
      <c r="IO54" s="49"/>
      <c r="IP54" s="49"/>
      <c r="IQ54" s="49"/>
      <c r="IR54" s="49"/>
      <c r="IS54" s="49"/>
      <c r="IT54" s="49"/>
      <c r="IU54" s="49"/>
      <c r="IV54" s="49"/>
    </row>
    <row r="55" spans="1:256" s="198" customFormat="1" ht="12" customHeight="1">
      <c r="A55" s="1252"/>
      <c r="B55" s="200"/>
      <c r="C55" s="486"/>
      <c r="D55" s="203"/>
      <c r="E55" s="203"/>
      <c r="F55" s="203"/>
      <c r="G55" s="203"/>
      <c r="H55" s="175"/>
      <c r="I55" s="1265"/>
      <c r="J55" s="1265"/>
      <c r="K55" s="175"/>
      <c r="L55" s="1265"/>
      <c r="M55" s="1265"/>
      <c r="N55" s="1265"/>
      <c r="O55" s="1265"/>
      <c r="P55" s="1265"/>
      <c r="Q55" s="999"/>
      <c r="R55" s="999"/>
      <c r="S55" s="999"/>
      <c r="T55" s="2801"/>
      <c r="U55" s="233"/>
      <c r="V55" s="49"/>
      <c r="W55" s="218"/>
      <c r="X55" s="218"/>
      <c r="Y55" s="216"/>
      <c r="Z55" s="216"/>
      <c r="AA55" s="215"/>
      <c r="AB55" s="216"/>
      <c r="AC55" s="216"/>
      <c r="AD55" s="239"/>
      <c r="AE55" s="216"/>
      <c r="AF55" s="216"/>
      <c r="AG55" s="216"/>
      <c r="AH55" s="216"/>
      <c r="AI55" s="216"/>
      <c r="AJ55" s="216"/>
      <c r="AK55" s="239"/>
      <c r="AL55" s="216"/>
      <c r="AM55" s="216"/>
      <c r="AN55" s="216"/>
      <c r="AO55" s="216"/>
      <c r="AP55" s="216"/>
      <c r="AQ55" s="216"/>
      <c r="AR55" s="216"/>
      <c r="AS55" s="216"/>
      <c r="AT55" s="216"/>
      <c r="AU55" s="216"/>
      <c r="AV55" s="217"/>
      <c r="AW55" s="355"/>
      <c r="AX55" s="217"/>
      <c r="AY55" s="1559"/>
      <c r="AZ55" s="249"/>
      <c r="BA55" s="221"/>
      <c r="BB55" s="300"/>
      <c r="BC55" s="217"/>
      <c r="BD55" s="392"/>
      <c r="BE55" s="1244"/>
      <c r="BF55" s="249"/>
      <c r="BG55" s="252"/>
      <c r="BH55" s="1469"/>
      <c r="BI55" s="216"/>
      <c r="BJ55" s="1469"/>
      <c r="BK55" s="1459"/>
      <c r="BL55" s="260"/>
      <c r="BM55" s="214"/>
      <c r="BN55" s="293"/>
      <c r="BO55" s="217"/>
      <c r="BP55" s="355"/>
      <c r="BQ55" s="217"/>
      <c r="BR55" s="1193"/>
      <c r="BS55" s="249"/>
      <c r="BT55" s="216"/>
      <c r="BU55" s="1195"/>
      <c r="BV55" s="249"/>
      <c r="BW55" s="216"/>
      <c r="BX55" s="1195"/>
      <c r="BY55" s="249"/>
      <c r="BZ55" s="216"/>
      <c r="CA55" s="1195"/>
      <c r="CB55" s="249"/>
      <c r="CC55" s="216"/>
      <c r="CD55" s="1195"/>
      <c r="CE55" s="249"/>
      <c r="CF55" s="216"/>
      <c r="CG55" s="1195"/>
      <c r="CH55" s="249"/>
      <c r="CI55" s="216"/>
      <c r="CJ55" s="1195"/>
      <c r="CK55" s="249"/>
      <c r="CL55" s="216"/>
      <c r="CM55" s="1194"/>
      <c r="CN55" s="1524"/>
      <c r="CO55" s="217"/>
      <c r="CP55" s="1193"/>
      <c r="CQ55" s="293"/>
      <c r="CR55" s="217"/>
      <c r="CS55" s="305"/>
      <c r="CT55" s="249"/>
      <c r="CU55" s="216"/>
      <c r="CV55" s="1193"/>
      <c r="CW55" s="249"/>
      <c r="CX55" s="216"/>
      <c r="CY55" s="305"/>
      <c r="CZ55" s="249"/>
      <c r="DA55" s="216"/>
      <c r="DB55" s="307"/>
      <c r="DC55" s="328"/>
      <c r="DD55" s="322"/>
      <c r="DE55" s="305"/>
      <c r="DF55" s="249"/>
      <c r="DG55" s="216"/>
      <c r="DH55" s="305"/>
      <c r="DI55" s="249"/>
      <c r="DJ55" s="216"/>
      <c r="DK55" s="309"/>
      <c r="DL55" s="293"/>
      <c r="DM55" s="326"/>
      <c r="DN55" s="1256"/>
      <c r="DO55" s="214"/>
      <c r="DP55" s="1257"/>
      <c r="DQ55" s="1258"/>
      <c r="DR55" s="305"/>
      <c r="DS55" s="249"/>
      <c r="DT55" s="216"/>
      <c r="DU55" s="2518"/>
      <c r="DV55"/>
      <c r="DW55"/>
      <c r="DX55" s="305"/>
      <c r="DY55" s="249"/>
      <c r="DZ55" s="221"/>
      <c r="EA55" s="388"/>
      <c r="EB55" s="249"/>
      <c r="EC55" s="216"/>
      <c r="ED55" s="1461"/>
      <c r="EE55" s="249"/>
      <c r="EF55" s="216"/>
      <c r="EG55" s="355"/>
      <c r="EH55" s="1425"/>
      <c r="EI55" s="1470"/>
      <c r="EJ55" s="249"/>
      <c r="EK55" s="221"/>
      <c r="EL55" s="313"/>
      <c r="EM55" s="249"/>
      <c r="EN55" s="221"/>
      <c r="EO55" s="313"/>
      <c r="EP55" s="249"/>
      <c r="EQ55" s="216"/>
      <c r="ER55" s="313"/>
      <c r="ES55" s="249"/>
      <c r="ET55" s="216"/>
      <c r="EU55" s="313"/>
      <c r="EV55" s="249"/>
      <c r="EW55" s="216"/>
      <c r="EX55" s="2505"/>
      <c r="EY55" s="249"/>
      <c r="EZ55" s="221"/>
      <c r="FA55" s="313"/>
      <c r="FB55" s="249"/>
      <c r="FC55" s="221"/>
      <c r="FD55" s="313"/>
      <c r="FE55" s="249"/>
      <c r="FF55" s="221"/>
      <c r="FG55" s="313"/>
      <c r="FH55" s="249"/>
      <c r="FI55" s="216"/>
      <c r="FJ55" s="1435"/>
      <c r="FK55" s="216"/>
      <c r="FL55" s="1268"/>
      <c r="FM55" s="1655"/>
      <c r="FN55" s="1268"/>
      <c r="FO55" s="1655"/>
      <c r="FP55" s="1268"/>
      <c r="FQ55" s="1656"/>
      <c r="FR55" s="249"/>
      <c r="FS55" s="216"/>
      <c r="FT55" s="1657"/>
      <c r="FU55" s="1658"/>
      <c r="FV55" s="242"/>
      <c r="FW55" s="2522"/>
      <c r="FX55" s="2523"/>
      <c r="FY55" s="336"/>
      <c r="FZ55" s="223"/>
      <c r="GA55" s="338"/>
      <c r="GB55" s="204"/>
      <c r="GC55" s="339"/>
      <c r="GD55" s="342"/>
      <c r="GE55" s="199"/>
      <c r="GF55" s="199"/>
      <c r="GG55" s="199"/>
      <c r="GH55" s="199"/>
      <c r="GI55" s="199"/>
      <c r="GJ55" s="199"/>
      <c r="GK55" s="199"/>
      <c r="GL55" s="49"/>
      <c r="GM55" s="28"/>
      <c r="GN55" s="28"/>
      <c r="GO55" s="322"/>
      <c r="GP55" s="1190"/>
      <c r="GQ55" s="1190"/>
      <c r="GR55" s="49"/>
      <c r="GS55" s="2879"/>
      <c r="GT55" s="2880"/>
      <c r="GU55" s="2881"/>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49"/>
      <c r="IG55" s="49"/>
      <c r="IH55" s="49"/>
      <c r="II55" s="49"/>
      <c r="IJ55" s="49"/>
      <c r="IK55" s="49"/>
      <c r="IL55" s="49"/>
      <c r="IM55" s="49"/>
      <c r="IN55" s="49"/>
      <c r="IO55" s="49"/>
      <c r="IP55" s="49"/>
      <c r="IQ55" s="49"/>
      <c r="IR55" s="49"/>
      <c r="IS55" s="49"/>
      <c r="IT55" s="49"/>
      <c r="IU55" s="49"/>
      <c r="IV55" s="49"/>
    </row>
    <row r="56" spans="1:256" s="198" customFormat="1" ht="12" customHeight="1">
      <c r="A56" s="1252"/>
      <c r="B56" s="200"/>
      <c r="C56" s="486"/>
      <c r="D56" s="203"/>
      <c r="E56" s="203"/>
      <c r="F56" s="203"/>
      <c r="G56" s="203"/>
      <c r="H56" s="175"/>
      <c r="I56" s="1265"/>
      <c r="J56" s="1265"/>
      <c r="K56" s="175"/>
      <c r="L56" s="1265"/>
      <c r="M56" s="1265"/>
      <c r="N56" s="1265"/>
      <c r="O56" s="1265"/>
      <c r="P56" s="1265"/>
      <c r="Q56" s="999"/>
      <c r="R56" s="999"/>
      <c r="S56" s="999"/>
      <c r="T56" s="2801"/>
      <c r="U56" s="233"/>
      <c r="V56" s="49"/>
      <c r="W56" s="218"/>
      <c r="X56" s="218"/>
      <c r="Y56" s="216"/>
      <c r="Z56" s="216"/>
      <c r="AA56" s="215"/>
      <c r="AB56" s="216"/>
      <c r="AC56" s="216"/>
      <c r="AD56" s="239"/>
      <c r="AE56" s="216"/>
      <c r="AF56" s="216"/>
      <c r="AG56" s="216"/>
      <c r="AH56" s="216"/>
      <c r="AI56" s="216"/>
      <c r="AJ56" s="216"/>
      <c r="AK56" s="239"/>
      <c r="AL56" s="216"/>
      <c r="AM56" s="216"/>
      <c r="AN56" s="216"/>
      <c r="AO56" s="216"/>
      <c r="AP56" s="216"/>
      <c r="AQ56" s="216"/>
      <c r="AR56" s="216"/>
      <c r="AS56" s="216"/>
      <c r="AT56" s="216"/>
      <c r="AU56" s="216"/>
      <c r="AV56" s="217"/>
      <c r="AW56" s="355"/>
      <c r="AX56" s="217"/>
      <c r="AY56" s="1559"/>
      <c r="AZ56" s="249"/>
      <c r="BA56" s="221"/>
      <c r="BB56" s="300"/>
      <c r="BC56" s="217"/>
      <c r="BD56" s="392"/>
      <c r="BE56" s="1244"/>
      <c r="BF56" s="249"/>
      <c r="BG56" s="252"/>
      <c r="BH56" s="1469"/>
      <c r="BI56" s="216"/>
      <c r="BJ56" s="1469"/>
      <c r="BK56" s="1459"/>
      <c r="BL56" s="260"/>
      <c r="BM56" s="214"/>
      <c r="BN56" s="293"/>
      <c r="BO56" s="217"/>
      <c r="BP56" s="355"/>
      <c r="BQ56" s="217"/>
      <c r="BR56" s="1193"/>
      <c r="BS56" s="249"/>
      <c r="BT56" s="216"/>
      <c r="BU56" s="1195"/>
      <c r="BV56" s="249"/>
      <c r="BW56" s="216"/>
      <c r="BX56" s="1195"/>
      <c r="BY56" s="249"/>
      <c r="BZ56" s="216"/>
      <c r="CA56" s="1195"/>
      <c r="CB56" s="249"/>
      <c r="CC56" s="216"/>
      <c r="CD56" s="1195"/>
      <c r="CE56" s="249"/>
      <c r="CF56" s="216"/>
      <c r="CG56" s="1195"/>
      <c r="CH56" s="249"/>
      <c r="CI56" s="216"/>
      <c r="CJ56" s="1195"/>
      <c r="CK56" s="249"/>
      <c r="CL56" s="216"/>
      <c r="CM56" s="1194"/>
      <c r="CN56" s="1524"/>
      <c r="CO56" s="217"/>
      <c r="CP56" s="1193"/>
      <c r="CQ56" s="293"/>
      <c r="CR56" s="217"/>
      <c r="CS56" s="305"/>
      <c r="CT56" s="249"/>
      <c r="CU56" s="216"/>
      <c r="CV56" s="1193"/>
      <c r="CW56" s="249"/>
      <c r="CX56" s="216"/>
      <c r="CY56" s="305"/>
      <c r="CZ56" s="249"/>
      <c r="DA56" s="216"/>
      <c r="DB56" s="307"/>
      <c r="DC56" s="328"/>
      <c r="DD56" s="322"/>
      <c r="DE56" s="305"/>
      <c r="DF56" s="249"/>
      <c r="DG56" s="216"/>
      <c r="DH56" s="305"/>
      <c r="DI56" s="249"/>
      <c r="DJ56" s="216"/>
      <c r="DK56" s="309"/>
      <c r="DL56" s="293"/>
      <c r="DM56" s="326"/>
      <c r="DN56" s="1256"/>
      <c r="DO56" s="214"/>
      <c r="DP56" s="1257"/>
      <c r="DQ56" s="1258"/>
      <c r="DR56" s="305"/>
      <c r="DS56" s="249"/>
      <c r="DT56" s="216"/>
      <c r="DU56" s="2518"/>
      <c r="DV56"/>
      <c r="DW56"/>
      <c r="DX56" s="305"/>
      <c r="DY56" s="249"/>
      <c r="DZ56" s="221"/>
      <c r="EA56" s="388"/>
      <c r="EB56" s="249"/>
      <c r="EC56" s="216"/>
      <c r="ED56" s="1461"/>
      <c r="EE56" s="249"/>
      <c r="EF56" s="216"/>
      <c r="EG56" s="355"/>
      <c r="EH56" s="1425"/>
      <c r="EI56" s="1470"/>
      <c r="EJ56" s="249"/>
      <c r="EK56" s="221"/>
      <c r="EL56" s="313"/>
      <c r="EM56" s="249"/>
      <c r="EN56" s="221"/>
      <c r="EO56" s="313"/>
      <c r="EP56" s="249"/>
      <c r="EQ56" s="216"/>
      <c r="ER56" s="313"/>
      <c r="ES56" s="249"/>
      <c r="ET56" s="216"/>
      <c r="EU56" s="313"/>
      <c r="EV56" s="249"/>
      <c r="EW56" s="216"/>
      <c r="EX56" s="2505"/>
      <c r="EY56" s="249"/>
      <c r="EZ56" s="221"/>
      <c r="FA56" s="313"/>
      <c r="FB56" s="249"/>
      <c r="FC56" s="221"/>
      <c r="FD56" s="313"/>
      <c r="FE56" s="249"/>
      <c r="FF56" s="221"/>
      <c r="FG56" s="313"/>
      <c r="FH56" s="249"/>
      <c r="FI56" s="216"/>
      <c r="FJ56" s="1435"/>
      <c r="FK56" s="216"/>
      <c r="FL56" s="1268"/>
      <c r="FM56" s="1655"/>
      <c r="FN56" s="1268"/>
      <c r="FO56" s="1655"/>
      <c r="FP56" s="1268"/>
      <c r="FQ56" s="1656"/>
      <c r="FR56" s="249"/>
      <c r="FS56" s="216"/>
      <c r="FT56" s="1657"/>
      <c r="FU56" s="1658"/>
      <c r="FV56" s="242"/>
      <c r="FW56" s="2522"/>
      <c r="FX56" s="2523"/>
      <c r="FY56" s="336"/>
      <c r="FZ56" s="223"/>
      <c r="GA56" s="338"/>
      <c r="GB56" s="204"/>
      <c r="GC56" s="339"/>
      <c r="GD56" s="342"/>
      <c r="GE56" s="199"/>
      <c r="GF56" s="199"/>
      <c r="GG56" s="199"/>
      <c r="GH56" s="199"/>
      <c r="GI56" s="199"/>
      <c r="GJ56" s="199"/>
      <c r="GK56" s="199"/>
      <c r="GL56" s="49"/>
      <c r="GM56" s="28"/>
      <c r="GN56" s="28"/>
      <c r="GO56" s="322"/>
      <c r="GP56" s="1190"/>
      <c r="GQ56" s="1190"/>
      <c r="GR56" s="49"/>
      <c r="GS56" s="2879"/>
      <c r="GT56" s="2880"/>
      <c r="GU56" s="2881"/>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49"/>
      <c r="IG56" s="49"/>
      <c r="IH56" s="49"/>
      <c r="II56" s="49"/>
      <c r="IJ56" s="49"/>
      <c r="IK56" s="49"/>
      <c r="IL56" s="49"/>
      <c r="IM56" s="49"/>
      <c r="IN56" s="49"/>
      <c r="IO56" s="49"/>
      <c r="IP56" s="49"/>
      <c r="IQ56" s="49"/>
      <c r="IR56" s="49"/>
      <c r="IS56" s="49"/>
      <c r="IT56" s="49"/>
      <c r="IU56" s="49"/>
      <c r="IV56" s="49"/>
    </row>
    <row r="57" spans="1:256" s="198" customFormat="1" ht="12" customHeight="1">
      <c r="A57" s="1252"/>
      <c r="B57" s="200"/>
      <c r="C57" s="486"/>
      <c r="D57" s="203"/>
      <c r="E57" s="203"/>
      <c r="F57" s="203"/>
      <c r="G57" s="203"/>
      <c r="H57" s="175"/>
      <c r="I57" s="1265"/>
      <c r="J57" s="1265"/>
      <c r="K57" s="175"/>
      <c r="L57" s="1265"/>
      <c r="M57" s="1265"/>
      <c r="N57" s="1265"/>
      <c r="O57" s="1265"/>
      <c r="P57" s="1265"/>
      <c r="Q57" s="999"/>
      <c r="R57" s="999"/>
      <c r="S57" s="999"/>
      <c r="T57" s="2801"/>
      <c r="U57" s="233"/>
      <c r="V57" s="49"/>
      <c r="W57" s="218"/>
      <c r="X57" s="218"/>
      <c r="Y57" s="216"/>
      <c r="Z57" s="216"/>
      <c r="AA57" s="215"/>
      <c r="AB57" s="216"/>
      <c r="AC57" s="216"/>
      <c r="AD57" s="239"/>
      <c r="AE57" s="216"/>
      <c r="AF57" s="216"/>
      <c r="AG57" s="216"/>
      <c r="AH57" s="216"/>
      <c r="AI57" s="216"/>
      <c r="AJ57" s="216"/>
      <c r="AK57" s="239"/>
      <c r="AL57" s="216"/>
      <c r="AM57" s="216"/>
      <c r="AN57" s="216"/>
      <c r="AO57" s="216"/>
      <c r="AP57" s="216"/>
      <c r="AQ57" s="216"/>
      <c r="AR57" s="216"/>
      <c r="AS57" s="216"/>
      <c r="AT57" s="216"/>
      <c r="AU57" s="216"/>
      <c r="AV57" s="217"/>
      <c r="AW57" s="355"/>
      <c r="AX57" s="217"/>
      <c r="AY57" s="1559"/>
      <c r="AZ57" s="249"/>
      <c r="BA57" s="221"/>
      <c r="BB57" s="300"/>
      <c r="BC57" s="217"/>
      <c r="BD57" s="392"/>
      <c r="BE57" s="1244"/>
      <c r="BF57" s="249"/>
      <c r="BG57" s="252"/>
      <c r="BH57" s="1469"/>
      <c r="BI57" s="216"/>
      <c r="BJ57" s="1469"/>
      <c r="BK57" s="1459"/>
      <c r="BL57" s="260"/>
      <c r="BM57" s="214"/>
      <c r="BN57" s="293"/>
      <c r="BO57" s="217"/>
      <c r="BP57" s="355"/>
      <c r="BQ57" s="217"/>
      <c r="BR57" s="1193"/>
      <c r="BS57" s="249"/>
      <c r="BT57" s="216"/>
      <c r="BU57" s="1195"/>
      <c r="BV57" s="249"/>
      <c r="BW57" s="216"/>
      <c r="BX57" s="1195"/>
      <c r="BY57" s="249"/>
      <c r="BZ57" s="216"/>
      <c r="CA57" s="1195"/>
      <c r="CB57" s="249"/>
      <c r="CC57" s="216"/>
      <c r="CD57" s="1195"/>
      <c r="CE57" s="249"/>
      <c r="CF57" s="216"/>
      <c r="CG57" s="1195"/>
      <c r="CH57" s="249"/>
      <c r="CI57" s="216"/>
      <c r="CJ57" s="1195"/>
      <c r="CK57" s="249"/>
      <c r="CL57" s="216"/>
      <c r="CM57" s="1194"/>
      <c r="CN57" s="1524"/>
      <c r="CO57" s="217"/>
      <c r="CP57" s="1193"/>
      <c r="CQ57" s="293"/>
      <c r="CR57" s="217"/>
      <c r="CS57" s="305"/>
      <c r="CT57" s="249"/>
      <c r="CU57" s="216"/>
      <c r="CV57" s="1193"/>
      <c r="CW57" s="249"/>
      <c r="CX57" s="216"/>
      <c r="CY57" s="305"/>
      <c r="CZ57" s="249"/>
      <c r="DA57" s="216"/>
      <c r="DB57" s="307"/>
      <c r="DC57" s="328"/>
      <c r="DD57" s="322"/>
      <c r="DE57" s="305"/>
      <c r="DF57" s="249"/>
      <c r="DG57" s="216"/>
      <c r="DH57" s="305"/>
      <c r="DI57" s="249"/>
      <c r="DJ57" s="216"/>
      <c r="DK57" s="309"/>
      <c r="DL57" s="293"/>
      <c r="DM57" s="326"/>
      <c r="DN57" s="1256"/>
      <c r="DO57" s="214"/>
      <c r="DP57" s="1257"/>
      <c r="DQ57" s="1258"/>
      <c r="DR57" s="305"/>
      <c r="DS57" s="249"/>
      <c r="DT57" s="216"/>
      <c r="DU57" s="2518"/>
      <c r="DV57"/>
      <c r="DW57"/>
      <c r="DX57" s="305"/>
      <c r="DY57" s="249"/>
      <c r="DZ57" s="221"/>
      <c r="EA57" s="388"/>
      <c r="EB57" s="249"/>
      <c r="EC57" s="216"/>
      <c r="ED57" s="1461"/>
      <c r="EE57" s="249"/>
      <c r="EF57" s="216"/>
      <c r="EG57" s="355"/>
      <c r="EH57" s="1425"/>
      <c r="EI57" s="1470"/>
      <c r="EJ57" s="249"/>
      <c r="EK57" s="221"/>
      <c r="EL57" s="313"/>
      <c r="EM57" s="249"/>
      <c r="EN57" s="221"/>
      <c r="EO57" s="313"/>
      <c r="EP57" s="249"/>
      <c r="EQ57" s="216"/>
      <c r="ER57" s="313"/>
      <c r="ES57" s="249"/>
      <c r="ET57" s="216"/>
      <c r="EU57" s="313"/>
      <c r="EV57" s="249"/>
      <c r="EW57" s="216"/>
      <c r="EX57" s="2505"/>
      <c r="EY57" s="249"/>
      <c r="EZ57" s="221"/>
      <c r="FA57" s="313"/>
      <c r="FB57" s="249"/>
      <c r="FC57" s="221"/>
      <c r="FD57" s="313"/>
      <c r="FE57" s="249"/>
      <c r="FF57" s="221"/>
      <c r="FG57" s="313"/>
      <c r="FH57" s="249"/>
      <c r="FI57" s="216"/>
      <c r="FJ57" s="1435"/>
      <c r="FK57" s="216"/>
      <c r="FL57" s="1268"/>
      <c r="FM57" s="1655"/>
      <c r="FN57" s="1268"/>
      <c r="FO57" s="1655"/>
      <c r="FP57" s="1268"/>
      <c r="FQ57" s="1656"/>
      <c r="FR57" s="249"/>
      <c r="FS57" s="216"/>
      <c r="FT57" s="1657"/>
      <c r="FU57" s="1658"/>
      <c r="FV57" s="242"/>
      <c r="FW57" s="2522"/>
      <c r="FX57" s="2523"/>
      <c r="FY57" s="336"/>
      <c r="FZ57" s="223"/>
      <c r="GA57" s="338"/>
      <c r="GB57" s="204"/>
      <c r="GC57" s="339"/>
      <c r="GD57" s="342"/>
      <c r="GE57" s="199"/>
      <c r="GF57" s="199"/>
      <c r="GG57" s="199"/>
      <c r="GH57" s="199"/>
      <c r="GI57" s="199"/>
      <c r="GJ57" s="199"/>
      <c r="GK57" s="199"/>
      <c r="GL57" s="49"/>
      <c r="GM57" s="28"/>
      <c r="GN57" s="28"/>
      <c r="GO57" s="322"/>
      <c r="GP57" s="1190"/>
      <c r="GQ57" s="1190"/>
      <c r="GR57" s="49"/>
      <c r="GS57" s="2879"/>
      <c r="GT57" s="2880"/>
      <c r="GU57" s="2881"/>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49"/>
      <c r="IG57" s="49"/>
      <c r="IH57" s="49"/>
      <c r="II57" s="49"/>
      <c r="IJ57" s="49"/>
      <c r="IK57" s="49"/>
      <c r="IL57" s="49"/>
      <c r="IM57" s="49"/>
      <c r="IN57" s="49"/>
      <c r="IO57" s="49"/>
      <c r="IP57" s="49"/>
      <c r="IQ57" s="49"/>
      <c r="IR57" s="49"/>
      <c r="IS57" s="49"/>
      <c r="IT57" s="49"/>
      <c r="IU57" s="49"/>
      <c r="IV57" s="49"/>
    </row>
    <row r="58" spans="1:256" s="198" customFormat="1" ht="12" customHeight="1">
      <c r="A58" s="1252"/>
      <c r="B58" s="200"/>
      <c r="C58" s="486"/>
      <c r="D58" s="203"/>
      <c r="E58" s="203"/>
      <c r="F58" s="203"/>
      <c r="G58" s="203"/>
      <c r="H58" s="175"/>
      <c r="I58" s="1265"/>
      <c r="J58" s="1265"/>
      <c r="K58" s="175"/>
      <c r="L58" s="1265"/>
      <c r="M58" s="1265"/>
      <c r="N58" s="1265"/>
      <c r="O58" s="1265"/>
      <c r="P58" s="1265"/>
      <c r="Q58" s="999"/>
      <c r="R58" s="999"/>
      <c r="S58" s="999"/>
      <c r="T58" s="2801"/>
      <c r="U58" s="233"/>
      <c r="V58" s="49"/>
      <c r="W58" s="218"/>
      <c r="X58" s="218"/>
      <c r="Y58" s="216"/>
      <c r="Z58" s="216"/>
      <c r="AA58" s="215"/>
      <c r="AB58" s="216"/>
      <c r="AC58" s="216"/>
      <c r="AD58" s="239"/>
      <c r="AE58" s="216"/>
      <c r="AF58" s="216"/>
      <c r="AG58" s="216"/>
      <c r="AH58" s="216"/>
      <c r="AI58" s="216"/>
      <c r="AJ58" s="216"/>
      <c r="AK58" s="239"/>
      <c r="AL58" s="216"/>
      <c r="AM58" s="216"/>
      <c r="AN58" s="216"/>
      <c r="AO58" s="216"/>
      <c r="AP58" s="216"/>
      <c r="AQ58" s="216"/>
      <c r="AR58" s="216"/>
      <c r="AS58" s="216"/>
      <c r="AT58" s="216"/>
      <c r="AU58" s="216"/>
      <c r="AV58" s="217"/>
      <c r="AW58" s="355"/>
      <c r="AX58" s="217"/>
      <c r="AY58" s="1559"/>
      <c r="AZ58" s="249"/>
      <c r="BA58" s="221"/>
      <c r="BB58" s="300"/>
      <c r="BC58" s="217"/>
      <c r="BD58" s="392"/>
      <c r="BE58" s="1244"/>
      <c r="BF58" s="249"/>
      <c r="BG58" s="252"/>
      <c r="BH58" s="1469"/>
      <c r="BI58" s="216"/>
      <c r="BJ58" s="1469"/>
      <c r="BK58" s="1459"/>
      <c r="BL58" s="260"/>
      <c r="BM58" s="214"/>
      <c r="BN58" s="293"/>
      <c r="BO58" s="217"/>
      <c r="BP58" s="355"/>
      <c r="BQ58" s="217"/>
      <c r="BR58" s="1193"/>
      <c r="BS58" s="249"/>
      <c r="BT58" s="216"/>
      <c r="BU58" s="1195"/>
      <c r="BV58" s="249"/>
      <c r="BW58" s="216"/>
      <c r="BX58" s="1195"/>
      <c r="BY58" s="249"/>
      <c r="BZ58" s="216"/>
      <c r="CA58" s="1195"/>
      <c r="CB58" s="249"/>
      <c r="CC58" s="216"/>
      <c r="CD58" s="1195"/>
      <c r="CE58" s="249"/>
      <c r="CF58" s="216"/>
      <c r="CG58" s="1195"/>
      <c r="CH58" s="249"/>
      <c r="CI58" s="216"/>
      <c r="CJ58" s="1195"/>
      <c r="CK58" s="249"/>
      <c r="CL58" s="216"/>
      <c r="CM58" s="1194"/>
      <c r="CN58" s="1524"/>
      <c r="CO58" s="217"/>
      <c r="CP58" s="1193"/>
      <c r="CQ58" s="293"/>
      <c r="CR58" s="217"/>
      <c r="CS58" s="305"/>
      <c r="CT58" s="249"/>
      <c r="CU58" s="216"/>
      <c r="CV58" s="1193"/>
      <c r="CW58" s="249"/>
      <c r="CX58" s="216"/>
      <c r="CY58" s="305"/>
      <c r="CZ58" s="249"/>
      <c r="DA58" s="216"/>
      <c r="DB58" s="307"/>
      <c r="DC58" s="328"/>
      <c r="DD58" s="322"/>
      <c r="DE58" s="305"/>
      <c r="DF58" s="249"/>
      <c r="DG58" s="216"/>
      <c r="DH58" s="305"/>
      <c r="DI58" s="249"/>
      <c r="DJ58" s="216"/>
      <c r="DK58" s="309"/>
      <c r="DL58" s="293"/>
      <c r="DM58" s="326"/>
      <c r="DN58" s="1256"/>
      <c r="DO58" s="214"/>
      <c r="DP58" s="1257"/>
      <c r="DQ58" s="1258"/>
      <c r="DR58" s="305"/>
      <c r="DS58" s="249"/>
      <c r="DT58" s="216"/>
      <c r="DU58" s="2518"/>
      <c r="DV58"/>
      <c r="DW58"/>
      <c r="DX58" s="305"/>
      <c r="DY58" s="249"/>
      <c r="DZ58" s="221"/>
      <c r="EA58" s="388"/>
      <c r="EB58" s="249"/>
      <c r="EC58" s="216"/>
      <c r="ED58" s="1461"/>
      <c r="EE58" s="249"/>
      <c r="EF58" s="216"/>
      <c r="EG58" s="355"/>
      <c r="EH58" s="1425"/>
      <c r="EI58" s="1470"/>
      <c r="EJ58" s="249"/>
      <c r="EK58" s="221"/>
      <c r="EL58" s="313"/>
      <c r="EM58" s="249"/>
      <c r="EN58" s="221"/>
      <c r="EO58" s="313"/>
      <c r="EP58" s="249"/>
      <c r="EQ58" s="216"/>
      <c r="ER58" s="313"/>
      <c r="ES58" s="249"/>
      <c r="ET58" s="216"/>
      <c r="EU58" s="313"/>
      <c r="EV58" s="249"/>
      <c r="EW58" s="216"/>
      <c r="EX58" s="2505"/>
      <c r="EY58" s="249"/>
      <c r="EZ58" s="221"/>
      <c r="FA58" s="313"/>
      <c r="FB58" s="249"/>
      <c r="FC58" s="221"/>
      <c r="FD58" s="313"/>
      <c r="FE58" s="249"/>
      <c r="FF58" s="221"/>
      <c r="FG58" s="313"/>
      <c r="FH58" s="249"/>
      <c r="FI58" s="216"/>
      <c r="FJ58" s="1435"/>
      <c r="FK58" s="216"/>
      <c r="FL58" s="1268"/>
      <c r="FM58" s="1655"/>
      <c r="FN58" s="1268"/>
      <c r="FO58" s="1655"/>
      <c r="FP58" s="1268"/>
      <c r="FQ58" s="1656"/>
      <c r="FR58" s="249"/>
      <c r="FS58" s="216"/>
      <c r="FT58" s="1657"/>
      <c r="FU58" s="1658"/>
      <c r="FV58" s="242"/>
      <c r="FW58" s="2522"/>
      <c r="FX58" s="2523"/>
      <c r="FY58" s="336"/>
      <c r="FZ58" s="223"/>
      <c r="GA58" s="338"/>
      <c r="GB58" s="204"/>
      <c r="GC58" s="339"/>
      <c r="GD58" s="342"/>
      <c r="GE58" s="199"/>
      <c r="GF58" s="199"/>
      <c r="GG58" s="199"/>
      <c r="GH58" s="199"/>
      <c r="GI58" s="199"/>
      <c r="GJ58" s="199"/>
      <c r="GK58" s="199"/>
      <c r="GL58" s="49"/>
      <c r="GM58" s="28"/>
      <c r="GN58" s="28"/>
      <c r="GO58" s="322"/>
      <c r="GP58" s="1190"/>
      <c r="GQ58" s="1190"/>
      <c r="GR58" s="49"/>
      <c r="GS58" s="2879"/>
      <c r="GT58" s="2880"/>
      <c r="GU58" s="2881"/>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49"/>
      <c r="IG58" s="49"/>
      <c r="IH58" s="49"/>
      <c r="II58" s="49"/>
      <c r="IJ58" s="49"/>
      <c r="IK58" s="49"/>
      <c r="IL58" s="49"/>
      <c r="IM58" s="49"/>
      <c r="IN58" s="49"/>
      <c r="IO58" s="49"/>
      <c r="IP58" s="49"/>
      <c r="IQ58" s="49"/>
      <c r="IR58" s="49"/>
      <c r="IS58" s="49"/>
      <c r="IT58" s="49"/>
      <c r="IU58" s="49"/>
      <c r="IV58" s="49"/>
    </row>
    <row r="59" spans="1:256" s="198" customFormat="1" ht="12" customHeight="1">
      <c r="A59" s="1252"/>
      <c r="B59" s="200"/>
      <c r="C59" s="486"/>
      <c r="D59" s="203"/>
      <c r="E59" s="203"/>
      <c r="F59" s="203"/>
      <c r="G59" s="203"/>
      <c r="H59" s="175"/>
      <c r="I59" s="1265"/>
      <c r="J59" s="1265"/>
      <c r="K59" s="175"/>
      <c r="L59" s="1265"/>
      <c r="M59" s="1265"/>
      <c r="N59" s="1265"/>
      <c r="O59" s="1265"/>
      <c r="P59" s="1265"/>
      <c r="Q59" s="999"/>
      <c r="R59" s="999"/>
      <c r="S59" s="999"/>
      <c r="T59" s="2801"/>
      <c r="U59" s="233"/>
      <c r="V59" s="49"/>
      <c r="W59" s="218"/>
      <c r="X59" s="218"/>
      <c r="Y59" s="216"/>
      <c r="Z59" s="216"/>
      <c r="AA59" s="215"/>
      <c r="AB59" s="216"/>
      <c r="AC59" s="216"/>
      <c r="AD59" s="239"/>
      <c r="AE59" s="216"/>
      <c r="AF59" s="216"/>
      <c r="AG59" s="216"/>
      <c r="AH59" s="216"/>
      <c r="AI59" s="216"/>
      <c r="AJ59" s="216"/>
      <c r="AK59" s="239"/>
      <c r="AL59" s="216"/>
      <c r="AM59" s="216"/>
      <c r="AN59" s="216"/>
      <c r="AO59" s="216"/>
      <c r="AP59" s="216"/>
      <c r="AQ59" s="216"/>
      <c r="AR59" s="216"/>
      <c r="AS59" s="216"/>
      <c r="AT59" s="216"/>
      <c r="AU59" s="216"/>
      <c r="AV59" s="217"/>
      <c r="AW59" s="355"/>
      <c r="AX59" s="217"/>
      <c r="AY59" s="1559"/>
      <c r="AZ59" s="249"/>
      <c r="BA59" s="221"/>
      <c r="BB59" s="300"/>
      <c r="BC59" s="217"/>
      <c r="BD59" s="392"/>
      <c r="BE59" s="1244"/>
      <c r="BF59" s="249"/>
      <c r="BG59" s="252"/>
      <c r="BH59" s="1469"/>
      <c r="BI59" s="216"/>
      <c r="BJ59" s="1469"/>
      <c r="BK59" s="1459"/>
      <c r="BL59" s="260"/>
      <c r="BM59" s="214"/>
      <c r="BN59" s="293"/>
      <c r="BO59" s="217"/>
      <c r="BP59" s="355"/>
      <c r="BQ59" s="217"/>
      <c r="BR59" s="1193"/>
      <c r="BS59" s="249"/>
      <c r="BT59" s="216"/>
      <c r="BU59" s="1195"/>
      <c r="BV59" s="249"/>
      <c r="BW59" s="216"/>
      <c r="BX59" s="1195"/>
      <c r="BY59" s="249"/>
      <c r="BZ59" s="216"/>
      <c r="CA59" s="1195"/>
      <c r="CB59" s="249"/>
      <c r="CC59" s="216"/>
      <c r="CD59" s="1195"/>
      <c r="CE59" s="249"/>
      <c r="CF59" s="216"/>
      <c r="CG59" s="1195"/>
      <c r="CH59" s="249"/>
      <c r="CI59" s="216"/>
      <c r="CJ59" s="1195"/>
      <c r="CK59" s="249"/>
      <c r="CL59" s="216"/>
      <c r="CM59" s="1194"/>
      <c r="CN59" s="1524"/>
      <c r="CO59" s="217"/>
      <c r="CP59" s="1193"/>
      <c r="CQ59" s="293"/>
      <c r="CR59" s="217"/>
      <c r="CS59" s="305"/>
      <c r="CT59" s="249"/>
      <c r="CU59" s="216"/>
      <c r="CV59" s="1193"/>
      <c r="CW59" s="249"/>
      <c r="CX59" s="216"/>
      <c r="CY59" s="305"/>
      <c r="CZ59" s="249"/>
      <c r="DA59" s="216"/>
      <c r="DB59" s="307"/>
      <c r="DC59" s="328"/>
      <c r="DD59" s="322"/>
      <c r="DE59" s="305"/>
      <c r="DF59" s="249"/>
      <c r="DG59" s="216"/>
      <c r="DH59" s="305"/>
      <c r="DI59" s="249"/>
      <c r="DJ59" s="216"/>
      <c r="DK59" s="309"/>
      <c r="DL59" s="293"/>
      <c r="DM59" s="326"/>
      <c r="DN59" s="1256"/>
      <c r="DO59" s="214"/>
      <c r="DP59" s="1257"/>
      <c r="DQ59" s="1258"/>
      <c r="DR59" s="305"/>
      <c r="DS59" s="249"/>
      <c r="DT59" s="216"/>
      <c r="DU59" s="2518"/>
      <c r="DV59"/>
      <c r="DW59"/>
      <c r="DX59" s="305"/>
      <c r="DY59" s="249"/>
      <c r="DZ59" s="221"/>
      <c r="EA59" s="388"/>
      <c r="EB59" s="249"/>
      <c r="EC59" s="216"/>
      <c r="ED59" s="1461"/>
      <c r="EE59" s="249"/>
      <c r="EF59" s="216"/>
      <c r="EG59" s="355"/>
      <c r="EH59" s="1425"/>
      <c r="EI59" s="1470"/>
      <c r="EJ59" s="249"/>
      <c r="EK59" s="221"/>
      <c r="EL59" s="313"/>
      <c r="EM59" s="249"/>
      <c r="EN59" s="221"/>
      <c r="EO59" s="313"/>
      <c r="EP59" s="249"/>
      <c r="EQ59" s="216"/>
      <c r="ER59" s="313"/>
      <c r="ES59" s="249"/>
      <c r="ET59" s="216"/>
      <c r="EU59" s="313"/>
      <c r="EV59" s="249"/>
      <c r="EW59" s="216"/>
      <c r="EX59" s="2505"/>
      <c r="EY59" s="249"/>
      <c r="EZ59" s="221"/>
      <c r="FA59" s="313"/>
      <c r="FB59" s="249"/>
      <c r="FC59" s="221"/>
      <c r="FD59" s="313"/>
      <c r="FE59" s="249"/>
      <c r="FF59" s="221"/>
      <c r="FG59" s="313"/>
      <c r="FH59" s="249"/>
      <c r="FI59" s="216"/>
      <c r="FJ59" s="1435"/>
      <c r="FK59" s="216"/>
      <c r="FL59" s="1268"/>
      <c r="FM59" s="1655"/>
      <c r="FN59" s="1268"/>
      <c r="FO59" s="1655"/>
      <c r="FP59" s="1268"/>
      <c r="FQ59" s="1656"/>
      <c r="FR59" s="249"/>
      <c r="FS59" s="216"/>
      <c r="FT59" s="1657"/>
      <c r="FU59" s="1658"/>
      <c r="FV59" s="242"/>
      <c r="FW59" s="2522"/>
      <c r="FX59" s="2523"/>
      <c r="FY59" s="336"/>
      <c r="FZ59" s="223"/>
      <c r="GA59" s="338"/>
      <c r="GB59" s="204"/>
      <c r="GC59" s="339"/>
      <c r="GD59" s="342"/>
      <c r="GE59" s="199"/>
      <c r="GF59" s="199"/>
      <c r="GG59" s="199"/>
      <c r="GH59" s="199"/>
      <c r="GI59" s="199"/>
      <c r="GJ59" s="199"/>
      <c r="GK59" s="199"/>
      <c r="GL59" s="49"/>
      <c r="GM59" s="28"/>
      <c r="GN59" s="28"/>
      <c r="GO59" s="322"/>
      <c r="GP59" s="1190"/>
      <c r="GQ59" s="1190"/>
      <c r="GR59" s="49"/>
      <c r="GS59" s="2879"/>
      <c r="GT59" s="2880"/>
      <c r="GU59" s="2881"/>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49"/>
      <c r="IG59" s="49"/>
      <c r="IH59" s="49"/>
      <c r="II59" s="49"/>
      <c r="IJ59" s="49"/>
      <c r="IK59" s="49"/>
      <c r="IL59" s="49"/>
      <c r="IM59" s="49"/>
      <c r="IN59" s="49"/>
      <c r="IO59" s="49"/>
      <c r="IP59" s="49"/>
      <c r="IQ59" s="49"/>
      <c r="IR59" s="49"/>
      <c r="IS59" s="49"/>
      <c r="IT59" s="49"/>
      <c r="IU59" s="49"/>
      <c r="IV59" s="49"/>
    </row>
    <row r="60" spans="1:256" s="198" customFormat="1" ht="12" customHeight="1">
      <c r="A60" s="1252"/>
      <c r="B60" s="200"/>
      <c r="C60" s="486"/>
      <c r="D60" s="203"/>
      <c r="E60" s="203"/>
      <c r="F60" s="203"/>
      <c r="G60" s="203"/>
      <c r="H60" s="175"/>
      <c r="I60" s="1265"/>
      <c r="J60" s="1265"/>
      <c r="K60" s="175"/>
      <c r="L60" s="1265"/>
      <c r="M60" s="1265"/>
      <c r="N60" s="1265"/>
      <c r="O60" s="1265"/>
      <c r="P60" s="1265"/>
      <c r="Q60" s="999"/>
      <c r="R60" s="999"/>
      <c r="S60" s="999"/>
      <c r="T60" s="2801"/>
      <c r="U60" s="233"/>
      <c r="V60" s="49"/>
      <c r="W60" s="218"/>
      <c r="X60" s="218"/>
      <c r="Y60" s="216"/>
      <c r="Z60" s="216"/>
      <c r="AA60" s="215"/>
      <c r="AB60" s="216"/>
      <c r="AC60" s="216"/>
      <c r="AD60" s="239"/>
      <c r="AE60" s="216"/>
      <c r="AF60" s="216"/>
      <c r="AG60" s="216"/>
      <c r="AH60" s="216"/>
      <c r="AI60" s="216"/>
      <c r="AJ60" s="216"/>
      <c r="AK60" s="239"/>
      <c r="AL60" s="216"/>
      <c r="AM60" s="216"/>
      <c r="AN60" s="216"/>
      <c r="AO60" s="216"/>
      <c r="AP60" s="216"/>
      <c r="AQ60" s="216"/>
      <c r="AR60" s="216"/>
      <c r="AS60" s="216"/>
      <c r="AT60" s="216"/>
      <c r="AU60" s="216"/>
      <c r="AV60" s="217"/>
      <c r="AW60" s="355"/>
      <c r="AX60" s="217"/>
      <c r="AY60" s="1559"/>
      <c r="AZ60" s="249"/>
      <c r="BA60" s="221"/>
      <c r="BB60" s="300"/>
      <c r="BC60" s="217"/>
      <c r="BD60" s="392"/>
      <c r="BE60" s="1244"/>
      <c r="BF60" s="249"/>
      <c r="BG60" s="252"/>
      <c r="BH60" s="1469"/>
      <c r="BI60" s="216"/>
      <c r="BJ60" s="1469"/>
      <c r="BK60" s="1459"/>
      <c r="BL60" s="260"/>
      <c r="BM60" s="214"/>
      <c r="BN60" s="293"/>
      <c r="BO60" s="217"/>
      <c r="BP60" s="355"/>
      <c r="BQ60" s="217"/>
      <c r="BR60" s="1193"/>
      <c r="BS60" s="249"/>
      <c r="BT60" s="216"/>
      <c r="BU60" s="1195"/>
      <c r="BV60" s="249"/>
      <c r="BW60" s="216"/>
      <c r="BX60" s="1195"/>
      <c r="BY60" s="249"/>
      <c r="BZ60" s="216"/>
      <c r="CA60" s="1195"/>
      <c r="CB60" s="249"/>
      <c r="CC60" s="216"/>
      <c r="CD60" s="1195"/>
      <c r="CE60" s="249"/>
      <c r="CF60" s="216"/>
      <c r="CG60" s="1195"/>
      <c r="CH60" s="249"/>
      <c r="CI60" s="216"/>
      <c r="CJ60" s="1195"/>
      <c r="CK60" s="249"/>
      <c r="CL60" s="216"/>
      <c r="CM60" s="1194"/>
      <c r="CN60" s="1524"/>
      <c r="CO60" s="217"/>
      <c r="CP60" s="1193"/>
      <c r="CQ60" s="293"/>
      <c r="CR60" s="217"/>
      <c r="CS60" s="305"/>
      <c r="CT60" s="249"/>
      <c r="CU60" s="216"/>
      <c r="CV60" s="1193"/>
      <c r="CW60" s="249"/>
      <c r="CX60" s="216"/>
      <c r="CY60" s="305"/>
      <c r="CZ60" s="249"/>
      <c r="DA60" s="216"/>
      <c r="DB60" s="307"/>
      <c r="DC60" s="328"/>
      <c r="DD60" s="322"/>
      <c r="DE60" s="305"/>
      <c r="DF60" s="249"/>
      <c r="DG60" s="216"/>
      <c r="DH60" s="305"/>
      <c r="DI60" s="249"/>
      <c r="DJ60" s="216"/>
      <c r="DK60" s="309"/>
      <c r="DL60" s="293"/>
      <c r="DM60" s="326"/>
      <c r="DN60" s="1256"/>
      <c r="DO60" s="214"/>
      <c r="DP60" s="1257"/>
      <c r="DQ60" s="1258"/>
      <c r="DR60" s="305"/>
      <c r="DS60" s="249"/>
      <c r="DT60" s="216"/>
      <c r="DU60" s="2518"/>
      <c r="DV60"/>
      <c r="DW60"/>
      <c r="DX60" s="305"/>
      <c r="DY60" s="249"/>
      <c r="DZ60" s="221"/>
      <c r="EA60" s="388"/>
      <c r="EB60" s="249"/>
      <c r="EC60" s="216"/>
      <c r="ED60" s="1461"/>
      <c r="EE60" s="249"/>
      <c r="EF60" s="216"/>
      <c r="EG60" s="355"/>
      <c r="EH60" s="1425"/>
      <c r="EI60" s="1470"/>
      <c r="EJ60" s="249"/>
      <c r="EK60" s="221"/>
      <c r="EL60" s="313"/>
      <c r="EM60" s="249"/>
      <c r="EN60" s="221"/>
      <c r="EO60" s="313"/>
      <c r="EP60" s="249"/>
      <c r="EQ60" s="216"/>
      <c r="ER60" s="313"/>
      <c r="ES60" s="249"/>
      <c r="ET60" s="216"/>
      <c r="EU60" s="313"/>
      <c r="EV60" s="249"/>
      <c r="EW60" s="216"/>
      <c r="EX60" s="2505"/>
      <c r="EY60" s="249"/>
      <c r="EZ60" s="221"/>
      <c r="FA60" s="313"/>
      <c r="FB60" s="249"/>
      <c r="FC60" s="221"/>
      <c r="FD60" s="313"/>
      <c r="FE60" s="249"/>
      <c r="FF60" s="221"/>
      <c r="FG60" s="313"/>
      <c r="FH60" s="249"/>
      <c r="FI60" s="216"/>
      <c r="FJ60" s="1435"/>
      <c r="FK60" s="216"/>
      <c r="FL60" s="1268"/>
      <c r="FM60" s="1655"/>
      <c r="FN60" s="1268"/>
      <c r="FO60" s="1655"/>
      <c r="FP60" s="1268"/>
      <c r="FQ60" s="1656"/>
      <c r="FR60" s="249"/>
      <c r="FS60" s="216"/>
      <c r="FT60" s="1657"/>
      <c r="FU60" s="1658"/>
      <c r="FV60" s="242"/>
      <c r="FW60" s="2522"/>
      <c r="FX60" s="2523"/>
      <c r="FY60" s="336"/>
      <c r="FZ60" s="223"/>
      <c r="GA60" s="338"/>
      <c r="GB60" s="204"/>
      <c r="GC60" s="339"/>
      <c r="GD60" s="342"/>
      <c r="GE60" s="199"/>
      <c r="GF60" s="199"/>
      <c r="GG60" s="199"/>
      <c r="GH60" s="199"/>
      <c r="GI60" s="199"/>
      <c r="GJ60" s="199"/>
      <c r="GK60" s="199"/>
      <c r="GL60" s="49"/>
      <c r="GM60" s="28"/>
      <c r="GN60" s="28"/>
      <c r="GO60" s="322"/>
      <c r="GP60" s="1190"/>
      <c r="GQ60" s="1190"/>
      <c r="GR60" s="49"/>
      <c r="GS60" s="2879"/>
      <c r="GT60" s="2880"/>
      <c r="GU60" s="2881"/>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49"/>
      <c r="IG60" s="49"/>
      <c r="IH60" s="49"/>
      <c r="II60" s="49"/>
      <c r="IJ60" s="49"/>
      <c r="IK60" s="49"/>
      <c r="IL60" s="49"/>
      <c r="IM60" s="49"/>
      <c r="IN60" s="49"/>
      <c r="IO60" s="49"/>
      <c r="IP60" s="49"/>
      <c r="IQ60" s="49"/>
      <c r="IR60" s="49"/>
      <c r="IS60" s="49"/>
      <c r="IT60" s="49"/>
      <c r="IU60" s="49"/>
      <c r="IV60" s="49"/>
    </row>
    <row r="61" spans="1:256" s="198" customFormat="1" ht="12" customHeight="1">
      <c r="A61" s="1252"/>
      <c r="B61" s="200"/>
      <c r="C61" s="486"/>
      <c r="D61" s="203"/>
      <c r="E61" s="203"/>
      <c r="F61" s="203"/>
      <c r="G61" s="203"/>
      <c r="H61" s="175"/>
      <c r="I61" s="1265"/>
      <c r="J61" s="1265"/>
      <c r="K61" s="175"/>
      <c r="L61" s="1265"/>
      <c r="M61" s="1265"/>
      <c r="N61" s="1265"/>
      <c r="O61" s="1265"/>
      <c r="P61" s="1265"/>
      <c r="Q61" s="999"/>
      <c r="R61" s="999"/>
      <c r="S61" s="999"/>
      <c r="T61" s="2801"/>
      <c r="U61" s="233"/>
      <c r="V61" s="49"/>
      <c r="W61" s="218"/>
      <c r="X61" s="218"/>
      <c r="Y61" s="216"/>
      <c r="Z61" s="216"/>
      <c r="AA61" s="215"/>
      <c r="AB61" s="216"/>
      <c r="AC61" s="216"/>
      <c r="AD61" s="239"/>
      <c r="AE61" s="216"/>
      <c r="AF61" s="216"/>
      <c r="AG61" s="216"/>
      <c r="AH61" s="216"/>
      <c r="AI61" s="216"/>
      <c r="AJ61" s="216"/>
      <c r="AK61" s="239"/>
      <c r="AL61" s="216"/>
      <c r="AM61" s="216"/>
      <c r="AN61" s="216"/>
      <c r="AO61" s="216"/>
      <c r="AP61" s="216"/>
      <c r="AQ61" s="216"/>
      <c r="AR61" s="216"/>
      <c r="AS61" s="216"/>
      <c r="AT61" s="216"/>
      <c r="AU61" s="216"/>
      <c r="AV61" s="217"/>
      <c r="AW61" s="355"/>
      <c r="AX61" s="217"/>
      <c r="AY61" s="1559"/>
      <c r="AZ61" s="249"/>
      <c r="BA61" s="221"/>
      <c r="BB61" s="300"/>
      <c r="BC61" s="217"/>
      <c r="BD61" s="392"/>
      <c r="BE61" s="1244"/>
      <c r="BF61" s="249"/>
      <c r="BG61" s="252"/>
      <c r="BH61" s="1469"/>
      <c r="BI61" s="216"/>
      <c r="BJ61" s="1469"/>
      <c r="BK61" s="1459"/>
      <c r="BL61" s="260"/>
      <c r="BM61" s="214"/>
      <c r="BN61" s="293"/>
      <c r="BO61" s="217"/>
      <c r="BP61" s="355"/>
      <c r="BQ61" s="217"/>
      <c r="BR61" s="1193"/>
      <c r="BS61" s="249"/>
      <c r="BT61" s="216"/>
      <c r="BU61" s="1195"/>
      <c r="BV61" s="249"/>
      <c r="BW61" s="216"/>
      <c r="BX61" s="1195"/>
      <c r="BY61" s="249"/>
      <c r="BZ61" s="216"/>
      <c r="CA61" s="1195"/>
      <c r="CB61" s="249"/>
      <c r="CC61" s="216"/>
      <c r="CD61" s="1195"/>
      <c r="CE61" s="249"/>
      <c r="CF61" s="216"/>
      <c r="CG61" s="1195"/>
      <c r="CH61" s="249"/>
      <c r="CI61" s="216"/>
      <c r="CJ61" s="1195"/>
      <c r="CK61" s="249"/>
      <c r="CL61" s="216"/>
      <c r="CM61" s="1194"/>
      <c r="CN61" s="1524"/>
      <c r="CO61" s="217"/>
      <c r="CP61" s="1193"/>
      <c r="CQ61" s="293"/>
      <c r="CR61" s="217"/>
      <c r="CS61" s="305"/>
      <c r="CT61" s="249"/>
      <c r="CU61" s="216"/>
      <c r="CV61" s="1193"/>
      <c r="CW61" s="249"/>
      <c r="CX61" s="216"/>
      <c r="CY61" s="305"/>
      <c r="CZ61" s="249"/>
      <c r="DA61" s="216"/>
      <c r="DB61" s="307"/>
      <c r="DC61" s="328"/>
      <c r="DD61" s="322"/>
      <c r="DE61" s="305"/>
      <c r="DF61" s="249"/>
      <c r="DG61" s="216"/>
      <c r="DH61" s="305"/>
      <c r="DI61" s="249"/>
      <c r="DJ61" s="216"/>
      <c r="DK61" s="309"/>
      <c r="DL61" s="293"/>
      <c r="DM61" s="326"/>
      <c r="DN61" s="1256"/>
      <c r="DO61" s="214"/>
      <c r="DP61" s="1257"/>
      <c r="DQ61" s="1258"/>
      <c r="DR61" s="305"/>
      <c r="DS61" s="249"/>
      <c r="DT61" s="216"/>
      <c r="DU61" s="2518"/>
      <c r="DV61"/>
      <c r="DW61"/>
      <c r="DX61" s="305"/>
      <c r="DY61" s="249"/>
      <c r="DZ61" s="221"/>
      <c r="EA61" s="388"/>
      <c r="EB61" s="249"/>
      <c r="EC61" s="216"/>
      <c r="ED61" s="1461"/>
      <c r="EE61" s="249"/>
      <c r="EF61" s="216"/>
      <c r="EG61" s="355"/>
      <c r="EH61" s="1425"/>
      <c r="EI61" s="1470"/>
      <c r="EJ61" s="249"/>
      <c r="EK61" s="221"/>
      <c r="EL61" s="313"/>
      <c r="EM61" s="249"/>
      <c r="EN61" s="221"/>
      <c r="EO61" s="313"/>
      <c r="EP61" s="249"/>
      <c r="EQ61" s="216"/>
      <c r="ER61" s="313"/>
      <c r="ES61" s="249"/>
      <c r="ET61" s="216"/>
      <c r="EU61" s="313"/>
      <c r="EV61" s="249"/>
      <c r="EW61" s="216"/>
      <c r="EX61" s="2505"/>
      <c r="EY61" s="249"/>
      <c r="EZ61" s="221"/>
      <c r="FA61" s="313"/>
      <c r="FB61" s="249"/>
      <c r="FC61" s="221"/>
      <c r="FD61" s="313"/>
      <c r="FE61" s="249"/>
      <c r="FF61" s="221"/>
      <c r="FG61" s="313"/>
      <c r="FH61" s="249"/>
      <c r="FI61" s="216"/>
      <c r="FJ61" s="1435"/>
      <c r="FK61" s="216"/>
      <c r="FL61" s="1268"/>
      <c r="FM61" s="1655"/>
      <c r="FN61" s="1268"/>
      <c r="FO61" s="1655"/>
      <c r="FP61" s="1268"/>
      <c r="FQ61" s="1656"/>
      <c r="FR61" s="249"/>
      <c r="FS61" s="216"/>
      <c r="FT61" s="1657"/>
      <c r="FU61" s="1658"/>
      <c r="FV61" s="242"/>
      <c r="FW61" s="2522"/>
      <c r="FX61" s="2523"/>
      <c r="FY61" s="336"/>
      <c r="FZ61" s="223"/>
      <c r="GA61" s="338"/>
      <c r="GB61" s="204"/>
      <c r="GC61" s="339"/>
      <c r="GD61" s="342"/>
      <c r="GE61" s="199"/>
      <c r="GF61" s="199"/>
      <c r="GG61" s="199"/>
      <c r="GH61" s="199"/>
      <c r="GI61" s="199"/>
      <c r="GJ61" s="199"/>
      <c r="GK61" s="199"/>
      <c r="GL61" s="49"/>
      <c r="GM61" s="28"/>
      <c r="GN61" s="28"/>
      <c r="GO61" s="322"/>
      <c r="GP61" s="1190"/>
      <c r="GQ61" s="1190"/>
      <c r="GR61" s="49"/>
      <c r="GS61" s="2879"/>
      <c r="GT61" s="2880"/>
      <c r="GU61" s="2881"/>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49"/>
      <c r="IG61" s="49"/>
      <c r="IH61" s="49"/>
      <c r="II61" s="49"/>
      <c r="IJ61" s="49"/>
      <c r="IK61" s="49"/>
      <c r="IL61" s="49"/>
      <c r="IM61" s="49"/>
      <c r="IN61" s="49"/>
      <c r="IO61" s="49"/>
      <c r="IP61" s="49"/>
      <c r="IQ61" s="49"/>
      <c r="IR61" s="49"/>
      <c r="IS61" s="49"/>
      <c r="IT61" s="49"/>
      <c r="IU61" s="49"/>
      <c r="IV61" s="49"/>
    </row>
    <row r="62" spans="1:256" s="198" customFormat="1" ht="12" customHeight="1">
      <c r="A62" s="1252"/>
      <c r="B62" s="200"/>
      <c r="C62" s="486"/>
      <c r="D62" s="203"/>
      <c r="E62" s="203"/>
      <c r="F62" s="203"/>
      <c r="G62" s="203"/>
      <c r="H62" s="175"/>
      <c r="I62" s="1265"/>
      <c r="J62" s="1265"/>
      <c r="K62" s="175"/>
      <c r="L62" s="1265"/>
      <c r="M62" s="1265"/>
      <c r="N62" s="1265"/>
      <c r="O62" s="1265"/>
      <c r="P62" s="1265"/>
      <c r="Q62" s="999"/>
      <c r="R62" s="999"/>
      <c r="S62" s="999"/>
      <c r="T62" s="2801"/>
      <c r="U62" s="233"/>
      <c r="V62" s="49"/>
      <c r="W62" s="218"/>
      <c r="X62" s="218"/>
      <c r="Y62" s="216"/>
      <c r="Z62" s="216"/>
      <c r="AA62" s="215"/>
      <c r="AB62" s="216"/>
      <c r="AC62" s="216"/>
      <c r="AD62" s="239"/>
      <c r="AE62" s="216"/>
      <c r="AF62" s="216"/>
      <c r="AG62" s="216"/>
      <c r="AH62" s="216"/>
      <c r="AI62" s="216"/>
      <c r="AJ62" s="216"/>
      <c r="AK62" s="239"/>
      <c r="AL62" s="216"/>
      <c r="AM62" s="216"/>
      <c r="AN62" s="216"/>
      <c r="AO62" s="216"/>
      <c r="AP62" s="216"/>
      <c r="AQ62" s="216"/>
      <c r="AR62" s="216"/>
      <c r="AS62" s="216"/>
      <c r="AT62" s="216"/>
      <c r="AU62" s="216"/>
      <c r="AV62" s="217"/>
      <c r="AW62" s="355"/>
      <c r="AX62" s="217"/>
      <c r="AY62" s="1559"/>
      <c r="AZ62" s="249"/>
      <c r="BA62" s="221"/>
      <c r="BB62" s="300"/>
      <c r="BC62" s="217"/>
      <c r="BD62" s="392"/>
      <c r="BE62" s="1244"/>
      <c r="BF62" s="249"/>
      <c r="BG62" s="252"/>
      <c r="BH62" s="1469"/>
      <c r="BI62" s="216"/>
      <c r="BJ62" s="1469"/>
      <c r="BK62" s="1459"/>
      <c r="BL62" s="260"/>
      <c r="BM62" s="214"/>
      <c r="BN62" s="293"/>
      <c r="BO62" s="217"/>
      <c r="BP62" s="355"/>
      <c r="BQ62" s="217"/>
      <c r="BR62" s="1193"/>
      <c r="BS62" s="249"/>
      <c r="BT62" s="216"/>
      <c r="BU62" s="1195"/>
      <c r="BV62" s="249"/>
      <c r="BW62" s="216"/>
      <c r="BX62" s="1195"/>
      <c r="BY62" s="249"/>
      <c r="BZ62" s="216"/>
      <c r="CA62" s="1195"/>
      <c r="CB62" s="249"/>
      <c r="CC62" s="216"/>
      <c r="CD62" s="1195"/>
      <c r="CE62" s="249"/>
      <c r="CF62" s="216"/>
      <c r="CG62" s="1195"/>
      <c r="CH62" s="249"/>
      <c r="CI62" s="216"/>
      <c r="CJ62" s="1195"/>
      <c r="CK62" s="249"/>
      <c r="CL62" s="216"/>
      <c r="CM62" s="1194"/>
      <c r="CN62" s="1524"/>
      <c r="CO62" s="217"/>
      <c r="CP62" s="1193"/>
      <c r="CQ62" s="293"/>
      <c r="CR62" s="217"/>
      <c r="CS62" s="305"/>
      <c r="CT62" s="249"/>
      <c r="CU62" s="216"/>
      <c r="CV62" s="1193"/>
      <c r="CW62" s="249"/>
      <c r="CX62" s="216"/>
      <c r="CY62" s="305"/>
      <c r="CZ62" s="249"/>
      <c r="DA62" s="216"/>
      <c r="DB62" s="307"/>
      <c r="DC62" s="328"/>
      <c r="DD62" s="322"/>
      <c r="DE62" s="305"/>
      <c r="DF62" s="249"/>
      <c r="DG62" s="216"/>
      <c r="DH62" s="305"/>
      <c r="DI62" s="249"/>
      <c r="DJ62" s="216"/>
      <c r="DK62" s="309"/>
      <c r="DL62" s="293"/>
      <c r="DM62" s="326"/>
      <c r="DN62" s="1256"/>
      <c r="DO62" s="214"/>
      <c r="DP62" s="1257"/>
      <c r="DQ62" s="1258"/>
      <c r="DR62" s="305"/>
      <c r="DS62" s="249"/>
      <c r="DT62" s="216"/>
      <c r="DU62" s="2518"/>
      <c r="DV62"/>
      <c r="DW62"/>
      <c r="DX62" s="305"/>
      <c r="DY62" s="249"/>
      <c r="DZ62" s="221"/>
      <c r="EA62" s="388"/>
      <c r="EB62" s="249"/>
      <c r="EC62" s="216"/>
      <c r="ED62" s="1461"/>
      <c r="EE62" s="249"/>
      <c r="EF62" s="216"/>
      <c r="EG62" s="355"/>
      <c r="EH62" s="1425"/>
      <c r="EI62" s="1470"/>
      <c r="EJ62" s="249"/>
      <c r="EK62" s="221"/>
      <c r="EL62" s="313"/>
      <c r="EM62" s="249"/>
      <c r="EN62" s="221"/>
      <c r="EO62" s="313"/>
      <c r="EP62" s="249"/>
      <c r="EQ62" s="216"/>
      <c r="ER62" s="313"/>
      <c r="ES62" s="249"/>
      <c r="ET62" s="216"/>
      <c r="EU62" s="313"/>
      <c r="EV62" s="249"/>
      <c r="EW62" s="216"/>
      <c r="EX62" s="2505"/>
      <c r="EY62" s="249"/>
      <c r="EZ62" s="221"/>
      <c r="FA62" s="313"/>
      <c r="FB62" s="249"/>
      <c r="FC62" s="221"/>
      <c r="FD62" s="313"/>
      <c r="FE62" s="249"/>
      <c r="FF62" s="221"/>
      <c r="FG62" s="313"/>
      <c r="FH62" s="249"/>
      <c r="FI62" s="216"/>
      <c r="FJ62" s="1435"/>
      <c r="FK62" s="216"/>
      <c r="FL62" s="1268"/>
      <c r="FM62" s="1655"/>
      <c r="FN62" s="1268"/>
      <c r="FO62" s="1655"/>
      <c r="FP62" s="1268"/>
      <c r="FQ62" s="1656"/>
      <c r="FR62" s="249"/>
      <c r="FS62" s="216"/>
      <c r="FT62" s="1657"/>
      <c r="FU62" s="1658"/>
      <c r="FV62" s="242"/>
      <c r="FW62" s="2522"/>
      <c r="FX62" s="2523"/>
      <c r="FY62" s="336"/>
      <c r="FZ62" s="223"/>
      <c r="GA62" s="338"/>
      <c r="GB62" s="204"/>
      <c r="GC62" s="339"/>
      <c r="GD62" s="342"/>
      <c r="GE62" s="199"/>
      <c r="GF62" s="199"/>
      <c r="GG62" s="199"/>
      <c r="GH62" s="199"/>
      <c r="GI62" s="199"/>
      <c r="GJ62" s="199"/>
      <c r="GK62" s="199"/>
      <c r="GL62" s="49"/>
      <c r="GM62" s="28"/>
      <c r="GN62" s="28"/>
      <c r="GO62" s="322"/>
      <c r="GP62" s="1190"/>
      <c r="GQ62" s="1190"/>
      <c r="GR62" s="49"/>
      <c r="GS62" s="2879"/>
      <c r="GT62" s="2880"/>
      <c r="GU62" s="2881"/>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49"/>
      <c r="IG62" s="49"/>
      <c r="IH62" s="49"/>
      <c r="II62" s="49"/>
      <c r="IJ62" s="49"/>
      <c r="IK62" s="49"/>
      <c r="IL62" s="49"/>
      <c r="IM62" s="49"/>
      <c r="IN62" s="49"/>
      <c r="IO62" s="49"/>
      <c r="IP62" s="49"/>
      <c r="IQ62" s="49"/>
      <c r="IR62" s="49"/>
      <c r="IS62" s="49"/>
      <c r="IT62" s="49"/>
      <c r="IU62" s="49"/>
      <c r="IV62" s="49"/>
    </row>
    <row r="63" spans="1:256" s="198" customFormat="1" ht="12" customHeight="1">
      <c r="A63" s="1252"/>
      <c r="B63" s="200"/>
      <c r="C63" s="486"/>
      <c r="D63" s="203"/>
      <c r="E63" s="203"/>
      <c r="F63" s="203"/>
      <c r="G63" s="203"/>
      <c r="H63" s="175"/>
      <c r="I63" s="1265"/>
      <c r="J63" s="1265"/>
      <c r="K63" s="175"/>
      <c r="L63" s="1265"/>
      <c r="M63" s="1265"/>
      <c r="N63" s="1265"/>
      <c r="O63" s="1265"/>
      <c r="P63" s="1265"/>
      <c r="Q63" s="999"/>
      <c r="R63" s="999"/>
      <c r="S63" s="999"/>
      <c r="T63" s="2801"/>
      <c r="U63" s="233"/>
      <c r="V63" s="49"/>
      <c r="W63" s="218"/>
      <c r="X63" s="218"/>
      <c r="Y63" s="216"/>
      <c r="Z63" s="216"/>
      <c r="AA63" s="215"/>
      <c r="AB63" s="216"/>
      <c r="AC63" s="216"/>
      <c r="AD63" s="239"/>
      <c r="AE63" s="216"/>
      <c r="AF63" s="216"/>
      <c r="AG63" s="216"/>
      <c r="AH63" s="216"/>
      <c r="AI63" s="216"/>
      <c r="AJ63" s="216"/>
      <c r="AK63" s="239"/>
      <c r="AL63" s="216"/>
      <c r="AM63" s="216"/>
      <c r="AN63" s="216"/>
      <c r="AO63" s="216"/>
      <c r="AP63" s="216"/>
      <c r="AQ63" s="216"/>
      <c r="AR63" s="216"/>
      <c r="AS63" s="216"/>
      <c r="AT63" s="216"/>
      <c r="AU63" s="216"/>
      <c r="AV63" s="217"/>
      <c r="AW63" s="355"/>
      <c r="AX63" s="217"/>
      <c r="AY63" s="1559"/>
      <c r="AZ63" s="249"/>
      <c r="BA63" s="221"/>
      <c r="BB63" s="300"/>
      <c r="BC63" s="217"/>
      <c r="BD63" s="392"/>
      <c r="BE63" s="1244"/>
      <c r="BF63" s="249"/>
      <c r="BG63" s="252"/>
      <c r="BH63" s="1469"/>
      <c r="BI63" s="216"/>
      <c r="BJ63" s="1469"/>
      <c r="BK63" s="1459"/>
      <c r="BL63" s="260"/>
      <c r="BM63" s="214"/>
      <c r="BN63" s="293"/>
      <c r="BO63" s="217"/>
      <c r="BP63" s="355"/>
      <c r="BQ63" s="217"/>
      <c r="BR63" s="1193"/>
      <c r="BS63" s="249"/>
      <c r="BT63" s="216"/>
      <c r="BU63" s="1195"/>
      <c r="BV63" s="249"/>
      <c r="BW63" s="216"/>
      <c r="BX63" s="1195"/>
      <c r="BY63" s="249"/>
      <c r="BZ63" s="216"/>
      <c r="CA63" s="1195"/>
      <c r="CB63" s="249"/>
      <c r="CC63" s="216"/>
      <c r="CD63" s="1195"/>
      <c r="CE63" s="249"/>
      <c r="CF63" s="216"/>
      <c r="CG63" s="1195"/>
      <c r="CH63" s="249"/>
      <c r="CI63" s="216"/>
      <c r="CJ63" s="1195"/>
      <c r="CK63" s="249"/>
      <c r="CL63" s="216"/>
      <c r="CM63" s="1194"/>
      <c r="CN63" s="1524"/>
      <c r="CO63" s="217"/>
      <c r="CP63" s="1193"/>
      <c r="CQ63" s="293"/>
      <c r="CR63" s="217"/>
      <c r="CS63" s="305"/>
      <c r="CT63" s="249"/>
      <c r="CU63" s="216"/>
      <c r="CV63" s="1193"/>
      <c r="CW63" s="249"/>
      <c r="CX63" s="216"/>
      <c r="CY63" s="305"/>
      <c r="CZ63" s="249"/>
      <c r="DA63" s="216"/>
      <c r="DB63" s="307"/>
      <c r="DC63" s="328"/>
      <c r="DD63" s="322"/>
      <c r="DE63" s="305"/>
      <c r="DF63" s="249"/>
      <c r="DG63" s="216"/>
      <c r="DH63" s="305"/>
      <c r="DI63" s="249"/>
      <c r="DJ63" s="216"/>
      <c r="DK63" s="309"/>
      <c r="DL63" s="293"/>
      <c r="DM63" s="326"/>
      <c r="DN63" s="1256"/>
      <c r="DO63" s="214"/>
      <c r="DP63" s="1257"/>
      <c r="DQ63" s="1258"/>
      <c r="DR63" s="305"/>
      <c r="DS63" s="249"/>
      <c r="DT63" s="216"/>
      <c r="DU63" s="2518"/>
      <c r="DV63"/>
      <c r="DW63"/>
      <c r="DX63" s="305"/>
      <c r="DY63" s="249"/>
      <c r="DZ63" s="221"/>
      <c r="EA63" s="388"/>
      <c r="EB63" s="249"/>
      <c r="EC63" s="216"/>
      <c r="ED63" s="1461"/>
      <c r="EE63" s="249"/>
      <c r="EF63" s="216"/>
      <c r="EG63" s="355"/>
      <c r="EH63" s="1425"/>
      <c r="EI63" s="1470"/>
      <c r="EJ63" s="249"/>
      <c r="EK63" s="221"/>
      <c r="EL63" s="313"/>
      <c r="EM63" s="249"/>
      <c r="EN63" s="221"/>
      <c r="EO63" s="313"/>
      <c r="EP63" s="249"/>
      <c r="EQ63" s="216"/>
      <c r="ER63" s="313"/>
      <c r="ES63" s="249"/>
      <c r="ET63" s="216"/>
      <c r="EU63" s="313"/>
      <c r="EV63" s="249"/>
      <c r="EW63" s="216"/>
      <c r="EX63" s="2505"/>
      <c r="EY63" s="249"/>
      <c r="EZ63" s="221"/>
      <c r="FA63" s="313"/>
      <c r="FB63" s="249"/>
      <c r="FC63" s="221"/>
      <c r="FD63" s="313"/>
      <c r="FE63" s="249"/>
      <c r="FF63" s="221"/>
      <c r="FG63" s="313"/>
      <c r="FH63" s="249"/>
      <c r="FI63" s="216"/>
      <c r="FJ63" s="1435"/>
      <c r="FK63" s="216"/>
      <c r="FL63" s="1268"/>
      <c r="FM63" s="1655"/>
      <c r="FN63" s="1268"/>
      <c r="FO63" s="1655"/>
      <c r="FP63" s="1268"/>
      <c r="FQ63" s="1656"/>
      <c r="FR63" s="249"/>
      <c r="FS63" s="216"/>
      <c r="FT63" s="1657"/>
      <c r="FU63" s="1658"/>
      <c r="FV63" s="242"/>
      <c r="FW63" s="2522"/>
      <c r="FX63" s="2523"/>
      <c r="FY63" s="336"/>
      <c r="FZ63" s="223"/>
      <c r="GA63" s="338"/>
      <c r="GB63" s="204"/>
      <c r="GC63" s="339"/>
      <c r="GD63" s="342"/>
      <c r="GE63" s="199"/>
      <c r="GF63" s="199"/>
      <c r="GG63" s="199"/>
      <c r="GH63" s="199"/>
      <c r="GI63" s="199"/>
      <c r="GJ63" s="199"/>
      <c r="GK63" s="199"/>
      <c r="GL63" s="49"/>
      <c r="GM63" s="28"/>
      <c r="GN63" s="28"/>
      <c r="GO63" s="322"/>
      <c r="GP63" s="1190"/>
      <c r="GQ63" s="1190"/>
      <c r="GR63" s="49"/>
      <c r="GS63" s="2879"/>
      <c r="GT63" s="2880"/>
      <c r="GU63" s="2881"/>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49"/>
      <c r="IG63" s="49"/>
      <c r="IH63" s="49"/>
      <c r="II63" s="49"/>
      <c r="IJ63" s="49"/>
      <c r="IK63" s="49"/>
      <c r="IL63" s="49"/>
      <c r="IM63" s="49"/>
      <c r="IN63" s="49"/>
      <c r="IO63" s="49"/>
      <c r="IP63" s="49"/>
      <c r="IQ63" s="49"/>
      <c r="IR63" s="49"/>
      <c r="IS63" s="49"/>
      <c r="IT63" s="49"/>
      <c r="IU63" s="49"/>
      <c r="IV63" s="49"/>
    </row>
    <row r="64" spans="1:256" s="198" customFormat="1" ht="12" customHeight="1">
      <c r="A64" s="1252"/>
      <c r="B64" s="200"/>
      <c r="C64" s="486"/>
      <c r="D64" s="203"/>
      <c r="E64" s="203"/>
      <c r="F64" s="203"/>
      <c r="G64" s="203"/>
      <c r="H64" s="175"/>
      <c r="I64" s="1265"/>
      <c r="J64" s="1265"/>
      <c r="K64" s="175"/>
      <c r="L64" s="1265"/>
      <c r="M64" s="1265"/>
      <c r="N64" s="1265"/>
      <c r="O64" s="1265"/>
      <c r="P64" s="1265"/>
      <c r="Q64" s="999"/>
      <c r="R64" s="999"/>
      <c r="S64" s="999"/>
      <c r="T64" s="2801"/>
      <c r="U64" s="233"/>
      <c r="V64" s="49"/>
      <c r="W64" s="218"/>
      <c r="X64" s="218"/>
      <c r="Y64" s="216"/>
      <c r="Z64" s="216"/>
      <c r="AA64" s="215"/>
      <c r="AB64" s="216"/>
      <c r="AC64" s="216"/>
      <c r="AD64" s="239"/>
      <c r="AE64" s="216"/>
      <c r="AF64" s="216"/>
      <c r="AG64" s="216"/>
      <c r="AH64" s="216"/>
      <c r="AI64" s="216"/>
      <c r="AJ64" s="216"/>
      <c r="AK64" s="239"/>
      <c r="AL64" s="216"/>
      <c r="AM64" s="216"/>
      <c r="AN64" s="216"/>
      <c r="AO64" s="216"/>
      <c r="AP64" s="216"/>
      <c r="AQ64" s="216"/>
      <c r="AR64" s="216"/>
      <c r="AS64" s="216"/>
      <c r="AT64" s="216"/>
      <c r="AU64" s="216"/>
      <c r="AV64" s="217"/>
      <c r="AW64" s="355"/>
      <c r="AX64" s="217"/>
      <c r="AY64" s="1559"/>
      <c r="AZ64" s="249"/>
      <c r="BA64" s="221"/>
      <c r="BB64" s="300"/>
      <c r="BC64" s="217"/>
      <c r="BD64" s="392"/>
      <c r="BE64" s="1244"/>
      <c r="BF64" s="249"/>
      <c r="BG64" s="252"/>
      <c r="BH64" s="1469"/>
      <c r="BI64" s="216"/>
      <c r="BJ64" s="1469"/>
      <c r="BK64" s="1459"/>
      <c r="BL64" s="260"/>
      <c r="BM64" s="214"/>
      <c r="BN64" s="293"/>
      <c r="BO64" s="217"/>
      <c r="BP64" s="355"/>
      <c r="BQ64" s="217"/>
      <c r="BR64" s="1193"/>
      <c r="BS64" s="249"/>
      <c r="BT64" s="216"/>
      <c r="BU64" s="1195"/>
      <c r="BV64" s="249"/>
      <c r="BW64" s="216"/>
      <c r="BX64" s="1195"/>
      <c r="BY64" s="249"/>
      <c r="BZ64" s="216"/>
      <c r="CA64" s="1195"/>
      <c r="CB64" s="249"/>
      <c r="CC64" s="216"/>
      <c r="CD64" s="1195"/>
      <c r="CE64" s="249"/>
      <c r="CF64" s="216"/>
      <c r="CG64" s="1195"/>
      <c r="CH64" s="249"/>
      <c r="CI64" s="216"/>
      <c r="CJ64" s="1195"/>
      <c r="CK64" s="249"/>
      <c r="CL64" s="216"/>
      <c r="CM64" s="1194"/>
      <c r="CN64" s="1524"/>
      <c r="CO64" s="217"/>
      <c r="CP64" s="1193"/>
      <c r="CQ64" s="293"/>
      <c r="CR64" s="217"/>
      <c r="CS64" s="305"/>
      <c r="CT64" s="249"/>
      <c r="CU64" s="216"/>
      <c r="CV64" s="1193"/>
      <c r="CW64" s="249"/>
      <c r="CX64" s="216"/>
      <c r="CY64" s="305"/>
      <c r="CZ64" s="249"/>
      <c r="DA64" s="216"/>
      <c r="DB64" s="307"/>
      <c r="DC64" s="328"/>
      <c r="DD64" s="322"/>
      <c r="DE64" s="305"/>
      <c r="DF64" s="249"/>
      <c r="DG64" s="216"/>
      <c r="DH64" s="305"/>
      <c r="DI64" s="249"/>
      <c r="DJ64" s="216"/>
      <c r="DK64" s="309"/>
      <c r="DL64" s="293"/>
      <c r="DM64" s="326"/>
      <c r="DN64" s="1256"/>
      <c r="DO64" s="214"/>
      <c r="DP64" s="1257"/>
      <c r="DQ64" s="1258"/>
      <c r="DR64" s="305"/>
      <c r="DS64" s="249"/>
      <c r="DT64" s="216"/>
      <c r="DU64" s="2518"/>
      <c r="DV64"/>
      <c r="DW64"/>
      <c r="DX64" s="305"/>
      <c r="DY64" s="249"/>
      <c r="DZ64" s="221"/>
      <c r="EA64" s="388"/>
      <c r="EB64" s="249"/>
      <c r="EC64" s="216"/>
      <c r="ED64" s="1461"/>
      <c r="EE64" s="249"/>
      <c r="EF64" s="216"/>
      <c r="EG64" s="355"/>
      <c r="EH64" s="1425"/>
      <c r="EI64" s="1470"/>
      <c r="EJ64" s="249"/>
      <c r="EK64" s="221"/>
      <c r="EL64" s="313"/>
      <c r="EM64" s="249"/>
      <c r="EN64" s="221"/>
      <c r="EO64" s="313"/>
      <c r="EP64" s="249"/>
      <c r="EQ64" s="216"/>
      <c r="ER64" s="313"/>
      <c r="ES64" s="249"/>
      <c r="ET64" s="216"/>
      <c r="EU64" s="313"/>
      <c r="EV64" s="249"/>
      <c r="EW64" s="216"/>
      <c r="EX64" s="2505"/>
      <c r="EY64" s="249"/>
      <c r="EZ64" s="221"/>
      <c r="FA64" s="313"/>
      <c r="FB64" s="249"/>
      <c r="FC64" s="221"/>
      <c r="FD64" s="313"/>
      <c r="FE64" s="249"/>
      <c r="FF64" s="221"/>
      <c r="FG64" s="313"/>
      <c r="FH64" s="249"/>
      <c r="FI64" s="216"/>
      <c r="FJ64" s="1435"/>
      <c r="FK64" s="216"/>
      <c r="FL64" s="1268"/>
      <c r="FM64" s="1655"/>
      <c r="FN64" s="1268"/>
      <c r="FO64" s="1655"/>
      <c r="FP64" s="1268"/>
      <c r="FQ64" s="1656"/>
      <c r="FR64" s="249"/>
      <c r="FS64" s="216"/>
      <c r="FT64" s="1657"/>
      <c r="FU64" s="1658"/>
      <c r="FV64" s="242"/>
      <c r="FW64" s="2522"/>
      <c r="FX64" s="2523"/>
      <c r="FY64" s="336"/>
      <c r="FZ64" s="223"/>
      <c r="GA64" s="338"/>
      <c r="GB64" s="204"/>
      <c r="GC64" s="339"/>
      <c r="GD64" s="342"/>
      <c r="GE64" s="199"/>
      <c r="GF64" s="199"/>
      <c r="GG64" s="199"/>
      <c r="GH64" s="199"/>
      <c r="GI64" s="199"/>
      <c r="GJ64" s="199"/>
      <c r="GK64" s="199"/>
      <c r="GL64" s="49"/>
      <c r="GM64" s="28"/>
      <c r="GN64" s="28"/>
      <c r="GO64" s="322"/>
      <c r="GP64" s="1190"/>
      <c r="GQ64" s="1190"/>
      <c r="GR64" s="49"/>
      <c r="GS64" s="2879"/>
      <c r="GT64" s="2880"/>
      <c r="GU64" s="2881"/>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49"/>
      <c r="IG64" s="49"/>
      <c r="IH64" s="49"/>
      <c r="II64" s="49"/>
      <c r="IJ64" s="49"/>
      <c r="IK64" s="49"/>
      <c r="IL64" s="49"/>
      <c r="IM64" s="49"/>
      <c r="IN64" s="49"/>
      <c r="IO64" s="49"/>
      <c r="IP64" s="49"/>
      <c r="IQ64" s="49"/>
      <c r="IR64" s="49"/>
      <c r="IS64" s="49"/>
      <c r="IT64" s="49"/>
      <c r="IU64" s="49"/>
      <c r="IV64" s="49"/>
    </row>
    <row r="65" spans="1:256" s="198" customFormat="1" ht="12" customHeight="1">
      <c r="A65" s="1252"/>
      <c r="B65" s="200"/>
      <c r="C65" s="486"/>
      <c r="D65" s="203"/>
      <c r="E65" s="203"/>
      <c r="F65" s="203"/>
      <c r="G65" s="203"/>
      <c r="H65" s="175"/>
      <c r="I65" s="1265"/>
      <c r="J65" s="1265"/>
      <c r="K65" s="175"/>
      <c r="L65" s="1265"/>
      <c r="M65" s="1265"/>
      <c r="N65" s="1265"/>
      <c r="O65" s="1265"/>
      <c r="P65" s="1265"/>
      <c r="Q65" s="999"/>
      <c r="R65" s="999"/>
      <c r="S65" s="999"/>
      <c r="T65" s="2801"/>
      <c r="U65" s="233"/>
      <c r="V65" s="49"/>
      <c r="W65" s="218"/>
      <c r="X65" s="218"/>
      <c r="Y65" s="216"/>
      <c r="Z65" s="216"/>
      <c r="AA65" s="215"/>
      <c r="AB65" s="216"/>
      <c r="AC65" s="216"/>
      <c r="AD65" s="239"/>
      <c r="AE65" s="216"/>
      <c r="AF65" s="216"/>
      <c r="AG65" s="216"/>
      <c r="AH65" s="216"/>
      <c r="AI65" s="216"/>
      <c r="AJ65" s="216"/>
      <c r="AK65" s="239"/>
      <c r="AL65" s="216"/>
      <c r="AM65" s="216"/>
      <c r="AN65" s="216"/>
      <c r="AO65" s="216"/>
      <c r="AP65" s="216"/>
      <c r="AQ65" s="216"/>
      <c r="AR65" s="216"/>
      <c r="AS65" s="216"/>
      <c r="AT65" s="216"/>
      <c r="AU65" s="216"/>
      <c r="AV65" s="217"/>
      <c r="AW65" s="355"/>
      <c r="AX65" s="217"/>
      <c r="AY65" s="1559"/>
      <c r="AZ65" s="249"/>
      <c r="BA65" s="221"/>
      <c r="BB65" s="300"/>
      <c r="BC65" s="217"/>
      <c r="BD65" s="392"/>
      <c r="BE65" s="1244"/>
      <c r="BF65" s="249"/>
      <c r="BG65" s="252"/>
      <c r="BH65" s="1469"/>
      <c r="BI65" s="216"/>
      <c r="BJ65" s="1469"/>
      <c r="BK65" s="1459"/>
      <c r="BL65" s="260"/>
      <c r="BM65" s="214"/>
      <c r="BN65" s="293"/>
      <c r="BO65" s="217"/>
      <c r="BP65" s="355"/>
      <c r="BQ65" s="217"/>
      <c r="BR65" s="1193"/>
      <c r="BS65" s="249"/>
      <c r="BT65" s="216"/>
      <c r="BU65" s="1195"/>
      <c r="BV65" s="249"/>
      <c r="BW65" s="216"/>
      <c r="BX65" s="1195"/>
      <c r="BY65" s="249"/>
      <c r="BZ65" s="216"/>
      <c r="CA65" s="1195"/>
      <c r="CB65" s="249"/>
      <c r="CC65" s="216"/>
      <c r="CD65" s="1195"/>
      <c r="CE65" s="249"/>
      <c r="CF65" s="216"/>
      <c r="CG65" s="1195"/>
      <c r="CH65" s="249"/>
      <c r="CI65" s="216"/>
      <c r="CJ65" s="1195"/>
      <c r="CK65" s="249"/>
      <c r="CL65" s="216"/>
      <c r="CM65" s="1194"/>
      <c r="CN65" s="1524"/>
      <c r="CO65" s="217"/>
      <c r="CP65" s="1193"/>
      <c r="CQ65" s="293"/>
      <c r="CR65" s="217"/>
      <c r="CS65" s="305"/>
      <c r="CT65" s="249"/>
      <c r="CU65" s="216"/>
      <c r="CV65" s="1193"/>
      <c r="CW65" s="249"/>
      <c r="CX65" s="216"/>
      <c r="CY65" s="305"/>
      <c r="CZ65" s="249"/>
      <c r="DA65" s="216"/>
      <c r="DB65" s="307"/>
      <c r="DC65" s="328"/>
      <c r="DD65" s="322"/>
      <c r="DE65" s="305"/>
      <c r="DF65" s="249"/>
      <c r="DG65" s="216"/>
      <c r="DH65" s="305"/>
      <c r="DI65" s="249"/>
      <c r="DJ65" s="216"/>
      <c r="DK65" s="309"/>
      <c r="DL65" s="293"/>
      <c r="DM65" s="326"/>
      <c r="DN65" s="1256"/>
      <c r="DO65" s="214"/>
      <c r="DP65" s="1257"/>
      <c r="DQ65" s="1258"/>
      <c r="DR65" s="305"/>
      <c r="DS65" s="249"/>
      <c r="DT65" s="216"/>
      <c r="DU65" s="2518"/>
      <c r="DV65"/>
      <c r="DW65"/>
      <c r="DX65" s="305"/>
      <c r="DY65" s="249"/>
      <c r="DZ65" s="221"/>
      <c r="EA65" s="388"/>
      <c r="EB65" s="249"/>
      <c r="EC65" s="216"/>
      <c r="ED65" s="1461"/>
      <c r="EE65" s="249"/>
      <c r="EF65" s="216"/>
      <c r="EG65" s="355"/>
      <c r="EH65" s="1425"/>
      <c r="EI65" s="1470"/>
      <c r="EJ65" s="249"/>
      <c r="EK65" s="221"/>
      <c r="EL65" s="313"/>
      <c r="EM65" s="249"/>
      <c r="EN65" s="221"/>
      <c r="EO65" s="313"/>
      <c r="EP65" s="249"/>
      <c r="EQ65" s="216"/>
      <c r="ER65" s="313"/>
      <c r="ES65" s="249"/>
      <c r="ET65" s="216"/>
      <c r="EU65" s="313"/>
      <c r="EV65" s="249"/>
      <c r="EW65" s="216"/>
      <c r="EX65" s="2505"/>
      <c r="EY65" s="249"/>
      <c r="EZ65" s="221"/>
      <c r="FA65" s="313"/>
      <c r="FB65" s="249"/>
      <c r="FC65" s="221"/>
      <c r="FD65" s="313"/>
      <c r="FE65" s="249"/>
      <c r="FF65" s="221"/>
      <c r="FG65" s="313"/>
      <c r="FH65" s="249"/>
      <c r="FI65" s="216"/>
      <c r="FJ65" s="1435"/>
      <c r="FK65" s="216"/>
      <c r="FL65" s="1268"/>
      <c r="FM65" s="1655"/>
      <c r="FN65" s="1268"/>
      <c r="FO65" s="1655"/>
      <c r="FP65" s="1268"/>
      <c r="FQ65" s="1656"/>
      <c r="FR65" s="249"/>
      <c r="FS65" s="216"/>
      <c r="FT65" s="1657"/>
      <c r="FU65" s="1658"/>
      <c r="FV65" s="242"/>
      <c r="FW65" s="2522"/>
      <c r="FX65" s="2523"/>
      <c r="FY65" s="336"/>
      <c r="FZ65" s="223"/>
      <c r="GA65" s="338"/>
      <c r="GB65" s="204"/>
      <c r="GC65" s="339"/>
      <c r="GD65" s="342"/>
      <c r="GE65" s="199"/>
      <c r="GF65" s="199"/>
      <c r="GG65" s="199"/>
      <c r="GH65" s="199"/>
      <c r="GI65" s="199"/>
      <c r="GJ65" s="199"/>
      <c r="GK65" s="199"/>
      <c r="GL65" s="49"/>
      <c r="GM65" s="28"/>
      <c r="GN65" s="28"/>
      <c r="GO65" s="322"/>
      <c r="GP65" s="1190"/>
      <c r="GQ65" s="1190"/>
      <c r="GR65" s="49"/>
      <c r="GS65" s="2879"/>
      <c r="GT65" s="2880"/>
      <c r="GU65" s="2881"/>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49"/>
      <c r="IG65" s="49"/>
      <c r="IH65" s="49"/>
      <c r="II65" s="49"/>
      <c r="IJ65" s="49"/>
      <c r="IK65" s="49"/>
      <c r="IL65" s="49"/>
      <c r="IM65" s="49"/>
      <c r="IN65" s="49"/>
      <c r="IO65" s="49"/>
      <c r="IP65" s="49"/>
      <c r="IQ65" s="49"/>
      <c r="IR65" s="49"/>
      <c r="IS65" s="49"/>
      <c r="IT65" s="49"/>
      <c r="IU65" s="49"/>
      <c r="IV65" s="49"/>
    </row>
    <row r="66" spans="1:256" s="198" customFormat="1" ht="12" customHeight="1">
      <c r="A66" s="1252"/>
      <c r="B66" s="200"/>
      <c r="C66" s="486"/>
      <c r="D66" s="203"/>
      <c r="E66" s="203"/>
      <c r="F66" s="203"/>
      <c r="G66" s="203"/>
      <c r="H66" s="175"/>
      <c r="I66" s="1265"/>
      <c r="J66" s="1265"/>
      <c r="K66" s="175"/>
      <c r="L66" s="1265"/>
      <c r="M66" s="1265"/>
      <c r="N66" s="1265"/>
      <c r="O66" s="1265"/>
      <c r="P66" s="1265"/>
      <c r="Q66" s="999"/>
      <c r="R66" s="999"/>
      <c r="S66" s="999"/>
      <c r="T66" s="2801"/>
      <c r="U66" s="233"/>
      <c r="V66" s="49"/>
      <c r="W66" s="218"/>
      <c r="X66" s="218"/>
      <c r="Y66" s="216"/>
      <c r="Z66" s="216"/>
      <c r="AA66" s="215"/>
      <c r="AB66" s="216"/>
      <c r="AC66" s="216"/>
      <c r="AD66" s="239"/>
      <c r="AE66" s="216"/>
      <c r="AF66" s="216"/>
      <c r="AG66" s="216"/>
      <c r="AH66" s="216"/>
      <c r="AI66" s="216"/>
      <c r="AJ66" s="216"/>
      <c r="AK66" s="239"/>
      <c r="AL66" s="216"/>
      <c r="AM66" s="216"/>
      <c r="AN66" s="216"/>
      <c r="AO66" s="216"/>
      <c r="AP66" s="216"/>
      <c r="AQ66" s="216"/>
      <c r="AR66" s="216"/>
      <c r="AS66" s="216"/>
      <c r="AT66" s="216"/>
      <c r="AU66" s="216"/>
      <c r="AV66" s="217"/>
      <c r="AW66" s="355"/>
      <c r="AX66" s="217"/>
      <c r="AY66" s="1559"/>
      <c r="AZ66" s="249"/>
      <c r="BA66" s="221"/>
      <c r="BB66" s="300"/>
      <c r="BC66" s="217"/>
      <c r="BD66" s="392"/>
      <c r="BE66" s="1244"/>
      <c r="BF66" s="249"/>
      <c r="BG66" s="252"/>
      <c r="BH66" s="1469"/>
      <c r="BI66" s="216"/>
      <c r="BJ66" s="1469"/>
      <c r="BK66" s="1459"/>
      <c r="BL66" s="260"/>
      <c r="BM66" s="214"/>
      <c r="BN66" s="293"/>
      <c r="BO66" s="217"/>
      <c r="BP66" s="355"/>
      <c r="BQ66" s="217"/>
      <c r="BR66" s="1193"/>
      <c r="BS66" s="249"/>
      <c r="BT66" s="216"/>
      <c r="BU66" s="1195"/>
      <c r="BV66" s="249"/>
      <c r="BW66" s="216"/>
      <c r="BX66" s="1195"/>
      <c r="BY66" s="249"/>
      <c r="BZ66" s="216"/>
      <c r="CA66" s="1195"/>
      <c r="CB66" s="249"/>
      <c r="CC66" s="216"/>
      <c r="CD66" s="1195"/>
      <c r="CE66" s="249"/>
      <c r="CF66" s="216"/>
      <c r="CG66" s="1195"/>
      <c r="CH66" s="249"/>
      <c r="CI66" s="216"/>
      <c r="CJ66" s="1195"/>
      <c r="CK66" s="249"/>
      <c r="CL66" s="216"/>
      <c r="CM66" s="1194"/>
      <c r="CN66" s="1524"/>
      <c r="CO66" s="217"/>
      <c r="CP66" s="1193"/>
      <c r="CQ66" s="293"/>
      <c r="CR66" s="217"/>
      <c r="CS66" s="305"/>
      <c r="CT66" s="249"/>
      <c r="CU66" s="216"/>
      <c r="CV66" s="1193"/>
      <c r="CW66" s="249"/>
      <c r="CX66" s="216"/>
      <c r="CY66" s="305"/>
      <c r="CZ66" s="249"/>
      <c r="DA66" s="216"/>
      <c r="DB66" s="307"/>
      <c r="DC66" s="328"/>
      <c r="DD66" s="322"/>
      <c r="DE66" s="305"/>
      <c r="DF66" s="249"/>
      <c r="DG66" s="216"/>
      <c r="DH66" s="305"/>
      <c r="DI66" s="249"/>
      <c r="DJ66" s="216"/>
      <c r="DK66" s="309"/>
      <c r="DL66" s="293"/>
      <c r="DM66" s="326"/>
      <c r="DN66" s="1256"/>
      <c r="DO66" s="214"/>
      <c r="DP66" s="1257"/>
      <c r="DQ66" s="1258"/>
      <c r="DR66" s="305"/>
      <c r="DS66" s="249"/>
      <c r="DT66" s="216"/>
      <c r="DU66" s="2518"/>
      <c r="DV66"/>
      <c r="DW66"/>
      <c r="DX66" s="305"/>
      <c r="DY66" s="249"/>
      <c r="DZ66" s="221"/>
      <c r="EA66" s="388"/>
      <c r="EB66" s="249"/>
      <c r="EC66" s="216"/>
      <c r="ED66" s="1461"/>
      <c r="EE66" s="249"/>
      <c r="EF66" s="216"/>
      <c r="EG66" s="355"/>
      <c r="EH66" s="1425"/>
      <c r="EI66" s="1470"/>
      <c r="EJ66" s="249"/>
      <c r="EK66" s="221"/>
      <c r="EL66" s="313"/>
      <c r="EM66" s="249"/>
      <c r="EN66" s="221"/>
      <c r="EO66" s="313"/>
      <c r="EP66" s="249"/>
      <c r="EQ66" s="216"/>
      <c r="ER66" s="313"/>
      <c r="ES66" s="249"/>
      <c r="ET66" s="216"/>
      <c r="EU66" s="313"/>
      <c r="EV66" s="249"/>
      <c r="EW66" s="216"/>
      <c r="EX66" s="2505"/>
      <c r="EY66" s="249"/>
      <c r="EZ66" s="221"/>
      <c r="FA66" s="313"/>
      <c r="FB66" s="249"/>
      <c r="FC66" s="221"/>
      <c r="FD66" s="313"/>
      <c r="FE66" s="249"/>
      <c r="FF66" s="221"/>
      <c r="FG66" s="313"/>
      <c r="FH66" s="249"/>
      <c r="FI66" s="216"/>
      <c r="FJ66" s="1435"/>
      <c r="FK66" s="216"/>
      <c r="FL66" s="1268"/>
      <c r="FM66" s="1655"/>
      <c r="FN66" s="1268"/>
      <c r="FO66" s="1655"/>
      <c r="FP66" s="1268"/>
      <c r="FQ66" s="1656"/>
      <c r="FR66" s="249"/>
      <c r="FS66" s="216"/>
      <c r="FT66" s="1657"/>
      <c r="FU66" s="1658"/>
      <c r="FV66" s="242"/>
      <c r="FW66" s="2522"/>
      <c r="FX66" s="2523"/>
      <c r="FY66" s="336"/>
      <c r="FZ66" s="223"/>
      <c r="GA66" s="338"/>
      <c r="GB66" s="204"/>
      <c r="GC66" s="339"/>
      <c r="GD66" s="342"/>
      <c r="GE66" s="199"/>
      <c r="GF66" s="199"/>
      <c r="GG66" s="199"/>
      <c r="GH66" s="199"/>
      <c r="GI66" s="199"/>
      <c r="GJ66" s="199"/>
      <c r="GK66" s="199"/>
      <c r="GL66" s="49"/>
      <c r="GM66" s="28"/>
      <c r="GN66" s="28"/>
      <c r="GO66" s="322"/>
      <c r="GP66" s="1190"/>
      <c r="GQ66" s="1190"/>
      <c r="GR66" s="49"/>
      <c r="GS66" s="2879"/>
      <c r="GT66" s="2880"/>
      <c r="GU66" s="2881"/>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49"/>
      <c r="IG66" s="49"/>
      <c r="IH66" s="49"/>
      <c r="II66" s="49"/>
      <c r="IJ66" s="49"/>
      <c r="IK66" s="49"/>
      <c r="IL66" s="49"/>
      <c r="IM66" s="49"/>
      <c r="IN66" s="49"/>
      <c r="IO66" s="49"/>
      <c r="IP66" s="49"/>
      <c r="IQ66" s="49"/>
      <c r="IR66" s="49"/>
      <c r="IS66" s="49"/>
      <c r="IT66" s="49"/>
      <c r="IU66" s="49"/>
      <c r="IV66" s="49"/>
    </row>
    <row r="67" spans="1:256" s="198" customFormat="1" ht="12" customHeight="1">
      <c r="A67" s="1252"/>
      <c r="B67" s="200"/>
      <c r="C67" s="486"/>
      <c r="D67" s="203"/>
      <c r="E67" s="203"/>
      <c r="F67" s="203"/>
      <c r="G67" s="203"/>
      <c r="H67" s="175"/>
      <c r="I67" s="1265"/>
      <c r="J67" s="1265"/>
      <c r="K67" s="175"/>
      <c r="L67" s="1265"/>
      <c r="M67" s="1265"/>
      <c r="N67" s="1265"/>
      <c r="O67" s="1265"/>
      <c r="P67" s="1265"/>
      <c r="Q67" s="999"/>
      <c r="R67" s="999"/>
      <c r="S67" s="999"/>
      <c r="T67" s="2801"/>
      <c r="U67" s="233"/>
      <c r="V67" s="49"/>
      <c r="W67" s="218"/>
      <c r="X67" s="218"/>
      <c r="Y67" s="216"/>
      <c r="Z67" s="216"/>
      <c r="AA67" s="215"/>
      <c r="AB67" s="216"/>
      <c r="AC67" s="216"/>
      <c r="AD67" s="239"/>
      <c r="AE67" s="216"/>
      <c r="AF67" s="216"/>
      <c r="AG67" s="216"/>
      <c r="AH67" s="216"/>
      <c r="AI67" s="216"/>
      <c r="AJ67" s="216"/>
      <c r="AK67" s="239"/>
      <c r="AL67" s="216"/>
      <c r="AM67" s="216"/>
      <c r="AN67" s="216"/>
      <c r="AO67" s="216"/>
      <c r="AP67" s="216"/>
      <c r="AQ67" s="216"/>
      <c r="AR67" s="216"/>
      <c r="AS67" s="216"/>
      <c r="AT67" s="216"/>
      <c r="AU67" s="216"/>
      <c r="AV67" s="217"/>
      <c r="AW67" s="355"/>
      <c r="AX67" s="217"/>
      <c r="AY67" s="1559"/>
      <c r="AZ67" s="249"/>
      <c r="BA67" s="221"/>
      <c r="BB67" s="300"/>
      <c r="BC67" s="217"/>
      <c r="BD67" s="392"/>
      <c r="BE67" s="1244"/>
      <c r="BF67" s="249"/>
      <c r="BG67" s="252"/>
      <c r="BH67" s="1469"/>
      <c r="BI67" s="216"/>
      <c r="BJ67" s="1469"/>
      <c r="BK67" s="1459"/>
      <c r="BL67" s="260"/>
      <c r="BM67" s="214"/>
      <c r="BN67" s="293"/>
      <c r="BO67" s="217"/>
      <c r="BP67" s="355"/>
      <c r="BQ67" s="217"/>
      <c r="BR67" s="1193"/>
      <c r="BS67" s="249"/>
      <c r="BT67" s="216"/>
      <c r="BU67" s="1195"/>
      <c r="BV67" s="249"/>
      <c r="BW67" s="216"/>
      <c r="BX67" s="1195"/>
      <c r="BY67" s="249"/>
      <c r="BZ67" s="216"/>
      <c r="CA67" s="1195"/>
      <c r="CB67" s="249"/>
      <c r="CC67" s="216"/>
      <c r="CD67" s="1195"/>
      <c r="CE67" s="249"/>
      <c r="CF67" s="216"/>
      <c r="CG67" s="1195"/>
      <c r="CH67" s="249"/>
      <c r="CI67" s="216"/>
      <c r="CJ67" s="1195"/>
      <c r="CK67" s="249"/>
      <c r="CL67" s="216"/>
      <c r="CM67" s="1194"/>
      <c r="CN67" s="1524"/>
      <c r="CO67" s="217"/>
      <c r="CP67" s="1193"/>
      <c r="CQ67" s="293"/>
      <c r="CR67" s="217"/>
      <c r="CS67" s="305"/>
      <c r="CT67" s="249"/>
      <c r="CU67" s="216"/>
      <c r="CV67" s="1193"/>
      <c r="CW67" s="249"/>
      <c r="CX67" s="216"/>
      <c r="CY67" s="305"/>
      <c r="CZ67" s="249"/>
      <c r="DA67" s="216"/>
      <c r="DB67" s="307"/>
      <c r="DC67" s="328"/>
      <c r="DD67" s="322"/>
      <c r="DE67" s="305"/>
      <c r="DF67" s="249"/>
      <c r="DG67" s="216"/>
      <c r="DH67" s="305"/>
      <c r="DI67" s="249"/>
      <c r="DJ67" s="216"/>
      <c r="DK67" s="309"/>
      <c r="DL67" s="293"/>
      <c r="DM67" s="326"/>
      <c r="DN67" s="1256"/>
      <c r="DO67" s="214"/>
      <c r="DP67" s="1257"/>
      <c r="DQ67" s="1258"/>
      <c r="DR67" s="305"/>
      <c r="DS67" s="249"/>
      <c r="DT67" s="216"/>
      <c r="DU67" s="2518"/>
      <c r="DV67"/>
      <c r="DW67"/>
      <c r="DX67" s="305"/>
      <c r="DY67" s="249"/>
      <c r="DZ67" s="221"/>
      <c r="EA67" s="388"/>
      <c r="EB67" s="249"/>
      <c r="EC67" s="216"/>
      <c r="ED67" s="1461"/>
      <c r="EE67" s="249"/>
      <c r="EF67" s="216"/>
      <c r="EG67" s="355"/>
      <c r="EH67" s="1425"/>
      <c r="EI67" s="1470"/>
      <c r="EJ67" s="249"/>
      <c r="EK67" s="221"/>
      <c r="EL67" s="313"/>
      <c r="EM67" s="249"/>
      <c r="EN67" s="221"/>
      <c r="EO67" s="313"/>
      <c r="EP67" s="249"/>
      <c r="EQ67" s="216"/>
      <c r="ER67" s="313"/>
      <c r="ES67" s="249"/>
      <c r="ET67" s="216"/>
      <c r="EU67" s="313"/>
      <c r="EV67" s="249"/>
      <c r="EW67" s="216"/>
      <c r="EX67" s="2505"/>
      <c r="EY67" s="249"/>
      <c r="EZ67" s="221"/>
      <c r="FA67" s="313"/>
      <c r="FB67" s="249"/>
      <c r="FC67" s="221"/>
      <c r="FD67" s="313"/>
      <c r="FE67" s="249"/>
      <c r="FF67" s="221"/>
      <c r="FG67" s="313"/>
      <c r="FH67" s="249"/>
      <c r="FI67" s="216"/>
      <c r="FJ67" s="1435"/>
      <c r="FK67" s="216"/>
      <c r="FL67" s="1268"/>
      <c r="FM67" s="1655"/>
      <c r="FN67" s="1268"/>
      <c r="FO67" s="1655"/>
      <c r="FP67" s="1268"/>
      <c r="FQ67" s="1656"/>
      <c r="FR67" s="249"/>
      <c r="FS67" s="216"/>
      <c r="FT67" s="1657"/>
      <c r="FU67" s="1658"/>
      <c r="FV67" s="242"/>
      <c r="FW67" s="2522"/>
      <c r="FX67" s="2523"/>
      <c r="FY67" s="336"/>
      <c r="FZ67" s="223"/>
      <c r="GA67" s="338"/>
      <c r="GB67" s="204"/>
      <c r="GC67" s="339"/>
      <c r="GD67" s="342"/>
      <c r="GE67" s="199"/>
      <c r="GF67" s="199"/>
      <c r="GG67" s="199"/>
      <c r="GH67" s="199"/>
      <c r="GI67" s="199"/>
      <c r="GJ67" s="199"/>
      <c r="GK67" s="199"/>
      <c r="GL67" s="49"/>
      <c r="GM67" s="28"/>
      <c r="GN67" s="28"/>
      <c r="GO67" s="322"/>
      <c r="GP67" s="1190"/>
      <c r="GQ67" s="1190"/>
      <c r="GR67" s="49"/>
      <c r="GS67" s="2879"/>
      <c r="GT67" s="2880"/>
      <c r="GU67" s="2881"/>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49"/>
      <c r="IG67" s="49"/>
      <c r="IH67" s="49"/>
      <c r="II67" s="49"/>
      <c r="IJ67" s="49"/>
      <c r="IK67" s="49"/>
      <c r="IL67" s="49"/>
      <c r="IM67" s="49"/>
      <c r="IN67" s="49"/>
      <c r="IO67" s="49"/>
      <c r="IP67" s="49"/>
      <c r="IQ67" s="49"/>
      <c r="IR67" s="49"/>
      <c r="IS67" s="49"/>
      <c r="IT67" s="49"/>
      <c r="IU67" s="49"/>
      <c r="IV67" s="49"/>
    </row>
    <row r="68" spans="1:256" s="198" customFormat="1" ht="12" customHeight="1">
      <c r="A68" s="1252"/>
      <c r="B68" s="200"/>
      <c r="C68" s="486"/>
      <c r="D68" s="203"/>
      <c r="E68" s="203"/>
      <c r="F68" s="203"/>
      <c r="G68" s="203"/>
      <c r="H68" s="175"/>
      <c r="I68" s="1265"/>
      <c r="J68" s="1265"/>
      <c r="K68" s="175"/>
      <c r="L68" s="1265"/>
      <c r="M68" s="1265"/>
      <c r="N68" s="1265"/>
      <c r="O68" s="1265"/>
      <c r="P68" s="1265"/>
      <c r="Q68" s="999"/>
      <c r="R68" s="999"/>
      <c r="S68" s="999"/>
      <c r="T68" s="2801"/>
      <c r="U68" s="233"/>
      <c r="V68" s="49"/>
      <c r="W68" s="218"/>
      <c r="X68" s="218"/>
      <c r="Y68" s="216"/>
      <c r="Z68" s="216"/>
      <c r="AA68" s="215"/>
      <c r="AB68" s="216"/>
      <c r="AC68" s="216"/>
      <c r="AD68" s="239"/>
      <c r="AE68" s="216"/>
      <c r="AF68" s="216"/>
      <c r="AG68" s="216"/>
      <c r="AH68" s="216"/>
      <c r="AI68" s="216"/>
      <c r="AJ68" s="216"/>
      <c r="AK68" s="239"/>
      <c r="AL68" s="216"/>
      <c r="AM68" s="216"/>
      <c r="AN68" s="216"/>
      <c r="AO68" s="216"/>
      <c r="AP68" s="216"/>
      <c r="AQ68" s="216"/>
      <c r="AR68" s="216"/>
      <c r="AS68" s="216"/>
      <c r="AT68" s="216"/>
      <c r="AU68" s="216"/>
      <c r="AV68" s="217"/>
      <c r="AW68" s="355"/>
      <c r="AX68" s="217"/>
      <c r="AY68" s="1559"/>
      <c r="AZ68" s="249"/>
      <c r="BA68" s="221"/>
      <c r="BB68" s="300"/>
      <c r="BC68" s="217"/>
      <c r="BD68" s="392"/>
      <c r="BE68" s="1244"/>
      <c r="BF68" s="249"/>
      <c r="BG68" s="252"/>
      <c r="BH68" s="1469"/>
      <c r="BI68" s="216"/>
      <c r="BJ68" s="1469"/>
      <c r="BK68" s="1459"/>
      <c r="BL68" s="260"/>
      <c r="BM68" s="214"/>
      <c r="BN68" s="293"/>
      <c r="BO68" s="217"/>
      <c r="BP68" s="355"/>
      <c r="BQ68" s="217"/>
      <c r="BR68" s="1193"/>
      <c r="BS68" s="249"/>
      <c r="BT68" s="216"/>
      <c r="BU68" s="1195"/>
      <c r="BV68" s="249"/>
      <c r="BW68" s="216"/>
      <c r="BX68" s="1195"/>
      <c r="BY68" s="249"/>
      <c r="BZ68" s="216"/>
      <c r="CA68" s="1195"/>
      <c r="CB68" s="249"/>
      <c r="CC68" s="216"/>
      <c r="CD68" s="1195"/>
      <c r="CE68" s="249"/>
      <c r="CF68" s="216"/>
      <c r="CG68" s="1195"/>
      <c r="CH68" s="249"/>
      <c r="CI68" s="216"/>
      <c r="CJ68" s="1195"/>
      <c r="CK68" s="249"/>
      <c r="CL68" s="216"/>
      <c r="CM68" s="1194"/>
      <c r="CN68" s="1524"/>
      <c r="CO68" s="217"/>
      <c r="CP68" s="1193"/>
      <c r="CQ68" s="293"/>
      <c r="CR68" s="217"/>
      <c r="CS68" s="305"/>
      <c r="CT68" s="249"/>
      <c r="CU68" s="216"/>
      <c r="CV68" s="1193"/>
      <c r="CW68" s="249"/>
      <c r="CX68" s="216"/>
      <c r="CY68" s="305"/>
      <c r="CZ68" s="249"/>
      <c r="DA68" s="216"/>
      <c r="DB68" s="307"/>
      <c r="DC68" s="328"/>
      <c r="DD68" s="322"/>
      <c r="DE68" s="305"/>
      <c r="DF68" s="249"/>
      <c r="DG68" s="216"/>
      <c r="DH68" s="305"/>
      <c r="DI68" s="249"/>
      <c r="DJ68" s="216"/>
      <c r="DK68" s="309"/>
      <c r="DL68" s="293"/>
      <c r="DM68" s="326"/>
      <c r="DN68" s="1256"/>
      <c r="DO68" s="214"/>
      <c r="DP68" s="1257"/>
      <c r="DQ68" s="1258"/>
      <c r="DR68" s="305"/>
      <c r="DS68" s="249"/>
      <c r="DT68" s="216"/>
      <c r="DU68" s="2518"/>
      <c r="DV68"/>
      <c r="DW68"/>
      <c r="DX68" s="305"/>
      <c r="DY68" s="249"/>
      <c r="DZ68" s="221"/>
      <c r="EA68" s="388"/>
      <c r="EB68" s="249"/>
      <c r="EC68" s="216"/>
      <c r="ED68" s="1461"/>
      <c r="EE68" s="249"/>
      <c r="EF68" s="216"/>
      <c r="EG68" s="355"/>
      <c r="EH68" s="1425"/>
      <c r="EI68" s="1470"/>
      <c r="EJ68" s="249"/>
      <c r="EK68" s="221"/>
      <c r="EL68" s="313"/>
      <c r="EM68" s="249"/>
      <c r="EN68" s="221"/>
      <c r="EO68" s="313"/>
      <c r="EP68" s="249"/>
      <c r="EQ68" s="216"/>
      <c r="ER68" s="313"/>
      <c r="ES68" s="249"/>
      <c r="ET68" s="216"/>
      <c r="EU68" s="313"/>
      <c r="EV68" s="249"/>
      <c r="EW68" s="216"/>
      <c r="EX68" s="2505"/>
      <c r="EY68" s="249"/>
      <c r="EZ68" s="221"/>
      <c r="FA68" s="313"/>
      <c r="FB68" s="249"/>
      <c r="FC68" s="221"/>
      <c r="FD68" s="313"/>
      <c r="FE68" s="249"/>
      <c r="FF68" s="221"/>
      <c r="FG68" s="313"/>
      <c r="FH68" s="249"/>
      <c r="FI68" s="216"/>
      <c r="FJ68" s="1435"/>
      <c r="FK68" s="216"/>
      <c r="FL68" s="1268"/>
      <c r="FM68" s="1655"/>
      <c r="FN68" s="1268"/>
      <c r="FO68" s="1655"/>
      <c r="FP68" s="1268"/>
      <c r="FQ68" s="1656"/>
      <c r="FR68" s="249"/>
      <c r="FS68" s="216"/>
      <c r="FT68" s="1657"/>
      <c r="FU68" s="1658"/>
      <c r="FV68" s="242"/>
      <c r="FW68" s="2522"/>
      <c r="FX68" s="2523"/>
      <c r="FY68" s="336"/>
      <c r="FZ68" s="223"/>
      <c r="GA68" s="338"/>
      <c r="GB68" s="204"/>
      <c r="GC68" s="339"/>
      <c r="GD68" s="342"/>
      <c r="GE68" s="199"/>
      <c r="GF68" s="199"/>
      <c r="GG68" s="199"/>
      <c r="GH68" s="199"/>
      <c r="GI68" s="199"/>
      <c r="GJ68" s="199"/>
      <c r="GK68" s="199"/>
      <c r="GL68" s="49"/>
      <c r="GM68" s="28"/>
      <c r="GN68" s="28"/>
      <c r="GO68" s="322"/>
      <c r="GP68" s="1190"/>
      <c r="GQ68" s="1190"/>
      <c r="GR68" s="49"/>
      <c r="GS68" s="2879"/>
      <c r="GT68" s="2880"/>
      <c r="GU68" s="2881"/>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49"/>
      <c r="IG68" s="49"/>
      <c r="IH68" s="49"/>
      <c r="II68" s="49"/>
      <c r="IJ68" s="49"/>
      <c r="IK68" s="49"/>
      <c r="IL68" s="49"/>
      <c r="IM68" s="49"/>
      <c r="IN68" s="49"/>
      <c r="IO68" s="49"/>
      <c r="IP68" s="49"/>
      <c r="IQ68" s="49"/>
      <c r="IR68" s="49"/>
      <c r="IS68" s="49"/>
      <c r="IT68" s="49"/>
      <c r="IU68" s="49"/>
      <c r="IV68" s="49"/>
    </row>
    <row r="69" spans="1:256" s="198" customFormat="1" ht="12" customHeight="1">
      <c r="A69" s="1252"/>
      <c r="B69" s="200"/>
      <c r="C69" s="486"/>
      <c r="D69" s="203"/>
      <c r="E69" s="203"/>
      <c r="F69" s="203"/>
      <c r="G69" s="203"/>
      <c r="H69" s="175"/>
      <c r="I69" s="1265"/>
      <c r="J69" s="1265"/>
      <c r="K69" s="175"/>
      <c r="L69" s="1265"/>
      <c r="M69" s="1265"/>
      <c r="N69" s="1265"/>
      <c r="O69" s="1265"/>
      <c r="P69" s="1265"/>
      <c r="Q69" s="999"/>
      <c r="R69" s="999"/>
      <c r="S69" s="999"/>
      <c r="T69" s="2801"/>
      <c r="U69" s="233"/>
      <c r="V69" s="49"/>
      <c r="W69" s="218"/>
      <c r="X69" s="218"/>
      <c r="Y69" s="216"/>
      <c r="Z69" s="216"/>
      <c r="AA69" s="215"/>
      <c r="AB69" s="216"/>
      <c r="AC69" s="216"/>
      <c r="AD69" s="239"/>
      <c r="AE69" s="216"/>
      <c r="AF69" s="216"/>
      <c r="AG69" s="216"/>
      <c r="AH69" s="216"/>
      <c r="AI69" s="216"/>
      <c r="AJ69" s="216"/>
      <c r="AK69" s="239"/>
      <c r="AL69" s="216"/>
      <c r="AM69" s="216"/>
      <c r="AN69" s="216"/>
      <c r="AO69" s="216"/>
      <c r="AP69" s="216"/>
      <c r="AQ69" s="216"/>
      <c r="AR69" s="216"/>
      <c r="AS69" s="216"/>
      <c r="AT69" s="216"/>
      <c r="AU69" s="216"/>
      <c r="AV69" s="217"/>
      <c r="AW69" s="355"/>
      <c r="AX69" s="217"/>
      <c r="AY69" s="1559"/>
      <c r="AZ69" s="249"/>
      <c r="BA69" s="221"/>
      <c r="BB69" s="300"/>
      <c r="BC69" s="217"/>
      <c r="BD69" s="392"/>
      <c r="BE69" s="1244"/>
      <c r="BF69" s="249"/>
      <c r="BG69" s="252"/>
      <c r="BH69" s="1469"/>
      <c r="BI69" s="216"/>
      <c r="BJ69" s="1469"/>
      <c r="BK69" s="1459"/>
      <c r="BL69" s="260"/>
      <c r="BM69" s="214"/>
      <c r="BN69" s="293"/>
      <c r="BO69" s="217"/>
      <c r="BP69" s="355"/>
      <c r="BQ69" s="217"/>
      <c r="BR69" s="1193"/>
      <c r="BS69" s="249"/>
      <c r="BT69" s="216"/>
      <c r="BU69" s="1195"/>
      <c r="BV69" s="249"/>
      <c r="BW69" s="216"/>
      <c r="BX69" s="1195"/>
      <c r="BY69" s="249"/>
      <c r="BZ69" s="216"/>
      <c r="CA69" s="1195"/>
      <c r="CB69" s="249"/>
      <c r="CC69" s="216"/>
      <c r="CD69" s="1195"/>
      <c r="CE69" s="249"/>
      <c r="CF69" s="216"/>
      <c r="CG69" s="1195"/>
      <c r="CH69" s="249"/>
      <c r="CI69" s="216"/>
      <c r="CJ69" s="1195"/>
      <c r="CK69" s="249"/>
      <c r="CL69" s="216"/>
      <c r="CM69" s="1194"/>
      <c r="CN69" s="1524"/>
      <c r="CO69" s="217"/>
      <c r="CP69" s="1193"/>
      <c r="CQ69" s="293"/>
      <c r="CR69" s="217"/>
      <c r="CS69" s="305"/>
      <c r="CT69" s="249"/>
      <c r="CU69" s="216"/>
      <c r="CV69" s="1193"/>
      <c r="CW69" s="249"/>
      <c r="CX69" s="216"/>
      <c r="CY69" s="305"/>
      <c r="CZ69" s="249"/>
      <c r="DA69" s="216"/>
      <c r="DB69" s="307"/>
      <c r="DC69" s="328"/>
      <c r="DD69" s="322"/>
      <c r="DE69" s="305"/>
      <c r="DF69" s="249"/>
      <c r="DG69" s="216"/>
      <c r="DH69" s="305"/>
      <c r="DI69" s="249"/>
      <c r="DJ69" s="216"/>
      <c r="DK69" s="309"/>
      <c r="DL69" s="293"/>
      <c r="DM69" s="326"/>
      <c r="DN69" s="1256"/>
      <c r="DO69" s="214"/>
      <c r="DP69" s="1257"/>
      <c r="DQ69" s="1258"/>
      <c r="DR69" s="305"/>
      <c r="DS69" s="249"/>
      <c r="DT69" s="216"/>
      <c r="DU69" s="2518"/>
      <c r="DV69"/>
      <c r="DW69"/>
      <c r="DX69" s="305"/>
      <c r="DY69" s="249"/>
      <c r="DZ69" s="221"/>
      <c r="EA69" s="388"/>
      <c r="EB69" s="249"/>
      <c r="EC69" s="216"/>
      <c r="ED69" s="1461"/>
      <c r="EE69" s="249"/>
      <c r="EF69" s="216"/>
      <c r="EG69" s="355"/>
      <c r="EH69" s="1425"/>
      <c r="EI69" s="1470"/>
      <c r="EJ69" s="249"/>
      <c r="EK69" s="221"/>
      <c r="EL69" s="313"/>
      <c r="EM69" s="249"/>
      <c r="EN69" s="221"/>
      <c r="EO69" s="313"/>
      <c r="EP69" s="249"/>
      <c r="EQ69" s="216"/>
      <c r="ER69" s="313"/>
      <c r="ES69" s="249"/>
      <c r="ET69" s="216"/>
      <c r="EU69" s="313"/>
      <c r="EV69" s="249"/>
      <c r="EW69" s="216"/>
      <c r="EX69" s="2505"/>
      <c r="EY69" s="249"/>
      <c r="EZ69" s="221"/>
      <c r="FA69" s="313"/>
      <c r="FB69" s="249"/>
      <c r="FC69" s="221"/>
      <c r="FD69" s="313"/>
      <c r="FE69" s="249"/>
      <c r="FF69" s="221"/>
      <c r="FG69" s="313"/>
      <c r="FH69" s="249"/>
      <c r="FI69" s="216"/>
      <c r="FJ69" s="1435"/>
      <c r="FK69" s="216"/>
      <c r="FL69" s="1268"/>
      <c r="FM69" s="1655"/>
      <c r="FN69" s="1268"/>
      <c r="FO69" s="1655"/>
      <c r="FP69" s="1268"/>
      <c r="FQ69" s="1656"/>
      <c r="FR69" s="249"/>
      <c r="FS69" s="216"/>
      <c r="FT69" s="1657"/>
      <c r="FU69" s="1658"/>
      <c r="FV69" s="242"/>
      <c r="FW69" s="2522"/>
      <c r="FX69" s="2523"/>
      <c r="FY69" s="336"/>
      <c r="FZ69" s="223"/>
      <c r="GA69" s="338"/>
      <c r="GB69" s="204"/>
      <c r="GC69" s="339"/>
      <c r="GD69" s="342"/>
      <c r="GE69" s="199"/>
      <c r="GF69" s="199"/>
      <c r="GG69" s="199"/>
      <c r="GH69" s="199"/>
      <c r="GI69" s="199"/>
      <c r="GJ69" s="199"/>
      <c r="GK69" s="199"/>
      <c r="GL69" s="49"/>
      <c r="GM69" s="28"/>
      <c r="GN69" s="28"/>
      <c r="GO69" s="322"/>
      <c r="GP69" s="1190"/>
      <c r="GQ69" s="1190"/>
      <c r="GR69" s="49"/>
      <c r="GS69" s="2879"/>
      <c r="GT69" s="2880"/>
      <c r="GU69" s="2881"/>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49"/>
      <c r="IG69" s="49"/>
      <c r="IH69" s="49"/>
      <c r="II69" s="49"/>
      <c r="IJ69" s="49"/>
      <c r="IK69" s="49"/>
      <c r="IL69" s="49"/>
      <c r="IM69" s="49"/>
      <c r="IN69" s="49"/>
      <c r="IO69" s="49"/>
      <c r="IP69" s="49"/>
      <c r="IQ69" s="49"/>
      <c r="IR69" s="49"/>
      <c r="IS69" s="49"/>
      <c r="IT69" s="49"/>
      <c r="IU69" s="49"/>
      <c r="IV69" s="49"/>
    </row>
    <row r="70" spans="1:256" s="198" customFormat="1" ht="12" customHeight="1">
      <c r="A70" s="1252"/>
      <c r="B70" s="200"/>
      <c r="C70" s="486"/>
      <c r="D70" s="203"/>
      <c r="E70" s="203"/>
      <c r="F70" s="203"/>
      <c r="G70" s="203"/>
      <c r="H70" s="175"/>
      <c r="I70" s="1265"/>
      <c r="J70" s="1265"/>
      <c r="K70" s="175"/>
      <c r="L70" s="1265"/>
      <c r="M70" s="1265"/>
      <c r="N70" s="1265"/>
      <c r="O70" s="1265"/>
      <c r="P70" s="1265"/>
      <c r="Q70" s="999"/>
      <c r="R70" s="999"/>
      <c r="S70" s="999"/>
      <c r="T70" s="2801"/>
      <c r="U70" s="233"/>
      <c r="V70" s="49"/>
      <c r="W70" s="218"/>
      <c r="X70" s="218"/>
      <c r="Y70" s="216"/>
      <c r="Z70" s="216"/>
      <c r="AA70" s="215"/>
      <c r="AB70" s="216"/>
      <c r="AC70" s="216"/>
      <c r="AD70" s="239"/>
      <c r="AE70" s="216"/>
      <c r="AF70" s="216"/>
      <c r="AG70" s="216"/>
      <c r="AH70" s="216"/>
      <c r="AI70" s="216"/>
      <c r="AJ70" s="216"/>
      <c r="AK70" s="239"/>
      <c r="AL70" s="216"/>
      <c r="AM70" s="216"/>
      <c r="AN70" s="216"/>
      <c r="AO70" s="216"/>
      <c r="AP70" s="216"/>
      <c r="AQ70" s="216"/>
      <c r="AR70" s="216"/>
      <c r="AS70" s="216"/>
      <c r="AT70" s="216"/>
      <c r="AU70" s="216"/>
      <c r="AV70" s="217"/>
      <c r="AW70" s="355"/>
      <c r="AX70" s="217"/>
      <c r="AY70" s="1559"/>
      <c r="AZ70" s="249"/>
      <c r="BA70" s="221"/>
      <c r="BB70" s="300"/>
      <c r="BC70" s="217"/>
      <c r="BD70" s="392"/>
      <c r="BE70" s="1244"/>
      <c r="BF70" s="249"/>
      <c r="BG70" s="252"/>
      <c r="BH70" s="1469"/>
      <c r="BI70" s="216"/>
      <c r="BJ70" s="1469"/>
      <c r="BK70" s="1459"/>
      <c r="BL70" s="260"/>
      <c r="BM70" s="214"/>
      <c r="BN70" s="293"/>
      <c r="BO70" s="217"/>
      <c r="BP70" s="355"/>
      <c r="BQ70" s="217"/>
      <c r="BR70" s="1193"/>
      <c r="BS70" s="249"/>
      <c r="BT70" s="216"/>
      <c r="BU70" s="1195"/>
      <c r="BV70" s="249"/>
      <c r="BW70" s="216"/>
      <c r="BX70" s="1195"/>
      <c r="BY70" s="249"/>
      <c r="BZ70" s="216"/>
      <c r="CA70" s="1195"/>
      <c r="CB70" s="249"/>
      <c r="CC70" s="216"/>
      <c r="CD70" s="1195"/>
      <c r="CE70" s="249"/>
      <c r="CF70" s="216"/>
      <c r="CG70" s="1195"/>
      <c r="CH70" s="249"/>
      <c r="CI70" s="216"/>
      <c r="CJ70" s="1195"/>
      <c r="CK70" s="249"/>
      <c r="CL70" s="216"/>
      <c r="CM70" s="1194"/>
      <c r="CN70" s="1524"/>
      <c r="CO70" s="217"/>
      <c r="CP70" s="1193"/>
      <c r="CQ70" s="293"/>
      <c r="CR70" s="217"/>
      <c r="CS70" s="305"/>
      <c r="CT70" s="249"/>
      <c r="CU70" s="216"/>
      <c r="CV70" s="1193"/>
      <c r="CW70" s="249"/>
      <c r="CX70" s="216"/>
      <c r="CY70" s="305"/>
      <c r="CZ70" s="249"/>
      <c r="DA70" s="216"/>
      <c r="DB70" s="307"/>
      <c r="DC70" s="328"/>
      <c r="DD70" s="322"/>
      <c r="DE70" s="305"/>
      <c r="DF70" s="249"/>
      <c r="DG70" s="216"/>
      <c r="DH70" s="305"/>
      <c r="DI70" s="249"/>
      <c r="DJ70" s="216"/>
      <c r="DK70" s="309"/>
      <c r="DL70" s="293"/>
      <c r="DM70" s="326"/>
      <c r="DN70" s="1256"/>
      <c r="DO70" s="214"/>
      <c r="DP70" s="1257"/>
      <c r="DQ70" s="1258"/>
      <c r="DR70" s="305"/>
      <c r="DS70" s="249"/>
      <c r="DT70" s="216"/>
      <c r="DU70" s="2518"/>
      <c r="DV70"/>
      <c r="DW70"/>
      <c r="DX70" s="305"/>
      <c r="DY70" s="249"/>
      <c r="DZ70" s="221"/>
      <c r="EA70" s="388"/>
      <c r="EB70" s="249"/>
      <c r="EC70" s="216"/>
      <c r="ED70" s="1461"/>
      <c r="EE70" s="249"/>
      <c r="EF70" s="216"/>
      <c r="EG70" s="355"/>
      <c r="EH70" s="1425"/>
      <c r="EI70" s="1470"/>
      <c r="EJ70" s="249"/>
      <c r="EK70" s="221"/>
      <c r="EL70" s="313"/>
      <c r="EM70" s="249"/>
      <c r="EN70" s="221"/>
      <c r="EO70" s="313"/>
      <c r="EP70" s="249"/>
      <c r="EQ70" s="216"/>
      <c r="ER70" s="313"/>
      <c r="ES70" s="249"/>
      <c r="ET70" s="216"/>
      <c r="EU70" s="313"/>
      <c r="EV70" s="249"/>
      <c r="EW70" s="216"/>
      <c r="EX70" s="2505"/>
      <c r="EY70" s="249"/>
      <c r="EZ70" s="221"/>
      <c r="FA70" s="313"/>
      <c r="FB70" s="249"/>
      <c r="FC70" s="221"/>
      <c r="FD70" s="313"/>
      <c r="FE70" s="249"/>
      <c r="FF70" s="221"/>
      <c r="FG70" s="313"/>
      <c r="FH70" s="249"/>
      <c r="FI70" s="216"/>
      <c r="FJ70" s="1435"/>
      <c r="FK70" s="216"/>
      <c r="FL70" s="1268"/>
      <c r="FM70" s="1655"/>
      <c r="FN70" s="1268"/>
      <c r="FO70" s="1655"/>
      <c r="FP70" s="1268"/>
      <c r="FQ70" s="1656"/>
      <c r="FR70" s="249"/>
      <c r="FS70" s="216"/>
      <c r="FT70" s="1657"/>
      <c r="FU70" s="1658"/>
      <c r="FV70" s="242"/>
      <c r="FW70" s="2522"/>
      <c r="FX70" s="2523"/>
      <c r="FY70" s="336"/>
      <c r="FZ70" s="223"/>
      <c r="GA70" s="338"/>
      <c r="GB70" s="204"/>
      <c r="GC70" s="339"/>
      <c r="GD70" s="342"/>
      <c r="GE70" s="199"/>
      <c r="GF70" s="199"/>
      <c r="GG70" s="199"/>
      <c r="GH70" s="199"/>
      <c r="GI70" s="199"/>
      <c r="GJ70" s="199"/>
      <c r="GK70" s="199"/>
      <c r="GL70" s="49"/>
      <c r="GM70" s="28"/>
      <c r="GN70" s="28"/>
      <c r="GO70" s="322"/>
      <c r="GP70" s="1190"/>
      <c r="GQ70" s="1190"/>
      <c r="GR70" s="49"/>
      <c r="GS70" s="2879"/>
      <c r="GT70" s="2880"/>
      <c r="GU70" s="2881"/>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49"/>
      <c r="IG70" s="49"/>
      <c r="IH70" s="49"/>
      <c r="II70" s="49"/>
      <c r="IJ70" s="49"/>
      <c r="IK70" s="49"/>
      <c r="IL70" s="49"/>
      <c r="IM70" s="49"/>
      <c r="IN70" s="49"/>
      <c r="IO70" s="49"/>
      <c r="IP70" s="49"/>
      <c r="IQ70" s="49"/>
      <c r="IR70" s="49"/>
      <c r="IS70" s="49"/>
      <c r="IT70" s="49"/>
      <c r="IU70" s="49"/>
      <c r="IV70" s="49"/>
    </row>
    <row r="71" spans="1:256" s="198" customFormat="1" ht="12" customHeight="1">
      <c r="A71" s="1252"/>
      <c r="B71" s="200"/>
      <c r="C71" s="486"/>
      <c r="D71" s="203"/>
      <c r="E71" s="203"/>
      <c r="F71" s="203"/>
      <c r="G71" s="203"/>
      <c r="H71" s="175"/>
      <c r="I71" s="1265"/>
      <c r="J71" s="1265"/>
      <c r="K71" s="175"/>
      <c r="L71" s="1265"/>
      <c r="M71" s="1265"/>
      <c r="N71" s="1265"/>
      <c r="O71" s="1265"/>
      <c r="P71" s="1265"/>
      <c r="Q71" s="999"/>
      <c r="R71" s="999"/>
      <c r="S71" s="999"/>
      <c r="T71" s="2801"/>
      <c r="U71" s="233"/>
      <c r="V71" s="49"/>
      <c r="W71" s="218"/>
      <c r="X71" s="218"/>
      <c r="Y71" s="216"/>
      <c r="Z71" s="216"/>
      <c r="AA71" s="215"/>
      <c r="AB71" s="216"/>
      <c r="AC71" s="216"/>
      <c r="AD71" s="239"/>
      <c r="AE71" s="216"/>
      <c r="AF71" s="216"/>
      <c r="AG71" s="216"/>
      <c r="AH71" s="216"/>
      <c r="AI71" s="216"/>
      <c r="AJ71" s="216"/>
      <c r="AK71" s="239"/>
      <c r="AL71" s="216"/>
      <c r="AM71" s="216"/>
      <c r="AN71" s="216"/>
      <c r="AO71" s="216"/>
      <c r="AP71" s="216"/>
      <c r="AQ71" s="216"/>
      <c r="AR71" s="216"/>
      <c r="AS71" s="216"/>
      <c r="AT71" s="216"/>
      <c r="AU71" s="216"/>
      <c r="AV71" s="217"/>
      <c r="AW71" s="355"/>
      <c r="AX71" s="217"/>
      <c r="AY71" s="1559"/>
      <c r="AZ71" s="249"/>
      <c r="BA71" s="221"/>
      <c r="BB71" s="300"/>
      <c r="BC71" s="217"/>
      <c r="BD71" s="392"/>
      <c r="BE71" s="1244"/>
      <c r="BF71" s="249"/>
      <c r="BG71" s="252"/>
      <c r="BH71" s="1469"/>
      <c r="BI71" s="216"/>
      <c r="BJ71" s="1469"/>
      <c r="BK71" s="1459"/>
      <c r="BL71" s="260"/>
      <c r="BM71" s="214"/>
      <c r="BN71" s="293"/>
      <c r="BO71" s="217"/>
      <c r="BP71" s="355"/>
      <c r="BQ71" s="217"/>
      <c r="BR71" s="1193"/>
      <c r="BS71" s="249"/>
      <c r="BT71" s="216"/>
      <c r="BU71" s="1195"/>
      <c r="BV71" s="249"/>
      <c r="BW71" s="216"/>
      <c r="BX71" s="1195"/>
      <c r="BY71" s="249"/>
      <c r="BZ71" s="216"/>
      <c r="CA71" s="1195"/>
      <c r="CB71" s="249"/>
      <c r="CC71" s="216"/>
      <c r="CD71" s="1195"/>
      <c r="CE71" s="249"/>
      <c r="CF71" s="216"/>
      <c r="CG71" s="1195"/>
      <c r="CH71" s="249"/>
      <c r="CI71" s="216"/>
      <c r="CJ71" s="1195"/>
      <c r="CK71" s="249"/>
      <c r="CL71" s="216"/>
      <c r="CM71" s="1194"/>
      <c r="CN71" s="1524"/>
      <c r="CO71" s="217"/>
      <c r="CP71" s="1193"/>
      <c r="CQ71" s="293"/>
      <c r="CR71" s="217"/>
      <c r="CS71" s="305"/>
      <c r="CT71" s="249"/>
      <c r="CU71" s="216"/>
      <c r="CV71" s="1193"/>
      <c r="CW71" s="249"/>
      <c r="CX71" s="216"/>
      <c r="CY71" s="305"/>
      <c r="CZ71" s="249"/>
      <c r="DA71" s="216"/>
      <c r="DB71" s="307"/>
      <c r="DC71" s="328"/>
      <c r="DD71" s="322"/>
      <c r="DE71" s="305"/>
      <c r="DF71" s="249"/>
      <c r="DG71" s="216"/>
      <c r="DH71" s="305"/>
      <c r="DI71" s="249"/>
      <c r="DJ71" s="216"/>
      <c r="DK71" s="309"/>
      <c r="DL71" s="293"/>
      <c r="DM71" s="326"/>
      <c r="DN71" s="1256"/>
      <c r="DO71" s="214"/>
      <c r="DP71" s="1257"/>
      <c r="DQ71" s="1258"/>
      <c r="DR71" s="305"/>
      <c r="DS71" s="249"/>
      <c r="DT71" s="216"/>
      <c r="DU71" s="2518"/>
      <c r="DV71"/>
      <c r="DW71"/>
      <c r="DX71" s="305"/>
      <c r="DY71" s="249"/>
      <c r="DZ71" s="221"/>
      <c r="EA71" s="388"/>
      <c r="EB71" s="249"/>
      <c r="EC71" s="216"/>
      <c r="ED71" s="1461"/>
      <c r="EE71" s="249"/>
      <c r="EF71" s="216"/>
      <c r="EG71" s="355"/>
      <c r="EH71" s="1425"/>
      <c r="EI71" s="1470"/>
      <c r="EJ71" s="249"/>
      <c r="EK71" s="221"/>
      <c r="EL71" s="313"/>
      <c r="EM71" s="249"/>
      <c r="EN71" s="221"/>
      <c r="EO71" s="313"/>
      <c r="EP71" s="249"/>
      <c r="EQ71" s="216"/>
      <c r="ER71" s="313"/>
      <c r="ES71" s="249"/>
      <c r="ET71" s="216"/>
      <c r="EU71" s="313"/>
      <c r="EV71" s="249"/>
      <c r="EW71" s="216"/>
      <c r="EX71" s="2505"/>
      <c r="EY71" s="249"/>
      <c r="EZ71" s="221"/>
      <c r="FA71" s="313"/>
      <c r="FB71" s="249"/>
      <c r="FC71" s="221"/>
      <c r="FD71" s="313"/>
      <c r="FE71" s="249"/>
      <c r="FF71" s="221"/>
      <c r="FG71" s="313"/>
      <c r="FH71" s="249"/>
      <c r="FI71" s="216"/>
      <c r="FJ71" s="1435"/>
      <c r="FK71" s="216"/>
      <c r="FL71" s="1268"/>
      <c r="FM71" s="1655"/>
      <c r="FN71" s="1268"/>
      <c r="FO71" s="1655"/>
      <c r="FP71" s="1268"/>
      <c r="FQ71" s="1656"/>
      <c r="FR71" s="249"/>
      <c r="FS71" s="216"/>
      <c r="FT71" s="1657"/>
      <c r="FU71" s="1658"/>
      <c r="FV71" s="242"/>
      <c r="FW71" s="2522"/>
      <c r="FX71" s="2523"/>
      <c r="FY71" s="336"/>
      <c r="FZ71" s="223"/>
      <c r="GA71" s="338"/>
      <c r="GB71" s="204"/>
      <c r="GC71" s="339"/>
      <c r="GD71" s="342"/>
      <c r="GE71" s="199"/>
      <c r="GF71" s="199"/>
      <c r="GG71" s="199"/>
      <c r="GH71" s="199"/>
      <c r="GI71" s="199"/>
      <c r="GJ71" s="199"/>
      <c r="GK71" s="199"/>
      <c r="GL71" s="49"/>
      <c r="GM71" s="28"/>
      <c r="GN71" s="28"/>
      <c r="GO71" s="322"/>
      <c r="GP71" s="1190"/>
      <c r="GQ71" s="1190"/>
      <c r="GR71" s="49"/>
      <c r="GS71" s="2879"/>
      <c r="GT71" s="2880"/>
      <c r="GU71" s="2881"/>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49"/>
      <c r="IG71" s="49"/>
      <c r="IH71" s="49"/>
      <c r="II71" s="49"/>
      <c r="IJ71" s="49"/>
      <c r="IK71" s="49"/>
      <c r="IL71" s="49"/>
      <c r="IM71" s="49"/>
      <c r="IN71" s="49"/>
      <c r="IO71" s="49"/>
      <c r="IP71" s="49"/>
      <c r="IQ71" s="49"/>
      <c r="IR71" s="49"/>
      <c r="IS71" s="49"/>
      <c r="IT71" s="49"/>
      <c r="IU71" s="49"/>
      <c r="IV71" s="49"/>
    </row>
    <row r="72" spans="1:256" s="198" customFormat="1" ht="12" customHeight="1">
      <c r="A72" s="1252"/>
      <c r="B72" s="200"/>
      <c r="C72" s="486"/>
      <c r="D72" s="203"/>
      <c r="E72" s="203"/>
      <c r="F72" s="203"/>
      <c r="G72" s="203"/>
      <c r="H72" s="175"/>
      <c r="I72" s="1265"/>
      <c r="J72" s="1265"/>
      <c r="K72" s="175"/>
      <c r="L72" s="1265"/>
      <c r="M72" s="1265"/>
      <c r="N72" s="1265"/>
      <c r="O72" s="1265"/>
      <c r="P72" s="1265"/>
      <c r="Q72" s="999"/>
      <c r="R72" s="999"/>
      <c r="S72" s="999"/>
      <c r="T72" s="2801"/>
      <c r="U72" s="233"/>
      <c r="V72" s="49"/>
      <c r="W72" s="218"/>
      <c r="X72" s="218"/>
      <c r="Y72" s="216"/>
      <c r="Z72" s="216"/>
      <c r="AA72" s="215"/>
      <c r="AB72" s="216"/>
      <c r="AC72" s="216"/>
      <c r="AD72" s="239"/>
      <c r="AE72" s="216"/>
      <c r="AF72" s="216"/>
      <c r="AG72" s="216"/>
      <c r="AH72" s="216"/>
      <c r="AI72" s="216"/>
      <c r="AJ72" s="216"/>
      <c r="AK72" s="239"/>
      <c r="AL72" s="216"/>
      <c r="AM72" s="216"/>
      <c r="AN72" s="216"/>
      <c r="AO72" s="216"/>
      <c r="AP72" s="216"/>
      <c r="AQ72" s="216"/>
      <c r="AR72" s="216"/>
      <c r="AS72" s="216"/>
      <c r="AT72" s="216"/>
      <c r="AU72" s="216"/>
      <c r="AV72" s="217"/>
      <c r="AW72" s="355"/>
      <c r="AX72" s="217"/>
      <c r="AY72" s="1559"/>
      <c r="AZ72" s="249"/>
      <c r="BA72" s="221"/>
      <c r="BB72" s="300"/>
      <c r="BC72" s="217"/>
      <c r="BD72" s="392"/>
      <c r="BE72" s="1244"/>
      <c r="BF72" s="249"/>
      <c r="BG72" s="252"/>
      <c r="BH72" s="1469"/>
      <c r="BI72" s="216"/>
      <c r="BJ72" s="1469"/>
      <c r="BK72" s="1459"/>
      <c r="BL72" s="260"/>
      <c r="BM72" s="214"/>
      <c r="BN72" s="293"/>
      <c r="BO72" s="217"/>
      <c r="BP72" s="355"/>
      <c r="BQ72" s="217"/>
      <c r="BR72" s="1193"/>
      <c r="BS72" s="249"/>
      <c r="BT72" s="216"/>
      <c r="BU72" s="1195"/>
      <c r="BV72" s="249"/>
      <c r="BW72" s="216"/>
      <c r="BX72" s="1195"/>
      <c r="BY72" s="249"/>
      <c r="BZ72" s="216"/>
      <c r="CA72" s="1195"/>
      <c r="CB72" s="249"/>
      <c r="CC72" s="216"/>
      <c r="CD72" s="1195"/>
      <c r="CE72" s="249"/>
      <c r="CF72" s="216"/>
      <c r="CG72" s="1195"/>
      <c r="CH72" s="249"/>
      <c r="CI72" s="216"/>
      <c r="CJ72" s="1195"/>
      <c r="CK72" s="249"/>
      <c r="CL72" s="216"/>
      <c r="CM72" s="1194"/>
      <c r="CN72" s="1524"/>
      <c r="CO72" s="217"/>
      <c r="CP72" s="1193"/>
      <c r="CQ72" s="293"/>
      <c r="CR72" s="217"/>
      <c r="CS72" s="305"/>
      <c r="CT72" s="249"/>
      <c r="CU72" s="216"/>
      <c r="CV72" s="1193"/>
      <c r="CW72" s="249"/>
      <c r="CX72" s="216"/>
      <c r="CY72" s="305"/>
      <c r="CZ72" s="249"/>
      <c r="DA72" s="216"/>
      <c r="DB72" s="307"/>
      <c r="DC72" s="328"/>
      <c r="DD72" s="322"/>
      <c r="DE72" s="305"/>
      <c r="DF72" s="249"/>
      <c r="DG72" s="216"/>
      <c r="DH72" s="305"/>
      <c r="DI72" s="249"/>
      <c r="DJ72" s="216"/>
      <c r="DK72" s="309"/>
      <c r="DL72" s="293"/>
      <c r="DM72" s="326"/>
      <c r="DN72" s="1256"/>
      <c r="DO72" s="214"/>
      <c r="DP72" s="1257"/>
      <c r="DQ72" s="1258"/>
      <c r="DR72" s="305"/>
      <c r="DS72" s="249"/>
      <c r="DT72" s="216"/>
      <c r="DU72" s="2518"/>
      <c r="DV72"/>
      <c r="DW72"/>
      <c r="DX72" s="305"/>
      <c r="DY72" s="249"/>
      <c r="DZ72" s="221"/>
      <c r="EA72" s="388"/>
      <c r="EB72" s="249"/>
      <c r="EC72" s="216"/>
      <c r="ED72" s="1461"/>
      <c r="EE72" s="249"/>
      <c r="EF72" s="216"/>
      <c r="EG72" s="355"/>
      <c r="EH72" s="1425"/>
      <c r="EI72" s="1470"/>
      <c r="EJ72" s="249"/>
      <c r="EK72" s="221"/>
      <c r="EL72" s="313"/>
      <c r="EM72" s="249"/>
      <c r="EN72" s="221"/>
      <c r="EO72" s="313"/>
      <c r="EP72" s="249"/>
      <c r="EQ72" s="216"/>
      <c r="ER72" s="313"/>
      <c r="ES72" s="249"/>
      <c r="ET72" s="216"/>
      <c r="EU72" s="313"/>
      <c r="EV72" s="249"/>
      <c r="EW72" s="216"/>
      <c r="EX72" s="2505"/>
      <c r="EY72" s="249"/>
      <c r="EZ72" s="221"/>
      <c r="FA72" s="313"/>
      <c r="FB72" s="249"/>
      <c r="FC72" s="221"/>
      <c r="FD72" s="313"/>
      <c r="FE72" s="249"/>
      <c r="FF72" s="221"/>
      <c r="FG72" s="313"/>
      <c r="FH72" s="249"/>
      <c r="FI72" s="216"/>
      <c r="FJ72" s="1435"/>
      <c r="FK72" s="216"/>
      <c r="FL72" s="1268"/>
      <c r="FM72" s="1655"/>
      <c r="FN72" s="1268"/>
      <c r="FO72" s="1655"/>
      <c r="FP72" s="1268"/>
      <c r="FQ72" s="1656"/>
      <c r="FR72" s="249"/>
      <c r="FS72" s="216"/>
      <c r="FT72" s="1657"/>
      <c r="FU72" s="1658"/>
      <c r="FV72" s="242"/>
      <c r="FW72" s="2522"/>
      <c r="FX72" s="2523"/>
      <c r="FY72" s="336"/>
      <c r="FZ72" s="223"/>
      <c r="GA72" s="338"/>
      <c r="GB72" s="204"/>
      <c r="GC72" s="339"/>
      <c r="GD72" s="342"/>
      <c r="GE72" s="199"/>
      <c r="GF72" s="199"/>
      <c r="GG72" s="199"/>
      <c r="GH72" s="199"/>
      <c r="GI72" s="199"/>
      <c r="GJ72" s="199"/>
      <c r="GK72" s="199"/>
      <c r="GL72" s="49"/>
      <c r="GM72" s="28"/>
      <c r="GN72" s="28"/>
      <c r="GO72" s="322"/>
      <c r="GP72" s="1190"/>
      <c r="GQ72" s="1190"/>
      <c r="GR72" s="49"/>
      <c r="GS72" s="2879"/>
      <c r="GT72" s="2880"/>
      <c r="GU72" s="2881"/>
      <c r="GV72" s="49"/>
      <c r="GW72" s="49"/>
      <c r="GX72" s="49"/>
      <c r="GY72" s="49"/>
      <c r="GZ72" s="49"/>
      <c r="HA72" s="49"/>
      <c r="HB72" s="49"/>
      <c r="HC72" s="49"/>
      <c r="HD72" s="49"/>
      <c r="HE72" s="49"/>
      <c r="HF72" s="49"/>
      <c r="HG72" s="49"/>
      <c r="HH72" s="49"/>
      <c r="HI72" s="49"/>
      <c r="HJ72" s="49"/>
      <c r="HK72" s="49"/>
      <c r="HL72" s="49"/>
      <c r="HM72" s="49"/>
      <c r="HN72" s="49"/>
      <c r="HO72" s="49"/>
      <c r="HP72" s="49"/>
      <c r="HQ72" s="49"/>
      <c r="HR72" s="49"/>
      <c r="HS72" s="49"/>
      <c r="HT72" s="49"/>
      <c r="HU72" s="49"/>
      <c r="HV72" s="49"/>
      <c r="HW72" s="49"/>
      <c r="HX72" s="49"/>
      <c r="HY72" s="49"/>
      <c r="HZ72" s="49"/>
      <c r="IA72" s="49"/>
      <c r="IB72" s="49"/>
      <c r="IC72" s="49"/>
      <c r="ID72" s="49"/>
      <c r="IE72" s="49"/>
      <c r="IF72" s="49"/>
      <c r="IG72" s="49"/>
      <c r="IH72" s="49"/>
      <c r="II72" s="49"/>
      <c r="IJ72" s="49"/>
      <c r="IK72" s="49"/>
      <c r="IL72" s="49"/>
      <c r="IM72" s="49"/>
      <c r="IN72" s="49"/>
      <c r="IO72" s="49"/>
      <c r="IP72" s="49"/>
      <c r="IQ72" s="49"/>
      <c r="IR72" s="49"/>
      <c r="IS72" s="49"/>
      <c r="IT72" s="49"/>
      <c r="IU72" s="49"/>
      <c r="IV72" s="49"/>
    </row>
    <row r="73" spans="1:256" s="198" customFormat="1" ht="12" customHeight="1">
      <c r="A73" s="1252"/>
      <c r="B73" s="200"/>
      <c r="C73" s="486"/>
      <c r="D73" s="203"/>
      <c r="E73" s="203"/>
      <c r="F73" s="203"/>
      <c r="G73" s="203"/>
      <c r="H73" s="175"/>
      <c r="I73" s="1265"/>
      <c r="J73" s="1265"/>
      <c r="K73" s="175"/>
      <c r="L73" s="1265"/>
      <c r="M73" s="1265"/>
      <c r="N73" s="1265"/>
      <c r="O73" s="1265"/>
      <c r="P73" s="1265"/>
      <c r="Q73" s="999"/>
      <c r="R73" s="999"/>
      <c r="S73" s="999"/>
      <c r="T73" s="2801"/>
      <c r="U73" s="233"/>
      <c r="V73" s="49"/>
      <c r="W73" s="218"/>
      <c r="X73" s="218"/>
      <c r="Y73" s="216"/>
      <c r="Z73" s="216"/>
      <c r="AA73" s="215"/>
      <c r="AB73" s="216"/>
      <c r="AC73" s="216"/>
      <c r="AD73" s="239"/>
      <c r="AE73" s="216"/>
      <c r="AF73" s="216"/>
      <c r="AG73" s="216"/>
      <c r="AH73" s="216"/>
      <c r="AI73" s="216"/>
      <c r="AJ73" s="216"/>
      <c r="AK73" s="239"/>
      <c r="AL73" s="216"/>
      <c r="AM73" s="216"/>
      <c r="AN73" s="216"/>
      <c r="AO73" s="216"/>
      <c r="AP73" s="216"/>
      <c r="AQ73" s="216"/>
      <c r="AR73" s="216"/>
      <c r="AS73" s="216"/>
      <c r="AT73" s="216"/>
      <c r="AU73" s="216"/>
      <c r="AV73" s="217"/>
      <c r="AW73" s="355"/>
      <c r="AX73" s="217"/>
      <c r="AY73" s="1559"/>
      <c r="AZ73" s="249"/>
      <c r="BA73" s="221"/>
      <c r="BB73" s="300"/>
      <c r="BC73" s="217"/>
      <c r="BD73" s="392"/>
      <c r="BE73" s="1244"/>
      <c r="BF73" s="249"/>
      <c r="BG73" s="252"/>
      <c r="BH73" s="1469"/>
      <c r="BI73" s="216"/>
      <c r="BJ73" s="1469"/>
      <c r="BK73" s="1459"/>
      <c r="BL73" s="260"/>
      <c r="BM73" s="214"/>
      <c r="BN73" s="293"/>
      <c r="BO73" s="217"/>
      <c r="BP73" s="355"/>
      <c r="BQ73" s="217"/>
      <c r="BR73" s="1193"/>
      <c r="BS73" s="249"/>
      <c r="BT73" s="216"/>
      <c r="BU73" s="1195"/>
      <c r="BV73" s="249"/>
      <c r="BW73" s="216"/>
      <c r="BX73" s="1195"/>
      <c r="BY73" s="249"/>
      <c r="BZ73" s="216"/>
      <c r="CA73" s="1195"/>
      <c r="CB73" s="249"/>
      <c r="CC73" s="216"/>
      <c r="CD73" s="1195"/>
      <c r="CE73" s="249"/>
      <c r="CF73" s="216"/>
      <c r="CG73" s="1195"/>
      <c r="CH73" s="249"/>
      <c r="CI73" s="216"/>
      <c r="CJ73" s="1195"/>
      <c r="CK73" s="249"/>
      <c r="CL73" s="216"/>
      <c r="CM73" s="1194"/>
      <c r="CN73" s="1524"/>
      <c r="CO73" s="217"/>
      <c r="CP73" s="1193"/>
      <c r="CQ73" s="293"/>
      <c r="CR73" s="217"/>
      <c r="CS73" s="305"/>
      <c r="CT73" s="249"/>
      <c r="CU73" s="216"/>
      <c r="CV73" s="1193"/>
      <c r="CW73" s="249"/>
      <c r="CX73" s="216"/>
      <c r="CY73" s="305"/>
      <c r="CZ73" s="249"/>
      <c r="DA73" s="216"/>
      <c r="DB73" s="307"/>
      <c r="DC73" s="328"/>
      <c r="DD73" s="322"/>
      <c r="DE73" s="305"/>
      <c r="DF73" s="249"/>
      <c r="DG73" s="216"/>
      <c r="DH73" s="305"/>
      <c r="DI73" s="249"/>
      <c r="DJ73" s="216"/>
      <c r="DK73" s="309"/>
      <c r="DL73" s="293"/>
      <c r="DM73" s="326"/>
      <c r="DN73" s="1256"/>
      <c r="DO73" s="214"/>
      <c r="DP73" s="1257"/>
      <c r="DQ73" s="1258"/>
      <c r="DR73" s="305"/>
      <c r="DS73" s="249"/>
      <c r="DT73" s="216"/>
      <c r="DU73" s="2518"/>
      <c r="DV73"/>
      <c r="DW73"/>
      <c r="DX73" s="305"/>
      <c r="DY73" s="249"/>
      <c r="DZ73" s="221"/>
      <c r="EA73" s="388"/>
      <c r="EB73" s="249"/>
      <c r="EC73" s="216"/>
      <c r="ED73" s="1461"/>
      <c r="EE73" s="249"/>
      <c r="EF73" s="216"/>
      <c r="EG73" s="355"/>
      <c r="EH73" s="1425"/>
      <c r="EI73" s="1470"/>
      <c r="EJ73" s="249"/>
      <c r="EK73" s="221"/>
      <c r="EL73" s="313"/>
      <c r="EM73" s="249"/>
      <c r="EN73" s="221"/>
      <c r="EO73" s="313"/>
      <c r="EP73" s="249"/>
      <c r="EQ73" s="216"/>
      <c r="ER73" s="313"/>
      <c r="ES73" s="249"/>
      <c r="ET73" s="216"/>
      <c r="EU73" s="313"/>
      <c r="EV73" s="249"/>
      <c r="EW73" s="216"/>
      <c r="EX73" s="2505"/>
      <c r="EY73" s="249"/>
      <c r="EZ73" s="221"/>
      <c r="FA73" s="313"/>
      <c r="FB73" s="249"/>
      <c r="FC73" s="221"/>
      <c r="FD73" s="313"/>
      <c r="FE73" s="249"/>
      <c r="FF73" s="221"/>
      <c r="FG73" s="313"/>
      <c r="FH73" s="249"/>
      <c r="FI73" s="216"/>
      <c r="FJ73" s="1435"/>
      <c r="FK73" s="216"/>
      <c r="FL73" s="1268"/>
      <c r="FM73" s="1655"/>
      <c r="FN73" s="1268"/>
      <c r="FO73" s="1655"/>
      <c r="FP73" s="1268"/>
      <c r="FQ73" s="1656"/>
      <c r="FR73" s="249"/>
      <c r="FS73" s="216"/>
      <c r="FT73" s="1657"/>
      <c r="FU73" s="1658"/>
      <c r="FV73" s="242"/>
      <c r="FW73" s="2522"/>
      <c r="FX73" s="2523"/>
      <c r="FY73" s="336"/>
      <c r="FZ73" s="223"/>
      <c r="GA73" s="338"/>
      <c r="GB73" s="204"/>
      <c r="GC73" s="339"/>
      <c r="GD73" s="342"/>
      <c r="GE73" s="199"/>
      <c r="GF73" s="199"/>
      <c r="GG73" s="199"/>
      <c r="GH73" s="199"/>
      <c r="GI73" s="199"/>
      <c r="GJ73" s="199"/>
      <c r="GK73" s="199"/>
      <c r="GL73" s="49"/>
      <c r="GM73" s="28"/>
      <c r="GN73" s="28"/>
      <c r="GO73" s="322"/>
      <c r="GP73" s="1190"/>
      <c r="GQ73" s="1190"/>
      <c r="GR73" s="49"/>
      <c r="GS73" s="2879"/>
      <c r="GT73" s="2880"/>
      <c r="GU73" s="2881"/>
      <c r="GV73" s="49"/>
      <c r="GW73" s="49"/>
      <c r="GX73" s="49"/>
      <c r="GY73" s="49"/>
      <c r="GZ73" s="49"/>
      <c r="HA73" s="49"/>
      <c r="HB73" s="49"/>
      <c r="HC73" s="49"/>
      <c r="HD73" s="49"/>
      <c r="HE73" s="49"/>
      <c r="HF73" s="49"/>
      <c r="HG73" s="49"/>
      <c r="HH73" s="49"/>
      <c r="HI73" s="49"/>
      <c r="HJ73" s="49"/>
      <c r="HK73" s="49"/>
      <c r="HL73" s="49"/>
      <c r="HM73" s="49"/>
      <c r="HN73" s="49"/>
      <c r="HO73" s="49"/>
      <c r="HP73" s="49"/>
      <c r="HQ73" s="49"/>
      <c r="HR73" s="49"/>
      <c r="HS73" s="49"/>
      <c r="HT73" s="49"/>
      <c r="HU73" s="49"/>
      <c r="HV73" s="49"/>
      <c r="HW73" s="49"/>
      <c r="HX73" s="49"/>
      <c r="HY73" s="49"/>
      <c r="HZ73" s="49"/>
      <c r="IA73" s="49"/>
      <c r="IB73" s="49"/>
      <c r="IC73" s="49"/>
      <c r="ID73" s="49"/>
      <c r="IE73" s="49"/>
      <c r="IF73" s="49"/>
      <c r="IG73" s="49"/>
      <c r="IH73" s="49"/>
      <c r="II73" s="49"/>
      <c r="IJ73" s="49"/>
      <c r="IK73" s="49"/>
      <c r="IL73" s="49"/>
      <c r="IM73" s="49"/>
      <c r="IN73" s="49"/>
      <c r="IO73" s="49"/>
      <c r="IP73" s="49"/>
      <c r="IQ73" s="49"/>
      <c r="IR73" s="49"/>
      <c r="IS73" s="49"/>
      <c r="IT73" s="49"/>
      <c r="IU73" s="49"/>
      <c r="IV73" s="49"/>
    </row>
    <row r="74" spans="1:256" s="198" customFormat="1" ht="12" customHeight="1">
      <c r="A74" s="1252"/>
      <c r="B74" s="200"/>
      <c r="C74" s="486"/>
      <c r="D74" s="203"/>
      <c r="E74" s="203"/>
      <c r="F74" s="203"/>
      <c r="G74" s="203"/>
      <c r="H74" s="175"/>
      <c r="I74" s="1265"/>
      <c r="J74" s="1265"/>
      <c r="K74" s="175"/>
      <c r="L74" s="1265"/>
      <c r="M74" s="1265"/>
      <c r="N74" s="1265"/>
      <c r="O74" s="1265"/>
      <c r="P74" s="1265"/>
      <c r="Q74" s="999"/>
      <c r="R74" s="999"/>
      <c r="S74" s="999"/>
      <c r="T74" s="2801"/>
      <c r="U74" s="233"/>
      <c r="V74" s="49"/>
      <c r="W74" s="218"/>
      <c r="X74" s="218"/>
      <c r="Y74" s="216"/>
      <c r="Z74" s="216"/>
      <c r="AA74" s="215"/>
      <c r="AB74" s="216"/>
      <c r="AC74" s="216"/>
      <c r="AD74" s="239"/>
      <c r="AE74" s="216"/>
      <c r="AF74" s="216"/>
      <c r="AG74" s="216"/>
      <c r="AH74" s="216"/>
      <c r="AI74" s="216"/>
      <c r="AJ74" s="216"/>
      <c r="AK74" s="239"/>
      <c r="AL74" s="216"/>
      <c r="AM74" s="216"/>
      <c r="AN74" s="216"/>
      <c r="AO74" s="216"/>
      <c r="AP74" s="216"/>
      <c r="AQ74" s="216"/>
      <c r="AR74" s="216"/>
      <c r="AS74" s="216"/>
      <c r="AT74" s="216"/>
      <c r="AU74" s="216"/>
      <c r="AV74" s="217"/>
      <c r="AW74" s="355"/>
      <c r="AX74" s="217"/>
      <c r="AY74" s="1559"/>
      <c r="AZ74" s="249"/>
      <c r="BA74" s="221"/>
      <c r="BB74" s="300"/>
      <c r="BC74" s="217"/>
      <c r="BD74" s="392"/>
      <c r="BE74" s="1244"/>
      <c r="BF74" s="249"/>
      <c r="BG74" s="252"/>
      <c r="BH74" s="1469"/>
      <c r="BI74" s="216"/>
      <c r="BJ74" s="1469"/>
      <c r="BK74" s="1459"/>
      <c r="BL74" s="260"/>
      <c r="BM74" s="214"/>
      <c r="BN74" s="293"/>
      <c r="BO74" s="217"/>
      <c r="BP74" s="355"/>
      <c r="BQ74" s="217"/>
      <c r="BR74" s="1193"/>
      <c r="BS74" s="249"/>
      <c r="BT74" s="216"/>
      <c r="BU74" s="1195"/>
      <c r="BV74" s="249"/>
      <c r="BW74" s="216"/>
      <c r="BX74" s="1195"/>
      <c r="BY74" s="249"/>
      <c r="BZ74" s="216"/>
      <c r="CA74" s="1195"/>
      <c r="CB74" s="249"/>
      <c r="CC74" s="216"/>
      <c r="CD74" s="1195"/>
      <c r="CE74" s="249"/>
      <c r="CF74" s="216"/>
      <c r="CG74" s="1195"/>
      <c r="CH74" s="249"/>
      <c r="CI74" s="216"/>
      <c r="CJ74" s="1195"/>
      <c r="CK74" s="249"/>
      <c r="CL74" s="216"/>
      <c r="CM74" s="1194"/>
      <c r="CN74" s="1524"/>
      <c r="CO74" s="217"/>
      <c r="CP74" s="1193"/>
      <c r="CQ74" s="293"/>
      <c r="CR74" s="217"/>
      <c r="CS74" s="305"/>
      <c r="CT74" s="249"/>
      <c r="CU74" s="216"/>
      <c r="CV74" s="1193"/>
      <c r="CW74" s="249"/>
      <c r="CX74" s="216"/>
      <c r="CY74" s="305"/>
      <c r="CZ74" s="249"/>
      <c r="DA74" s="216"/>
      <c r="DB74" s="307"/>
      <c r="DC74" s="328"/>
      <c r="DD74" s="322"/>
      <c r="DE74" s="305"/>
      <c r="DF74" s="249"/>
      <c r="DG74" s="216"/>
      <c r="DH74" s="305"/>
      <c r="DI74" s="249"/>
      <c r="DJ74" s="216"/>
      <c r="DK74" s="309"/>
      <c r="DL74" s="293"/>
      <c r="DM74" s="326"/>
      <c r="DN74" s="1256"/>
      <c r="DO74" s="214"/>
      <c r="DP74" s="1257"/>
      <c r="DQ74" s="1258"/>
      <c r="DR74" s="305"/>
      <c r="DS74" s="249"/>
      <c r="DT74" s="216"/>
      <c r="DU74" s="2518"/>
      <c r="DV74"/>
      <c r="DW74"/>
      <c r="DX74" s="305"/>
      <c r="DY74" s="249"/>
      <c r="DZ74" s="221"/>
      <c r="EA74" s="388"/>
      <c r="EB74" s="249"/>
      <c r="EC74" s="216"/>
      <c r="ED74" s="1461"/>
      <c r="EE74" s="249"/>
      <c r="EF74" s="216"/>
      <c r="EG74" s="355"/>
      <c r="EH74" s="1425"/>
      <c r="EI74" s="1470"/>
      <c r="EJ74" s="249"/>
      <c r="EK74" s="221"/>
      <c r="EL74" s="313"/>
      <c r="EM74" s="249"/>
      <c r="EN74" s="221"/>
      <c r="EO74" s="313"/>
      <c r="EP74" s="249"/>
      <c r="EQ74" s="216"/>
      <c r="ER74" s="313"/>
      <c r="ES74" s="249"/>
      <c r="ET74" s="216"/>
      <c r="EU74" s="313"/>
      <c r="EV74" s="249"/>
      <c r="EW74" s="216"/>
      <c r="EX74" s="2505"/>
      <c r="EY74" s="249"/>
      <c r="EZ74" s="221"/>
      <c r="FA74" s="313"/>
      <c r="FB74" s="249"/>
      <c r="FC74" s="221"/>
      <c r="FD74" s="313"/>
      <c r="FE74" s="249"/>
      <c r="FF74" s="221"/>
      <c r="FG74" s="313"/>
      <c r="FH74" s="249"/>
      <c r="FI74" s="216"/>
      <c r="FJ74" s="1435"/>
      <c r="FK74" s="216"/>
      <c r="FL74" s="1268"/>
      <c r="FM74" s="1655"/>
      <c r="FN74" s="1268"/>
      <c r="FO74" s="1655"/>
      <c r="FP74" s="1268"/>
      <c r="FQ74" s="1656"/>
      <c r="FR74" s="249"/>
      <c r="FS74" s="216"/>
      <c r="FT74" s="1657"/>
      <c r="FU74" s="1658"/>
      <c r="FV74" s="242"/>
      <c r="FW74" s="2522"/>
      <c r="FX74" s="2523"/>
      <c r="FY74" s="336"/>
      <c r="FZ74" s="223"/>
      <c r="GA74" s="338"/>
      <c r="GB74" s="204"/>
      <c r="GC74" s="339"/>
      <c r="GD74" s="342"/>
      <c r="GE74" s="199"/>
      <c r="GF74" s="199"/>
      <c r="GG74" s="199"/>
      <c r="GH74" s="199"/>
      <c r="GI74" s="199"/>
      <c r="GJ74" s="199"/>
      <c r="GK74" s="199"/>
      <c r="GL74" s="49"/>
      <c r="GM74" s="28"/>
      <c r="GN74" s="28"/>
      <c r="GO74" s="322"/>
      <c r="GP74" s="1190"/>
      <c r="GQ74" s="1190"/>
      <c r="GR74" s="49"/>
      <c r="GS74" s="2879"/>
      <c r="GT74" s="2880"/>
      <c r="GU74" s="2881"/>
      <c r="GV74" s="49"/>
      <c r="GW74" s="49"/>
      <c r="GX74" s="49"/>
      <c r="GY74" s="49"/>
      <c r="GZ74" s="49"/>
      <c r="HA74" s="49"/>
      <c r="HB74" s="49"/>
      <c r="HC74" s="49"/>
      <c r="HD74" s="49"/>
      <c r="HE74" s="49"/>
      <c r="HF74" s="49"/>
      <c r="HG74" s="49"/>
      <c r="HH74" s="49"/>
      <c r="HI74" s="49"/>
      <c r="HJ74" s="49"/>
      <c r="HK74" s="49"/>
      <c r="HL74" s="49"/>
      <c r="HM74" s="49"/>
      <c r="HN74" s="49"/>
      <c r="HO74" s="49"/>
      <c r="HP74" s="49"/>
      <c r="HQ74" s="49"/>
      <c r="HR74" s="49"/>
      <c r="HS74" s="49"/>
      <c r="HT74" s="49"/>
      <c r="HU74" s="49"/>
      <c r="HV74" s="49"/>
      <c r="HW74" s="49"/>
      <c r="HX74" s="49"/>
      <c r="HY74" s="49"/>
      <c r="HZ74" s="49"/>
      <c r="IA74" s="49"/>
      <c r="IB74" s="49"/>
      <c r="IC74" s="49"/>
      <c r="ID74" s="49"/>
      <c r="IE74" s="49"/>
      <c r="IF74" s="49"/>
      <c r="IG74" s="49"/>
      <c r="IH74" s="49"/>
      <c r="II74" s="49"/>
      <c r="IJ74" s="49"/>
      <c r="IK74" s="49"/>
      <c r="IL74" s="49"/>
      <c r="IM74" s="49"/>
      <c r="IN74" s="49"/>
      <c r="IO74" s="49"/>
      <c r="IP74" s="49"/>
      <c r="IQ74" s="49"/>
      <c r="IR74" s="49"/>
      <c r="IS74" s="49"/>
      <c r="IT74" s="49"/>
      <c r="IU74" s="49"/>
      <c r="IV74" s="49"/>
    </row>
    <row r="75" spans="1:256" s="198" customFormat="1" ht="12" customHeight="1">
      <c r="A75" s="1252"/>
      <c r="B75" s="200"/>
      <c r="C75" s="486"/>
      <c r="D75" s="203"/>
      <c r="E75" s="203"/>
      <c r="F75" s="203"/>
      <c r="G75" s="203"/>
      <c r="H75" s="175"/>
      <c r="I75" s="1265"/>
      <c r="J75" s="1265"/>
      <c r="K75" s="175"/>
      <c r="L75" s="1265"/>
      <c r="M75" s="1265"/>
      <c r="N75" s="1265"/>
      <c r="O75" s="1265"/>
      <c r="P75" s="1265"/>
      <c r="Q75" s="999"/>
      <c r="R75" s="999"/>
      <c r="S75" s="999"/>
      <c r="T75" s="2801"/>
      <c r="U75" s="233"/>
      <c r="V75" s="49"/>
      <c r="W75" s="218"/>
      <c r="X75" s="218"/>
      <c r="Y75" s="216"/>
      <c r="Z75" s="216"/>
      <c r="AA75" s="215"/>
      <c r="AB75" s="216"/>
      <c r="AC75" s="216"/>
      <c r="AD75" s="239"/>
      <c r="AE75" s="216"/>
      <c r="AF75" s="216"/>
      <c r="AG75" s="216"/>
      <c r="AH75" s="216"/>
      <c r="AI75" s="216"/>
      <c r="AJ75" s="216"/>
      <c r="AK75" s="239"/>
      <c r="AL75" s="216"/>
      <c r="AM75" s="216"/>
      <c r="AN75" s="216"/>
      <c r="AO75" s="216"/>
      <c r="AP75" s="216"/>
      <c r="AQ75" s="216"/>
      <c r="AR75" s="216"/>
      <c r="AS75" s="216"/>
      <c r="AT75" s="216"/>
      <c r="AU75" s="216"/>
      <c r="AV75" s="217"/>
      <c r="AW75" s="355"/>
      <c r="AX75" s="217"/>
      <c r="AY75" s="1559"/>
      <c r="AZ75" s="249"/>
      <c r="BA75" s="221"/>
      <c r="BB75" s="300"/>
      <c r="BC75" s="217"/>
      <c r="BD75" s="392"/>
      <c r="BE75" s="1244"/>
      <c r="BF75" s="249"/>
      <c r="BG75" s="252"/>
      <c r="BH75" s="1469"/>
      <c r="BI75" s="216"/>
      <c r="BJ75" s="1469"/>
      <c r="BK75" s="1459"/>
      <c r="BL75" s="260"/>
      <c r="BM75" s="214"/>
      <c r="BN75" s="293"/>
      <c r="BO75" s="217"/>
      <c r="BP75" s="355"/>
      <c r="BQ75" s="217"/>
      <c r="BR75" s="1193"/>
      <c r="BS75" s="249"/>
      <c r="BT75" s="216"/>
      <c r="BU75" s="1195"/>
      <c r="BV75" s="249"/>
      <c r="BW75" s="216"/>
      <c r="BX75" s="1195"/>
      <c r="BY75" s="249"/>
      <c r="BZ75" s="216"/>
      <c r="CA75" s="1195"/>
      <c r="CB75" s="249"/>
      <c r="CC75" s="216"/>
      <c r="CD75" s="1195"/>
      <c r="CE75" s="249"/>
      <c r="CF75" s="216"/>
      <c r="CG75" s="1195"/>
      <c r="CH75" s="249"/>
      <c r="CI75" s="216"/>
      <c r="CJ75" s="1195"/>
      <c r="CK75" s="249"/>
      <c r="CL75" s="216"/>
      <c r="CM75" s="1194"/>
      <c r="CN75" s="1524"/>
      <c r="CO75" s="217"/>
      <c r="CP75" s="1193"/>
      <c r="CQ75" s="293"/>
      <c r="CR75" s="217"/>
      <c r="CS75" s="305"/>
      <c r="CT75" s="249"/>
      <c r="CU75" s="216"/>
      <c r="CV75" s="1193"/>
      <c r="CW75" s="249"/>
      <c r="CX75" s="216"/>
      <c r="CY75" s="305"/>
      <c r="CZ75" s="249"/>
      <c r="DA75" s="216"/>
      <c r="DB75" s="307"/>
      <c r="DC75" s="328"/>
      <c r="DD75" s="322"/>
      <c r="DE75" s="305"/>
      <c r="DF75" s="249"/>
      <c r="DG75" s="216"/>
      <c r="DH75" s="305"/>
      <c r="DI75" s="249"/>
      <c r="DJ75" s="216"/>
      <c r="DK75" s="309"/>
      <c r="DL75" s="293"/>
      <c r="DM75" s="326"/>
      <c r="DN75" s="1256"/>
      <c r="DO75" s="214"/>
      <c r="DP75" s="1257"/>
      <c r="DQ75" s="1258"/>
      <c r="DR75" s="305"/>
      <c r="DS75" s="249"/>
      <c r="DT75" s="216"/>
      <c r="DU75" s="2518"/>
      <c r="DV75"/>
      <c r="DW75"/>
      <c r="DX75" s="305"/>
      <c r="DY75" s="249"/>
      <c r="DZ75" s="221"/>
      <c r="EA75" s="388"/>
      <c r="EB75" s="249"/>
      <c r="EC75" s="216"/>
      <c r="ED75" s="1461"/>
      <c r="EE75" s="249"/>
      <c r="EF75" s="216"/>
      <c r="EG75" s="355"/>
      <c r="EH75" s="1425"/>
      <c r="EI75" s="1470"/>
      <c r="EJ75" s="249"/>
      <c r="EK75" s="221"/>
      <c r="EL75" s="313"/>
      <c r="EM75" s="249"/>
      <c r="EN75" s="221"/>
      <c r="EO75" s="313"/>
      <c r="EP75" s="249"/>
      <c r="EQ75" s="216"/>
      <c r="ER75" s="313"/>
      <c r="ES75" s="249"/>
      <c r="ET75" s="216"/>
      <c r="EU75" s="313"/>
      <c r="EV75" s="249"/>
      <c r="EW75" s="216"/>
      <c r="EX75" s="2505"/>
      <c r="EY75" s="249"/>
      <c r="EZ75" s="221"/>
      <c r="FA75" s="313"/>
      <c r="FB75" s="249"/>
      <c r="FC75" s="221"/>
      <c r="FD75" s="313"/>
      <c r="FE75" s="249"/>
      <c r="FF75" s="221"/>
      <c r="FG75" s="313"/>
      <c r="FH75" s="249"/>
      <c r="FI75" s="216"/>
      <c r="FJ75" s="1435"/>
      <c r="FK75" s="216"/>
      <c r="FL75" s="1268"/>
      <c r="FM75" s="1655"/>
      <c r="FN75" s="1268"/>
      <c r="FO75" s="1655"/>
      <c r="FP75" s="1268"/>
      <c r="FQ75" s="1656"/>
      <c r="FR75" s="249"/>
      <c r="FS75" s="216"/>
      <c r="FT75" s="1657"/>
      <c r="FU75" s="1658"/>
      <c r="FV75" s="242"/>
      <c r="FW75" s="2522"/>
      <c r="FX75" s="2523"/>
      <c r="FY75" s="336"/>
      <c r="FZ75" s="223"/>
      <c r="GA75" s="338"/>
      <c r="GB75" s="204"/>
      <c r="GC75" s="339"/>
      <c r="GD75" s="342"/>
      <c r="GE75" s="199"/>
      <c r="GF75" s="199"/>
      <c r="GG75" s="199"/>
      <c r="GH75" s="199"/>
      <c r="GI75" s="199"/>
      <c r="GJ75" s="199"/>
      <c r="GK75" s="199"/>
      <c r="GL75" s="49"/>
      <c r="GM75" s="28"/>
      <c r="GN75" s="28"/>
      <c r="GO75" s="322"/>
      <c r="GP75" s="1190"/>
      <c r="GQ75" s="1190"/>
      <c r="GR75" s="49"/>
      <c r="GS75" s="2879"/>
      <c r="GT75" s="2880"/>
      <c r="GU75" s="2881"/>
      <c r="GV75" s="49"/>
      <c r="GW75" s="49"/>
      <c r="GX75" s="49"/>
      <c r="GY75" s="49"/>
      <c r="GZ75" s="49"/>
      <c r="HA75" s="49"/>
      <c r="HB75" s="49"/>
      <c r="HC75" s="49"/>
      <c r="HD75" s="49"/>
      <c r="HE75" s="49"/>
      <c r="HF75" s="49"/>
      <c r="HG75" s="49"/>
      <c r="HH75" s="49"/>
      <c r="HI75" s="49"/>
      <c r="HJ75" s="49"/>
      <c r="HK75" s="49"/>
      <c r="HL75" s="49"/>
      <c r="HM75" s="49"/>
      <c r="HN75" s="49"/>
      <c r="HO75" s="49"/>
      <c r="HP75" s="49"/>
      <c r="HQ75" s="49"/>
      <c r="HR75" s="49"/>
      <c r="HS75" s="49"/>
      <c r="HT75" s="49"/>
      <c r="HU75" s="49"/>
      <c r="HV75" s="49"/>
      <c r="HW75" s="49"/>
      <c r="HX75" s="49"/>
      <c r="HY75" s="49"/>
      <c r="HZ75" s="49"/>
      <c r="IA75" s="49"/>
      <c r="IB75" s="49"/>
      <c r="IC75" s="49"/>
      <c r="ID75" s="49"/>
      <c r="IE75" s="49"/>
      <c r="IF75" s="49"/>
      <c r="IG75" s="49"/>
      <c r="IH75" s="49"/>
      <c r="II75" s="49"/>
      <c r="IJ75" s="49"/>
      <c r="IK75" s="49"/>
      <c r="IL75" s="49"/>
      <c r="IM75" s="49"/>
      <c r="IN75" s="49"/>
      <c r="IO75" s="49"/>
      <c r="IP75" s="49"/>
      <c r="IQ75" s="49"/>
      <c r="IR75" s="49"/>
      <c r="IS75" s="49"/>
      <c r="IT75" s="49"/>
      <c r="IU75" s="49"/>
      <c r="IV75" s="49"/>
    </row>
    <row r="76" spans="1:256" s="198" customFormat="1" ht="12" customHeight="1">
      <c r="A76" s="1252"/>
      <c r="B76" s="200"/>
      <c r="C76" s="486"/>
      <c r="D76" s="203"/>
      <c r="E76" s="203"/>
      <c r="F76" s="203"/>
      <c r="G76" s="203"/>
      <c r="H76" s="175"/>
      <c r="I76" s="1265"/>
      <c r="J76" s="1265"/>
      <c r="K76" s="175"/>
      <c r="L76" s="1265"/>
      <c r="M76" s="1265"/>
      <c r="N76" s="1265"/>
      <c r="O76" s="1265"/>
      <c r="P76" s="1265"/>
      <c r="Q76" s="999"/>
      <c r="R76" s="999"/>
      <c r="S76" s="999"/>
      <c r="T76" s="2801"/>
      <c r="U76" s="233"/>
      <c r="V76" s="49"/>
      <c r="W76" s="218"/>
      <c r="X76" s="218"/>
      <c r="Y76" s="216"/>
      <c r="Z76" s="216"/>
      <c r="AA76" s="215"/>
      <c r="AB76" s="216"/>
      <c r="AC76" s="216"/>
      <c r="AD76" s="239"/>
      <c r="AE76" s="216"/>
      <c r="AF76" s="216"/>
      <c r="AG76" s="216"/>
      <c r="AH76" s="216"/>
      <c r="AI76" s="216"/>
      <c r="AJ76" s="216"/>
      <c r="AK76" s="239"/>
      <c r="AL76" s="216"/>
      <c r="AM76" s="216"/>
      <c r="AN76" s="216"/>
      <c r="AO76" s="216"/>
      <c r="AP76" s="216"/>
      <c r="AQ76" s="216"/>
      <c r="AR76" s="216"/>
      <c r="AS76" s="216"/>
      <c r="AT76" s="216"/>
      <c r="AU76" s="216"/>
      <c r="AV76" s="217"/>
      <c r="AW76" s="355"/>
      <c r="AX76" s="217"/>
      <c r="AY76" s="1559"/>
      <c r="AZ76" s="249"/>
      <c r="BA76" s="221"/>
      <c r="BB76" s="300"/>
      <c r="BC76" s="217"/>
      <c r="BD76" s="392"/>
      <c r="BE76" s="1244"/>
      <c r="BF76" s="249"/>
      <c r="BG76" s="252"/>
      <c r="BH76" s="1469"/>
      <c r="BI76" s="216"/>
      <c r="BJ76" s="1469"/>
      <c r="BK76" s="1459"/>
      <c r="BL76" s="260"/>
      <c r="BM76" s="214"/>
      <c r="BN76" s="293"/>
      <c r="BO76" s="217"/>
      <c r="BP76" s="355"/>
      <c r="BQ76" s="217"/>
      <c r="BR76" s="1193"/>
      <c r="BS76" s="249"/>
      <c r="BT76" s="216"/>
      <c r="BU76" s="1195"/>
      <c r="BV76" s="249"/>
      <c r="BW76" s="216"/>
      <c r="BX76" s="1195"/>
      <c r="BY76" s="249"/>
      <c r="BZ76" s="216"/>
      <c r="CA76" s="1195"/>
      <c r="CB76" s="249"/>
      <c r="CC76" s="216"/>
      <c r="CD76" s="1195"/>
      <c r="CE76" s="249"/>
      <c r="CF76" s="216"/>
      <c r="CG76" s="1195"/>
      <c r="CH76" s="249"/>
      <c r="CI76" s="216"/>
      <c r="CJ76" s="1195"/>
      <c r="CK76" s="249"/>
      <c r="CL76" s="216"/>
      <c r="CM76" s="1194"/>
      <c r="CN76" s="1524"/>
      <c r="CO76" s="217"/>
      <c r="CP76" s="1193"/>
      <c r="CQ76" s="293"/>
      <c r="CR76" s="217"/>
      <c r="CS76" s="305"/>
      <c r="CT76" s="249"/>
      <c r="CU76" s="216"/>
      <c r="CV76" s="1193"/>
      <c r="CW76" s="249"/>
      <c r="CX76" s="216"/>
      <c r="CY76" s="305"/>
      <c r="CZ76" s="249"/>
      <c r="DA76" s="216"/>
      <c r="DB76" s="307"/>
      <c r="DC76" s="328"/>
      <c r="DD76" s="322"/>
      <c r="DE76" s="305"/>
      <c r="DF76" s="249"/>
      <c r="DG76" s="216"/>
      <c r="DH76" s="305"/>
      <c r="DI76" s="249"/>
      <c r="DJ76" s="216"/>
      <c r="DK76" s="309"/>
      <c r="DL76" s="293"/>
      <c r="DM76" s="326"/>
      <c r="DN76" s="1256"/>
      <c r="DO76" s="214"/>
      <c r="DP76" s="1257"/>
      <c r="DQ76" s="1258"/>
      <c r="DR76" s="305"/>
      <c r="DS76" s="249"/>
      <c r="DT76" s="216"/>
      <c r="DU76" s="2518"/>
      <c r="DV76"/>
      <c r="DW76"/>
      <c r="DX76" s="305"/>
      <c r="DY76" s="249"/>
      <c r="DZ76" s="221"/>
      <c r="EA76" s="388"/>
      <c r="EB76" s="249"/>
      <c r="EC76" s="216"/>
      <c r="ED76" s="1461"/>
      <c r="EE76" s="249"/>
      <c r="EF76" s="216"/>
      <c r="EG76" s="355"/>
      <c r="EH76" s="1425"/>
      <c r="EI76" s="1470"/>
      <c r="EJ76" s="249"/>
      <c r="EK76" s="221"/>
      <c r="EL76" s="313"/>
      <c r="EM76" s="249"/>
      <c r="EN76" s="221"/>
      <c r="EO76" s="313"/>
      <c r="EP76" s="249"/>
      <c r="EQ76" s="216"/>
      <c r="ER76" s="313"/>
      <c r="ES76" s="249"/>
      <c r="ET76" s="216"/>
      <c r="EU76" s="313"/>
      <c r="EV76" s="249"/>
      <c r="EW76" s="216"/>
      <c r="EX76" s="2505"/>
      <c r="EY76" s="249"/>
      <c r="EZ76" s="221"/>
      <c r="FA76" s="313"/>
      <c r="FB76" s="249"/>
      <c r="FC76" s="221"/>
      <c r="FD76" s="313"/>
      <c r="FE76" s="249"/>
      <c r="FF76" s="221"/>
      <c r="FG76" s="313"/>
      <c r="FH76" s="249"/>
      <c r="FI76" s="216"/>
      <c r="FJ76" s="1435"/>
      <c r="FK76" s="216"/>
      <c r="FL76" s="1268"/>
      <c r="FM76" s="1655"/>
      <c r="FN76" s="1268"/>
      <c r="FO76" s="1655"/>
      <c r="FP76" s="1268"/>
      <c r="FQ76" s="1656"/>
      <c r="FR76" s="249"/>
      <c r="FS76" s="216"/>
      <c r="FT76" s="1657"/>
      <c r="FU76" s="1658"/>
      <c r="FV76" s="242"/>
      <c r="FW76" s="2522"/>
      <c r="FX76" s="2523"/>
      <c r="FY76" s="336"/>
      <c r="FZ76" s="223"/>
      <c r="GA76" s="338"/>
      <c r="GB76" s="204"/>
      <c r="GC76" s="339"/>
      <c r="GD76" s="342"/>
      <c r="GE76" s="199"/>
      <c r="GF76" s="199"/>
      <c r="GG76" s="199"/>
      <c r="GH76" s="199"/>
      <c r="GI76" s="199"/>
      <c r="GJ76" s="199"/>
      <c r="GK76" s="199"/>
      <c r="GL76" s="49"/>
      <c r="GM76" s="28"/>
      <c r="GN76" s="28"/>
      <c r="GO76" s="322"/>
      <c r="GP76" s="1190"/>
      <c r="GQ76" s="1190"/>
      <c r="GR76" s="49"/>
      <c r="GS76" s="2879"/>
      <c r="GT76" s="2880"/>
      <c r="GU76" s="2881"/>
      <c r="GV76" s="49"/>
      <c r="GW76" s="49"/>
      <c r="GX76" s="49"/>
      <c r="GY76" s="49"/>
      <c r="GZ76" s="49"/>
      <c r="HA76" s="49"/>
      <c r="HB76" s="49"/>
      <c r="HC76" s="49"/>
      <c r="HD76" s="49"/>
      <c r="HE76" s="49"/>
      <c r="HF76" s="49"/>
      <c r="HG76" s="49"/>
      <c r="HH76" s="49"/>
      <c r="HI76" s="49"/>
      <c r="HJ76" s="49"/>
      <c r="HK76" s="49"/>
      <c r="HL76" s="49"/>
      <c r="HM76" s="49"/>
      <c r="HN76" s="49"/>
      <c r="HO76" s="49"/>
      <c r="HP76" s="49"/>
      <c r="HQ76" s="49"/>
      <c r="HR76" s="49"/>
      <c r="HS76" s="49"/>
      <c r="HT76" s="49"/>
      <c r="HU76" s="49"/>
      <c r="HV76" s="49"/>
      <c r="HW76" s="49"/>
      <c r="HX76" s="49"/>
      <c r="HY76" s="49"/>
      <c r="HZ76" s="49"/>
      <c r="IA76" s="49"/>
      <c r="IB76" s="49"/>
      <c r="IC76" s="49"/>
      <c r="ID76" s="49"/>
      <c r="IE76" s="49"/>
      <c r="IF76" s="49"/>
      <c r="IG76" s="49"/>
      <c r="IH76" s="49"/>
      <c r="II76" s="49"/>
      <c r="IJ76" s="49"/>
      <c r="IK76" s="49"/>
      <c r="IL76" s="49"/>
      <c r="IM76" s="49"/>
      <c r="IN76" s="49"/>
      <c r="IO76" s="49"/>
      <c r="IP76" s="49"/>
      <c r="IQ76" s="49"/>
      <c r="IR76" s="49"/>
      <c r="IS76" s="49"/>
      <c r="IT76" s="49"/>
      <c r="IU76" s="49"/>
      <c r="IV76" s="49"/>
    </row>
    <row r="77" spans="1:256" s="198" customFormat="1" ht="12" customHeight="1">
      <c r="A77" s="1252"/>
      <c r="B77" s="200"/>
      <c r="C77" s="486"/>
      <c r="D77" s="203"/>
      <c r="E77" s="203"/>
      <c r="F77" s="203"/>
      <c r="G77" s="203"/>
      <c r="H77" s="175"/>
      <c r="I77" s="1265"/>
      <c r="J77" s="1265"/>
      <c r="K77" s="175"/>
      <c r="L77" s="1265"/>
      <c r="M77" s="1265"/>
      <c r="N77" s="1265"/>
      <c r="O77" s="1265"/>
      <c r="P77" s="1265"/>
      <c r="Q77" s="999"/>
      <c r="R77" s="999"/>
      <c r="S77" s="999"/>
      <c r="T77" s="2801"/>
      <c r="U77" s="233"/>
      <c r="V77" s="49"/>
      <c r="W77" s="218"/>
      <c r="X77" s="218"/>
      <c r="Y77" s="216"/>
      <c r="Z77" s="216"/>
      <c r="AA77" s="215"/>
      <c r="AB77" s="216"/>
      <c r="AC77" s="216"/>
      <c r="AD77" s="239"/>
      <c r="AE77" s="216"/>
      <c r="AF77" s="216"/>
      <c r="AG77" s="216"/>
      <c r="AH77" s="216"/>
      <c r="AI77" s="216"/>
      <c r="AJ77" s="216"/>
      <c r="AK77" s="239"/>
      <c r="AL77" s="216"/>
      <c r="AM77" s="216"/>
      <c r="AN77" s="216"/>
      <c r="AO77" s="216"/>
      <c r="AP77" s="216"/>
      <c r="AQ77" s="216"/>
      <c r="AR77" s="216"/>
      <c r="AS77" s="216"/>
      <c r="AT77" s="216"/>
      <c r="AU77" s="216"/>
      <c r="AV77" s="217"/>
      <c r="AW77" s="355"/>
      <c r="AX77" s="217"/>
      <c r="AY77" s="1559"/>
      <c r="AZ77" s="249"/>
      <c r="BA77" s="221"/>
      <c r="BB77" s="300"/>
      <c r="BC77" s="217"/>
      <c r="BD77" s="392"/>
      <c r="BE77" s="1244"/>
      <c r="BF77" s="249"/>
      <c r="BG77" s="252"/>
      <c r="BH77" s="1469"/>
      <c r="BI77" s="216"/>
      <c r="BJ77" s="1469"/>
      <c r="BK77" s="1459"/>
      <c r="BL77" s="260"/>
      <c r="BM77" s="214"/>
      <c r="BN77" s="293"/>
      <c r="BO77" s="217"/>
      <c r="BP77" s="355"/>
      <c r="BQ77" s="217"/>
      <c r="BR77" s="1193"/>
      <c r="BS77" s="249"/>
      <c r="BT77" s="216"/>
      <c r="BU77" s="1195"/>
      <c r="BV77" s="249"/>
      <c r="BW77" s="216"/>
      <c r="BX77" s="1195"/>
      <c r="BY77" s="249"/>
      <c r="BZ77" s="216"/>
      <c r="CA77" s="1195"/>
      <c r="CB77" s="249"/>
      <c r="CC77" s="216"/>
      <c r="CD77" s="1195"/>
      <c r="CE77" s="249"/>
      <c r="CF77" s="216"/>
      <c r="CG77" s="1195"/>
      <c r="CH77" s="249"/>
      <c r="CI77" s="216"/>
      <c r="CJ77" s="1195"/>
      <c r="CK77" s="249"/>
      <c r="CL77" s="216"/>
      <c r="CM77" s="1194"/>
      <c r="CN77" s="1524"/>
      <c r="CO77" s="217"/>
      <c r="CP77" s="1193"/>
      <c r="CQ77" s="293"/>
      <c r="CR77" s="217"/>
      <c r="CS77" s="305"/>
      <c r="CT77" s="249"/>
      <c r="CU77" s="216"/>
      <c r="CV77" s="1193"/>
      <c r="CW77" s="249"/>
      <c r="CX77" s="216"/>
      <c r="CY77" s="305"/>
      <c r="CZ77" s="249"/>
      <c r="DA77" s="216"/>
      <c r="DB77" s="307"/>
      <c r="DC77" s="328"/>
      <c r="DD77" s="322"/>
      <c r="DE77" s="305"/>
      <c r="DF77" s="249"/>
      <c r="DG77" s="216"/>
      <c r="DH77" s="305"/>
      <c r="DI77" s="249"/>
      <c r="DJ77" s="216"/>
      <c r="DK77" s="309"/>
      <c r="DL77" s="293"/>
      <c r="DM77" s="326"/>
      <c r="DN77" s="1256"/>
      <c r="DO77" s="214"/>
      <c r="DP77" s="1257"/>
      <c r="DQ77" s="1258"/>
      <c r="DR77" s="305"/>
      <c r="DS77" s="249"/>
      <c r="DT77" s="216"/>
      <c r="DU77" s="2518"/>
      <c r="DV77"/>
      <c r="DW77"/>
      <c r="DX77" s="305"/>
      <c r="DY77" s="249"/>
      <c r="DZ77" s="221"/>
      <c r="EA77" s="388"/>
      <c r="EB77" s="249"/>
      <c r="EC77" s="216"/>
      <c r="ED77" s="1461"/>
      <c r="EE77" s="249"/>
      <c r="EF77" s="216"/>
      <c r="EG77" s="355"/>
      <c r="EH77" s="1425"/>
      <c r="EI77" s="1470"/>
      <c r="EJ77" s="249"/>
      <c r="EK77" s="221"/>
      <c r="EL77" s="313"/>
      <c r="EM77" s="249"/>
      <c r="EN77" s="221"/>
      <c r="EO77" s="313"/>
      <c r="EP77" s="249"/>
      <c r="EQ77" s="216"/>
      <c r="ER77" s="313"/>
      <c r="ES77" s="249"/>
      <c r="ET77" s="216"/>
      <c r="EU77" s="313"/>
      <c r="EV77" s="249"/>
      <c r="EW77" s="216"/>
      <c r="EX77" s="2505"/>
      <c r="EY77" s="249"/>
      <c r="EZ77" s="221"/>
      <c r="FA77" s="313"/>
      <c r="FB77" s="249"/>
      <c r="FC77" s="221"/>
      <c r="FD77" s="313"/>
      <c r="FE77" s="249"/>
      <c r="FF77" s="221"/>
      <c r="FG77" s="313"/>
      <c r="FH77" s="249"/>
      <c r="FI77" s="216"/>
      <c r="FJ77" s="1435"/>
      <c r="FK77" s="216"/>
      <c r="FL77" s="1268"/>
      <c r="FM77" s="1655"/>
      <c r="FN77" s="1268"/>
      <c r="FO77" s="1655"/>
      <c r="FP77" s="1268"/>
      <c r="FQ77" s="1656"/>
      <c r="FR77" s="249"/>
      <c r="FS77" s="216"/>
      <c r="FT77" s="1657"/>
      <c r="FU77" s="1658"/>
      <c r="FV77" s="242"/>
      <c r="FW77" s="2522"/>
      <c r="FX77" s="2523"/>
      <c r="FY77" s="336"/>
      <c r="FZ77" s="223"/>
      <c r="GA77" s="338"/>
      <c r="GB77" s="204"/>
      <c r="GC77" s="339"/>
      <c r="GD77" s="342"/>
      <c r="GE77" s="199"/>
      <c r="GF77" s="199"/>
      <c r="GG77" s="199"/>
      <c r="GH77" s="199"/>
      <c r="GI77" s="199"/>
      <c r="GJ77" s="199"/>
      <c r="GK77" s="199"/>
      <c r="GL77" s="49"/>
      <c r="GM77" s="28"/>
      <c r="GN77" s="28"/>
      <c r="GO77" s="322"/>
      <c r="GP77" s="1190"/>
      <c r="GQ77" s="1190"/>
      <c r="GR77" s="49"/>
      <c r="GS77" s="2879"/>
      <c r="GT77" s="2880"/>
      <c r="GU77" s="2881"/>
      <c r="GV77" s="49"/>
      <c r="GW77" s="49"/>
      <c r="GX77" s="49"/>
      <c r="GY77" s="49"/>
      <c r="GZ77" s="49"/>
      <c r="HA77" s="49"/>
      <c r="HB77" s="49"/>
      <c r="HC77" s="49"/>
      <c r="HD77" s="49"/>
      <c r="HE77" s="49"/>
      <c r="HF77" s="49"/>
      <c r="HG77" s="49"/>
      <c r="HH77" s="49"/>
      <c r="HI77" s="49"/>
      <c r="HJ77" s="49"/>
      <c r="HK77" s="49"/>
      <c r="HL77" s="49"/>
      <c r="HM77" s="49"/>
      <c r="HN77" s="49"/>
      <c r="HO77" s="49"/>
      <c r="HP77" s="49"/>
      <c r="HQ77" s="49"/>
      <c r="HR77" s="49"/>
      <c r="HS77" s="49"/>
      <c r="HT77" s="49"/>
      <c r="HU77" s="49"/>
      <c r="HV77" s="49"/>
      <c r="HW77" s="49"/>
      <c r="HX77" s="49"/>
      <c r="HY77" s="49"/>
      <c r="HZ77" s="49"/>
      <c r="IA77" s="49"/>
      <c r="IB77" s="49"/>
      <c r="IC77" s="49"/>
      <c r="ID77" s="49"/>
      <c r="IE77" s="49"/>
      <c r="IF77" s="49"/>
      <c r="IG77" s="49"/>
      <c r="IH77" s="49"/>
      <c r="II77" s="49"/>
      <c r="IJ77" s="49"/>
      <c r="IK77" s="49"/>
      <c r="IL77" s="49"/>
      <c r="IM77" s="49"/>
      <c r="IN77" s="49"/>
      <c r="IO77" s="49"/>
      <c r="IP77" s="49"/>
      <c r="IQ77" s="49"/>
      <c r="IR77" s="49"/>
      <c r="IS77" s="49"/>
      <c r="IT77" s="49"/>
      <c r="IU77" s="49"/>
      <c r="IV77" s="49"/>
    </row>
    <row r="78" spans="1:256" s="198" customFormat="1" ht="12" customHeight="1">
      <c r="A78" s="1252"/>
      <c r="B78" s="200"/>
      <c r="C78" s="486"/>
      <c r="D78" s="203"/>
      <c r="E78" s="203"/>
      <c r="F78" s="203"/>
      <c r="G78" s="203"/>
      <c r="H78" s="175"/>
      <c r="I78" s="1265"/>
      <c r="J78" s="1265"/>
      <c r="K78" s="175"/>
      <c r="L78" s="1265"/>
      <c r="M78" s="1265"/>
      <c r="N78" s="1265"/>
      <c r="O78" s="1265"/>
      <c r="P78" s="1265"/>
      <c r="Q78" s="999"/>
      <c r="R78" s="999"/>
      <c r="S78" s="999"/>
      <c r="T78" s="2801"/>
      <c r="U78" s="233"/>
      <c r="V78" s="49"/>
      <c r="W78" s="218"/>
      <c r="X78" s="218"/>
      <c r="Y78" s="216"/>
      <c r="Z78" s="216"/>
      <c r="AA78" s="215"/>
      <c r="AB78" s="216"/>
      <c r="AC78" s="216"/>
      <c r="AD78" s="239"/>
      <c r="AE78" s="216"/>
      <c r="AF78" s="216"/>
      <c r="AG78" s="216"/>
      <c r="AH78" s="216"/>
      <c r="AI78" s="216"/>
      <c r="AJ78" s="216"/>
      <c r="AK78" s="239"/>
      <c r="AL78" s="216"/>
      <c r="AM78" s="216"/>
      <c r="AN78" s="216"/>
      <c r="AO78" s="216"/>
      <c r="AP78" s="216"/>
      <c r="AQ78" s="216"/>
      <c r="AR78" s="216"/>
      <c r="AS78" s="216"/>
      <c r="AT78" s="216"/>
      <c r="AU78" s="216"/>
      <c r="AV78" s="217"/>
      <c r="AW78" s="355"/>
      <c r="AX78" s="217"/>
      <c r="AY78" s="1559"/>
      <c r="AZ78" s="249"/>
      <c r="BA78" s="221"/>
      <c r="BB78" s="300"/>
      <c r="BC78" s="217"/>
      <c r="BD78" s="392"/>
      <c r="BE78" s="1244"/>
      <c r="BF78" s="249"/>
      <c r="BG78" s="252"/>
      <c r="BH78" s="1469"/>
      <c r="BI78" s="216"/>
      <c r="BJ78" s="1469"/>
      <c r="BK78" s="1459"/>
      <c r="BL78" s="260"/>
      <c r="BM78" s="214"/>
      <c r="BN78" s="293"/>
      <c r="BO78" s="217"/>
      <c r="BP78" s="355"/>
      <c r="BQ78" s="217"/>
      <c r="BR78" s="1193"/>
      <c r="BS78" s="249"/>
      <c r="BT78" s="216"/>
      <c r="BU78" s="1195"/>
      <c r="BV78" s="249"/>
      <c r="BW78" s="216"/>
      <c r="BX78" s="1195"/>
      <c r="BY78" s="249"/>
      <c r="BZ78" s="216"/>
      <c r="CA78" s="1195"/>
      <c r="CB78" s="249"/>
      <c r="CC78" s="216"/>
      <c r="CD78" s="1195"/>
      <c r="CE78" s="249"/>
      <c r="CF78" s="216"/>
      <c r="CG78" s="1195"/>
      <c r="CH78" s="249"/>
      <c r="CI78" s="216"/>
      <c r="CJ78" s="1195"/>
      <c r="CK78" s="249"/>
      <c r="CL78" s="216"/>
      <c r="CM78" s="1194"/>
      <c r="CN78" s="1524"/>
      <c r="CO78" s="217"/>
      <c r="CP78" s="1193"/>
      <c r="CQ78" s="293"/>
      <c r="CR78" s="217"/>
      <c r="CS78" s="305"/>
      <c r="CT78" s="249"/>
      <c r="CU78" s="216"/>
      <c r="CV78" s="1193"/>
      <c r="CW78" s="249"/>
      <c r="CX78" s="216"/>
      <c r="CY78" s="305"/>
      <c r="CZ78" s="249"/>
      <c r="DA78" s="216"/>
      <c r="DB78" s="307"/>
      <c r="DC78" s="328"/>
      <c r="DD78" s="322"/>
      <c r="DE78" s="305"/>
      <c r="DF78" s="249"/>
      <c r="DG78" s="216"/>
      <c r="DH78" s="305"/>
      <c r="DI78" s="249"/>
      <c r="DJ78" s="216"/>
      <c r="DK78" s="309"/>
      <c r="DL78" s="293"/>
      <c r="DM78" s="326"/>
      <c r="DN78" s="1256"/>
      <c r="DO78" s="214"/>
      <c r="DP78" s="1257"/>
      <c r="DQ78" s="1258"/>
      <c r="DR78" s="305"/>
      <c r="DS78" s="249"/>
      <c r="DT78" s="216"/>
      <c r="DU78" s="2518"/>
      <c r="DV78"/>
      <c r="DW78"/>
      <c r="DX78" s="305"/>
      <c r="DY78" s="249"/>
      <c r="DZ78" s="221"/>
      <c r="EA78" s="388"/>
      <c r="EB78" s="249"/>
      <c r="EC78" s="216"/>
      <c r="ED78" s="1461"/>
      <c r="EE78" s="249"/>
      <c r="EF78" s="216"/>
      <c r="EG78" s="355"/>
      <c r="EH78" s="1425"/>
      <c r="EI78" s="1470"/>
      <c r="EJ78" s="249"/>
      <c r="EK78" s="221"/>
      <c r="EL78" s="313"/>
      <c r="EM78" s="249"/>
      <c r="EN78" s="221"/>
      <c r="EO78" s="313"/>
      <c r="EP78" s="249"/>
      <c r="EQ78" s="216"/>
      <c r="ER78" s="313"/>
      <c r="ES78" s="249"/>
      <c r="ET78" s="216"/>
      <c r="EU78" s="313"/>
      <c r="EV78" s="249"/>
      <c r="EW78" s="216"/>
      <c r="EX78" s="2505"/>
      <c r="EY78" s="249"/>
      <c r="EZ78" s="221"/>
      <c r="FA78" s="313"/>
      <c r="FB78" s="249"/>
      <c r="FC78" s="221"/>
      <c r="FD78" s="313"/>
      <c r="FE78" s="249"/>
      <c r="FF78" s="221"/>
      <c r="FG78" s="313"/>
      <c r="FH78" s="249"/>
      <c r="FI78" s="216"/>
      <c r="FJ78" s="1435"/>
      <c r="FK78" s="216"/>
      <c r="FL78" s="1268"/>
      <c r="FM78" s="1655"/>
      <c r="FN78" s="1268"/>
      <c r="FO78" s="1655"/>
      <c r="FP78" s="1268"/>
      <c r="FQ78" s="1656"/>
      <c r="FR78" s="249"/>
      <c r="FS78" s="216"/>
      <c r="FT78" s="1657"/>
      <c r="FU78" s="1658"/>
      <c r="FV78" s="242"/>
      <c r="FW78" s="2522"/>
      <c r="FX78" s="2523"/>
      <c r="FY78" s="336"/>
      <c r="FZ78" s="223"/>
      <c r="GA78" s="338"/>
      <c r="GB78" s="204"/>
      <c r="GC78" s="339"/>
      <c r="GD78" s="342"/>
      <c r="GE78" s="199"/>
      <c r="GF78" s="199"/>
      <c r="GG78" s="199"/>
      <c r="GH78" s="199"/>
      <c r="GI78" s="199"/>
      <c r="GJ78" s="199"/>
      <c r="GK78" s="199"/>
      <c r="GL78" s="49"/>
      <c r="GM78" s="28"/>
      <c r="GN78" s="28"/>
      <c r="GO78" s="322"/>
      <c r="GP78" s="1190"/>
      <c r="GQ78" s="1190"/>
      <c r="GR78" s="49"/>
      <c r="GS78" s="2879"/>
      <c r="GT78" s="2880"/>
      <c r="GU78" s="2881"/>
      <c r="GV78" s="49"/>
      <c r="GW78" s="49"/>
      <c r="GX78" s="49"/>
      <c r="GY78" s="49"/>
      <c r="GZ78" s="49"/>
      <c r="HA78" s="49"/>
      <c r="HB78" s="49"/>
      <c r="HC78" s="49"/>
      <c r="HD78" s="49"/>
      <c r="HE78" s="49"/>
      <c r="HF78" s="49"/>
      <c r="HG78" s="49"/>
      <c r="HH78" s="49"/>
      <c r="HI78" s="49"/>
      <c r="HJ78" s="49"/>
      <c r="HK78" s="49"/>
      <c r="HL78" s="49"/>
      <c r="HM78" s="49"/>
      <c r="HN78" s="49"/>
      <c r="HO78" s="49"/>
      <c r="HP78" s="49"/>
      <c r="HQ78" s="49"/>
      <c r="HR78" s="49"/>
      <c r="HS78" s="49"/>
      <c r="HT78" s="49"/>
      <c r="HU78" s="49"/>
      <c r="HV78" s="49"/>
      <c r="HW78" s="49"/>
      <c r="HX78" s="49"/>
      <c r="HY78" s="49"/>
      <c r="HZ78" s="49"/>
      <c r="IA78" s="49"/>
      <c r="IB78" s="49"/>
      <c r="IC78" s="49"/>
      <c r="ID78" s="49"/>
      <c r="IE78" s="49"/>
      <c r="IF78" s="49"/>
      <c r="IG78" s="49"/>
      <c r="IH78" s="49"/>
      <c r="II78" s="49"/>
      <c r="IJ78" s="49"/>
      <c r="IK78" s="49"/>
      <c r="IL78" s="49"/>
      <c r="IM78" s="49"/>
      <c r="IN78" s="49"/>
      <c r="IO78" s="49"/>
      <c r="IP78" s="49"/>
      <c r="IQ78" s="49"/>
      <c r="IR78" s="49"/>
      <c r="IS78" s="49"/>
      <c r="IT78" s="49"/>
      <c r="IU78" s="49"/>
      <c r="IV78" s="49"/>
    </row>
    <row r="79" spans="1:256" s="198" customFormat="1" ht="12" customHeight="1">
      <c r="A79" s="1252"/>
      <c r="B79" s="200"/>
      <c r="C79" s="486"/>
      <c r="D79" s="203"/>
      <c r="E79" s="203"/>
      <c r="F79" s="203"/>
      <c r="G79" s="203"/>
      <c r="H79" s="175"/>
      <c r="I79" s="1265"/>
      <c r="J79" s="1265"/>
      <c r="K79" s="175"/>
      <c r="L79" s="1265"/>
      <c r="M79" s="1265"/>
      <c r="N79" s="1265"/>
      <c r="O79" s="1265"/>
      <c r="P79" s="1265"/>
      <c r="Q79" s="999"/>
      <c r="R79" s="999"/>
      <c r="S79" s="999"/>
      <c r="T79" s="2801"/>
      <c r="U79" s="233"/>
      <c r="V79" s="49"/>
      <c r="W79" s="218"/>
      <c r="X79" s="218"/>
      <c r="Y79" s="216"/>
      <c r="Z79" s="216"/>
      <c r="AA79" s="215"/>
      <c r="AB79" s="216"/>
      <c r="AC79" s="216"/>
      <c r="AD79" s="239"/>
      <c r="AE79" s="216"/>
      <c r="AF79" s="216"/>
      <c r="AG79" s="216"/>
      <c r="AH79" s="216"/>
      <c r="AI79" s="216"/>
      <c r="AJ79" s="216"/>
      <c r="AK79" s="239"/>
      <c r="AL79" s="216"/>
      <c r="AM79" s="216"/>
      <c r="AN79" s="216"/>
      <c r="AO79" s="216"/>
      <c r="AP79" s="216"/>
      <c r="AQ79" s="216"/>
      <c r="AR79" s="216"/>
      <c r="AS79" s="216"/>
      <c r="AT79" s="216"/>
      <c r="AU79" s="216"/>
      <c r="AV79" s="217"/>
      <c r="AW79" s="355"/>
      <c r="AX79" s="217"/>
      <c r="AY79" s="1559"/>
      <c r="AZ79" s="249"/>
      <c r="BA79" s="221"/>
      <c r="BB79" s="300"/>
      <c r="BC79" s="217"/>
      <c r="BD79" s="392"/>
      <c r="BE79" s="1244"/>
      <c r="BF79" s="249"/>
      <c r="BG79" s="252"/>
      <c r="BH79" s="1469"/>
      <c r="BI79" s="216"/>
      <c r="BJ79" s="1469"/>
      <c r="BK79" s="1459"/>
      <c r="BL79" s="260"/>
      <c r="BM79" s="214"/>
      <c r="BN79" s="293"/>
      <c r="BO79" s="217"/>
      <c r="BP79" s="355"/>
      <c r="BQ79" s="217"/>
      <c r="BR79" s="1193"/>
      <c r="BS79" s="249"/>
      <c r="BT79" s="216"/>
      <c r="BU79" s="1195"/>
      <c r="BV79" s="249"/>
      <c r="BW79" s="216"/>
      <c r="BX79" s="1195"/>
      <c r="BY79" s="249"/>
      <c r="BZ79" s="216"/>
      <c r="CA79" s="1195"/>
      <c r="CB79" s="249"/>
      <c r="CC79" s="216"/>
      <c r="CD79" s="1195"/>
      <c r="CE79" s="249"/>
      <c r="CF79" s="216"/>
      <c r="CG79" s="1195"/>
      <c r="CH79" s="249"/>
      <c r="CI79" s="216"/>
      <c r="CJ79" s="1195"/>
      <c r="CK79" s="249"/>
      <c r="CL79" s="216"/>
      <c r="CM79" s="1194"/>
      <c r="CN79" s="1524"/>
      <c r="CO79" s="217"/>
      <c r="CP79" s="1193"/>
      <c r="CQ79" s="293"/>
      <c r="CR79" s="217"/>
      <c r="CS79" s="305"/>
      <c r="CT79" s="249"/>
      <c r="CU79" s="216"/>
      <c r="CV79" s="1193"/>
      <c r="CW79" s="249"/>
      <c r="CX79" s="216"/>
      <c r="CY79" s="305"/>
      <c r="CZ79" s="249"/>
      <c r="DA79" s="216"/>
      <c r="DB79" s="307"/>
      <c r="DC79" s="328"/>
      <c r="DD79" s="322"/>
      <c r="DE79" s="305"/>
      <c r="DF79" s="249"/>
      <c r="DG79" s="216"/>
      <c r="DH79" s="305"/>
      <c r="DI79" s="249"/>
      <c r="DJ79" s="216"/>
      <c r="DK79" s="309"/>
      <c r="DL79" s="293"/>
      <c r="DM79" s="326"/>
      <c r="DN79" s="1256"/>
      <c r="DO79" s="214"/>
      <c r="DP79" s="1257"/>
      <c r="DQ79" s="1258"/>
      <c r="DR79" s="305"/>
      <c r="DS79" s="249"/>
      <c r="DT79" s="216"/>
      <c r="DU79" s="2518"/>
      <c r="DV79"/>
      <c r="DW79"/>
      <c r="DX79" s="305"/>
      <c r="DY79" s="249"/>
      <c r="DZ79" s="221"/>
      <c r="EA79" s="388"/>
      <c r="EB79" s="249"/>
      <c r="EC79" s="216"/>
      <c r="ED79" s="1461"/>
      <c r="EE79" s="249"/>
      <c r="EF79" s="216"/>
      <c r="EG79" s="355"/>
      <c r="EH79" s="1425"/>
      <c r="EI79" s="1470"/>
      <c r="EJ79" s="249"/>
      <c r="EK79" s="221"/>
      <c r="EL79" s="313"/>
      <c r="EM79" s="249"/>
      <c r="EN79" s="221"/>
      <c r="EO79" s="313"/>
      <c r="EP79" s="249"/>
      <c r="EQ79" s="216"/>
      <c r="ER79" s="313"/>
      <c r="ES79" s="249"/>
      <c r="ET79" s="216"/>
      <c r="EU79" s="313"/>
      <c r="EV79" s="249"/>
      <c r="EW79" s="216"/>
      <c r="EX79" s="2505"/>
      <c r="EY79" s="249"/>
      <c r="EZ79" s="221"/>
      <c r="FA79" s="313"/>
      <c r="FB79" s="249"/>
      <c r="FC79" s="221"/>
      <c r="FD79" s="313"/>
      <c r="FE79" s="249"/>
      <c r="FF79" s="221"/>
      <c r="FG79" s="313"/>
      <c r="FH79" s="249"/>
      <c r="FI79" s="216"/>
      <c r="FJ79" s="1435"/>
      <c r="FK79" s="216"/>
      <c r="FL79" s="1268"/>
      <c r="FM79" s="1655"/>
      <c r="FN79" s="1268"/>
      <c r="FO79" s="1655"/>
      <c r="FP79" s="1268"/>
      <c r="FQ79" s="1656"/>
      <c r="FR79" s="249"/>
      <c r="FS79" s="216"/>
      <c r="FT79" s="1657"/>
      <c r="FU79" s="1658"/>
      <c r="FV79" s="242"/>
      <c r="FW79" s="2522"/>
      <c r="FX79" s="2523"/>
      <c r="FY79" s="336"/>
      <c r="FZ79" s="223"/>
      <c r="GA79" s="338"/>
      <c r="GB79" s="204"/>
      <c r="GC79" s="339"/>
      <c r="GD79" s="342"/>
      <c r="GE79" s="199"/>
      <c r="GF79" s="199"/>
      <c r="GG79" s="199"/>
      <c r="GH79" s="199"/>
      <c r="GI79" s="199"/>
      <c r="GJ79" s="199"/>
      <c r="GK79" s="199"/>
      <c r="GL79" s="49"/>
      <c r="GM79" s="28"/>
      <c r="GN79" s="28"/>
      <c r="GO79" s="322"/>
      <c r="GP79" s="1190"/>
      <c r="GQ79" s="1190"/>
      <c r="GR79" s="49"/>
      <c r="GS79" s="2879"/>
      <c r="GT79" s="2880"/>
      <c r="GU79" s="2881"/>
      <c r="GV79" s="49"/>
      <c r="GW79" s="49"/>
      <c r="GX79" s="49"/>
      <c r="GY79" s="49"/>
      <c r="GZ79" s="49"/>
      <c r="HA79" s="49"/>
      <c r="HB79" s="49"/>
      <c r="HC79" s="49"/>
      <c r="HD79" s="49"/>
      <c r="HE79" s="49"/>
      <c r="HF79" s="49"/>
      <c r="HG79" s="49"/>
      <c r="HH79" s="49"/>
      <c r="HI79" s="49"/>
      <c r="HJ79" s="49"/>
      <c r="HK79" s="49"/>
      <c r="HL79" s="49"/>
      <c r="HM79" s="49"/>
      <c r="HN79" s="49"/>
      <c r="HO79" s="49"/>
      <c r="HP79" s="49"/>
      <c r="HQ79" s="49"/>
      <c r="HR79" s="49"/>
      <c r="HS79" s="49"/>
      <c r="HT79" s="49"/>
      <c r="HU79" s="49"/>
      <c r="HV79" s="49"/>
      <c r="HW79" s="49"/>
      <c r="HX79" s="49"/>
      <c r="HY79" s="49"/>
      <c r="HZ79" s="49"/>
      <c r="IA79" s="49"/>
      <c r="IB79" s="49"/>
      <c r="IC79" s="49"/>
      <c r="ID79" s="49"/>
      <c r="IE79" s="49"/>
      <c r="IF79" s="49"/>
      <c r="IG79" s="49"/>
      <c r="IH79" s="49"/>
      <c r="II79" s="49"/>
      <c r="IJ79" s="49"/>
      <c r="IK79" s="49"/>
      <c r="IL79" s="49"/>
      <c r="IM79" s="49"/>
      <c r="IN79" s="49"/>
      <c r="IO79" s="49"/>
      <c r="IP79" s="49"/>
      <c r="IQ79" s="49"/>
      <c r="IR79" s="49"/>
      <c r="IS79" s="49"/>
      <c r="IT79" s="49"/>
      <c r="IU79" s="49"/>
      <c r="IV79" s="49"/>
    </row>
    <row r="80" spans="1:256" s="198" customFormat="1" ht="12" customHeight="1">
      <c r="A80" s="1252"/>
      <c r="B80" s="200"/>
      <c r="C80" s="486"/>
      <c r="D80" s="203"/>
      <c r="E80" s="203"/>
      <c r="F80" s="203"/>
      <c r="G80" s="203"/>
      <c r="H80" s="175"/>
      <c r="I80" s="1265"/>
      <c r="J80" s="1265"/>
      <c r="K80" s="175"/>
      <c r="L80" s="1265"/>
      <c r="M80" s="1265"/>
      <c r="N80" s="1265"/>
      <c r="O80" s="1265"/>
      <c r="P80" s="1265"/>
      <c r="Q80" s="999"/>
      <c r="R80" s="999"/>
      <c r="S80" s="999"/>
      <c r="T80" s="2801"/>
      <c r="U80" s="233"/>
      <c r="V80" s="49"/>
      <c r="W80" s="218"/>
      <c r="X80" s="218"/>
      <c r="Y80" s="216"/>
      <c r="Z80" s="216"/>
      <c r="AA80" s="215"/>
      <c r="AB80" s="216"/>
      <c r="AC80" s="216"/>
      <c r="AD80" s="239"/>
      <c r="AE80" s="216"/>
      <c r="AF80" s="216"/>
      <c r="AG80" s="216"/>
      <c r="AH80" s="216"/>
      <c r="AI80" s="216"/>
      <c r="AJ80" s="216"/>
      <c r="AK80" s="239"/>
      <c r="AL80" s="216"/>
      <c r="AM80" s="216"/>
      <c r="AN80" s="216"/>
      <c r="AO80" s="216"/>
      <c r="AP80" s="216"/>
      <c r="AQ80" s="216"/>
      <c r="AR80" s="216"/>
      <c r="AS80" s="216"/>
      <c r="AT80" s="216"/>
      <c r="AU80" s="216"/>
      <c r="AV80" s="217"/>
      <c r="AW80" s="355"/>
      <c r="AX80" s="217"/>
      <c r="AY80" s="1559"/>
      <c r="AZ80" s="249"/>
      <c r="BA80" s="221"/>
      <c r="BB80" s="300"/>
      <c r="BC80" s="217"/>
      <c r="BD80" s="392"/>
      <c r="BE80" s="1244"/>
      <c r="BF80" s="249"/>
      <c r="BG80" s="252"/>
      <c r="BH80" s="1469"/>
      <c r="BI80" s="216"/>
      <c r="BJ80" s="1469"/>
      <c r="BK80" s="1459"/>
      <c r="BL80" s="260"/>
      <c r="BM80" s="214"/>
      <c r="BN80" s="293"/>
      <c r="BO80" s="217"/>
      <c r="BP80" s="355"/>
      <c r="BQ80" s="217"/>
      <c r="BR80" s="1193"/>
      <c r="BS80" s="249"/>
      <c r="BT80" s="216"/>
      <c r="BU80" s="1195"/>
      <c r="BV80" s="249"/>
      <c r="BW80" s="216"/>
      <c r="BX80" s="1195"/>
      <c r="BY80" s="249"/>
      <c r="BZ80" s="216"/>
      <c r="CA80" s="1195"/>
      <c r="CB80" s="249"/>
      <c r="CC80" s="216"/>
      <c r="CD80" s="1195"/>
      <c r="CE80" s="249"/>
      <c r="CF80" s="216"/>
      <c r="CG80" s="1195"/>
      <c r="CH80" s="249"/>
      <c r="CI80" s="216"/>
      <c r="CJ80" s="1195"/>
      <c r="CK80" s="249"/>
      <c r="CL80" s="216"/>
      <c r="CM80" s="1194"/>
      <c r="CN80" s="1524"/>
      <c r="CO80" s="217"/>
      <c r="CP80" s="1193"/>
      <c r="CQ80" s="293"/>
      <c r="CR80" s="217"/>
      <c r="CS80" s="305"/>
      <c r="CT80" s="249"/>
      <c r="CU80" s="216"/>
      <c r="CV80" s="1193"/>
      <c r="CW80" s="249"/>
      <c r="CX80" s="216"/>
      <c r="CY80" s="305"/>
      <c r="CZ80" s="249"/>
      <c r="DA80" s="216"/>
      <c r="DB80" s="307"/>
      <c r="DC80" s="328"/>
      <c r="DD80" s="322"/>
      <c r="DE80" s="305"/>
      <c r="DF80" s="249"/>
      <c r="DG80" s="216"/>
      <c r="DH80" s="305"/>
      <c r="DI80" s="249"/>
      <c r="DJ80" s="216"/>
      <c r="DK80" s="309"/>
      <c r="DL80" s="293"/>
      <c r="DM80" s="326"/>
      <c r="DN80" s="1256"/>
      <c r="DO80" s="214"/>
      <c r="DP80" s="1257"/>
      <c r="DQ80" s="1258"/>
      <c r="DR80" s="305"/>
      <c r="DS80" s="249"/>
      <c r="DT80" s="216"/>
      <c r="DU80" s="2518"/>
      <c r="DV80"/>
      <c r="DW80"/>
      <c r="DX80" s="305"/>
      <c r="DY80" s="249"/>
      <c r="DZ80" s="221"/>
      <c r="EA80" s="388"/>
      <c r="EB80" s="249"/>
      <c r="EC80" s="216"/>
      <c r="ED80" s="1461"/>
      <c r="EE80" s="249"/>
      <c r="EF80" s="216"/>
      <c r="EG80" s="355"/>
      <c r="EH80" s="1425"/>
      <c r="EI80" s="1470"/>
      <c r="EJ80" s="249"/>
      <c r="EK80" s="221"/>
      <c r="EL80" s="313"/>
      <c r="EM80" s="249"/>
      <c r="EN80" s="221"/>
      <c r="EO80" s="313"/>
      <c r="EP80" s="249"/>
      <c r="EQ80" s="216"/>
      <c r="ER80" s="313"/>
      <c r="ES80" s="249"/>
      <c r="ET80" s="216"/>
      <c r="EU80" s="313"/>
      <c r="EV80" s="249"/>
      <c r="EW80" s="216"/>
      <c r="EX80" s="2505"/>
      <c r="EY80" s="249"/>
      <c r="EZ80" s="221"/>
      <c r="FA80" s="313"/>
      <c r="FB80" s="249"/>
      <c r="FC80" s="221"/>
      <c r="FD80" s="313"/>
      <c r="FE80" s="249"/>
      <c r="FF80" s="221"/>
      <c r="FG80" s="313"/>
      <c r="FH80" s="249"/>
      <c r="FI80" s="216"/>
      <c r="FJ80" s="1435"/>
      <c r="FK80" s="216"/>
      <c r="FL80" s="1268"/>
      <c r="FM80" s="1655"/>
      <c r="FN80" s="1268"/>
      <c r="FO80" s="1655"/>
      <c r="FP80" s="1268"/>
      <c r="FQ80" s="1656"/>
      <c r="FR80" s="249"/>
      <c r="FS80" s="216"/>
      <c r="FT80" s="1657"/>
      <c r="FU80" s="1658"/>
      <c r="FV80" s="242"/>
      <c r="FW80" s="2522"/>
      <c r="FX80" s="2523"/>
      <c r="FY80" s="336"/>
      <c r="FZ80" s="223"/>
      <c r="GA80" s="338"/>
      <c r="GB80" s="204"/>
      <c r="GC80" s="339"/>
      <c r="GD80" s="342"/>
      <c r="GE80" s="199"/>
      <c r="GF80" s="199"/>
      <c r="GG80" s="199"/>
      <c r="GH80" s="199"/>
      <c r="GI80" s="199"/>
      <c r="GJ80" s="199"/>
      <c r="GK80" s="199"/>
      <c r="GL80" s="49"/>
      <c r="GM80" s="28"/>
      <c r="GN80" s="28"/>
      <c r="GO80" s="322"/>
      <c r="GP80" s="1190"/>
      <c r="GQ80" s="1190"/>
      <c r="GR80" s="49"/>
      <c r="GS80" s="2879"/>
      <c r="GT80" s="2880"/>
      <c r="GU80" s="2881"/>
      <c r="GV80" s="49"/>
      <c r="GW80" s="49"/>
      <c r="GX80" s="49"/>
      <c r="GY80" s="49"/>
      <c r="GZ80" s="49"/>
      <c r="HA80" s="49"/>
      <c r="HB80" s="49"/>
      <c r="HC80" s="49"/>
      <c r="HD80" s="49"/>
      <c r="HE80" s="49"/>
      <c r="HF80" s="49"/>
      <c r="HG80" s="49"/>
      <c r="HH80" s="49"/>
      <c r="HI80" s="49"/>
      <c r="HJ80" s="49"/>
      <c r="HK80" s="49"/>
      <c r="HL80" s="49"/>
      <c r="HM80" s="49"/>
      <c r="HN80" s="49"/>
      <c r="HO80" s="49"/>
      <c r="HP80" s="49"/>
      <c r="HQ80" s="49"/>
      <c r="HR80" s="49"/>
      <c r="HS80" s="49"/>
      <c r="HT80" s="49"/>
      <c r="HU80" s="49"/>
      <c r="HV80" s="49"/>
      <c r="HW80" s="49"/>
      <c r="HX80" s="49"/>
      <c r="HY80" s="49"/>
      <c r="HZ80" s="49"/>
      <c r="IA80" s="49"/>
      <c r="IB80" s="49"/>
      <c r="IC80" s="49"/>
      <c r="ID80" s="49"/>
      <c r="IE80" s="49"/>
      <c r="IF80" s="49"/>
      <c r="IG80" s="49"/>
      <c r="IH80" s="49"/>
      <c r="II80" s="49"/>
      <c r="IJ80" s="49"/>
      <c r="IK80" s="49"/>
      <c r="IL80" s="49"/>
      <c r="IM80" s="49"/>
      <c r="IN80" s="49"/>
      <c r="IO80" s="49"/>
      <c r="IP80" s="49"/>
      <c r="IQ80" s="49"/>
      <c r="IR80" s="49"/>
      <c r="IS80" s="49"/>
      <c r="IT80" s="49"/>
      <c r="IU80" s="49"/>
      <c r="IV80" s="49"/>
    </row>
    <row r="81" spans="1:256" s="198" customFormat="1" ht="12" customHeight="1">
      <c r="A81" s="1252"/>
      <c r="B81" s="200"/>
      <c r="C81" s="486"/>
      <c r="D81" s="203"/>
      <c r="E81" s="203"/>
      <c r="F81" s="203"/>
      <c r="G81" s="203"/>
      <c r="H81" s="175"/>
      <c r="I81" s="1265"/>
      <c r="J81" s="1265"/>
      <c r="K81" s="175"/>
      <c r="L81" s="1265"/>
      <c r="M81" s="1265"/>
      <c r="N81" s="1265"/>
      <c r="O81" s="1265"/>
      <c r="P81" s="1265"/>
      <c r="Q81" s="999"/>
      <c r="R81" s="999"/>
      <c r="S81" s="999"/>
      <c r="T81" s="2801"/>
      <c r="U81" s="233"/>
      <c r="V81" s="49"/>
      <c r="W81" s="218"/>
      <c r="X81" s="218"/>
      <c r="Y81" s="216"/>
      <c r="Z81" s="216"/>
      <c r="AA81" s="215"/>
      <c r="AB81" s="216"/>
      <c r="AC81" s="216"/>
      <c r="AD81" s="239"/>
      <c r="AE81" s="216"/>
      <c r="AF81" s="216"/>
      <c r="AG81" s="216"/>
      <c r="AH81" s="216"/>
      <c r="AI81" s="216"/>
      <c r="AJ81" s="216"/>
      <c r="AK81" s="239"/>
      <c r="AL81" s="216"/>
      <c r="AM81" s="216"/>
      <c r="AN81" s="216"/>
      <c r="AO81" s="216"/>
      <c r="AP81" s="216"/>
      <c r="AQ81" s="216"/>
      <c r="AR81" s="216"/>
      <c r="AS81" s="216"/>
      <c r="AT81" s="216"/>
      <c r="AU81" s="216"/>
      <c r="AV81" s="217"/>
      <c r="AW81" s="355"/>
      <c r="AX81" s="217"/>
      <c r="AY81" s="1559"/>
      <c r="AZ81" s="249"/>
      <c r="BA81" s="221"/>
      <c r="BB81" s="300"/>
      <c r="BC81" s="217"/>
      <c r="BD81" s="392"/>
      <c r="BE81" s="1244"/>
      <c r="BF81" s="249"/>
      <c r="BG81" s="252"/>
      <c r="BH81" s="1469"/>
      <c r="BI81" s="216"/>
      <c r="BJ81" s="1469"/>
      <c r="BK81" s="1459"/>
      <c r="BL81" s="260"/>
      <c r="BM81" s="214"/>
      <c r="BN81" s="293"/>
      <c r="BO81" s="217"/>
      <c r="BP81" s="355"/>
      <c r="BQ81" s="217"/>
      <c r="BR81" s="1193"/>
      <c r="BS81" s="249"/>
      <c r="BT81" s="216"/>
      <c r="BU81" s="1195"/>
      <c r="BV81" s="249"/>
      <c r="BW81" s="216"/>
      <c r="BX81" s="1195"/>
      <c r="BY81" s="249"/>
      <c r="BZ81" s="216"/>
      <c r="CA81" s="1195"/>
      <c r="CB81" s="249"/>
      <c r="CC81" s="216"/>
      <c r="CD81" s="1195"/>
      <c r="CE81" s="249"/>
      <c r="CF81" s="216"/>
      <c r="CG81" s="1195"/>
      <c r="CH81" s="249"/>
      <c r="CI81" s="216"/>
      <c r="CJ81" s="1195"/>
      <c r="CK81" s="249"/>
      <c r="CL81" s="216"/>
      <c r="CM81" s="1194"/>
      <c r="CN81" s="1524"/>
      <c r="CO81" s="217"/>
      <c r="CP81" s="1193"/>
      <c r="CQ81" s="293"/>
      <c r="CR81" s="217"/>
      <c r="CS81" s="305"/>
      <c r="CT81" s="249"/>
      <c r="CU81" s="216"/>
      <c r="CV81" s="1193"/>
      <c r="CW81" s="249"/>
      <c r="CX81" s="216"/>
      <c r="CY81" s="305"/>
      <c r="CZ81" s="249"/>
      <c r="DA81" s="216"/>
      <c r="DB81" s="307"/>
      <c r="DC81" s="328"/>
      <c r="DD81" s="322"/>
      <c r="DE81" s="305"/>
      <c r="DF81" s="249"/>
      <c r="DG81" s="216"/>
      <c r="DH81" s="305"/>
      <c r="DI81" s="249"/>
      <c r="DJ81" s="216"/>
      <c r="DK81" s="309"/>
      <c r="DL81" s="293"/>
      <c r="DM81" s="326"/>
      <c r="DN81" s="1256"/>
      <c r="DO81" s="214"/>
      <c r="DP81" s="1257"/>
      <c r="DQ81" s="1258"/>
      <c r="DR81" s="305"/>
      <c r="DS81" s="249"/>
      <c r="DT81" s="216"/>
      <c r="DU81" s="2518"/>
      <c r="DV81"/>
      <c r="DW81"/>
      <c r="DX81" s="305"/>
      <c r="DY81" s="249"/>
      <c r="DZ81" s="221"/>
      <c r="EA81" s="388"/>
      <c r="EB81" s="249"/>
      <c r="EC81" s="216"/>
      <c r="ED81" s="1461"/>
      <c r="EE81" s="249"/>
      <c r="EF81" s="216"/>
      <c r="EG81" s="355"/>
      <c r="EH81" s="1425"/>
      <c r="EI81" s="1470"/>
      <c r="EJ81" s="249"/>
      <c r="EK81" s="221"/>
      <c r="EL81" s="313"/>
      <c r="EM81" s="249"/>
      <c r="EN81" s="221"/>
      <c r="EO81" s="313"/>
      <c r="EP81" s="249"/>
      <c r="EQ81" s="216"/>
      <c r="ER81" s="313"/>
      <c r="ES81" s="249"/>
      <c r="ET81" s="216"/>
      <c r="EU81" s="313"/>
      <c r="EV81" s="249"/>
      <c r="EW81" s="216"/>
      <c r="EX81" s="2505"/>
      <c r="EY81" s="249"/>
      <c r="EZ81" s="221"/>
      <c r="FA81" s="313"/>
      <c r="FB81" s="249"/>
      <c r="FC81" s="221"/>
      <c r="FD81" s="313"/>
      <c r="FE81" s="249"/>
      <c r="FF81" s="221"/>
      <c r="FG81" s="313"/>
      <c r="FH81" s="249"/>
      <c r="FI81" s="216"/>
      <c r="FJ81" s="1435"/>
      <c r="FK81" s="216"/>
      <c r="FL81" s="1268"/>
      <c r="FM81" s="1655"/>
      <c r="FN81" s="1268"/>
      <c r="FO81" s="1655"/>
      <c r="FP81" s="1268"/>
      <c r="FQ81" s="1656"/>
      <c r="FR81" s="249"/>
      <c r="FS81" s="216"/>
      <c r="FT81" s="1657"/>
      <c r="FU81" s="1658"/>
      <c r="FV81" s="242"/>
      <c r="FW81" s="2522"/>
      <c r="FX81" s="2523"/>
      <c r="FY81" s="336"/>
      <c r="FZ81" s="223"/>
      <c r="GA81" s="338"/>
      <c r="GB81" s="204"/>
      <c r="GC81" s="339"/>
      <c r="GD81" s="342"/>
      <c r="GE81" s="199"/>
      <c r="GF81" s="199"/>
      <c r="GG81" s="199"/>
      <c r="GH81" s="199"/>
      <c r="GI81" s="199"/>
      <c r="GJ81" s="199"/>
      <c r="GK81" s="199"/>
      <c r="GL81" s="49"/>
      <c r="GM81" s="28"/>
      <c r="GN81" s="28"/>
      <c r="GO81" s="322"/>
      <c r="GP81" s="1190"/>
      <c r="GQ81" s="1190"/>
      <c r="GR81" s="49"/>
      <c r="GS81" s="2879"/>
      <c r="GT81" s="2880"/>
      <c r="GU81" s="2881"/>
      <c r="GV81" s="49"/>
      <c r="GW81" s="49"/>
      <c r="GX81" s="49"/>
      <c r="GY81" s="49"/>
      <c r="GZ81" s="49"/>
      <c r="HA81" s="49"/>
      <c r="HB81" s="49"/>
      <c r="HC81" s="49"/>
      <c r="HD81" s="49"/>
      <c r="HE81" s="49"/>
      <c r="HF81" s="49"/>
      <c r="HG81" s="49"/>
      <c r="HH81" s="49"/>
      <c r="HI81" s="49"/>
      <c r="HJ81" s="49"/>
      <c r="HK81" s="49"/>
      <c r="HL81" s="49"/>
      <c r="HM81" s="49"/>
      <c r="HN81" s="49"/>
      <c r="HO81" s="49"/>
      <c r="HP81" s="49"/>
      <c r="HQ81" s="49"/>
      <c r="HR81" s="49"/>
      <c r="HS81" s="49"/>
      <c r="HT81" s="49"/>
      <c r="HU81" s="49"/>
      <c r="HV81" s="49"/>
      <c r="HW81" s="49"/>
      <c r="HX81" s="49"/>
      <c r="HY81" s="49"/>
      <c r="HZ81" s="49"/>
      <c r="IA81" s="49"/>
      <c r="IB81" s="49"/>
      <c r="IC81" s="49"/>
      <c r="ID81" s="49"/>
      <c r="IE81" s="49"/>
      <c r="IF81" s="49"/>
      <c r="IG81" s="49"/>
      <c r="IH81" s="49"/>
      <c r="II81" s="49"/>
      <c r="IJ81" s="49"/>
      <c r="IK81" s="49"/>
      <c r="IL81" s="49"/>
      <c r="IM81" s="49"/>
      <c r="IN81" s="49"/>
      <c r="IO81" s="49"/>
      <c r="IP81" s="49"/>
      <c r="IQ81" s="49"/>
      <c r="IR81" s="49"/>
      <c r="IS81" s="49"/>
      <c r="IT81" s="49"/>
      <c r="IU81" s="49"/>
      <c r="IV81" s="49"/>
    </row>
    <row r="82" spans="1:256" s="198" customFormat="1" ht="12" customHeight="1">
      <c r="A82" s="1252"/>
      <c r="B82" s="200"/>
      <c r="C82" s="486"/>
      <c r="D82" s="203"/>
      <c r="E82" s="203"/>
      <c r="F82" s="203"/>
      <c r="G82" s="203"/>
      <c r="H82" s="175"/>
      <c r="I82" s="1265"/>
      <c r="J82" s="1265"/>
      <c r="K82" s="175"/>
      <c r="L82" s="1265"/>
      <c r="M82" s="1265"/>
      <c r="N82" s="1265"/>
      <c r="O82" s="1265"/>
      <c r="P82" s="1265"/>
      <c r="Q82" s="999"/>
      <c r="R82" s="999"/>
      <c r="S82" s="999"/>
      <c r="T82" s="2801"/>
      <c r="U82" s="233"/>
      <c r="V82" s="49"/>
      <c r="W82" s="218"/>
      <c r="X82" s="218"/>
      <c r="Y82" s="216"/>
      <c r="Z82" s="216"/>
      <c r="AA82" s="215"/>
      <c r="AB82" s="216"/>
      <c r="AC82" s="216"/>
      <c r="AD82" s="239"/>
      <c r="AE82" s="216"/>
      <c r="AF82" s="216"/>
      <c r="AG82" s="216"/>
      <c r="AH82" s="216"/>
      <c r="AI82" s="216"/>
      <c r="AJ82" s="216"/>
      <c r="AK82" s="239"/>
      <c r="AL82" s="216"/>
      <c r="AM82" s="216"/>
      <c r="AN82" s="216"/>
      <c r="AO82" s="216"/>
      <c r="AP82" s="216"/>
      <c r="AQ82" s="216"/>
      <c r="AR82" s="216"/>
      <c r="AS82" s="216"/>
      <c r="AT82" s="216"/>
      <c r="AU82" s="216"/>
      <c r="AV82" s="217"/>
      <c r="AW82" s="355"/>
      <c r="AX82" s="217"/>
      <c r="AY82" s="1559"/>
      <c r="AZ82" s="249"/>
      <c r="BA82" s="221"/>
      <c r="BB82" s="300"/>
      <c r="BC82" s="217"/>
      <c r="BD82" s="392"/>
      <c r="BE82" s="1244"/>
      <c r="BF82" s="249"/>
      <c r="BG82" s="252"/>
      <c r="BH82" s="1469"/>
      <c r="BI82" s="216"/>
      <c r="BJ82" s="1469"/>
      <c r="BK82" s="1459"/>
      <c r="BL82" s="260"/>
      <c r="BM82" s="214"/>
      <c r="BN82" s="293"/>
      <c r="BO82" s="217"/>
      <c r="BP82" s="355"/>
      <c r="BQ82" s="217"/>
      <c r="BR82" s="1193"/>
      <c r="BS82" s="249"/>
      <c r="BT82" s="216"/>
      <c r="BU82" s="1195"/>
      <c r="BV82" s="249"/>
      <c r="BW82" s="216"/>
      <c r="BX82" s="1195"/>
      <c r="BY82" s="249"/>
      <c r="BZ82" s="216"/>
      <c r="CA82" s="1195"/>
      <c r="CB82" s="249"/>
      <c r="CC82" s="216"/>
      <c r="CD82" s="1195"/>
      <c r="CE82" s="249"/>
      <c r="CF82" s="216"/>
      <c r="CG82" s="1195"/>
      <c r="CH82" s="249"/>
      <c r="CI82" s="216"/>
      <c r="CJ82" s="1195"/>
      <c r="CK82" s="249"/>
      <c r="CL82" s="216"/>
      <c r="CM82" s="1194"/>
      <c r="CN82" s="1524"/>
      <c r="CO82" s="217"/>
      <c r="CP82" s="1193"/>
      <c r="CQ82" s="293"/>
      <c r="CR82" s="217"/>
      <c r="CS82" s="305"/>
      <c r="CT82" s="249"/>
      <c r="CU82" s="216"/>
      <c r="CV82" s="1193"/>
      <c r="CW82" s="249"/>
      <c r="CX82" s="216"/>
      <c r="CY82" s="305"/>
      <c r="CZ82" s="249"/>
      <c r="DA82" s="216"/>
      <c r="DB82" s="307"/>
      <c r="DC82" s="328"/>
      <c r="DD82" s="322"/>
      <c r="DE82" s="305"/>
      <c r="DF82" s="249"/>
      <c r="DG82" s="216"/>
      <c r="DH82" s="305"/>
      <c r="DI82" s="249"/>
      <c r="DJ82" s="216"/>
      <c r="DK82" s="309"/>
      <c r="DL82" s="293"/>
      <c r="DM82" s="326"/>
      <c r="DN82" s="1256"/>
      <c r="DO82" s="214"/>
      <c r="DP82" s="1257"/>
      <c r="DQ82" s="1258"/>
      <c r="DR82" s="305"/>
      <c r="DS82" s="249"/>
      <c r="DT82" s="216"/>
      <c r="DU82" s="2518"/>
      <c r="DV82"/>
      <c r="DW82"/>
      <c r="DX82" s="305"/>
      <c r="DY82" s="249"/>
      <c r="DZ82" s="221"/>
      <c r="EA82" s="388"/>
      <c r="EB82" s="249"/>
      <c r="EC82" s="216"/>
      <c r="ED82" s="1461"/>
      <c r="EE82" s="249"/>
      <c r="EF82" s="216"/>
      <c r="EG82" s="355"/>
      <c r="EH82" s="1425"/>
      <c r="EI82" s="1470"/>
      <c r="EJ82" s="249"/>
      <c r="EK82" s="221"/>
      <c r="EL82" s="313"/>
      <c r="EM82" s="249"/>
      <c r="EN82" s="221"/>
      <c r="EO82" s="313"/>
      <c r="EP82" s="249"/>
      <c r="EQ82" s="216"/>
      <c r="ER82" s="313"/>
      <c r="ES82" s="249"/>
      <c r="ET82" s="216"/>
      <c r="EU82" s="313"/>
      <c r="EV82" s="249"/>
      <c r="EW82" s="216"/>
      <c r="EX82" s="2505"/>
      <c r="EY82" s="249"/>
      <c r="EZ82" s="221"/>
      <c r="FA82" s="313"/>
      <c r="FB82" s="249"/>
      <c r="FC82" s="221"/>
      <c r="FD82" s="313"/>
      <c r="FE82" s="249"/>
      <c r="FF82" s="221"/>
      <c r="FG82" s="313"/>
      <c r="FH82" s="249"/>
      <c r="FI82" s="216"/>
      <c r="FJ82" s="1435"/>
      <c r="FK82" s="216"/>
      <c r="FL82" s="1268"/>
      <c r="FM82" s="1655"/>
      <c r="FN82" s="1268"/>
      <c r="FO82" s="1655"/>
      <c r="FP82" s="1268"/>
      <c r="FQ82" s="1656"/>
      <c r="FR82" s="249"/>
      <c r="FS82" s="216"/>
      <c r="FT82" s="1657"/>
      <c r="FU82" s="1658"/>
      <c r="FV82" s="242"/>
      <c r="FW82" s="2522"/>
      <c r="FX82" s="2523"/>
      <c r="FY82" s="336"/>
      <c r="FZ82" s="223"/>
      <c r="GA82" s="338"/>
      <c r="GB82" s="204"/>
      <c r="GC82" s="339"/>
      <c r="GD82" s="342"/>
      <c r="GE82" s="199"/>
      <c r="GF82" s="199"/>
      <c r="GG82" s="199"/>
      <c r="GH82" s="199"/>
      <c r="GI82" s="199"/>
      <c r="GJ82" s="199"/>
      <c r="GK82" s="199"/>
      <c r="GL82" s="49"/>
      <c r="GM82" s="28"/>
      <c r="GN82" s="28"/>
      <c r="GO82" s="322"/>
      <c r="GP82" s="1190"/>
      <c r="GQ82" s="1190"/>
      <c r="GR82" s="49"/>
      <c r="GS82" s="2879"/>
      <c r="GT82" s="2880"/>
      <c r="GU82" s="2881"/>
      <c r="GV82" s="49"/>
      <c r="GW82" s="49"/>
      <c r="GX82" s="49"/>
      <c r="GY82" s="49"/>
      <c r="GZ82" s="49"/>
      <c r="HA82" s="49"/>
      <c r="HB82" s="49"/>
      <c r="HC82" s="49"/>
      <c r="HD82" s="49"/>
      <c r="HE82" s="49"/>
      <c r="HF82" s="49"/>
      <c r="HG82" s="49"/>
      <c r="HH82" s="49"/>
      <c r="HI82" s="49"/>
      <c r="HJ82" s="49"/>
      <c r="HK82" s="49"/>
      <c r="HL82" s="49"/>
      <c r="HM82" s="49"/>
      <c r="HN82" s="49"/>
      <c r="HO82" s="49"/>
      <c r="HP82" s="49"/>
      <c r="HQ82" s="49"/>
      <c r="HR82" s="49"/>
      <c r="HS82" s="49"/>
      <c r="HT82" s="49"/>
      <c r="HU82" s="49"/>
      <c r="HV82" s="49"/>
      <c r="HW82" s="49"/>
      <c r="HX82" s="49"/>
      <c r="HY82" s="49"/>
      <c r="HZ82" s="49"/>
      <c r="IA82" s="49"/>
      <c r="IB82" s="49"/>
      <c r="IC82" s="49"/>
      <c r="ID82" s="49"/>
      <c r="IE82" s="49"/>
      <c r="IF82" s="49"/>
      <c r="IG82" s="49"/>
      <c r="IH82" s="49"/>
      <c r="II82" s="49"/>
      <c r="IJ82" s="49"/>
      <c r="IK82" s="49"/>
      <c r="IL82" s="49"/>
      <c r="IM82" s="49"/>
      <c r="IN82" s="49"/>
      <c r="IO82" s="49"/>
      <c r="IP82" s="49"/>
      <c r="IQ82" s="49"/>
      <c r="IR82" s="49"/>
      <c r="IS82" s="49"/>
      <c r="IT82" s="49"/>
      <c r="IU82" s="49"/>
      <c r="IV82" s="49"/>
    </row>
    <row r="83" spans="1:256" s="198" customFormat="1" ht="12" customHeight="1">
      <c r="A83" s="1252"/>
      <c r="B83" s="200"/>
      <c r="C83" s="486"/>
      <c r="D83" s="203"/>
      <c r="E83" s="203"/>
      <c r="F83" s="203"/>
      <c r="G83" s="203"/>
      <c r="H83" s="175"/>
      <c r="I83" s="1265"/>
      <c r="J83" s="1265"/>
      <c r="K83" s="175"/>
      <c r="L83" s="1265"/>
      <c r="M83" s="1265"/>
      <c r="N83" s="1265"/>
      <c r="O83" s="1265"/>
      <c r="P83" s="1265"/>
      <c r="Q83" s="999"/>
      <c r="R83" s="999"/>
      <c r="S83" s="999"/>
      <c r="T83" s="2801"/>
      <c r="U83" s="233"/>
      <c r="V83" s="49"/>
      <c r="W83" s="218"/>
      <c r="X83" s="218"/>
      <c r="Y83" s="216"/>
      <c r="Z83" s="216"/>
      <c r="AA83" s="215"/>
      <c r="AB83" s="216"/>
      <c r="AC83" s="216"/>
      <c r="AD83" s="239"/>
      <c r="AE83" s="216"/>
      <c r="AF83" s="216"/>
      <c r="AG83" s="216"/>
      <c r="AH83" s="216"/>
      <c r="AI83" s="216"/>
      <c r="AJ83" s="216"/>
      <c r="AK83" s="239"/>
      <c r="AL83" s="216"/>
      <c r="AM83" s="216"/>
      <c r="AN83" s="216"/>
      <c r="AO83" s="216"/>
      <c r="AP83" s="216"/>
      <c r="AQ83" s="216"/>
      <c r="AR83" s="216"/>
      <c r="AS83" s="216"/>
      <c r="AT83" s="216"/>
      <c r="AU83" s="216"/>
      <c r="AV83" s="217"/>
      <c r="AW83" s="355"/>
      <c r="AX83" s="217"/>
      <c r="AY83" s="1559"/>
      <c r="AZ83" s="249"/>
      <c r="BA83" s="221"/>
      <c r="BB83" s="300"/>
      <c r="BC83" s="217"/>
      <c r="BD83" s="392"/>
      <c r="BE83" s="1244"/>
      <c r="BF83" s="249"/>
      <c r="BG83" s="252"/>
      <c r="BH83" s="1469"/>
      <c r="BI83" s="216"/>
      <c r="BJ83" s="1469"/>
      <c r="BK83" s="1459"/>
      <c r="BL83" s="260"/>
      <c r="BM83" s="214"/>
      <c r="BN83" s="293"/>
      <c r="BO83" s="217"/>
      <c r="BP83" s="355"/>
      <c r="BQ83" s="217"/>
      <c r="BR83" s="1193"/>
      <c r="BS83" s="249"/>
      <c r="BT83" s="216"/>
      <c r="BU83" s="1195"/>
      <c r="BV83" s="249"/>
      <c r="BW83" s="216"/>
      <c r="BX83" s="1195"/>
      <c r="BY83" s="249"/>
      <c r="BZ83" s="216"/>
      <c r="CA83" s="1195"/>
      <c r="CB83" s="249"/>
      <c r="CC83" s="216"/>
      <c r="CD83" s="1195"/>
      <c r="CE83" s="249"/>
      <c r="CF83" s="216"/>
      <c r="CG83" s="1195"/>
      <c r="CH83" s="249"/>
      <c r="CI83" s="216"/>
      <c r="CJ83" s="1195"/>
      <c r="CK83" s="249"/>
      <c r="CL83" s="216"/>
      <c r="CM83" s="1194"/>
      <c r="CN83" s="1524"/>
      <c r="CO83" s="217"/>
      <c r="CP83" s="1193"/>
      <c r="CQ83" s="293"/>
      <c r="CR83" s="217"/>
      <c r="CS83" s="305"/>
      <c r="CT83" s="249"/>
      <c r="CU83" s="216"/>
      <c r="CV83" s="1193"/>
      <c r="CW83" s="249"/>
      <c r="CX83" s="216"/>
      <c r="CY83" s="305"/>
      <c r="CZ83" s="249"/>
      <c r="DA83" s="216"/>
      <c r="DB83" s="307"/>
      <c r="DC83" s="328"/>
      <c r="DD83" s="322"/>
      <c r="DE83" s="305"/>
      <c r="DF83" s="249"/>
      <c r="DG83" s="216"/>
      <c r="DH83" s="305"/>
      <c r="DI83" s="249"/>
      <c r="DJ83" s="216"/>
      <c r="DK83" s="309"/>
      <c r="DL83" s="293"/>
      <c r="DM83" s="326"/>
      <c r="DN83" s="1256"/>
      <c r="DO83" s="214"/>
      <c r="DP83" s="1257"/>
      <c r="DQ83" s="1258"/>
      <c r="DR83" s="305"/>
      <c r="DS83" s="249"/>
      <c r="DT83" s="216"/>
      <c r="DU83" s="2518"/>
      <c r="DV83"/>
      <c r="DW83"/>
      <c r="DX83" s="305"/>
      <c r="DY83" s="249"/>
      <c r="DZ83" s="221"/>
      <c r="EA83" s="388"/>
      <c r="EB83" s="249"/>
      <c r="EC83" s="216"/>
      <c r="ED83" s="1461"/>
      <c r="EE83" s="249"/>
      <c r="EF83" s="216"/>
      <c r="EG83" s="355"/>
      <c r="EH83" s="1425"/>
      <c r="EI83" s="1470"/>
      <c r="EJ83" s="249"/>
      <c r="EK83" s="221"/>
      <c r="EL83" s="313"/>
      <c r="EM83" s="249"/>
      <c r="EN83" s="221"/>
      <c r="EO83" s="313"/>
      <c r="EP83" s="249"/>
      <c r="EQ83" s="216"/>
      <c r="ER83" s="313"/>
      <c r="ES83" s="249"/>
      <c r="ET83" s="216"/>
      <c r="EU83" s="313"/>
      <c r="EV83" s="249"/>
      <c r="EW83" s="216"/>
      <c r="EX83" s="2505"/>
      <c r="EY83" s="249"/>
      <c r="EZ83" s="221"/>
      <c r="FA83" s="313"/>
      <c r="FB83" s="249"/>
      <c r="FC83" s="221"/>
      <c r="FD83" s="313"/>
      <c r="FE83" s="249"/>
      <c r="FF83" s="221"/>
      <c r="FG83" s="313"/>
      <c r="FH83" s="249"/>
      <c r="FI83" s="216"/>
      <c r="FJ83" s="1435"/>
      <c r="FK83" s="216"/>
      <c r="FL83" s="1268"/>
      <c r="FM83" s="1655"/>
      <c r="FN83" s="1268"/>
      <c r="FO83" s="1655"/>
      <c r="FP83" s="1268"/>
      <c r="FQ83" s="1656"/>
      <c r="FR83" s="249"/>
      <c r="FS83" s="216"/>
      <c r="FT83" s="1657"/>
      <c r="FU83" s="1658"/>
      <c r="FV83" s="242"/>
      <c r="FW83" s="2522"/>
      <c r="FX83" s="2523"/>
      <c r="FY83" s="336"/>
      <c r="FZ83" s="223"/>
      <c r="GA83" s="338"/>
      <c r="GB83" s="204"/>
      <c r="GC83" s="339"/>
      <c r="GD83" s="342"/>
      <c r="GE83" s="199"/>
      <c r="GF83" s="199"/>
      <c r="GG83" s="199"/>
      <c r="GH83" s="199"/>
      <c r="GI83" s="199"/>
      <c r="GJ83" s="199"/>
      <c r="GK83" s="199"/>
      <c r="GL83" s="49"/>
      <c r="GM83" s="28"/>
      <c r="GN83" s="28"/>
      <c r="GO83" s="322"/>
      <c r="GP83" s="1190"/>
      <c r="GQ83" s="1190"/>
      <c r="GR83" s="49"/>
      <c r="GS83" s="2879"/>
      <c r="GT83" s="2880"/>
      <c r="GU83" s="2881"/>
      <c r="GV83" s="49"/>
      <c r="GW83" s="49"/>
      <c r="GX83" s="49"/>
      <c r="GY83" s="49"/>
      <c r="GZ83" s="49"/>
      <c r="HA83" s="49"/>
      <c r="HB83" s="49"/>
      <c r="HC83" s="49"/>
      <c r="HD83" s="49"/>
      <c r="HE83" s="49"/>
      <c r="HF83" s="49"/>
      <c r="HG83" s="49"/>
      <c r="HH83" s="49"/>
      <c r="HI83" s="49"/>
      <c r="HJ83" s="49"/>
      <c r="HK83" s="49"/>
      <c r="HL83" s="49"/>
      <c r="HM83" s="49"/>
      <c r="HN83" s="49"/>
      <c r="HO83" s="49"/>
      <c r="HP83" s="49"/>
      <c r="HQ83" s="49"/>
      <c r="HR83" s="49"/>
      <c r="HS83" s="49"/>
      <c r="HT83" s="49"/>
      <c r="HU83" s="49"/>
      <c r="HV83" s="49"/>
      <c r="HW83" s="49"/>
      <c r="HX83" s="49"/>
      <c r="HY83" s="49"/>
      <c r="HZ83" s="49"/>
      <c r="IA83" s="49"/>
      <c r="IB83" s="49"/>
      <c r="IC83" s="49"/>
      <c r="ID83" s="49"/>
      <c r="IE83" s="49"/>
      <c r="IF83" s="49"/>
      <c r="IG83" s="49"/>
      <c r="IH83" s="49"/>
      <c r="II83" s="49"/>
      <c r="IJ83" s="49"/>
      <c r="IK83" s="49"/>
      <c r="IL83" s="49"/>
      <c r="IM83" s="49"/>
      <c r="IN83" s="49"/>
      <c r="IO83" s="49"/>
      <c r="IP83" s="49"/>
      <c r="IQ83" s="49"/>
      <c r="IR83" s="49"/>
      <c r="IS83" s="49"/>
      <c r="IT83" s="49"/>
      <c r="IU83" s="49"/>
      <c r="IV83" s="49"/>
    </row>
    <row r="84" spans="1:256" s="198" customFormat="1" ht="12" customHeight="1">
      <c r="A84" s="1252"/>
      <c r="B84" s="200"/>
      <c r="C84" s="486"/>
      <c r="D84" s="203"/>
      <c r="E84" s="203"/>
      <c r="F84" s="203"/>
      <c r="G84" s="203"/>
      <c r="H84" s="175"/>
      <c r="I84" s="1265"/>
      <c r="J84" s="1265"/>
      <c r="K84" s="175"/>
      <c r="L84" s="1265"/>
      <c r="M84" s="1265"/>
      <c r="N84" s="1265"/>
      <c r="O84" s="1265"/>
      <c r="P84" s="1265"/>
      <c r="Q84" s="999"/>
      <c r="R84" s="999"/>
      <c r="S84" s="999"/>
      <c r="T84" s="2801"/>
      <c r="U84" s="233"/>
      <c r="V84" s="49"/>
      <c r="W84" s="218"/>
      <c r="X84" s="218"/>
      <c r="Y84" s="216"/>
      <c r="Z84" s="216"/>
      <c r="AA84" s="215"/>
      <c r="AB84" s="216"/>
      <c r="AC84" s="216"/>
      <c r="AD84" s="239"/>
      <c r="AE84" s="216"/>
      <c r="AF84" s="216"/>
      <c r="AG84" s="216"/>
      <c r="AH84" s="216"/>
      <c r="AI84" s="216"/>
      <c r="AJ84" s="216"/>
      <c r="AK84" s="239"/>
      <c r="AL84" s="216"/>
      <c r="AM84" s="216"/>
      <c r="AN84" s="216"/>
      <c r="AO84" s="216"/>
      <c r="AP84" s="216"/>
      <c r="AQ84" s="216"/>
      <c r="AR84" s="216"/>
      <c r="AS84" s="216"/>
      <c r="AT84" s="216"/>
      <c r="AU84" s="216"/>
      <c r="AV84" s="217"/>
      <c r="AW84" s="355"/>
      <c r="AX84" s="217"/>
      <c r="AY84" s="1559"/>
      <c r="AZ84" s="249"/>
      <c r="BA84" s="221"/>
      <c r="BB84" s="300"/>
      <c r="BC84" s="217"/>
      <c r="BD84" s="392"/>
      <c r="BE84" s="1244"/>
      <c r="BF84" s="249"/>
      <c r="BG84" s="252"/>
      <c r="BH84" s="1469"/>
      <c r="BI84" s="216"/>
      <c r="BJ84" s="1469"/>
      <c r="BK84" s="1459"/>
      <c r="BL84" s="260"/>
      <c r="BM84" s="214"/>
      <c r="BN84" s="293"/>
      <c r="BO84" s="217"/>
      <c r="BP84" s="355"/>
      <c r="BQ84" s="217"/>
      <c r="BR84" s="1193"/>
      <c r="BS84" s="249"/>
      <c r="BT84" s="216"/>
      <c r="BU84" s="1195"/>
      <c r="BV84" s="249"/>
      <c r="BW84" s="216"/>
      <c r="BX84" s="1195"/>
      <c r="BY84" s="249"/>
      <c r="BZ84" s="216"/>
      <c r="CA84" s="1195"/>
      <c r="CB84" s="249"/>
      <c r="CC84" s="216"/>
      <c r="CD84" s="1195"/>
      <c r="CE84" s="249"/>
      <c r="CF84" s="216"/>
      <c r="CG84" s="1195"/>
      <c r="CH84" s="249"/>
      <c r="CI84" s="216"/>
      <c r="CJ84" s="1195"/>
      <c r="CK84" s="249"/>
      <c r="CL84" s="216"/>
      <c r="CM84" s="1194"/>
      <c r="CN84" s="1524"/>
      <c r="CO84" s="217"/>
      <c r="CP84" s="1193"/>
      <c r="CQ84" s="293"/>
      <c r="CR84" s="217"/>
      <c r="CS84" s="305"/>
      <c r="CT84" s="249"/>
      <c r="CU84" s="216"/>
      <c r="CV84" s="1193"/>
      <c r="CW84" s="249"/>
      <c r="CX84" s="216"/>
      <c r="CY84" s="305"/>
      <c r="CZ84" s="249"/>
      <c r="DA84" s="216"/>
      <c r="DB84" s="307"/>
      <c r="DC84" s="328"/>
      <c r="DD84" s="322"/>
      <c r="DE84" s="305"/>
      <c r="DF84" s="249"/>
      <c r="DG84" s="216"/>
      <c r="DH84" s="305"/>
      <c r="DI84" s="249"/>
      <c r="DJ84" s="216"/>
      <c r="DK84" s="309"/>
      <c r="DL84" s="293"/>
      <c r="DM84" s="326"/>
      <c r="DN84" s="1256"/>
      <c r="DO84" s="214"/>
      <c r="DP84" s="1257"/>
      <c r="DQ84" s="1258"/>
      <c r="DR84" s="305"/>
      <c r="DS84" s="249"/>
      <c r="DT84" s="216"/>
      <c r="DU84" s="2518"/>
      <c r="DV84"/>
      <c r="DW84"/>
      <c r="DX84" s="305"/>
      <c r="DY84" s="249"/>
      <c r="DZ84" s="221"/>
      <c r="EA84" s="388"/>
      <c r="EB84" s="249"/>
      <c r="EC84" s="216"/>
      <c r="ED84" s="1461"/>
      <c r="EE84" s="249"/>
      <c r="EF84" s="216"/>
      <c r="EG84" s="355"/>
      <c r="EH84" s="1425"/>
      <c r="EI84" s="1470"/>
      <c r="EJ84" s="249"/>
      <c r="EK84" s="221"/>
      <c r="EL84" s="313"/>
      <c r="EM84" s="249"/>
      <c r="EN84" s="221"/>
      <c r="EO84" s="313"/>
      <c r="EP84" s="249"/>
      <c r="EQ84" s="216"/>
      <c r="ER84" s="313"/>
      <c r="ES84" s="249"/>
      <c r="ET84" s="216"/>
      <c r="EU84" s="313"/>
      <c r="EV84" s="249"/>
      <c r="EW84" s="216"/>
      <c r="EX84" s="2505"/>
      <c r="EY84" s="249"/>
      <c r="EZ84" s="221"/>
      <c r="FA84" s="313"/>
      <c r="FB84" s="249"/>
      <c r="FC84" s="221"/>
      <c r="FD84" s="313"/>
      <c r="FE84" s="249"/>
      <c r="FF84" s="221"/>
      <c r="FG84" s="313"/>
      <c r="FH84" s="249"/>
      <c r="FI84" s="216"/>
      <c r="FJ84" s="1435"/>
      <c r="FK84" s="216"/>
      <c r="FL84" s="1268"/>
      <c r="FM84" s="1655"/>
      <c r="FN84" s="1268"/>
      <c r="FO84" s="1655"/>
      <c r="FP84" s="1268"/>
      <c r="FQ84" s="1656"/>
      <c r="FR84" s="249"/>
      <c r="FS84" s="216"/>
      <c r="FT84" s="1657"/>
      <c r="FU84" s="1658"/>
      <c r="FV84" s="242"/>
      <c r="FW84" s="2522"/>
      <c r="FX84" s="2523"/>
      <c r="FY84" s="336"/>
      <c r="FZ84" s="223"/>
      <c r="GA84" s="338"/>
      <c r="GB84" s="204"/>
      <c r="GC84" s="339"/>
      <c r="GD84" s="342"/>
      <c r="GE84" s="199"/>
      <c r="GF84" s="199"/>
      <c r="GG84" s="199"/>
      <c r="GH84" s="199"/>
      <c r="GI84" s="199"/>
      <c r="GJ84" s="199"/>
      <c r="GK84" s="199"/>
      <c r="GL84" s="49"/>
      <c r="GM84" s="28"/>
      <c r="GN84" s="28"/>
      <c r="GO84" s="322"/>
      <c r="GP84" s="1190"/>
      <c r="GQ84" s="1190"/>
      <c r="GR84" s="49"/>
      <c r="GS84" s="2879"/>
      <c r="GT84" s="2880"/>
      <c r="GU84" s="2881"/>
      <c r="GV84" s="49"/>
      <c r="GW84" s="49"/>
      <c r="GX84" s="49"/>
      <c r="GY84" s="49"/>
      <c r="GZ84" s="49"/>
      <c r="HA84" s="49"/>
      <c r="HB84" s="49"/>
      <c r="HC84" s="49"/>
      <c r="HD84" s="49"/>
      <c r="HE84" s="49"/>
      <c r="HF84" s="49"/>
      <c r="HG84" s="49"/>
      <c r="HH84" s="49"/>
      <c r="HI84" s="49"/>
      <c r="HJ84" s="49"/>
      <c r="HK84" s="49"/>
      <c r="HL84" s="49"/>
      <c r="HM84" s="49"/>
      <c r="HN84" s="49"/>
      <c r="HO84" s="49"/>
      <c r="HP84" s="49"/>
      <c r="HQ84" s="49"/>
      <c r="HR84" s="49"/>
      <c r="HS84" s="49"/>
      <c r="HT84" s="49"/>
      <c r="HU84" s="49"/>
      <c r="HV84" s="49"/>
      <c r="HW84" s="49"/>
      <c r="HX84" s="49"/>
      <c r="HY84" s="49"/>
      <c r="HZ84" s="49"/>
      <c r="IA84" s="49"/>
      <c r="IB84" s="49"/>
      <c r="IC84" s="49"/>
      <c r="ID84" s="49"/>
      <c r="IE84" s="49"/>
      <c r="IF84" s="49"/>
      <c r="IG84" s="49"/>
      <c r="IH84" s="49"/>
      <c r="II84" s="49"/>
      <c r="IJ84" s="49"/>
      <c r="IK84" s="49"/>
      <c r="IL84" s="49"/>
      <c r="IM84" s="49"/>
      <c r="IN84" s="49"/>
      <c r="IO84" s="49"/>
      <c r="IP84" s="49"/>
      <c r="IQ84" s="49"/>
      <c r="IR84" s="49"/>
      <c r="IS84" s="49"/>
      <c r="IT84" s="49"/>
      <c r="IU84" s="49"/>
      <c r="IV84" s="49"/>
    </row>
    <row r="85" spans="1:256" s="198" customFormat="1" ht="12" customHeight="1">
      <c r="A85" s="1252"/>
      <c r="B85" s="200"/>
      <c r="C85" s="486"/>
      <c r="D85" s="203"/>
      <c r="E85" s="203"/>
      <c r="F85" s="203"/>
      <c r="G85" s="203"/>
      <c r="H85" s="175"/>
      <c r="I85" s="1265"/>
      <c r="J85" s="1265"/>
      <c r="K85" s="175"/>
      <c r="L85" s="1265"/>
      <c r="M85" s="1265"/>
      <c r="N85" s="1265"/>
      <c r="O85" s="1265"/>
      <c r="P85" s="1265"/>
      <c r="Q85" s="999"/>
      <c r="R85" s="999"/>
      <c r="S85" s="999"/>
      <c r="T85" s="2801"/>
      <c r="U85" s="233"/>
      <c r="V85" s="49"/>
      <c r="W85" s="218"/>
      <c r="X85" s="218"/>
      <c r="Y85" s="216"/>
      <c r="Z85" s="216"/>
      <c r="AA85" s="215"/>
      <c r="AB85" s="216"/>
      <c r="AC85" s="216"/>
      <c r="AD85" s="239"/>
      <c r="AE85" s="216"/>
      <c r="AF85" s="216"/>
      <c r="AG85" s="216"/>
      <c r="AH85" s="216"/>
      <c r="AI85" s="216"/>
      <c r="AJ85" s="216"/>
      <c r="AK85" s="239"/>
      <c r="AL85" s="216"/>
      <c r="AM85" s="216"/>
      <c r="AN85" s="216"/>
      <c r="AO85" s="216"/>
      <c r="AP85" s="216"/>
      <c r="AQ85" s="216"/>
      <c r="AR85" s="216"/>
      <c r="AS85" s="216"/>
      <c r="AT85" s="216"/>
      <c r="AU85" s="216"/>
      <c r="AV85" s="217"/>
      <c r="AW85" s="355"/>
      <c r="AX85" s="217"/>
      <c r="AY85" s="1559"/>
      <c r="AZ85" s="249"/>
      <c r="BA85" s="221"/>
      <c r="BB85" s="300"/>
      <c r="BC85" s="217"/>
      <c r="BD85" s="392"/>
      <c r="BE85" s="1244"/>
      <c r="BF85" s="249"/>
      <c r="BG85" s="252"/>
      <c r="BH85" s="1469"/>
      <c r="BI85" s="216"/>
      <c r="BJ85" s="1469"/>
      <c r="BK85" s="1459"/>
      <c r="BL85" s="260"/>
      <c r="BM85" s="214"/>
      <c r="BN85" s="293"/>
      <c r="BO85" s="217"/>
      <c r="BP85" s="355"/>
      <c r="BQ85" s="217"/>
      <c r="BR85" s="1193"/>
      <c r="BS85" s="249"/>
      <c r="BT85" s="216"/>
      <c r="BU85" s="1195"/>
      <c r="BV85" s="249"/>
      <c r="BW85" s="216"/>
      <c r="BX85" s="1195"/>
      <c r="BY85" s="249"/>
      <c r="BZ85" s="216"/>
      <c r="CA85" s="1195"/>
      <c r="CB85" s="249"/>
      <c r="CC85" s="216"/>
      <c r="CD85" s="1195"/>
      <c r="CE85" s="249"/>
      <c r="CF85" s="216"/>
      <c r="CG85" s="1195"/>
      <c r="CH85" s="249"/>
      <c r="CI85" s="216"/>
      <c r="CJ85" s="1195"/>
      <c r="CK85" s="249"/>
      <c r="CL85" s="216"/>
      <c r="CM85" s="1194"/>
      <c r="CN85" s="1524"/>
      <c r="CO85" s="217"/>
      <c r="CP85" s="1193"/>
      <c r="CQ85" s="293"/>
      <c r="CR85" s="217"/>
      <c r="CS85" s="305"/>
      <c r="CT85" s="249"/>
      <c r="CU85" s="216"/>
      <c r="CV85" s="1193"/>
      <c r="CW85" s="249"/>
      <c r="CX85" s="216"/>
      <c r="CY85" s="305"/>
      <c r="CZ85" s="249"/>
      <c r="DA85" s="216"/>
      <c r="DB85" s="307"/>
      <c r="DC85" s="328"/>
      <c r="DD85" s="322"/>
      <c r="DE85" s="305"/>
      <c r="DF85" s="249"/>
      <c r="DG85" s="216"/>
      <c r="DH85" s="305"/>
      <c r="DI85" s="249"/>
      <c r="DJ85" s="216"/>
      <c r="DK85" s="309"/>
      <c r="DL85" s="293"/>
      <c r="DM85" s="326"/>
      <c r="DN85" s="1256"/>
      <c r="DO85" s="214"/>
      <c r="DP85" s="1257"/>
      <c r="DQ85" s="1258"/>
      <c r="DR85" s="305"/>
      <c r="DS85" s="249"/>
      <c r="DT85" s="216"/>
      <c r="DU85" s="2518"/>
      <c r="DV85"/>
      <c r="DW85"/>
      <c r="DX85" s="305"/>
      <c r="DY85" s="249"/>
      <c r="DZ85" s="221"/>
      <c r="EA85" s="388"/>
      <c r="EB85" s="249"/>
      <c r="EC85" s="216"/>
      <c r="ED85" s="1461"/>
      <c r="EE85" s="249"/>
      <c r="EF85" s="216"/>
      <c r="EG85" s="355"/>
      <c r="EH85" s="1425"/>
      <c r="EI85" s="1470"/>
      <c r="EJ85" s="249"/>
      <c r="EK85" s="221"/>
      <c r="EL85" s="313"/>
      <c r="EM85" s="249"/>
      <c r="EN85" s="221"/>
      <c r="EO85" s="313"/>
      <c r="EP85" s="249"/>
      <c r="EQ85" s="216"/>
      <c r="ER85" s="313"/>
      <c r="ES85" s="249"/>
      <c r="ET85" s="216"/>
      <c r="EU85" s="313"/>
      <c r="EV85" s="249"/>
      <c r="EW85" s="216"/>
      <c r="EX85" s="2505"/>
      <c r="EY85" s="249"/>
      <c r="EZ85" s="221"/>
      <c r="FA85" s="313"/>
      <c r="FB85" s="249"/>
      <c r="FC85" s="221"/>
      <c r="FD85" s="313"/>
      <c r="FE85" s="249"/>
      <c r="FF85" s="221"/>
      <c r="FG85" s="313"/>
      <c r="FH85" s="249"/>
      <c r="FI85" s="216"/>
      <c r="FJ85" s="1435"/>
      <c r="FK85" s="216"/>
      <c r="FL85" s="1268"/>
      <c r="FM85" s="1655"/>
      <c r="FN85" s="1268"/>
      <c r="FO85" s="1655"/>
      <c r="FP85" s="1268"/>
      <c r="FQ85" s="1656"/>
      <c r="FR85" s="249"/>
      <c r="FS85" s="216"/>
      <c r="FT85" s="1657"/>
      <c r="FU85" s="1658"/>
      <c r="FV85" s="242"/>
      <c r="FW85" s="2522"/>
      <c r="FX85" s="2523"/>
      <c r="FY85" s="336"/>
      <c r="FZ85" s="223"/>
      <c r="GA85" s="338"/>
      <c r="GB85" s="204"/>
      <c r="GC85" s="339"/>
      <c r="GD85" s="342"/>
      <c r="GE85" s="199"/>
      <c r="GF85" s="199"/>
      <c r="GG85" s="199"/>
      <c r="GH85" s="199"/>
      <c r="GI85" s="199"/>
      <c r="GJ85" s="199"/>
      <c r="GK85" s="199"/>
      <c r="GL85" s="49"/>
      <c r="GM85" s="28"/>
      <c r="GN85" s="28"/>
      <c r="GO85" s="322"/>
      <c r="GP85" s="1190"/>
      <c r="GQ85" s="1190"/>
      <c r="GR85" s="49"/>
      <c r="GS85" s="2879"/>
      <c r="GT85" s="2880"/>
      <c r="GU85" s="2881"/>
      <c r="GV85" s="49"/>
      <c r="GW85" s="49"/>
      <c r="GX85" s="49"/>
      <c r="GY85" s="49"/>
      <c r="GZ85" s="49"/>
      <c r="HA85" s="49"/>
      <c r="HB85" s="49"/>
      <c r="HC85" s="49"/>
      <c r="HD85" s="49"/>
      <c r="HE85" s="49"/>
      <c r="HF85" s="49"/>
      <c r="HG85" s="49"/>
      <c r="HH85" s="49"/>
      <c r="HI85" s="49"/>
      <c r="HJ85" s="49"/>
      <c r="HK85" s="49"/>
      <c r="HL85" s="49"/>
      <c r="HM85" s="49"/>
      <c r="HN85" s="49"/>
      <c r="HO85" s="49"/>
      <c r="HP85" s="49"/>
      <c r="HQ85" s="49"/>
      <c r="HR85" s="49"/>
      <c r="HS85" s="49"/>
      <c r="HT85" s="49"/>
      <c r="HU85" s="49"/>
      <c r="HV85" s="49"/>
      <c r="HW85" s="49"/>
      <c r="HX85" s="49"/>
      <c r="HY85" s="49"/>
      <c r="HZ85" s="49"/>
      <c r="IA85" s="49"/>
      <c r="IB85" s="49"/>
      <c r="IC85" s="49"/>
      <c r="ID85" s="49"/>
      <c r="IE85" s="49"/>
      <c r="IF85" s="49"/>
      <c r="IG85" s="49"/>
      <c r="IH85" s="49"/>
      <c r="II85" s="49"/>
      <c r="IJ85" s="49"/>
      <c r="IK85" s="49"/>
      <c r="IL85" s="49"/>
      <c r="IM85" s="49"/>
      <c r="IN85" s="49"/>
      <c r="IO85" s="49"/>
      <c r="IP85" s="49"/>
      <c r="IQ85" s="49"/>
      <c r="IR85" s="49"/>
      <c r="IS85" s="49"/>
      <c r="IT85" s="49"/>
      <c r="IU85" s="49"/>
      <c r="IV85" s="49"/>
    </row>
    <row r="86" spans="1:256" s="198" customFormat="1" ht="12" customHeight="1">
      <c r="A86" s="1252"/>
      <c r="B86" s="200"/>
      <c r="C86" s="486"/>
      <c r="D86" s="203"/>
      <c r="E86" s="203"/>
      <c r="F86" s="203"/>
      <c r="G86" s="203"/>
      <c r="H86" s="175"/>
      <c r="I86" s="1265"/>
      <c r="J86" s="1265"/>
      <c r="K86" s="175"/>
      <c r="L86" s="1265"/>
      <c r="M86" s="1265"/>
      <c r="N86" s="1265"/>
      <c r="O86" s="1265"/>
      <c r="P86" s="1265"/>
      <c r="Q86" s="999"/>
      <c r="R86" s="999"/>
      <c r="S86" s="999"/>
      <c r="T86" s="2801"/>
      <c r="U86" s="233"/>
      <c r="V86" s="49"/>
      <c r="W86" s="218"/>
      <c r="X86" s="218"/>
      <c r="Y86" s="216"/>
      <c r="Z86" s="216"/>
      <c r="AA86" s="215"/>
      <c r="AB86" s="216"/>
      <c r="AC86" s="216"/>
      <c r="AD86" s="239"/>
      <c r="AE86" s="216"/>
      <c r="AF86" s="216"/>
      <c r="AG86" s="216"/>
      <c r="AH86" s="216"/>
      <c r="AI86" s="216"/>
      <c r="AJ86" s="216"/>
      <c r="AK86" s="239"/>
      <c r="AL86" s="216"/>
      <c r="AM86" s="216"/>
      <c r="AN86" s="216"/>
      <c r="AO86" s="216"/>
      <c r="AP86" s="216"/>
      <c r="AQ86" s="216"/>
      <c r="AR86" s="216"/>
      <c r="AS86" s="216"/>
      <c r="AT86" s="216"/>
      <c r="AU86" s="216"/>
      <c r="AV86" s="217"/>
      <c r="AW86" s="355"/>
      <c r="AX86" s="217"/>
      <c r="AY86" s="1559"/>
      <c r="AZ86" s="249"/>
      <c r="BA86" s="221"/>
      <c r="BB86" s="300"/>
      <c r="BC86" s="217"/>
      <c r="BD86" s="392"/>
      <c r="BE86" s="1244"/>
      <c r="BF86" s="249"/>
      <c r="BG86" s="252"/>
      <c r="BH86" s="1469"/>
      <c r="BI86" s="216"/>
      <c r="BJ86" s="1469"/>
      <c r="BK86" s="1459"/>
      <c r="BL86" s="260"/>
      <c r="BM86" s="214"/>
      <c r="BN86" s="293"/>
      <c r="BO86" s="217"/>
      <c r="BP86" s="355"/>
      <c r="BQ86" s="217"/>
      <c r="BR86" s="1193"/>
      <c r="BS86" s="249"/>
      <c r="BT86" s="216"/>
      <c r="BU86" s="1195"/>
      <c r="BV86" s="249"/>
      <c r="BW86" s="216"/>
      <c r="BX86" s="1195"/>
      <c r="BY86" s="249"/>
      <c r="BZ86" s="216"/>
      <c r="CA86" s="1195"/>
      <c r="CB86" s="249"/>
      <c r="CC86" s="216"/>
      <c r="CD86" s="1195"/>
      <c r="CE86" s="249"/>
      <c r="CF86" s="216"/>
      <c r="CG86" s="1195"/>
      <c r="CH86" s="249"/>
      <c r="CI86" s="216"/>
      <c r="CJ86" s="1195"/>
      <c r="CK86" s="249"/>
      <c r="CL86" s="216"/>
      <c r="CM86" s="1194"/>
      <c r="CN86" s="1524"/>
      <c r="CO86" s="217"/>
      <c r="CP86" s="1193"/>
      <c r="CQ86" s="293"/>
      <c r="CR86" s="217"/>
      <c r="CS86" s="305"/>
      <c r="CT86" s="249"/>
      <c r="CU86" s="216"/>
      <c r="CV86" s="1193"/>
      <c r="CW86" s="249"/>
      <c r="CX86" s="216"/>
      <c r="CY86" s="305"/>
      <c r="CZ86" s="249"/>
      <c r="DA86" s="216"/>
      <c r="DB86" s="307"/>
      <c r="DC86" s="328"/>
      <c r="DD86" s="322"/>
      <c r="DE86" s="305"/>
      <c r="DF86" s="249"/>
      <c r="DG86" s="216"/>
      <c r="DH86" s="305"/>
      <c r="DI86" s="249"/>
      <c r="DJ86" s="216"/>
      <c r="DK86" s="309"/>
      <c r="DL86" s="293"/>
      <c r="DM86" s="326"/>
      <c r="DN86" s="1256"/>
      <c r="DO86" s="214"/>
      <c r="DP86" s="1257"/>
      <c r="DQ86" s="1258"/>
      <c r="DR86" s="305"/>
      <c r="DS86" s="249"/>
      <c r="DT86" s="216"/>
      <c r="DU86" s="2518"/>
      <c r="DV86"/>
      <c r="DW86"/>
      <c r="DX86" s="305"/>
      <c r="DY86" s="249"/>
      <c r="DZ86" s="221"/>
      <c r="EA86" s="388"/>
      <c r="EB86" s="249"/>
      <c r="EC86" s="216"/>
      <c r="ED86" s="1461"/>
      <c r="EE86" s="249"/>
      <c r="EF86" s="216"/>
      <c r="EG86" s="355"/>
      <c r="EH86" s="1425"/>
      <c r="EI86" s="1470"/>
      <c r="EJ86" s="249"/>
      <c r="EK86" s="221"/>
      <c r="EL86" s="313"/>
      <c r="EM86" s="249"/>
      <c r="EN86" s="221"/>
      <c r="EO86" s="313"/>
      <c r="EP86" s="249"/>
      <c r="EQ86" s="216"/>
      <c r="ER86" s="313"/>
      <c r="ES86" s="249"/>
      <c r="ET86" s="216"/>
      <c r="EU86" s="313"/>
      <c r="EV86" s="249"/>
      <c r="EW86" s="216"/>
      <c r="EX86" s="2505"/>
      <c r="EY86" s="249"/>
      <c r="EZ86" s="221"/>
      <c r="FA86" s="313"/>
      <c r="FB86" s="249"/>
      <c r="FC86" s="221"/>
      <c r="FD86" s="313"/>
      <c r="FE86" s="249"/>
      <c r="FF86" s="221"/>
      <c r="FG86" s="313"/>
      <c r="FH86" s="249"/>
      <c r="FI86" s="216"/>
      <c r="FJ86" s="1435"/>
      <c r="FK86" s="216"/>
      <c r="FL86" s="1268"/>
      <c r="FM86" s="1655"/>
      <c r="FN86" s="1268"/>
      <c r="FO86" s="1655"/>
      <c r="FP86" s="1268"/>
      <c r="FQ86" s="1656"/>
      <c r="FR86" s="249"/>
      <c r="FS86" s="216"/>
      <c r="FT86" s="1657"/>
      <c r="FU86" s="1658"/>
      <c r="FV86" s="242"/>
      <c r="FW86" s="2522"/>
      <c r="FX86" s="2523"/>
      <c r="FY86" s="336"/>
      <c r="FZ86" s="223"/>
      <c r="GA86" s="338"/>
      <c r="GB86" s="204"/>
      <c r="GC86" s="339"/>
      <c r="GD86" s="342"/>
      <c r="GE86" s="199"/>
      <c r="GF86" s="199"/>
      <c r="GG86" s="199"/>
      <c r="GH86" s="199"/>
      <c r="GI86" s="199"/>
      <c r="GJ86" s="199"/>
      <c r="GK86" s="199"/>
      <c r="GL86" s="49"/>
      <c r="GM86" s="28"/>
      <c r="GN86" s="28"/>
      <c r="GO86" s="322"/>
      <c r="GP86" s="1190"/>
      <c r="GQ86" s="1190"/>
      <c r="GR86" s="49"/>
      <c r="GS86" s="2879"/>
      <c r="GT86" s="2880"/>
      <c r="GU86" s="2881"/>
      <c r="GV86" s="49"/>
      <c r="GW86" s="49"/>
      <c r="GX86" s="49"/>
      <c r="GY86" s="49"/>
      <c r="GZ86" s="49"/>
      <c r="HA86" s="49"/>
      <c r="HB86" s="49"/>
      <c r="HC86" s="49"/>
      <c r="HD86" s="49"/>
      <c r="HE86" s="49"/>
      <c r="HF86" s="49"/>
      <c r="HG86" s="49"/>
      <c r="HH86" s="49"/>
      <c r="HI86" s="49"/>
      <c r="HJ86" s="49"/>
      <c r="HK86" s="49"/>
      <c r="HL86" s="49"/>
      <c r="HM86" s="49"/>
      <c r="HN86" s="49"/>
      <c r="HO86" s="49"/>
      <c r="HP86" s="49"/>
      <c r="HQ86" s="49"/>
      <c r="HR86" s="49"/>
      <c r="HS86" s="49"/>
      <c r="HT86" s="49"/>
      <c r="HU86" s="49"/>
      <c r="HV86" s="49"/>
      <c r="HW86" s="49"/>
      <c r="HX86" s="49"/>
      <c r="HY86" s="49"/>
      <c r="HZ86" s="49"/>
      <c r="IA86" s="49"/>
      <c r="IB86" s="49"/>
      <c r="IC86" s="49"/>
      <c r="ID86" s="49"/>
      <c r="IE86" s="49"/>
      <c r="IF86" s="49"/>
      <c r="IG86" s="49"/>
      <c r="IH86" s="49"/>
      <c r="II86" s="49"/>
      <c r="IJ86" s="49"/>
      <c r="IK86" s="49"/>
      <c r="IL86" s="49"/>
      <c r="IM86" s="49"/>
      <c r="IN86" s="49"/>
      <c r="IO86" s="49"/>
      <c r="IP86" s="49"/>
      <c r="IQ86" s="49"/>
      <c r="IR86" s="49"/>
      <c r="IS86" s="49"/>
      <c r="IT86" s="49"/>
      <c r="IU86" s="49"/>
      <c r="IV86" s="49"/>
    </row>
    <row r="87" spans="1:256" s="198" customFormat="1" ht="12" customHeight="1">
      <c r="A87" s="1252"/>
      <c r="B87" s="200"/>
      <c r="C87" s="486"/>
      <c r="D87" s="203"/>
      <c r="E87" s="203"/>
      <c r="F87" s="203"/>
      <c r="G87" s="203"/>
      <c r="H87" s="175"/>
      <c r="I87" s="1265"/>
      <c r="J87" s="1265"/>
      <c r="K87" s="175"/>
      <c r="L87" s="1265"/>
      <c r="M87" s="1265"/>
      <c r="N87" s="1265"/>
      <c r="O87" s="1265"/>
      <c r="P87" s="1265"/>
      <c r="Q87" s="999"/>
      <c r="R87" s="999"/>
      <c r="S87" s="999"/>
      <c r="T87" s="2801"/>
      <c r="U87" s="233"/>
      <c r="V87" s="49"/>
      <c r="W87" s="218"/>
      <c r="X87" s="218"/>
      <c r="Y87" s="216"/>
      <c r="Z87" s="216"/>
      <c r="AA87" s="215"/>
      <c r="AB87" s="216"/>
      <c r="AC87" s="216"/>
      <c r="AD87" s="239"/>
      <c r="AE87" s="216"/>
      <c r="AF87" s="216"/>
      <c r="AG87" s="216"/>
      <c r="AH87" s="216"/>
      <c r="AI87" s="216"/>
      <c r="AJ87" s="216"/>
      <c r="AK87" s="239"/>
      <c r="AL87" s="216"/>
      <c r="AM87" s="216"/>
      <c r="AN87" s="216"/>
      <c r="AO87" s="216"/>
      <c r="AP87" s="216"/>
      <c r="AQ87" s="216"/>
      <c r="AR87" s="216"/>
      <c r="AS87" s="216"/>
      <c r="AT87" s="216"/>
      <c r="AU87" s="216"/>
      <c r="AV87" s="217"/>
      <c r="AW87" s="355"/>
      <c r="AX87" s="217"/>
      <c r="AY87" s="1559"/>
      <c r="AZ87" s="249"/>
      <c r="BA87" s="221"/>
      <c r="BB87" s="300"/>
      <c r="BC87" s="217"/>
      <c r="BD87" s="392"/>
      <c r="BE87" s="1244"/>
      <c r="BF87" s="249"/>
      <c r="BG87" s="252"/>
      <c r="BH87" s="1469"/>
      <c r="BI87" s="216"/>
      <c r="BJ87" s="1469"/>
      <c r="BK87" s="1459"/>
      <c r="BL87" s="260"/>
      <c r="BM87" s="214"/>
      <c r="BN87" s="293"/>
      <c r="BO87" s="217"/>
      <c r="BP87" s="355"/>
      <c r="BQ87" s="217"/>
      <c r="BR87" s="1193"/>
      <c r="BS87" s="249"/>
      <c r="BT87" s="216"/>
      <c r="BU87" s="1195"/>
      <c r="BV87" s="249"/>
      <c r="BW87" s="216"/>
      <c r="BX87" s="1195"/>
      <c r="BY87" s="249"/>
      <c r="BZ87" s="216"/>
      <c r="CA87" s="1195"/>
      <c r="CB87" s="249"/>
      <c r="CC87" s="216"/>
      <c r="CD87" s="1195"/>
      <c r="CE87" s="249"/>
      <c r="CF87" s="216"/>
      <c r="CG87" s="1195"/>
      <c r="CH87" s="249"/>
      <c r="CI87" s="216"/>
      <c r="CJ87" s="1195"/>
      <c r="CK87" s="249"/>
      <c r="CL87" s="216"/>
      <c r="CM87" s="1194"/>
      <c r="CN87" s="1524"/>
      <c r="CO87" s="217"/>
      <c r="CP87" s="1193"/>
      <c r="CQ87" s="293"/>
      <c r="CR87" s="217"/>
      <c r="CS87" s="305"/>
      <c r="CT87" s="249"/>
      <c r="CU87" s="216"/>
      <c r="CV87" s="1193"/>
      <c r="CW87" s="249"/>
      <c r="CX87" s="216"/>
      <c r="CY87" s="305"/>
      <c r="CZ87" s="249"/>
      <c r="DA87" s="216"/>
      <c r="DB87" s="307"/>
      <c r="DC87" s="328"/>
      <c r="DD87" s="322"/>
      <c r="DE87" s="305"/>
      <c r="DF87" s="249"/>
      <c r="DG87" s="216"/>
      <c r="DH87" s="305"/>
      <c r="DI87" s="249"/>
      <c r="DJ87" s="216"/>
      <c r="DK87" s="309"/>
      <c r="DL87" s="293"/>
      <c r="DM87" s="326"/>
      <c r="DN87" s="1256"/>
      <c r="DO87" s="214"/>
      <c r="DP87" s="1257"/>
      <c r="DQ87" s="1258"/>
      <c r="DR87" s="305"/>
      <c r="DS87" s="249"/>
      <c r="DT87" s="216"/>
      <c r="DU87" s="2518"/>
      <c r="DV87"/>
      <c r="DW87"/>
      <c r="DX87" s="305"/>
      <c r="DY87" s="249"/>
      <c r="DZ87" s="221"/>
      <c r="EA87" s="388"/>
      <c r="EB87" s="249"/>
      <c r="EC87" s="216"/>
      <c r="ED87" s="1461"/>
      <c r="EE87" s="249"/>
      <c r="EF87" s="216"/>
      <c r="EG87" s="355"/>
      <c r="EH87" s="1425"/>
      <c r="EI87" s="1470"/>
      <c r="EJ87" s="249"/>
      <c r="EK87" s="221"/>
      <c r="EL87" s="313"/>
      <c r="EM87" s="249"/>
      <c r="EN87" s="221"/>
      <c r="EO87" s="313"/>
      <c r="EP87" s="249"/>
      <c r="EQ87" s="216"/>
      <c r="ER87" s="313"/>
      <c r="ES87" s="249"/>
      <c r="ET87" s="216"/>
      <c r="EU87" s="313"/>
      <c r="EV87" s="249"/>
      <c r="EW87" s="216"/>
      <c r="EX87" s="2505"/>
      <c r="EY87" s="249"/>
      <c r="EZ87" s="221"/>
      <c r="FA87" s="313"/>
      <c r="FB87" s="249"/>
      <c r="FC87" s="221"/>
      <c r="FD87" s="313"/>
      <c r="FE87" s="249"/>
      <c r="FF87" s="221"/>
      <c r="FG87" s="313"/>
      <c r="FH87" s="249"/>
      <c r="FI87" s="216"/>
      <c r="FJ87" s="1435"/>
      <c r="FK87" s="216"/>
      <c r="FL87" s="1268"/>
      <c r="FM87" s="1655"/>
      <c r="FN87" s="1268"/>
      <c r="FO87" s="1655"/>
      <c r="FP87" s="1268"/>
      <c r="FQ87" s="1656"/>
      <c r="FR87" s="249"/>
      <c r="FS87" s="216"/>
      <c r="FT87" s="1657"/>
      <c r="FU87" s="1658"/>
      <c r="FV87" s="242"/>
      <c r="FW87" s="2522"/>
      <c r="FX87" s="2523"/>
      <c r="FY87" s="336"/>
      <c r="FZ87" s="223"/>
      <c r="GA87" s="338"/>
      <c r="GB87" s="204"/>
      <c r="GC87" s="339"/>
      <c r="GD87" s="342"/>
      <c r="GE87" s="199"/>
      <c r="GF87" s="199"/>
      <c r="GG87" s="199"/>
      <c r="GH87" s="199"/>
      <c r="GI87" s="199"/>
      <c r="GJ87" s="199"/>
      <c r="GK87" s="199"/>
      <c r="GL87" s="49"/>
      <c r="GM87" s="28"/>
      <c r="GN87" s="28"/>
      <c r="GO87" s="322"/>
      <c r="GP87" s="1190"/>
      <c r="GQ87" s="1190"/>
      <c r="GR87" s="49"/>
      <c r="GS87" s="2879"/>
      <c r="GT87" s="2880"/>
      <c r="GU87" s="2881"/>
      <c r="GV87" s="49"/>
      <c r="GW87" s="49"/>
      <c r="GX87" s="49"/>
      <c r="GY87" s="49"/>
      <c r="GZ87" s="49"/>
      <c r="HA87" s="49"/>
      <c r="HB87" s="49"/>
      <c r="HC87" s="49"/>
      <c r="HD87" s="49"/>
      <c r="HE87" s="49"/>
      <c r="HF87" s="49"/>
      <c r="HG87" s="49"/>
      <c r="HH87" s="49"/>
      <c r="HI87" s="49"/>
      <c r="HJ87" s="49"/>
      <c r="HK87" s="49"/>
      <c r="HL87" s="49"/>
      <c r="HM87" s="49"/>
      <c r="HN87" s="49"/>
      <c r="HO87" s="49"/>
      <c r="HP87" s="49"/>
      <c r="HQ87" s="49"/>
      <c r="HR87" s="49"/>
      <c r="HS87" s="49"/>
      <c r="HT87" s="49"/>
      <c r="HU87" s="49"/>
      <c r="HV87" s="49"/>
      <c r="HW87" s="49"/>
      <c r="HX87" s="49"/>
      <c r="HY87" s="49"/>
      <c r="HZ87" s="49"/>
      <c r="IA87" s="49"/>
      <c r="IB87" s="49"/>
      <c r="IC87" s="49"/>
      <c r="ID87" s="49"/>
      <c r="IE87" s="49"/>
      <c r="IF87" s="49"/>
      <c r="IG87" s="49"/>
      <c r="IH87" s="49"/>
      <c r="II87" s="49"/>
      <c r="IJ87" s="49"/>
      <c r="IK87" s="49"/>
      <c r="IL87" s="49"/>
      <c r="IM87" s="49"/>
      <c r="IN87" s="49"/>
      <c r="IO87" s="49"/>
      <c r="IP87" s="49"/>
      <c r="IQ87" s="49"/>
      <c r="IR87" s="49"/>
      <c r="IS87" s="49"/>
      <c r="IT87" s="49"/>
      <c r="IU87" s="49"/>
      <c r="IV87" s="49"/>
    </row>
    <row r="88" spans="1:256" s="198" customFormat="1" ht="12" customHeight="1">
      <c r="A88" s="1252"/>
      <c r="B88" s="200"/>
      <c r="C88" s="486"/>
      <c r="D88" s="203"/>
      <c r="E88" s="203"/>
      <c r="F88" s="203"/>
      <c r="G88" s="203"/>
      <c r="H88" s="175"/>
      <c r="I88" s="1265"/>
      <c r="J88" s="1265"/>
      <c r="K88" s="175"/>
      <c r="L88" s="1265"/>
      <c r="M88" s="1265"/>
      <c r="N88" s="1265"/>
      <c r="O88" s="1265"/>
      <c r="P88" s="1265"/>
      <c r="Q88" s="999"/>
      <c r="R88" s="999"/>
      <c r="S88" s="999"/>
      <c r="T88" s="2801"/>
      <c r="U88" s="233"/>
      <c r="V88" s="49"/>
      <c r="W88" s="218"/>
      <c r="X88" s="218"/>
      <c r="Y88" s="216"/>
      <c r="Z88" s="216"/>
      <c r="AA88" s="215"/>
      <c r="AB88" s="216"/>
      <c r="AC88" s="216"/>
      <c r="AD88" s="239"/>
      <c r="AE88" s="216"/>
      <c r="AF88" s="216"/>
      <c r="AG88" s="216"/>
      <c r="AH88" s="216"/>
      <c r="AI88" s="216"/>
      <c r="AJ88" s="216"/>
      <c r="AK88" s="239"/>
      <c r="AL88" s="216"/>
      <c r="AM88" s="216"/>
      <c r="AN88" s="216"/>
      <c r="AO88" s="216"/>
      <c r="AP88" s="216"/>
      <c r="AQ88" s="216"/>
      <c r="AR88" s="216"/>
      <c r="AS88" s="216"/>
      <c r="AT88" s="216"/>
      <c r="AU88" s="216"/>
      <c r="AV88" s="217"/>
      <c r="AW88" s="355"/>
      <c r="AX88" s="217"/>
      <c r="AY88" s="1559"/>
      <c r="AZ88" s="249"/>
      <c r="BA88" s="221"/>
      <c r="BB88" s="300"/>
      <c r="BC88" s="217"/>
      <c r="BD88" s="392"/>
      <c r="BE88" s="1244"/>
      <c r="BF88" s="249"/>
      <c r="BG88" s="252"/>
      <c r="BH88" s="1469"/>
      <c r="BI88" s="216"/>
      <c r="BJ88" s="1469"/>
      <c r="BK88" s="1459"/>
      <c r="BL88" s="260"/>
      <c r="BM88" s="214"/>
      <c r="BN88" s="293"/>
      <c r="BO88" s="217"/>
      <c r="BP88" s="355"/>
      <c r="BQ88" s="217"/>
      <c r="BR88" s="1193"/>
      <c r="BS88" s="249"/>
      <c r="BT88" s="216"/>
      <c r="BU88" s="1195"/>
      <c r="BV88" s="249"/>
      <c r="BW88" s="216"/>
      <c r="BX88" s="1195"/>
      <c r="BY88" s="249"/>
      <c r="BZ88" s="216"/>
      <c r="CA88" s="1195"/>
      <c r="CB88" s="249"/>
      <c r="CC88" s="216"/>
      <c r="CD88" s="1195"/>
      <c r="CE88" s="249"/>
      <c r="CF88" s="216"/>
      <c r="CG88" s="1195"/>
      <c r="CH88" s="249"/>
      <c r="CI88" s="216"/>
      <c r="CJ88" s="1195"/>
      <c r="CK88" s="249"/>
      <c r="CL88" s="216"/>
      <c r="CM88" s="1194"/>
      <c r="CN88" s="1524"/>
      <c r="CO88" s="217"/>
      <c r="CP88" s="1193"/>
      <c r="CQ88" s="293"/>
      <c r="CR88" s="217"/>
      <c r="CS88" s="305"/>
      <c r="CT88" s="249"/>
      <c r="CU88" s="216"/>
      <c r="CV88" s="1193"/>
      <c r="CW88" s="249"/>
      <c r="CX88" s="216"/>
      <c r="CY88" s="305"/>
      <c r="CZ88" s="249"/>
      <c r="DA88" s="216"/>
      <c r="DB88" s="307"/>
      <c r="DC88" s="328"/>
      <c r="DD88" s="322"/>
      <c r="DE88" s="305"/>
      <c r="DF88" s="249"/>
      <c r="DG88" s="216"/>
      <c r="DH88" s="305"/>
      <c r="DI88" s="249"/>
      <c r="DJ88" s="216"/>
      <c r="DK88" s="309"/>
      <c r="DL88" s="293"/>
      <c r="DM88" s="326"/>
      <c r="DN88" s="1256"/>
      <c r="DO88" s="214"/>
      <c r="DP88" s="1257"/>
      <c r="DQ88" s="1258"/>
      <c r="DR88" s="305"/>
      <c r="DS88" s="249"/>
      <c r="DT88" s="216"/>
      <c r="DU88" s="2518"/>
      <c r="DV88"/>
      <c r="DW88"/>
      <c r="DX88" s="305"/>
      <c r="DY88" s="249"/>
      <c r="DZ88" s="221"/>
      <c r="EA88" s="388"/>
      <c r="EB88" s="249"/>
      <c r="EC88" s="216"/>
      <c r="ED88" s="1461"/>
      <c r="EE88" s="249"/>
      <c r="EF88" s="216"/>
      <c r="EG88" s="355"/>
      <c r="EH88" s="1425"/>
      <c r="EI88" s="1470"/>
      <c r="EJ88" s="249"/>
      <c r="EK88" s="221"/>
      <c r="EL88" s="313"/>
      <c r="EM88" s="249"/>
      <c r="EN88" s="221"/>
      <c r="EO88" s="313"/>
      <c r="EP88" s="249"/>
      <c r="EQ88" s="216"/>
      <c r="ER88" s="313"/>
      <c r="ES88" s="249"/>
      <c r="ET88" s="216"/>
      <c r="EU88" s="313"/>
      <c r="EV88" s="249"/>
      <c r="EW88" s="216"/>
      <c r="EX88" s="2505"/>
      <c r="EY88" s="249"/>
      <c r="EZ88" s="221"/>
      <c r="FA88" s="313"/>
      <c r="FB88" s="249"/>
      <c r="FC88" s="221"/>
      <c r="FD88" s="313"/>
      <c r="FE88" s="249"/>
      <c r="FF88" s="221"/>
      <c r="FG88" s="313"/>
      <c r="FH88" s="249"/>
      <c r="FI88" s="216"/>
      <c r="FJ88" s="1435"/>
      <c r="FK88" s="216"/>
      <c r="FL88" s="1268"/>
      <c r="FM88" s="1655"/>
      <c r="FN88" s="1268"/>
      <c r="FO88" s="1655"/>
      <c r="FP88" s="1268"/>
      <c r="FQ88" s="1656"/>
      <c r="FR88" s="249"/>
      <c r="FS88" s="216"/>
      <c r="FT88" s="1657"/>
      <c r="FU88" s="1658"/>
      <c r="FV88" s="242"/>
      <c r="FW88" s="2522"/>
      <c r="FX88" s="2523"/>
      <c r="FY88" s="336"/>
      <c r="FZ88" s="223"/>
      <c r="GA88" s="338"/>
      <c r="GB88" s="204"/>
      <c r="GC88" s="339"/>
      <c r="GD88" s="342"/>
      <c r="GE88" s="199"/>
      <c r="GF88" s="199"/>
      <c r="GG88" s="199"/>
      <c r="GH88" s="199"/>
      <c r="GI88" s="199"/>
      <c r="GJ88" s="199"/>
      <c r="GK88" s="199"/>
      <c r="GL88" s="49"/>
      <c r="GM88" s="28"/>
      <c r="GN88" s="28"/>
      <c r="GO88" s="322"/>
      <c r="GP88" s="1190"/>
      <c r="GQ88" s="1190"/>
      <c r="GR88" s="49"/>
      <c r="GS88" s="2879"/>
      <c r="GT88" s="2880"/>
      <c r="GU88" s="2881"/>
      <c r="GV88" s="49"/>
      <c r="GW88" s="49"/>
      <c r="GX88" s="49"/>
      <c r="GY88" s="49"/>
      <c r="GZ88" s="49"/>
      <c r="HA88" s="49"/>
      <c r="HB88" s="49"/>
      <c r="HC88" s="49"/>
      <c r="HD88" s="49"/>
      <c r="HE88" s="49"/>
      <c r="HF88" s="49"/>
      <c r="HG88" s="49"/>
      <c r="HH88" s="49"/>
      <c r="HI88" s="49"/>
      <c r="HJ88" s="49"/>
      <c r="HK88" s="49"/>
      <c r="HL88" s="49"/>
      <c r="HM88" s="49"/>
      <c r="HN88" s="49"/>
      <c r="HO88" s="49"/>
      <c r="HP88" s="49"/>
      <c r="HQ88" s="49"/>
      <c r="HR88" s="49"/>
      <c r="HS88" s="49"/>
      <c r="HT88" s="49"/>
      <c r="HU88" s="49"/>
      <c r="HV88" s="49"/>
      <c r="HW88" s="49"/>
      <c r="HX88" s="49"/>
      <c r="HY88" s="49"/>
      <c r="HZ88" s="49"/>
      <c r="IA88" s="49"/>
      <c r="IB88" s="49"/>
      <c r="IC88" s="49"/>
      <c r="ID88" s="49"/>
      <c r="IE88" s="49"/>
      <c r="IF88" s="49"/>
      <c r="IG88" s="49"/>
      <c r="IH88" s="49"/>
      <c r="II88" s="49"/>
      <c r="IJ88" s="49"/>
      <c r="IK88" s="49"/>
      <c r="IL88" s="49"/>
      <c r="IM88" s="49"/>
      <c r="IN88" s="49"/>
      <c r="IO88" s="49"/>
      <c r="IP88" s="49"/>
      <c r="IQ88" s="49"/>
      <c r="IR88" s="49"/>
      <c r="IS88" s="49"/>
      <c r="IT88" s="49"/>
      <c r="IU88" s="49"/>
      <c r="IV88" s="49"/>
    </row>
    <row r="89" spans="1:256" s="198" customFormat="1" ht="12" customHeight="1">
      <c r="A89" s="1252"/>
      <c r="B89" s="200"/>
      <c r="C89" s="486"/>
      <c r="D89" s="203"/>
      <c r="E89" s="203"/>
      <c r="F89" s="203"/>
      <c r="G89" s="203"/>
      <c r="H89" s="175"/>
      <c r="I89" s="1265"/>
      <c r="J89" s="1265"/>
      <c r="K89" s="175"/>
      <c r="L89" s="1265"/>
      <c r="M89" s="1265"/>
      <c r="N89" s="1265"/>
      <c r="O89" s="1265"/>
      <c r="P89" s="1265"/>
      <c r="Q89" s="999"/>
      <c r="R89" s="999"/>
      <c r="S89" s="999"/>
      <c r="T89" s="2801"/>
      <c r="U89" s="233"/>
      <c r="V89" s="49"/>
      <c r="W89" s="218"/>
      <c r="X89" s="218"/>
      <c r="Y89" s="216"/>
      <c r="Z89" s="216"/>
      <c r="AA89" s="215"/>
      <c r="AB89" s="216"/>
      <c r="AC89" s="216"/>
      <c r="AD89" s="239"/>
      <c r="AE89" s="216"/>
      <c r="AF89" s="216"/>
      <c r="AG89" s="216"/>
      <c r="AH89" s="216"/>
      <c r="AI89" s="216"/>
      <c r="AJ89" s="216"/>
      <c r="AK89" s="239"/>
      <c r="AL89" s="216"/>
      <c r="AM89" s="216"/>
      <c r="AN89" s="216"/>
      <c r="AO89" s="216"/>
      <c r="AP89" s="216"/>
      <c r="AQ89" s="216"/>
      <c r="AR89" s="216"/>
      <c r="AS89" s="216"/>
      <c r="AT89" s="216"/>
      <c r="AU89" s="216"/>
      <c r="AV89" s="217"/>
      <c r="AW89" s="355"/>
      <c r="AX89" s="217"/>
      <c r="AY89" s="1559"/>
      <c r="AZ89" s="249"/>
      <c r="BA89" s="221"/>
      <c r="BB89" s="300"/>
      <c r="BC89" s="217"/>
      <c r="BD89" s="392"/>
      <c r="BE89" s="1244"/>
      <c r="BF89" s="249"/>
      <c r="BG89" s="252"/>
      <c r="BH89" s="1469"/>
      <c r="BI89" s="216"/>
      <c r="BJ89" s="1469"/>
      <c r="BK89" s="1459"/>
      <c r="BL89" s="260"/>
      <c r="BM89" s="214"/>
      <c r="BN89" s="293"/>
      <c r="BO89" s="217"/>
      <c r="BP89" s="355"/>
      <c r="BQ89" s="217"/>
      <c r="BR89" s="1193"/>
      <c r="BS89" s="249"/>
      <c r="BT89" s="216"/>
      <c r="BU89" s="1195"/>
      <c r="BV89" s="249"/>
      <c r="BW89" s="216"/>
      <c r="BX89" s="1195"/>
      <c r="BY89" s="249"/>
      <c r="BZ89" s="216"/>
      <c r="CA89" s="1195"/>
      <c r="CB89" s="249"/>
      <c r="CC89" s="216"/>
      <c r="CD89" s="1195"/>
      <c r="CE89" s="249"/>
      <c r="CF89" s="216"/>
      <c r="CG89" s="1195"/>
      <c r="CH89" s="249"/>
      <c r="CI89" s="216"/>
      <c r="CJ89" s="1195"/>
      <c r="CK89" s="249"/>
      <c r="CL89" s="216"/>
      <c r="CM89" s="1194"/>
      <c r="CN89" s="1524"/>
      <c r="CO89" s="217"/>
      <c r="CP89" s="1193"/>
      <c r="CQ89" s="293"/>
      <c r="CR89" s="217"/>
      <c r="CS89" s="305"/>
      <c r="CT89" s="249"/>
      <c r="CU89" s="216"/>
      <c r="CV89" s="1193"/>
      <c r="CW89" s="249"/>
      <c r="CX89" s="216"/>
      <c r="CY89" s="305"/>
      <c r="CZ89" s="249"/>
      <c r="DA89" s="216"/>
      <c r="DB89" s="307"/>
      <c r="DC89" s="328"/>
      <c r="DD89" s="322"/>
      <c r="DE89" s="305"/>
      <c r="DF89" s="249"/>
      <c r="DG89" s="216"/>
      <c r="DH89" s="305"/>
      <c r="DI89" s="249"/>
      <c r="DJ89" s="216"/>
      <c r="DK89" s="309"/>
      <c r="DL89" s="293"/>
      <c r="DM89" s="326"/>
      <c r="DN89" s="1256"/>
      <c r="DO89" s="214"/>
      <c r="DP89" s="1257"/>
      <c r="DQ89" s="1258"/>
      <c r="DR89" s="305"/>
      <c r="DS89" s="249"/>
      <c r="DT89" s="216"/>
      <c r="DU89" s="2518"/>
      <c r="DV89"/>
      <c r="DW89"/>
      <c r="DX89" s="305"/>
      <c r="DY89" s="249"/>
      <c r="DZ89" s="221"/>
      <c r="EA89" s="388"/>
      <c r="EB89" s="249"/>
      <c r="EC89" s="216"/>
      <c r="ED89" s="1461"/>
      <c r="EE89" s="249"/>
      <c r="EF89" s="216"/>
      <c r="EG89" s="355"/>
      <c r="EH89" s="1425"/>
      <c r="EI89" s="1470"/>
      <c r="EJ89" s="249"/>
      <c r="EK89" s="221"/>
      <c r="EL89" s="313"/>
      <c r="EM89" s="249"/>
      <c r="EN89" s="221"/>
      <c r="EO89" s="313"/>
      <c r="EP89" s="249"/>
      <c r="EQ89" s="216"/>
      <c r="ER89" s="313"/>
      <c r="ES89" s="249"/>
      <c r="ET89" s="216"/>
      <c r="EU89" s="313"/>
      <c r="EV89" s="249"/>
      <c r="EW89" s="216"/>
      <c r="EX89" s="2505"/>
      <c r="EY89" s="249"/>
      <c r="EZ89" s="221"/>
      <c r="FA89" s="313"/>
      <c r="FB89" s="249"/>
      <c r="FC89" s="221"/>
      <c r="FD89" s="313"/>
      <c r="FE89" s="249"/>
      <c r="FF89" s="221"/>
      <c r="FG89" s="313"/>
      <c r="FH89" s="249"/>
      <c r="FI89" s="216"/>
      <c r="FJ89" s="1435"/>
      <c r="FK89" s="216"/>
      <c r="FL89" s="1268"/>
      <c r="FM89" s="1655"/>
      <c r="FN89" s="1268"/>
      <c r="FO89" s="1655"/>
      <c r="FP89" s="1268"/>
      <c r="FQ89" s="1656"/>
      <c r="FR89" s="249"/>
      <c r="FS89" s="216"/>
      <c r="FT89" s="1657"/>
      <c r="FU89" s="1658"/>
      <c r="FV89" s="242"/>
      <c r="FW89" s="2522"/>
      <c r="FX89" s="2523"/>
      <c r="FY89" s="336"/>
      <c r="FZ89" s="223"/>
      <c r="GA89" s="338"/>
      <c r="GB89" s="204"/>
      <c r="GC89" s="339"/>
      <c r="GD89" s="342"/>
      <c r="GE89" s="199"/>
      <c r="GF89" s="199"/>
      <c r="GG89" s="199"/>
      <c r="GH89" s="199"/>
      <c r="GI89" s="199"/>
      <c r="GJ89" s="199"/>
      <c r="GK89" s="199"/>
      <c r="GL89" s="49"/>
      <c r="GM89" s="28"/>
      <c r="GN89" s="28"/>
      <c r="GO89" s="322"/>
      <c r="GP89" s="1190"/>
      <c r="GQ89" s="1190"/>
      <c r="GR89" s="49"/>
      <c r="GS89" s="2879"/>
      <c r="GT89" s="2880"/>
      <c r="GU89" s="2881"/>
      <c r="GV89" s="49"/>
      <c r="GW89" s="49"/>
      <c r="GX89" s="49"/>
      <c r="GY89" s="49"/>
      <c r="GZ89" s="49"/>
      <c r="HA89" s="49"/>
      <c r="HB89" s="49"/>
      <c r="HC89" s="49"/>
      <c r="HD89" s="49"/>
      <c r="HE89" s="49"/>
      <c r="HF89" s="49"/>
      <c r="HG89" s="49"/>
      <c r="HH89" s="49"/>
      <c r="HI89" s="49"/>
      <c r="HJ89" s="49"/>
      <c r="HK89" s="49"/>
      <c r="HL89" s="49"/>
      <c r="HM89" s="49"/>
      <c r="HN89" s="49"/>
      <c r="HO89" s="49"/>
      <c r="HP89" s="49"/>
      <c r="HQ89" s="49"/>
      <c r="HR89" s="49"/>
      <c r="HS89" s="49"/>
      <c r="HT89" s="49"/>
      <c r="HU89" s="49"/>
      <c r="HV89" s="49"/>
      <c r="HW89" s="49"/>
      <c r="HX89" s="49"/>
      <c r="HY89" s="49"/>
      <c r="HZ89" s="49"/>
      <c r="IA89" s="49"/>
      <c r="IB89" s="49"/>
      <c r="IC89" s="49"/>
      <c r="ID89" s="49"/>
      <c r="IE89" s="49"/>
      <c r="IF89" s="49"/>
      <c r="IG89" s="49"/>
      <c r="IH89" s="49"/>
      <c r="II89" s="49"/>
      <c r="IJ89" s="49"/>
      <c r="IK89" s="49"/>
      <c r="IL89" s="49"/>
      <c r="IM89" s="49"/>
      <c r="IN89" s="49"/>
      <c r="IO89" s="49"/>
      <c r="IP89" s="49"/>
      <c r="IQ89" s="49"/>
      <c r="IR89" s="49"/>
      <c r="IS89" s="49"/>
      <c r="IT89" s="49"/>
      <c r="IU89" s="49"/>
      <c r="IV89" s="49"/>
    </row>
    <row r="90" spans="1:256" s="198" customFormat="1" ht="12" customHeight="1">
      <c r="A90" s="1252"/>
      <c r="B90" s="200"/>
      <c r="C90" s="486"/>
      <c r="D90" s="203"/>
      <c r="E90" s="203"/>
      <c r="F90" s="203"/>
      <c r="G90" s="203"/>
      <c r="H90" s="175"/>
      <c r="I90" s="1265"/>
      <c r="J90" s="1265"/>
      <c r="K90" s="175"/>
      <c r="L90" s="1265"/>
      <c r="M90" s="1265"/>
      <c r="N90" s="1265"/>
      <c r="O90" s="1265"/>
      <c r="P90" s="1265"/>
      <c r="Q90" s="999"/>
      <c r="R90" s="999"/>
      <c r="S90" s="999"/>
      <c r="T90" s="2801"/>
      <c r="U90" s="233"/>
      <c r="V90" s="49"/>
      <c r="W90" s="218"/>
      <c r="X90" s="218"/>
      <c r="Y90" s="216"/>
      <c r="Z90" s="216"/>
      <c r="AA90" s="215"/>
      <c r="AB90" s="216"/>
      <c r="AC90" s="216"/>
      <c r="AD90" s="239"/>
      <c r="AE90" s="216"/>
      <c r="AF90" s="216"/>
      <c r="AG90" s="216"/>
      <c r="AH90" s="216"/>
      <c r="AI90" s="216"/>
      <c r="AJ90" s="216"/>
      <c r="AK90" s="239"/>
      <c r="AL90" s="216"/>
      <c r="AM90" s="216"/>
      <c r="AN90" s="216"/>
      <c r="AO90" s="216"/>
      <c r="AP90" s="216"/>
      <c r="AQ90" s="216"/>
      <c r="AR90" s="216"/>
      <c r="AS90" s="216"/>
      <c r="AT90" s="216"/>
      <c r="AU90" s="216"/>
      <c r="AV90" s="217"/>
      <c r="AW90" s="355"/>
      <c r="AX90" s="217"/>
      <c r="AY90" s="1559"/>
      <c r="AZ90" s="249"/>
      <c r="BA90" s="221"/>
      <c r="BB90" s="300"/>
      <c r="BC90" s="217"/>
      <c r="BD90" s="392"/>
      <c r="BE90" s="1244"/>
      <c r="BF90" s="249"/>
      <c r="BG90" s="252"/>
      <c r="BH90" s="1469"/>
      <c r="BI90" s="216"/>
      <c r="BJ90" s="1469"/>
      <c r="BK90" s="1459"/>
      <c r="BL90" s="260"/>
      <c r="BM90" s="214"/>
      <c r="BN90" s="293"/>
      <c r="BO90" s="217"/>
      <c r="BP90" s="355"/>
      <c r="BQ90" s="217"/>
      <c r="BR90" s="1193"/>
      <c r="BS90" s="249"/>
      <c r="BT90" s="216"/>
      <c r="BU90" s="1195"/>
      <c r="BV90" s="249"/>
      <c r="BW90" s="216"/>
      <c r="BX90" s="1195"/>
      <c r="BY90" s="249"/>
      <c r="BZ90" s="216"/>
      <c r="CA90" s="1195"/>
      <c r="CB90" s="249"/>
      <c r="CC90" s="216"/>
      <c r="CD90" s="1195"/>
      <c r="CE90" s="249"/>
      <c r="CF90" s="216"/>
      <c r="CG90" s="1195"/>
      <c r="CH90" s="249"/>
      <c r="CI90" s="216"/>
      <c r="CJ90" s="1195"/>
      <c r="CK90" s="249"/>
      <c r="CL90" s="216"/>
      <c r="CM90" s="1194"/>
      <c r="CN90" s="1524"/>
      <c r="CO90" s="217"/>
      <c r="CP90" s="1193"/>
      <c r="CQ90" s="293"/>
      <c r="CR90" s="217"/>
      <c r="CS90" s="305"/>
      <c r="CT90" s="249"/>
      <c r="CU90" s="216"/>
      <c r="CV90" s="1193"/>
      <c r="CW90" s="249"/>
      <c r="CX90" s="216"/>
      <c r="CY90" s="305"/>
      <c r="CZ90" s="249"/>
      <c r="DA90" s="216"/>
      <c r="DB90" s="307"/>
      <c r="DC90" s="328"/>
      <c r="DD90" s="322"/>
      <c r="DE90" s="305"/>
      <c r="DF90" s="249"/>
      <c r="DG90" s="216"/>
      <c r="DH90" s="305"/>
      <c r="DI90" s="249"/>
      <c r="DJ90" s="216"/>
      <c r="DK90" s="309"/>
      <c r="DL90" s="293"/>
      <c r="DM90" s="326"/>
      <c r="DN90" s="1256"/>
      <c r="DO90" s="214"/>
      <c r="DP90" s="1257"/>
      <c r="DQ90" s="1258"/>
      <c r="DR90" s="305"/>
      <c r="DS90" s="249"/>
      <c r="DT90" s="216"/>
      <c r="DU90" s="2518"/>
      <c r="DV90"/>
      <c r="DW90"/>
      <c r="DX90" s="305"/>
      <c r="DY90" s="249"/>
      <c r="DZ90" s="221"/>
      <c r="EA90" s="388"/>
      <c r="EB90" s="249"/>
      <c r="EC90" s="216"/>
      <c r="ED90" s="1461"/>
      <c r="EE90" s="249"/>
      <c r="EF90" s="216"/>
      <c r="EG90" s="355"/>
      <c r="EH90" s="1425"/>
      <c r="EI90" s="1470"/>
      <c r="EJ90" s="249"/>
      <c r="EK90" s="221"/>
      <c r="EL90" s="313"/>
      <c r="EM90" s="249"/>
      <c r="EN90" s="221"/>
      <c r="EO90" s="313"/>
      <c r="EP90" s="249"/>
      <c r="EQ90" s="216"/>
      <c r="ER90" s="313"/>
      <c r="ES90" s="249"/>
      <c r="ET90" s="216"/>
      <c r="EU90" s="313"/>
      <c r="EV90" s="249"/>
      <c r="EW90" s="216"/>
      <c r="EX90" s="2505"/>
      <c r="EY90" s="249"/>
      <c r="EZ90" s="221"/>
      <c r="FA90" s="313"/>
      <c r="FB90" s="249"/>
      <c r="FC90" s="221"/>
      <c r="FD90" s="313"/>
      <c r="FE90" s="249"/>
      <c r="FF90" s="221"/>
      <c r="FG90" s="313"/>
      <c r="FH90" s="249"/>
      <c r="FI90" s="216"/>
      <c r="FJ90" s="1435"/>
      <c r="FK90" s="216"/>
      <c r="FL90" s="1268"/>
      <c r="FM90" s="1655"/>
      <c r="FN90" s="1268"/>
      <c r="FO90" s="1655"/>
      <c r="FP90" s="1268"/>
      <c r="FQ90" s="1656"/>
      <c r="FR90" s="249"/>
      <c r="FS90" s="216"/>
      <c r="FT90" s="1657"/>
      <c r="FU90" s="1658"/>
      <c r="FV90" s="242"/>
      <c r="FW90" s="2522"/>
      <c r="FX90" s="2523"/>
      <c r="FY90" s="336"/>
      <c r="FZ90" s="223"/>
      <c r="GA90" s="338"/>
      <c r="GB90" s="204"/>
      <c r="GC90" s="339"/>
      <c r="GD90" s="342"/>
      <c r="GE90" s="199"/>
      <c r="GF90" s="199"/>
      <c r="GG90" s="199"/>
      <c r="GH90" s="199"/>
      <c r="GI90" s="199"/>
      <c r="GJ90" s="199"/>
      <c r="GK90" s="199"/>
      <c r="GL90" s="49"/>
      <c r="GM90" s="28"/>
      <c r="GN90" s="28"/>
      <c r="GO90" s="322"/>
      <c r="GP90" s="1190"/>
      <c r="GQ90" s="1190"/>
      <c r="GR90" s="49"/>
      <c r="GS90" s="2879"/>
      <c r="GT90" s="2880"/>
      <c r="GU90" s="2881"/>
      <c r="GV90" s="49"/>
      <c r="GW90" s="49"/>
      <c r="GX90" s="49"/>
      <c r="GY90" s="49"/>
      <c r="GZ90" s="49"/>
      <c r="HA90" s="49"/>
      <c r="HB90" s="49"/>
      <c r="HC90" s="49"/>
      <c r="HD90" s="49"/>
      <c r="HE90" s="49"/>
      <c r="HF90" s="49"/>
      <c r="HG90" s="49"/>
      <c r="HH90" s="49"/>
      <c r="HI90" s="49"/>
      <c r="HJ90" s="49"/>
      <c r="HK90" s="49"/>
      <c r="HL90" s="49"/>
      <c r="HM90" s="49"/>
      <c r="HN90" s="49"/>
      <c r="HO90" s="49"/>
      <c r="HP90" s="49"/>
      <c r="HQ90" s="49"/>
      <c r="HR90" s="49"/>
      <c r="HS90" s="49"/>
      <c r="HT90" s="49"/>
      <c r="HU90" s="49"/>
      <c r="HV90" s="49"/>
      <c r="HW90" s="49"/>
      <c r="HX90" s="49"/>
      <c r="HY90" s="49"/>
      <c r="HZ90" s="49"/>
      <c r="IA90" s="49"/>
      <c r="IB90" s="49"/>
      <c r="IC90" s="49"/>
      <c r="ID90" s="49"/>
      <c r="IE90" s="49"/>
      <c r="IF90" s="49"/>
      <c r="IG90" s="49"/>
      <c r="IH90" s="49"/>
      <c r="II90" s="49"/>
      <c r="IJ90" s="49"/>
      <c r="IK90" s="49"/>
      <c r="IL90" s="49"/>
      <c r="IM90" s="49"/>
      <c r="IN90" s="49"/>
      <c r="IO90" s="49"/>
      <c r="IP90" s="49"/>
      <c r="IQ90" s="49"/>
      <c r="IR90" s="49"/>
      <c r="IS90" s="49"/>
      <c r="IT90" s="49"/>
      <c r="IU90" s="49"/>
      <c r="IV90" s="49"/>
    </row>
    <row r="91" spans="1:256" s="198" customFormat="1" ht="12" customHeight="1">
      <c r="A91" s="1252"/>
      <c r="B91" s="200"/>
      <c r="C91" s="486"/>
      <c r="D91" s="203"/>
      <c r="E91" s="203"/>
      <c r="F91" s="203"/>
      <c r="G91" s="203"/>
      <c r="H91" s="175"/>
      <c r="I91" s="1265"/>
      <c r="J91" s="1265"/>
      <c r="K91" s="175"/>
      <c r="L91" s="1265"/>
      <c r="M91" s="1265"/>
      <c r="N91" s="1265"/>
      <c r="O91" s="1265"/>
      <c r="P91" s="1265"/>
      <c r="Q91" s="999"/>
      <c r="R91" s="999"/>
      <c r="S91" s="999"/>
      <c r="T91" s="2801"/>
      <c r="U91" s="233"/>
      <c r="V91" s="49"/>
      <c r="W91" s="218"/>
      <c r="X91" s="218"/>
      <c r="Y91" s="216"/>
      <c r="Z91" s="216"/>
      <c r="AA91" s="215"/>
      <c r="AB91" s="216"/>
      <c r="AC91" s="216"/>
      <c r="AD91" s="239"/>
      <c r="AE91" s="216"/>
      <c r="AF91" s="216"/>
      <c r="AG91" s="216"/>
      <c r="AH91" s="216"/>
      <c r="AI91" s="216"/>
      <c r="AJ91" s="216"/>
      <c r="AK91" s="239"/>
      <c r="AL91" s="216"/>
      <c r="AM91" s="216"/>
      <c r="AN91" s="216"/>
      <c r="AO91" s="216"/>
      <c r="AP91" s="216"/>
      <c r="AQ91" s="216"/>
      <c r="AR91" s="216"/>
      <c r="AS91" s="216"/>
      <c r="AT91" s="216"/>
      <c r="AU91" s="216"/>
      <c r="AV91" s="217"/>
      <c r="AW91" s="355"/>
      <c r="AX91" s="217"/>
      <c r="AY91" s="1559"/>
      <c r="AZ91" s="249"/>
      <c r="BA91" s="221"/>
      <c r="BB91" s="300"/>
      <c r="BC91" s="217"/>
      <c r="BD91" s="392"/>
      <c r="BE91" s="1244"/>
      <c r="BF91" s="249"/>
      <c r="BG91" s="252"/>
      <c r="BH91" s="1469"/>
      <c r="BI91" s="216"/>
      <c r="BJ91" s="1469"/>
      <c r="BK91" s="1459"/>
      <c r="BL91" s="260"/>
      <c r="BM91" s="214"/>
      <c r="BN91" s="293"/>
      <c r="BO91" s="217"/>
      <c r="BP91" s="355"/>
      <c r="BQ91" s="217"/>
      <c r="BR91" s="1193"/>
      <c r="BS91" s="249"/>
      <c r="BT91" s="216"/>
      <c r="BU91" s="1195"/>
      <c r="BV91" s="249"/>
      <c r="BW91" s="216"/>
      <c r="BX91" s="1195"/>
      <c r="BY91" s="249"/>
      <c r="BZ91" s="216"/>
      <c r="CA91" s="1195"/>
      <c r="CB91" s="249"/>
      <c r="CC91" s="216"/>
      <c r="CD91" s="1195"/>
      <c r="CE91" s="249"/>
      <c r="CF91" s="216"/>
      <c r="CG91" s="1195"/>
      <c r="CH91" s="249"/>
      <c r="CI91" s="216"/>
      <c r="CJ91" s="1195"/>
      <c r="CK91" s="249"/>
      <c r="CL91" s="216"/>
      <c r="CM91" s="1194"/>
      <c r="CN91" s="1524"/>
      <c r="CO91" s="217"/>
      <c r="CP91" s="1193"/>
      <c r="CQ91" s="293"/>
      <c r="CR91" s="217"/>
      <c r="CS91" s="305"/>
      <c r="CT91" s="249"/>
      <c r="CU91" s="216"/>
      <c r="CV91" s="1193"/>
      <c r="CW91" s="249"/>
      <c r="CX91" s="216"/>
      <c r="CY91" s="305"/>
      <c r="CZ91" s="249"/>
      <c r="DA91" s="216"/>
      <c r="DB91" s="307"/>
      <c r="DC91" s="328"/>
      <c r="DD91" s="322"/>
      <c r="DE91" s="305"/>
      <c r="DF91" s="249"/>
      <c r="DG91" s="216"/>
      <c r="DH91" s="305"/>
      <c r="DI91" s="249"/>
      <c r="DJ91" s="216"/>
      <c r="DK91" s="309"/>
      <c r="DL91" s="293"/>
      <c r="DM91" s="326"/>
      <c r="DN91" s="1256"/>
      <c r="DO91" s="214"/>
      <c r="DP91" s="1257"/>
      <c r="DQ91" s="1258"/>
      <c r="DR91" s="305"/>
      <c r="DS91" s="249"/>
      <c r="DT91" s="216"/>
      <c r="DU91" s="2518"/>
      <c r="DV91"/>
      <c r="DW91"/>
      <c r="DX91" s="305"/>
      <c r="DY91" s="249"/>
      <c r="DZ91" s="221"/>
      <c r="EA91" s="388"/>
      <c r="EB91" s="249"/>
      <c r="EC91" s="216"/>
      <c r="ED91" s="1461"/>
      <c r="EE91" s="249"/>
      <c r="EF91" s="216"/>
      <c r="EG91" s="355"/>
      <c r="EH91" s="1425"/>
      <c r="EI91" s="1470"/>
      <c r="EJ91" s="249"/>
      <c r="EK91" s="221"/>
      <c r="EL91" s="313"/>
      <c r="EM91" s="249"/>
      <c r="EN91" s="221"/>
      <c r="EO91" s="313"/>
      <c r="EP91" s="249"/>
      <c r="EQ91" s="216"/>
      <c r="ER91" s="313"/>
      <c r="ES91" s="249"/>
      <c r="ET91" s="216"/>
      <c r="EU91" s="313"/>
      <c r="EV91" s="249"/>
      <c r="EW91" s="216"/>
      <c r="EX91" s="2505"/>
      <c r="EY91" s="249"/>
      <c r="EZ91" s="221"/>
      <c r="FA91" s="313"/>
      <c r="FB91" s="249"/>
      <c r="FC91" s="221"/>
      <c r="FD91" s="313"/>
      <c r="FE91" s="249"/>
      <c r="FF91" s="221"/>
      <c r="FG91" s="313"/>
      <c r="FH91" s="249"/>
      <c r="FI91" s="216"/>
      <c r="FJ91" s="1435"/>
      <c r="FK91" s="216"/>
      <c r="FL91" s="1268"/>
      <c r="FM91" s="1655"/>
      <c r="FN91" s="1268"/>
      <c r="FO91" s="1655"/>
      <c r="FP91" s="1268"/>
      <c r="FQ91" s="1656"/>
      <c r="FR91" s="249"/>
      <c r="FS91" s="216"/>
      <c r="FT91" s="1657"/>
      <c r="FU91" s="1658"/>
      <c r="FV91" s="242"/>
      <c r="FW91" s="2522"/>
      <c r="FX91" s="2523"/>
      <c r="FY91" s="336"/>
      <c r="FZ91" s="223"/>
      <c r="GA91" s="338"/>
      <c r="GB91" s="204"/>
      <c r="GC91" s="339"/>
      <c r="GD91" s="342"/>
      <c r="GE91" s="199"/>
      <c r="GF91" s="199"/>
      <c r="GG91" s="199"/>
      <c r="GH91" s="199"/>
      <c r="GI91" s="199"/>
      <c r="GJ91" s="199"/>
      <c r="GK91" s="199"/>
      <c r="GL91" s="49"/>
      <c r="GM91" s="28"/>
      <c r="GN91" s="28"/>
      <c r="GO91" s="322"/>
      <c r="GP91" s="1190"/>
      <c r="GQ91" s="1190"/>
      <c r="GR91" s="49"/>
      <c r="GS91" s="2879"/>
      <c r="GT91" s="2880"/>
      <c r="GU91" s="2881"/>
      <c r="GV91" s="49"/>
      <c r="GW91" s="49"/>
      <c r="GX91" s="49"/>
      <c r="GY91" s="49"/>
      <c r="GZ91" s="49"/>
      <c r="HA91" s="49"/>
      <c r="HB91" s="49"/>
      <c r="HC91" s="49"/>
      <c r="HD91" s="49"/>
      <c r="HE91" s="49"/>
      <c r="HF91" s="49"/>
      <c r="HG91" s="49"/>
      <c r="HH91" s="49"/>
      <c r="HI91" s="49"/>
      <c r="HJ91" s="49"/>
      <c r="HK91" s="49"/>
      <c r="HL91" s="49"/>
      <c r="HM91" s="49"/>
      <c r="HN91" s="49"/>
      <c r="HO91" s="49"/>
      <c r="HP91" s="49"/>
      <c r="HQ91" s="49"/>
      <c r="HR91" s="49"/>
      <c r="HS91" s="49"/>
      <c r="HT91" s="49"/>
      <c r="HU91" s="49"/>
      <c r="HV91" s="49"/>
      <c r="HW91" s="49"/>
      <c r="HX91" s="49"/>
      <c r="HY91" s="49"/>
      <c r="HZ91" s="49"/>
      <c r="IA91" s="49"/>
      <c r="IB91" s="49"/>
      <c r="IC91" s="49"/>
      <c r="ID91" s="49"/>
      <c r="IE91" s="49"/>
      <c r="IF91" s="49"/>
      <c r="IG91" s="49"/>
      <c r="IH91" s="49"/>
      <c r="II91" s="49"/>
      <c r="IJ91" s="49"/>
      <c r="IK91" s="49"/>
      <c r="IL91" s="49"/>
      <c r="IM91" s="49"/>
      <c r="IN91" s="49"/>
      <c r="IO91" s="49"/>
      <c r="IP91" s="49"/>
      <c r="IQ91" s="49"/>
      <c r="IR91" s="49"/>
      <c r="IS91" s="49"/>
      <c r="IT91" s="49"/>
      <c r="IU91" s="49"/>
      <c r="IV91" s="49"/>
    </row>
    <row r="92" spans="1:256" s="198" customFormat="1" ht="12" customHeight="1">
      <c r="A92" s="1252"/>
      <c r="B92" s="200"/>
      <c r="C92" s="486"/>
      <c r="D92" s="203"/>
      <c r="E92" s="203"/>
      <c r="F92" s="203"/>
      <c r="G92" s="203"/>
      <c r="H92" s="175"/>
      <c r="I92" s="1265"/>
      <c r="J92" s="1265"/>
      <c r="K92" s="175"/>
      <c r="L92" s="1265"/>
      <c r="M92" s="1265"/>
      <c r="N92" s="1265"/>
      <c r="O92" s="1265"/>
      <c r="P92" s="1265"/>
      <c r="Q92" s="999"/>
      <c r="R92" s="999"/>
      <c r="S92" s="999"/>
      <c r="T92" s="2801"/>
      <c r="U92" s="233"/>
      <c r="V92" s="49"/>
      <c r="W92" s="218"/>
      <c r="X92" s="218"/>
      <c r="Y92" s="216"/>
      <c r="Z92" s="216"/>
      <c r="AA92" s="215"/>
      <c r="AB92" s="216"/>
      <c r="AC92" s="216"/>
      <c r="AD92" s="239"/>
      <c r="AE92" s="216"/>
      <c r="AF92" s="216"/>
      <c r="AG92" s="216"/>
      <c r="AH92" s="216"/>
      <c r="AI92" s="216"/>
      <c r="AJ92" s="216"/>
      <c r="AK92" s="239"/>
      <c r="AL92" s="216"/>
      <c r="AM92" s="216"/>
      <c r="AN92" s="216"/>
      <c r="AO92" s="216"/>
      <c r="AP92" s="216"/>
      <c r="AQ92" s="216"/>
      <c r="AR92" s="216"/>
      <c r="AS92" s="216"/>
      <c r="AT92" s="216"/>
      <c r="AU92" s="216"/>
      <c r="AV92" s="217"/>
      <c r="AW92" s="355"/>
      <c r="AX92" s="217"/>
      <c r="AY92" s="1559"/>
      <c r="AZ92" s="249"/>
      <c r="BA92" s="221"/>
      <c r="BB92" s="300"/>
      <c r="BC92" s="217"/>
      <c r="BD92" s="392"/>
      <c r="BE92" s="1244"/>
      <c r="BF92" s="249"/>
      <c r="BG92" s="252"/>
      <c r="BH92" s="1469"/>
      <c r="BI92" s="216"/>
      <c r="BJ92" s="1469"/>
      <c r="BK92" s="1459"/>
      <c r="BL92" s="260"/>
      <c r="BM92" s="214"/>
      <c r="BN92" s="293"/>
      <c r="BO92" s="217"/>
      <c r="BP92" s="355"/>
      <c r="BQ92" s="217"/>
      <c r="BR92" s="1193"/>
      <c r="BS92" s="249"/>
      <c r="BT92" s="216"/>
      <c r="BU92" s="1195"/>
      <c r="BV92" s="249"/>
      <c r="BW92" s="216"/>
      <c r="BX92" s="1195"/>
      <c r="BY92" s="249"/>
      <c r="BZ92" s="216"/>
      <c r="CA92" s="1195"/>
      <c r="CB92" s="249"/>
      <c r="CC92" s="216"/>
      <c r="CD92" s="1195"/>
      <c r="CE92" s="249"/>
      <c r="CF92" s="216"/>
      <c r="CG92" s="1195"/>
      <c r="CH92" s="249"/>
      <c r="CI92" s="216"/>
      <c r="CJ92" s="1195"/>
      <c r="CK92" s="249"/>
      <c r="CL92" s="216"/>
      <c r="CM92" s="1194"/>
      <c r="CN92" s="1524"/>
      <c r="CO92" s="217"/>
      <c r="CP92" s="1193"/>
      <c r="CQ92" s="293"/>
      <c r="CR92" s="217"/>
      <c r="CS92" s="305"/>
      <c r="CT92" s="249"/>
      <c r="CU92" s="216"/>
      <c r="CV92" s="1193"/>
      <c r="CW92" s="249"/>
      <c r="CX92" s="216"/>
      <c r="CY92" s="305"/>
      <c r="CZ92" s="249"/>
      <c r="DA92" s="216"/>
      <c r="DB92" s="307"/>
      <c r="DC92" s="328"/>
      <c r="DD92" s="322"/>
      <c r="DE92" s="305"/>
      <c r="DF92" s="249"/>
      <c r="DG92" s="216"/>
      <c r="DH92" s="305"/>
      <c r="DI92" s="249"/>
      <c r="DJ92" s="216"/>
      <c r="DK92" s="309"/>
      <c r="DL92" s="293"/>
      <c r="DM92" s="326"/>
      <c r="DN92" s="1256"/>
      <c r="DO92" s="214"/>
      <c r="DP92" s="1257"/>
      <c r="DQ92" s="1258"/>
      <c r="DR92" s="305"/>
      <c r="DS92" s="249"/>
      <c r="DT92" s="216"/>
      <c r="DU92" s="2518"/>
      <c r="DV92"/>
      <c r="DW92"/>
      <c r="DX92" s="305"/>
      <c r="DY92" s="249"/>
      <c r="DZ92" s="221"/>
      <c r="EA92" s="388"/>
      <c r="EB92" s="249"/>
      <c r="EC92" s="216"/>
      <c r="ED92" s="1461"/>
      <c r="EE92" s="249"/>
      <c r="EF92" s="216"/>
      <c r="EG92" s="355"/>
      <c r="EH92" s="1425"/>
      <c r="EI92" s="1470"/>
      <c r="EJ92" s="249"/>
      <c r="EK92" s="221"/>
      <c r="EL92" s="313"/>
      <c r="EM92" s="249"/>
      <c r="EN92" s="221"/>
      <c r="EO92" s="313"/>
      <c r="EP92" s="249"/>
      <c r="EQ92" s="216"/>
      <c r="ER92" s="313"/>
      <c r="ES92" s="249"/>
      <c r="ET92" s="216"/>
      <c r="EU92" s="313"/>
      <c r="EV92" s="249"/>
      <c r="EW92" s="216"/>
      <c r="EX92" s="2505"/>
      <c r="EY92" s="249"/>
      <c r="EZ92" s="221"/>
      <c r="FA92" s="313"/>
      <c r="FB92" s="249"/>
      <c r="FC92" s="221"/>
      <c r="FD92" s="313"/>
      <c r="FE92" s="249"/>
      <c r="FF92" s="221"/>
      <c r="FG92" s="313"/>
      <c r="FH92" s="249"/>
      <c r="FI92" s="216"/>
      <c r="FJ92" s="1435"/>
      <c r="FK92" s="216"/>
      <c r="FL92" s="1268"/>
      <c r="FM92" s="1655"/>
      <c r="FN92" s="1268"/>
      <c r="FO92" s="1655"/>
      <c r="FP92" s="1268"/>
      <c r="FQ92" s="1656"/>
      <c r="FR92" s="249"/>
      <c r="FS92" s="216"/>
      <c r="FT92" s="1657"/>
      <c r="FU92" s="1658"/>
      <c r="FV92" s="242"/>
      <c r="FW92" s="2522"/>
      <c r="FX92" s="2523"/>
      <c r="FY92" s="336"/>
      <c r="FZ92" s="223"/>
      <c r="GA92" s="338"/>
      <c r="GB92" s="204"/>
      <c r="GC92" s="339"/>
      <c r="GD92" s="342"/>
      <c r="GE92" s="199"/>
      <c r="GF92" s="199"/>
      <c r="GG92" s="199"/>
      <c r="GH92" s="199"/>
      <c r="GI92" s="199"/>
      <c r="GJ92" s="199"/>
      <c r="GK92" s="199"/>
      <c r="GL92" s="49"/>
      <c r="GM92" s="28"/>
      <c r="GN92" s="28"/>
      <c r="GO92" s="322"/>
      <c r="GP92" s="1190"/>
      <c r="GQ92" s="1190"/>
      <c r="GR92" s="49"/>
      <c r="GS92" s="2879"/>
      <c r="GT92" s="2880"/>
      <c r="GU92" s="2881"/>
      <c r="GV92" s="49"/>
      <c r="GW92" s="49"/>
      <c r="GX92" s="49"/>
      <c r="GY92" s="49"/>
      <c r="GZ92" s="49"/>
      <c r="HA92" s="49"/>
      <c r="HB92" s="49"/>
      <c r="HC92" s="49"/>
      <c r="HD92" s="49"/>
      <c r="HE92" s="49"/>
      <c r="HF92" s="49"/>
      <c r="HG92" s="49"/>
      <c r="HH92" s="49"/>
      <c r="HI92" s="49"/>
      <c r="HJ92" s="49"/>
      <c r="HK92" s="49"/>
      <c r="HL92" s="49"/>
      <c r="HM92" s="49"/>
      <c r="HN92" s="49"/>
      <c r="HO92" s="49"/>
      <c r="HP92" s="49"/>
      <c r="HQ92" s="49"/>
      <c r="HR92" s="49"/>
      <c r="HS92" s="49"/>
      <c r="HT92" s="49"/>
      <c r="HU92" s="49"/>
      <c r="HV92" s="49"/>
      <c r="HW92" s="49"/>
      <c r="HX92" s="49"/>
      <c r="HY92" s="49"/>
      <c r="HZ92" s="49"/>
      <c r="IA92" s="49"/>
      <c r="IB92" s="49"/>
      <c r="IC92" s="49"/>
      <c r="ID92" s="49"/>
      <c r="IE92" s="49"/>
      <c r="IF92" s="49"/>
      <c r="IG92" s="49"/>
      <c r="IH92" s="49"/>
      <c r="II92" s="49"/>
      <c r="IJ92" s="49"/>
      <c r="IK92" s="49"/>
      <c r="IL92" s="49"/>
      <c r="IM92" s="49"/>
      <c r="IN92" s="49"/>
      <c r="IO92" s="49"/>
      <c r="IP92" s="49"/>
      <c r="IQ92" s="49"/>
      <c r="IR92" s="49"/>
      <c r="IS92" s="49"/>
      <c r="IT92" s="49"/>
      <c r="IU92" s="49"/>
      <c r="IV92" s="49"/>
    </row>
    <row r="93" spans="1:256" s="198" customFormat="1" ht="12" customHeight="1">
      <c r="A93" s="1252"/>
      <c r="B93" s="200"/>
      <c r="C93" s="486"/>
      <c r="D93" s="203"/>
      <c r="E93" s="203"/>
      <c r="F93" s="203"/>
      <c r="G93" s="203"/>
      <c r="H93" s="175"/>
      <c r="I93" s="1265"/>
      <c r="J93" s="1265"/>
      <c r="K93" s="175"/>
      <c r="L93" s="1265"/>
      <c r="M93" s="1265"/>
      <c r="N93" s="1265"/>
      <c r="O93" s="1265"/>
      <c r="P93" s="1265"/>
      <c r="Q93" s="999"/>
      <c r="R93" s="999"/>
      <c r="S93" s="999"/>
      <c r="T93" s="2801"/>
      <c r="U93" s="233"/>
      <c r="V93" s="49"/>
      <c r="W93" s="218"/>
      <c r="X93" s="218"/>
      <c r="Y93" s="216"/>
      <c r="Z93" s="216"/>
      <c r="AA93" s="215"/>
      <c r="AB93" s="216"/>
      <c r="AC93" s="216"/>
      <c r="AD93" s="239"/>
      <c r="AE93" s="216"/>
      <c r="AF93" s="216"/>
      <c r="AG93" s="216"/>
      <c r="AH93" s="216"/>
      <c r="AI93" s="216"/>
      <c r="AJ93" s="216"/>
      <c r="AK93" s="239"/>
      <c r="AL93" s="216"/>
      <c r="AM93" s="216"/>
      <c r="AN93" s="216"/>
      <c r="AO93" s="216"/>
      <c r="AP93" s="216"/>
      <c r="AQ93" s="216"/>
      <c r="AR93" s="216"/>
      <c r="AS93" s="216"/>
      <c r="AT93" s="216"/>
      <c r="AU93" s="216"/>
      <c r="AV93" s="217"/>
      <c r="AW93" s="355"/>
      <c r="AX93" s="217"/>
      <c r="AY93" s="1559"/>
      <c r="AZ93" s="249"/>
      <c r="BA93" s="221"/>
      <c r="BB93" s="300"/>
      <c r="BC93" s="217"/>
      <c r="BD93" s="392"/>
      <c r="BE93" s="1244"/>
      <c r="BF93" s="249"/>
      <c r="BG93" s="252"/>
      <c r="BH93" s="1469"/>
      <c r="BI93" s="216"/>
      <c r="BJ93" s="1469"/>
      <c r="BK93" s="1459"/>
      <c r="BL93" s="260"/>
      <c r="BM93" s="214"/>
      <c r="BN93" s="293"/>
      <c r="BO93" s="217"/>
      <c r="BP93" s="355"/>
      <c r="BQ93" s="217"/>
      <c r="BR93" s="1193"/>
      <c r="BS93" s="249"/>
      <c r="BT93" s="216"/>
      <c r="BU93" s="1195"/>
      <c r="BV93" s="249"/>
      <c r="BW93" s="216"/>
      <c r="BX93" s="1195"/>
      <c r="BY93" s="249"/>
      <c r="BZ93" s="216"/>
      <c r="CA93" s="1195"/>
      <c r="CB93" s="249"/>
      <c r="CC93" s="216"/>
      <c r="CD93" s="1195"/>
      <c r="CE93" s="249"/>
      <c r="CF93" s="216"/>
      <c r="CG93" s="1195"/>
      <c r="CH93" s="249"/>
      <c r="CI93" s="216"/>
      <c r="CJ93" s="1195"/>
      <c r="CK93" s="249"/>
      <c r="CL93" s="216"/>
      <c r="CM93" s="1194"/>
      <c r="CN93" s="1524"/>
      <c r="CO93" s="217"/>
      <c r="CP93" s="1193"/>
      <c r="CQ93" s="293"/>
      <c r="CR93" s="217"/>
      <c r="CS93" s="305"/>
      <c r="CT93" s="249"/>
      <c r="CU93" s="216"/>
      <c r="CV93" s="1193"/>
      <c r="CW93" s="249"/>
      <c r="CX93" s="216"/>
      <c r="CY93" s="305"/>
      <c r="CZ93" s="249"/>
      <c r="DA93" s="216"/>
      <c r="DB93" s="307"/>
      <c r="DC93" s="328"/>
      <c r="DD93" s="322"/>
      <c r="DE93" s="305"/>
      <c r="DF93" s="249"/>
      <c r="DG93" s="216"/>
      <c r="DH93" s="305"/>
      <c r="DI93" s="249"/>
      <c r="DJ93" s="216"/>
      <c r="DK93" s="309"/>
      <c r="DL93" s="293"/>
      <c r="DM93" s="326"/>
      <c r="DN93" s="1256"/>
      <c r="DO93" s="214"/>
      <c r="DP93" s="1257"/>
      <c r="DQ93" s="1258"/>
      <c r="DR93" s="305"/>
      <c r="DS93" s="249"/>
      <c r="DT93" s="216"/>
      <c r="DU93" s="2518"/>
      <c r="DV93"/>
      <c r="DW93"/>
      <c r="DX93" s="305"/>
      <c r="DY93" s="249"/>
      <c r="DZ93" s="221"/>
      <c r="EA93" s="388"/>
      <c r="EB93" s="249"/>
      <c r="EC93" s="216"/>
      <c r="ED93" s="1461"/>
      <c r="EE93" s="249"/>
      <c r="EF93" s="216"/>
      <c r="EG93" s="355"/>
      <c r="EH93" s="1425"/>
      <c r="EI93" s="1470"/>
      <c r="EJ93" s="249"/>
      <c r="EK93" s="221"/>
      <c r="EL93" s="313"/>
      <c r="EM93" s="249"/>
      <c r="EN93" s="221"/>
      <c r="EO93" s="313"/>
      <c r="EP93" s="249"/>
      <c r="EQ93" s="216"/>
      <c r="ER93" s="313"/>
      <c r="ES93" s="249"/>
      <c r="ET93" s="216"/>
      <c r="EU93" s="313"/>
      <c r="EV93" s="249"/>
      <c r="EW93" s="216"/>
      <c r="EX93" s="2505"/>
      <c r="EY93" s="249"/>
      <c r="EZ93" s="221"/>
      <c r="FA93" s="313"/>
      <c r="FB93" s="249"/>
      <c r="FC93" s="221"/>
      <c r="FD93" s="313"/>
      <c r="FE93" s="249"/>
      <c r="FF93" s="221"/>
      <c r="FG93" s="313"/>
      <c r="FH93" s="249"/>
      <c r="FI93" s="216"/>
      <c r="FJ93" s="1435"/>
      <c r="FK93" s="216"/>
      <c r="FL93" s="1268"/>
      <c r="FM93" s="1655"/>
      <c r="FN93" s="1268"/>
      <c r="FO93" s="1655"/>
      <c r="FP93" s="1268"/>
      <c r="FQ93" s="1656"/>
      <c r="FR93" s="249"/>
      <c r="FS93" s="216"/>
      <c r="FT93" s="1657"/>
      <c r="FU93" s="1658"/>
      <c r="FV93" s="242"/>
      <c r="FW93" s="2522"/>
      <c r="FX93" s="2523"/>
      <c r="FY93" s="336"/>
      <c r="FZ93" s="223"/>
      <c r="GA93" s="338"/>
      <c r="GB93" s="204"/>
      <c r="GC93" s="339"/>
      <c r="GD93" s="342"/>
      <c r="GE93" s="199"/>
      <c r="GF93" s="199"/>
      <c r="GG93" s="199"/>
      <c r="GH93" s="199"/>
      <c r="GI93" s="199"/>
      <c r="GJ93" s="199"/>
      <c r="GK93" s="199"/>
      <c r="GL93" s="49"/>
      <c r="GM93" s="28"/>
      <c r="GN93" s="28"/>
      <c r="GO93" s="322"/>
      <c r="GP93" s="1190"/>
      <c r="GQ93" s="1190"/>
      <c r="GR93" s="49"/>
      <c r="GS93" s="2879"/>
      <c r="GT93" s="2880"/>
      <c r="GU93" s="2881"/>
      <c r="GV93" s="49"/>
      <c r="GW93" s="49"/>
      <c r="GX93" s="49"/>
      <c r="GY93" s="49"/>
      <c r="GZ93" s="49"/>
      <c r="HA93" s="49"/>
      <c r="HB93" s="49"/>
      <c r="HC93" s="49"/>
      <c r="HD93" s="49"/>
      <c r="HE93" s="49"/>
      <c r="HF93" s="49"/>
      <c r="HG93" s="49"/>
      <c r="HH93" s="49"/>
      <c r="HI93" s="49"/>
      <c r="HJ93" s="49"/>
      <c r="HK93" s="49"/>
      <c r="HL93" s="49"/>
      <c r="HM93" s="49"/>
      <c r="HN93" s="49"/>
      <c r="HO93" s="49"/>
      <c r="HP93" s="49"/>
      <c r="HQ93" s="49"/>
      <c r="HR93" s="49"/>
      <c r="HS93" s="49"/>
      <c r="HT93" s="49"/>
      <c r="HU93" s="49"/>
      <c r="HV93" s="49"/>
      <c r="HW93" s="49"/>
      <c r="HX93" s="49"/>
      <c r="HY93" s="49"/>
      <c r="HZ93" s="49"/>
      <c r="IA93" s="49"/>
      <c r="IB93" s="49"/>
      <c r="IC93" s="49"/>
      <c r="ID93" s="49"/>
      <c r="IE93" s="49"/>
      <c r="IF93" s="49"/>
      <c r="IG93" s="49"/>
      <c r="IH93" s="49"/>
      <c r="II93" s="49"/>
      <c r="IJ93" s="49"/>
      <c r="IK93" s="49"/>
      <c r="IL93" s="49"/>
      <c r="IM93" s="49"/>
      <c r="IN93" s="49"/>
      <c r="IO93" s="49"/>
      <c r="IP93" s="49"/>
      <c r="IQ93" s="49"/>
      <c r="IR93" s="49"/>
      <c r="IS93" s="49"/>
      <c r="IT93" s="49"/>
      <c r="IU93" s="49"/>
      <c r="IV93" s="49"/>
    </row>
    <row r="94" spans="1:256" s="198" customFormat="1" ht="12" customHeight="1">
      <c r="A94" s="1252"/>
      <c r="B94" s="200"/>
      <c r="C94" s="486"/>
      <c r="D94" s="203"/>
      <c r="E94" s="203"/>
      <c r="F94" s="203"/>
      <c r="G94" s="203"/>
      <c r="H94" s="175"/>
      <c r="I94" s="1265"/>
      <c r="J94" s="1265"/>
      <c r="K94" s="175"/>
      <c r="L94" s="1265"/>
      <c r="M94" s="1265"/>
      <c r="N94" s="1265"/>
      <c r="O94" s="1265"/>
      <c r="P94" s="1265"/>
      <c r="Q94" s="999"/>
      <c r="R94" s="999"/>
      <c r="S94" s="999"/>
      <c r="T94" s="2801"/>
      <c r="U94" s="233"/>
      <c r="V94" s="49"/>
      <c r="W94" s="218"/>
      <c r="X94" s="218"/>
      <c r="Y94" s="216"/>
      <c r="Z94" s="216"/>
      <c r="AA94" s="215"/>
      <c r="AB94" s="216"/>
      <c r="AC94" s="216"/>
      <c r="AD94" s="239"/>
      <c r="AE94" s="216"/>
      <c r="AF94" s="216"/>
      <c r="AG94" s="216"/>
      <c r="AH94" s="216"/>
      <c r="AI94" s="216"/>
      <c r="AJ94" s="216"/>
      <c r="AK94" s="239"/>
      <c r="AL94" s="216"/>
      <c r="AM94" s="216"/>
      <c r="AN94" s="216"/>
      <c r="AO94" s="216"/>
      <c r="AP94" s="216"/>
      <c r="AQ94" s="216"/>
      <c r="AR94" s="216"/>
      <c r="AS94" s="216"/>
      <c r="AT94" s="216"/>
      <c r="AU94" s="216"/>
      <c r="AV94" s="217"/>
      <c r="AW94" s="355"/>
      <c r="AX94" s="217"/>
      <c r="AY94" s="1559"/>
      <c r="AZ94" s="249"/>
      <c r="BA94" s="221"/>
      <c r="BB94" s="300"/>
      <c r="BC94" s="217"/>
      <c r="BD94" s="392"/>
      <c r="BE94" s="1244"/>
      <c r="BF94" s="249"/>
      <c r="BG94" s="252"/>
      <c r="BH94" s="1469"/>
      <c r="BI94" s="216"/>
      <c r="BJ94" s="1469"/>
      <c r="BK94" s="1459"/>
      <c r="BL94" s="260"/>
      <c r="BM94" s="214"/>
      <c r="BN94" s="293"/>
      <c r="BO94" s="217"/>
      <c r="BP94" s="355"/>
      <c r="BQ94" s="217"/>
      <c r="BR94" s="1193"/>
      <c r="BS94" s="249"/>
      <c r="BT94" s="216"/>
      <c r="BU94" s="1195"/>
      <c r="BV94" s="249"/>
      <c r="BW94" s="216"/>
      <c r="BX94" s="1195"/>
      <c r="BY94" s="249"/>
      <c r="BZ94" s="216"/>
      <c r="CA94" s="1195"/>
      <c r="CB94" s="249"/>
      <c r="CC94" s="216"/>
      <c r="CD94" s="1195"/>
      <c r="CE94" s="249"/>
      <c r="CF94" s="216"/>
      <c r="CG94" s="1195"/>
      <c r="CH94" s="249"/>
      <c r="CI94" s="216"/>
      <c r="CJ94" s="1195"/>
      <c r="CK94" s="249"/>
      <c r="CL94" s="216"/>
      <c r="CM94" s="1194"/>
      <c r="CN94" s="1524"/>
      <c r="CO94" s="217"/>
      <c r="CP94" s="1193"/>
      <c r="CQ94" s="293"/>
      <c r="CR94" s="217"/>
      <c r="CS94" s="305"/>
      <c r="CT94" s="249"/>
      <c r="CU94" s="216"/>
      <c r="CV94" s="1193"/>
      <c r="CW94" s="249"/>
      <c r="CX94" s="216"/>
      <c r="CY94" s="305"/>
      <c r="CZ94" s="249"/>
      <c r="DA94" s="216"/>
      <c r="DB94" s="307"/>
      <c r="DC94" s="328"/>
      <c r="DD94" s="322"/>
      <c r="DE94" s="305"/>
      <c r="DF94" s="249"/>
      <c r="DG94" s="216"/>
      <c r="DH94" s="305"/>
      <c r="DI94" s="249"/>
      <c r="DJ94" s="216"/>
      <c r="DK94" s="309"/>
      <c r="DL94" s="293"/>
      <c r="DM94" s="326"/>
      <c r="DN94" s="1256"/>
      <c r="DO94" s="214"/>
      <c r="DP94" s="1257"/>
      <c r="DQ94" s="1258"/>
      <c r="DR94" s="305"/>
      <c r="DS94" s="249"/>
      <c r="DT94" s="216"/>
      <c r="DU94" s="2518"/>
      <c r="DV94"/>
      <c r="DW94"/>
      <c r="DX94" s="305"/>
      <c r="DY94" s="249"/>
      <c r="DZ94" s="221"/>
      <c r="EA94" s="388"/>
      <c r="EB94" s="249"/>
      <c r="EC94" s="216"/>
      <c r="ED94" s="1461"/>
      <c r="EE94" s="249"/>
      <c r="EF94" s="216"/>
      <c r="EG94" s="355"/>
      <c r="EH94" s="1425"/>
      <c r="EI94" s="1470"/>
      <c r="EJ94" s="249"/>
      <c r="EK94" s="221"/>
      <c r="EL94" s="313"/>
      <c r="EM94" s="249"/>
      <c r="EN94" s="221"/>
      <c r="EO94" s="313"/>
      <c r="EP94" s="249"/>
      <c r="EQ94" s="216"/>
      <c r="ER94" s="313"/>
      <c r="ES94" s="249"/>
      <c r="ET94" s="216"/>
      <c r="EU94" s="313"/>
      <c r="EV94" s="249"/>
      <c r="EW94" s="216"/>
      <c r="EX94" s="2505"/>
      <c r="EY94" s="249"/>
      <c r="EZ94" s="221"/>
      <c r="FA94" s="313"/>
      <c r="FB94" s="249"/>
      <c r="FC94" s="221"/>
      <c r="FD94" s="313"/>
      <c r="FE94" s="249"/>
      <c r="FF94" s="221"/>
      <c r="FG94" s="313"/>
      <c r="FH94" s="249"/>
      <c r="FI94" s="216"/>
      <c r="FJ94" s="1435"/>
      <c r="FK94" s="216"/>
      <c r="FL94" s="1268"/>
      <c r="FM94" s="1655"/>
      <c r="FN94" s="1268"/>
      <c r="FO94" s="1655"/>
      <c r="FP94" s="1268"/>
      <c r="FQ94" s="1656"/>
      <c r="FR94" s="249"/>
      <c r="FS94" s="216"/>
      <c r="FT94" s="1657"/>
      <c r="FU94" s="1658"/>
      <c r="FV94" s="242"/>
      <c r="FW94" s="2522"/>
      <c r="FX94" s="2523"/>
      <c r="FY94" s="336"/>
      <c r="FZ94" s="223"/>
      <c r="GA94" s="338"/>
      <c r="GB94" s="204"/>
      <c r="GC94" s="339"/>
      <c r="GD94" s="342"/>
      <c r="GE94" s="199"/>
      <c r="GF94" s="199"/>
      <c r="GG94" s="199"/>
      <c r="GH94" s="199"/>
      <c r="GI94" s="199"/>
      <c r="GJ94" s="199"/>
      <c r="GK94" s="199"/>
      <c r="GL94" s="49"/>
      <c r="GM94" s="28"/>
      <c r="GN94" s="28"/>
      <c r="GO94" s="322"/>
      <c r="GP94" s="1190"/>
      <c r="GQ94" s="1190"/>
      <c r="GR94" s="49"/>
      <c r="GS94" s="2879"/>
      <c r="GT94" s="2880"/>
      <c r="GU94" s="2881"/>
      <c r="GV94" s="49"/>
      <c r="GW94" s="49"/>
      <c r="GX94" s="49"/>
      <c r="GY94" s="49"/>
      <c r="GZ94" s="49"/>
      <c r="HA94" s="49"/>
      <c r="HB94" s="49"/>
      <c r="HC94" s="49"/>
      <c r="HD94" s="49"/>
      <c r="HE94" s="49"/>
      <c r="HF94" s="49"/>
      <c r="HG94" s="49"/>
      <c r="HH94" s="49"/>
      <c r="HI94" s="49"/>
      <c r="HJ94" s="49"/>
      <c r="HK94" s="49"/>
      <c r="HL94" s="49"/>
      <c r="HM94" s="49"/>
      <c r="HN94" s="49"/>
      <c r="HO94" s="49"/>
      <c r="HP94" s="49"/>
      <c r="HQ94" s="49"/>
      <c r="HR94" s="49"/>
      <c r="HS94" s="49"/>
      <c r="HT94" s="49"/>
      <c r="HU94" s="49"/>
      <c r="HV94" s="49"/>
      <c r="HW94" s="49"/>
      <c r="HX94" s="49"/>
      <c r="HY94" s="49"/>
      <c r="HZ94" s="49"/>
      <c r="IA94" s="49"/>
      <c r="IB94" s="49"/>
      <c r="IC94" s="49"/>
      <c r="ID94" s="49"/>
      <c r="IE94" s="49"/>
      <c r="IF94" s="49"/>
      <c r="IG94" s="49"/>
      <c r="IH94" s="49"/>
      <c r="II94" s="49"/>
      <c r="IJ94" s="49"/>
      <c r="IK94" s="49"/>
      <c r="IL94" s="49"/>
      <c r="IM94" s="49"/>
      <c r="IN94" s="49"/>
      <c r="IO94" s="49"/>
      <c r="IP94" s="49"/>
      <c r="IQ94" s="49"/>
      <c r="IR94" s="49"/>
      <c r="IS94" s="49"/>
      <c r="IT94" s="49"/>
      <c r="IU94" s="49"/>
      <c r="IV94" s="49"/>
    </row>
    <row r="95" spans="1:256" s="198" customFormat="1" ht="12" customHeight="1">
      <c r="A95" s="1252"/>
      <c r="B95" s="200"/>
      <c r="C95" s="486"/>
      <c r="D95" s="203"/>
      <c r="E95" s="203"/>
      <c r="F95" s="203"/>
      <c r="G95" s="203"/>
      <c r="H95" s="175"/>
      <c r="I95" s="1265"/>
      <c r="J95" s="1265"/>
      <c r="K95" s="175"/>
      <c r="L95" s="1265"/>
      <c r="M95" s="1265"/>
      <c r="N95" s="1265"/>
      <c r="O95" s="1265"/>
      <c r="P95" s="1265"/>
      <c r="Q95" s="999"/>
      <c r="R95" s="999"/>
      <c r="S95" s="999"/>
      <c r="T95" s="2801"/>
      <c r="U95" s="233"/>
      <c r="V95" s="49"/>
      <c r="W95" s="218"/>
      <c r="X95" s="218"/>
      <c r="Y95" s="216"/>
      <c r="Z95" s="216"/>
      <c r="AA95" s="215"/>
      <c r="AB95" s="216"/>
      <c r="AC95" s="216"/>
      <c r="AD95" s="239"/>
      <c r="AE95" s="216"/>
      <c r="AF95" s="216"/>
      <c r="AG95" s="216"/>
      <c r="AH95" s="216"/>
      <c r="AI95" s="216"/>
      <c r="AJ95" s="216"/>
      <c r="AK95" s="239"/>
      <c r="AL95" s="216"/>
      <c r="AM95" s="216"/>
      <c r="AN95" s="216"/>
      <c r="AO95" s="216"/>
      <c r="AP95" s="216"/>
      <c r="AQ95" s="216"/>
      <c r="AR95" s="216"/>
      <c r="AS95" s="216"/>
      <c r="AT95" s="216"/>
      <c r="AU95" s="216"/>
      <c r="AV95" s="217"/>
      <c r="AW95" s="355"/>
      <c r="AX95" s="217"/>
      <c r="AY95" s="1559"/>
      <c r="AZ95" s="249"/>
      <c r="BA95" s="221"/>
      <c r="BB95" s="300"/>
      <c r="BC95" s="217"/>
      <c r="BD95" s="392"/>
      <c r="BE95" s="1244"/>
      <c r="BF95" s="249"/>
      <c r="BG95" s="252"/>
      <c r="BH95" s="1469"/>
      <c r="BI95" s="216"/>
      <c r="BJ95" s="1469"/>
      <c r="BK95" s="1459"/>
      <c r="BL95" s="260"/>
      <c r="BM95" s="214"/>
      <c r="BN95" s="293"/>
      <c r="BO95" s="217"/>
      <c r="BP95" s="355"/>
      <c r="BQ95" s="217"/>
      <c r="BR95" s="1193"/>
      <c r="BS95" s="249"/>
      <c r="BT95" s="216"/>
      <c r="BU95" s="1195"/>
      <c r="BV95" s="249"/>
      <c r="BW95" s="216"/>
      <c r="BX95" s="1195"/>
      <c r="BY95" s="249"/>
      <c r="BZ95" s="216"/>
      <c r="CA95" s="1195"/>
      <c r="CB95" s="249"/>
      <c r="CC95" s="216"/>
      <c r="CD95" s="1195"/>
      <c r="CE95" s="249"/>
      <c r="CF95" s="216"/>
      <c r="CG95" s="1195"/>
      <c r="CH95" s="249"/>
      <c r="CI95" s="216"/>
      <c r="CJ95" s="1195"/>
      <c r="CK95" s="249"/>
      <c r="CL95" s="216"/>
      <c r="CM95" s="1194"/>
      <c r="CN95" s="1524"/>
      <c r="CO95" s="217"/>
      <c r="CP95" s="1193"/>
      <c r="CQ95" s="293"/>
      <c r="CR95" s="217"/>
      <c r="CS95" s="305"/>
      <c r="CT95" s="249"/>
      <c r="CU95" s="216"/>
      <c r="CV95" s="1193"/>
      <c r="CW95" s="249"/>
      <c r="CX95" s="216"/>
      <c r="CY95" s="305"/>
      <c r="CZ95" s="249"/>
      <c r="DA95" s="216"/>
      <c r="DB95" s="307"/>
      <c r="DC95" s="328"/>
      <c r="DD95" s="322"/>
      <c r="DE95" s="305"/>
      <c r="DF95" s="249"/>
      <c r="DG95" s="216"/>
      <c r="DH95" s="305"/>
      <c r="DI95" s="249"/>
      <c r="DJ95" s="216"/>
      <c r="DK95" s="309"/>
      <c r="DL95" s="293"/>
      <c r="DM95" s="326"/>
      <c r="DN95" s="1256"/>
      <c r="DO95" s="214"/>
      <c r="DP95" s="1257"/>
      <c r="DQ95" s="1258"/>
      <c r="DR95" s="305"/>
      <c r="DS95" s="249"/>
      <c r="DT95" s="216"/>
      <c r="DU95" s="2518"/>
      <c r="DV95"/>
      <c r="DW95"/>
      <c r="DX95" s="305"/>
      <c r="DY95" s="249"/>
      <c r="DZ95" s="221"/>
      <c r="EA95" s="388"/>
      <c r="EB95" s="249"/>
      <c r="EC95" s="216"/>
      <c r="ED95" s="1461"/>
      <c r="EE95" s="249"/>
      <c r="EF95" s="216"/>
      <c r="EG95" s="355"/>
      <c r="EH95" s="1425"/>
      <c r="EI95" s="1470"/>
      <c r="EJ95" s="249"/>
      <c r="EK95" s="221"/>
      <c r="EL95" s="313"/>
      <c r="EM95" s="249"/>
      <c r="EN95" s="221"/>
      <c r="EO95" s="313"/>
      <c r="EP95" s="249"/>
      <c r="EQ95" s="216"/>
      <c r="ER95" s="313"/>
      <c r="ES95" s="249"/>
      <c r="ET95" s="216"/>
      <c r="EU95" s="313"/>
      <c r="EV95" s="249"/>
      <c r="EW95" s="216"/>
      <c r="EX95" s="2505"/>
      <c r="EY95" s="249"/>
      <c r="EZ95" s="221"/>
      <c r="FA95" s="313"/>
      <c r="FB95" s="249"/>
      <c r="FC95" s="221"/>
      <c r="FD95" s="313"/>
      <c r="FE95" s="249"/>
      <c r="FF95" s="221"/>
      <c r="FG95" s="313"/>
      <c r="FH95" s="249"/>
      <c r="FI95" s="216"/>
      <c r="FJ95" s="1435"/>
      <c r="FK95" s="216"/>
      <c r="FL95" s="1268"/>
      <c r="FM95" s="1655"/>
      <c r="FN95" s="1268"/>
      <c r="FO95" s="1655"/>
      <c r="FP95" s="1268"/>
      <c r="FQ95" s="1656"/>
      <c r="FR95" s="249"/>
      <c r="FS95" s="216"/>
      <c r="FT95" s="1657"/>
      <c r="FU95" s="1658"/>
      <c r="FV95" s="242"/>
      <c r="FW95" s="2522"/>
      <c r="FX95" s="2523"/>
      <c r="FY95" s="336"/>
      <c r="FZ95" s="223"/>
      <c r="GA95" s="338"/>
      <c r="GB95" s="204"/>
      <c r="GC95" s="339"/>
      <c r="GD95" s="342"/>
      <c r="GE95" s="199"/>
      <c r="GF95" s="199"/>
      <c r="GG95" s="199"/>
      <c r="GH95" s="199"/>
      <c r="GI95" s="199"/>
      <c r="GJ95" s="199"/>
      <c r="GK95" s="199"/>
      <c r="GL95" s="49"/>
      <c r="GM95" s="28"/>
      <c r="GN95" s="28"/>
      <c r="GO95" s="322"/>
      <c r="GP95" s="1190"/>
      <c r="GQ95" s="1190"/>
      <c r="GR95" s="49"/>
      <c r="GS95" s="2879"/>
      <c r="GT95" s="2880"/>
      <c r="GU95" s="2881"/>
      <c r="GV95" s="49"/>
      <c r="GW95" s="49"/>
      <c r="GX95" s="49"/>
      <c r="GY95" s="49"/>
      <c r="GZ95" s="49"/>
      <c r="HA95" s="49"/>
      <c r="HB95" s="49"/>
      <c r="HC95" s="49"/>
      <c r="HD95" s="49"/>
      <c r="HE95" s="49"/>
      <c r="HF95" s="49"/>
      <c r="HG95" s="49"/>
      <c r="HH95" s="49"/>
      <c r="HI95" s="49"/>
      <c r="HJ95" s="49"/>
      <c r="HK95" s="49"/>
      <c r="HL95" s="49"/>
      <c r="HM95" s="49"/>
      <c r="HN95" s="49"/>
      <c r="HO95" s="49"/>
      <c r="HP95" s="49"/>
      <c r="HQ95" s="49"/>
      <c r="HR95" s="49"/>
      <c r="HS95" s="49"/>
      <c r="HT95" s="49"/>
      <c r="HU95" s="49"/>
      <c r="HV95" s="49"/>
      <c r="HW95" s="49"/>
      <c r="HX95" s="49"/>
      <c r="HY95" s="49"/>
      <c r="HZ95" s="49"/>
      <c r="IA95" s="49"/>
      <c r="IB95" s="49"/>
      <c r="IC95" s="49"/>
      <c r="ID95" s="49"/>
      <c r="IE95" s="49"/>
      <c r="IF95" s="49"/>
      <c r="IG95" s="49"/>
      <c r="IH95" s="49"/>
      <c r="II95" s="49"/>
      <c r="IJ95" s="49"/>
      <c r="IK95" s="49"/>
      <c r="IL95" s="49"/>
      <c r="IM95" s="49"/>
      <c r="IN95" s="49"/>
      <c r="IO95" s="49"/>
      <c r="IP95" s="49"/>
      <c r="IQ95" s="49"/>
      <c r="IR95" s="49"/>
      <c r="IS95" s="49"/>
      <c r="IT95" s="49"/>
      <c r="IU95" s="49"/>
      <c r="IV95" s="49"/>
    </row>
    <row r="96" spans="1:256" s="198" customFormat="1" ht="12" customHeight="1">
      <c r="A96" s="1252"/>
      <c r="B96" s="200"/>
      <c r="C96" s="486"/>
      <c r="D96" s="203"/>
      <c r="E96" s="203"/>
      <c r="F96" s="203"/>
      <c r="G96" s="203"/>
      <c r="H96" s="175"/>
      <c r="I96" s="1265"/>
      <c r="J96" s="1265"/>
      <c r="K96" s="175"/>
      <c r="L96" s="1265"/>
      <c r="M96" s="1265"/>
      <c r="N96" s="1265"/>
      <c r="O96" s="1265"/>
      <c r="P96" s="1265"/>
      <c r="Q96" s="999"/>
      <c r="R96" s="999"/>
      <c r="S96" s="999"/>
      <c r="T96" s="2801"/>
      <c r="U96" s="233"/>
      <c r="V96" s="49"/>
      <c r="W96" s="218"/>
      <c r="X96" s="218"/>
      <c r="Y96" s="216"/>
      <c r="Z96" s="216"/>
      <c r="AA96" s="215"/>
      <c r="AB96" s="216"/>
      <c r="AC96" s="216"/>
      <c r="AD96" s="239"/>
      <c r="AE96" s="216"/>
      <c r="AF96" s="216"/>
      <c r="AG96" s="216"/>
      <c r="AH96" s="216"/>
      <c r="AI96" s="216"/>
      <c r="AJ96" s="216"/>
      <c r="AK96" s="239"/>
      <c r="AL96" s="216"/>
      <c r="AM96" s="216"/>
      <c r="AN96" s="216"/>
      <c r="AO96" s="216"/>
      <c r="AP96" s="216"/>
      <c r="AQ96" s="216"/>
      <c r="AR96" s="216"/>
      <c r="AS96" s="216"/>
      <c r="AT96" s="216"/>
      <c r="AU96" s="216"/>
      <c r="AV96" s="217"/>
      <c r="AW96" s="355"/>
      <c r="AX96" s="217"/>
      <c r="AY96" s="1559"/>
      <c r="AZ96" s="249"/>
      <c r="BA96" s="221"/>
      <c r="BB96" s="300"/>
      <c r="BC96" s="217"/>
      <c r="BD96" s="392"/>
      <c r="BE96" s="1244"/>
      <c r="BF96" s="249"/>
      <c r="BG96" s="252"/>
      <c r="BH96" s="1469"/>
      <c r="BI96" s="216"/>
      <c r="BJ96" s="1469"/>
      <c r="BK96" s="1459"/>
      <c r="BL96" s="260"/>
      <c r="BM96" s="214"/>
      <c r="BN96" s="293"/>
      <c r="BO96" s="217"/>
      <c r="BP96" s="355"/>
      <c r="BQ96" s="217"/>
      <c r="BR96" s="1193"/>
      <c r="BS96" s="249"/>
      <c r="BT96" s="216"/>
      <c r="BU96" s="1195"/>
      <c r="BV96" s="249"/>
      <c r="BW96" s="216"/>
      <c r="BX96" s="1195"/>
      <c r="BY96" s="249"/>
      <c r="BZ96" s="216"/>
      <c r="CA96" s="1195"/>
      <c r="CB96" s="249"/>
      <c r="CC96" s="216"/>
      <c r="CD96" s="1195"/>
      <c r="CE96" s="249"/>
      <c r="CF96" s="216"/>
      <c r="CG96" s="1195"/>
      <c r="CH96" s="249"/>
      <c r="CI96" s="216"/>
      <c r="CJ96" s="1195"/>
      <c r="CK96" s="249"/>
      <c r="CL96" s="216"/>
      <c r="CM96" s="1194"/>
      <c r="CN96" s="1524"/>
      <c r="CO96" s="217"/>
      <c r="CP96" s="1193"/>
      <c r="CQ96" s="293"/>
      <c r="CR96" s="217"/>
      <c r="CS96" s="305"/>
      <c r="CT96" s="249"/>
      <c r="CU96" s="216"/>
      <c r="CV96" s="1193"/>
      <c r="CW96" s="249"/>
      <c r="CX96" s="216"/>
      <c r="CY96" s="305"/>
      <c r="CZ96" s="249"/>
      <c r="DA96" s="216"/>
      <c r="DB96" s="307"/>
      <c r="DC96" s="328"/>
      <c r="DD96" s="322"/>
      <c r="DE96" s="305"/>
      <c r="DF96" s="249"/>
      <c r="DG96" s="216"/>
      <c r="DH96" s="305"/>
      <c r="DI96" s="249"/>
      <c r="DJ96" s="216"/>
      <c r="DK96" s="309"/>
      <c r="DL96" s="293"/>
      <c r="DM96" s="326"/>
      <c r="DN96" s="1256"/>
      <c r="DO96" s="214"/>
      <c r="DP96" s="1257"/>
      <c r="DQ96" s="1258"/>
      <c r="DR96" s="305"/>
      <c r="DS96" s="249"/>
      <c r="DT96" s="216"/>
      <c r="DU96" s="2518"/>
      <c r="DV96"/>
      <c r="DW96"/>
      <c r="DX96" s="305"/>
      <c r="DY96" s="249"/>
      <c r="DZ96" s="221"/>
      <c r="EA96" s="388"/>
      <c r="EB96" s="249"/>
      <c r="EC96" s="216"/>
      <c r="ED96" s="1461"/>
      <c r="EE96" s="249"/>
      <c r="EF96" s="216"/>
      <c r="EG96" s="355"/>
      <c r="EH96" s="1425"/>
      <c r="EI96" s="1470"/>
      <c r="EJ96" s="249"/>
      <c r="EK96" s="221"/>
      <c r="EL96" s="313"/>
      <c r="EM96" s="249"/>
      <c r="EN96" s="221"/>
      <c r="EO96" s="313"/>
      <c r="EP96" s="249"/>
      <c r="EQ96" s="216"/>
      <c r="ER96" s="313"/>
      <c r="ES96" s="249"/>
      <c r="ET96" s="216"/>
      <c r="EU96" s="313"/>
      <c r="EV96" s="249"/>
      <c r="EW96" s="216"/>
      <c r="EX96" s="2505"/>
      <c r="EY96" s="249"/>
      <c r="EZ96" s="221"/>
      <c r="FA96" s="313"/>
      <c r="FB96" s="249"/>
      <c r="FC96" s="221"/>
      <c r="FD96" s="313"/>
      <c r="FE96" s="249"/>
      <c r="FF96" s="221"/>
      <c r="FG96" s="313"/>
      <c r="FH96" s="249"/>
      <c r="FI96" s="216"/>
      <c r="FJ96" s="1435"/>
      <c r="FK96" s="216"/>
      <c r="FL96" s="1268"/>
      <c r="FM96" s="1655"/>
      <c r="FN96" s="1268"/>
      <c r="FO96" s="1655"/>
      <c r="FP96" s="1268"/>
      <c r="FQ96" s="1656"/>
      <c r="FR96" s="249"/>
      <c r="FS96" s="216"/>
      <c r="FT96" s="1657"/>
      <c r="FU96" s="1658"/>
      <c r="FV96" s="242"/>
      <c r="FW96" s="2522"/>
      <c r="FX96" s="2523"/>
      <c r="FY96" s="336"/>
      <c r="FZ96" s="223"/>
      <c r="GA96" s="338"/>
      <c r="GB96" s="204"/>
      <c r="GC96" s="339"/>
      <c r="GD96" s="342"/>
      <c r="GE96" s="199"/>
      <c r="GF96" s="199"/>
      <c r="GG96" s="199"/>
      <c r="GH96" s="199"/>
      <c r="GI96" s="199"/>
      <c r="GJ96" s="199"/>
      <c r="GK96" s="199"/>
      <c r="GL96" s="49"/>
      <c r="GM96" s="28"/>
      <c r="GN96" s="28"/>
      <c r="GO96" s="322"/>
      <c r="GP96" s="1190"/>
      <c r="GQ96" s="1190"/>
      <c r="GR96" s="49"/>
      <c r="GS96" s="2879"/>
      <c r="GT96" s="2880"/>
      <c r="GU96" s="2881"/>
      <c r="GV96" s="49"/>
      <c r="GW96" s="49"/>
      <c r="GX96" s="49"/>
      <c r="GY96" s="49"/>
      <c r="GZ96" s="49"/>
      <c r="HA96" s="49"/>
      <c r="HB96" s="49"/>
      <c r="HC96" s="49"/>
      <c r="HD96" s="49"/>
      <c r="HE96" s="49"/>
      <c r="HF96" s="49"/>
      <c r="HG96" s="49"/>
      <c r="HH96" s="49"/>
      <c r="HI96" s="49"/>
      <c r="HJ96" s="49"/>
      <c r="HK96" s="49"/>
      <c r="HL96" s="49"/>
      <c r="HM96" s="49"/>
      <c r="HN96" s="49"/>
      <c r="HO96" s="49"/>
      <c r="HP96" s="49"/>
      <c r="HQ96" s="49"/>
      <c r="HR96" s="49"/>
      <c r="HS96" s="49"/>
      <c r="HT96" s="49"/>
      <c r="HU96" s="49"/>
      <c r="HV96" s="49"/>
      <c r="HW96" s="49"/>
      <c r="HX96" s="49"/>
      <c r="HY96" s="49"/>
      <c r="HZ96" s="49"/>
      <c r="IA96" s="49"/>
      <c r="IB96" s="49"/>
      <c r="IC96" s="49"/>
      <c r="ID96" s="49"/>
      <c r="IE96" s="49"/>
      <c r="IF96" s="49"/>
      <c r="IG96" s="49"/>
      <c r="IH96" s="49"/>
      <c r="II96" s="49"/>
      <c r="IJ96" s="49"/>
      <c r="IK96" s="49"/>
      <c r="IL96" s="49"/>
      <c r="IM96" s="49"/>
      <c r="IN96" s="49"/>
      <c r="IO96" s="49"/>
      <c r="IP96" s="49"/>
      <c r="IQ96" s="49"/>
      <c r="IR96" s="49"/>
      <c r="IS96" s="49"/>
      <c r="IT96" s="49"/>
      <c r="IU96" s="49"/>
      <c r="IV96" s="49"/>
    </row>
    <row r="97" spans="1:256" s="198" customFormat="1" ht="12" customHeight="1">
      <c r="A97" s="1252"/>
      <c r="B97" s="200"/>
      <c r="C97" s="486"/>
      <c r="D97" s="203"/>
      <c r="E97" s="203"/>
      <c r="F97" s="203"/>
      <c r="G97" s="203"/>
      <c r="H97" s="175"/>
      <c r="I97" s="1265"/>
      <c r="J97" s="1265"/>
      <c r="K97" s="175"/>
      <c r="L97" s="1265"/>
      <c r="M97" s="1265"/>
      <c r="N97" s="1265"/>
      <c r="O97" s="1265"/>
      <c r="P97" s="1265"/>
      <c r="Q97" s="999"/>
      <c r="R97" s="999"/>
      <c r="S97" s="999"/>
      <c r="T97" s="2801"/>
      <c r="U97" s="233"/>
      <c r="V97" s="49"/>
      <c r="W97" s="218"/>
      <c r="X97" s="218"/>
      <c r="Y97" s="216"/>
      <c r="Z97" s="216"/>
      <c r="AA97" s="215"/>
      <c r="AB97" s="216"/>
      <c r="AC97" s="216"/>
      <c r="AD97" s="239"/>
      <c r="AE97" s="216"/>
      <c r="AF97" s="216"/>
      <c r="AG97" s="216"/>
      <c r="AH97" s="216"/>
      <c r="AI97" s="216"/>
      <c r="AJ97" s="216"/>
      <c r="AK97" s="239"/>
      <c r="AL97" s="216"/>
      <c r="AM97" s="216"/>
      <c r="AN97" s="216"/>
      <c r="AO97" s="216"/>
      <c r="AP97" s="216"/>
      <c r="AQ97" s="216"/>
      <c r="AR97" s="216"/>
      <c r="AS97" s="216"/>
      <c r="AT97" s="216"/>
      <c r="AU97" s="216"/>
      <c r="AV97" s="217"/>
      <c r="AW97" s="355"/>
      <c r="AX97" s="217"/>
      <c r="AY97" s="1559"/>
      <c r="AZ97" s="249"/>
      <c r="BA97" s="221"/>
      <c r="BB97" s="300"/>
      <c r="BC97" s="217"/>
      <c r="BD97" s="392"/>
      <c r="BE97" s="1244"/>
      <c r="BF97" s="249"/>
      <c r="BG97" s="252"/>
      <c r="BH97" s="1469"/>
      <c r="BI97" s="216"/>
      <c r="BJ97" s="1469"/>
      <c r="BK97" s="1459"/>
      <c r="BL97" s="260"/>
      <c r="BM97" s="214"/>
      <c r="BN97" s="293"/>
      <c r="BO97" s="217"/>
      <c r="BP97" s="355"/>
      <c r="BQ97" s="217"/>
      <c r="BR97" s="1193"/>
      <c r="BS97" s="249"/>
      <c r="BT97" s="216"/>
      <c r="BU97" s="1195"/>
      <c r="BV97" s="249"/>
      <c r="BW97" s="216"/>
      <c r="BX97" s="1195"/>
      <c r="BY97" s="249"/>
      <c r="BZ97" s="216"/>
      <c r="CA97" s="1195"/>
      <c r="CB97" s="249"/>
      <c r="CC97" s="216"/>
      <c r="CD97" s="1195"/>
      <c r="CE97" s="249"/>
      <c r="CF97" s="216"/>
      <c r="CG97" s="1195"/>
      <c r="CH97" s="249"/>
      <c r="CI97" s="216"/>
      <c r="CJ97" s="1195"/>
      <c r="CK97" s="249"/>
      <c r="CL97" s="216"/>
      <c r="CM97" s="1194"/>
      <c r="CN97" s="1524"/>
      <c r="CO97" s="217"/>
      <c r="CP97" s="1193"/>
      <c r="CQ97" s="293"/>
      <c r="CR97" s="217"/>
      <c r="CS97" s="305"/>
      <c r="CT97" s="249"/>
      <c r="CU97" s="216"/>
      <c r="CV97" s="1193"/>
      <c r="CW97" s="249"/>
      <c r="CX97" s="216"/>
      <c r="CY97" s="305"/>
      <c r="CZ97" s="249"/>
      <c r="DA97" s="216"/>
      <c r="DB97" s="307"/>
      <c r="DC97" s="328"/>
      <c r="DD97" s="322"/>
      <c r="DE97" s="305"/>
      <c r="DF97" s="249"/>
      <c r="DG97" s="216"/>
      <c r="DH97" s="305"/>
      <c r="DI97" s="249"/>
      <c r="DJ97" s="216"/>
      <c r="DK97" s="309"/>
      <c r="DL97" s="293"/>
      <c r="DM97" s="326"/>
      <c r="DN97" s="1256"/>
      <c r="DO97" s="214"/>
      <c r="DP97" s="1257"/>
      <c r="DQ97" s="1258"/>
      <c r="DR97" s="305"/>
      <c r="DS97" s="249"/>
      <c r="DT97" s="216"/>
      <c r="DU97" s="2518"/>
      <c r="DV97"/>
      <c r="DW97"/>
      <c r="DX97" s="305"/>
      <c r="DY97" s="249"/>
      <c r="DZ97" s="221"/>
      <c r="EA97" s="388"/>
      <c r="EB97" s="249"/>
      <c r="EC97" s="216"/>
      <c r="ED97" s="1461"/>
      <c r="EE97" s="249"/>
      <c r="EF97" s="216"/>
      <c r="EG97" s="355"/>
      <c r="EH97" s="1425"/>
      <c r="EI97" s="1470"/>
      <c r="EJ97" s="249"/>
      <c r="EK97" s="221"/>
      <c r="EL97" s="313"/>
      <c r="EM97" s="249"/>
      <c r="EN97" s="221"/>
      <c r="EO97" s="313"/>
      <c r="EP97" s="249"/>
      <c r="EQ97" s="216"/>
      <c r="ER97" s="313"/>
      <c r="ES97" s="249"/>
      <c r="ET97" s="216"/>
      <c r="EU97" s="313"/>
      <c r="EV97" s="249"/>
      <c r="EW97" s="216"/>
      <c r="EX97" s="2505"/>
      <c r="EY97" s="249"/>
      <c r="EZ97" s="221"/>
      <c r="FA97" s="313"/>
      <c r="FB97" s="249"/>
      <c r="FC97" s="221"/>
      <c r="FD97" s="313"/>
      <c r="FE97" s="249"/>
      <c r="FF97" s="221"/>
      <c r="FG97" s="313"/>
      <c r="FH97" s="249"/>
      <c r="FI97" s="216"/>
      <c r="FJ97" s="1435"/>
      <c r="FK97" s="216"/>
      <c r="FL97" s="1268"/>
      <c r="FM97" s="1655"/>
      <c r="FN97" s="1268"/>
      <c r="FO97" s="1655"/>
      <c r="FP97" s="1268"/>
      <c r="FQ97" s="1656"/>
      <c r="FR97" s="249"/>
      <c r="FS97" s="216"/>
      <c r="FT97" s="1657"/>
      <c r="FU97" s="1658"/>
      <c r="FV97" s="242"/>
      <c r="FW97" s="2522"/>
      <c r="FX97" s="2523"/>
      <c r="FY97" s="336"/>
      <c r="FZ97" s="223"/>
      <c r="GA97" s="338"/>
      <c r="GB97" s="204"/>
      <c r="GC97" s="339"/>
      <c r="GD97" s="342"/>
      <c r="GE97" s="199"/>
      <c r="GF97" s="199"/>
      <c r="GG97" s="199"/>
      <c r="GH97" s="199"/>
      <c r="GI97" s="199"/>
      <c r="GJ97" s="199"/>
      <c r="GK97" s="199"/>
      <c r="GL97" s="49"/>
      <c r="GM97" s="28"/>
      <c r="GN97" s="28"/>
      <c r="GO97" s="322"/>
      <c r="GP97" s="1190"/>
      <c r="GQ97" s="1190"/>
      <c r="GR97" s="49"/>
      <c r="GS97" s="2879"/>
      <c r="GT97" s="2880"/>
      <c r="GU97" s="2881"/>
      <c r="GV97" s="49"/>
      <c r="GW97" s="49"/>
      <c r="GX97" s="49"/>
      <c r="GY97" s="49"/>
      <c r="GZ97" s="49"/>
      <c r="HA97" s="49"/>
      <c r="HB97" s="49"/>
      <c r="HC97" s="49"/>
      <c r="HD97" s="49"/>
      <c r="HE97" s="49"/>
      <c r="HF97" s="49"/>
      <c r="HG97" s="49"/>
      <c r="HH97" s="49"/>
      <c r="HI97" s="49"/>
      <c r="HJ97" s="49"/>
      <c r="HK97" s="49"/>
      <c r="HL97" s="49"/>
      <c r="HM97" s="49"/>
      <c r="HN97" s="49"/>
      <c r="HO97" s="49"/>
      <c r="HP97" s="49"/>
      <c r="HQ97" s="49"/>
      <c r="HR97" s="49"/>
      <c r="HS97" s="49"/>
      <c r="HT97" s="49"/>
      <c r="HU97" s="49"/>
      <c r="HV97" s="49"/>
      <c r="HW97" s="49"/>
      <c r="HX97" s="49"/>
      <c r="HY97" s="49"/>
      <c r="HZ97" s="49"/>
      <c r="IA97" s="49"/>
      <c r="IB97" s="49"/>
      <c r="IC97" s="49"/>
      <c r="ID97" s="49"/>
      <c r="IE97" s="49"/>
      <c r="IF97" s="49"/>
      <c r="IG97" s="49"/>
      <c r="IH97" s="49"/>
      <c r="II97" s="49"/>
      <c r="IJ97" s="49"/>
      <c r="IK97" s="49"/>
      <c r="IL97" s="49"/>
      <c r="IM97" s="49"/>
      <c r="IN97" s="49"/>
      <c r="IO97" s="49"/>
      <c r="IP97" s="49"/>
      <c r="IQ97" s="49"/>
      <c r="IR97" s="49"/>
      <c r="IS97" s="49"/>
      <c r="IT97" s="49"/>
      <c r="IU97" s="49"/>
      <c r="IV97" s="49"/>
    </row>
    <row r="98" spans="1:256" s="198" customFormat="1" ht="12" customHeight="1">
      <c r="A98" s="1252"/>
      <c r="B98" s="200"/>
      <c r="C98" s="486"/>
      <c r="D98" s="203"/>
      <c r="E98" s="203"/>
      <c r="F98" s="203"/>
      <c r="G98" s="203"/>
      <c r="H98" s="175"/>
      <c r="I98" s="1265"/>
      <c r="J98" s="1265"/>
      <c r="K98" s="175"/>
      <c r="L98" s="1265"/>
      <c r="M98" s="1265"/>
      <c r="N98" s="1265"/>
      <c r="O98" s="1265"/>
      <c r="P98" s="1265"/>
      <c r="Q98" s="999"/>
      <c r="R98" s="999"/>
      <c r="S98" s="999"/>
      <c r="T98" s="2801"/>
      <c r="U98" s="233"/>
      <c r="V98" s="49"/>
      <c r="W98" s="218"/>
      <c r="X98" s="218"/>
      <c r="Y98" s="216"/>
      <c r="Z98" s="216"/>
      <c r="AA98" s="215"/>
      <c r="AB98" s="216"/>
      <c r="AC98" s="216"/>
      <c r="AD98" s="239"/>
      <c r="AE98" s="216"/>
      <c r="AF98" s="216"/>
      <c r="AG98" s="216"/>
      <c r="AH98" s="216"/>
      <c r="AI98" s="216"/>
      <c r="AJ98" s="216"/>
      <c r="AK98" s="239"/>
      <c r="AL98" s="216"/>
      <c r="AM98" s="216"/>
      <c r="AN98" s="216"/>
      <c r="AO98" s="216"/>
      <c r="AP98" s="216"/>
      <c r="AQ98" s="216"/>
      <c r="AR98" s="216"/>
      <c r="AS98" s="216"/>
      <c r="AT98" s="216"/>
      <c r="AU98" s="216"/>
      <c r="AV98" s="217"/>
      <c r="AW98" s="355"/>
      <c r="AX98" s="217"/>
      <c r="AY98" s="1559"/>
      <c r="AZ98" s="249"/>
      <c r="BA98" s="221"/>
      <c r="BB98" s="300"/>
      <c r="BC98" s="217"/>
      <c r="BD98" s="392"/>
      <c r="BE98" s="1244"/>
      <c r="BF98" s="249"/>
      <c r="BG98" s="252"/>
      <c r="BH98" s="1469"/>
      <c r="BI98" s="216"/>
      <c r="BJ98" s="1469"/>
      <c r="BK98" s="1459"/>
      <c r="BL98" s="260"/>
      <c r="BM98" s="214"/>
      <c r="BN98" s="293"/>
      <c r="BO98" s="217"/>
      <c r="BP98" s="355"/>
      <c r="BQ98" s="217"/>
      <c r="BR98" s="1193"/>
      <c r="BS98" s="249"/>
      <c r="BT98" s="216"/>
      <c r="BU98" s="1195"/>
      <c r="BV98" s="249"/>
      <c r="BW98" s="216"/>
      <c r="BX98" s="1195"/>
      <c r="BY98" s="249"/>
      <c r="BZ98" s="216"/>
      <c r="CA98" s="1195"/>
      <c r="CB98" s="249"/>
      <c r="CC98" s="216"/>
      <c r="CD98" s="1195"/>
      <c r="CE98" s="249"/>
      <c r="CF98" s="216"/>
      <c r="CG98" s="1195"/>
      <c r="CH98" s="249"/>
      <c r="CI98" s="216"/>
      <c r="CJ98" s="1195"/>
      <c r="CK98" s="249"/>
      <c r="CL98" s="216"/>
      <c r="CM98" s="1194"/>
      <c r="CN98" s="1524"/>
      <c r="CO98" s="217"/>
      <c r="CP98" s="1193"/>
      <c r="CQ98" s="293"/>
      <c r="CR98" s="217"/>
      <c r="CS98" s="305"/>
      <c r="CT98" s="249"/>
      <c r="CU98" s="216"/>
      <c r="CV98" s="1193"/>
      <c r="CW98" s="249"/>
      <c r="CX98" s="216"/>
      <c r="CY98" s="305"/>
      <c r="CZ98" s="249"/>
      <c r="DA98" s="216"/>
      <c r="DB98" s="307"/>
      <c r="DC98" s="328"/>
      <c r="DD98" s="322"/>
      <c r="DE98" s="305"/>
      <c r="DF98" s="249"/>
      <c r="DG98" s="216"/>
      <c r="DH98" s="305"/>
      <c r="DI98" s="249"/>
      <c r="DJ98" s="216"/>
      <c r="DK98" s="309"/>
      <c r="DL98" s="293"/>
      <c r="DM98" s="326"/>
      <c r="DN98" s="1256"/>
      <c r="DO98" s="214"/>
      <c r="DP98" s="1257"/>
      <c r="DQ98" s="1258"/>
      <c r="DR98" s="305"/>
      <c r="DS98" s="249"/>
      <c r="DT98" s="216"/>
      <c r="DU98" s="2518"/>
      <c r="DV98"/>
      <c r="DW98"/>
      <c r="DX98" s="305"/>
      <c r="DY98" s="249"/>
      <c r="DZ98" s="221"/>
      <c r="EA98" s="388"/>
      <c r="EB98" s="249"/>
      <c r="EC98" s="216"/>
      <c r="ED98" s="1461"/>
      <c r="EE98" s="249"/>
      <c r="EF98" s="216"/>
      <c r="EG98" s="355"/>
      <c r="EH98" s="1425"/>
      <c r="EI98" s="1470"/>
      <c r="EJ98" s="249"/>
      <c r="EK98" s="221"/>
      <c r="EL98" s="313"/>
      <c r="EM98" s="249"/>
      <c r="EN98" s="221"/>
      <c r="EO98" s="313"/>
      <c r="EP98" s="249"/>
      <c r="EQ98" s="216"/>
      <c r="ER98" s="313"/>
      <c r="ES98" s="249"/>
      <c r="ET98" s="216"/>
      <c r="EU98" s="313"/>
      <c r="EV98" s="249"/>
      <c r="EW98" s="216"/>
      <c r="EX98" s="2505"/>
      <c r="EY98" s="249"/>
      <c r="EZ98" s="221"/>
      <c r="FA98" s="313"/>
      <c r="FB98" s="249"/>
      <c r="FC98" s="221"/>
      <c r="FD98" s="313"/>
      <c r="FE98" s="249"/>
      <c r="FF98" s="221"/>
      <c r="FG98" s="313"/>
      <c r="FH98" s="249"/>
      <c r="FI98" s="216"/>
      <c r="FJ98" s="1435"/>
      <c r="FK98" s="216"/>
      <c r="FL98" s="1268"/>
      <c r="FM98" s="1655"/>
      <c r="FN98" s="1268"/>
      <c r="FO98" s="1655"/>
      <c r="FP98" s="1268"/>
      <c r="FQ98" s="1656"/>
      <c r="FR98" s="249"/>
      <c r="FS98" s="216"/>
      <c r="FT98" s="1657"/>
      <c r="FU98" s="1658"/>
      <c r="FV98" s="242"/>
      <c r="FW98" s="2522"/>
      <c r="FX98" s="2523"/>
      <c r="FY98" s="336"/>
      <c r="FZ98" s="223"/>
      <c r="GA98" s="338"/>
      <c r="GB98" s="204"/>
      <c r="GC98" s="339"/>
      <c r="GD98" s="342"/>
      <c r="GE98" s="199"/>
      <c r="GF98" s="199"/>
      <c r="GG98" s="199"/>
      <c r="GH98" s="199"/>
      <c r="GI98" s="199"/>
      <c r="GJ98" s="199"/>
      <c r="GK98" s="199"/>
      <c r="GL98" s="49"/>
      <c r="GM98" s="28"/>
      <c r="GN98" s="28"/>
      <c r="GO98" s="322"/>
      <c r="GP98" s="1190"/>
      <c r="GQ98" s="1190"/>
      <c r="GR98" s="49"/>
      <c r="GS98" s="2879"/>
      <c r="GT98" s="2880"/>
      <c r="GU98" s="2881"/>
      <c r="GV98" s="49"/>
      <c r="GW98" s="49"/>
      <c r="GX98" s="49"/>
      <c r="GY98" s="49"/>
      <c r="GZ98" s="49"/>
      <c r="HA98" s="49"/>
      <c r="HB98" s="49"/>
      <c r="HC98" s="49"/>
      <c r="HD98" s="49"/>
      <c r="HE98" s="49"/>
      <c r="HF98" s="49"/>
      <c r="HG98" s="49"/>
      <c r="HH98" s="49"/>
      <c r="HI98" s="49"/>
      <c r="HJ98" s="49"/>
      <c r="HK98" s="49"/>
      <c r="HL98" s="49"/>
      <c r="HM98" s="49"/>
      <c r="HN98" s="49"/>
      <c r="HO98" s="49"/>
      <c r="HP98" s="49"/>
      <c r="HQ98" s="49"/>
      <c r="HR98" s="49"/>
      <c r="HS98" s="49"/>
      <c r="HT98" s="49"/>
      <c r="HU98" s="49"/>
      <c r="HV98" s="49"/>
      <c r="HW98" s="49"/>
      <c r="HX98" s="49"/>
      <c r="HY98" s="49"/>
      <c r="HZ98" s="49"/>
      <c r="IA98" s="49"/>
      <c r="IB98" s="49"/>
      <c r="IC98" s="49"/>
      <c r="ID98" s="49"/>
      <c r="IE98" s="49"/>
      <c r="IF98" s="49"/>
      <c r="IG98" s="49"/>
      <c r="IH98" s="49"/>
      <c r="II98" s="49"/>
      <c r="IJ98" s="49"/>
      <c r="IK98" s="49"/>
      <c r="IL98" s="49"/>
      <c r="IM98" s="49"/>
      <c r="IN98" s="49"/>
      <c r="IO98" s="49"/>
      <c r="IP98" s="49"/>
      <c r="IQ98" s="49"/>
      <c r="IR98" s="49"/>
      <c r="IS98" s="49"/>
      <c r="IT98" s="49"/>
      <c r="IU98" s="49"/>
      <c r="IV98" s="49"/>
    </row>
    <row r="99" spans="1:256" s="198" customFormat="1" ht="12" customHeight="1">
      <c r="A99" s="1252"/>
      <c r="B99" s="200"/>
      <c r="C99" s="486"/>
      <c r="D99" s="203"/>
      <c r="E99" s="203"/>
      <c r="F99" s="203"/>
      <c r="G99" s="203"/>
      <c r="H99" s="175"/>
      <c r="I99" s="1265"/>
      <c r="J99" s="1265"/>
      <c r="K99" s="175"/>
      <c r="L99" s="1265"/>
      <c r="M99" s="1265"/>
      <c r="N99" s="1265"/>
      <c r="O99" s="1265"/>
      <c r="P99" s="1265"/>
      <c r="Q99" s="999"/>
      <c r="R99" s="999"/>
      <c r="S99" s="999"/>
      <c r="T99" s="2801"/>
      <c r="U99" s="233"/>
      <c r="V99" s="49"/>
      <c r="W99" s="218"/>
      <c r="X99" s="218"/>
      <c r="Y99" s="216"/>
      <c r="Z99" s="216"/>
      <c r="AA99" s="215"/>
      <c r="AB99" s="216"/>
      <c r="AC99" s="216"/>
      <c r="AD99" s="239"/>
      <c r="AE99" s="216"/>
      <c r="AF99" s="216"/>
      <c r="AG99" s="216"/>
      <c r="AH99" s="216"/>
      <c r="AI99" s="216"/>
      <c r="AJ99" s="216"/>
      <c r="AK99" s="239"/>
      <c r="AL99" s="216"/>
      <c r="AM99" s="216"/>
      <c r="AN99" s="216"/>
      <c r="AO99" s="216"/>
      <c r="AP99" s="216"/>
      <c r="AQ99" s="216"/>
      <c r="AR99" s="216"/>
      <c r="AS99" s="216"/>
      <c r="AT99" s="216"/>
      <c r="AU99" s="216"/>
      <c r="AV99" s="217"/>
      <c r="AW99" s="355"/>
      <c r="AX99" s="217"/>
      <c r="AY99" s="1559"/>
      <c r="AZ99" s="249"/>
      <c r="BA99" s="221"/>
      <c r="BB99" s="300"/>
      <c r="BC99" s="217"/>
      <c r="BD99" s="392"/>
      <c r="BE99" s="1244"/>
      <c r="BF99" s="249"/>
      <c r="BG99" s="252"/>
      <c r="BH99" s="1469"/>
      <c r="BI99" s="216"/>
      <c r="BJ99" s="1469"/>
      <c r="BK99" s="1459"/>
      <c r="BL99" s="260"/>
      <c r="BM99" s="214"/>
      <c r="BN99" s="293"/>
      <c r="BO99" s="217"/>
      <c r="BP99" s="355"/>
      <c r="BQ99" s="217"/>
      <c r="BR99" s="1193"/>
      <c r="BS99" s="249"/>
      <c r="BT99" s="216"/>
      <c r="BU99" s="1195"/>
      <c r="BV99" s="249"/>
      <c r="BW99" s="216"/>
      <c r="BX99" s="1195"/>
      <c r="BY99" s="249"/>
      <c r="BZ99" s="216"/>
      <c r="CA99" s="1195"/>
      <c r="CB99" s="249"/>
      <c r="CC99" s="216"/>
      <c r="CD99" s="1195"/>
      <c r="CE99" s="249"/>
      <c r="CF99" s="216"/>
      <c r="CG99" s="1195"/>
      <c r="CH99" s="249"/>
      <c r="CI99" s="216"/>
      <c r="CJ99" s="1195"/>
      <c r="CK99" s="249"/>
      <c r="CL99" s="216"/>
      <c r="CM99" s="1194"/>
      <c r="CN99" s="1524"/>
      <c r="CO99" s="217"/>
      <c r="CP99" s="1193"/>
      <c r="CQ99" s="293"/>
      <c r="CR99" s="217"/>
      <c r="CS99" s="305"/>
      <c r="CT99" s="249"/>
      <c r="CU99" s="216"/>
      <c r="CV99" s="1193"/>
      <c r="CW99" s="249"/>
      <c r="CX99" s="216"/>
      <c r="CY99" s="305"/>
      <c r="CZ99" s="249"/>
      <c r="DA99" s="216"/>
      <c r="DB99" s="307"/>
      <c r="DC99" s="328"/>
      <c r="DD99" s="322"/>
      <c r="DE99" s="305"/>
      <c r="DF99" s="249"/>
      <c r="DG99" s="216"/>
      <c r="DH99" s="305"/>
      <c r="DI99" s="249"/>
      <c r="DJ99" s="216"/>
      <c r="DK99" s="309"/>
      <c r="DL99" s="293"/>
      <c r="DM99" s="326"/>
      <c r="DN99" s="1256"/>
      <c r="DO99" s="214"/>
      <c r="DP99" s="1257"/>
      <c r="DQ99" s="1258"/>
      <c r="DR99" s="305"/>
      <c r="DS99" s="249"/>
      <c r="DT99" s="216"/>
      <c r="DU99" s="2518"/>
      <c r="DV99"/>
      <c r="DW99"/>
      <c r="DX99" s="305"/>
      <c r="DY99" s="249"/>
      <c r="DZ99" s="221"/>
      <c r="EA99" s="388"/>
      <c r="EB99" s="249"/>
      <c r="EC99" s="216"/>
      <c r="ED99" s="1461"/>
      <c r="EE99" s="249"/>
      <c r="EF99" s="216"/>
      <c r="EG99" s="355"/>
      <c r="EH99" s="1425"/>
      <c r="EI99" s="1470"/>
      <c r="EJ99" s="249"/>
      <c r="EK99" s="221"/>
      <c r="EL99" s="313"/>
      <c r="EM99" s="249"/>
      <c r="EN99" s="221"/>
      <c r="EO99" s="313"/>
      <c r="EP99" s="249"/>
      <c r="EQ99" s="216"/>
      <c r="ER99" s="313"/>
      <c r="ES99" s="249"/>
      <c r="ET99" s="216"/>
      <c r="EU99" s="313"/>
      <c r="EV99" s="249"/>
      <c r="EW99" s="216"/>
      <c r="EX99" s="2505"/>
      <c r="EY99" s="249"/>
      <c r="EZ99" s="221"/>
      <c r="FA99" s="313"/>
      <c r="FB99" s="249"/>
      <c r="FC99" s="221"/>
      <c r="FD99" s="313"/>
      <c r="FE99" s="249"/>
      <c r="FF99" s="221"/>
      <c r="FG99" s="313"/>
      <c r="FH99" s="249"/>
      <c r="FI99" s="216"/>
      <c r="FJ99" s="1435"/>
      <c r="FK99" s="216"/>
      <c r="FL99" s="1268"/>
      <c r="FM99" s="1655"/>
      <c r="FN99" s="1268"/>
      <c r="FO99" s="1655"/>
      <c r="FP99" s="1268"/>
      <c r="FQ99" s="1656"/>
      <c r="FR99" s="249"/>
      <c r="FS99" s="216"/>
      <c r="FT99" s="1657"/>
      <c r="FU99" s="1658"/>
      <c r="FV99" s="242"/>
      <c r="FW99" s="2522"/>
      <c r="FX99" s="2523"/>
      <c r="FY99" s="336"/>
      <c r="FZ99" s="223"/>
      <c r="GA99" s="338"/>
      <c r="GB99" s="204"/>
      <c r="GC99" s="339"/>
      <c r="GD99" s="342"/>
      <c r="GE99" s="199"/>
      <c r="GF99" s="199"/>
      <c r="GG99" s="199"/>
      <c r="GH99" s="199"/>
      <c r="GI99" s="199"/>
      <c r="GJ99" s="199"/>
      <c r="GK99" s="199"/>
      <c r="GL99" s="49"/>
      <c r="GM99" s="28"/>
      <c r="GN99" s="28"/>
      <c r="GO99" s="322"/>
      <c r="GP99" s="1190"/>
      <c r="GQ99" s="1190"/>
      <c r="GR99" s="49"/>
      <c r="GS99" s="2879"/>
      <c r="GT99" s="2880"/>
      <c r="GU99" s="2881"/>
      <c r="GV99" s="49"/>
      <c r="GW99" s="49"/>
      <c r="GX99" s="49"/>
      <c r="GY99" s="49"/>
      <c r="GZ99" s="49"/>
      <c r="HA99" s="49"/>
      <c r="HB99" s="49"/>
      <c r="HC99" s="49"/>
      <c r="HD99" s="49"/>
      <c r="HE99" s="49"/>
      <c r="HF99" s="49"/>
      <c r="HG99" s="49"/>
      <c r="HH99" s="49"/>
      <c r="HI99" s="49"/>
      <c r="HJ99" s="49"/>
      <c r="HK99" s="49"/>
      <c r="HL99" s="49"/>
      <c r="HM99" s="49"/>
      <c r="HN99" s="49"/>
      <c r="HO99" s="49"/>
      <c r="HP99" s="49"/>
      <c r="HQ99" s="49"/>
      <c r="HR99" s="49"/>
      <c r="HS99" s="49"/>
      <c r="HT99" s="49"/>
      <c r="HU99" s="49"/>
      <c r="HV99" s="49"/>
      <c r="HW99" s="49"/>
      <c r="HX99" s="49"/>
      <c r="HY99" s="49"/>
      <c r="HZ99" s="49"/>
      <c r="IA99" s="49"/>
      <c r="IB99" s="49"/>
      <c r="IC99" s="49"/>
      <c r="ID99" s="49"/>
      <c r="IE99" s="49"/>
      <c r="IF99" s="49"/>
      <c r="IG99" s="49"/>
      <c r="IH99" s="49"/>
      <c r="II99" s="49"/>
      <c r="IJ99" s="49"/>
      <c r="IK99" s="49"/>
      <c r="IL99" s="49"/>
      <c r="IM99" s="49"/>
      <c r="IN99" s="49"/>
      <c r="IO99" s="49"/>
      <c r="IP99" s="49"/>
      <c r="IQ99" s="49"/>
      <c r="IR99" s="49"/>
      <c r="IS99" s="49"/>
      <c r="IT99" s="49"/>
      <c r="IU99" s="49"/>
      <c r="IV99" s="49"/>
    </row>
    <row r="100" spans="1:256" s="198" customFormat="1" ht="12" customHeight="1">
      <c r="A100" s="1252"/>
      <c r="B100" s="200"/>
      <c r="C100" s="486"/>
      <c r="D100" s="203"/>
      <c r="E100" s="203"/>
      <c r="F100" s="203"/>
      <c r="G100" s="203"/>
      <c r="H100" s="175"/>
      <c r="I100" s="1265"/>
      <c r="J100" s="1265"/>
      <c r="K100" s="175"/>
      <c r="L100" s="1265"/>
      <c r="M100" s="1265"/>
      <c r="N100" s="1265"/>
      <c r="O100" s="1265"/>
      <c r="P100" s="1265"/>
      <c r="Q100" s="999"/>
      <c r="R100" s="999"/>
      <c r="S100" s="999"/>
      <c r="T100" s="2801"/>
      <c r="U100" s="233"/>
      <c r="V100" s="49"/>
      <c r="W100" s="218"/>
      <c r="X100" s="218"/>
      <c r="Y100" s="216"/>
      <c r="Z100" s="216"/>
      <c r="AA100" s="215"/>
      <c r="AB100" s="216"/>
      <c r="AC100" s="216"/>
      <c r="AD100" s="239"/>
      <c r="AE100" s="216"/>
      <c r="AF100" s="216"/>
      <c r="AG100" s="216"/>
      <c r="AH100" s="216"/>
      <c r="AI100" s="216"/>
      <c r="AJ100" s="216"/>
      <c r="AK100" s="239"/>
      <c r="AL100" s="216"/>
      <c r="AM100" s="216"/>
      <c r="AN100" s="216"/>
      <c r="AO100" s="216"/>
      <c r="AP100" s="216"/>
      <c r="AQ100" s="216"/>
      <c r="AR100" s="216"/>
      <c r="AS100" s="216"/>
      <c r="AT100" s="216"/>
      <c r="AU100" s="216"/>
      <c r="AV100" s="217"/>
      <c r="AW100" s="355"/>
      <c r="AX100" s="217"/>
      <c r="AY100" s="1559"/>
      <c r="AZ100" s="249"/>
      <c r="BA100" s="221"/>
      <c r="BB100" s="300"/>
      <c r="BC100" s="217"/>
      <c r="BD100" s="392"/>
      <c r="BE100" s="1244"/>
      <c r="BF100" s="249"/>
      <c r="BG100" s="252"/>
      <c r="BH100" s="1469"/>
      <c r="BI100" s="216"/>
      <c r="BJ100" s="1469"/>
      <c r="BK100" s="1459"/>
      <c r="BL100" s="260"/>
      <c r="BM100" s="214"/>
      <c r="BN100" s="293"/>
      <c r="BO100" s="217"/>
      <c r="BP100" s="355"/>
      <c r="BQ100" s="217"/>
      <c r="BR100" s="1193"/>
      <c r="BS100" s="249"/>
      <c r="BT100" s="216"/>
      <c r="BU100" s="1195"/>
      <c r="BV100" s="249"/>
      <c r="BW100" s="216"/>
      <c r="BX100" s="1195"/>
      <c r="BY100" s="249"/>
      <c r="BZ100" s="216"/>
      <c r="CA100" s="1195"/>
      <c r="CB100" s="249"/>
      <c r="CC100" s="216"/>
      <c r="CD100" s="1195"/>
      <c r="CE100" s="249"/>
      <c r="CF100" s="216"/>
      <c r="CG100" s="1195"/>
      <c r="CH100" s="249"/>
      <c r="CI100" s="216"/>
      <c r="CJ100" s="1195"/>
      <c r="CK100" s="249"/>
      <c r="CL100" s="216"/>
      <c r="CM100" s="1194"/>
      <c r="CN100" s="1524"/>
      <c r="CO100" s="217"/>
      <c r="CP100" s="1193"/>
      <c r="CQ100" s="293"/>
      <c r="CR100" s="217"/>
      <c r="CS100" s="305"/>
      <c r="CT100" s="249"/>
      <c r="CU100" s="216"/>
      <c r="CV100" s="1193"/>
      <c r="CW100" s="249"/>
      <c r="CX100" s="216"/>
      <c r="CY100" s="305"/>
      <c r="CZ100" s="249"/>
      <c r="DA100" s="216"/>
      <c r="DB100" s="307"/>
      <c r="DC100" s="328"/>
      <c r="DD100" s="322"/>
      <c r="DE100" s="305"/>
      <c r="DF100" s="249"/>
      <c r="DG100" s="216"/>
      <c r="DH100" s="305"/>
      <c r="DI100" s="249"/>
      <c r="DJ100" s="216"/>
      <c r="DK100" s="309"/>
      <c r="DL100" s="293"/>
      <c r="DM100" s="326"/>
      <c r="DN100" s="1256"/>
      <c r="DO100" s="214"/>
      <c r="DP100" s="1257"/>
      <c r="DQ100" s="1258"/>
      <c r="DR100" s="305"/>
      <c r="DS100" s="249"/>
      <c r="DT100" s="216"/>
      <c r="DU100" s="2518"/>
      <c r="DV100"/>
      <c r="DW100"/>
      <c r="DX100" s="305"/>
      <c r="DY100" s="249"/>
      <c r="DZ100" s="221"/>
      <c r="EA100" s="388"/>
      <c r="EB100" s="249"/>
      <c r="EC100" s="216"/>
      <c r="ED100" s="1461"/>
      <c r="EE100" s="249"/>
      <c r="EF100" s="216"/>
      <c r="EG100" s="355"/>
      <c r="EH100" s="1425"/>
      <c r="EI100" s="1470"/>
      <c r="EJ100" s="249"/>
      <c r="EK100" s="221"/>
      <c r="EL100" s="313"/>
      <c r="EM100" s="249"/>
      <c r="EN100" s="221"/>
      <c r="EO100" s="313"/>
      <c r="EP100" s="249"/>
      <c r="EQ100" s="216"/>
      <c r="ER100" s="313"/>
      <c r="ES100" s="249"/>
      <c r="ET100" s="216"/>
      <c r="EU100" s="313"/>
      <c r="EV100" s="249"/>
      <c r="EW100" s="216"/>
      <c r="EX100" s="2505"/>
      <c r="EY100" s="249"/>
      <c r="EZ100" s="221"/>
      <c r="FA100" s="313"/>
      <c r="FB100" s="249"/>
      <c r="FC100" s="221"/>
      <c r="FD100" s="313"/>
      <c r="FE100" s="249"/>
      <c r="FF100" s="221"/>
      <c r="FG100" s="313"/>
      <c r="FH100" s="249"/>
      <c r="FI100" s="216"/>
      <c r="FJ100" s="1435"/>
      <c r="FK100" s="216"/>
      <c r="FL100" s="1268"/>
      <c r="FM100" s="1655"/>
      <c r="FN100" s="1268"/>
      <c r="FO100" s="1655"/>
      <c r="FP100" s="1268"/>
      <c r="FQ100" s="1656"/>
      <c r="FR100" s="249"/>
      <c r="FS100" s="216"/>
      <c r="FT100" s="1657"/>
      <c r="FU100" s="1658"/>
      <c r="FV100" s="242"/>
      <c r="FW100" s="2522"/>
      <c r="FX100" s="2523"/>
      <c r="FY100" s="336"/>
      <c r="FZ100" s="223"/>
      <c r="GA100" s="338"/>
      <c r="GB100" s="204"/>
      <c r="GC100" s="339"/>
      <c r="GD100" s="342"/>
      <c r="GE100" s="199"/>
      <c r="GF100" s="199"/>
      <c r="GG100" s="199"/>
      <c r="GH100" s="199"/>
      <c r="GI100" s="199"/>
      <c r="GJ100" s="199"/>
      <c r="GK100" s="199"/>
      <c r="GL100" s="49"/>
      <c r="GM100" s="28"/>
      <c r="GN100" s="28"/>
      <c r="GO100" s="322"/>
      <c r="GP100" s="1190"/>
      <c r="GQ100" s="1190"/>
      <c r="GR100" s="49"/>
      <c r="GS100" s="2879"/>
      <c r="GT100" s="2880"/>
      <c r="GU100" s="2881"/>
      <c r="GV100" s="49"/>
      <c r="GW100" s="49"/>
      <c r="GX100" s="49"/>
      <c r="GY100" s="49"/>
      <c r="GZ100" s="49"/>
      <c r="HA100" s="49"/>
      <c r="HB100" s="49"/>
      <c r="HC100" s="49"/>
      <c r="HD100" s="49"/>
      <c r="HE100" s="49"/>
      <c r="HF100" s="49"/>
      <c r="HG100" s="49"/>
      <c r="HH100" s="49"/>
      <c r="HI100" s="49"/>
      <c r="HJ100" s="49"/>
      <c r="HK100" s="49"/>
      <c r="HL100" s="49"/>
      <c r="HM100" s="49"/>
      <c r="HN100" s="49"/>
      <c r="HO100" s="49"/>
      <c r="HP100" s="49"/>
      <c r="HQ100" s="49"/>
      <c r="HR100" s="49"/>
      <c r="HS100" s="49"/>
      <c r="HT100" s="49"/>
      <c r="HU100" s="49"/>
      <c r="HV100" s="49"/>
      <c r="HW100" s="49"/>
      <c r="HX100" s="49"/>
      <c r="HY100" s="49"/>
      <c r="HZ100" s="49"/>
      <c r="IA100" s="49"/>
      <c r="IB100" s="49"/>
      <c r="IC100" s="49"/>
      <c r="ID100" s="49"/>
      <c r="IE100" s="49"/>
      <c r="IF100" s="49"/>
      <c r="IG100" s="49"/>
      <c r="IH100" s="49"/>
      <c r="II100" s="49"/>
      <c r="IJ100" s="49"/>
      <c r="IK100" s="49"/>
      <c r="IL100" s="49"/>
      <c r="IM100" s="49"/>
      <c r="IN100" s="49"/>
      <c r="IO100" s="49"/>
      <c r="IP100" s="49"/>
      <c r="IQ100" s="49"/>
      <c r="IR100" s="49"/>
      <c r="IS100" s="49"/>
      <c r="IT100" s="49"/>
      <c r="IU100" s="49"/>
      <c r="IV100" s="49"/>
    </row>
    <row r="101" spans="1:256" s="198" customFormat="1" ht="12" customHeight="1">
      <c r="A101" s="1252"/>
      <c r="B101" s="200"/>
      <c r="C101" s="486"/>
      <c r="D101" s="203"/>
      <c r="E101" s="203"/>
      <c r="F101" s="203"/>
      <c r="G101" s="203"/>
      <c r="H101" s="175"/>
      <c r="I101" s="1265"/>
      <c r="J101" s="1265"/>
      <c r="K101" s="175"/>
      <c r="L101" s="1265"/>
      <c r="M101" s="1265"/>
      <c r="N101" s="1265"/>
      <c r="O101" s="1265"/>
      <c r="P101" s="1265"/>
      <c r="Q101" s="999"/>
      <c r="R101" s="999"/>
      <c r="S101" s="999"/>
      <c r="T101" s="2801"/>
      <c r="U101" s="233"/>
      <c r="V101" s="49"/>
      <c r="W101" s="218"/>
      <c r="X101" s="218"/>
      <c r="Y101" s="216"/>
      <c r="Z101" s="216"/>
      <c r="AA101" s="215"/>
      <c r="AB101" s="216"/>
      <c r="AC101" s="216"/>
      <c r="AD101" s="239"/>
      <c r="AE101" s="216"/>
      <c r="AF101" s="216"/>
      <c r="AG101" s="216"/>
      <c r="AH101" s="216"/>
      <c r="AI101" s="216"/>
      <c r="AJ101" s="216"/>
      <c r="AK101" s="239"/>
      <c r="AL101" s="216"/>
      <c r="AM101" s="216"/>
      <c r="AN101" s="216"/>
      <c r="AO101" s="216"/>
      <c r="AP101" s="216"/>
      <c r="AQ101" s="216"/>
      <c r="AR101" s="216"/>
      <c r="AS101" s="216"/>
      <c r="AT101" s="216"/>
      <c r="AU101" s="216"/>
      <c r="AV101" s="217"/>
      <c r="AW101" s="355"/>
      <c r="AX101" s="217"/>
      <c r="AY101" s="1559"/>
      <c r="AZ101" s="249"/>
      <c r="BA101" s="221"/>
      <c r="BB101" s="300"/>
      <c r="BC101" s="217"/>
      <c r="BD101" s="392"/>
      <c r="BE101" s="1244"/>
      <c r="BF101" s="249"/>
      <c r="BG101" s="252"/>
      <c r="BH101" s="1469"/>
      <c r="BI101" s="216"/>
      <c r="BJ101" s="1469"/>
      <c r="BK101" s="1459"/>
      <c r="BL101" s="260"/>
      <c r="BM101" s="214"/>
      <c r="BN101" s="293"/>
      <c r="BO101" s="217"/>
      <c r="BP101" s="355"/>
      <c r="BQ101" s="217"/>
      <c r="BR101" s="1193"/>
      <c r="BS101" s="249"/>
      <c r="BT101" s="216"/>
      <c r="BU101" s="1195"/>
      <c r="BV101" s="249"/>
      <c r="BW101" s="216"/>
      <c r="BX101" s="1195"/>
      <c r="BY101" s="249"/>
      <c r="BZ101" s="216"/>
      <c r="CA101" s="1195"/>
      <c r="CB101" s="249"/>
      <c r="CC101" s="216"/>
      <c r="CD101" s="1195"/>
      <c r="CE101" s="249"/>
      <c r="CF101" s="216"/>
      <c r="CG101" s="1195"/>
      <c r="CH101" s="249"/>
      <c r="CI101" s="216"/>
      <c r="CJ101" s="1195"/>
      <c r="CK101" s="249"/>
      <c r="CL101" s="216"/>
      <c r="CM101" s="1194"/>
      <c r="CN101" s="1524"/>
      <c r="CO101" s="217"/>
      <c r="CP101" s="1193"/>
      <c r="CQ101" s="293"/>
      <c r="CR101" s="217"/>
      <c r="CS101" s="305"/>
      <c r="CT101" s="249"/>
      <c r="CU101" s="216"/>
      <c r="CV101" s="1193"/>
      <c r="CW101" s="249"/>
      <c r="CX101" s="216"/>
      <c r="CY101" s="305"/>
      <c r="CZ101" s="249"/>
      <c r="DA101" s="216"/>
      <c r="DB101" s="307"/>
      <c r="DC101" s="328"/>
      <c r="DD101" s="322"/>
      <c r="DE101" s="305"/>
      <c r="DF101" s="249"/>
      <c r="DG101" s="216"/>
      <c r="DH101" s="305"/>
      <c r="DI101" s="249"/>
      <c r="DJ101" s="216"/>
      <c r="DK101" s="309"/>
      <c r="DL101" s="293"/>
      <c r="DM101" s="326"/>
      <c r="DN101" s="1256"/>
      <c r="DO101" s="214"/>
      <c r="DP101" s="1257"/>
      <c r="DQ101" s="1258"/>
      <c r="DR101" s="305"/>
      <c r="DS101" s="249"/>
      <c r="DT101" s="216"/>
      <c r="DU101" s="2518"/>
      <c r="DV101"/>
      <c r="DW101"/>
      <c r="DX101" s="305"/>
      <c r="DY101" s="249"/>
      <c r="DZ101" s="221"/>
      <c r="EA101" s="388"/>
      <c r="EB101" s="249"/>
      <c r="EC101" s="216"/>
      <c r="ED101" s="1461"/>
      <c r="EE101" s="249"/>
      <c r="EF101" s="216"/>
      <c r="EG101" s="355"/>
      <c r="EH101" s="1425"/>
      <c r="EI101" s="1470"/>
      <c r="EJ101" s="249"/>
      <c r="EK101" s="221"/>
      <c r="EL101" s="313"/>
      <c r="EM101" s="249"/>
      <c r="EN101" s="221"/>
      <c r="EO101" s="313"/>
      <c r="EP101" s="249"/>
      <c r="EQ101" s="216"/>
      <c r="ER101" s="313"/>
      <c r="ES101" s="249"/>
      <c r="ET101" s="216"/>
      <c r="EU101" s="313"/>
      <c r="EV101" s="249"/>
      <c r="EW101" s="216"/>
      <c r="EX101" s="2505"/>
      <c r="EY101" s="249"/>
      <c r="EZ101" s="221"/>
      <c r="FA101" s="313"/>
      <c r="FB101" s="249"/>
      <c r="FC101" s="221"/>
      <c r="FD101" s="313"/>
      <c r="FE101" s="249"/>
      <c r="FF101" s="221"/>
      <c r="FG101" s="313"/>
      <c r="FH101" s="249"/>
      <c r="FI101" s="216"/>
      <c r="FJ101" s="1435"/>
      <c r="FK101" s="216"/>
      <c r="FL101" s="1268"/>
      <c r="FM101" s="1655"/>
      <c r="FN101" s="1268"/>
      <c r="FO101" s="1655"/>
      <c r="FP101" s="1268"/>
      <c r="FQ101" s="1656"/>
      <c r="FR101" s="249"/>
      <c r="FS101" s="216"/>
      <c r="FT101" s="1657"/>
      <c r="FU101" s="1658"/>
      <c r="FV101" s="242"/>
      <c r="FW101" s="2522"/>
      <c r="FX101" s="2523"/>
      <c r="FY101" s="336"/>
      <c r="FZ101" s="223"/>
      <c r="GA101" s="338"/>
      <c r="GB101" s="204"/>
      <c r="GC101" s="339"/>
      <c r="GD101" s="342"/>
      <c r="GE101" s="199"/>
      <c r="GF101" s="199"/>
      <c r="GG101" s="199"/>
      <c r="GH101" s="199"/>
      <c r="GI101" s="199"/>
      <c r="GJ101" s="199"/>
      <c r="GK101" s="199"/>
      <c r="GL101" s="49"/>
      <c r="GM101" s="28"/>
      <c r="GN101" s="28"/>
      <c r="GO101" s="322"/>
      <c r="GP101" s="1190"/>
      <c r="GQ101" s="1190"/>
      <c r="GR101" s="49"/>
      <c r="GS101" s="2879"/>
      <c r="GT101" s="2880"/>
      <c r="GU101" s="2881"/>
      <c r="GV101" s="49"/>
      <c r="GW101" s="49"/>
      <c r="GX101" s="49"/>
      <c r="GY101" s="49"/>
      <c r="GZ101" s="49"/>
      <c r="HA101" s="49"/>
      <c r="HB101" s="49"/>
      <c r="HC101" s="49"/>
      <c r="HD101" s="49"/>
      <c r="HE101" s="49"/>
      <c r="HF101" s="49"/>
      <c r="HG101" s="49"/>
      <c r="HH101" s="49"/>
      <c r="HI101" s="49"/>
      <c r="HJ101" s="49"/>
      <c r="HK101" s="49"/>
      <c r="HL101" s="49"/>
      <c r="HM101" s="49"/>
      <c r="HN101" s="49"/>
      <c r="HO101" s="49"/>
      <c r="HP101" s="49"/>
      <c r="HQ101" s="49"/>
      <c r="HR101" s="49"/>
      <c r="HS101" s="49"/>
      <c r="HT101" s="49"/>
      <c r="HU101" s="49"/>
      <c r="HV101" s="49"/>
      <c r="HW101" s="49"/>
      <c r="HX101" s="49"/>
      <c r="HY101" s="49"/>
      <c r="HZ101" s="49"/>
      <c r="IA101" s="49"/>
      <c r="IB101" s="49"/>
      <c r="IC101" s="49"/>
      <c r="ID101" s="49"/>
      <c r="IE101" s="49"/>
      <c r="IF101" s="49"/>
      <c r="IG101" s="49"/>
      <c r="IH101" s="49"/>
      <c r="II101" s="49"/>
      <c r="IJ101" s="49"/>
      <c r="IK101" s="49"/>
      <c r="IL101" s="49"/>
      <c r="IM101" s="49"/>
      <c r="IN101" s="49"/>
      <c r="IO101" s="49"/>
      <c r="IP101" s="49"/>
      <c r="IQ101" s="49"/>
      <c r="IR101" s="49"/>
      <c r="IS101" s="49"/>
      <c r="IT101" s="49"/>
      <c r="IU101" s="49"/>
      <c r="IV101" s="49"/>
    </row>
    <row r="102" spans="1:256" s="198" customFormat="1" ht="12" customHeight="1">
      <c r="A102" s="1252"/>
      <c r="B102" s="200"/>
      <c r="C102" s="486"/>
      <c r="D102" s="203"/>
      <c r="E102" s="203"/>
      <c r="F102" s="203"/>
      <c r="G102" s="203"/>
      <c r="H102" s="175"/>
      <c r="I102" s="1265"/>
      <c r="J102" s="1265"/>
      <c r="K102" s="175"/>
      <c r="L102" s="1265"/>
      <c r="M102" s="1265"/>
      <c r="N102" s="1265"/>
      <c r="O102" s="1265"/>
      <c r="P102" s="1265"/>
      <c r="Q102" s="999"/>
      <c r="R102" s="999"/>
      <c r="S102" s="999"/>
      <c r="T102" s="2801"/>
      <c r="U102" s="233"/>
      <c r="V102" s="49"/>
      <c r="W102" s="218"/>
      <c r="X102" s="218"/>
      <c r="Y102" s="216"/>
      <c r="Z102" s="216"/>
      <c r="AA102" s="215"/>
      <c r="AB102" s="216"/>
      <c r="AC102" s="216"/>
      <c r="AD102" s="239"/>
      <c r="AE102" s="216"/>
      <c r="AF102" s="216"/>
      <c r="AG102" s="216"/>
      <c r="AH102" s="216"/>
      <c r="AI102" s="216"/>
      <c r="AJ102" s="216"/>
      <c r="AK102" s="239"/>
      <c r="AL102" s="216"/>
      <c r="AM102" s="216"/>
      <c r="AN102" s="216"/>
      <c r="AO102" s="216"/>
      <c r="AP102" s="216"/>
      <c r="AQ102" s="216"/>
      <c r="AR102" s="216"/>
      <c r="AS102" s="216"/>
      <c r="AT102" s="216"/>
      <c r="AU102" s="216"/>
      <c r="AV102" s="217"/>
      <c r="AW102" s="355"/>
      <c r="AX102" s="217"/>
      <c r="AY102" s="1559"/>
      <c r="AZ102" s="249"/>
      <c r="BA102" s="221"/>
      <c r="BB102" s="300"/>
      <c r="BC102" s="217"/>
      <c r="BD102" s="392"/>
      <c r="BE102" s="1244"/>
      <c r="BF102" s="249"/>
      <c r="BG102" s="252"/>
      <c r="BH102" s="1469"/>
      <c r="BI102" s="216"/>
      <c r="BJ102" s="1469"/>
      <c r="BK102" s="1459"/>
      <c r="BL102" s="260"/>
      <c r="BM102" s="214"/>
      <c r="BN102" s="293"/>
      <c r="BO102" s="217"/>
      <c r="BP102" s="355"/>
      <c r="BQ102" s="217"/>
      <c r="BR102" s="1193"/>
      <c r="BS102" s="249"/>
      <c r="BT102" s="216"/>
      <c r="BU102" s="1195"/>
      <c r="BV102" s="249"/>
      <c r="BW102" s="216"/>
      <c r="BX102" s="1195"/>
      <c r="BY102" s="249"/>
      <c r="BZ102" s="216"/>
      <c r="CA102" s="1195"/>
      <c r="CB102" s="249"/>
      <c r="CC102" s="216"/>
      <c r="CD102" s="1195"/>
      <c r="CE102" s="249"/>
      <c r="CF102" s="216"/>
      <c r="CG102" s="1195"/>
      <c r="CH102" s="249"/>
      <c r="CI102" s="216"/>
      <c r="CJ102" s="1195"/>
      <c r="CK102" s="249"/>
      <c r="CL102" s="216"/>
      <c r="CM102" s="1194"/>
      <c r="CN102" s="1524"/>
      <c r="CO102" s="217"/>
      <c r="CP102" s="1193"/>
      <c r="CQ102" s="293"/>
      <c r="CR102" s="217"/>
      <c r="CS102" s="305"/>
      <c r="CT102" s="249"/>
      <c r="CU102" s="216"/>
      <c r="CV102" s="1193"/>
      <c r="CW102" s="249"/>
      <c r="CX102" s="216"/>
      <c r="CY102" s="305"/>
      <c r="CZ102" s="249"/>
      <c r="DA102" s="216"/>
      <c r="DB102" s="307"/>
      <c r="DC102" s="328"/>
      <c r="DD102" s="322"/>
      <c r="DE102" s="305"/>
      <c r="DF102" s="249"/>
      <c r="DG102" s="216"/>
      <c r="DH102" s="305"/>
      <c r="DI102" s="249"/>
      <c r="DJ102" s="216"/>
      <c r="DK102" s="309"/>
      <c r="DL102" s="293"/>
      <c r="DM102" s="326"/>
      <c r="DN102" s="1256"/>
      <c r="DO102" s="214"/>
      <c r="DP102" s="1257"/>
      <c r="DQ102" s="1258"/>
      <c r="DR102" s="305"/>
      <c r="DS102" s="249"/>
      <c r="DT102" s="216"/>
      <c r="DU102" s="2518"/>
      <c r="DV102"/>
      <c r="DW102"/>
      <c r="DX102" s="305"/>
      <c r="DY102" s="249"/>
      <c r="DZ102" s="221"/>
      <c r="EA102" s="388"/>
      <c r="EB102" s="249"/>
      <c r="EC102" s="216"/>
      <c r="ED102" s="1461"/>
      <c r="EE102" s="249"/>
      <c r="EF102" s="216"/>
      <c r="EG102" s="355"/>
      <c r="EH102" s="1425"/>
      <c r="EI102" s="1470"/>
      <c r="EJ102" s="249"/>
      <c r="EK102" s="221"/>
      <c r="EL102" s="313"/>
      <c r="EM102" s="249"/>
      <c r="EN102" s="221"/>
      <c r="EO102" s="313"/>
      <c r="EP102" s="249"/>
      <c r="EQ102" s="216"/>
      <c r="ER102" s="313"/>
      <c r="ES102" s="249"/>
      <c r="ET102" s="216"/>
      <c r="EU102" s="313"/>
      <c r="EV102" s="249"/>
      <c r="EW102" s="216"/>
      <c r="EX102" s="2505"/>
      <c r="EY102" s="249"/>
      <c r="EZ102" s="221"/>
      <c r="FA102" s="313"/>
      <c r="FB102" s="249"/>
      <c r="FC102" s="221"/>
      <c r="FD102" s="313"/>
      <c r="FE102" s="249"/>
      <c r="FF102" s="221"/>
      <c r="FG102" s="313"/>
      <c r="FH102" s="249"/>
      <c r="FI102" s="216"/>
      <c r="FJ102" s="1435"/>
      <c r="FK102" s="216"/>
      <c r="FL102" s="1268"/>
      <c r="FM102" s="1655"/>
      <c r="FN102" s="1268"/>
      <c r="FO102" s="1655"/>
      <c r="FP102" s="1268"/>
      <c r="FQ102" s="1656"/>
      <c r="FR102" s="249"/>
      <c r="FS102" s="216"/>
      <c r="FT102" s="1657"/>
      <c r="FU102" s="1658"/>
      <c r="FV102" s="242"/>
      <c r="FW102" s="2522"/>
      <c r="FX102" s="2523"/>
      <c r="FY102" s="336"/>
      <c r="FZ102" s="223"/>
      <c r="GA102" s="338"/>
      <c r="GB102" s="204"/>
      <c r="GC102" s="339"/>
      <c r="GD102" s="342"/>
      <c r="GE102" s="199"/>
      <c r="GF102" s="199"/>
      <c r="GG102" s="199"/>
      <c r="GH102" s="199"/>
      <c r="GI102" s="199"/>
      <c r="GJ102" s="199"/>
      <c r="GK102" s="199"/>
      <c r="GL102" s="49"/>
      <c r="GM102" s="28"/>
      <c r="GN102" s="28"/>
      <c r="GO102" s="322"/>
      <c r="GP102" s="1190"/>
      <c r="GQ102" s="1190"/>
      <c r="GR102" s="49"/>
      <c r="GS102" s="2879"/>
      <c r="GT102" s="2880"/>
      <c r="GU102" s="2881"/>
      <c r="GV102" s="49"/>
      <c r="GW102" s="49"/>
      <c r="GX102" s="49"/>
      <c r="GY102" s="49"/>
      <c r="GZ102" s="49"/>
      <c r="HA102" s="49"/>
      <c r="HB102" s="49"/>
      <c r="HC102" s="49"/>
      <c r="HD102" s="49"/>
      <c r="HE102" s="49"/>
      <c r="HF102" s="49"/>
      <c r="HG102" s="49"/>
      <c r="HH102" s="49"/>
      <c r="HI102" s="49"/>
      <c r="HJ102" s="49"/>
      <c r="HK102" s="49"/>
      <c r="HL102" s="49"/>
      <c r="HM102" s="49"/>
      <c r="HN102" s="49"/>
      <c r="HO102" s="49"/>
      <c r="HP102" s="49"/>
      <c r="HQ102" s="49"/>
      <c r="HR102" s="49"/>
      <c r="HS102" s="49"/>
      <c r="HT102" s="49"/>
      <c r="HU102" s="49"/>
      <c r="HV102" s="49"/>
      <c r="HW102" s="49"/>
      <c r="HX102" s="49"/>
      <c r="HY102" s="49"/>
      <c r="HZ102" s="49"/>
      <c r="IA102" s="49"/>
      <c r="IB102" s="49"/>
      <c r="IC102" s="49"/>
      <c r="ID102" s="49"/>
      <c r="IE102" s="49"/>
      <c r="IF102" s="49"/>
      <c r="IG102" s="49"/>
      <c r="IH102" s="49"/>
      <c r="II102" s="49"/>
      <c r="IJ102" s="49"/>
      <c r="IK102" s="49"/>
      <c r="IL102" s="49"/>
      <c r="IM102" s="49"/>
      <c r="IN102" s="49"/>
      <c r="IO102" s="49"/>
      <c r="IP102" s="49"/>
      <c r="IQ102" s="49"/>
      <c r="IR102" s="49"/>
      <c r="IS102" s="49"/>
      <c r="IT102" s="49"/>
      <c r="IU102" s="49"/>
      <c r="IV102" s="49"/>
    </row>
    <row r="103" spans="1:256" s="198" customFormat="1" ht="12" customHeight="1">
      <c r="A103" s="1252"/>
      <c r="B103" s="200"/>
      <c r="C103" s="486"/>
      <c r="D103" s="203"/>
      <c r="E103" s="203"/>
      <c r="F103" s="203"/>
      <c r="G103" s="203"/>
      <c r="H103" s="175"/>
      <c r="I103" s="1265"/>
      <c r="J103" s="1265"/>
      <c r="K103" s="175"/>
      <c r="L103" s="1265"/>
      <c r="M103" s="1265"/>
      <c r="N103" s="1265"/>
      <c r="O103" s="1265"/>
      <c r="P103" s="1265"/>
      <c r="Q103" s="999"/>
      <c r="R103" s="999"/>
      <c r="S103" s="999"/>
      <c r="T103" s="2801"/>
      <c r="U103" s="233"/>
      <c r="V103" s="49"/>
      <c r="W103" s="218"/>
      <c r="X103" s="218"/>
      <c r="Y103" s="216"/>
      <c r="Z103" s="216"/>
      <c r="AA103" s="215"/>
      <c r="AB103" s="216"/>
      <c r="AC103" s="216"/>
      <c r="AD103" s="239"/>
      <c r="AE103" s="216"/>
      <c r="AF103" s="216"/>
      <c r="AG103" s="216"/>
      <c r="AH103" s="216"/>
      <c r="AI103" s="216"/>
      <c r="AJ103" s="216"/>
      <c r="AK103" s="239"/>
      <c r="AL103" s="216"/>
      <c r="AM103" s="216"/>
      <c r="AN103" s="216"/>
      <c r="AO103" s="216"/>
      <c r="AP103" s="216"/>
      <c r="AQ103" s="216"/>
      <c r="AR103" s="216"/>
      <c r="AS103" s="216"/>
      <c r="AT103" s="216"/>
      <c r="AU103" s="216"/>
      <c r="AV103" s="217"/>
      <c r="AW103" s="355"/>
      <c r="AX103" s="217"/>
      <c r="AY103" s="1559"/>
      <c r="AZ103" s="249"/>
      <c r="BA103" s="221"/>
      <c r="BB103" s="300"/>
      <c r="BC103" s="217"/>
      <c r="BD103" s="392"/>
      <c r="BE103" s="1244"/>
      <c r="BF103" s="249"/>
      <c r="BG103" s="252"/>
      <c r="BH103" s="1469"/>
      <c r="BI103" s="216"/>
      <c r="BJ103" s="1469"/>
      <c r="BK103" s="1459"/>
      <c r="BL103" s="260"/>
      <c r="BM103" s="214"/>
      <c r="BN103" s="293"/>
      <c r="BO103" s="217"/>
      <c r="BP103" s="355"/>
      <c r="BQ103" s="217"/>
      <c r="BR103" s="1193"/>
      <c r="BS103" s="249"/>
      <c r="BT103" s="216"/>
      <c r="BU103" s="1195"/>
      <c r="BV103" s="249"/>
      <c r="BW103" s="216"/>
      <c r="BX103" s="1195"/>
      <c r="BY103" s="249"/>
      <c r="BZ103" s="216"/>
      <c r="CA103" s="1195"/>
      <c r="CB103" s="249"/>
      <c r="CC103" s="216"/>
      <c r="CD103" s="1195"/>
      <c r="CE103" s="249"/>
      <c r="CF103" s="216"/>
      <c r="CG103" s="1195"/>
      <c r="CH103" s="249"/>
      <c r="CI103" s="216"/>
      <c r="CJ103" s="1195"/>
      <c r="CK103" s="249"/>
      <c r="CL103" s="216"/>
      <c r="CM103" s="1194"/>
      <c r="CN103" s="1524"/>
      <c r="CO103" s="217"/>
      <c r="CP103" s="1193"/>
      <c r="CQ103" s="293"/>
      <c r="CR103" s="217"/>
      <c r="CS103" s="305"/>
      <c r="CT103" s="249"/>
      <c r="CU103" s="216"/>
      <c r="CV103" s="1193"/>
      <c r="CW103" s="249"/>
      <c r="CX103" s="216"/>
      <c r="CY103" s="305"/>
      <c r="CZ103" s="249"/>
      <c r="DA103" s="216"/>
      <c r="DB103" s="307"/>
      <c r="DC103" s="328"/>
      <c r="DD103" s="322"/>
      <c r="DE103" s="305"/>
      <c r="DF103" s="249"/>
      <c r="DG103" s="216"/>
      <c r="DH103" s="305"/>
      <c r="DI103" s="249"/>
      <c r="DJ103" s="216"/>
      <c r="DK103" s="309"/>
      <c r="DL103" s="293"/>
      <c r="DM103" s="326"/>
      <c r="DN103" s="1256"/>
      <c r="DO103" s="214"/>
      <c r="DP103" s="1257"/>
      <c r="DQ103" s="1258"/>
      <c r="DR103" s="305"/>
      <c r="DS103" s="249"/>
      <c r="DT103" s="216"/>
      <c r="DU103" s="2518"/>
      <c r="DV103"/>
      <c r="DW103"/>
      <c r="DX103" s="305"/>
      <c r="DY103" s="249"/>
      <c r="DZ103" s="221"/>
      <c r="EA103" s="388"/>
      <c r="EB103" s="249"/>
      <c r="EC103" s="216"/>
      <c r="ED103" s="1461"/>
      <c r="EE103" s="249"/>
      <c r="EF103" s="216"/>
      <c r="EG103" s="355"/>
      <c r="EH103" s="1425"/>
      <c r="EI103" s="1470"/>
      <c r="EJ103" s="249"/>
      <c r="EK103" s="221"/>
      <c r="EL103" s="313"/>
      <c r="EM103" s="249"/>
      <c r="EN103" s="221"/>
      <c r="EO103" s="313"/>
      <c r="EP103" s="249"/>
      <c r="EQ103" s="216"/>
      <c r="ER103" s="313"/>
      <c r="ES103" s="249"/>
      <c r="ET103" s="216"/>
      <c r="EU103" s="313"/>
      <c r="EV103" s="249"/>
      <c r="EW103" s="216"/>
      <c r="EX103" s="2505"/>
      <c r="EY103" s="249"/>
      <c r="EZ103" s="221"/>
      <c r="FA103" s="313"/>
      <c r="FB103" s="249"/>
      <c r="FC103" s="221"/>
      <c r="FD103" s="313"/>
      <c r="FE103" s="249"/>
      <c r="FF103" s="221"/>
      <c r="FG103" s="313"/>
      <c r="FH103" s="249"/>
      <c r="FI103" s="216"/>
      <c r="FJ103" s="1435"/>
      <c r="FK103" s="216"/>
      <c r="FL103" s="1268"/>
      <c r="FM103" s="1655"/>
      <c r="FN103" s="1268"/>
      <c r="FO103" s="1655"/>
      <c r="FP103" s="1268"/>
      <c r="FQ103" s="1656"/>
      <c r="FR103" s="249"/>
      <c r="FS103" s="216"/>
      <c r="FT103" s="1657"/>
      <c r="FU103" s="1658"/>
      <c r="FV103" s="242"/>
      <c r="FW103" s="2522"/>
      <c r="FX103" s="2523"/>
      <c r="FY103" s="336"/>
      <c r="FZ103" s="223"/>
      <c r="GA103" s="338"/>
      <c r="GB103" s="204"/>
      <c r="GC103" s="339"/>
      <c r="GD103" s="342"/>
      <c r="GE103" s="199"/>
      <c r="GF103" s="199"/>
      <c r="GG103" s="199"/>
      <c r="GH103" s="199"/>
      <c r="GI103" s="199"/>
      <c r="GJ103" s="199"/>
      <c r="GK103" s="199"/>
      <c r="GL103" s="49"/>
      <c r="GM103" s="28"/>
      <c r="GN103" s="28"/>
      <c r="GO103" s="322"/>
      <c r="GP103" s="1190"/>
      <c r="GQ103" s="1190"/>
      <c r="GR103" s="49"/>
      <c r="GS103" s="2879"/>
      <c r="GT103" s="2880"/>
      <c r="GU103" s="2881"/>
      <c r="GV103" s="49"/>
      <c r="GW103" s="49"/>
      <c r="GX103" s="49"/>
      <c r="GY103" s="49"/>
      <c r="GZ103" s="49"/>
      <c r="HA103" s="49"/>
      <c r="HB103" s="49"/>
      <c r="HC103" s="49"/>
      <c r="HD103" s="49"/>
      <c r="HE103" s="49"/>
      <c r="HF103" s="49"/>
      <c r="HG103" s="49"/>
      <c r="HH103" s="49"/>
      <c r="HI103" s="49"/>
      <c r="HJ103" s="49"/>
      <c r="HK103" s="49"/>
      <c r="HL103" s="49"/>
      <c r="HM103" s="49"/>
      <c r="HN103" s="49"/>
      <c r="HO103" s="49"/>
      <c r="HP103" s="49"/>
      <c r="HQ103" s="49"/>
      <c r="HR103" s="49"/>
      <c r="HS103" s="49"/>
      <c r="HT103" s="49"/>
      <c r="HU103" s="49"/>
      <c r="HV103" s="49"/>
      <c r="HW103" s="49"/>
      <c r="HX103" s="49"/>
      <c r="HY103" s="49"/>
      <c r="HZ103" s="49"/>
      <c r="IA103" s="49"/>
      <c r="IB103" s="49"/>
      <c r="IC103" s="49"/>
      <c r="ID103" s="49"/>
      <c r="IE103" s="49"/>
      <c r="IF103" s="49"/>
      <c r="IG103" s="49"/>
      <c r="IH103" s="49"/>
      <c r="II103" s="49"/>
      <c r="IJ103" s="49"/>
      <c r="IK103" s="49"/>
      <c r="IL103" s="49"/>
      <c r="IM103" s="49"/>
      <c r="IN103" s="49"/>
      <c r="IO103" s="49"/>
      <c r="IP103" s="49"/>
      <c r="IQ103" s="49"/>
      <c r="IR103" s="49"/>
      <c r="IS103" s="49"/>
      <c r="IT103" s="49"/>
      <c r="IU103" s="49"/>
      <c r="IV103" s="49"/>
    </row>
    <row r="104" spans="1:256" s="198" customFormat="1" ht="12" customHeight="1">
      <c r="A104" s="1252"/>
      <c r="B104" s="200"/>
      <c r="C104" s="486"/>
      <c r="D104" s="203"/>
      <c r="E104" s="203"/>
      <c r="F104" s="203"/>
      <c r="G104" s="203"/>
      <c r="H104" s="175"/>
      <c r="I104" s="1265"/>
      <c r="J104" s="1265"/>
      <c r="K104" s="175"/>
      <c r="L104" s="1265"/>
      <c r="M104" s="1265"/>
      <c r="N104" s="1265"/>
      <c r="O104" s="1265"/>
      <c r="P104" s="1265"/>
      <c r="Q104" s="999"/>
      <c r="R104" s="999"/>
      <c r="S104" s="999"/>
      <c r="T104" s="2801"/>
      <c r="U104" s="233"/>
      <c r="V104" s="49"/>
      <c r="W104" s="218"/>
      <c r="X104" s="218"/>
      <c r="Y104" s="216"/>
      <c r="Z104" s="216"/>
      <c r="AA104" s="215"/>
      <c r="AB104" s="216"/>
      <c r="AC104" s="216"/>
      <c r="AD104" s="239"/>
      <c r="AE104" s="216"/>
      <c r="AF104" s="216"/>
      <c r="AG104" s="216"/>
      <c r="AH104" s="216"/>
      <c r="AI104" s="216"/>
      <c r="AJ104" s="216"/>
      <c r="AK104" s="239"/>
      <c r="AL104" s="216"/>
      <c r="AM104" s="216"/>
      <c r="AN104" s="216"/>
      <c r="AO104" s="216"/>
      <c r="AP104" s="216"/>
      <c r="AQ104" s="216"/>
      <c r="AR104" s="216"/>
      <c r="AS104" s="216"/>
      <c r="AT104" s="216"/>
      <c r="AU104" s="216"/>
      <c r="AV104" s="217"/>
      <c r="AW104" s="355"/>
      <c r="AX104" s="217"/>
      <c r="AY104" s="1559"/>
      <c r="AZ104" s="249"/>
      <c r="BA104" s="221"/>
      <c r="BB104" s="300"/>
      <c r="BC104" s="217"/>
      <c r="BD104" s="392"/>
      <c r="BE104" s="1244"/>
      <c r="BF104" s="249"/>
      <c r="BG104" s="252"/>
      <c r="BH104" s="1469"/>
      <c r="BI104" s="216"/>
      <c r="BJ104" s="1469"/>
      <c r="BK104" s="1459"/>
      <c r="BL104" s="260"/>
      <c r="BM104" s="214"/>
      <c r="BN104" s="293"/>
      <c r="BO104" s="217"/>
      <c r="BP104" s="355"/>
      <c r="BQ104" s="217"/>
      <c r="BR104" s="1193"/>
      <c r="BS104" s="249"/>
      <c r="BT104" s="216"/>
      <c r="BU104" s="1195"/>
      <c r="BV104" s="249"/>
      <c r="BW104" s="216"/>
      <c r="BX104" s="1195"/>
      <c r="BY104" s="249"/>
      <c r="BZ104" s="216"/>
      <c r="CA104" s="1195"/>
      <c r="CB104" s="249"/>
      <c r="CC104" s="216"/>
      <c r="CD104" s="1195"/>
      <c r="CE104" s="249"/>
      <c r="CF104" s="216"/>
      <c r="CG104" s="1195"/>
      <c r="CH104" s="249"/>
      <c r="CI104" s="216"/>
      <c r="CJ104" s="1195"/>
      <c r="CK104" s="249"/>
      <c r="CL104" s="216"/>
      <c r="CM104" s="1194"/>
      <c r="CN104" s="1524"/>
      <c r="CO104" s="217"/>
      <c r="CP104" s="1193"/>
      <c r="CQ104" s="293"/>
      <c r="CR104" s="217"/>
      <c r="CS104" s="305"/>
      <c r="CT104" s="249"/>
      <c r="CU104" s="216"/>
      <c r="CV104" s="1193"/>
      <c r="CW104" s="249"/>
      <c r="CX104" s="216"/>
      <c r="CY104" s="305"/>
      <c r="CZ104" s="249"/>
      <c r="DA104" s="216"/>
      <c r="DB104" s="307"/>
      <c r="DC104" s="328"/>
      <c r="DD104" s="322"/>
      <c r="DE104" s="305"/>
      <c r="DF104" s="249"/>
      <c r="DG104" s="216"/>
      <c r="DH104" s="305"/>
      <c r="DI104" s="249"/>
      <c r="DJ104" s="216"/>
      <c r="DK104" s="309"/>
      <c r="DL104" s="293"/>
      <c r="DM104" s="326"/>
      <c r="DN104" s="1256"/>
      <c r="DO104" s="214"/>
      <c r="DP104" s="1257"/>
      <c r="DQ104" s="1258"/>
      <c r="DR104" s="305"/>
      <c r="DS104" s="249"/>
      <c r="DT104" s="216"/>
      <c r="DU104" s="2518"/>
      <c r="DV104"/>
      <c r="DW104"/>
      <c r="DX104" s="305"/>
      <c r="DY104" s="249"/>
      <c r="DZ104" s="221"/>
      <c r="EA104" s="388"/>
      <c r="EB104" s="249"/>
      <c r="EC104" s="216"/>
      <c r="ED104" s="1461"/>
      <c r="EE104" s="249"/>
      <c r="EF104" s="216"/>
      <c r="EG104" s="355"/>
      <c r="EH104" s="1425"/>
      <c r="EI104" s="1470"/>
      <c r="EJ104" s="249"/>
      <c r="EK104" s="221"/>
      <c r="EL104" s="313"/>
      <c r="EM104" s="249"/>
      <c r="EN104" s="221"/>
      <c r="EO104" s="313"/>
      <c r="EP104" s="249"/>
      <c r="EQ104" s="216"/>
      <c r="ER104" s="313"/>
      <c r="ES104" s="249"/>
      <c r="ET104" s="216"/>
      <c r="EU104" s="313"/>
      <c r="EV104" s="249"/>
      <c r="EW104" s="216"/>
      <c r="EX104" s="2505"/>
      <c r="EY104" s="249"/>
      <c r="EZ104" s="221"/>
      <c r="FA104" s="313"/>
      <c r="FB104" s="249"/>
      <c r="FC104" s="221"/>
      <c r="FD104" s="313"/>
      <c r="FE104" s="249"/>
      <c r="FF104" s="221"/>
      <c r="FG104" s="313"/>
      <c r="FH104" s="249"/>
      <c r="FI104" s="216"/>
      <c r="FJ104" s="1435"/>
      <c r="FK104" s="216"/>
      <c r="FL104" s="1268"/>
      <c r="FM104" s="1655"/>
      <c r="FN104" s="1268"/>
      <c r="FO104" s="1655"/>
      <c r="FP104" s="1268"/>
      <c r="FQ104" s="1656"/>
      <c r="FR104" s="249"/>
      <c r="FS104" s="216"/>
      <c r="FT104" s="1657"/>
      <c r="FU104" s="1658"/>
      <c r="FV104" s="242"/>
      <c r="FW104" s="2522"/>
      <c r="FX104" s="2523"/>
      <c r="FY104" s="336"/>
      <c r="FZ104" s="223"/>
      <c r="GA104" s="338"/>
      <c r="GB104" s="204"/>
      <c r="GC104" s="339"/>
      <c r="GD104" s="342"/>
      <c r="GE104" s="199"/>
      <c r="GF104" s="199"/>
      <c r="GG104" s="199"/>
      <c r="GH104" s="199"/>
      <c r="GI104" s="199"/>
      <c r="GJ104" s="199"/>
      <c r="GK104" s="199"/>
      <c r="GL104" s="49"/>
      <c r="GM104" s="28"/>
      <c r="GN104" s="28"/>
      <c r="GO104" s="322"/>
      <c r="GP104" s="1190"/>
      <c r="GQ104" s="1190"/>
      <c r="GR104" s="49"/>
      <c r="GS104" s="2879"/>
      <c r="GT104" s="2880"/>
      <c r="GU104" s="2881"/>
      <c r="GV104" s="49"/>
      <c r="GW104" s="49"/>
      <c r="GX104" s="49"/>
      <c r="GY104" s="49"/>
      <c r="GZ104" s="49"/>
      <c r="HA104" s="49"/>
      <c r="HB104" s="49"/>
      <c r="HC104" s="49"/>
      <c r="HD104" s="49"/>
      <c r="HE104" s="49"/>
      <c r="HF104" s="49"/>
      <c r="HG104" s="49"/>
      <c r="HH104" s="49"/>
      <c r="HI104" s="49"/>
      <c r="HJ104" s="49"/>
      <c r="HK104" s="49"/>
      <c r="HL104" s="49"/>
      <c r="HM104" s="49"/>
      <c r="HN104" s="49"/>
      <c r="HO104" s="49"/>
      <c r="HP104" s="49"/>
      <c r="HQ104" s="49"/>
      <c r="HR104" s="49"/>
      <c r="HS104" s="49"/>
      <c r="HT104" s="49"/>
      <c r="HU104" s="49"/>
      <c r="HV104" s="49"/>
      <c r="HW104" s="49"/>
      <c r="HX104" s="49"/>
      <c r="HY104" s="49"/>
      <c r="HZ104" s="49"/>
      <c r="IA104" s="49"/>
      <c r="IB104" s="49"/>
      <c r="IC104" s="49"/>
      <c r="ID104" s="49"/>
      <c r="IE104" s="49"/>
      <c r="IF104" s="49"/>
      <c r="IG104" s="49"/>
      <c r="IH104" s="49"/>
      <c r="II104" s="49"/>
      <c r="IJ104" s="49"/>
      <c r="IK104" s="49"/>
      <c r="IL104" s="49"/>
      <c r="IM104" s="49"/>
      <c r="IN104" s="49"/>
      <c r="IO104" s="49"/>
      <c r="IP104" s="49"/>
      <c r="IQ104" s="49"/>
      <c r="IR104" s="49"/>
      <c r="IS104" s="49"/>
      <c r="IT104" s="49"/>
      <c r="IU104" s="49"/>
      <c r="IV104" s="49"/>
    </row>
    <row r="105" spans="1:256" s="198" customFormat="1" ht="12" customHeight="1">
      <c r="A105" s="1252"/>
      <c r="B105" s="200"/>
      <c r="C105" s="486"/>
      <c r="D105" s="203"/>
      <c r="E105" s="203"/>
      <c r="F105" s="203"/>
      <c r="G105" s="203"/>
      <c r="H105" s="175"/>
      <c r="I105" s="1265"/>
      <c r="J105" s="1265"/>
      <c r="K105" s="175"/>
      <c r="L105" s="1265"/>
      <c r="M105" s="1265"/>
      <c r="N105" s="1265"/>
      <c r="O105" s="1265"/>
      <c r="P105" s="1265"/>
      <c r="Q105" s="999"/>
      <c r="R105" s="999"/>
      <c r="S105" s="999"/>
      <c r="T105" s="2801"/>
      <c r="U105" s="233"/>
      <c r="V105" s="49"/>
      <c r="W105" s="218"/>
      <c r="X105" s="218"/>
      <c r="Y105" s="216"/>
      <c r="Z105" s="216"/>
      <c r="AA105" s="215"/>
      <c r="AB105" s="216"/>
      <c r="AC105" s="216"/>
      <c r="AD105" s="239"/>
      <c r="AE105" s="216"/>
      <c r="AF105" s="216"/>
      <c r="AG105" s="216"/>
      <c r="AH105" s="216"/>
      <c r="AI105" s="216"/>
      <c r="AJ105" s="216"/>
      <c r="AK105" s="239"/>
      <c r="AL105" s="216"/>
      <c r="AM105" s="216"/>
      <c r="AN105" s="216"/>
      <c r="AO105" s="216"/>
      <c r="AP105" s="216"/>
      <c r="AQ105" s="216"/>
      <c r="AR105" s="216"/>
      <c r="AS105" s="216"/>
      <c r="AT105" s="216"/>
      <c r="AU105" s="216"/>
      <c r="AV105" s="217"/>
      <c r="AW105" s="355"/>
      <c r="AX105" s="217"/>
      <c r="AY105" s="1559"/>
      <c r="AZ105" s="249"/>
      <c r="BA105" s="221"/>
      <c r="BB105" s="300"/>
      <c r="BC105" s="217"/>
      <c r="BD105" s="392"/>
      <c r="BE105" s="1244"/>
      <c r="BF105" s="249"/>
      <c r="BG105" s="252"/>
      <c r="BH105" s="1469"/>
      <c r="BI105" s="216"/>
      <c r="BJ105" s="1469"/>
      <c r="BK105" s="1459"/>
      <c r="BL105" s="260"/>
      <c r="BM105" s="214"/>
      <c r="BN105" s="293"/>
      <c r="BO105" s="217"/>
      <c r="BP105" s="355"/>
      <c r="BQ105" s="217"/>
      <c r="BR105" s="1193"/>
      <c r="BS105" s="249"/>
      <c r="BT105" s="216"/>
      <c r="BU105" s="1195"/>
      <c r="BV105" s="249"/>
      <c r="BW105" s="216"/>
      <c r="BX105" s="1195"/>
      <c r="BY105" s="249"/>
      <c r="BZ105" s="216"/>
      <c r="CA105" s="1195"/>
      <c r="CB105" s="249"/>
      <c r="CC105" s="216"/>
      <c r="CD105" s="1195"/>
      <c r="CE105" s="249"/>
      <c r="CF105" s="216"/>
      <c r="CG105" s="1195"/>
      <c r="CH105" s="249"/>
      <c r="CI105" s="216"/>
      <c r="CJ105" s="1195"/>
      <c r="CK105" s="249"/>
      <c r="CL105" s="216"/>
      <c r="CM105" s="1194"/>
      <c r="CN105" s="1524"/>
      <c r="CO105" s="217"/>
      <c r="CP105" s="1193"/>
      <c r="CQ105" s="293"/>
      <c r="CR105" s="217"/>
      <c r="CS105" s="305"/>
      <c r="CT105" s="249"/>
      <c r="CU105" s="216"/>
      <c r="CV105" s="1193"/>
      <c r="CW105" s="249"/>
      <c r="CX105" s="216"/>
      <c r="CY105" s="305"/>
      <c r="CZ105" s="249"/>
      <c r="DA105" s="216"/>
      <c r="DB105" s="307"/>
      <c r="DC105" s="328"/>
      <c r="DD105" s="322"/>
      <c r="DE105" s="305"/>
      <c r="DF105" s="249"/>
      <c r="DG105" s="216"/>
      <c r="DH105" s="305"/>
      <c r="DI105" s="249"/>
      <c r="DJ105" s="216"/>
      <c r="DK105" s="309"/>
      <c r="DL105" s="293"/>
      <c r="DM105" s="326"/>
      <c r="DN105" s="1256"/>
      <c r="DO105" s="214"/>
      <c r="DP105" s="1257"/>
      <c r="DQ105" s="1258"/>
      <c r="DR105" s="305"/>
      <c r="DS105" s="249"/>
      <c r="DT105" s="216"/>
      <c r="DU105" s="2518"/>
      <c r="DV105"/>
      <c r="DW105"/>
      <c r="DX105" s="305"/>
      <c r="DY105" s="249"/>
      <c r="DZ105" s="221"/>
      <c r="EA105" s="388"/>
      <c r="EB105" s="249"/>
      <c r="EC105" s="216"/>
      <c r="ED105" s="1461"/>
      <c r="EE105" s="249"/>
      <c r="EF105" s="216"/>
      <c r="EG105" s="355"/>
      <c r="EH105" s="1425"/>
      <c r="EI105" s="1470"/>
      <c r="EJ105" s="249"/>
      <c r="EK105" s="221"/>
      <c r="EL105" s="313"/>
      <c r="EM105" s="249"/>
      <c r="EN105" s="221"/>
      <c r="EO105" s="313"/>
      <c r="EP105" s="249"/>
      <c r="EQ105" s="216"/>
      <c r="ER105" s="313"/>
      <c r="ES105" s="249"/>
      <c r="ET105" s="216"/>
      <c r="EU105" s="313"/>
      <c r="EV105" s="249"/>
      <c r="EW105" s="216"/>
      <c r="EX105" s="2505"/>
      <c r="EY105" s="249"/>
      <c r="EZ105" s="221"/>
      <c r="FA105" s="313"/>
      <c r="FB105" s="249"/>
      <c r="FC105" s="221"/>
      <c r="FD105" s="313"/>
      <c r="FE105" s="249"/>
      <c r="FF105" s="221"/>
      <c r="FG105" s="313"/>
      <c r="FH105" s="249"/>
      <c r="FI105" s="216"/>
      <c r="FJ105" s="1435"/>
      <c r="FK105" s="216"/>
      <c r="FL105" s="1268"/>
      <c r="FM105" s="1655"/>
      <c r="FN105" s="1268"/>
      <c r="FO105" s="1655"/>
      <c r="FP105" s="1268"/>
      <c r="FQ105" s="1656"/>
      <c r="FR105" s="249"/>
      <c r="FS105" s="216"/>
      <c r="FT105" s="1657"/>
      <c r="FU105" s="1658"/>
      <c r="FV105" s="242"/>
      <c r="FW105" s="2522"/>
      <c r="FX105" s="2523"/>
      <c r="FY105" s="336"/>
      <c r="FZ105" s="223"/>
      <c r="GA105" s="338"/>
      <c r="GB105" s="204"/>
      <c r="GC105" s="339"/>
      <c r="GD105" s="342"/>
      <c r="GE105" s="199"/>
      <c r="GF105" s="199"/>
      <c r="GG105" s="199"/>
      <c r="GH105" s="199"/>
      <c r="GI105" s="199"/>
      <c r="GJ105" s="199"/>
      <c r="GK105" s="199"/>
      <c r="GL105" s="49"/>
      <c r="GM105" s="28"/>
      <c r="GN105" s="28"/>
      <c r="GO105" s="322"/>
      <c r="GP105" s="1190"/>
      <c r="GQ105" s="1190"/>
      <c r="GR105" s="49"/>
      <c r="GS105" s="2879"/>
      <c r="GT105" s="2880"/>
      <c r="GU105" s="2881"/>
      <c r="GV105" s="49"/>
      <c r="GW105" s="49"/>
      <c r="GX105" s="49"/>
      <c r="GY105" s="49"/>
      <c r="GZ105" s="49"/>
      <c r="HA105" s="49"/>
      <c r="HB105" s="49"/>
      <c r="HC105" s="49"/>
      <c r="HD105" s="49"/>
      <c r="HE105" s="49"/>
      <c r="HF105" s="49"/>
      <c r="HG105" s="49"/>
      <c r="HH105" s="49"/>
      <c r="HI105" s="49"/>
      <c r="HJ105" s="49"/>
      <c r="HK105" s="49"/>
      <c r="HL105" s="49"/>
      <c r="HM105" s="49"/>
      <c r="HN105" s="49"/>
      <c r="HO105" s="49"/>
      <c r="HP105" s="49"/>
      <c r="HQ105" s="49"/>
      <c r="HR105" s="49"/>
      <c r="HS105" s="49"/>
      <c r="HT105" s="49"/>
      <c r="HU105" s="49"/>
      <c r="HV105" s="49"/>
      <c r="HW105" s="49"/>
      <c r="HX105" s="49"/>
      <c r="HY105" s="49"/>
      <c r="HZ105" s="49"/>
      <c r="IA105" s="49"/>
      <c r="IB105" s="49"/>
      <c r="IC105" s="49"/>
      <c r="ID105" s="49"/>
      <c r="IE105" s="49"/>
      <c r="IF105" s="49"/>
      <c r="IG105" s="49"/>
      <c r="IH105" s="49"/>
      <c r="II105" s="49"/>
      <c r="IJ105" s="49"/>
      <c r="IK105" s="49"/>
      <c r="IL105" s="49"/>
      <c r="IM105" s="49"/>
      <c r="IN105" s="49"/>
      <c r="IO105" s="49"/>
      <c r="IP105" s="49"/>
      <c r="IQ105" s="49"/>
      <c r="IR105" s="49"/>
      <c r="IS105" s="49"/>
      <c r="IT105" s="49"/>
      <c r="IU105" s="49"/>
      <c r="IV105" s="49"/>
    </row>
    <row r="106" spans="1:256" s="198" customFormat="1" ht="12" customHeight="1">
      <c r="A106" s="1252"/>
      <c r="B106" s="200"/>
      <c r="C106" s="486"/>
      <c r="D106" s="203"/>
      <c r="E106" s="203"/>
      <c r="F106" s="203"/>
      <c r="G106" s="203"/>
      <c r="H106" s="203"/>
      <c r="I106" s="203"/>
      <c r="J106" s="203"/>
      <c r="K106" s="175"/>
      <c r="L106" s="203"/>
      <c r="M106" s="203"/>
      <c r="N106" s="203"/>
      <c r="O106" s="203"/>
      <c r="P106" s="203"/>
      <c r="Q106" s="1197"/>
      <c r="R106" s="998"/>
      <c r="S106" s="999"/>
      <c r="T106" s="2801"/>
      <c r="U106" s="233"/>
      <c r="V106" s="49"/>
      <c r="W106" s="218"/>
      <c r="X106" s="218"/>
      <c r="Y106" s="216"/>
      <c r="Z106" s="216"/>
      <c r="AA106" s="215"/>
      <c r="AB106" s="216"/>
      <c r="AC106" s="216"/>
      <c r="AD106" s="239"/>
      <c r="AE106" s="216"/>
      <c r="AF106" s="216"/>
      <c r="AG106" s="216"/>
      <c r="AH106" s="216"/>
      <c r="AI106" s="216"/>
      <c r="AJ106" s="216"/>
      <c r="AK106" s="239"/>
      <c r="AL106" s="216"/>
      <c r="AM106" s="216"/>
      <c r="AN106" s="216"/>
      <c r="AO106" s="216"/>
      <c r="AP106" s="216"/>
      <c r="AQ106" s="216"/>
      <c r="AR106" s="216"/>
      <c r="AS106" s="216"/>
      <c r="AT106" s="216"/>
      <c r="AU106" s="216"/>
      <c r="AV106" s="217"/>
      <c r="AW106" s="355"/>
      <c r="AX106" s="217"/>
      <c r="AY106" s="1559"/>
      <c r="AZ106" s="249"/>
      <c r="BA106" s="221"/>
      <c r="BB106" s="300"/>
      <c r="BC106" s="217"/>
      <c r="BD106" s="392"/>
      <c r="BE106" s="1244"/>
      <c r="BF106" s="249"/>
      <c r="BG106" s="252"/>
      <c r="BH106" s="1469"/>
      <c r="BI106" s="216"/>
      <c r="BJ106" s="1469"/>
      <c r="BK106" s="1459"/>
      <c r="BL106" s="260"/>
      <c r="BM106" s="214"/>
      <c r="BN106" s="293"/>
      <c r="BO106" s="217"/>
      <c r="BP106" s="355"/>
      <c r="BQ106" s="217"/>
      <c r="BR106" s="1193"/>
      <c r="BS106" s="249"/>
      <c r="BT106" s="216"/>
      <c r="BU106" s="1195"/>
      <c r="BV106" s="249"/>
      <c r="BW106" s="216"/>
      <c r="BX106" s="1195"/>
      <c r="BY106" s="249"/>
      <c r="BZ106" s="216"/>
      <c r="CA106" s="1195"/>
      <c r="CB106" s="249"/>
      <c r="CC106" s="216"/>
      <c r="CD106" s="1195"/>
      <c r="CE106" s="249"/>
      <c r="CF106" s="216"/>
      <c r="CG106" s="1195"/>
      <c r="CH106" s="249"/>
      <c r="CI106" s="216"/>
      <c r="CJ106" s="1195"/>
      <c r="CK106" s="249"/>
      <c r="CL106" s="216"/>
      <c r="CM106" s="1194"/>
      <c r="CN106" s="1524"/>
      <c r="CO106" s="217"/>
      <c r="CP106" s="1193"/>
      <c r="CQ106" s="293"/>
      <c r="CR106" s="217"/>
      <c r="CS106" s="305"/>
      <c r="CT106" s="249"/>
      <c r="CU106" s="216"/>
      <c r="CV106" s="1193"/>
      <c r="CW106" s="249"/>
      <c r="CX106" s="216"/>
      <c r="CY106" s="305"/>
      <c r="CZ106" s="249"/>
      <c r="DA106" s="216"/>
      <c r="DB106" s="307"/>
      <c r="DC106" s="328"/>
      <c r="DD106" s="322"/>
      <c r="DE106" s="305"/>
      <c r="DF106" s="249"/>
      <c r="DG106" s="216"/>
      <c r="DH106" s="305"/>
      <c r="DI106" s="249"/>
      <c r="DJ106" s="216"/>
      <c r="DK106" s="309"/>
      <c r="DL106" s="293"/>
      <c r="DM106" s="326"/>
      <c r="DN106" s="1256"/>
      <c r="DO106" s="214"/>
      <c r="DP106" s="1257"/>
      <c r="DQ106" s="1258"/>
      <c r="DR106" s="305"/>
      <c r="DS106" s="249"/>
      <c r="DT106" s="216"/>
      <c r="DU106" s="2518"/>
      <c r="DV106"/>
      <c r="DW106"/>
      <c r="DX106" s="305"/>
      <c r="DY106" s="249"/>
      <c r="DZ106" s="221"/>
      <c r="EA106" s="388"/>
      <c r="EB106" s="249"/>
      <c r="EC106" s="216"/>
      <c r="ED106" s="1461"/>
      <c r="EE106" s="249"/>
      <c r="EF106" s="216"/>
      <c r="EG106" s="355"/>
      <c r="EH106" s="1425"/>
      <c r="EI106" s="1470"/>
      <c r="EJ106" s="249"/>
      <c r="EK106" s="221"/>
      <c r="EL106" s="313"/>
      <c r="EM106" s="249"/>
      <c r="EN106" s="221"/>
      <c r="EO106" s="313"/>
      <c r="EP106" s="249"/>
      <c r="EQ106" s="216"/>
      <c r="ER106" s="313"/>
      <c r="ES106" s="249"/>
      <c r="ET106" s="216"/>
      <c r="EU106" s="313"/>
      <c r="EV106" s="249"/>
      <c r="EW106" s="216"/>
      <c r="EX106" s="2505"/>
      <c r="EY106" s="249"/>
      <c r="EZ106" s="221"/>
      <c r="FA106" s="313"/>
      <c r="FB106" s="249"/>
      <c r="FC106" s="221"/>
      <c r="FD106" s="313"/>
      <c r="FE106" s="249"/>
      <c r="FF106" s="221"/>
      <c r="FG106" s="313"/>
      <c r="FH106" s="249"/>
      <c r="FI106" s="216"/>
      <c r="FJ106" s="1435"/>
      <c r="FK106" s="216"/>
      <c r="FL106" s="1268"/>
      <c r="FM106" s="1655"/>
      <c r="FN106" s="1268"/>
      <c r="FO106" s="1655"/>
      <c r="FP106" s="1268"/>
      <c r="FQ106" s="1656"/>
      <c r="FR106" s="249"/>
      <c r="FS106" s="216"/>
      <c r="FT106" s="1657"/>
      <c r="FU106" s="1658"/>
      <c r="FV106" s="242"/>
      <c r="FW106" s="2522"/>
      <c r="FX106" s="2523"/>
      <c r="FY106" s="336"/>
      <c r="FZ106" s="223"/>
      <c r="GA106" s="338"/>
      <c r="GB106" s="204"/>
      <c r="GC106" s="339"/>
      <c r="GD106" s="342"/>
      <c r="GE106" s="199"/>
      <c r="GF106" s="199"/>
      <c r="GG106" s="199"/>
      <c r="GH106" s="199"/>
      <c r="GI106" s="199"/>
      <c r="GJ106" s="199"/>
      <c r="GK106" s="199"/>
      <c r="GL106" s="49"/>
      <c r="GM106" s="28"/>
      <c r="GN106" s="28"/>
      <c r="GO106" s="322"/>
      <c r="GP106" s="1190"/>
      <c r="GQ106" s="1190"/>
      <c r="GR106" s="49"/>
      <c r="GS106" s="2879"/>
      <c r="GT106" s="2880"/>
      <c r="GU106" s="2881"/>
      <c r="GV106" s="49"/>
      <c r="GW106" s="49"/>
      <c r="GX106" s="49"/>
      <c r="GY106" s="49"/>
      <c r="GZ106" s="49"/>
      <c r="HA106" s="49"/>
      <c r="HB106" s="49"/>
      <c r="HC106" s="49"/>
      <c r="HD106" s="49"/>
      <c r="HE106" s="49"/>
      <c r="HF106" s="49"/>
      <c r="HG106" s="49"/>
      <c r="HH106" s="49"/>
      <c r="HI106" s="49"/>
      <c r="HJ106" s="49"/>
      <c r="HK106" s="49"/>
      <c r="HL106" s="49"/>
      <c r="HM106" s="49"/>
      <c r="HN106" s="49"/>
      <c r="HO106" s="49"/>
      <c r="HP106" s="49"/>
      <c r="HQ106" s="49"/>
      <c r="HR106" s="49"/>
      <c r="HS106" s="49"/>
      <c r="HT106" s="49"/>
      <c r="HU106" s="49"/>
      <c r="HV106" s="49"/>
      <c r="HW106" s="49"/>
      <c r="HX106" s="49"/>
      <c r="HY106" s="49"/>
      <c r="HZ106" s="49"/>
      <c r="IA106" s="49"/>
      <c r="IB106" s="49"/>
      <c r="IC106" s="49"/>
      <c r="ID106" s="49"/>
      <c r="IE106" s="49"/>
      <c r="IF106" s="49"/>
      <c r="IG106" s="49"/>
      <c r="IH106" s="49"/>
      <c r="II106" s="49"/>
      <c r="IJ106" s="49"/>
      <c r="IK106" s="49"/>
      <c r="IL106" s="49"/>
      <c r="IM106" s="49"/>
      <c r="IN106" s="49"/>
      <c r="IO106" s="49"/>
      <c r="IP106" s="49"/>
      <c r="IQ106" s="49"/>
      <c r="IR106" s="49"/>
      <c r="IS106" s="49"/>
      <c r="IT106" s="49"/>
      <c r="IU106" s="49"/>
      <c r="IV106" s="49"/>
    </row>
    <row r="107" spans="1:256" s="198" customFormat="1" ht="12" customHeight="1">
      <c r="A107" s="1252"/>
      <c r="B107" s="200"/>
      <c r="C107" s="486"/>
      <c r="D107" s="203"/>
      <c r="E107" s="203"/>
      <c r="F107" s="203"/>
      <c r="G107" s="203"/>
      <c r="H107" s="203"/>
      <c r="I107" s="203"/>
      <c r="J107" s="203"/>
      <c r="K107" s="175"/>
      <c r="L107" s="203"/>
      <c r="M107" s="203"/>
      <c r="N107" s="203"/>
      <c r="O107" s="203"/>
      <c r="P107" s="203"/>
      <c r="Q107" s="1197"/>
      <c r="R107" s="998"/>
      <c r="S107" s="999"/>
      <c r="T107" s="2801"/>
      <c r="U107" s="233"/>
      <c r="V107" s="49"/>
      <c r="W107" s="218"/>
      <c r="X107" s="218"/>
      <c r="Y107" s="216"/>
      <c r="Z107" s="216"/>
      <c r="AA107" s="215"/>
      <c r="AB107" s="216"/>
      <c r="AC107" s="216"/>
      <c r="AD107" s="239"/>
      <c r="AE107" s="216"/>
      <c r="AF107" s="216"/>
      <c r="AG107" s="216"/>
      <c r="AH107" s="216"/>
      <c r="AI107" s="216"/>
      <c r="AJ107" s="216"/>
      <c r="AK107" s="239"/>
      <c r="AL107" s="216"/>
      <c r="AM107" s="216"/>
      <c r="AN107" s="216"/>
      <c r="AO107" s="216"/>
      <c r="AP107" s="216"/>
      <c r="AQ107" s="216"/>
      <c r="AR107" s="216"/>
      <c r="AS107" s="216"/>
      <c r="AT107" s="216"/>
      <c r="AU107" s="216"/>
      <c r="AV107" s="217"/>
      <c r="AW107" s="355"/>
      <c r="AX107" s="217"/>
      <c r="AY107" s="1559"/>
      <c r="AZ107" s="249"/>
      <c r="BA107" s="221"/>
      <c r="BB107" s="300"/>
      <c r="BC107" s="217"/>
      <c r="BD107" s="392"/>
      <c r="BE107" s="1244"/>
      <c r="BF107" s="249"/>
      <c r="BG107" s="252"/>
      <c r="BH107" s="1469"/>
      <c r="BI107" s="216"/>
      <c r="BJ107" s="1469"/>
      <c r="BK107" s="1459"/>
      <c r="BL107" s="260"/>
      <c r="BM107" s="214"/>
      <c r="BN107" s="293"/>
      <c r="BO107" s="217"/>
      <c r="BP107" s="355"/>
      <c r="BQ107" s="217"/>
      <c r="BR107" s="1193"/>
      <c r="BS107" s="249"/>
      <c r="BT107" s="216"/>
      <c r="BU107" s="1195"/>
      <c r="BV107" s="249"/>
      <c r="BW107" s="216"/>
      <c r="BX107" s="1195"/>
      <c r="BY107" s="249"/>
      <c r="BZ107" s="216"/>
      <c r="CA107" s="1195"/>
      <c r="CB107" s="249"/>
      <c r="CC107" s="216"/>
      <c r="CD107" s="1195"/>
      <c r="CE107" s="249"/>
      <c r="CF107" s="216"/>
      <c r="CG107" s="1195"/>
      <c r="CH107" s="249"/>
      <c r="CI107" s="216"/>
      <c r="CJ107" s="1195"/>
      <c r="CK107" s="249"/>
      <c r="CL107" s="216"/>
      <c r="CM107" s="1194"/>
      <c r="CN107" s="1524"/>
      <c r="CO107" s="217"/>
      <c r="CP107" s="1193"/>
      <c r="CQ107" s="293"/>
      <c r="CR107" s="217"/>
      <c r="CS107" s="305"/>
      <c r="CT107" s="249"/>
      <c r="CU107" s="216"/>
      <c r="CV107" s="1193"/>
      <c r="CW107" s="249"/>
      <c r="CX107" s="216"/>
      <c r="CY107" s="305"/>
      <c r="CZ107" s="249"/>
      <c r="DA107" s="216"/>
      <c r="DB107" s="307"/>
      <c r="DC107" s="328"/>
      <c r="DD107" s="322"/>
      <c r="DE107" s="305"/>
      <c r="DF107" s="249"/>
      <c r="DG107" s="216"/>
      <c r="DH107" s="305"/>
      <c r="DI107" s="249"/>
      <c r="DJ107" s="216"/>
      <c r="DK107" s="309"/>
      <c r="DL107" s="293"/>
      <c r="DM107" s="326"/>
      <c r="DN107" s="1256"/>
      <c r="DO107" s="214"/>
      <c r="DP107" s="1257"/>
      <c r="DQ107" s="1258"/>
      <c r="DR107" s="305"/>
      <c r="DS107" s="249"/>
      <c r="DT107" s="216"/>
      <c r="DU107" s="2518"/>
      <c r="DV107"/>
      <c r="DW107"/>
      <c r="DX107" s="305"/>
      <c r="DY107" s="249"/>
      <c r="DZ107" s="221"/>
      <c r="EA107" s="388"/>
      <c r="EB107" s="249"/>
      <c r="EC107" s="216"/>
      <c r="ED107" s="1461"/>
      <c r="EE107" s="249"/>
      <c r="EF107" s="216"/>
      <c r="EG107" s="355"/>
      <c r="EH107" s="1425"/>
      <c r="EI107" s="1470"/>
      <c r="EJ107" s="249"/>
      <c r="EK107" s="221"/>
      <c r="EL107" s="313"/>
      <c r="EM107" s="249"/>
      <c r="EN107" s="221"/>
      <c r="EO107" s="313"/>
      <c r="EP107" s="249"/>
      <c r="EQ107" s="216"/>
      <c r="ER107" s="313"/>
      <c r="ES107" s="249"/>
      <c r="ET107" s="216"/>
      <c r="EU107" s="313"/>
      <c r="EV107" s="249"/>
      <c r="EW107" s="216"/>
      <c r="EX107" s="2505"/>
      <c r="EY107" s="249"/>
      <c r="EZ107" s="221"/>
      <c r="FA107" s="313"/>
      <c r="FB107" s="249"/>
      <c r="FC107" s="221"/>
      <c r="FD107" s="313"/>
      <c r="FE107" s="249"/>
      <c r="FF107" s="221"/>
      <c r="FG107" s="313"/>
      <c r="FH107" s="249"/>
      <c r="FI107" s="216"/>
      <c r="FJ107" s="1435"/>
      <c r="FK107" s="216"/>
      <c r="FL107" s="1268"/>
      <c r="FM107" s="1655"/>
      <c r="FN107" s="1268"/>
      <c r="FO107" s="1655"/>
      <c r="FP107" s="1268"/>
      <c r="FQ107" s="1656"/>
      <c r="FR107" s="249"/>
      <c r="FS107" s="216"/>
      <c r="FT107" s="1657"/>
      <c r="FU107" s="1658"/>
      <c r="FV107" s="242"/>
      <c r="FW107" s="2522"/>
      <c r="FX107" s="2523"/>
      <c r="FY107" s="336"/>
      <c r="FZ107" s="223"/>
      <c r="GA107" s="338"/>
      <c r="GB107" s="204"/>
      <c r="GC107" s="339"/>
      <c r="GD107" s="342"/>
      <c r="GE107" s="199"/>
      <c r="GF107" s="199"/>
      <c r="GG107" s="199"/>
      <c r="GH107" s="199"/>
      <c r="GI107" s="199"/>
      <c r="GJ107" s="199"/>
      <c r="GK107" s="199"/>
      <c r="GL107" s="49"/>
      <c r="GM107" s="28"/>
      <c r="GN107" s="28"/>
      <c r="GO107" s="322"/>
      <c r="GP107" s="1190"/>
      <c r="GQ107" s="1190"/>
      <c r="GR107" s="49"/>
      <c r="GS107" s="2879"/>
      <c r="GT107" s="2880"/>
      <c r="GU107" s="2881"/>
      <c r="GV107" s="49"/>
      <c r="GW107" s="49"/>
      <c r="GX107" s="49"/>
      <c r="GY107" s="49"/>
      <c r="GZ107" s="49"/>
      <c r="HA107" s="49"/>
      <c r="HB107" s="49"/>
      <c r="HC107" s="49"/>
      <c r="HD107" s="49"/>
      <c r="HE107" s="49"/>
      <c r="HF107" s="49"/>
      <c r="HG107" s="49"/>
      <c r="HH107" s="49"/>
      <c r="HI107" s="49"/>
      <c r="HJ107" s="49"/>
      <c r="HK107" s="49"/>
      <c r="HL107" s="49"/>
      <c r="HM107" s="49"/>
      <c r="HN107" s="49"/>
      <c r="HO107" s="49"/>
      <c r="HP107" s="49"/>
      <c r="HQ107" s="49"/>
      <c r="HR107" s="49"/>
      <c r="HS107" s="49"/>
      <c r="HT107" s="49"/>
      <c r="HU107" s="49"/>
      <c r="HV107" s="49"/>
      <c r="HW107" s="49"/>
      <c r="HX107" s="49"/>
      <c r="HY107" s="49"/>
      <c r="HZ107" s="49"/>
      <c r="IA107" s="49"/>
      <c r="IB107" s="49"/>
      <c r="IC107" s="49"/>
      <c r="ID107" s="49"/>
      <c r="IE107" s="49"/>
      <c r="IF107" s="49"/>
      <c r="IG107" s="49"/>
      <c r="IH107" s="49"/>
      <c r="II107" s="49"/>
      <c r="IJ107" s="49"/>
      <c r="IK107" s="49"/>
      <c r="IL107" s="49"/>
      <c r="IM107" s="49"/>
      <c r="IN107" s="49"/>
      <c r="IO107" s="49"/>
      <c r="IP107" s="49"/>
      <c r="IQ107" s="49"/>
      <c r="IR107" s="49"/>
      <c r="IS107" s="49"/>
      <c r="IT107" s="49"/>
      <c r="IU107" s="49"/>
      <c r="IV107" s="49"/>
    </row>
    <row r="108" spans="1:256" s="198" customFormat="1" ht="12" customHeight="1">
      <c r="A108" s="1252"/>
      <c r="B108" s="200"/>
      <c r="C108" s="486"/>
      <c r="D108" s="203"/>
      <c r="E108" s="203"/>
      <c r="F108" s="203"/>
      <c r="G108" s="203"/>
      <c r="H108" s="203"/>
      <c r="I108" s="203"/>
      <c r="J108" s="203"/>
      <c r="K108" s="175"/>
      <c r="L108" s="203"/>
      <c r="M108" s="203"/>
      <c r="N108" s="203"/>
      <c r="O108" s="203"/>
      <c r="P108" s="203"/>
      <c r="Q108" s="1197"/>
      <c r="R108" s="998"/>
      <c r="S108" s="999"/>
      <c r="T108" s="2801"/>
      <c r="U108" s="233"/>
      <c r="V108" s="49"/>
      <c r="W108" s="218"/>
      <c r="X108" s="218"/>
      <c r="Y108" s="216"/>
      <c r="Z108" s="216"/>
      <c r="AA108" s="215"/>
      <c r="AB108" s="216"/>
      <c r="AC108" s="216"/>
      <c r="AD108" s="239"/>
      <c r="AE108" s="216"/>
      <c r="AF108" s="216"/>
      <c r="AG108" s="216"/>
      <c r="AH108" s="216"/>
      <c r="AI108" s="216"/>
      <c r="AJ108" s="216"/>
      <c r="AK108" s="239"/>
      <c r="AL108" s="216"/>
      <c r="AM108" s="216"/>
      <c r="AN108" s="216"/>
      <c r="AO108" s="216"/>
      <c r="AP108" s="216"/>
      <c r="AQ108" s="216"/>
      <c r="AR108" s="216"/>
      <c r="AS108" s="216"/>
      <c r="AT108" s="216"/>
      <c r="AU108" s="216"/>
      <c r="AV108" s="217"/>
      <c r="AW108" s="355"/>
      <c r="AX108" s="217"/>
      <c r="AY108" s="1559"/>
      <c r="AZ108" s="249"/>
      <c r="BA108" s="221"/>
      <c r="BB108" s="300"/>
      <c r="BC108" s="217"/>
      <c r="BD108" s="392"/>
      <c r="BE108" s="1244"/>
      <c r="BF108" s="249"/>
      <c r="BG108" s="252"/>
      <c r="BH108" s="1469"/>
      <c r="BI108" s="216"/>
      <c r="BJ108" s="1469"/>
      <c r="BK108" s="1459"/>
      <c r="BL108" s="260"/>
      <c r="BM108" s="214"/>
      <c r="BN108" s="293"/>
      <c r="BO108" s="217"/>
      <c r="BP108" s="355"/>
      <c r="BQ108" s="217"/>
      <c r="BR108" s="1193"/>
      <c r="BS108" s="249"/>
      <c r="BT108" s="216"/>
      <c r="BU108" s="1195"/>
      <c r="BV108" s="249"/>
      <c r="BW108" s="216"/>
      <c r="BX108" s="1195"/>
      <c r="BY108" s="249"/>
      <c r="BZ108" s="216"/>
      <c r="CA108" s="1195"/>
      <c r="CB108" s="249"/>
      <c r="CC108" s="216"/>
      <c r="CD108" s="1195"/>
      <c r="CE108" s="249"/>
      <c r="CF108" s="216"/>
      <c r="CG108" s="1195"/>
      <c r="CH108" s="249"/>
      <c r="CI108" s="216"/>
      <c r="CJ108" s="1195"/>
      <c r="CK108" s="249"/>
      <c r="CL108" s="216"/>
      <c r="CM108" s="1194"/>
      <c r="CN108" s="1524"/>
      <c r="CO108" s="217"/>
      <c r="CP108" s="1193"/>
      <c r="CQ108" s="293"/>
      <c r="CR108" s="217"/>
      <c r="CS108" s="305"/>
      <c r="CT108" s="249"/>
      <c r="CU108" s="216"/>
      <c r="CV108" s="1193"/>
      <c r="CW108" s="249"/>
      <c r="CX108" s="216"/>
      <c r="CY108" s="305"/>
      <c r="CZ108" s="249"/>
      <c r="DA108" s="216"/>
      <c r="DB108" s="307"/>
      <c r="DC108" s="328"/>
      <c r="DD108" s="322"/>
      <c r="DE108" s="305"/>
      <c r="DF108" s="249"/>
      <c r="DG108" s="216"/>
      <c r="DH108" s="305"/>
      <c r="DI108" s="249"/>
      <c r="DJ108" s="216"/>
      <c r="DK108" s="309"/>
      <c r="DL108" s="293"/>
      <c r="DM108" s="326"/>
      <c r="DN108" s="1256"/>
      <c r="DO108" s="214"/>
      <c r="DP108" s="1257"/>
      <c r="DQ108" s="1258"/>
      <c r="DR108" s="305"/>
      <c r="DS108" s="249"/>
      <c r="DT108" s="216"/>
      <c r="DU108" s="2518"/>
      <c r="DV108"/>
      <c r="DW108"/>
      <c r="DX108" s="305"/>
      <c r="DY108" s="249"/>
      <c r="DZ108" s="221"/>
      <c r="EA108" s="388"/>
      <c r="EB108" s="249"/>
      <c r="EC108" s="216"/>
      <c r="ED108" s="1461"/>
      <c r="EE108" s="249"/>
      <c r="EF108" s="216"/>
      <c r="EG108" s="355"/>
      <c r="EH108" s="1425"/>
      <c r="EI108" s="1470"/>
      <c r="EJ108" s="249"/>
      <c r="EK108" s="221"/>
      <c r="EL108" s="313"/>
      <c r="EM108" s="249"/>
      <c r="EN108" s="221"/>
      <c r="EO108" s="313"/>
      <c r="EP108" s="249"/>
      <c r="EQ108" s="216"/>
      <c r="ER108" s="313"/>
      <c r="ES108" s="249"/>
      <c r="ET108" s="216"/>
      <c r="EU108" s="313"/>
      <c r="EV108" s="249"/>
      <c r="EW108" s="216"/>
      <c r="EX108" s="2505"/>
      <c r="EY108" s="249"/>
      <c r="EZ108" s="221"/>
      <c r="FA108" s="313"/>
      <c r="FB108" s="249"/>
      <c r="FC108" s="221"/>
      <c r="FD108" s="313"/>
      <c r="FE108" s="249"/>
      <c r="FF108" s="221"/>
      <c r="FG108" s="313"/>
      <c r="FH108" s="249"/>
      <c r="FI108" s="216"/>
      <c r="FJ108" s="1435"/>
      <c r="FK108" s="216"/>
      <c r="FL108" s="1268"/>
      <c r="FM108" s="1655"/>
      <c r="FN108" s="1268"/>
      <c r="FO108" s="1655"/>
      <c r="FP108" s="1268"/>
      <c r="FQ108" s="1656"/>
      <c r="FR108" s="249"/>
      <c r="FS108" s="216"/>
      <c r="FT108" s="1657"/>
      <c r="FU108" s="1658"/>
      <c r="FV108" s="242"/>
      <c r="FW108" s="2522"/>
      <c r="FX108" s="2523"/>
      <c r="FY108" s="336"/>
      <c r="FZ108" s="223"/>
      <c r="GA108" s="338"/>
      <c r="GB108" s="204"/>
      <c r="GC108" s="339"/>
      <c r="GD108" s="342"/>
      <c r="GE108" s="199"/>
      <c r="GF108" s="199"/>
      <c r="GG108" s="199"/>
      <c r="GH108" s="199"/>
      <c r="GI108" s="199"/>
      <c r="GJ108" s="199"/>
      <c r="GK108" s="199"/>
      <c r="GL108" s="49"/>
      <c r="GM108" s="28"/>
      <c r="GN108" s="28"/>
      <c r="GO108" s="322"/>
      <c r="GP108" s="1190"/>
      <c r="GQ108" s="1190"/>
      <c r="GR108" s="49"/>
      <c r="GS108" s="2879"/>
      <c r="GT108" s="2880"/>
      <c r="GU108" s="2881"/>
      <c r="GV108" s="49"/>
      <c r="GW108" s="49"/>
      <c r="GX108" s="49"/>
      <c r="GY108" s="49"/>
      <c r="GZ108" s="49"/>
      <c r="HA108" s="49"/>
      <c r="HB108" s="49"/>
      <c r="HC108" s="49"/>
      <c r="HD108" s="49"/>
      <c r="HE108" s="49"/>
      <c r="HF108" s="49"/>
      <c r="HG108" s="49"/>
      <c r="HH108" s="49"/>
      <c r="HI108" s="49"/>
      <c r="HJ108" s="49"/>
      <c r="HK108" s="49"/>
      <c r="HL108" s="49"/>
      <c r="HM108" s="49"/>
      <c r="HN108" s="49"/>
      <c r="HO108" s="49"/>
      <c r="HP108" s="49"/>
      <c r="HQ108" s="49"/>
      <c r="HR108" s="49"/>
      <c r="HS108" s="49"/>
      <c r="HT108" s="49"/>
      <c r="HU108" s="49"/>
      <c r="HV108" s="49"/>
      <c r="HW108" s="49"/>
      <c r="HX108" s="49"/>
      <c r="HY108" s="49"/>
      <c r="HZ108" s="49"/>
      <c r="IA108" s="49"/>
      <c r="IB108" s="49"/>
      <c r="IC108" s="49"/>
      <c r="ID108" s="49"/>
      <c r="IE108" s="49"/>
      <c r="IF108" s="49"/>
      <c r="IG108" s="49"/>
      <c r="IH108" s="49"/>
      <c r="II108" s="49"/>
      <c r="IJ108" s="49"/>
      <c r="IK108" s="49"/>
      <c r="IL108" s="49"/>
      <c r="IM108" s="49"/>
      <c r="IN108" s="49"/>
      <c r="IO108" s="49"/>
      <c r="IP108" s="49"/>
      <c r="IQ108" s="49"/>
      <c r="IR108" s="49"/>
      <c r="IS108" s="49"/>
      <c r="IT108" s="49"/>
      <c r="IU108" s="49"/>
      <c r="IV108" s="49"/>
    </row>
    <row r="109" spans="1:256" s="198" customFormat="1" ht="12" customHeight="1">
      <c r="A109" s="1252"/>
      <c r="B109" s="200"/>
      <c r="C109" s="486"/>
      <c r="D109" s="203"/>
      <c r="E109" s="203"/>
      <c r="F109" s="203"/>
      <c r="G109" s="203"/>
      <c r="H109" s="203"/>
      <c r="I109" s="203"/>
      <c r="J109" s="203"/>
      <c r="K109" s="175"/>
      <c r="L109" s="203"/>
      <c r="M109" s="203"/>
      <c r="N109" s="203"/>
      <c r="O109" s="203"/>
      <c r="P109" s="203"/>
      <c r="Q109" s="1197"/>
      <c r="R109" s="998"/>
      <c r="S109" s="999"/>
      <c r="T109" s="2801"/>
      <c r="U109" s="233"/>
      <c r="V109" s="49"/>
      <c r="W109" s="218"/>
      <c r="X109" s="218"/>
      <c r="Y109" s="216"/>
      <c r="Z109" s="216"/>
      <c r="AA109" s="215"/>
      <c r="AB109" s="216"/>
      <c r="AC109" s="216"/>
      <c r="AD109" s="239"/>
      <c r="AE109" s="216"/>
      <c r="AF109" s="216"/>
      <c r="AG109" s="216"/>
      <c r="AH109" s="216"/>
      <c r="AI109" s="216"/>
      <c r="AJ109" s="216"/>
      <c r="AK109" s="239"/>
      <c r="AL109" s="216"/>
      <c r="AM109" s="216"/>
      <c r="AN109" s="216"/>
      <c r="AO109" s="216"/>
      <c r="AP109" s="216"/>
      <c r="AQ109" s="216"/>
      <c r="AR109" s="216"/>
      <c r="AS109" s="216"/>
      <c r="AT109" s="216"/>
      <c r="AU109" s="216"/>
      <c r="AV109" s="217"/>
      <c r="AW109" s="355"/>
      <c r="AX109" s="217"/>
      <c r="AY109" s="1559"/>
      <c r="AZ109" s="249"/>
      <c r="BA109" s="221"/>
      <c r="BB109" s="300"/>
      <c r="BC109" s="217"/>
      <c r="BD109" s="392"/>
      <c r="BE109" s="1244"/>
      <c r="BF109" s="249"/>
      <c r="BG109" s="252"/>
      <c r="BH109" s="1469"/>
      <c r="BI109" s="216"/>
      <c r="BJ109" s="1469"/>
      <c r="BK109" s="1459"/>
      <c r="BL109" s="260"/>
      <c r="BM109" s="214"/>
      <c r="BN109" s="293"/>
      <c r="BO109" s="217"/>
      <c r="BP109" s="355"/>
      <c r="BQ109" s="217"/>
      <c r="BR109" s="1193"/>
      <c r="BS109" s="249"/>
      <c r="BT109" s="216"/>
      <c r="BU109" s="1195"/>
      <c r="BV109" s="249"/>
      <c r="BW109" s="216"/>
      <c r="BX109" s="1195"/>
      <c r="BY109" s="249"/>
      <c r="BZ109" s="216"/>
      <c r="CA109" s="1195"/>
      <c r="CB109" s="249"/>
      <c r="CC109" s="216"/>
      <c r="CD109" s="1195"/>
      <c r="CE109" s="249"/>
      <c r="CF109" s="216"/>
      <c r="CG109" s="1195"/>
      <c r="CH109" s="249"/>
      <c r="CI109" s="216"/>
      <c r="CJ109" s="1195"/>
      <c r="CK109" s="249"/>
      <c r="CL109" s="216"/>
      <c r="CM109" s="1194"/>
      <c r="CN109" s="1524"/>
      <c r="CO109" s="217"/>
      <c r="CP109" s="1193"/>
      <c r="CQ109" s="293"/>
      <c r="CR109" s="217"/>
      <c r="CS109" s="305"/>
      <c r="CT109" s="249"/>
      <c r="CU109" s="216"/>
      <c r="CV109" s="1193"/>
      <c r="CW109" s="249"/>
      <c r="CX109" s="216"/>
      <c r="CY109" s="305"/>
      <c r="CZ109" s="249"/>
      <c r="DA109" s="216"/>
      <c r="DB109" s="307"/>
      <c r="DC109" s="328"/>
      <c r="DD109" s="322"/>
      <c r="DE109" s="305"/>
      <c r="DF109" s="249"/>
      <c r="DG109" s="216"/>
      <c r="DH109" s="305"/>
      <c r="DI109" s="249"/>
      <c r="DJ109" s="216"/>
      <c r="DK109" s="309"/>
      <c r="DL109" s="293"/>
      <c r="DM109" s="326"/>
      <c r="DN109" s="1256"/>
      <c r="DO109" s="214"/>
      <c r="DP109" s="1257"/>
      <c r="DQ109" s="1258"/>
      <c r="DR109" s="305"/>
      <c r="DS109" s="249"/>
      <c r="DT109" s="216"/>
      <c r="DU109" s="2518"/>
      <c r="DV109"/>
      <c r="DW109"/>
      <c r="DX109" s="305"/>
      <c r="DY109" s="249"/>
      <c r="DZ109" s="221"/>
      <c r="EA109" s="388"/>
      <c r="EB109" s="249"/>
      <c r="EC109" s="216"/>
      <c r="ED109" s="1461"/>
      <c r="EE109" s="249"/>
      <c r="EF109" s="216"/>
      <c r="EG109" s="355"/>
      <c r="EH109" s="1425"/>
      <c r="EI109" s="1470"/>
      <c r="EJ109" s="249"/>
      <c r="EK109" s="221"/>
      <c r="EL109" s="313"/>
      <c r="EM109" s="249"/>
      <c r="EN109" s="221"/>
      <c r="EO109" s="313"/>
      <c r="EP109" s="249"/>
      <c r="EQ109" s="216"/>
      <c r="ER109" s="313"/>
      <c r="ES109" s="249"/>
      <c r="ET109" s="216"/>
      <c r="EU109" s="313"/>
      <c r="EV109" s="249"/>
      <c r="EW109" s="216"/>
      <c r="EX109" s="2505"/>
      <c r="EY109" s="249"/>
      <c r="EZ109" s="221"/>
      <c r="FA109" s="313"/>
      <c r="FB109" s="249"/>
      <c r="FC109" s="221"/>
      <c r="FD109" s="313"/>
      <c r="FE109" s="249"/>
      <c r="FF109" s="221"/>
      <c r="FG109" s="313"/>
      <c r="FH109" s="249"/>
      <c r="FI109" s="216"/>
      <c r="FJ109" s="1435"/>
      <c r="FK109" s="216"/>
      <c r="FL109" s="1268"/>
      <c r="FM109" s="1655"/>
      <c r="FN109" s="1268"/>
      <c r="FO109" s="1655"/>
      <c r="FP109" s="1268"/>
      <c r="FQ109" s="1656"/>
      <c r="FR109" s="249"/>
      <c r="FS109" s="216"/>
      <c r="FT109" s="1657"/>
      <c r="FU109" s="1658"/>
      <c r="FV109" s="242"/>
      <c r="FW109" s="2522"/>
      <c r="FX109" s="2523"/>
      <c r="FY109" s="336"/>
      <c r="FZ109" s="223"/>
      <c r="GA109" s="338"/>
      <c r="GB109" s="204"/>
      <c r="GC109" s="339"/>
      <c r="GD109" s="342"/>
      <c r="GE109" s="199"/>
      <c r="GF109" s="199"/>
      <c r="GG109" s="199"/>
      <c r="GH109" s="199"/>
      <c r="GI109" s="199"/>
      <c r="GJ109" s="199"/>
      <c r="GK109" s="199"/>
      <c r="GL109" s="49"/>
      <c r="GM109" s="28"/>
      <c r="GN109" s="28"/>
      <c r="GO109" s="322"/>
      <c r="GP109" s="1190"/>
      <c r="GQ109" s="1190"/>
      <c r="GR109" s="49"/>
      <c r="GS109" s="2879"/>
      <c r="GT109" s="2880"/>
      <c r="GU109" s="2881"/>
      <c r="GV109" s="49"/>
      <c r="GW109" s="49"/>
      <c r="GX109" s="49"/>
      <c r="GY109" s="49"/>
      <c r="GZ109" s="49"/>
      <c r="HA109" s="49"/>
      <c r="HB109" s="49"/>
      <c r="HC109" s="49"/>
      <c r="HD109" s="49"/>
      <c r="HE109" s="49"/>
      <c r="HF109" s="49"/>
      <c r="HG109" s="49"/>
      <c r="HH109" s="49"/>
      <c r="HI109" s="49"/>
      <c r="HJ109" s="49"/>
      <c r="HK109" s="49"/>
      <c r="HL109" s="49"/>
      <c r="HM109" s="49"/>
      <c r="HN109" s="49"/>
      <c r="HO109" s="49"/>
      <c r="HP109" s="49"/>
      <c r="HQ109" s="49"/>
      <c r="HR109" s="49"/>
      <c r="HS109" s="49"/>
      <c r="HT109" s="49"/>
      <c r="HU109" s="49"/>
      <c r="HV109" s="49"/>
      <c r="HW109" s="49"/>
      <c r="HX109" s="49"/>
      <c r="HY109" s="49"/>
      <c r="HZ109" s="49"/>
      <c r="IA109" s="49"/>
      <c r="IB109" s="49"/>
      <c r="IC109" s="49"/>
      <c r="ID109" s="49"/>
      <c r="IE109" s="49"/>
      <c r="IF109" s="49"/>
      <c r="IG109" s="49"/>
      <c r="IH109" s="49"/>
      <c r="II109" s="49"/>
      <c r="IJ109" s="49"/>
      <c r="IK109" s="49"/>
      <c r="IL109" s="49"/>
      <c r="IM109" s="49"/>
      <c r="IN109" s="49"/>
      <c r="IO109" s="49"/>
      <c r="IP109" s="49"/>
      <c r="IQ109" s="49"/>
      <c r="IR109" s="49"/>
      <c r="IS109" s="49"/>
      <c r="IT109" s="49"/>
      <c r="IU109" s="49"/>
      <c r="IV109" s="49"/>
    </row>
    <row r="110" spans="1:256" s="198" customFormat="1" ht="12" customHeight="1">
      <c r="A110" s="1252"/>
      <c r="B110" s="200"/>
      <c r="C110" s="486"/>
      <c r="D110" s="203"/>
      <c r="E110" s="203"/>
      <c r="F110" s="203"/>
      <c r="G110" s="203"/>
      <c r="H110" s="203"/>
      <c r="I110" s="203"/>
      <c r="J110" s="203"/>
      <c r="K110" s="175"/>
      <c r="L110" s="203"/>
      <c r="M110" s="203"/>
      <c r="N110" s="203"/>
      <c r="O110" s="203"/>
      <c r="P110" s="203"/>
      <c r="Q110" s="1197"/>
      <c r="R110" s="998"/>
      <c r="S110" s="999"/>
      <c r="T110" s="2801"/>
      <c r="U110" s="233"/>
      <c r="V110" s="49"/>
      <c r="W110" s="218"/>
      <c r="X110" s="218"/>
      <c r="Y110" s="216"/>
      <c r="Z110" s="216"/>
      <c r="AA110" s="215"/>
      <c r="AB110" s="216"/>
      <c r="AC110" s="216"/>
      <c r="AD110" s="239"/>
      <c r="AE110" s="216"/>
      <c r="AF110" s="216"/>
      <c r="AG110" s="216"/>
      <c r="AH110" s="216"/>
      <c r="AI110" s="216"/>
      <c r="AJ110" s="216"/>
      <c r="AK110" s="239"/>
      <c r="AL110" s="216"/>
      <c r="AM110" s="216"/>
      <c r="AN110" s="216"/>
      <c r="AO110" s="216"/>
      <c r="AP110" s="216"/>
      <c r="AQ110" s="216"/>
      <c r="AR110" s="216"/>
      <c r="AS110" s="216"/>
      <c r="AT110" s="216"/>
      <c r="AU110" s="216"/>
      <c r="AV110" s="217"/>
      <c r="AW110" s="355"/>
      <c r="AX110" s="217"/>
      <c r="AY110" s="1559"/>
      <c r="AZ110" s="249"/>
      <c r="BA110" s="221"/>
      <c r="BB110" s="300"/>
      <c r="BC110" s="217"/>
      <c r="BD110" s="392"/>
      <c r="BE110" s="1244"/>
      <c r="BF110" s="249"/>
      <c r="BG110" s="252"/>
      <c r="BH110" s="1469"/>
      <c r="BI110" s="216"/>
      <c r="BJ110" s="1469"/>
      <c r="BK110" s="1459"/>
      <c r="BL110" s="260"/>
      <c r="BM110" s="214"/>
      <c r="BN110" s="293"/>
      <c r="BO110" s="217"/>
      <c r="BP110" s="355"/>
      <c r="BQ110" s="217"/>
      <c r="BR110" s="1193"/>
      <c r="BS110" s="249"/>
      <c r="BT110" s="216"/>
      <c r="BU110" s="1195"/>
      <c r="BV110" s="249"/>
      <c r="BW110" s="216"/>
      <c r="BX110" s="1195"/>
      <c r="BY110" s="249"/>
      <c r="BZ110" s="216"/>
      <c r="CA110" s="1195"/>
      <c r="CB110" s="249"/>
      <c r="CC110" s="216"/>
      <c r="CD110" s="1195"/>
      <c r="CE110" s="249"/>
      <c r="CF110" s="216"/>
      <c r="CG110" s="1195"/>
      <c r="CH110" s="249"/>
      <c r="CI110" s="216"/>
      <c r="CJ110" s="1195"/>
      <c r="CK110" s="249"/>
      <c r="CL110" s="216"/>
      <c r="CM110" s="1194"/>
      <c r="CN110" s="1524"/>
      <c r="CO110" s="217"/>
      <c r="CP110" s="1193"/>
      <c r="CQ110" s="293"/>
      <c r="CR110" s="217"/>
      <c r="CS110" s="305"/>
      <c r="CT110" s="249"/>
      <c r="CU110" s="216"/>
      <c r="CV110" s="1193"/>
      <c r="CW110" s="249"/>
      <c r="CX110" s="216"/>
      <c r="CY110" s="305"/>
      <c r="CZ110" s="249"/>
      <c r="DA110" s="216"/>
      <c r="DB110" s="307"/>
      <c r="DC110" s="328"/>
      <c r="DD110" s="322"/>
      <c r="DE110" s="305"/>
      <c r="DF110" s="249"/>
      <c r="DG110" s="216"/>
      <c r="DH110" s="305"/>
      <c r="DI110" s="249"/>
      <c r="DJ110" s="216"/>
      <c r="DK110" s="309"/>
      <c r="DL110" s="293"/>
      <c r="DM110" s="326"/>
      <c r="DN110" s="1256"/>
      <c r="DO110" s="214"/>
      <c r="DP110" s="1257"/>
      <c r="DQ110" s="1258"/>
      <c r="DR110" s="305"/>
      <c r="DS110" s="249"/>
      <c r="DT110" s="216"/>
      <c r="DU110" s="2518"/>
      <c r="DV110"/>
      <c r="DW110"/>
      <c r="DX110" s="305"/>
      <c r="DY110" s="249"/>
      <c r="DZ110" s="221"/>
      <c r="EA110" s="388"/>
      <c r="EB110" s="249"/>
      <c r="EC110" s="216"/>
      <c r="ED110" s="1461"/>
      <c r="EE110" s="249"/>
      <c r="EF110" s="216"/>
      <c r="EG110" s="355"/>
      <c r="EH110" s="1425"/>
      <c r="EI110" s="1470"/>
      <c r="EJ110" s="249"/>
      <c r="EK110" s="221"/>
      <c r="EL110" s="313"/>
      <c r="EM110" s="249"/>
      <c r="EN110" s="221"/>
      <c r="EO110" s="313"/>
      <c r="EP110" s="249"/>
      <c r="EQ110" s="216"/>
      <c r="ER110" s="313"/>
      <c r="ES110" s="249"/>
      <c r="ET110" s="216"/>
      <c r="EU110" s="313"/>
      <c r="EV110" s="249"/>
      <c r="EW110" s="216"/>
      <c r="EX110" s="2505"/>
      <c r="EY110" s="249"/>
      <c r="EZ110" s="221"/>
      <c r="FA110" s="313"/>
      <c r="FB110" s="249"/>
      <c r="FC110" s="221"/>
      <c r="FD110" s="313"/>
      <c r="FE110" s="249"/>
      <c r="FF110" s="221"/>
      <c r="FG110" s="313"/>
      <c r="FH110" s="249"/>
      <c r="FI110" s="216"/>
      <c r="FJ110" s="1435"/>
      <c r="FK110" s="216"/>
      <c r="FL110" s="1268"/>
      <c r="FM110" s="1655"/>
      <c r="FN110" s="1268"/>
      <c r="FO110" s="1655"/>
      <c r="FP110" s="1268"/>
      <c r="FQ110" s="1656"/>
      <c r="FR110" s="249"/>
      <c r="FS110" s="216"/>
      <c r="FT110" s="1657"/>
      <c r="FU110" s="1658"/>
      <c r="FV110" s="242"/>
      <c r="FW110" s="2522"/>
      <c r="FX110" s="2523"/>
      <c r="FY110" s="336"/>
      <c r="FZ110" s="223"/>
      <c r="GA110" s="338"/>
      <c r="GB110" s="204"/>
      <c r="GC110" s="339"/>
      <c r="GD110" s="342"/>
      <c r="GE110" s="199"/>
      <c r="GF110" s="199"/>
      <c r="GG110" s="199"/>
      <c r="GH110" s="199"/>
      <c r="GI110" s="199"/>
      <c r="GJ110" s="199"/>
      <c r="GK110" s="199"/>
      <c r="GL110" s="49"/>
      <c r="GM110" s="28"/>
      <c r="GN110" s="28"/>
      <c r="GO110" s="322"/>
      <c r="GP110" s="1190"/>
      <c r="GQ110" s="1190"/>
      <c r="GR110" s="49"/>
      <c r="GS110" s="2879"/>
      <c r="GT110" s="2880"/>
      <c r="GU110" s="2881"/>
      <c r="GV110" s="49"/>
      <c r="GW110" s="49"/>
      <c r="GX110" s="49"/>
      <c r="GY110" s="49"/>
      <c r="GZ110" s="49"/>
      <c r="HA110" s="49"/>
      <c r="HB110" s="49"/>
      <c r="HC110" s="49"/>
      <c r="HD110" s="49"/>
      <c r="HE110" s="49"/>
      <c r="HF110" s="49"/>
      <c r="HG110" s="49"/>
      <c r="HH110" s="49"/>
      <c r="HI110" s="49"/>
      <c r="HJ110" s="49"/>
      <c r="HK110" s="49"/>
      <c r="HL110" s="49"/>
      <c r="HM110" s="49"/>
      <c r="HN110" s="49"/>
      <c r="HO110" s="49"/>
      <c r="HP110" s="49"/>
      <c r="HQ110" s="49"/>
      <c r="HR110" s="49"/>
      <c r="HS110" s="49"/>
      <c r="HT110" s="49"/>
      <c r="HU110" s="49"/>
      <c r="HV110" s="49"/>
      <c r="HW110" s="49"/>
      <c r="HX110" s="49"/>
      <c r="HY110" s="49"/>
      <c r="HZ110" s="49"/>
      <c r="IA110" s="49"/>
      <c r="IB110" s="49"/>
      <c r="IC110" s="49"/>
      <c r="ID110" s="49"/>
      <c r="IE110" s="49"/>
      <c r="IF110" s="49"/>
      <c r="IG110" s="49"/>
      <c r="IH110" s="49"/>
      <c r="II110" s="49"/>
      <c r="IJ110" s="49"/>
      <c r="IK110" s="49"/>
      <c r="IL110" s="49"/>
      <c r="IM110" s="49"/>
      <c r="IN110" s="49"/>
      <c r="IO110" s="49"/>
      <c r="IP110" s="49"/>
      <c r="IQ110" s="49"/>
      <c r="IR110" s="49"/>
      <c r="IS110" s="49"/>
      <c r="IT110" s="49"/>
      <c r="IU110" s="49"/>
      <c r="IV110" s="49"/>
    </row>
    <row r="111" spans="1:256" s="198" customFormat="1" ht="12" customHeight="1">
      <c r="A111" s="1252"/>
      <c r="B111" s="200"/>
      <c r="C111" s="486"/>
      <c r="D111" s="203"/>
      <c r="E111" s="203"/>
      <c r="F111" s="203"/>
      <c r="G111" s="203"/>
      <c r="H111" s="203"/>
      <c r="I111" s="203"/>
      <c r="J111" s="203"/>
      <c r="K111" s="175"/>
      <c r="L111" s="203"/>
      <c r="M111" s="203"/>
      <c r="N111" s="203"/>
      <c r="O111" s="203"/>
      <c r="P111" s="203"/>
      <c r="Q111" s="1197"/>
      <c r="R111" s="998"/>
      <c r="S111" s="999"/>
      <c r="T111" s="2801"/>
      <c r="U111" s="233"/>
      <c r="V111" s="49"/>
      <c r="W111" s="218"/>
      <c r="X111" s="218"/>
      <c r="Y111" s="216"/>
      <c r="Z111" s="216"/>
      <c r="AA111" s="215"/>
      <c r="AB111" s="216"/>
      <c r="AC111" s="216"/>
      <c r="AD111" s="239"/>
      <c r="AE111" s="216"/>
      <c r="AF111" s="216"/>
      <c r="AG111" s="216"/>
      <c r="AH111" s="216"/>
      <c r="AI111" s="216"/>
      <c r="AJ111" s="216"/>
      <c r="AK111" s="239"/>
      <c r="AL111" s="216"/>
      <c r="AM111" s="216"/>
      <c r="AN111" s="216"/>
      <c r="AO111" s="216"/>
      <c r="AP111" s="216"/>
      <c r="AQ111" s="216"/>
      <c r="AR111" s="216"/>
      <c r="AS111" s="216"/>
      <c r="AT111" s="216"/>
      <c r="AU111" s="216"/>
      <c r="AV111" s="217"/>
      <c r="AW111" s="355"/>
      <c r="AX111" s="217"/>
      <c r="AY111" s="1559"/>
      <c r="AZ111" s="249"/>
      <c r="BA111" s="221"/>
      <c r="BB111" s="300"/>
      <c r="BC111" s="217"/>
      <c r="BD111" s="392"/>
      <c r="BE111" s="1244"/>
      <c r="BF111" s="249"/>
      <c r="BG111" s="252"/>
      <c r="BH111" s="1469"/>
      <c r="BI111" s="216"/>
      <c r="BJ111" s="1469"/>
      <c r="BK111" s="1459"/>
      <c r="BL111" s="260"/>
      <c r="BM111" s="214"/>
      <c r="BN111" s="293"/>
      <c r="BO111" s="217"/>
      <c r="BP111" s="355"/>
      <c r="BQ111" s="217"/>
      <c r="BR111" s="1193"/>
      <c r="BS111" s="249"/>
      <c r="BT111" s="216"/>
      <c r="BU111" s="1195"/>
      <c r="BV111" s="249"/>
      <c r="BW111" s="216"/>
      <c r="BX111" s="1195"/>
      <c r="BY111" s="249"/>
      <c r="BZ111" s="216"/>
      <c r="CA111" s="1195"/>
      <c r="CB111" s="249"/>
      <c r="CC111" s="216"/>
      <c r="CD111" s="1195"/>
      <c r="CE111" s="249"/>
      <c r="CF111" s="216"/>
      <c r="CG111" s="1195"/>
      <c r="CH111" s="249"/>
      <c r="CI111" s="216"/>
      <c r="CJ111" s="1195"/>
      <c r="CK111" s="249"/>
      <c r="CL111" s="216"/>
      <c r="CM111" s="1194"/>
      <c r="CN111" s="1524"/>
      <c r="CO111" s="217"/>
      <c r="CP111" s="1193"/>
      <c r="CQ111" s="293"/>
      <c r="CR111" s="217"/>
      <c r="CS111" s="305"/>
      <c r="CT111" s="249"/>
      <c r="CU111" s="216"/>
      <c r="CV111" s="1193"/>
      <c r="CW111" s="249"/>
      <c r="CX111" s="216"/>
      <c r="CY111" s="305"/>
      <c r="CZ111" s="249"/>
      <c r="DA111" s="216"/>
      <c r="DB111" s="307"/>
      <c r="DC111" s="328"/>
      <c r="DD111" s="322"/>
      <c r="DE111" s="305"/>
      <c r="DF111" s="249"/>
      <c r="DG111" s="216"/>
      <c r="DH111" s="305"/>
      <c r="DI111" s="249"/>
      <c r="DJ111" s="216"/>
      <c r="DK111" s="309"/>
      <c r="DL111" s="293"/>
      <c r="DM111" s="326"/>
      <c r="DN111" s="1256"/>
      <c r="DO111" s="214"/>
      <c r="DP111" s="1257"/>
      <c r="DQ111" s="1258"/>
      <c r="DR111" s="305"/>
      <c r="DS111" s="249"/>
      <c r="DT111" s="216"/>
      <c r="DU111" s="2518"/>
      <c r="DV111"/>
      <c r="DW111"/>
      <c r="DX111" s="305"/>
      <c r="DY111" s="249"/>
      <c r="DZ111" s="221"/>
      <c r="EA111" s="388"/>
      <c r="EB111" s="249"/>
      <c r="EC111" s="216"/>
      <c r="ED111" s="1461"/>
      <c r="EE111" s="249"/>
      <c r="EF111" s="216"/>
      <c r="EG111" s="355"/>
      <c r="EH111" s="1425"/>
      <c r="EI111" s="1470"/>
      <c r="EJ111" s="249"/>
      <c r="EK111" s="221"/>
      <c r="EL111" s="313"/>
      <c r="EM111" s="249"/>
      <c r="EN111" s="221"/>
      <c r="EO111" s="313"/>
      <c r="EP111" s="249"/>
      <c r="EQ111" s="216"/>
      <c r="ER111" s="313"/>
      <c r="ES111" s="249"/>
      <c r="ET111" s="216"/>
      <c r="EU111" s="313"/>
      <c r="EV111" s="249"/>
      <c r="EW111" s="216"/>
      <c r="EX111" s="2505"/>
      <c r="EY111" s="249"/>
      <c r="EZ111" s="221"/>
      <c r="FA111" s="313"/>
      <c r="FB111" s="249"/>
      <c r="FC111" s="221"/>
      <c r="FD111" s="313"/>
      <c r="FE111" s="249"/>
      <c r="FF111" s="221"/>
      <c r="FG111" s="313"/>
      <c r="FH111" s="249"/>
      <c r="FI111" s="216"/>
      <c r="FJ111" s="1435"/>
      <c r="FK111" s="216"/>
      <c r="FL111" s="1268"/>
      <c r="FM111" s="1655"/>
      <c r="FN111" s="1268"/>
      <c r="FO111" s="1655"/>
      <c r="FP111" s="1268"/>
      <c r="FQ111" s="1656"/>
      <c r="FR111" s="249"/>
      <c r="FS111" s="216"/>
      <c r="FT111" s="1657"/>
      <c r="FU111" s="1658"/>
      <c r="FV111" s="242"/>
      <c r="FW111" s="2522"/>
      <c r="FX111" s="2523"/>
      <c r="FY111" s="336"/>
      <c r="FZ111" s="223"/>
      <c r="GA111" s="338"/>
      <c r="GB111" s="204"/>
      <c r="GC111" s="339"/>
      <c r="GD111" s="342"/>
      <c r="GE111" s="199"/>
      <c r="GF111" s="199"/>
      <c r="GG111" s="199"/>
      <c r="GH111" s="199"/>
      <c r="GI111" s="199"/>
      <c r="GJ111" s="199"/>
      <c r="GK111" s="199"/>
      <c r="GL111" s="49"/>
      <c r="GM111" s="28"/>
      <c r="GN111" s="28"/>
      <c r="GO111" s="322"/>
      <c r="GP111" s="1190"/>
      <c r="GQ111" s="1190"/>
      <c r="GR111" s="49"/>
      <c r="GS111" s="2879"/>
      <c r="GT111" s="2880"/>
      <c r="GU111" s="2881"/>
      <c r="GV111" s="49"/>
      <c r="GW111" s="49"/>
      <c r="GX111" s="49"/>
      <c r="GY111" s="49"/>
      <c r="GZ111" s="49"/>
      <c r="HA111" s="49"/>
      <c r="HB111" s="49"/>
      <c r="HC111" s="49"/>
      <c r="HD111" s="49"/>
      <c r="HE111" s="49"/>
      <c r="HF111" s="49"/>
      <c r="HG111" s="49"/>
      <c r="HH111" s="49"/>
      <c r="HI111" s="49"/>
      <c r="HJ111" s="49"/>
      <c r="HK111" s="49"/>
      <c r="HL111" s="49"/>
      <c r="HM111" s="49"/>
      <c r="HN111" s="49"/>
      <c r="HO111" s="49"/>
      <c r="HP111" s="49"/>
      <c r="HQ111" s="49"/>
      <c r="HR111" s="49"/>
      <c r="HS111" s="49"/>
      <c r="HT111" s="49"/>
      <c r="HU111" s="49"/>
      <c r="HV111" s="49"/>
      <c r="HW111" s="49"/>
      <c r="HX111" s="49"/>
      <c r="HY111" s="49"/>
      <c r="HZ111" s="49"/>
      <c r="IA111" s="49"/>
      <c r="IB111" s="49"/>
      <c r="IC111" s="49"/>
      <c r="ID111" s="49"/>
      <c r="IE111" s="49"/>
      <c r="IF111" s="49"/>
      <c r="IG111" s="49"/>
      <c r="IH111" s="49"/>
      <c r="II111" s="49"/>
      <c r="IJ111" s="49"/>
      <c r="IK111" s="49"/>
      <c r="IL111" s="49"/>
      <c r="IM111" s="49"/>
      <c r="IN111" s="49"/>
      <c r="IO111" s="49"/>
      <c r="IP111" s="49"/>
      <c r="IQ111" s="49"/>
      <c r="IR111" s="49"/>
      <c r="IS111" s="49"/>
      <c r="IT111" s="49"/>
      <c r="IU111" s="49"/>
      <c r="IV111" s="49"/>
    </row>
    <row r="112" spans="1:256" s="198" customFormat="1" ht="12" customHeight="1">
      <c r="A112" s="1252"/>
      <c r="B112" s="200"/>
      <c r="C112" s="486"/>
      <c r="D112" s="203"/>
      <c r="E112" s="203"/>
      <c r="F112" s="203"/>
      <c r="G112" s="203"/>
      <c r="H112" s="203"/>
      <c r="I112" s="203"/>
      <c r="J112" s="203"/>
      <c r="K112" s="175"/>
      <c r="L112" s="203"/>
      <c r="M112" s="203"/>
      <c r="N112" s="203"/>
      <c r="O112" s="203"/>
      <c r="P112" s="203"/>
      <c r="Q112" s="1197"/>
      <c r="R112" s="998"/>
      <c r="S112" s="999"/>
      <c r="T112" s="2801"/>
      <c r="U112" s="233"/>
      <c r="V112" s="49"/>
      <c r="W112" s="218"/>
      <c r="X112" s="218"/>
      <c r="Y112" s="216"/>
      <c r="Z112" s="216"/>
      <c r="AA112" s="215"/>
      <c r="AB112" s="216"/>
      <c r="AC112" s="216"/>
      <c r="AD112" s="239"/>
      <c r="AE112" s="216"/>
      <c r="AF112" s="216"/>
      <c r="AG112" s="216"/>
      <c r="AH112" s="216"/>
      <c r="AI112" s="216"/>
      <c r="AJ112" s="216"/>
      <c r="AK112" s="239"/>
      <c r="AL112" s="216"/>
      <c r="AM112" s="216"/>
      <c r="AN112" s="216"/>
      <c r="AO112" s="216"/>
      <c r="AP112" s="216"/>
      <c r="AQ112" s="216"/>
      <c r="AR112" s="216"/>
      <c r="AS112" s="216"/>
      <c r="AT112" s="216"/>
      <c r="AU112" s="216"/>
      <c r="AV112" s="217"/>
      <c r="AW112" s="355"/>
      <c r="AX112" s="217"/>
      <c r="AY112" s="1559"/>
      <c r="AZ112" s="249"/>
      <c r="BA112" s="221"/>
      <c r="BB112" s="300"/>
      <c r="BC112" s="217"/>
      <c r="BD112" s="392"/>
      <c r="BE112" s="1244"/>
      <c r="BF112" s="249"/>
      <c r="BG112" s="252"/>
      <c r="BH112" s="1469"/>
      <c r="BI112" s="216"/>
      <c r="BJ112" s="1469"/>
      <c r="BK112" s="1459"/>
      <c r="BL112" s="260"/>
      <c r="BM112" s="214"/>
      <c r="BN112" s="293"/>
      <c r="BO112" s="217"/>
      <c r="BP112" s="355"/>
      <c r="BQ112" s="217"/>
      <c r="BR112" s="1193"/>
      <c r="BS112" s="249"/>
      <c r="BT112" s="216"/>
      <c r="BU112" s="1195"/>
      <c r="BV112" s="249"/>
      <c r="BW112" s="216"/>
      <c r="BX112" s="1195"/>
      <c r="BY112" s="249"/>
      <c r="BZ112" s="216"/>
      <c r="CA112" s="1195"/>
      <c r="CB112" s="249"/>
      <c r="CC112" s="216"/>
      <c r="CD112" s="1195"/>
      <c r="CE112" s="249"/>
      <c r="CF112" s="216"/>
      <c r="CG112" s="1195"/>
      <c r="CH112" s="249"/>
      <c r="CI112" s="216"/>
      <c r="CJ112" s="1195"/>
      <c r="CK112" s="249"/>
      <c r="CL112" s="216"/>
      <c r="CM112" s="1194"/>
      <c r="CN112" s="1524"/>
      <c r="CO112" s="217"/>
      <c r="CP112" s="1193"/>
      <c r="CQ112" s="293"/>
      <c r="CR112" s="217"/>
      <c r="CS112" s="305"/>
      <c r="CT112" s="249"/>
      <c r="CU112" s="216"/>
      <c r="CV112" s="1193"/>
      <c r="CW112" s="249"/>
      <c r="CX112" s="216"/>
      <c r="CY112" s="305"/>
      <c r="CZ112" s="249"/>
      <c r="DA112" s="216"/>
      <c r="DB112" s="307"/>
      <c r="DC112" s="328"/>
      <c r="DD112" s="322"/>
      <c r="DE112" s="305"/>
      <c r="DF112" s="249"/>
      <c r="DG112" s="216"/>
      <c r="DH112" s="305"/>
      <c r="DI112" s="249"/>
      <c r="DJ112" s="216"/>
      <c r="DK112" s="309"/>
      <c r="DL112" s="293"/>
      <c r="DM112" s="326"/>
      <c r="DN112" s="1256"/>
      <c r="DO112" s="214"/>
      <c r="DP112" s="1257"/>
      <c r="DQ112" s="1258"/>
      <c r="DR112" s="305"/>
      <c r="DS112" s="249"/>
      <c r="DT112" s="216"/>
      <c r="DU112" s="2518"/>
      <c r="DV112"/>
      <c r="DW112"/>
      <c r="DX112" s="305"/>
      <c r="DY112" s="249"/>
      <c r="DZ112" s="221"/>
      <c r="EA112" s="388"/>
      <c r="EB112" s="249"/>
      <c r="EC112" s="216"/>
      <c r="ED112" s="1461"/>
      <c r="EE112" s="249"/>
      <c r="EF112" s="216"/>
      <c r="EG112" s="355"/>
      <c r="EH112" s="1425"/>
      <c r="EI112" s="1470"/>
      <c r="EJ112" s="249"/>
      <c r="EK112" s="221"/>
      <c r="EL112" s="313"/>
      <c r="EM112" s="249"/>
      <c r="EN112" s="221"/>
      <c r="EO112" s="313"/>
      <c r="EP112" s="249"/>
      <c r="EQ112" s="216"/>
      <c r="ER112" s="313"/>
      <c r="ES112" s="249"/>
      <c r="ET112" s="216"/>
      <c r="EU112" s="313"/>
      <c r="EV112" s="249"/>
      <c r="EW112" s="216"/>
      <c r="EX112" s="2505"/>
      <c r="EY112" s="249"/>
      <c r="EZ112" s="221"/>
      <c r="FA112" s="313"/>
      <c r="FB112" s="249"/>
      <c r="FC112" s="221"/>
      <c r="FD112" s="313"/>
      <c r="FE112" s="249"/>
      <c r="FF112" s="221"/>
      <c r="FG112" s="313"/>
      <c r="FH112" s="249"/>
      <c r="FI112" s="216"/>
      <c r="FJ112" s="1435"/>
      <c r="FK112" s="216"/>
      <c r="FL112" s="1268"/>
      <c r="FM112" s="1655"/>
      <c r="FN112" s="1268"/>
      <c r="FO112" s="1655"/>
      <c r="FP112" s="1268"/>
      <c r="FQ112" s="1656"/>
      <c r="FR112" s="249"/>
      <c r="FS112" s="216"/>
      <c r="FT112" s="1657"/>
      <c r="FU112" s="1658"/>
      <c r="FV112" s="242"/>
      <c r="FW112" s="2522"/>
      <c r="FX112" s="2523"/>
      <c r="FY112" s="336"/>
      <c r="FZ112" s="223"/>
      <c r="GA112" s="338"/>
      <c r="GB112" s="204"/>
      <c r="GC112" s="339"/>
      <c r="GD112" s="342"/>
      <c r="GE112" s="199"/>
      <c r="GF112" s="199"/>
      <c r="GG112" s="199"/>
      <c r="GH112" s="199"/>
      <c r="GI112" s="199"/>
      <c r="GJ112" s="199"/>
      <c r="GK112" s="199"/>
      <c r="GL112" s="49"/>
      <c r="GM112" s="28"/>
      <c r="GN112" s="28"/>
      <c r="GO112" s="322"/>
      <c r="GP112" s="1190"/>
      <c r="GQ112" s="1190"/>
      <c r="GR112" s="49"/>
      <c r="GS112" s="2879"/>
      <c r="GT112" s="2880"/>
      <c r="GU112" s="2881"/>
      <c r="GV112" s="49"/>
      <c r="GW112" s="49"/>
      <c r="GX112" s="49"/>
      <c r="GY112" s="49"/>
      <c r="GZ112" s="49"/>
      <c r="HA112" s="49"/>
      <c r="HB112" s="49"/>
      <c r="HC112" s="49"/>
      <c r="HD112" s="49"/>
      <c r="HE112" s="49"/>
      <c r="HF112" s="49"/>
      <c r="HG112" s="49"/>
      <c r="HH112" s="49"/>
      <c r="HI112" s="49"/>
      <c r="HJ112" s="49"/>
      <c r="HK112" s="49"/>
      <c r="HL112" s="49"/>
      <c r="HM112" s="49"/>
      <c r="HN112" s="49"/>
      <c r="HO112" s="49"/>
      <c r="HP112" s="49"/>
      <c r="HQ112" s="49"/>
      <c r="HR112" s="49"/>
      <c r="HS112" s="49"/>
      <c r="HT112" s="49"/>
      <c r="HU112" s="49"/>
      <c r="HV112" s="49"/>
      <c r="HW112" s="49"/>
      <c r="HX112" s="49"/>
      <c r="HY112" s="49"/>
      <c r="HZ112" s="49"/>
      <c r="IA112" s="49"/>
      <c r="IB112" s="49"/>
      <c r="IC112" s="49"/>
      <c r="ID112" s="49"/>
      <c r="IE112" s="49"/>
      <c r="IF112" s="49"/>
      <c r="IG112" s="49"/>
      <c r="IH112" s="49"/>
      <c r="II112" s="49"/>
      <c r="IJ112" s="49"/>
      <c r="IK112" s="49"/>
      <c r="IL112" s="49"/>
      <c r="IM112" s="49"/>
      <c r="IN112" s="49"/>
      <c r="IO112" s="49"/>
      <c r="IP112" s="49"/>
      <c r="IQ112" s="49"/>
      <c r="IR112" s="49"/>
      <c r="IS112" s="49"/>
      <c r="IT112" s="49"/>
      <c r="IU112" s="49"/>
      <c r="IV112" s="49"/>
    </row>
    <row r="113" spans="1:256" s="198" customFormat="1" ht="12" customHeight="1">
      <c r="A113" s="1252"/>
      <c r="B113" s="200"/>
      <c r="C113" s="486"/>
      <c r="D113" s="203"/>
      <c r="E113" s="203"/>
      <c r="F113" s="203"/>
      <c r="G113" s="203"/>
      <c r="H113" s="203"/>
      <c r="I113" s="203"/>
      <c r="J113" s="203"/>
      <c r="K113" s="175"/>
      <c r="L113" s="203"/>
      <c r="M113" s="203"/>
      <c r="N113" s="203"/>
      <c r="O113" s="203"/>
      <c r="P113" s="203"/>
      <c r="Q113" s="1197"/>
      <c r="R113" s="998"/>
      <c r="S113" s="999"/>
      <c r="T113" s="2801"/>
      <c r="U113" s="233"/>
      <c r="V113" s="49"/>
      <c r="W113" s="218"/>
      <c r="X113" s="218"/>
      <c r="Y113" s="216"/>
      <c r="Z113" s="216"/>
      <c r="AA113" s="215"/>
      <c r="AB113" s="216"/>
      <c r="AC113" s="216"/>
      <c r="AD113" s="239"/>
      <c r="AE113" s="216"/>
      <c r="AF113" s="216"/>
      <c r="AG113" s="216"/>
      <c r="AH113" s="216"/>
      <c r="AI113" s="216"/>
      <c r="AJ113" s="216"/>
      <c r="AK113" s="239"/>
      <c r="AL113" s="216"/>
      <c r="AM113" s="216"/>
      <c r="AN113" s="216"/>
      <c r="AO113" s="216"/>
      <c r="AP113" s="216"/>
      <c r="AQ113" s="216"/>
      <c r="AR113" s="216"/>
      <c r="AS113" s="216"/>
      <c r="AT113" s="216"/>
      <c r="AU113" s="216"/>
      <c r="AV113" s="217"/>
      <c r="AW113" s="355"/>
      <c r="AX113" s="217"/>
      <c r="AY113" s="1559"/>
      <c r="AZ113" s="249"/>
      <c r="BA113" s="221"/>
      <c r="BB113" s="300"/>
      <c r="BC113" s="217"/>
      <c r="BD113" s="392"/>
      <c r="BE113" s="1244"/>
      <c r="BF113" s="249"/>
      <c r="BG113" s="252"/>
      <c r="BH113" s="1469"/>
      <c r="BI113" s="216"/>
      <c r="BJ113" s="1469"/>
      <c r="BK113" s="1459"/>
      <c r="BL113" s="260"/>
      <c r="BM113" s="214"/>
      <c r="BN113" s="293"/>
      <c r="BO113" s="217"/>
      <c r="BP113" s="355"/>
      <c r="BQ113" s="217"/>
      <c r="BR113" s="1193"/>
      <c r="BS113" s="249"/>
      <c r="BT113" s="216"/>
      <c r="BU113" s="1195"/>
      <c r="BV113" s="249"/>
      <c r="BW113" s="216"/>
      <c r="BX113" s="1195"/>
      <c r="BY113" s="249"/>
      <c r="BZ113" s="216"/>
      <c r="CA113" s="1195"/>
      <c r="CB113" s="249"/>
      <c r="CC113" s="216"/>
      <c r="CD113" s="1195"/>
      <c r="CE113" s="249"/>
      <c r="CF113" s="216"/>
      <c r="CG113" s="1195"/>
      <c r="CH113" s="249"/>
      <c r="CI113" s="216"/>
      <c r="CJ113" s="1195"/>
      <c r="CK113" s="249"/>
      <c r="CL113" s="216"/>
      <c r="CM113" s="1194"/>
      <c r="CN113" s="1524"/>
      <c r="CO113" s="217"/>
      <c r="CP113" s="1193"/>
      <c r="CQ113" s="293"/>
      <c r="CR113" s="217"/>
      <c r="CS113" s="305"/>
      <c r="CT113" s="249"/>
      <c r="CU113" s="216"/>
      <c r="CV113" s="1193"/>
      <c r="CW113" s="249"/>
      <c r="CX113" s="216"/>
      <c r="CY113" s="305"/>
      <c r="CZ113" s="249"/>
      <c r="DA113" s="216"/>
      <c r="DB113" s="307"/>
      <c r="DC113" s="328"/>
      <c r="DD113" s="322"/>
      <c r="DE113" s="305"/>
      <c r="DF113" s="249"/>
      <c r="DG113" s="216"/>
      <c r="DH113" s="305"/>
      <c r="DI113" s="249"/>
      <c r="DJ113" s="216"/>
      <c r="DK113" s="309"/>
      <c r="DL113" s="293"/>
      <c r="DM113" s="326"/>
      <c r="DN113" s="1256"/>
      <c r="DO113" s="214"/>
      <c r="DP113" s="1257"/>
      <c r="DQ113" s="1258"/>
      <c r="DR113" s="305"/>
      <c r="DS113" s="249"/>
      <c r="DT113" s="216"/>
      <c r="DU113" s="2518"/>
      <c r="DV113"/>
      <c r="DW113"/>
      <c r="DX113" s="305"/>
      <c r="DY113" s="249"/>
      <c r="DZ113" s="221"/>
      <c r="EA113" s="388"/>
      <c r="EB113" s="249"/>
      <c r="EC113" s="216"/>
      <c r="ED113" s="1461"/>
      <c r="EE113" s="249"/>
      <c r="EF113" s="216"/>
      <c r="EG113" s="355"/>
      <c r="EH113" s="1425"/>
      <c r="EI113" s="1470"/>
      <c r="EJ113" s="249"/>
      <c r="EK113" s="221"/>
      <c r="EL113" s="313"/>
      <c r="EM113" s="249"/>
      <c r="EN113" s="221"/>
      <c r="EO113" s="313"/>
      <c r="EP113" s="249"/>
      <c r="EQ113" s="216"/>
      <c r="ER113" s="313"/>
      <c r="ES113" s="249"/>
      <c r="ET113" s="216"/>
      <c r="EU113" s="313"/>
      <c r="EV113" s="249"/>
      <c r="EW113" s="216"/>
      <c r="EX113" s="2505"/>
      <c r="EY113" s="249"/>
      <c r="EZ113" s="221"/>
      <c r="FA113" s="313"/>
      <c r="FB113" s="249"/>
      <c r="FC113" s="221"/>
      <c r="FD113" s="313"/>
      <c r="FE113" s="249"/>
      <c r="FF113" s="221"/>
      <c r="FG113" s="313"/>
      <c r="FH113" s="249"/>
      <c r="FI113" s="216"/>
      <c r="FJ113" s="1435"/>
      <c r="FK113" s="216"/>
      <c r="FL113" s="1268"/>
      <c r="FM113" s="1655"/>
      <c r="FN113" s="1268"/>
      <c r="FO113" s="1655"/>
      <c r="FP113" s="1268"/>
      <c r="FQ113" s="1656"/>
      <c r="FR113" s="249"/>
      <c r="FS113" s="216"/>
      <c r="FT113" s="1657"/>
      <c r="FU113" s="1658"/>
      <c r="FV113" s="242"/>
      <c r="FW113" s="2522"/>
      <c r="FX113" s="2523"/>
      <c r="FY113" s="336"/>
      <c r="FZ113" s="223"/>
      <c r="GA113" s="338"/>
      <c r="GB113" s="204"/>
      <c r="GC113" s="339"/>
      <c r="GD113" s="342"/>
      <c r="GE113" s="199"/>
      <c r="GF113" s="199"/>
      <c r="GG113" s="199"/>
      <c r="GH113" s="199"/>
      <c r="GI113" s="199"/>
      <c r="GJ113" s="199"/>
      <c r="GK113" s="199"/>
      <c r="GL113" s="49"/>
      <c r="GM113" s="28"/>
      <c r="GN113" s="28"/>
      <c r="GO113" s="322"/>
      <c r="GP113" s="1190"/>
      <c r="GQ113" s="1190"/>
      <c r="GR113" s="49"/>
      <c r="GS113" s="2879"/>
      <c r="GT113" s="2880"/>
      <c r="GU113" s="2881"/>
      <c r="GV113" s="49"/>
      <c r="GW113" s="49"/>
      <c r="GX113" s="49"/>
      <c r="GY113" s="49"/>
      <c r="GZ113" s="49"/>
      <c r="HA113" s="49"/>
      <c r="HB113" s="49"/>
      <c r="HC113" s="49"/>
      <c r="HD113" s="49"/>
      <c r="HE113" s="49"/>
      <c r="HF113" s="49"/>
      <c r="HG113" s="49"/>
      <c r="HH113" s="49"/>
      <c r="HI113" s="49"/>
      <c r="HJ113" s="49"/>
      <c r="HK113" s="49"/>
      <c r="HL113" s="49"/>
      <c r="HM113" s="49"/>
      <c r="HN113" s="49"/>
      <c r="HO113" s="49"/>
      <c r="HP113" s="49"/>
      <c r="HQ113" s="49"/>
      <c r="HR113" s="49"/>
      <c r="HS113" s="49"/>
      <c r="HT113" s="49"/>
      <c r="HU113" s="49"/>
      <c r="HV113" s="49"/>
      <c r="HW113" s="49"/>
      <c r="HX113" s="49"/>
      <c r="HY113" s="49"/>
      <c r="HZ113" s="49"/>
      <c r="IA113" s="49"/>
      <c r="IB113" s="49"/>
      <c r="IC113" s="49"/>
      <c r="ID113" s="49"/>
      <c r="IE113" s="49"/>
      <c r="IF113" s="49"/>
      <c r="IG113" s="49"/>
      <c r="IH113" s="49"/>
      <c r="II113" s="49"/>
      <c r="IJ113" s="49"/>
      <c r="IK113" s="49"/>
      <c r="IL113" s="49"/>
      <c r="IM113" s="49"/>
      <c r="IN113" s="49"/>
      <c r="IO113" s="49"/>
      <c r="IP113" s="49"/>
      <c r="IQ113" s="49"/>
      <c r="IR113" s="49"/>
      <c r="IS113" s="49"/>
      <c r="IT113" s="49"/>
      <c r="IU113" s="49"/>
      <c r="IV113" s="49"/>
    </row>
    <row r="114" spans="1:256" s="198" customFormat="1" ht="12" customHeight="1">
      <c r="A114" s="1252"/>
      <c r="B114" s="200"/>
      <c r="C114" s="486"/>
      <c r="D114" s="203"/>
      <c r="E114" s="203"/>
      <c r="F114" s="203"/>
      <c r="G114" s="203"/>
      <c r="H114" s="203"/>
      <c r="I114" s="203"/>
      <c r="J114" s="203"/>
      <c r="K114" s="175"/>
      <c r="L114" s="203"/>
      <c r="M114" s="203"/>
      <c r="N114" s="203"/>
      <c r="O114" s="203"/>
      <c r="P114" s="203"/>
      <c r="Q114" s="1197"/>
      <c r="R114" s="998"/>
      <c r="S114" s="999"/>
      <c r="T114" s="2801"/>
      <c r="U114" s="233"/>
      <c r="V114" s="49"/>
      <c r="W114" s="218"/>
      <c r="X114" s="218"/>
      <c r="Y114" s="216"/>
      <c r="Z114" s="216"/>
      <c r="AA114" s="215"/>
      <c r="AB114" s="216"/>
      <c r="AC114" s="216"/>
      <c r="AD114" s="239"/>
      <c r="AE114" s="216"/>
      <c r="AF114" s="216"/>
      <c r="AG114" s="216"/>
      <c r="AH114" s="216"/>
      <c r="AI114" s="216"/>
      <c r="AJ114" s="216"/>
      <c r="AK114" s="239"/>
      <c r="AL114" s="216"/>
      <c r="AM114" s="216"/>
      <c r="AN114" s="216"/>
      <c r="AO114" s="216"/>
      <c r="AP114" s="216"/>
      <c r="AQ114" s="216"/>
      <c r="AR114" s="216"/>
      <c r="AS114" s="216"/>
      <c r="AT114" s="216"/>
      <c r="AU114" s="216"/>
      <c r="AV114" s="217"/>
      <c r="AW114" s="355"/>
      <c r="AX114" s="217"/>
      <c r="AY114" s="1559"/>
      <c r="AZ114" s="249"/>
      <c r="BA114" s="221"/>
      <c r="BB114" s="300"/>
      <c r="BC114" s="217"/>
      <c r="BD114" s="392"/>
      <c r="BE114" s="1244"/>
      <c r="BF114" s="249"/>
      <c r="BG114" s="252"/>
      <c r="BH114" s="1469"/>
      <c r="BI114" s="216"/>
      <c r="BJ114" s="1469"/>
      <c r="BK114" s="1459"/>
      <c r="BL114" s="260"/>
      <c r="BM114" s="214"/>
      <c r="BN114" s="293"/>
      <c r="BO114" s="217"/>
      <c r="BP114" s="355"/>
      <c r="BQ114" s="217"/>
      <c r="BR114" s="1193"/>
      <c r="BS114" s="249"/>
      <c r="BT114" s="216"/>
      <c r="BU114" s="1195"/>
      <c r="BV114" s="249"/>
      <c r="BW114" s="216"/>
      <c r="BX114" s="1195"/>
      <c r="BY114" s="249"/>
      <c r="BZ114" s="216"/>
      <c r="CA114" s="1195"/>
      <c r="CB114" s="249"/>
      <c r="CC114" s="216"/>
      <c r="CD114" s="1195"/>
      <c r="CE114" s="249"/>
      <c r="CF114" s="216"/>
      <c r="CG114" s="1195"/>
      <c r="CH114" s="249"/>
      <c r="CI114" s="216"/>
      <c r="CJ114" s="1195"/>
      <c r="CK114" s="249"/>
      <c r="CL114" s="216"/>
      <c r="CM114" s="1194"/>
      <c r="CN114" s="1524"/>
      <c r="CO114" s="217"/>
      <c r="CP114" s="1193"/>
      <c r="CQ114" s="293"/>
      <c r="CR114" s="217"/>
      <c r="CS114" s="305"/>
      <c r="CT114" s="249"/>
      <c r="CU114" s="216"/>
      <c r="CV114" s="1193"/>
      <c r="CW114" s="249"/>
      <c r="CX114" s="216"/>
      <c r="CY114" s="305"/>
      <c r="CZ114" s="249"/>
      <c r="DA114" s="216"/>
      <c r="DB114" s="307"/>
      <c r="DC114" s="328"/>
      <c r="DD114" s="322"/>
      <c r="DE114" s="305"/>
      <c r="DF114" s="249"/>
      <c r="DG114" s="216"/>
      <c r="DH114" s="305"/>
      <c r="DI114" s="249"/>
      <c r="DJ114" s="216"/>
      <c r="DK114" s="309"/>
      <c r="DL114" s="293"/>
      <c r="DM114" s="326"/>
      <c r="DN114" s="1256"/>
      <c r="DO114" s="214"/>
      <c r="DP114" s="1257"/>
      <c r="DQ114" s="1258"/>
      <c r="DR114" s="305"/>
      <c r="DS114" s="249"/>
      <c r="DT114" s="216"/>
      <c r="DU114" s="2518"/>
      <c r="DV114"/>
      <c r="DW114"/>
      <c r="DX114" s="305"/>
      <c r="DY114" s="249"/>
      <c r="DZ114" s="221"/>
      <c r="EA114" s="388"/>
      <c r="EB114" s="249"/>
      <c r="EC114" s="216"/>
      <c r="ED114" s="1461"/>
      <c r="EE114" s="249"/>
      <c r="EF114" s="216"/>
      <c r="EG114" s="355"/>
      <c r="EH114" s="1425"/>
      <c r="EI114" s="1470"/>
      <c r="EJ114" s="249"/>
      <c r="EK114" s="221"/>
      <c r="EL114" s="313"/>
      <c r="EM114" s="249"/>
      <c r="EN114" s="221"/>
      <c r="EO114" s="313"/>
      <c r="EP114" s="249"/>
      <c r="EQ114" s="216"/>
      <c r="ER114" s="313"/>
      <c r="ES114" s="249"/>
      <c r="ET114" s="216"/>
      <c r="EU114" s="313"/>
      <c r="EV114" s="249"/>
      <c r="EW114" s="216"/>
      <c r="EX114" s="2505"/>
      <c r="EY114" s="249"/>
      <c r="EZ114" s="221"/>
      <c r="FA114" s="313"/>
      <c r="FB114" s="249"/>
      <c r="FC114" s="221"/>
      <c r="FD114" s="313"/>
      <c r="FE114" s="249"/>
      <c r="FF114" s="221"/>
      <c r="FG114" s="313"/>
      <c r="FH114" s="249"/>
      <c r="FI114" s="216"/>
      <c r="FJ114" s="1435"/>
      <c r="FK114" s="216"/>
      <c r="FL114" s="1268"/>
      <c r="FM114" s="1655"/>
      <c r="FN114" s="1268"/>
      <c r="FO114" s="1655"/>
      <c r="FP114" s="1268"/>
      <c r="FQ114" s="1656"/>
      <c r="FR114" s="249"/>
      <c r="FS114" s="216"/>
      <c r="FT114" s="1657"/>
      <c r="FU114" s="1658"/>
      <c r="FV114" s="242"/>
      <c r="FW114" s="2522"/>
      <c r="FX114" s="2523"/>
      <c r="FY114" s="336"/>
      <c r="FZ114" s="223"/>
      <c r="GA114" s="338"/>
      <c r="GB114" s="204"/>
      <c r="GC114" s="339"/>
      <c r="GD114" s="342"/>
      <c r="GE114" s="199"/>
      <c r="GF114" s="199"/>
      <c r="GG114" s="199"/>
      <c r="GH114" s="199"/>
      <c r="GI114" s="199"/>
      <c r="GJ114" s="199"/>
      <c r="GK114" s="199"/>
      <c r="GL114" s="49"/>
      <c r="GM114" s="28"/>
      <c r="GN114" s="28"/>
      <c r="GO114" s="322"/>
      <c r="GP114" s="1190"/>
      <c r="GQ114" s="1190"/>
      <c r="GR114" s="49"/>
      <c r="GS114" s="2879"/>
      <c r="GT114" s="2880"/>
      <c r="GU114" s="2881"/>
      <c r="GV114" s="49"/>
      <c r="GW114" s="49"/>
      <c r="GX114" s="49"/>
      <c r="GY114" s="49"/>
      <c r="GZ114" s="49"/>
      <c r="HA114" s="49"/>
      <c r="HB114" s="49"/>
      <c r="HC114" s="49"/>
      <c r="HD114" s="49"/>
      <c r="HE114" s="49"/>
      <c r="HF114" s="49"/>
      <c r="HG114" s="49"/>
      <c r="HH114" s="49"/>
      <c r="HI114" s="49"/>
      <c r="HJ114" s="49"/>
      <c r="HK114" s="49"/>
      <c r="HL114" s="49"/>
      <c r="HM114" s="49"/>
      <c r="HN114" s="49"/>
      <c r="HO114" s="49"/>
      <c r="HP114" s="49"/>
      <c r="HQ114" s="49"/>
      <c r="HR114" s="49"/>
      <c r="HS114" s="49"/>
      <c r="HT114" s="49"/>
      <c r="HU114" s="49"/>
      <c r="HV114" s="49"/>
      <c r="HW114" s="49"/>
      <c r="HX114" s="49"/>
      <c r="HY114" s="49"/>
      <c r="HZ114" s="49"/>
      <c r="IA114" s="49"/>
      <c r="IB114" s="49"/>
      <c r="IC114" s="49"/>
      <c r="ID114" s="49"/>
      <c r="IE114" s="49"/>
      <c r="IF114" s="49"/>
      <c r="IG114" s="49"/>
      <c r="IH114" s="49"/>
      <c r="II114" s="49"/>
      <c r="IJ114" s="49"/>
      <c r="IK114" s="49"/>
      <c r="IL114" s="49"/>
      <c r="IM114" s="49"/>
      <c r="IN114" s="49"/>
      <c r="IO114" s="49"/>
      <c r="IP114" s="49"/>
      <c r="IQ114" s="49"/>
      <c r="IR114" s="49"/>
      <c r="IS114" s="49"/>
      <c r="IT114" s="49"/>
      <c r="IU114" s="49"/>
      <c r="IV114" s="49"/>
    </row>
    <row r="115" spans="1:256" s="198" customFormat="1" ht="12" customHeight="1">
      <c r="A115" s="1252"/>
      <c r="B115" s="200"/>
      <c r="C115" s="486"/>
      <c r="D115" s="203"/>
      <c r="E115" s="203"/>
      <c r="F115" s="203"/>
      <c r="G115" s="203"/>
      <c r="H115" s="203"/>
      <c r="I115" s="203"/>
      <c r="J115" s="203"/>
      <c r="K115" s="175"/>
      <c r="L115" s="203"/>
      <c r="M115" s="203"/>
      <c r="N115" s="203"/>
      <c r="O115" s="203"/>
      <c r="P115" s="203"/>
      <c r="Q115" s="1197"/>
      <c r="R115" s="998"/>
      <c r="S115" s="999"/>
      <c r="T115" s="2801"/>
      <c r="U115" s="233"/>
      <c r="V115" s="49"/>
      <c r="W115" s="218"/>
      <c r="X115" s="218"/>
      <c r="Y115" s="216"/>
      <c r="Z115" s="216"/>
      <c r="AA115" s="215"/>
      <c r="AB115" s="216"/>
      <c r="AC115" s="216"/>
      <c r="AD115" s="239"/>
      <c r="AE115" s="216"/>
      <c r="AF115" s="216"/>
      <c r="AG115" s="216"/>
      <c r="AH115" s="216"/>
      <c r="AI115" s="216"/>
      <c r="AJ115" s="216"/>
      <c r="AK115" s="239"/>
      <c r="AL115" s="216"/>
      <c r="AM115" s="216"/>
      <c r="AN115" s="216"/>
      <c r="AO115" s="216"/>
      <c r="AP115" s="216"/>
      <c r="AQ115" s="216"/>
      <c r="AR115" s="216"/>
      <c r="AS115" s="216"/>
      <c r="AT115" s="216"/>
      <c r="AU115" s="216"/>
      <c r="AV115" s="217"/>
      <c r="AW115" s="355"/>
      <c r="AX115" s="217"/>
      <c r="AY115" s="1559"/>
      <c r="AZ115" s="249"/>
      <c r="BA115" s="221"/>
      <c r="BB115" s="300"/>
      <c r="BC115" s="217"/>
      <c r="BD115" s="392"/>
      <c r="BE115" s="1244"/>
      <c r="BF115" s="249"/>
      <c r="BG115" s="252"/>
      <c r="BH115" s="1469"/>
      <c r="BI115" s="216"/>
      <c r="BJ115" s="1469"/>
      <c r="BK115" s="1459"/>
      <c r="BL115" s="260"/>
      <c r="BM115" s="214"/>
      <c r="BN115" s="293"/>
      <c r="BO115" s="217"/>
      <c r="BP115" s="355"/>
      <c r="BQ115" s="217"/>
      <c r="BR115" s="1193"/>
      <c r="BS115" s="249"/>
      <c r="BT115" s="216"/>
      <c r="BU115" s="1195"/>
      <c r="BV115" s="249"/>
      <c r="BW115" s="216"/>
      <c r="BX115" s="1195"/>
      <c r="BY115" s="249"/>
      <c r="BZ115" s="216"/>
      <c r="CA115" s="1195"/>
      <c r="CB115" s="249"/>
      <c r="CC115" s="216"/>
      <c r="CD115" s="1195"/>
      <c r="CE115" s="249"/>
      <c r="CF115" s="216"/>
      <c r="CG115" s="1195"/>
      <c r="CH115" s="249"/>
      <c r="CI115" s="216"/>
      <c r="CJ115" s="1195"/>
      <c r="CK115" s="249"/>
      <c r="CL115" s="216"/>
      <c r="CM115" s="1194"/>
      <c r="CN115" s="1524"/>
      <c r="CO115" s="217"/>
      <c r="CP115" s="1193"/>
      <c r="CQ115" s="293"/>
      <c r="CR115" s="217"/>
      <c r="CS115" s="305"/>
      <c r="CT115" s="249"/>
      <c r="CU115" s="216"/>
      <c r="CV115" s="1193"/>
      <c r="CW115" s="249"/>
      <c r="CX115" s="216"/>
      <c r="CY115" s="305"/>
      <c r="CZ115" s="249"/>
      <c r="DA115" s="216"/>
      <c r="DB115" s="307"/>
      <c r="DC115" s="328"/>
      <c r="DD115" s="322"/>
      <c r="DE115" s="305"/>
      <c r="DF115" s="249"/>
      <c r="DG115" s="216"/>
      <c r="DH115" s="305"/>
      <c r="DI115" s="249"/>
      <c r="DJ115" s="216"/>
      <c r="DK115" s="309"/>
      <c r="DL115" s="293"/>
      <c r="DM115" s="326"/>
      <c r="DN115" s="1256"/>
      <c r="DO115" s="214"/>
      <c r="DP115" s="1257"/>
      <c r="DQ115" s="1258"/>
      <c r="DR115" s="305"/>
      <c r="DS115" s="249"/>
      <c r="DT115" s="216"/>
      <c r="DU115" s="2518"/>
      <c r="DV115"/>
      <c r="DW115"/>
      <c r="DX115" s="305"/>
      <c r="DY115" s="249"/>
      <c r="DZ115" s="221"/>
      <c r="EA115" s="388"/>
      <c r="EB115" s="249"/>
      <c r="EC115" s="216"/>
      <c r="ED115" s="1461"/>
      <c r="EE115" s="249"/>
      <c r="EF115" s="216"/>
      <c r="EG115" s="355"/>
      <c r="EH115" s="1425"/>
      <c r="EI115" s="1470"/>
      <c r="EJ115" s="249"/>
      <c r="EK115" s="221"/>
      <c r="EL115" s="313"/>
      <c r="EM115" s="249"/>
      <c r="EN115" s="221"/>
      <c r="EO115" s="313"/>
      <c r="EP115" s="249"/>
      <c r="EQ115" s="216"/>
      <c r="ER115" s="313"/>
      <c r="ES115" s="249"/>
      <c r="ET115" s="216"/>
      <c r="EU115" s="313"/>
      <c r="EV115" s="249"/>
      <c r="EW115" s="216"/>
      <c r="EX115" s="2505"/>
      <c r="EY115" s="249"/>
      <c r="EZ115" s="221"/>
      <c r="FA115" s="313"/>
      <c r="FB115" s="249"/>
      <c r="FC115" s="221"/>
      <c r="FD115" s="313"/>
      <c r="FE115" s="249"/>
      <c r="FF115" s="221"/>
      <c r="FG115" s="313"/>
      <c r="FH115" s="249"/>
      <c r="FI115" s="216"/>
      <c r="FJ115" s="1435"/>
      <c r="FK115" s="216"/>
      <c r="FL115" s="1268"/>
      <c r="FM115" s="1655"/>
      <c r="FN115" s="1268"/>
      <c r="FO115" s="1655"/>
      <c r="FP115" s="1268"/>
      <c r="FQ115" s="1656"/>
      <c r="FR115" s="249"/>
      <c r="FS115" s="216"/>
      <c r="FT115" s="1657"/>
      <c r="FU115" s="1658"/>
      <c r="FV115" s="242"/>
      <c r="FW115" s="2522"/>
      <c r="FX115" s="2523"/>
      <c r="FY115" s="336"/>
      <c r="FZ115" s="223"/>
      <c r="GA115" s="338"/>
      <c r="GB115" s="204"/>
      <c r="GC115" s="339"/>
      <c r="GD115" s="342"/>
      <c r="GE115" s="199"/>
      <c r="GF115" s="199"/>
      <c r="GG115" s="199"/>
      <c r="GH115" s="199"/>
      <c r="GI115" s="199"/>
      <c r="GJ115" s="199"/>
      <c r="GK115" s="199"/>
      <c r="GL115" s="49"/>
      <c r="GM115" s="28"/>
      <c r="GN115" s="28"/>
      <c r="GO115" s="322"/>
      <c r="GP115" s="1190"/>
      <c r="GQ115" s="1190"/>
      <c r="GR115" s="49"/>
      <c r="GS115" s="2879"/>
      <c r="GT115" s="2880"/>
      <c r="GU115" s="2881"/>
      <c r="GV115" s="49"/>
      <c r="GW115" s="49"/>
      <c r="GX115" s="49"/>
      <c r="GY115" s="49"/>
      <c r="GZ115" s="49"/>
      <c r="HA115" s="49"/>
      <c r="HB115" s="49"/>
      <c r="HC115" s="49"/>
      <c r="HD115" s="49"/>
      <c r="HE115" s="49"/>
      <c r="HF115" s="49"/>
      <c r="HG115" s="49"/>
      <c r="HH115" s="49"/>
      <c r="HI115" s="49"/>
      <c r="HJ115" s="49"/>
      <c r="HK115" s="49"/>
      <c r="HL115" s="49"/>
      <c r="HM115" s="49"/>
      <c r="HN115" s="49"/>
      <c r="HO115" s="49"/>
      <c r="HP115" s="49"/>
      <c r="HQ115" s="49"/>
      <c r="HR115" s="49"/>
      <c r="HS115" s="49"/>
      <c r="HT115" s="49"/>
      <c r="HU115" s="49"/>
      <c r="HV115" s="49"/>
      <c r="HW115" s="49"/>
      <c r="HX115" s="49"/>
      <c r="HY115" s="49"/>
      <c r="HZ115" s="49"/>
      <c r="IA115" s="49"/>
      <c r="IB115" s="49"/>
      <c r="IC115" s="49"/>
      <c r="ID115" s="49"/>
      <c r="IE115" s="49"/>
      <c r="IF115" s="49"/>
      <c r="IG115" s="49"/>
      <c r="IH115" s="49"/>
      <c r="II115" s="49"/>
      <c r="IJ115" s="49"/>
      <c r="IK115" s="49"/>
      <c r="IL115" s="49"/>
      <c r="IM115" s="49"/>
      <c r="IN115" s="49"/>
      <c r="IO115" s="49"/>
      <c r="IP115" s="49"/>
      <c r="IQ115" s="49"/>
      <c r="IR115" s="49"/>
      <c r="IS115" s="49"/>
      <c r="IT115" s="49"/>
      <c r="IU115" s="49"/>
      <c r="IV115" s="49"/>
    </row>
    <row r="116" spans="1:256" s="198" customFormat="1" ht="12" customHeight="1">
      <c r="A116" s="1252"/>
      <c r="B116" s="200"/>
      <c r="C116" s="486"/>
      <c r="D116" s="203"/>
      <c r="E116" s="203"/>
      <c r="F116" s="203"/>
      <c r="G116" s="203"/>
      <c r="H116" s="203"/>
      <c r="I116" s="203"/>
      <c r="J116" s="203"/>
      <c r="K116" s="175"/>
      <c r="L116" s="203"/>
      <c r="M116" s="203"/>
      <c r="N116" s="203"/>
      <c r="O116" s="203"/>
      <c r="P116" s="203"/>
      <c r="Q116" s="1197"/>
      <c r="R116" s="998"/>
      <c r="S116" s="999"/>
      <c r="T116" s="2801"/>
      <c r="U116" s="233"/>
      <c r="V116" s="49"/>
      <c r="W116" s="218"/>
      <c r="X116" s="218"/>
      <c r="Y116" s="216"/>
      <c r="Z116" s="216"/>
      <c r="AA116" s="215"/>
      <c r="AB116" s="216"/>
      <c r="AC116" s="216"/>
      <c r="AD116" s="239"/>
      <c r="AE116" s="216"/>
      <c r="AF116" s="216"/>
      <c r="AG116" s="216"/>
      <c r="AH116" s="216"/>
      <c r="AI116" s="216"/>
      <c r="AJ116" s="216"/>
      <c r="AK116" s="239"/>
      <c r="AL116" s="216"/>
      <c r="AM116" s="216"/>
      <c r="AN116" s="216"/>
      <c r="AO116" s="216"/>
      <c r="AP116" s="216"/>
      <c r="AQ116" s="216"/>
      <c r="AR116" s="216"/>
      <c r="AS116" s="216"/>
      <c r="AT116" s="216"/>
      <c r="AU116" s="216"/>
      <c r="AV116" s="217"/>
      <c r="AW116" s="355"/>
      <c r="AX116" s="217"/>
      <c r="AY116" s="1559"/>
      <c r="AZ116" s="249"/>
      <c r="BA116" s="221"/>
      <c r="BB116" s="300"/>
      <c r="BC116" s="217"/>
      <c r="BD116" s="392"/>
      <c r="BE116" s="1244"/>
      <c r="BF116" s="249"/>
      <c r="BG116" s="252"/>
      <c r="BH116" s="1469"/>
      <c r="BI116" s="216"/>
      <c r="BJ116" s="1469"/>
      <c r="BK116" s="1459"/>
      <c r="BL116" s="260"/>
      <c r="BM116" s="214"/>
      <c r="BN116" s="293"/>
      <c r="BO116" s="217"/>
      <c r="BP116" s="355"/>
      <c r="BQ116" s="217"/>
      <c r="BR116" s="1193"/>
      <c r="BS116" s="249"/>
      <c r="BT116" s="216"/>
      <c r="BU116" s="1195"/>
      <c r="BV116" s="249"/>
      <c r="BW116" s="216"/>
      <c r="BX116" s="1195"/>
      <c r="BY116" s="249"/>
      <c r="BZ116" s="216"/>
      <c r="CA116" s="1195"/>
      <c r="CB116" s="249"/>
      <c r="CC116" s="216"/>
      <c r="CD116" s="1195"/>
      <c r="CE116" s="249"/>
      <c r="CF116" s="216"/>
      <c r="CG116" s="1195"/>
      <c r="CH116" s="249"/>
      <c r="CI116" s="216"/>
      <c r="CJ116" s="1195"/>
      <c r="CK116" s="249"/>
      <c r="CL116" s="216"/>
      <c r="CM116" s="1194"/>
      <c r="CN116" s="1524"/>
      <c r="CO116" s="217"/>
      <c r="CP116" s="1193"/>
      <c r="CQ116" s="293"/>
      <c r="CR116" s="217"/>
      <c r="CS116" s="305"/>
      <c r="CT116" s="249"/>
      <c r="CU116" s="216"/>
      <c r="CV116" s="1193"/>
      <c r="CW116" s="249"/>
      <c r="CX116" s="216"/>
      <c r="CY116" s="305"/>
      <c r="CZ116" s="249"/>
      <c r="DA116" s="216"/>
      <c r="DB116" s="307"/>
      <c r="DC116" s="328"/>
      <c r="DD116" s="322"/>
      <c r="DE116" s="305"/>
      <c r="DF116" s="249"/>
      <c r="DG116" s="216"/>
      <c r="DH116" s="305"/>
      <c r="DI116" s="249"/>
      <c r="DJ116" s="216"/>
      <c r="DK116" s="309"/>
      <c r="DL116" s="293"/>
      <c r="DM116" s="326"/>
      <c r="DN116" s="1256"/>
      <c r="DO116" s="214"/>
      <c r="DP116" s="1257"/>
      <c r="DQ116" s="1258"/>
      <c r="DR116" s="305"/>
      <c r="DS116" s="249"/>
      <c r="DT116" s="216"/>
      <c r="DU116" s="2518"/>
      <c r="DV116"/>
      <c r="DW116"/>
      <c r="DX116" s="305"/>
      <c r="DY116" s="249"/>
      <c r="DZ116" s="221"/>
      <c r="EA116" s="388"/>
      <c r="EB116" s="249"/>
      <c r="EC116" s="216"/>
      <c r="ED116" s="1461"/>
      <c r="EE116" s="249"/>
      <c r="EF116" s="216"/>
      <c r="EG116" s="355"/>
      <c r="EH116" s="1425"/>
      <c r="EI116" s="1470"/>
      <c r="EJ116" s="249"/>
      <c r="EK116" s="221"/>
      <c r="EL116" s="313"/>
      <c r="EM116" s="249"/>
      <c r="EN116" s="221"/>
      <c r="EO116" s="313"/>
      <c r="EP116" s="249"/>
      <c r="EQ116" s="216"/>
      <c r="ER116" s="313"/>
      <c r="ES116" s="249"/>
      <c r="ET116" s="216"/>
      <c r="EU116" s="313"/>
      <c r="EV116" s="249"/>
      <c r="EW116" s="216"/>
      <c r="EX116" s="2505"/>
      <c r="EY116" s="249"/>
      <c r="EZ116" s="221"/>
      <c r="FA116" s="313"/>
      <c r="FB116" s="249"/>
      <c r="FC116" s="221"/>
      <c r="FD116" s="313"/>
      <c r="FE116" s="249"/>
      <c r="FF116" s="221"/>
      <c r="FG116" s="313"/>
      <c r="FH116" s="249"/>
      <c r="FI116" s="216"/>
      <c r="FJ116" s="1435"/>
      <c r="FK116" s="216"/>
      <c r="FL116" s="1268"/>
      <c r="FM116" s="1655"/>
      <c r="FN116" s="1268"/>
      <c r="FO116" s="1655"/>
      <c r="FP116" s="1268"/>
      <c r="FQ116" s="1656"/>
      <c r="FR116" s="249"/>
      <c r="FS116" s="216"/>
      <c r="FT116" s="1657"/>
      <c r="FU116" s="1658"/>
      <c r="FV116" s="242"/>
      <c r="FW116" s="2522"/>
      <c r="FX116" s="2523"/>
      <c r="FY116" s="336"/>
      <c r="FZ116" s="223"/>
      <c r="GA116" s="338"/>
      <c r="GB116" s="204"/>
      <c r="GC116" s="339"/>
      <c r="GD116" s="342"/>
      <c r="GE116" s="199"/>
      <c r="GF116" s="199"/>
      <c r="GG116" s="199"/>
      <c r="GH116" s="199"/>
      <c r="GI116" s="199"/>
      <c r="GJ116" s="199"/>
      <c r="GK116" s="199"/>
      <c r="GL116" s="49"/>
      <c r="GM116" s="28"/>
      <c r="GN116" s="28"/>
      <c r="GO116" s="322"/>
      <c r="GP116" s="1190"/>
      <c r="GQ116" s="1190"/>
      <c r="GR116" s="49"/>
      <c r="GS116" s="2879"/>
      <c r="GT116" s="2880"/>
      <c r="GU116" s="2881"/>
      <c r="GV116" s="49"/>
      <c r="GW116" s="49"/>
      <c r="GX116" s="49"/>
      <c r="GY116" s="49"/>
      <c r="GZ116" s="49"/>
      <c r="HA116" s="49"/>
      <c r="HB116" s="49"/>
      <c r="HC116" s="49"/>
      <c r="HD116" s="49"/>
      <c r="HE116" s="49"/>
      <c r="HF116" s="49"/>
      <c r="HG116" s="49"/>
      <c r="HH116" s="49"/>
      <c r="HI116" s="49"/>
      <c r="HJ116" s="49"/>
      <c r="HK116" s="49"/>
      <c r="HL116" s="49"/>
      <c r="HM116" s="49"/>
      <c r="HN116" s="49"/>
      <c r="HO116" s="49"/>
      <c r="HP116" s="49"/>
      <c r="HQ116" s="49"/>
      <c r="HR116" s="49"/>
      <c r="HS116" s="49"/>
      <c r="HT116" s="49"/>
      <c r="HU116" s="49"/>
      <c r="HV116" s="49"/>
      <c r="HW116" s="49"/>
      <c r="HX116" s="49"/>
      <c r="HY116" s="49"/>
      <c r="HZ116" s="49"/>
      <c r="IA116" s="49"/>
      <c r="IB116" s="49"/>
      <c r="IC116" s="49"/>
      <c r="ID116" s="49"/>
      <c r="IE116" s="49"/>
      <c r="IF116" s="49"/>
      <c r="IG116" s="49"/>
      <c r="IH116" s="49"/>
      <c r="II116" s="49"/>
      <c r="IJ116" s="49"/>
      <c r="IK116" s="49"/>
      <c r="IL116" s="49"/>
      <c r="IM116" s="49"/>
      <c r="IN116" s="49"/>
      <c r="IO116" s="49"/>
      <c r="IP116" s="49"/>
      <c r="IQ116" s="49"/>
      <c r="IR116" s="49"/>
      <c r="IS116" s="49"/>
      <c r="IT116" s="49"/>
      <c r="IU116" s="49"/>
      <c r="IV116" s="49"/>
    </row>
    <row r="117" spans="1:256" s="198" customFormat="1" ht="12" customHeight="1">
      <c r="A117" s="1252"/>
      <c r="B117" s="200"/>
      <c r="C117" s="486"/>
      <c r="D117" s="203"/>
      <c r="E117" s="203"/>
      <c r="F117" s="203"/>
      <c r="G117" s="203"/>
      <c r="H117" s="203"/>
      <c r="I117" s="203"/>
      <c r="J117" s="203"/>
      <c r="K117" s="175"/>
      <c r="L117" s="203"/>
      <c r="M117" s="203"/>
      <c r="N117" s="203"/>
      <c r="O117" s="203"/>
      <c r="P117" s="203"/>
      <c r="Q117" s="1197"/>
      <c r="R117" s="998"/>
      <c r="S117" s="999"/>
      <c r="T117" s="2801"/>
      <c r="U117" s="233"/>
      <c r="V117" s="49"/>
      <c r="W117" s="218"/>
      <c r="X117" s="218"/>
      <c r="Y117" s="216"/>
      <c r="Z117" s="216"/>
      <c r="AA117" s="215"/>
      <c r="AB117" s="216"/>
      <c r="AC117" s="216"/>
      <c r="AD117" s="239"/>
      <c r="AE117" s="216"/>
      <c r="AF117" s="216"/>
      <c r="AG117" s="216"/>
      <c r="AH117" s="216"/>
      <c r="AI117" s="216"/>
      <c r="AJ117" s="216"/>
      <c r="AK117" s="239"/>
      <c r="AL117" s="216"/>
      <c r="AM117" s="216"/>
      <c r="AN117" s="216"/>
      <c r="AO117" s="216"/>
      <c r="AP117" s="216"/>
      <c r="AQ117" s="216"/>
      <c r="AR117" s="216"/>
      <c r="AS117" s="216"/>
      <c r="AT117" s="216"/>
      <c r="AU117" s="216"/>
      <c r="AV117" s="217"/>
      <c r="AW117" s="355"/>
      <c r="AX117" s="217"/>
      <c r="AY117" s="1559"/>
      <c r="AZ117" s="249"/>
      <c r="BA117" s="221"/>
      <c r="BB117" s="300"/>
      <c r="BC117" s="217"/>
      <c r="BD117" s="392"/>
      <c r="BE117" s="1244"/>
      <c r="BF117" s="249"/>
      <c r="BG117" s="252"/>
      <c r="BH117" s="1469"/>
      <c r="BI117" s="216"/>
      <c r="BJ117" s="1469"/>
      <c r="BK117" s="1459"/>
      <c r="BL117" s="260"/>
      <c r="BM117" s="214"/>
      <c r="BN117" s="293"/>
      <c r="BO117" s="217"/>
      <c r="BP117" s="355"/>
      <c r="BQ117" s="217"/>
      <c r="BR117" s="1193"/>
      <c r="BS117" s="249"/>
      <c r="BT117" s="216"/>
      <c r="BU117" s="1195"/>
      <c r="BV117" s="249"/>
      <c r="BW117" s="216"/>
      <c r="BX117" s="1195"/>
      <c r="BY117" s="249"/>
      <c r="BZ117" s="216"/>
      <c r="CA117" s="1195"/>
      <c r="CB117" s="249"/>
      <c r="CC117" s="216"/>
      <c r="CD117" s="1195"/>
      <c r="CE117" s="249"/>
      <c r="CF117" s="216"/>
      <c r="CG117" s="1195"/>
      <c r="CH117" s="249"/>
      <c r="CI117" s="216"/>
      <c r="CJ117" s="1195"/>
      <c r="CK117" s="249"/>
      <c r="CL117" s="216"/>
      <c r="CM117" s="1194"/>
      <c r="CN117" s="1524"/>
      <c r="CO117" s="217"/>
      <c r="CP117" s="1193"/>
      <c r="CQ117" s="293"/>
      <c r="CR117" s="217"/>
      <c r="CS117" s="305"/>
      <c r="CT117" s="249"/>
      <c r="CU117" s="216"/>
      <c r="CV117" s="1193"/>
      <c r="CW117" s="249"/>
      <c r="CX117" s="216"/>
      <c r="CY117" s="305"/>
      <c r="CZ117" s="249"/>
      <c r="DA117" s="216"/>
      <c r="DB117" s="307"/>
      <c r="DC117" s="328"/>
      <c r="DD117" s="322"/>
      <c r="DE117" s="305"/>
      <c r="DF117" s="249"/>
      <c r="DG117" s="216"/>
      <c r="DH117" s="305"/>
      <c r="DI117" s="249"/>
      <c r="DJ117" s="216"/>
      <c r="DK117" s="309"/>
      <c r="DL117" s="293"/>
      <c r="DM117" s="326"/>
      <c r="DN117" s="1256"/>
      <c r="DO117" s="214"/>
      <c r="DP117" s="1257"/>
      <c r="DQ117" s="1258"/>
      <c r="DR117" s="305"/>
      <c r="DS117" s="249"/>
      <c r="DT117" s="216"/>
      <c r="DU117" s="2518"/>
      <c r="DV117"/>
      <c r="DW117"/>
      <c r="DX117" s="305"/>
      <c r="DY117" s="249"/>
      <c r="DZ117" s="221"/>
      <c r="EA117" s="388"/>
      <c r="EB117" s="249"/>
      <c r="EC117" s="216"/>
      <c r="ED117" s="1461"/>
      <c r="EE117" s="249"/>
      <c r="EF117" s="216"/>
      <c r="EG117" s="355"/>
      <c r="EH117" s="1425"/>
      <c r="EI117" s="1470"/>
      <c r="EJ117" s="249"/>
      <c r="EK117" s="221"/>
      <c r="EL117" s="313"/>
      <c r="EM117" s="249"/>
      <c r="EN117" s="221"/>
      <c r="EO117" s="313"/>
      <c r="EP117" s="249"/>
      <c r="EQ117" s="216"/>
      <c r="ER117" s="313"/>
      <c r="ES117" s="249"/>
      <c r="ET117" s="216"/>
      <c r="EU117" s="313"/>
      <c r="EV117" s="249"/>
      <c r="EW117" s="216"/>
      <c r="EX117" s="2505"/>
      <c r="EY117" s="249"/>
      <c r="EZ117" s="221"/>
      <c r="FA117" s="313"/>
      <c r="FB117" s="249"/>
      <c r="FC117" s="221"/>
      <c r="FD117" s="313"/>
      <c r="FE117" s="249"/>
      <c r="FF117" s="221"/>
      <c r="FG117" s="313"/>
      <c r="FH117" s="249"/>
      <c r="FI117" s="216"/>
      <c r="FJ117" s="1435"/>
      <c r="FK117" s="216"/>
      <c r="FL117" s="1268"/>
      <c r="FM117" s="1655"/>
      <c r="FN117" s="1268"/>
      <c r="FO117" s="1655"/>
      <c r="FP117" s="1268"/>
      <c r="FQ117" s="1656"/>
      <c r="FR117" s="249"/>
      <c r="FS117" s="216"/>
      <c r="FT117" s="1657"/>
      <c r="FU117" s="1658"/>
      <c r="FV117" s="242"/>
      <c r="FW117" s="2522"/>
      <c r="FX117" s="2523"/>
      <c r="FY117" s="336"/>
      <c r="FZ117" s="223"/>
      <c r="GA117" s="338"/>
      <c r="GB117" s="204"/>
      <c r="GC117" s="339"/>
      <c r="GD117" s="342"/>
      <c r="GE117" s="199"/>
      <c r="GF117" s="199"/>
      <c r="GG117" s="199"/>
      <c r="GH117" s="199"/>
      <c r="GI117" s="199"/>
      <c r="GJ117" s="199"/>
      <c r="GK117" s="199"/>
      <c r="GL117" s="49"/>
      <c r="GM117" s="28"/>
      <c r="GN117" s="28"/>
      <c r="GO117" s="322"/>
      <c r="GP117" s="1190"/>
      <c r="GQ117" s="1190"/>
      <c r="GR117" s="49"/>
      <c r="GS117" s="2879"/>
      <c r="GT117" s="2880"/>
      <c r="GU117" s="2881"/>
      <c r="GV117" s="49"/>
      <c r="GW117" s="49"/>
      <c r="GX117" s="49"/>
      <c r="GY117" s="49"/>
      <c r="GZ117" s="49"/>
      <c r="HA117" s="49"/>
      <c r="HB117" s="49"/>
      <c r="HC117" s="49"/>
      <c r="HD117" s="49"/>
      <c r="HE117" s="49"/>
      <c r="HF117" s="49"/>
      <c r="HG117" s="49"/>
      <c r="HH117" s="49"/>
      <c r="HI117" s="49"/>
      <c r="HJ117" s="49"/>
      <c r="HK117" s="49"/>
      <c r="HL117" s="49"/>
      <c r="HM117" s="49"/>
      <c r="HN117" s="49"/>
      <c r="HO117" s="49"/>
      <c r="HP117" s="49"/>
      <c r="HQ117" s="49"/>
      <c r="HR117" s="49"/>
      <c r="HS117" s="49"/>
      <c r="HT117" s="49"/>
      <c r="HU117" s="49"/>
      <c r="HV117" s="49"/>
      <c r="HW117" s="49"/>
      <c r="HX117" s="49"/>
      <c r="HY117" s="49"/>
      <c r="HZ117" s="49"/>
      <c r="IA117" s="49"/>
      <c r="IB117" s="49"/>
      <c r="IC117" s="49"/>
      <c r="ID117" s="49"/>
      <c r="IE117" s="49"/>
      <c r="IF117" s="49"/>
      <c r="IG117" s="49"/>
      <c r="IH117" s="49"/>
      <c r="II117" s="49"/>
      <c r="IJ117" s="49"/>
      <c r="IK117" s="49"/>
      <c r="IL117" s="49"/>
      <c r="IM117" s="49"/>
      <c r="IN117" s="49"/>
      <c r="IO117" s="49"/>
      <c r="IP117" s="49"/>
      <c r="IQ117" s="49"/>
      <c r="IR117" s="49"/>
      <c r="IS117" s="49"/>
      <c r="IT117" s="49"/>
      <c r="IU117" s="49"/>
      <c r="IV117" s="49"/>
    </row>
    <row r="118" spans="1:256" s="198" customFormat="1" ht="12" customHeight="1">
      <c r="A118" s="1252"/>
      <c r="B118" s="200"/>
      <c r="C118" s="486"/>
      <c r="D118" s="203"/>
      <c r="E118" s="203"/>
      <c r="F118" s="203"/>
      <c r="G118" s="203"/>
      <c r="H118" s="203"/>
      <c r="I118" s="203"/>
      <c r="J118" s="203"/>
      <c r="K118" s="175"/>
      <c r="L118" s="203"/>
      <c r="M118" s="203"/>
      <c r="N118" s="203"/>
      <c r="O118" s="203"/>
      <c r="P118" s="203"/>
      <c r="Q118" s="1197"/>
      <c r="R118" s="998"/>
      <c r="S118" s="999"/>
      <c r="T118" s="2801"/>
      <c r="U118" s="233"/>
      <c r="V118" s="49"/>
      <c r="W118" s="218"/>
      <c r="X118" s="218"/>
      <c r="Y118" s="216"/>
      <c r="Z118" s="216"/>
      <c r="AA118" s="215"/>
      <c r="AB118" s="216"/>
      <c r="AC118" s="216"/>
      <c r="AD118" s="239"/>
      <c r="AE118" s="216"/>
      <c r="AF118" s="216"/>
      <c r="AG118" s="216"/>
      <c r="AH118" s="216"/>
      <c r="AI118" s="216"/>
      <c r="AJ118" s="216"/>
      <c r="AK118" s="239"/>
      <c r="AL118" s="216"/>
      <c r="AM118" s="216"/>
      <c r="AN118" s="216"/>
      <c r="AO118" s="216"/>
      <c r="AP118" s="216"/>
      <c r="AQ118" s="216"/>
      <c r="AR118" s="216"/>
      <c r="AS118" s="216"/>
      <c r="AT118" s="216"/>
      <c r="AU118" s="216"/>
      <c r="AV118" s="217"/>
      <c r="AW118" s="355"/>
      <c r="AX118" s="217"/>
      <c r="AY118" s="1559"/>
      <c r="AZ118" s="249"/>
      <c r="BA118" s="221"/>
      <c r="BB118" s="300"/>
      <c r="BC118" s="217"/>
      <c r="BD118" s="392"/>
      <c r="BE118" s="1244"/>
      <c r="BF118" s="249"/>
      <c r="BG118" s="252"/>
      <c r="BH118" s="1469"/>
      <c r="BI118" s="216"/>
      <c r="BJ118" s="1469"/>
      <c r="BK118" s="1459"/>
      <c r="BL118" s="260"/>
      <c r="BM118" s="214"/>
      <c r="BN118" s="293"/>
      <c r="BO118" s="217"/>
      <c r="BP118" s="355"/>
      <c r="BQ118" s="217"/>
      <c r="BR118" s="1193"/>
      <c r="BS118" s="249"/>
      <c r="BT118" s="216"/>
      <c r="BU118" s="1195"/>
      <c r="BV118" s="249"/>
      <c r="BW118" s="216"/>
      <c r="BX118" s="1195"/>
      <c r="BY118" s="249"/>
      <c r="BZ118" s="216"/>
      <c r="CA118" s="1195"/>
      <c r="CB118" s="249"/>
      <c r="CC118" s="216"/>
      <c r="CD118" s="1195"/>
      <c r="CE118" s="249"/>
      <c r="CF118" s="216"/>
      <c r="CG118" s="1195"/>
      <c r="CH118" s="249"/>
      <c r="CI118" s="216"/>
      <c r="CJ118" s="1195"/>
      <c r="CK118" s="249"/>
      <c r="CL118" s="216"/>
      <c r="CM118" s="1194"/>
      <c r="CN118" s="1524"/>
      <c r="CO118" s="217"/>
      <c r="CP118" s="1193"/>
      <c r="CQ118" s="293"/>
      <c r="CR118" s="217"/>
      <c r="CS118" s="305"/>
      <c r="CT118" s="249"/>
      <c r="CU118" s="216"/>
      <c r="CV118" s="1193"/>
      <c r="CW118" s="249"/>
      <c r="CX118" s="216"/>
      <c r="CY118" s="305"/>
      <c r="CZ118" s="249"/>
      <c r="DA118" s="216"/>
      <c r="DB118" s="307"/>
      <c r="DC118" s="328"/>
      <c r="DD118" s="322"/>
      <c r="DE118" s="305"/>
      <c r="DF118" s="249"/>
      <c r="DG118" s="216"/>
      <c r="DH118" s="305"/>
      <c r="DI118" s="249"/>
      <c r="DJ118" s="216"/>
      <c r="DK118" s="309"/>
      <c r="DL118" s="293"/>
      <c r="DM118" s="326"/>
      <c r="DN118" s="1256"/>
      <c r="DO118" s="214"/>
      <c r="DP118" s="1257"/>
      <c r="DQ118" s="1258"/>
      <c r="DR118" s="305"/>
      <c r="DS118" s="249"/>
      <c r="DT118" s="216"/>
      <c r="DU118" s="2518"/>
      <c r="DV118"/>
      <c r="DW118"/>
      <c r="DX118" s="305"/>
      <c r="DY118" s="249"/>
      <c r="DZ118" s="221"/>
      <c r="EA118" s="388"/>
      <c r="EB118" s="249"/>
      <c r="EC118" s="216"/>
      <c r="ED118" s="1461"/>
      <c r="EE118" s="249"/>
      <c r="EF118" s="216"/>
      <c r="EG118" s="355"/>
      <c r="EH118" s="1425"/>
      <c r="EI118" s="1470"/>
      <c r="EJ118" s="249"/>
      <c r="EK118" s="221"/>
      <c r="EL118" s="313"/>
      <c r="EM118" s="249"/>
      <c r="EN118" s="221"/>
      <c r="EO118" s="313"/>
      <c r="EP118" s="249"/>
      <c r="EQ118" s="216"/>
      <c r="ER118" s="313"/>
      <c r="ES118" s="249"/>
      <c r="ET118" s="216"/>
      <c r="EU118" s="313"/>
      <c r="EV118" s="249"/>
      <c r="EW118" s="216"/>
      <c r="EX118" s="2505"/>
      <c r="EY118" s="249"/>
      <c r="EZ118" s="221"/>
      <c r="FA118" s="313"/>
      <c r="FB118" s="249"/>
      <c r="FC118" s="221"/>
      <c r="FD118" s="313"/>
      <c r="FE118" s="249"/>
      <c r="FF118" s="221"/>
      <c r="FG118" s="313"/>
      <c r="FH118" s="249"/>
      <c r="FI118" s="216"/>
      <c r="FJ118" s="1435"/>
      <c r="FK118" s="216"/>
      <c r="FL118" s="1268"/>
      <c r="FM118" s="1655"/>
      <c r="FN118" s="1268"/>
      <c r="FO118" s="1655"/>
      <c r="FP118" s="1268"/>
      <c r="FQ118" s="1656"/>
      <c r="FR118" s="249"/>
      <c r="FS118" s="216"/>
      <c r="FT118" s="1657"/>
      <c r="FU118" s="1658"/>
      <c r="FV118" s="242"/>
      <c r="FW118" s="2522"/>
      <c r="FX118" s="2523"/>
      <c r="FY118" s="336"/>
      <c r="FZ118" s="223"/>
      <c r="GA118" s="338"/>
      <c r="GB118" s="204"/>
      <c r="GC118" s="339"/>
      <c r="GD118" s="342"/>
      <c r="GE118" s="199"/>
      <c r="GF118" s="199"/>
      <c r="GG118" s="199"/>
      <c r="GH118" s="199"/>
      <c r="GI118" s="199"/>
      <c r="GJ118" s="199"/>
      <c r="GK118" s="199"/>
      <c r="GL118" s="49"/>
      <c r="GM118" s="28"/>
      <c r="GN118" s="28"/>
      <c r="GO118" s="322"/>
      <c r="GP118" s="1190"/>
      <c r="GQ118" s="1190"/>
      <c r="GR118" s="49"/>
      <c r="GS118" s="2879"/>
      <c r="GT118" s="2880"/>
      <c r="GU118" s="2881"/>
      <c r="GV118" s="49"/>
      <c r="GW118" s="49"/>
      <c r="GX118" s="49"/>
      <c r="GY118" s="49"/>
      <c r="GZ118" s="49"/>
      <c r="HA118" s="49"/>
      <c r="HB118" s="49"/>
      <c r="HC118" s="49"/>
      <c r="HD118" s="49"/>
      <c r="HE118" s="49"/>
      <c r="HF118" s="49"/>
      <c r="HG118" s="49"/>
      <c r="HH118" s="49"/>
      <c r="HI118" s="49"/>
      <c r="HJ118" s="49"/>
      <c r="HK118" s="49"/>
      <c r="HL118" s="49"/>
      <c r="HM118" s="49"/>
      <c r="HN118" s="49"/>
      <c r="HO118" s="49"/>
      <c r="HP118" s="49"/>
      <c r="HQ118" s="49"/>
      <c r="HR118" s="49"/>
      <c r="HS118" s="49"/>
      <c r="HT118" s="49"/>
      <c r="HU118" s="49"/>
      <c r="HV118" s="49"/>
      <c r="HW118" s="49"/>
      <c r="HX118" s="49"/>
      <c r="HY118" s="49"/>
      <c r="HZ118" s="49"/>
      <c r="IA118" s="49"/>
      <c r="IB118" s="49"/>
      <c r="IC118" s="49"/>
      <c r="ID118" s="49"/>
      <c r="IE118" s="49"/>
      <c r="IF118" s="49"/>
      <c r="IG118" s="49"/>
      <c r="IH118" s="49"/>
      <c r="II118" s="49"/>
      <c r="IJ118" s="49"/>
      <c r="IK118" s="49"/>
      <c r="IL118" s="49"/>
      <c r="IM118" s="49"/>
      <c r="IN118" s="49"/>
      <c r="IO118" s="49"/>
      <c r="IP118" s="49"/>
      <c r="IQ118" s="49"/>
      <c r="IR118" s="49"/>
      <c r="IS118" s="49"/>
      <c r="IT118" s="49"/>
      <c r="IU118" s="49"/>
      <c r="IV118" s="49"/>
    </row>
    <row r="119" spans="1:256" s="198" customFormat="1" ht="12" customHeight="1">
      <c r="A119" s="1252"/>
      <c r="B119" s="200"/>
      <c r="C119" s="486"/>
      <c r="D119" s="203"/>
      <c r="E119" s="203"/>
      <c r="F119" s="203"/>
      <c r="G119" s="203"/>
      <c r="H119" s="203"/>
      <c r="I119" s="203"/>
      <c r="J119" s="203"/>
      <c r="K119" s="175"/>
      <c r="L119" s="203"/>
      <c r="M119" s="203"/>
      <c r="N119" s="203"/>
      <c r="O119" s="203"/>
      <c r="P119" s="203"/>
      <c r="Q119" s="1197"/>
      <c r="R119" s="998"/>
      <c r="S119" s="999"/>
      <c r="T119" s="2801"/>
      <c r="U119" s="233"/>
      <c r="V119" s="49"/>
      <c r="W119" s="218"/>
      <c r="X119" s="218"/>
      <c r="Y119" s="216"/>
      <c r="Z119" s="216"/>
      <c r="AA119" s="215"/>
      <c r="AB119" s="216"/>
      <c r="AC119" s="216"/>
      <c r="AD119" s="239"/>
      <c r="AE119" s="216"/>
      <c r="AF119" s="216"/>
      <c r="AG119" s="216"/>
      <c r="AH119" s="216"/>
      <c r="AI119" s="216"/>
      <c r="AJ119" s="216"/>
      <c r="AK119" s="239"/>
      <c r="AL119" s="216"/>
      <c r="AM119" s="216"/>
      <c r="AN119" s="216"/>
      <c r="AO119" s="216"/>
      <c r="AP119" s="216"/>
      <c r="AQ119" s="216"/>
      <c r="AR119" s="216"/>
      <c r="AS119" s="216"/>
      <c r="AT119" s="216"/>
      <c r="AU119" s="216"/>
      <c r="AV119" s="217"/>
      <c r="AW119" s="355"/>
      <c r="AX119" s="217"/>
      <c r="AY119" s="1559"/>
      <c r="AZ119" s="249"/>
      <c r="BA119" s="221"/>
      <c r="BB119" s="300"/>
      <c r="BC119" s="217"/>
      <c r="BD119" s="392"/>
      <c r="BE119" s="1244"/>
      <c r="BF119" s="249"/>
      <c r="BG119" s="252"/>
      <c r="BH119" s="1469"/>
      <c r="BI119" s="216"/>
      <c r="BJ119" s="1469"/>
      <c r="BK119" s="1459"/>
      <c r="BL119" s="260"/>
      <c r="BM119" s="214"/>
      <c r="BN119" s="293"/>
      <c r="BO119" s="217"/>
      <c r="BP119" s="355"/>
      <c r="BQ119" s="217"/>
      <c r="BR119" s="1193"/>
      <c r="BS119" s="249"/>
      <c r="BT119" s="216"/>
      <c r="BU119" s="1195"/>
      <c r="BV119" s="249"/>
      <c r="BW119" s="216"/>
      <c r="BX119" s="1195"/>
      <c r="BY119" s="249"/>
      <c r="BZ119" s="216"/>
      <c r="CA119" s="1195"/>
      <c r="CB119" s="249"/>
      <c r="CC119" s="216"/>
      <c r="CD119" s="1195"/>
      <c r="CE119" s="249"/>
      <c r="CF119" s="216"/>
      <c r="CG119" s="1195"/>
      <c r="CH119" s="249"/>
      <c r="CI119" s="216"/>
      <c r="CJ119" s="1195"/>
      <c r="CK119" s="249"/>
      <c r="CL119" s="216"/>
      <c r="CM119" s="1194"/>
      <c r="CN119" s="1524"/>
      <c r="CO119" s="217"/>
      <c r="CP119" s="1193"/>
      <c r="CQ119" s="293"/>
      <c r="CR119" s="217"/>
      <c r="CS119" s="305"/>
      <c r="CT119" s="249"/>
      <c r="CU119" s="216"/>
      <c r="CV119" s="1193"/>
      <c r="CW119" s="249"/>
      <c r="CX119" s="216"/>
      <c r="CY119" s="305"/>
      <c r="CZ119" s="249"/>
      <c r="DA119" s="216"/>
      <c r="DB119" s="307"/>
      <c r="DC119" s="328"/>
      <c r="DD119" s="322"/>
      <c r="DE119" s="305"/>
      <c r="DF119" s="249"/>
      <c r="DG119" s="216"/>
      <c r="DH119" s="305"/>
      <c r="DI119" s="249"/>
      <c r="DJ119" s="216"/>
      <c r="DK119" s="309"/>
      <c r="DL119" s="293"/>
      <c r="DM119" s="326"/>
      <c r="DN119" s="1256"/>
      <c r="DO119" s="214"/>
      <c r="DP119" s="1257"/>
      <c r="DQ119" s="1258"/>
      <c r="DR119" s="305"/>
      <c r="DS119" s="249"/>
      <c r="DT119" s="216"/>
      <c r="DU119" s="2518"/>
      <c r="DV119"/>
      <c r="DW119"/>
      <c r="DX119" s="305"/>
      <c r="DY119" s="249"/>
      <c r="DZ119" s="221"/>
      <c r="EA119" s="388"/>
      <c r="EB119" s="249"/>
      <c r="EC119" s="216"/>
      <c r="ED119" s="1461"/>
      <c r="EE119" s="249"/>
      <c r="EF119" s="216"/>
      <c r="EG119" s="355"/>
      <c r="EH119" s="1425"/>
      <c r="EI119" s="1470"/>
      <c r="EJ119" s="249"/>
      <c r="EK119" s="221"/>
      <c r="EL119" s="313"/>
      <c r="EM119" s="249"/>
      <c r="EN119" s="221"/>
      <c r="EO119" s="313"/>
      <c r="EP119" s="249"/>
      <c r="EQ119" s="216"/>
      <c r="ER119" s="313"/>
      <c r="ES119" s="249"/>
      <c r="ET119" s="216"/>
      <c r="EU119" s="313"/>
      <c r="EV119" s="249"/>
      <c r="EW119" s="216"/>
      <c r="EX119" s="2505"/>
      <c r="EY119" s="249"/>
      <c r="EZ119" s="221"/>
      <c r="FA119" s="313"/>
      <c r="FB119" s="249"/>
      <c r="FC119" s="221"/>
      <c r="FD119" s="313"/>
      <c r="FE119" s="249"/>
      <c r="FF119" s="221"/>
      <c r="FG119" s="313"/>
      <c r="FH119" s="249"/>
      <c r="FI119" s="216"/>
      <c r="FJ119" s="1435"/>
      <c r="FK119" s="216"/>
      <c r="FL119" s="1268"/>
      <c r="FM119" s="1655"/>
      <c r="FN119" s="1268"/>
      <c r="FO119" s="1655"/>
      <c r="FP119" s="1268"/>
      <c r="FQ119" s="1656"/>
      <c r="FR119" s="249"/>
      <c r="FS119" s="216"/>
      <c r="FT119" s="1657"/>
      <c r="FU119" s="1658"/>
      <c r="FV119" s="242"/>
      <c r="FW119" s="2522"/>
      <c r="FX119" s="2523"/>
      <c r="FY119" s="336"/>
      <c r="FZ119" s="223"/>
      <c r="GA119" s="338"/>
      <c r="GB119" s="204"/>
      <c r="GC119" s="339"/>
      <c r="GD119" s="342"/>
      <c r="GE119" s="199"/>
      <c r="GF119" s="199"/>
      <c r="GG119" s="199"/>
      <c r="GH119" s="199"/>
      <c r="GI119" s="199"/>
      <c r="GJ119" s="199"/>
      <c r="GK119" s="199"/>
      <c r="GL119" s="49"/>
      <c r="GM119" s="28"/>
      <c r="GN119" s="28"/>
      <c r="GO119" s="322"/>
      <c r="GP119" s="1190"/>
      <c r="GQ119" s="1190"/>
      <c r="GR119" s="49"/>
      <c r="GS119" s="2879"/>
      <c r="GT119" s="2880"/>
      <c r="GU119" s="2881"/>
      <c r="GV119" s="49"/>
      <c r="GW119" s="49"/>
      <c r="GX119" s="49"/>
      <c r="GY119" s="49"/>
      <c r="GZ119" s="49"/>
      <c r="HA119" s="49"/>
      <c r="HB119" s="49"/>
      <c r="HC119" s="49"/>
      <c r="HD119" s="49"/>
      <c r="HE119" s="49"/>
      <c r="HF119" s="49"/>
      <c r="HG119" s="49"/>
      <c r="HH119" s="49"/>
      <c r="HI119" s="49"/>
      <c r="HJ119" s="49"/>
      <c r="HK119" s="49"/>
      <c r="HL119" s="49"/>
      <c r="HM119" s="49"/>
      <c r="HN119" s="49"/>
      <c r="HO119" s="49"/>
      <c r="HP119" s="49"/>
      <c r="HQ119" s="49"/>
      <c r="HR119" s="49"/>
      <c r="HS119" s="49"/>
      <c r="HT119" s="49"/>
      <c r="HU119" s="49"/>
      <c r="HV119" s="49"/>
      <c r="HW119" s="49"/>
      <c r="HX119" s="49"/>
      <c r="HY119" s="49"/>
      <c r="HZ119" s="49"/>
      <c r="IA119" s="49"/>
      <c r="IB119" s="49"/>
      <c r="IC119" s="49"/>
      <c r="ID119" s="49"/>
      <c r="IE119" s="49"/>
      <c r="IF119" s="49"/>
      <c r="IG119" s="49"/>
      <c r="IH119" s="49"/>
      <c r="II119" s="49"/>
      <c r="IJ119" s="49"/>
      <c r="IK119" s="49"/>
      <c r="IL119" s="49"/>
      <c r="IM119" s="49"/>
      <c r="IN119" s="49"/>
      <c r="IO119" s="49"/>
      <c r="IP119" s="49"/>
      <c r="IQ119" s="49"/>
      <c r="IR119" s="49"/>
      <c r="IS119" s="49"/>
      <c r="IT119" s="49"/>
      <c r="IU119" s="49"/>
      <c r="IV119" s="49"/>
    </row>
    <row r="120" spans="1:256" s="198" customFormat="1" ht="12" customHeight="1">
      <c r="A120" s="1252"/>
      <c r="B120" s="200"/>
      <c r="C120" s="486"/>
      <c r="D120" s="203"/>
      <c r="E120" s="203"/>
      <c r="F120" s="203"/>
      <c r="G120" s="203"/>
      <c r="H120" s="203"/>
      <c r="I120" s="203"/>
      <c r="J120" s="203"/>
      <c r="K120" s="175"/>
      <c r="L120" s="203"/>
      <c r="M120" s="203"/>
      <c r="N120" s="203"/>
      <c r="O120" s="203"/>
      <c r="P120" s="203"/>
      <c r="Q120" s="1197"/>
      <c r="R120" s="998"/>
      <c r="S120" s="999"/>
      <c r="T120" s="2801"/>
      <c r="U120" s="233"/>
      <c r="V120" s="49"/>
      <c r="W120" s="218"/>
      <c r="X120" s="218"/>
      <c r="Y120" s="216"/>
      <c r="Z120" s="216"/>
      <c r="AA120" s="215"/>
      <c r="AB120" s="216"/>
      <c r="AC120" s="216"/>
      <c r="AD120" s="239"/>
      <c r="AE120" s="216"/>
      <c r="AF120" s="216"/>
      <c r="AG120" s="216"/>
      <c r="AH120" s="216"/>
      <c r="AI120" s="216"/>
      <c r="AJ120" s="216"/>
      <c r="AK120" s="239"/>
      <c r="AL120" s="216"/>
      <c r="AM120" s="216"/>
      <c r="AN120" s="216"/>
      <c r="AO120" s="216"/>
      <c r="AP120" s="216"/>
      <c r="AQ120" s="216"/>
      <c r="AR120" s="216"/>
      <c r="AS120" s="216"/>
      <c r="AT120" s="216"/>
      <c r="AU120" s="216"/>
      <c r="AV120" s="217"/>
      <c r="AW120" s="355"/>
      <c r="AX120" s="217"/>
      <c r="AY120" s="1559"/>
      <c r="AZ120" s="249"/>
      <c r="BA120" s="221"/>
      <c r="BB120" s="300"/>
      <c r="BC120" s="217"/>
      <c r="BD120" s="392"/>
      <c r="BE120" s="1244"/>
      <c r="BF120" s="249"/>
      <c r="BG120" s="252"/>
      <c r="BH120" s="1469"/>
      <c r="BI120" s="216"/>
      <c r="BJ120" s="1469"/>
      <c r="BK120" s="1459"/>
      <c r="BL120" s="260"/>
      <c r="BM120" s="214"/>
      <c r="BN120" s="293"/>
      <c r="BO120" s="217"/>
      <c r="BP120" s="355"/>
      <c r="BQ120" s="217"/>
      <c r="BR120" s="1193"/>
      <c r="BS120" s="249"/>
      <c r="BT120" s="216"/>
      <c r="BU120" s="1195"/>
      <c r="BV120" s="249"/>
      <c r="BW120" s="216"/>
      <c r="BX120" s="1195"/>
      <c r="BY120" s="249"/>
      <c r="BZ120" s="216"/>
      <c r="CA120" s="1195"/>
      <c r="CB120" s="249"/>
      <c r="CC120" s="216"/>
      <c r="CD120" s="1195"/>
      <c r="CE120" s="249"/>
      <c r="CF120" s="216"/>
      <c r="CG120" s="1195"/>
      <c r="CH120" s="249"/>
      <c r="CI120" s="216"/>
      <c r="CJ120" s="1195"/>
      <c r="CK120" s="249"/>
      <c r="CL120" s="216"/>
      <c r="CM120" s="1194"/>
      <c r="CN120" s="1524"/>
      <c r="CO120" s="217"/>
      <c r="CP120" s="1193"/>
      <c r="CQ120" s="293"/>
      <c r="CR120" s="217"/>
      <c r="CS120" s="305"/>
      <c r="CT120" s="249"/>
      <c r="CU120" s="216"/>
      <c r="CV120" s="1193"/>
      <c r="CW120" s="249"/>
      <c r="CX120" s="216"/>
      <c r="CY120" s="305"/>
      <c r="CZ120" s="249"/>
      <c r="DA120" s="216"/>
      <c r="DB120" s="307"/>
      <c r="DC120" s="328"/>
      <c r="DD120" s="322"/>
      <c r="DE120" s="305"/>
      <c r="DF120" s="249"/>
      <c r="DG120" s="216"/>
      <c r="DH120" s="305"/>
      <c r="DI120" s="249"/>
      <c r="DJ120" s="216"/>
      <c r="DK120" s="309"/>
      <c r="DL120" s="293"/>
      <c r="DM120" s="326"/>
      <c r="DN120" s="1256"/>
      <c r="DO120" s="214"/>
      <c r="DP120" s="1257"/>
      <c r="DQ120" s="1258"/>
      <c r="DR120" s="305"/>
      <c r="DS120" s="249"/>
      <c r="DT120" s="216"/>
      <c r="DU120" s="2518"/>
      <c r="DV120"/>
      <c r="DW120"/>
      <c r="DX120" s="305"/>
      <c r="DY120" s="249"/>
      <c r="DZ120" s="221"/>
      <c r="EA120" s="388"/>
      <c r="EB120" s="249"/>
      <c r="EC120" s="216"/>
      <c r="ED120" s="1461"/>
      <c r="EE120" s="249"/>
      <c r="EF120" s="216"/>
      <c r="EG120" s="355"/>
      <c r="EH120" s="1425"/>
      <c r="EI120" s="1470"/>
      <c r="EJ120" s="249"/>
      <c r="EK120" s="221"/>
      <c r="EL120" s="313"/>
      <c r="EM120" s="249"/>
      <c r="EN120" s="221"/>
      <c r="EO120" s="313"/>
      <c r="EP120" s="249"/>
      <c r="EQ120" s="216"/>
      <c r="ER120" s="313"/>
      <c r="ES120" s="249"/>
      <c r="ET120" s="216"/>
      <c r="EU120" s="313"/>
      <c r="EV120" s="249"/>
      <c r="EW120" s="216"/>
      <c r="EX120" s="2505"/>
      <c r="EY120" s="249"/>
      <c r="EZ120" s="221"/>
      <c r="FA120" s="313"/>
      <c r="FB120" s="249"/>
      <c r="FC120" s="221"/>
      <c r="FD120" s="313"/>
      <c r="FE120" s="249"/>
      <c r="FF120" s="221"/>
      <c r="FG120" s="313"/>
      <c r="FH120" s="249"/>
      <c r="FI120" s="216"/>
      <c r="FJ120" s="1435"/>
      <c r="FK120" s="216"/>
      <c r="FL120" s="1268"/>
      <c r="FM120" s="1655"/>
      <c r="FN120" s="1268"/>
      <c r="FO120" s="1655"/>
      <c r="FP120" s="1268"/>
      <c r="FQ120" s="1656"/>
      <c r="FR120" s="249"/>
      <c r="FS120" s="216"/>
      <c r="FT120" s="1657"/>
      <c r="FU120" s="1658"/>
      <c r="FV120" s="242"/>
      <c r="FW120" s="2522"/>
      <c r="FX120" s="2523"/>
      <c r="FY120" s="336"/>
      <c r="FZ120" s="223"/>
      <c r="GA120" s="338"/>
      <c r="GB120" s="204"/>
      <c r="GC120" s="339"/>
      <c r="GD120" s="342"/>
      <c r="GE120" s="199"/>
      <c r="GF120" s="199"/>
      <c r="GG120" s="199"/>
      <c r="GH120" s="199"/>
      <c r="GI120" s="199"/>
      <c r="GJ120" s="199"/>
      <c r="GK120" s="199"/>
      <c r="GL120" s="49"/>
      <c r="GM120" s="28"/>
      <c r="GN120" s="28"/>
      <c r="GO120" s="322"/>
      <c r="GP120" s="1190"/>
      <c r="GQ120" s="1190"/>
      <c r="GR120" s="49"/>
      <c r="GS120" s="2879"/>
      <c r="GT120" s="2880"/>
      <c r="GU120" s="2881"/>
      <c r="GV120" s="49"/>
      <c r="GW120" s="49"/>
      <c r="GX120" s="49"/>
      <c r="GY120" s="49"/>
      <c r="GZ120" s="49"/>
      <c r="HA120" s="49"/>
      <c r="HB120" s="49"/>
      <c r="HC120" s="49"/>
      <c r="HD120" s="49"/>
      <c r="HE120" s="49"/>
      <c r="HF120" s="49"/>
      <c r="HG120" s="49"/>
      <c r="HH120" s="49"/>
      <c r="HI120" s="49"/>
      <c r="HJ120" s="49"/>
      <c r="HK120" s="49"/>
      <c r="HL120" s="49"/>
      <c r="HM120" s="49"/>
      <c r="HN120" s="49"/>
      <c r="HO120" s="49"/>
      <c r="HP120" s="49"/>
      <c r="HQ120" s="49"/>
      <c r="HR120" s="49"/>
      <c r="HS120" s="49"/>
      <c r="HT120" s="49"/>
      <c r="HU120" s="49"/>
      <c r="HV120" s="49"/>
      <c r="HW120" s="49"/>
      <c r="HX120" s="49"/>
      <c r="HY120" s="49"/>
      <c r="HZ120" s="49"/>
      <c r="IA120" s="49"/>
      <c r="IB120" s="49"/>
      <c r="IC120" s="49"/>
      <c r="ID120" s="49"/>
      <c r="IE120" s="49"/>
      <c r="IF120" s="49"/>
      <c r="IG120" s="49"/>
      <c r="IH120" s="49"/>
      <c r="II120" s="49"/>
      <c r="IJ120" s="49"/>
      <c r="IK120" s="49"/>
      <c r="IL120" s="49"/>
      <c r="IM120" s="49"/>
      <c r="IN120" s="49"/>
      <c r="IO120" s="49"/>
      <c r="IP120" s="49"/>
      <c r="IQ120" s="49"/>
      <c r="IR120" s="49"/>
      <c r="IS120" s="49"/>
      <c r="IT120" s="49"/>
      <c r="IU120" s="49"/>
      <c r="IV120" s="49"/>
    </row>
    <row r="121" spans="1:256" s="198" customFormat="1" ht="12" customHeight="1">
      <c r="A121" s="1252"/>
      <c r="B121" s="200"/>
      <c r="C121" s="486"/>
      <c r="D121" s="203"/>
      <c r="E121" s="203"/>
      <c r="F121" s="203"/>
      <c r="G121" s="203"/>
      <c r="H121" s="203"/>
      <c r="I121" s="203"/>
      <c r="J121" s="203"/>
      <c r="K121" s="175"/>
      <c r="L121" s="203"/>
      <c r="M121" s="203"/>
      <c r="N121" s="203"/>
      <c r="O121" s="203"/>
      <c r="P121" s="203"/>
      <c r="Q121" s="1197"/>
      <c r="R121" s="998"/>
      <c r="S121" s="999"/>
      <c r="T121" s="2801"/>
      <c r="U121" s="233"/>
      <c r="V121" s="49"/>
      <c r="W121" s="218"/>
      <c r="X121" s="218"/>
      <c r="Y121" s="216"/>
      <c r="Z121" s="216"/>
      <c r="AA121" s="215"/>
      <c r="AB121" s="216"/>
      <c r="AC121" s="216"/>
      <c r="AD121" s="239"/>
      <c r="AE121" s="216"/>
      <c r="AF121" s="216"/>
      <c r="AG121" s="216"/>
      <c r="AH121" s="216"/>
      <c r="AI121" s="216"/>
      <c r="AJ121" s="216"/>
      <c r="AK121" s="239"/>
      <c r="AL121" s="216"/>
      <c r="AM121" s="216"/>
      <c r="AN121" s="216"/>
      <c r="AO121" s="216"/>
      <c r="AP121" s="216"/>
      <c r="AQ121" s="216"/>
      <c r="AR121" s="216"/>
      <c r="AS121" s="216"/>
      <c r="AT121" s="216"/>
      <c r="AU121" s="216"/>
      <c r="AV121" s="217"/>
      <c r="AW121" s="355"/>
      <c r="AX121" s="217"/>
      <c r="AY121" s="1559"/>
      <c r="AZ121" s="249"/>
      <c r="BA121" s="221"/>
      <c r="BB121" s="300"/>
      <c r="BC121" s="217"/>
      <c r="BD121" s="392"/>
      <c r="BE121" s="1244"/>
      <c r="BF121" s="249"/>
      <c r="BG121" s="252"/>
      <c r="BH121" s="1469"/>
      <c r="BI121" s="216"/>
      <c r="BJ121" s="1469"/>
      <c r="BK121" s="1459"/>
      <c r="BL121" s="260"/>
      <c r="BM121" s="214"/>
      <c r="BN121" s="293"/>
      <c r="BO121" s="217"/>
      <c r="BP121" s="355"/>
      <c r="BQ121" s="217"/>
      <c r="BR121" s="1193"/>
      <c r="BS121" s="249"/>
      <c r="BT121" s="216"/>
      <c r="BU121" s="1195"/>
      <c r="BV121" s="249"/>
      <c r="BW121" s="216"/>
      <c r="BX121" s="1195"/>
      <c r="BY121" s="249"/>
      <c r="BZ121" s="216"/>
      <c r="CA121" s="1195"/>
      <c r="CB121" s="249"/>
      <c r="CC121" s="216"/>
      <c r="CD121" s="1195"/>
      <c r="CE121" s="249"/>
      <c r="CF121" s="216"/>
      <c r="CG121" s="1195"/>
      <c r="CH121" s="249"/>
      <c r="CI121" s="216"/>
      <c r="CJ121" s="1195"/>
      <c r="CK121" s="249"/>
      <c r="CL121" s="216"/>
      <c r="CM121" s="1194"/>
      <c r="CN121" s="1524"/>
      <c r="CO121" s="217"/>
      <c r="CP121" s="1193"/>
      <c r="CQ121" s="293"/>
      <c r="CR121" s="217"/>
      <c r="CS121" s="305"/>
      <c r="CT121" s="249"/>
      <c r="CU121" s="216"/>
      <c r="CV121" s="1193"/>
      <c r="CW121" s="249"/>
      <c r="CX121" s="216"/>
      <c r="CY121" s="305"/>
      <c r="CZ121" s="249"/>
      <c r="DA121" s="216"/>
      <c r="DB121" s="307"/>
      <c r="DC121" s="328"/>
      <c r="DD121" s="322"/>
      <c r="DE121" s="305"/>
      <c r="DF121" s="249"/>
      <c r="DG121" s="216"/>
      <c r="DH121" s="305"/>
      <c r="DI121" s="249"/>
      <c r="DJ121" s="216"/>
      <c r="DK121" s="309"/>
      <c r="DL121" s="293"/>
      <c r="DM121" s="326"/>
      <c r="DN121" s="1256"/>
      <c r="DO121" s="214"/>
      <c r="DP121" s="1257"/>
      <c r="DQ121" s="1258"/>
      <c r="DR121" s="305"/>
      <c r="DS121" s="249"/>
      <c r="DT121" s="216"/>
      <c r="DU121" s="2518"/>
      <c r="DV121"/>
      <c r="DW121"/>
      <c r="DX121" s="305"/>
      <c r="DY121" s="249"/>
      <c r="DZ121" s="221"/>
      <c r="EA121" s="388"/>
      <c r="EB121" s="249"/>
      <c r="EC121" s="216"/>
      <c r="ED121" s="1461"/>
      <c r="EE121" s="249"/>
      <c r="EF121" s="216"/>
      <c r="EG121" s="355"/>
      <c r="EH121" s="1425"/>
      <c r="EI121" s="1470"/>
      <c r="EJ121" s="249"/>
      <c r="EK121" s="221"/>
      <c r="EL121" s="313"/>
      <c r="EM121" s="249"/>
      <c r="EN121" s="221"/>
      <c r="EO121" s="313"/>
      <c r="EP121" s="249"/>
      <c r="EQ121" s="216"/>
      <c r="ER121" s="313"/>
      <c r="ES121" s="249"/>
      <c r="ET121" s="216"/>
      <c r="EU121" s="313"/>
      <c r="EV121" s="249"/>
      <c r="EW121" s="216"/>
      <c r="EX121" s="2505"/>
      <c r="EY121" s="249"/>
      <c r="EZ121" s="221"/>
      <c r="FA121" s="313"/>
      <c r="FB121" s="249"/>
      <c r="FC121" s="221"/>
      <c r="FD121" s="313"/>
      <c r="FE121" s="249"/>
      <c r="FF121" s="221"/>
      <c r="FG121" s="313"/>
      <c r="FH121" s="249"/>
      <c r="FI121" s="216"/>
      <c r="FJ121" s="1435"/>
      <c r="FK121" s="216"/>
      <c r="FL121" s="1268"/>
      <c r="FM121" s="1655"/>
      <c r="FN121" s="1268"/>
      <c r="FO121" s="1655"/>
      <c r="FP121" s="1268"/>
      <c r="FQ121" s="1656"/>
      <c r="FR121" s="249"/>
      <c r="FS121" s="216"/>
      <c r="FT121" s="1657"/>
      <c r="FU121" s="1658"/>
      <c r="FV121" s="242"/>
      <c r="FW121" s="2522"/>
      <c r="FX121" s="2523"/>
      <c r="FY121" s="336"/>
      <c r="FZ121" s="223"/>
      <c r="GA121" s="338"/>
      <c r="GB121" s="204"/>
      <c r="GC121" s="339"/>
      <c r="GD121" s="342"/>
      <c r="GE121" s="199"/>
      <c r="GF121" s="199"/>
      <c r="GG121" s="199"/>
      <c r="GH121" s="199"/>
      <c r="GI121" s="199"/>
      <c r="GJ121" s="199"/>
      <c r="GK121" s="199"/>
      <c r="GL121" s="49"/>
      <c r="GM121" s="28"/>
      <c r="GN121" s="28"/>
      <c r="GO121" s="322"/>
      <c r="GP121" s="1190"/>
      <c r="GQ121" s="1190"/>
      <c r="GR121" s="49"/>
      <c r="GS121" s="2879"/>
      <c r="GT121" s="2880"/>
      <c r="GU121" s="2881"/>
      <c r="GV121" s="49"/>
      <c r="GW121" s="49"/>
      <c r="GX121" s="49"/>
      <c r="GY121" s="49"/>
      <c r="GZ121" s="49"/>
      <c r="HA121" s="49"/>
      <c r="HB121" s="49"/>
      <c r="HC121" s="49"/>
      <c r="HD121" s="49"/>
      <c r="HE121" s="49"/>
      <c r="HF121" s="49"/>
      <c r="HG121" s="49"/>
      <c r="HH121" s="49"/>
      <c r="HI121" s="49"/>
      <c r="HJ121" s="49"/>
      <c r="HK121" s="49"/>
      <c r="HL121" s="49"/>
      <c r="HM121" s="49"/>
      <c r="HN121" s="49"/>
      <c r="HO121" s="49"/>
      <c r="HP121" s="49"/>
      <c r="HQ121" s="49"/>
      <c r="HR121" s="49"/>
      <c r="HS121" s="49"/>
      <c r="HT121" s="49"/>
      <c r="HU121" s="49"/>
      <c r="HV121" s="49"/>
      <c r="HW121" s="49"/>
      <c r="HX121" s="49"/>
      <c r="HY121" s="49"/>
      <c r="HZ121" s="49"/>
      <c r="IA121" s="49"/>
      <c r="IB121" s="49"/>
      <c r="IC121" s="49"/>
      <c r="ID121" s="49"/>
      <c r="IE121" s="49"/>
      <c r="IF121" s="49"/>
      <c r="IG121" s="49"/>
      <c r="IH121" s="49"/>
      <c r="II121" s="49"/>
      <c r="IJ121" s="49"/>
      <c r="IK121" s="49"/>
      <c r="IL121" s="49"/>
      <c r="IM121" s="49"/>
      <c r="IN121" s="49"/>
      <c r="IO121" s="49"/>
      <c r="IP121" s="49"/>
      <c r="IQ121" s="49"/>
      <c r="IR121" s="49"/>
      <c r="IS121" s="49"/>
      <c r="IT121" s="49"/>
      <c r="IU121" s="49"/>
      <c r="IV121" s="49"/>
    </row>
    <row r="122" spans="1:256" s="198" customFormat="1" ht="12" customHeight="1">
      <c r="A122" s="1252"/>
      <c r="B122" s="200"/>
      <c r="C122" s="486"/>
      <c r="D122" s="203"/>
      <c r="E122" s="203"/>
      <c r="F122" s="203"/>
      <c r="G122" s="203"/>
      <c r="H122" s="203"/>
      <c r="I122" s="203"/>
      <c r="J122" s="203"/>
      <c r="K122" s="175"/>
      <c r="L122" s="203"/>
      <c r="M122" s="203"/>
      <c r="N122" s="203"/>
      <c r="O122" s="203"/>
      <c r="P122" s="203"/>
      <c r="Q122" s="1197"/>
      <c r="R122" s="998"/>
      <c r="S122" s="999"/>
      <c r="T122" s="2801"/>
      <c r="U122" s="233"/>
      <c r="V122" s="49"/>
      <c r="W122" s="218"/>
      <c r="X122" s="218"/>
      <c r="Y122" s="216"/>
      <c r="Z122" s="216"/>
      <c r="AA122" s="215"/>
      <c r="AB122" s="216"/>
      <c r="AC122" s="216"/>
      <c r="AD122" s="239"/>
      <c r="AE122" s="216"/>
      <c r="AF122" s="216"/>
      <c r="AG122" s="216"/>
      <c r="AH122" s="216"/>
      <c r="AI122" s="216"/>
      <c r="AJ122" s="216"/>
      <c r="AK122" s="239"/>
      <c r="AL122" s="216"/>
      <c r="AM122" s="216"/>
      <c r="AN122" s="216"/>
      <c r="AO122" s="216"/>
      <c r="AP122" s="216"/>
      <c r="AQ122" s="216"/>
      <c r="AR122" s="216"/>
      <c r="AS122" s="216"/>
      <c r="AT122" s="216"/>
      <c r="AU122" s="216"/>
      <c r="AV122" s="217"/>
      <c r="AW122" s="355"/>
      <c r="AX122" s="217"/>
      <c r="AY122" s="1559"/>
      <c r="AZ122" s="249"/>
      <c r="BA122" s="221"/>
      <c r="BB122" s="300"/>
      <c r="BC122" s="217"/>
      <c r="BD122" s="392"/>
      <c r="BE122" s="1244"/>
      <c r="BF122" s="249"/>
      <c r="BG122" s="252"/>
      <c r="BH122" s="1469"/>
      <c r="BI122" s="216"/>
      <c r="BJ122" s="1469"/>
      <c r="BK122" s="1459"/>
      <c r="BL122" s="260"/>
      <c r="BM122" s="214"/>
      <c r="BN122" s="293"/>
      <c r="BO122" s="217"/>
      <c r="BP122" s="355"/>
      <c r="BQ122" s="217"/>
      <c r="BR122" s="1193"/>
      <c r="BS122" s="249"/>
      <c r="BT122" s="216"/>
      <c r="BU122" s="1195"/>
      <c r="BV122" s="249"/>
      <c r="BW122" s="216"/>
      <c r="BX122" s="1195"/>
      <c r="BY122" s="249"/>
      <c r="BZ122" s="216"/>
      <c r="CA122" s="1195"/>
      <c r="CB122" s="249"/>
      <c r="CC122" s="216"/>
      <c r="CD122" s="1195"/>
      <c r="CE122" s="249"/>
      <c r="CF122" s="216"/>
      <c r="CG122" s="1195"/>
      <c r="CH122" s="249"/>
      <c r="CI122" s="216"/>
      <c r="CJ122" s="1195"/>
      <c r="CK122" s="249"/>
      <c r="CL122" s="216"/>
      <c r="CM122" s="1194"/>
      <c r="CN122" s="1524"/>
      <c r="CO122" s="217"/>
      <c r="CP122" s="1193"/>
      <c r="CQ122" s="293"/>
      <c r="CR122" s="217"/>
      <c r="CS122" s="305"/>
      <c r="CT122" s="249"/>
      <c r="CU122" s="216"/>
      <c r="CV122" s="1193"/>
      <c r="CW122" s="249"/>
      <c r="CX122" s="216"/>
      <c r="CY122" s="305"/>
      <c r="CZ122" s="249"/>
      <c r="DA122" s="216"/>
      <c r="DB122" s="307"/>
      <c r="DC122" s="328"/>
      <c r="DD122" s="322"/>
      <c r="DE122" s="305"/>
      <c r="DF122" s="249"/>
      <c r="DG122" s="216"/>
      <c r="DH122" s="305"/>
      <c r="DI122" s="249"/>
      <c r="DJ122" s="216"/>
      <c r="DK122" s="309"/>
      <c r="DL122" s="293"/>
      <c r="DM122" s="326"/>
      <c r="DN122" s="1256"/>
      <c r="DO122" s="214"/>
      <c r="DP122" s="1257"/>
      <c r="DQ122" s="1258"/>
      <c r="DR122" s="305"/>
      <c r="DS122" s="249"/>
      <c r="DT122" s="216"/>
      <c r="DU122" s="2518"/>
      <c r="DV122"/>
      <c r="DW122"/>
      <c r="DX122" s="305"/>
      <c r="DY122" s="249"/>
      <c r="DZ122" s="221"/>
      <c r="EA122" s="388"/>
      <c r="EB122" s="249"/>
      <c r="EC122" s="216"/>
      <c r="ED122" s="1461"/>
      <c r="EE122" s="249"/>
      <c r="EF122" s="216"/>
      <c r="EG122" s="355"/>
      <c r="EH122" s="1425"/>
      <c r="EI122" s="1470"/>
      <c r="EJ122" s="249"/>
      <c r="EK122" s="221"/>
      <c r="EL122" s="313"/>
      <c r="EM122" s="249"/>
      <c r="EN122" s="221"/>
      <c r="EO122" s="313"/>
      <c r="EP122" s="249"/>
      <c r="EQ122" s="216"/>
      <c r="ER122" s="313"/>
      <c r="ES122" s="249"/>
      <c r="ET122" s="216"/>
      <c r="EU122" s="313"/>
      <c r="EV122" s="249"/>
      <c r="EW122" s="216"/>
      <c r="EX122" s="2505"/>
      <c r="EY122" s="249"/>
      <c r="EZ122" s="221"/>
      <c r="FA122" s="313"/>
      <c r="FB122" s="249"/>
      <c r="FC122" s="221"/>
      <c r="FD122" s="313"/>
      <c r="FE122" s="249"/>
      <c r="FF122" s="221"/>
      <c r="FG122" s="313"/>
      <c r="FH122" s="249"/>
      <c r="FI122" s="216"/>
      <c r="FJ122" s="1435"/>
      <c r="FK122" s="216"/>
      <c r="FL122" s="1268"/>
      <c r="FM122" s="1655"/>
      <c r="FN122" s="1268"/>
      <c r="FO122" s="1655"/>
      <c r="FP122" s="1268"/>
      <c r="FQ122" s="1656"/>
      <c r="FR122" s="249"/>
      <c r="FS122" s="216"/>
      <c r="FT122" s="1657"/>
      <c r="FU122" s="1658"/>
      <c r="FV122" s="242"/>
      <c r="FW122" s="2522"/>
      <c r="FX122" s="2523"/>
      <c r="FY122" s="336"/>
      <c r="FZ122" s="223"/>
      <c r="GA122" s="338"/>
      <c r="GB122" s="204"/>
      <c r="GC122" s="339"/>
      <c r="GD122" s="342"/>
      <c r="GE122" s="199"/>
      <c r="GF122" s="199"/>
      <c r="GG122" s="199"/>
      <c r="GH122" s="199"/>
      <c r="GI122" s="199"/>
      <c r="GJ122" s="199"/>
      <c r="GK122" s="199"/>
      <c r="GL122" s="49"/>
      <c r="GM122" s="28"/>
      <c r="GN122" s="28"/>
      <c r="GO122" s="322"/>
      <c r="GP122" s="1190"/>
      <c r="GQ122" s="1190"/>
      <c r="GR122" s="49"/>
      <c r="GS122" s="2879"/>
      <c r="GT122" s="2880"/>
      <c r="GU122" s="2881"/>
      <c r="GV122" s="49"/>
      <c r="GW122" s="49"/>
      <c r="GX122" s="49"/>
      <c r="GY122" s="49"/>
      <c r="GZ122" s="49"/>
      <c r="HA122" s="49"/>
      <c r="HB122" s="49"/>
      <c r="HC122" s="49"/>
      <c r="HD122" s="49"/>
      <c r="HE122" s="49"/>
      <c r="HF122" s="49"/>
      <c r="HG122" s="49"/>
      <c r="HH122" s="49"/>
      <c r="HI122" s="49"/>
      <c r="HJ122" s="49"/>
      <c r="HK122" s="49"/>
      <c r="HL122" s="49"/>
      <c r="HM122" s="49"/>
      <c r="HN122" s="49"/>
      <c r="HO122" s="49"/>
      <c r="HP122" s="49"/>
      <c r="HQ122" s="49"/>
      <c r="HR122" s="49"/>
      <c r="HS122" s="49"/>
      <c r="HT122" s="49"/>
      <c r="HU122" s="49"/>
      <c r="HV122" s="49"/>
      <c r="HW122" s="49"/>
      <c r="HX122" s="49"/>
      <c r="HY122" s="49"/>
      <c r="HZ122" s="49"/>
      <c r="IA122" s="49"/>
      <c r="IB122" s="49"/>
      <c r="IC122" s="49"/>
      <c r="ID122" s="49"/>
      <c r="IE122" s="49"/>
      <c r="IF122" s="49"/>
      <c r="IG122" s="49"/>
      <c r="IH122" s="49"/>
      <c r="II122" s="49"/>
      <c r="IJ122" s="49"/>
      <c r="IK122" s="49"/>
      <c r="IL122" s="49"/>
      <c r="IM122" s="49"/>
      <c r="IN122" s="49"/>
      <c r="IO122" s="49"/>
      <c r="IP122" s="49"/>
      <c r="IQ122" s="49"/>
      <c r="IR122" s="49"/>
      <c r="IS122" s="49"/>
      <c r="IT122" s="49"/>
      <c r="IU122" s="49"/>
      <c r="IV122" s="49"/>
    </row>
    <row r="123" spans="1:256" s="198" customFormat="1" ht="12" customHeight="1">
      <c r="A123" s="1252"/>
      <c r="B123" s="200"/>
      <c r="C123" s="486"/>
      <c r="D123" s="203"/>
      <c r="E123" s="203"/>
      <c r="F123" s="203"/>
      <c r="G123" s="203"/>
      <c r="H123" s="203"/>
      <c r="I123" s="203"/>
      <c r="J123" s="203"/>
      <c r="K123" s="175"/>
      <c r="L123" s="203"/>
      <c r="M123" s="203"/>
      <c r="N123" s="203"/>
      <c r="O123" s="203"/>
      <c r="P123" s="203"/>
      <c r="Q123" s="1197"/>
      <c r="R123" s="998"/>
      <c r="S123" s="999"/>
      <c r="T123" s="2801"/>
      <c r="U123" s="233"/>
      <c r="V123" s="49"/>
      <c r="W123" s="218"/>
      <c r="X123" s="218"/>
      <c r="Y123" s="216"/>
      <c r="Z123" s="216"/>
      <c r="AA123" s="215"/>
      <c r="AB123" s="216"/>
      <c r="AC123" s="216"/>
      <c r="AD123" s="239"/>
      <c r="AE123" s="216"/>
      <c r="AF123" s="216"/>
      <c r="AG123" s="216"/>
      <c r="AH123" s="216"/>
      <c r="AI123" s="216"/>
      <c r="AJ123" s="216"/>
      <c r="AK123" s="239"/>
      <c r="AL123" s="216"/>
      <c r="AM123" s="216"/>
      <c r="AN123" s="216"/>
      <c r="AO123" s="216"/>
      <c r="AP123" s="216"/>
      <c r="AQ123" s="216"/>
      <c r="AR123" s="216"/>
      <c r="AS123" s="216"/>
      <c r="AT123" s="216"/>
      <c r="AU123" s="216"/>
      <c r="AV123" s="217"/>
      <c r="AW123" s="355"/>
      <c r="AX123" s="217"/>
      <c r="AY123" s="1559"/>
      <c r="AZ123" s="249"/>
      <c r="BA123" s="221"/>
      <c r="BB123" s="300"/>
      <c r="BC123" s="217"/>
      <c r="BD123" s="392"/>
      <c r="BE123" s="1244"/>
      <c r="BF123" s="249"/>
      <c r="BG123" s="252"/>
      <c r="BH123" s="1469"/>
      <c r="BI123" s="216"/>
      <c r="BJ123" s="1469"/>
      <c r="BK123" s="1459"/>
      <c r="BL123" s="260"/>
      <c r="BM123" s="214"/>
      <c r="BN123" s="293"/>
      <c r="BO123" s="217"/>
      <c r="BP123" s="355"/>
      <c r="BQ123" s="217"/>
      <c r="BR123" s="1193"/>
      <c r="BS123" s="249"/>
      <c r="BT123" s="216"/>
      <c r="BU123" s="1195"/>
      <c r="BV123" s="249"/>
      <c r="BW123" s="216"/>
      <c r="BX123" s="1195"/>
      <c r="BY123" s="249"/>
      <c r="BZ123" s="216"/>
      <c r="CA123" s="1195"/>
      <c r="CB123" s="249"/>
      <c r="CC123" s="216"/>
      <c r="CD123" s="1195"/>
      <c r="CE123" s="249"/>
      <c r="CF123" s="216"/>
      <c r="CG123" s="1195"/>
      <c r="CH123" s="249"/>
      <c r="CI123" s="216"/>
      <c r="CJ123" s="1195"/>
      <c r="CK123" s="249"/>
      <c r="CL123" s="216"/>
      <c r="CM123" s="1194"/>
      <c r="CN123" s="1524"/>
      <c r="CO123" s="217"/>
      <c r="CP123" s="1193"/>
      <c r="CQ123" s="293"/>
      <c r="CR123" s="217"/>
      <c r="CS123" s="305"/>
      <c r="CT123" s="249"/>
      <c r="CU123" s="216"/>
      <c r="CV123" s="1193"/>
      <c r="CW123" s="249"/>
      <c r="CX123" s="216"/>
      <c r="CY123" s="305"/>
      <c r="CZ123" s="249"/>
      <c r="DA123" s="216"/>
      <c r="DB123" s="307"/>
      <c r="DC123" s="328"/>
      <c r="DD123" s="322"/>
      <c r="DE123" s="305"/>
      <c r="DF123" s="249"/>
      <c r="DG123" s="216"/>
      <c r="DH123" s="305"/>
      <c r="DI123" s="249"/>
      <c r="DJ123" s="216"/>
      <c r="DK123" s="309"/>
      <c r="DL123" s="293"/>
      <c r="DM123" s="326"/>
      <c r="DN123" s="1256"/>
      <c r="DO123" s="214"/>
      <c r="DP123" s="1257"/>
      <c r="DQ123" s="1258"/>
      <c r="DR123" s="305"/>
      <c r="DS123" s="249"/>
      <c r="DT123" s="216"/>
      <c r="DU123" s="2518"/>
      <c r="DV123"/>
      <c r="DW123"/>
      <c r="DX123" s="305"/>
      <c r="DY123" s="249"/>
      <c r="DZ123" s="221"/>
      <c r="EA123" s="388"/>
      <c r="EB123" s="249"/>
      <c r="EC123" s="216"/>
      <c r="ED123" s="1461"/>
      <c r="EE123" s="249"/>
      <c r="EF123" s="216"/>
      <c r="EG123" s="355"/>
      <c r="EH123" s="1425"/>
      <c r="EI123" s="1470"/>
      <c r="EJ123" s="249"/>
      <c r="EK123" s="221"/>
      <c r="EL123" s="313"/>
      <c r="EM123" s="249"/>
      <c r="EN123" s="221"/>
      <c r="EO123" s="313"/>
      <c r="EP123" s="249"/>
      <c r="EQ123" s="216"/>
      <c r="ER123" s="313"/>
      <c r="ES123" s="249"/>
      <c r="ET123" s="216"/>
      <c r="EU123" s="313"/>
      <c r="EV123" s="249"/>
      <c r="EW123" s="216"/>
      <c r="EX123" s="2505"/>
      <c r="EY123" s="249"/>
      <c r="EZ123" s="221"/>
      <c r="FA123" s="313"/>
      <c r="FB123" s="249"/>
      <c r="FC123" s="221"/>
      <c r="FD123" s="313"/>
      <c r="FE123" s="249"/>
      <c r="FF123" s="221"/>
      <c r="FG123" s="313"/>
      <c r="FH123" s="249"/>
      <c r="FI123" s="216"/>
      <c r="FJ123" s="1435"/>
      <c r="FK123" s="216"/>
      <c r="FL123" s="1268"/>
      <c r="FM123" s="1655"/>
      <c r="FN123" s="1268"/>
      <c r="FO123" s="1655"/>
      <c r="FP123" s="1268"/>
      <c r="FQ123" s="1656"/>
      <c r="FR123" s="249"/>
      <c r="FS123" s="216"/>
      <c r="FT123" s="1657"/>
      <c r="FU123" s="1658"/>
      <c r="FV123" s="242"/>
      <c r="FW123" s="2522"/>
      <c r="FX123" s="2523"/>
      <c r="FY123" s="336"/>
      <c r="FZ123" s="223"/>
      <c r="GA123" s="338"/>
      <c r="GB123" s="204"/>
      <c r="GC123" s="339"/>
      <c r="GD123" s="342"/>
      <c r="GE123" s="199"/>
      <c r="GF123" s="199"/>
      <c r="GG123" s="199"/>
      <c r="GH123" s="199"/>
      <c r="GI123" s="199"/>
      <c r="GJ123" s="199"/>
      <c r="GK123" s="199"/>
      <c r="GL123" s="49"/>
      <c r="GM123" s="28"/>
      <c r="GN123" s="28"/>
      <c r="GO123" s="322"/>
      <c r="GP123" s="1190"/>
      <c r="GQ123" s="1190"/>
      <c r="GR123" s="49"/>
      <c r="GS123" s="2879"/>
      <c r="GT123" s="2880"/>
      <c r="GU123" s="2881"/>
      <c r="GV123" s="49"/>
      <c r="GW123" s="49"/>
      <c r="GX123" s="49"/>
      <c r="GY123" s="49"/>
      <c r="GZ123" s="49"/>
      <c r="HA123" s="49"/>
      <c r="HB123" s="49"/>
      <c r="HC123" s="49"/>
      <c r="HD123" s="49"/>
      <c r="HE123" s="49"/>
      <c r="HF123" s="49"/>
      <c r="HG123" s="49"/>
      <c r="HH123" s="49"/>
      <c r="HI123" s="49"/>
      <c r="HJ123" s="49"/>
      <c r="HK123" s="49"/>
      <c r="HL123" s="49"/>
      <c r="HM123" s="49"/>
      <c r="HN123" s="49"/>
      <c r="HO123" s="49"/>
      <c r="HP123" s="49"/>
      <c r="HQ123" s="49"/>
      <c r="HR123" s="49"/>
      <c r="HS123" s="49"/>
      <c r="HT123" s="49"/>
      <c r="HU123" s="49"/>
      <c r="HV123" s="49"/>
      <c r="HW123" s="49"/>
      <c r="HX123" s="49"/>
      <c r="HY123" s="49"/>
      <c r="HZ123" s="49"/>
      <c r="IA123" s="49"/>
      <c r="IB123" s="49"/>
      <c r="IC123" s="49"/>
      <c r="ID123" s="49"/>
      <c r="IE123" s="49"/>
      <c r="IF123" s="49"/>
      <c r="IG123" s="49"/>
      <c r="IH123" s="49"/>
      <c r="II123" s="49"/>
      <c r="IJ123" s="49"/>
      <c r="IK123" s="49"/>
      <c r="IL123" s="49"/>
      <c r="IM123" s="49"/>
      <c r="IN123" s="49"/>
      <c r="IO123" s="49"/>
      <c r="IP123" s="49"/>
      <c r="IQ123" s="49"/>
      <c r="IR123" s="49"/>
      <c r="IS123" s="49"/>
      <c r="IT123" s="49"/>
      <c r="IU123" s="49"/>
      <c r="IV123" s="49"/>
    </row>
    <row r="124" spans="1:256" s="198" customFormat="1" ht="12" customHeight="1">
      <c r="A124" s="1252"/>
      <c r="B124" s="200"/>
      <c r="C124" s="486"/>
      <c r="D124" s="203"/>
      <c r="E124" s="203"/>
      <c r="F124" s="203"/>
      <c r="G124" s="203"/>
      <c r="H124" s="203"/>
      <c r="I124" s="203"/>
      <c r="J124" s="203"/>
      <c r="K124" s="175"/>
      <c r="L124" s="203"/>
      <c r="M124" s="203"/>
      <c r="N124" s="203"/>
      <c r="O124" s="203"/>
      <c r="P124" s="203"/>
      <c r="Q124" s="1197"/>
      <c r="R124" s="998"/>
      <c r="S124" s="999"/>
      <c r="T124" s="2801"/>
      <c r="U124" s="233"/>
      <c r="V124" s="49"/>
      <c r="W124" s="218"/>
      <c r="X124" s="218"/>
      <c r="Y124" s="216"/>
      <c r="Z124" s="216"/>
      <c r="AA124" s="215"/>
      <c r="AB124" s="216"/>
      <c r="AC124" s="216"/>
      <c r="AD124" s="239"/>
      <c r="AE124" s="216"/>
      <c r="AF124" s="216"/>
      <c r="AG124" s="216"/>
      <c r="AH124" s="216"/>
      <c r="AI124" s="216"/>
      <c r="AJ124" s="216"/>
      <c r="AK124" s="239"/>
      <c r="AL124" s="216"/>
      <c r="AM124" s="216"/>
      <c r="AN124" s="216"/>
      <c r="AO124" s="216"/>
      <c r="AP124" s="216"/>
      <c r="AQ124" s="216"/>
      <c r="AR124" s="216"/>
      <c r="AS124" s="216"/>
      <c r="AT124" s="216"/>
      <c r="AU124" s="216"/>
      <c r="AV124" s="217"/>
      <c r="AW124" s="355"/>
      <c r="AX124" s="217"/>
      <c r="AY124" s="1559"/>
      <c r="AZ124" s="249"/>
      <c r="BA124" s="221"/>
      <c r="BB124" s="300"/>
      <c r="BC124" s="217"/>
      <c r="BD124" s="392"/>
      <c r="BE124" s="1244"/>
      <c r="BF124" s="249"/>
      <c r="BG124" s="252"/>
      <c r="BH124" s="1469"/>
      <c r="BI124" s="216"/>
      <c r="BJ124" s="1469"/>
      <c r="BK124" s="1459"/>
      <c r="BL124" s="260"/>
      <c r="BM124" s="214"/>
      <c r="BN124" s="293"/>
      <c r="BO124" s="217"/>
      <c r="BP124" s="355"/>
      <c r="BQ124" s="217"/>
      <c r="BR124" s="1193"/>
      <c r="BS124" s="249"/>
      <c r="BT124" s="216"/>
      <c r="BU124" s="1195"/>
      <c r="BV124" s="249"/>
      <c r="BW124" s="216"/>
      <c r="BX124" s="1195"/>
      <c r="BY124" s="249"/>
      <c r="BZ124" s="216"/>
      <c r="CA124" s="1195"/>
      <c r="CB124" s="249"/>
      <c r="CC124" s="216"/>
      <c r="CD124" s="1195"/>
      <c r="CE124" s="249"/>
      <c r="CF124" s="216"/>
      <c r="CG124" s="1195"/>
      <c r="CH124" s="249"/>
      <c r="CI124" s="216"/>
      <c r="CJ124" s="1195"/>
      <c r="CK124" s="249"/>
      <c r="CL124" s="216"/>
      <c r="CM124" s="1194"/>
      <c r="CN124" s="1524"/>
      <c r="CO124" s="217"/>
      <c r="CP124" s="1193"/>
      <c r="CQ124" s="293"/>
      <c r="CR124" s="217"/>
      <c r="CS124" s="305"/>
      <c r="CT124" s="249"/>
      <c r="CU124" s="216"/>
      <c r="CV124" s="1193"/>
      <c r="CW124" s="249"/>
      <c r="CX124" s="216"/>
      <c r="CY124" s="305"/>
      <c r="CZ124" s="249"/>
      <c r="DA124" s="216"/>
      <c r="DB124" s="307"/>
      <c r="DC124" s="328"/>
      <c r="DD124" s="322"/>
      <c r="DE124" s="305"/>
      <c r="DF124" s="249"/>
      <c r="DG124" s="216"/>
      <c r="DH124" s="305"/>
      <c r="DI124" s="249"/>
      <c r="DJ124" s="216"/>
      <c r="DK124" s="309"/>
      <c r="DL124" s="293"/>
      <c r="DM124" s="326"/>
      <c r="DN124" s="1256"/>
      <c r="DO124" s="214"/>
      <c r="DP124" s="1257"/>
      <c r="DQ124" s="1258"/>
      <c r="DR124" s="305"/>
      <c r="DS124" s="249"/>
      <c r="DT124" s="216"/>
      <c r="DU124" s="2518"/>
      <c r="DV124"/>
      <c r="DW124"/>
      <c r="DX124" s="305"/>
      <c r="DY124" s="249"/>
      <c r="DZ124" s="221"/>
      <c r="EA124" s="388"/>
      <c r="EB124" s="249"/>
      <c r="EC124" s="216"/>
      <c r="ED124" s="1461"/>
      <c r="EE124" s="249"/>
      <c r="EF124" s="216"/>
      <c r="EG124" s="355"/>
      <c r="EH124" s="1425"/>
      <c r="EI124" s="1470"/>
      <c r="EJ124" s="249"/>
      <c r="EK124" s="221"/>
      <c r="EL124" s="313"/>
      <c r="EM124" s="249"/>
      <c r="EN124" s="221"/>
      <c r="EO124" s="313"/>
      <c r="EP124" s="249"/>
      <c r="EQ124" s="216"/>
      <c r="ER124" s="313"/>
      <c r="ES124" s="249"/>
      <c r="ET124" s="216"/>
      <c r="EU124" s="313"/>
      <c r="EV124" s="249"/>
      <c r="EW124" s="216"/>
      <c r="EX124" s="2505"/>
      <c r="EY124" s="249"/>
      <c r="EZ124" s="221"/>
      <c r="FA124" s="313"/>
      <c r="FB124" s="249"/>
      <c r="FC124" s="221"/>
      <c r="FD124" s="313"/>
      <c r="FE124" s="249"/>
      <c r="FF124" s="221"/>
      <c r="FG124" s="313"/>
      <c r="FH124" s="249"/>
      <c r="FI124" s="216"/>
      <c r="FJ124" s="1435"/>
      <c r="FK124" s="216"/>
      <c r="FL124" s="1268"/>
      <c r="FM124" s="1655"/>
      <c r="FN124" s="1268"/>
      <c r="FO124" s="1655"/>
      <c r="FP124" s="1268"/>
      <c r="FQ124" s="1656"/>
      <c r="FR124" s="249"/>
      <c r="FS124" s="216"/>
      <c r="FT124" s="1657"/>
      <c r="FU124" s="1658"/>
      <c r="FV124" s="242"/>
      <c r="FW124" s="2522"/>
      <c r="FX124" s="2523"/>
      <c r="FY124" s="336"/>
      <c r="FZ124" s="223"/>
      <c r="GA124" s="338"/>
      <c r="GB124" s="204"/>
      <c r="GC124" s="339"/>
      <c r="GD124" s="342"/>
      <c r="GE124" s="199"/>
      <c r="GF124" s="199"/>
      <c r="GG124" s="199"/>
      <c r="GH124" s="199"/>
      <c r="GI124" s="199"/>
      <c r="GJ124" s="199"/>
      <c r="GK124" s="199"/>
      <c r="GL124" s="49"/>
      <c r="GM124" s="28"/>
      <c r="GN124" s="28"/>
      <c r="GO124" s="322"/>
      <c r="GP124" s="1190"/>
      <c r="GQ124" s="1190"/>
      <c r="GR124" s="49"/>
      <c r="GS124" s="2879"/>
      <c r="GT124" s="2880"/>
      <c r="GU124" s="2881"/>
      <c r="GV124" s="49"/>
      <c r="GW124" s="49"/>
      <c r="GX124" s="49"/>
      <c r="GY124" s="49"/>
      <c r="GZ124" s="49"/>
      <c r="HA124" s="49"/>
      <c r="HB124" s="49"/>
      <c r="HC124" s="49"/>
      <c r="HD124" s="49"/>
      <c r="HE124" s="49"/>
      <c r="HF124" s="49"/>
      <c r="HG124" s="49"/>
      <c r="HH124" s="49"/>
      <c r="HI124" s="49"/>
      <c r="HJ124" s="49"/>
      <c r="HK124" s="49"/>
      <c r="HL124" s="49"/>
      <c r="HM124" s="49"/>
      <c r="HN124" s="49"/>
      <c r="HO124" s="49"/>
      <c r="HP124" s="49"/>
      <c r="HQ124" s="49"/>
      <c r="HR124" s="49"/>
      <c r="HS124" s="49"/>
      <c r="HT124" s="49"/>
      <c r="HU124" s="49"/>
      <c r="HV124" s="49"/>
      <c r="HW124" s="49"/>
      <c r="HX124" s="49"/>
      <c r="HY124" s="49"/>
      <c r="HZ124" s="49"/>
      <c r="IA124" s="49"/>
      <c r="IB124" s="49"/>
      <c r="IC124" s="49"/>
      <c r="ID124" s="49"/>
      <c r="IE124" s="49"/>
      <c r="IF124" s="49"/>
      <c r="IG124" s="49"/>
      <c r="IH124" s="49"/>
      <c r="II124" s="49"/>
      <c r="IJ124" s="49"/>
      <c r="IK124" s="49"/>
      <c r="IL124" s="49"/>
      <c r="IM124" s="49"/>
      <c r="IN124" s="49"/>
      <c r="IO124" s="49"/>
      <c r="IP124" s="49"/>
      <c r="IQ124" s="49"/>
      <c r="IR124" s="49"/>
      <c r="IS124" s="49"/>
      <c r="IT124" s="49"/>
      <c r="IU124" s="49"/>
      <c r="IV124" s="49"/>
    </row>
    <row r="125" spans="1:256" s="198" customFormat="1" ht="12" customHeight="1">
      <c r="A125" s="1252"/>
      <c r="B125" s="200"/>
      <c r="C125" s="486"/>
      <c r="D125" s="203"/>
      <c r="E125" s="203"/>
      <c r="F125" s="203"/>
      <c r="G125" s="203"/>
      <c r="H125" s="203"/>
      <c r="I125" s="203"/>
      <c r="J125" s="203"/>
      <c r="K125" s="175"/>
      <c r="L125" s="203"/>
      <c r="M125" s="203"/>
      <c r="N125" s="203"/>
      <c r="O125" s="203"/>
      <c r="P125" s="203"/>
      <c r="Q125" s="1197"/>
      <c r="R125" s="998"/>
      <c r="S125" s="999"/>
      <c r="T125" s="2801"/>
      <c r="U125" s="233"/>
      <c r="V125" s="49"/>
      <c r="W125" s="218"/>
      <c r="X125" s="218"/>
      <c r="Y125" s="216"/>
      <c r="Z125" s="216"/>
      <c r="AA125" s="215"/>
      <c r="AB125" s="216"/>
      <c r="AC125" s="216"/>
      <c r="AD125" s="239"/>
      <c r="AE125" s="216"/>
      <c r="AF125" s="216"/>
      <c r="AG125" s="216"/>
      <c r="AH125" s="216"/>
      <c r="AI125" s="216"/>
      <c r="AJ125" s="216"/>
      <c r="AK125" s="239"/>
      <c r="AL125" s="216"/>
      <c r="AM125" s="216"/>
      <c r="AN125" s="216"/>
      <c r="AO125" s="216"/>
      <c r="AP125" s="216"/>
      <c r="AQ125" s="216"/>
      <c r="AR125" s="216"/>
      <c r="AS125" s="216"/>
      <c r="AT125" s="216"/>
      <c r="AU125" s="216"/>
      <c r="AV125" s="217"/>
      <c r="AW125" s="355"/>
      <c r="AX125" s="217"/>
      <c r="AY125" s="1559"/>
      <c r="AZ125" s="249"/>
      <c r="BA125" s="221"/>
      <c r="BB125" s="300"/>
      <c r="BC125" s="217"/>
      <c r="BD125" s="392"/>
      <c r="BE125" s="1244"/>
      <c r="BF125" s="249"/>
      <c r="BG125" s="252"/>
      <c r="BH125" s="1469"/>
      <c r="BI125" s="216"/>
      <c r="BJ125" s="1469"/>
      <c r="BK125" s="1459"/>
      <c r="BL125" s="260"/>
      <c r="BM125" s="214"/>
      <c r="BN125" s="293"/>
      <c r="BO125" s="217"/>
      <c r="BP125" s="355"/>
      <c r="BQ125" s="217"/>
      <c r="BR125" s="1193"/>
      <c r="BS125" s="249"/>
      <c r="BT125" s="216"/>
      <c r="BU125" s="1195"/>
      <c r="BV125" s="249"/>
      <c r="BW125" s="216"/>
      <c r="BX125" s="1195"/>
      <c r="BY125" s="249"/>
      <c r="BZ125" s="216"/>
      <c r="CA125" s="1195"/>
      <c r="CB125" s="249"/>
      <c r="CC125" s="216"/>
      <c r="CD125" s="1195"/>
      <c r="CE125" s="249"/>
      <c r="CF125" s="216"/>
      <c r="CG125" s="1195"/>
      <c r="CH125" s="249"/>
      <c r="CI125" s="216"/>
      <c r="CJ125" s="1195"/>
      <c r="CK125" s="249"/>
      <c r="CL125" s="216"/>
      <c r="CM125" s="1194"/>
      <c r="CN125" s="1524"/>
      <c r="CO125" s="217"/>
      <c r="CP125" s="1193"/>
      <c r="CQ125" s="293"/>
      <c r="CR125" s="217"/>
      <c r="CS125" s="305"/>
      <c r="CT125" s="249"/>
      <c r="CU125" s="216"/>
      <c r="CV125" s="1193"/>
      <c r="CW125" s="249"/>
      <c r="CX125" s="216"/>
      <c r="CY125" s="305"/>
      <c r="CZ125" s="249"/>
      <c r="DA125" s="216"/>
      <c r="DB125" s="307"/>
      <c r="DC125" s="328"/>
      <c r="DD125" s="322"/>
      <c r="DE125" s="305"/>
      <c r="DF125" s="249"/>
      <c r="DG125" s="216"/>
      <c r="DH125" s="305"/>
      <c r="DI125" s="249"/>
      <c r="DJ125" s="216"/>
      <c r="DK125" s="309"/>
      <c r="DL125" s="293"/>
      <c r="DM125" s="326"/>
      <c r="DN125" s="1256"/>
      <c r="DO125" s="214"/>
      <c r="DP125" s="1257"/>
      <c r="DQ125" s="1258"/>
      <c r="DR125" s="305"/>
      <c r="DS125" s="249"/>
      <c r="DT125" s="216"/>
      <c r="DU125" s="2518"/>
      <c r="DV125"/>
      <c r="DW125"/>
      <c r="DX125" s="305"/>
      <c r="DY125" s="249"/>
      <c r="DZ125" s="221"/>
      <c r="EA125" s="388"/>
      <c r="EB125" s="249"/>
      <c r="EC125" s="216"/>
      <c r="ED125" s="1461"/>
      <c r="EE125" s="249"/>
      <c r="EF125" s="216"/>
      <c r="EG125" s="355"/>
      <c r="EH125" s="1425"/>
      <c r="EI125" s="1470"/>
      <c r="EJ125" s="249"/>
      <c r="EK125" s="221"/>
      <c r="EL125" s="313"/>
      <c r="EM125" s="249"/>
      <c r="EN125" s="221"/>
      <c r="EO125" s="313"/>
      <c r="EP125" s="249"/>
      <c r="EQ125" s="216"/>
      <c r="ER125" s="313"/>
      <c r="ES125" s="249"/>
      <c r="ET125" s="216"/>
      <c r="EU125" s="313"/>
      <c r="EV125" s="249"/>
      <c r="EW125" s="216"/>
      <c r="EX125" s="2505"/>
      <c r="EY125" s="249"/>
      <c r="EZ125" s="221"/>
      <c r="FA125" s="313"/>
      <c r="FB125" s="249"/>
      <c r="FC125" s="221"/>
      <c r="FD125" s="313"/>
      <c r="FE125" s="249"/>
      <c r="FF125" s="221"/>
      <c r="FG125" s="313"/>
      <c r="FH125" s="249"/>
      <c r="FI125" s="216"/>
      <c r="FJ125" s="1435"/>
      <c r="FK125" s="216"/>
      <c r="FL125" s="1268"/>
      <c r="FM125" s="1655"/>
      <c r="FN125" s="1268"/>
      <c r="FO125" s="1655"/>
      <c r="FP125" s="1268"/>
      <c r="FQ125" s="1656"/>
      <c r="FR125" s="249"/>
      <c r="FS125" s="216"/>
      <c r="FT125" s="1657"/>
      <c r="FU125" s="1658"/>
      <c r="FV125" s="242"/>
      <c r="FW125" s="2522"/>
      <c r="FX125" s="2523"/>
      <c r="FY125" s="336"/>
      <c r="FZ125" s="223"/>
      <c r="GA125" s="338"/>
      <c r="GB125" s="204"/>
      <c r="GC125" s="339"/>
      <c r="GD125" s="342"/>
      <c r="GE125" s="199"/>
      <c r="GF125" s="199"/>
      <c r="GG125" s="199"/>
      <c r="GH125" s="199"/>
      <c r="GI125" s="199"/>
      <c r="GJ125" s="199"/>
      <c r="GK125" s="199"/>
      <c r="GL125" s="49"/>
      <c r="GM125" s="28"/>
      <c r="GN125" s="28"/>
      <c r="GO125" s="322"/>
      <c r="GP125" s="1190"/>
      <c r="GQ125" s="1190"/>
      <c r="GR125" s="49"/>
      <c r="GS125" s="2879"/>
      <c r="GT125" s="2880"/>
      <c r="GU125" s="2881"/>
      <c r="GV125" s="49"/>
      <c r="GW125" s="49"/>
      <c r="GX125" s="49"/>
      <c r="GY125" s="49"/>
      <c r="GZ125" s="49"/>
      <c r="HA125" s="49"/>
      <c r="HB125" s="49"/>
      <c r="HC125" s="49"/>
      <c r="HD125" s="49"/>
      <c r="HE125" s="49"/>
      <c r="HF125" s="49"/>
      <c r="HG125" s="49"/>
      <c r="HH125" s="49"/>
      <c r="HI125" s="49"/>
      <c r="HJ125" s="49"/>
      <c r="HK125" s="49"/>
      <c r="HL125" s="49"/>
      <c r="HM125" s="49"/>
      <c r="HN125" s="49"/>
      <c r="HO125" s="49"/>
      <c r="HP125" s="49"/>
      <c r="HQ125" s="49"/>
      <c r="HR125" s="49"/>
      <c r="HS125" s="49"/>
      <c r="HT125" s="49"/>
      <c r="HU125" s="49"/>
      <c r="HV125" s="49"/>
      <c r="HW125" s="49"/>
      <c r="HX125" s="49"/>
      <c r="HY125" s="49"/>
      <c r="HZ125" s="49"/>
      <c r="IA125" s="49"/>
      <c r="IB125" s="49"/>
      <c r="IC125" s="49"/>
      <c r="ID125" s="49"/>
      <c r="IE125" s="49"/>
      <c r="IF125" s="49"/>
      <c r="IG125" s="49"/>
      <c r="IH125" s="49"/>
      <c r="II125" s="49"/>
      <c r="IJ125" s="49"/>
      <c r="IK125" s="49"/>
      <c r="IL125" s="49"/>
      <c r="IM125" s="49"/>
      <c r="IN125" s="49"/>
      <c r="IO125" s="49"/>
      <c r="IP125" s="49"/>
      <c r="IQ125" s="49"/>
      <c r="IR125" s="49"/>
      <c r="IS125" s="49"/>
      <c r="IT125" s="49"/>
      <c r="IU125" s="49"/>
      <c r="IV125" s="49"/>
    </row>
    <row r="126" spans="1:256" s="198" customFormat="1" ht="12" customHeight="1">
      <c r="A126" s="1252"/>
      <c r="B126" s="200"/>
      <c r="C126" s="486"/>
      <c r="D126" s="203"/>
      <c r="E126" s="203"/>
      <c r="F126" s="203"/>
      <c r="G126" s="203"/>
      <c r="H126" s="203"/>
      <c r="I126" s="203"/>
      <c r="J126" s="203"/>
      <c r="K126" s="175"/>
      <c r="L126" s="203"/>
      <c r="M126" s="203"/>
      <c r="N126" s="203"/>
      <c r="O126" s="203"/>
      <c r="P126" s="203"/>
      <c r="Q126" s="1197"/>
      <c r="R126" s="998"/>
      <c r="S126" s="999"/>
      <c r="T126" s="2801"/>
      <c r="U126" s="233"/>
      <c r="V126" s="49"/>
      <c r="W126" s="218"/>
      <c r="X126" s="218"/>
      <c r="Y126" s="216"/>
      <c r="Z126" s="216"/>
      <c r="AA126" s="215"/>
      <c r="AB126" s="216"/>
      <c r="AC126" s="216"/>
      <c r="AD126" s="239"/>
      <c r="AE126" s="216"/>
      <c r="AF126" s="216"/>
      <c r="AG126" s="216"/>
      <c r="AH126" s="216"/>
      <c r="AI126" s="216"/>
      <c r="AJ126" s="216"/>
      <c r="AK126" s="239"/>
      <c r="AL126" s="216"/>
      <c r="AM126" s="216"/>
      <c r="AN126" s="216"/>
      <c r="AO126" s="216"/>
      <c r="AP126" s="216"/>
      <c r="AQ126" s="216"/>
      <c r="AR126" s="216"/>
      <c r="AS126" s="216"/>
      <c r="AT126" s="216"/>
      <c r="AU126" s="216"/>
      <c r="AV126" s="217"/>
      <c r="AW126" s="355"/>
      <c r="AX126" s="217"/>
      <c r="AY126" s="1559"/>
      <c r="AZ126" s="249"/>
      <c r="BA126" s="221"/>
      <c r="BB126" s="300"/>
      <c r="BC126" s="217"/>
      <c r="BD126" s="392"/>
      <c r="BE126" s="1244"/>
      <c r="BF126" s="249"/>
      <c r="BG126" s="252"/>
      <c r="BH126" s="1469"/>
      <c r="BI126" s="216"/>
      <c r="BJ126" s="1469"/>
      <c r="BK126" s="1459"/>
      <c r="BL126" s="260"/>
      <c r="BM126" s="214"/>
      <c r="BN126" s="293"/>
      <c r="BO126" s="217"/>
      <c r="BP126" s="355"/>
      <c r="BQ126" s="217"/>
      <c r="BR126" s="1193"/>
      <c r="BS126" s="249"/>
      <c r="BT126" s="216"/>
      <c r="BU126" s="1195"/>
      <c r="BV126" s="249"/>
      <c r="BW126" s="216"/>
      <c r="BX126" s="1195"/>
      <c r="BY126" s="249"/>
      <c r="BZ126" s="216"/>
      <c r="CA126" s="1195"/>
      <c r="CB126" s="249"/>
      <c r="CC126" s="216"/>
      <c r="CD126" s="1195"/>
      <c r="CE126" s="249"/>
      <c r="CF126" s="216"/>
      <c r="CG126" s="1195"/>
      <c r="CH126" s="249"/>
      <c r="CI126" s="216"/>
      <c r="CJ126" s="1195"/>
      <c r="CK126" s="249"/>
      <c r="CL126" s="216"/>
      <c r="CM126" s="1194"/>
      <c r="CN126" s="1524"/>
      <c r="CO126" s="217"/>
      <c r="CP126" s="1193"/>
      <c r="CQ126" s="293"/>
      <c r="CR126" s="217"/>
      <c r="CS126" s="305"/>
      <c r="CT126" s="249"/>
      <c r="CU126" s="216"/>
      <c r="CV126" s="1193"/>
      <c r="CW126" s="249"/>
      <c r="CX126" s="216"/>
      <c r="CY126" s="305"/>
      <c r="CZ126" s="249"/>
      <c r="DA126" s="216"/>
      <c r="DB126" s="307"/>
      <c r="DC126" s="328"/>
      <c r="DD126" s="322"/>
      <c r="DE126" s="305"/>
      <c r="DF126" s="249"/>
      <c r="DG126" s="216"/>
      <c r="DH126" s="305"/>
      <c r="DI126" s="249"/>
      <c r="DJ126" s="216"/>
      <c r="DK126" s="309"/>
      <c r="DL126" s="293"/>
      <c r="DM126" s="326"/>
      <c r="DN126" s="1256"/>
      <c r="DO126" s="214"/>
      <c r="DP126" s="1257"/>
      <c r="DQ126" s="1258"/>
      <c r="DR126" s="305"/>
      <c r="DS126" s="249"/>
      <c r="DT126" s="216"/>
      <c r="DU126" s="2518"/>
      <c r="DV126"/>
      <c r="DW126"/>
      <c r="DX126" s="305"/>
      <c r="DY126" s="249"/>
      <c r="DZ126" s="221"/>
      <c r="EA126" s="388"/>
      <c r="EB126" s="249"/>
      <c r="EC126" s="216"/>
      <c r="ED126" s="1461"/>
      <c r="EE126" s="249"/>
      <c r="EF126" s="216"/>
      <c r="EG126" s="355"/>
      <c r="EH126" s="1425"/>
      <c r="EI126" s="1470"/>
      <c r="EJ126" s="249"/>
      <c r="EK126" s="221"/>
      <c r="EL126" s="313"/>
      <c r="EM126" s="249"/>
      <c r="EN126" s="221"/>
      <c r="EO126" s="313"/>
      <c r="EP126" s="249"/>
      <c r="EQ126" s="216"/>
      <c r="ER126" s="313"/>
      <c r="ES126" s="249"/>
      <c r="ET126" s="216"/>
      <c r="EU126" s="313"/>
      <c r="EV126" s="249"/>
      <c r="EW126" s="216"/>
      <c r="EX126" s="2505"/>
      <c r="EY126" s="249"/>
      <c r="EZ126" s="221"/>
      <c r="FA126" s="313"/>
      <c r="FB126" s="249"/>
      <c r="FC126" s="221"/>
      <c r="FD126" s="313"/>
      <c r="FE126" s="249"/>
      <c r="FF126" s="221"/>
      <c r="FG126" s="313"/>
      <c r="FH126" s="249"/>
      <c r="FI126" s="216"/>
      <c r="FJ126" s="1435"/>
      <c r="FK126" s="216"/>
      <c r="FL126" s="1268"/>
      <c r="FM126" s="1655"/>
      <c r="FN126" s="1268"/>
      <c r="FO126" s="1655"/>
      <c r="FP126" s="1268"/>
      <c r="FQ126" s="1656"/>
      <c r="FR126" s="249"/>
      <c r="FS126" s="216"/>
      <c r="FT126" s="1657"/>
      <c r="FU126" s="1658"/>
      <c r="FV126" s="242"/>
      <c r="FW126" s="2522"/>
      <c r="FX126" s="2523"/>
      <c r="FY126" s="336"/>
      <c r="FZ126" s="223"/>
      <c r="GA126" s="338"/>
      <c r="GB126" s="204"/>
      <c r="GC126" s="339"/>
      <c r="GD126" s="342"/>
      <c r="GE126" s="199"/>
      <c r="GF126" s="199"/>
      <c r="GG126" s="199"/>
      <c r="GH126" s="199"/>
      <c r="GI126" s="199"/>
      <c r="GJ126" s="199"/>
      <c r="GK126" s="199"/>
      <c r="GL126" s="49"/>
      <c r="GM126" s="28"/>
      <c r="GN126" s="28"/>
      <c r="GO126" s="322"/>
      <c r="GP126" s="1190"/>
      <c r="GQ126" s="1190"/>
      <c r="GR126" s="49"/>
      <c r="GS126" s="2879"/>
      <c r="GT126" s="2880"/>
      <c r="GU126" s="2881"/>
      <c r="GV126" s="49"/>
      <c r="GW126" s="49"/>
      <c r="GX126" s="49"/>
      <c r="GY126" s="49"/>
      <c r="GZ126" s="49"/>
      <c r="HA126" s="49"/>
      <c r="HB126" s="49"/>
      <c r="HC126" s="49"/>
      <c r="HD126" s="49"/>
      <c r="HE126" s="49"/>
      <c r="HF126" s="49"/>
      <c r="HG126" s="49"/>
      <c r="HH126" s="49"/>
      <c r="HI126" s="49"/>
      <c r="HJ126" s="49"/>
      <c r="HK126" s="49"/>
      <c r="HL126" s="49"/>
      <c r="HM126" s="49"/>
      <c r="HN126" s="49"/>
      <c r="HO126" s="49"/>
      <c r="HP126" s="49"/>
      <c r="HQ126" s="49"/>
      <c r="HR126" s="49"/>
      <c r="HS126" s="49"/>
      <c r="HT126" s="49"/>
      <c r="HU126" s="49"/>
      <c r="HV126" s="49"/>
      <c r="HW126" s="49"/>
      <c r="HX126" s="49"/>
      <c r="HY126" s="49"/>
      <c r="HZ126" s="49"/>
      <c r="IA126" s="49"/>
      <c r="IB126" s="49"/>
      <c r="IC126" s="49"/>
      <c r="ID126" s="49"/>
      <c r="IE126" s="49"/>
      <c r="IF126" s="49"/>
      <c r="IG126" s="49"/>
      <c r="IH126" s="49"/>
      <c r="II126" s="49"/>
      <c r="IJ126" s="49"/>
      <c r="IK126" s="49"/>
      <c r="IL126" s="49"/>
      <c r="IM126" s="49"/>
      <c r="IN126" s="49"/>
      <c r="IO126" s="49"/>
      <c r="IP126" s="49"/>
      <c r="IQ126" s="49"/>
      <c r="IR126" s="49"/>
      <c r="IS126" s="49"/>
      <c r="IT126" s="49"/>
      <c r="IU126" s="49"/>
      <c r="IV126" s="49"/>
    </row>
    <row r="127" spans="1:256" s="198" customFormat="1" ht="12" customHeight="1">
      <c r="A127" s="1252"/>
      <c r="B127" s="200"/>
      <c r="C127" s="486"/>
      <c r="D127" s="203"/>
      <c r="E127" s="203"/>
      <c r="F127" s="203"/>
      <c r="G127" s="203"/>
      <c r="H127" s="203"/>
      <c r="I127" s="203"/>
      <c r="J127" s="203"/>
      <c r="K127" s="175"/>
      <c r="L127" s="203"/>
      <c r="M127" s="203"/>
      <c r="N127" s="203"/>
      <c r="O127" s="203"/>
      <c r="P127" s="203"/>
      <c r="Q127" s="1197"/>
      <c r="R127" s="998"/>
      <c r="S127" s="999"/>
      <c r="T127" s="2801"/>
      <c r="U127" s="233"/>
      <c r="V127" s="49"/>
      <c r="W127" s="218"/>
      <c r="X127" s="218"/>
      <c r="Y127" s="216"/>
      <c r="Z127" s="216"/>
      <c r="AA127" s="215"/>
      <c r="AB127" s="216"/>
      <c r="AC127" s="216"/>
      <c r="AD127" s="239"/>
      <c r="AE127" s="216"/>
      <c r="AF127" s="216"/>
      <c r="AG127" s="216"/>
      <c r="AH127" s="216"/>
      <c r="AI127" s="216"/>
      <c r="AJ127" s="216"/>
      <c r="AK127" s="239"/>
      <c r="AL127" s="216"/>
      <c r="AM127" s="216"/>
      <c r="AN127" s="216"/>
      <c r="AO127" s="216"/>
      <c r="AP127" s="216"/>
      <c r="AQ127" s="216"/>
      <c r="AR127" s="216"/>
      <c r="AS127" s="216"/>
      <c r="AT127" s="216"/>
      <c r="AU127" s="216"/>
      <c r="AV127" s="217"/>
      <c r="AW127" s="355"/>
      <c r="AX127" s="217"/>
      <c r="AY127" s="1559"/>
      <c r="AZ127" s="249"/>
      <c r="BA127" s="221"/>
      <c r="BB127" s="300"/>
      <c r="BC127" s="217"/>
      <c r="BD127" s="392"/>
      <c r="BE127" s="1244"/>
      <c r="BF127" s="249"/>
      <c r="BG127" s="252"/>
      <c r="BH127" s="1469"/>
      <c r="BI127" s="216"/>
      <c r="BJ127" s="1469"/>
      <c r="BK127" s="1459"/>
      <c r="BL127" s="260"/>
      <c r="BM127" s="214"/>
      <c r="BN127" s="293"/>
      <c r="BO127" s="217"/>
      <c r="BP127" s="355"/>
      <c r="BQ127" s="217"/>
      <c r="BR127" s="1193"/>
      <c r="BS127" s="249"/>
      <c r="BT127" s="216"/>
      <c r="BU127" s="1195"/>
      <c r="BV127" s="249"/>
      <c r="BW127" s="216"/>
      <c r="BX127" s="1195"/>
      <c r="BY127" s="249"/>
      <c r="BZ127" s="216"/>
      <c r="CA127" s="1195"/>
      <c r="CB127" s="249"/>
      <c r="CC127" s="216"/>
      <c r="CD127" s="1195"/>
      <c r="CE127" s="249"/>
      <c r="CF127" s="216"/>
      <c r="CG127" s="1195"/>
      <c r="CH127" s="249"/>
      <c r="CI127" s="216"/>
      <c r="CJ127" s="1195"/>
      <c r="CK127" s="249"/>
      <c r="CL127" s="216"/>
      <c r="CM127" s="1194"/>
      <c r="CN127" s="1524"/>
      <c r="CO127" s="217"/>
      <c r="CP127" s="1193"/>
      <c r="CQ127" s="293"/>
      <c r="CR127" s="217"/>
      <c r="CS127" s="305"/>
      <c r="CT127" s="249"/>
      <c r="CU127" s="216"/>
      <c r="CV127" s="1193"/>
      <c r="CW127" s="249"/>
      <c r="CX127" s="216"/>
      <c r="CY127" s="305"/>
      <c r="CZ127" s="249"/>
      <c r="DA127" s="216"/>
      <c r="DB127" s="307"/>
      <c r="DC127" s="328"/>
      <c r="DD127" s="322"/>
      <c r="DE127" s="305"/>
      <c r="DF127" s="249"/>
      <c r="DG127" s="216"/>
      <c r="DH127" s="305"/>
      <c r="DI127" s="249"/>
      <c r="DJ127" s="216"/>
      <c r="DK127" s="309"/>
      <c r="DL127" s="293"/>
      <c r="DM127" s="326"/>
      <c r="DN127" s="1256"/>
      <c r="DO127" s="214"/>
      <c r="DP127" s="1257"/>
      <c r="DQ127" s="1258"/>
      <c r="DR127" s="305"/>
      <c r="DS127" s="249"/>
      <c r="DT127" s="216"/>
      <c r="DU127" s="2518"/>
      <c r="DV127"/>
      <c r="DW127"/>
      <c r="DX127" s="305"/>
      <c r="DY127" s="249"/>
      <c r="DZ127" s="221"/>
      <c r="EA127" s="388"/>
      <c r="EB127" s="249"/>
      <c r="EC127" s="216"/>
      <c r="ED127" s="1461"/>
      <c r="EE127" s="249"/>
      <c r="EF127" s="216"/>
      <c r="EG127" s="355"/>
      <c r="EH127" s="1425"/>
      <c r="EI127" s="1470"/>
      <c r="EJ127" s="249"/>
      <c r="EK127" s="221"/>
      <c r="EL127" s="313"/>
      <c r="EM127" s="249"/>
      <c r="EN127" s="221"/>
      <c r="EO127" s="313"/>
      <c r="EP127" s="249"/>
      <c r="EQ127" s="216"/>
      <c r="ER127" s="313"/>
      <c r="ES127" s="249"/>
      <c r="ET127" s="216"/>
      <c r="EU127" s="313"/>
      <c r="EV127" s="249"/>
      <c r="EW127" s="216"/>
      <c r="EX127" s="2505"/>
      <c r="EY127" s="249"/>
      <c r="EZ127" s="221"/>
      <c r="FA127" s="313"/>
      <c r="FB127" s="249"/>
      <c r="FC127" s="221"/>
      <c r="FD127" s="313"/>
      <c r="FE127" s="249"/>
      <c r="FF127" s="221"/>
      <c r="FG127" s="313"/>
      <c r="FH127" s="249"/>
      <c r="FI127" s="216"/>
      <c r="FJ127" s="1435"/>
      <c r="FK127" s="216"/>
      <c r="FL127" s="1268"/>
      <c r="FM127" s="1655"/>
      <c r="FN127" s="1268"/>
      <c r="FO127" s="1655"/>
      <c r="FP127" s="1268"/>
      <c r="FQ127" s="1656"/>
      <c r="FR127" s="249"/>
      <c r="FS127" s="216"/>
      <c r="FT127" s="1657"/>
      <c r="FU127" s="1658"/>
      <c r="FV127" s="242"/>
      <c r="FW127" s="2522"/>
      <c r="FX127" s="2523"/>
      <c r="FY127" s="336"/>
      <c r="FZ127" s="223"/>
      <c r="GA127" s="338"/>
      <c r="GB127" s="204"/>
      <c r="GC127" s="339"/>
      <c r="GD127" s="342"/>
      <c r="GE127" s="199"/>
      <c r="GF127" s="199"/>
      <c r="GG127" s="199"/>
      <c r="GH127" s="199"/>
      <c r="GI127" s="199"/>
      <c r="GJ127" s="199"/>
      <c r="GK127" s="199"/>
      <c r="GL127" s="49"/>
      <c r="GM127" s="28"/>
      <c r="GN127" s="28"/>
      <c r="GO127" s="322"/>
      <c r="GP127" s="1190"/>
      <c r="GQ127" s="1190"/>
      <c r="GR127" s="49"/>
      <c r="GS127" s="2879"/>
      <c r="GT127" s="2880"/>
      <c r="GU127" s="2881"/>
      <c r="GV127" s="49"/>
      <c r="GW127" s="49"/>
      <c r="GX127" s="49"/>
      <c r="GY127" s="49"/>
      <c r="GZ127" s="49"/>
      <c r="HA127" s="49"/>
      <c r="HB127" s="49"/>
      <c r="HC127" s="49"/>
      <c r="HD127" s="49"/>
      <c r="HE127" s="49"/>
      <c r="HF127" s="49"/>
      <c r="HG127" s="49"/>
      <c r="HH127" s="49"/>
      <c r="HI127" s="49"/>
      <c r="HJ127" s="49"/>
      <c r="HK127" s="49"/>
      <c r="HL127" s="49"/>
      <c r="HM127" s="49"/>
      <c r="HN127" s="49"/>
      <c r="HO127" s="49"/>
      <c r="HP127" s="49"/>
      <c r="HQ127" s="49"/>
      <c r="HR127" s="49"/>
      <c r="HS127" s="49"/>
      <c r="HT127" s="49"/>
      <c r="HU127" s="49"/>
      <c r="HV127" s="49"/>
      <c r="HW127" s="49"/>
      <c r="HX127" s="49"/>
      <c r="HY127" s="49"/>
      <c r="HZ127" s="49"/>
      <c r="IA127" s="49"/>
      <c r="IB127" s="49"/>
      <c r="IC127" s="49"/>
      <c r="ID127" s="49"/>
      <c r="IE127" s="49"/>
      <c r="IF127" s="49"/>
      <c r="IG127" s="49"/>
      <c r="IH127" s="49"/>
      <c r="II127" s="49"/>
      <c r="IJ127" s="49"/>
      <c r="IK127" s="49"/>
      <c r="IL127" s="49"/>
      <c r="IM127" s="49"/>
      <c r="IN127" s="49"/>
      <c r="IO127" s="49"/>
      <c r="IP127" s="49"/>
      <c r="IQ127" s="49"/>
      <c r="IR127" s="49"/>
      <c r="IS127" s="49"/>
      <c r="IT127" s="49"/>
      <c r="IU127" s="49"/>
      <c r="IV127" s="49"/>
    </row>
    <row r="128" spans="1:256" s="198" customFormat="1" ht="12" customHeight="1">
      <c r="A128" s="1252"/>
      <c r="B128" s="200"/>
      <c r="C128" s="486"/>
      <c r="D128" s="203"/>
      <c r="E128" s="203"/>
      <c r="F128" s="203"/>
      <c r="G128" s="203"/>
      <c r="H128" s="203"/>
      <c r="I128" s="203"/>
      <c r="J128" s="203"/>
      <c r="K128" s="175"/>
      <c r="L128" s="203"/>
      <c r="M128" s="203"/>
      <c r="N128" s="203"/>
      <c r="O128" s="203"/>
      <c r="P128" s="203"/>
      <c r="Q128" s="1197"/>
      <c r="R128" s="998"/>
      <c r="S128" s="999"/>
      <c r="T128" s="2801"/>
      <c r="U128" s="233"/>
      <c r="V128" s="49"/>
      <c r="W128" s="218"/>
      <c r="X128" s="218"/>
      <c r="Y128" s="216"/>
      <c r="Z128" s="216"/>
      <c r="AA128" s="215"/>
      <c r="AB128" s="216"/>
      <c r="AC128" s="216"/>
      <c r="AD128" s="239"/>
      <c r="AE128" s="216"/>
      <c r="AF128" s="216"/>
      <c r="AG128" s="216"/>
      <c r="AH128" s="216"/>
      <c r="AI128" s="216"/>
      <c r="AJ128" s="216"/>
      <c r="AK128" s="239"/>
      <c r="AL128" s="216"/>
      <c r="AM128" s="216"/>
      <c r="AN128" s="216"/>
      <c r="AO128" s="216"/>
      <c r="AP128" s="216"/>
      <c r="AQ128" s="216"/>
      <c r="AR128" s="216"/>
      <c r="AS128" s="216"/>
      <c r="AT128" s="216"/>
      <c r="AU128" s="216"/>
      <c r="AV128" s="217"/>
      <c r="AW128" s="355"/>
      <c r="AX128" s="217"/>
      <c r="AY128" s="1559"/>
      <c r="AZ128" s="249"/>
      <c r="BA128" s="221"/>
      <c r="BB128" s="300"/>
      <c r="BC128" s="217"/>
      <c r="BD128" s="392"/>
      <c r="BE128" s="1244"/>
      <c r="BF128" s="249"/>
      <c r="BG128" s="252"/>
      <c r="BH128" s="1469"/>
      <c r="BI128" s="216"/>
      <c r="BJ128" s="1469"/>
      <c r="BK128" s="1459"/>
      <c r="BL128" s="260"/>
      <c r="BM128" s="214"/>
      <c r="BN128" s="293"/>
      <c r="BO128" s="217"/>
      <c r="BP128" s="355"/>
      <c r="BQ128" s="217"/>
      <c r="BR128" s="1193"/>
      <c r="BS128" s="249"/>
      <c r="BT128" s="216"/>
      <c r="BU128" s="1195"/>
      <c r="BV128" s="249"/>
      <c r="BW128" s="216"/>
      <c r="BX128" s="1195"/>
      <c r="BY128" s="249"/>
      <c r="BZ128" s="216"/>
      <c r="CA128" s="1195"/>
      <c r="CB128" s="249"/>
      <c r="CC128" s="216"/>
      <c r="CD128" s="1195"/>
      <c r="CE128" s="249"/>
      <c r="CF128" s="216"/>
      <c r="CG128" s="1195"/>
      <c r="CH128" s="249"/>
      <c r="CI128" s="216"/>
      <c r="CJ128" s="1195"/>
      <c r="CK128" s="249"/>
      <c r="CL128" s="216"/>
      <c r="CM128" s="1194"/>
      <c r="CN128" s="1524"/>
      <c r="CO128" s="217"/>
      <c r="CP128" s="1193"/>
      <c r="CQ128" s="293"/>
      <c r="CR128" s="217"/>
      <c r="CS128" s="305"/>
      <c r="CT128" s="249"/>
      <c r="CU128" s="216"/>
      <c r="CV128" s="1193"/>
      <c r="CW128" s="249"/>
      <c r="CX128" s="216"/>
      <c r="CY128" s="305"/>
      <c r="CZ128" s="249"/>
      <c r="DA128" s="216"/>
      <c r="DB128" s="307"/>
      <c r="DC128" s="328"/>
      <c r="DD128" s="322"/>
      <c r="DE128" s="305"/>
      <c r="DF128" s="249"/>
      <c r="DG128" s="216"/>
      <c r="DH128" s="305"/>
      <c r="DI128" s="249"/>
      <c r="DJ128" s="216"/>
      <c r="DK128" s="309"/>
      <c r="DL128" s="293"/>
      <c r="DM128" s="326"/>
      <c r="DN128" s="1256"/>
      <c r="DO128" s="214"/>
      <c r="DP128" s="1257"/>
      <c r="DQ128" s="1258"/>
      <c r="DR128" s="305"/>
      <c r="DS128" s="249"/>
      <c r="DT128" s="216"/>
      <c r="DU128" s="2518"/>
      <c r="DV128"/>
      <c r="DW128"/>
      <c r="DX128" s="305"/>
      <c r="DY128" s="249"/>
      <c r="DZ128" s="221"/>
      <c r="EA128" s="388"/>
      <c r="EB128" s="249"/>
      <c r="EC128" s="216"/>
      <c r="ED128" s="1461"/>
      <c r="EE128" s="249"/>
      <c r="EF128" s="216"/>
      <c r="EG128" s="355"/>
      <c r="EH128" s="1425"/>
      <c r="EI128" s="1470"/>
      <c r="EJ128" s="249"/>
      <c r="EK128" s="221"/>
      <c r="EL128" s="313"/>
      <c r="EM128" s="249"/>
      <c r="EN128" s="221"/>
      <c r="EO128" s="313"/>
      <c r="EP128" s="249"/>
      <c r="EQ128" s="216"/>
      <c r="ER128" s="313"/>
      <c r="ES128" s="249"/>
      <c r="ET128" s="216"/>
      <c r="EU128" s="313"/>
      <c r="EV128" s="249"/>
      <c r="EW128" s="216"/>
      <c r="EX128" s="2505"/>
      <c r="EY128" s="249"/>
      <c r="EZ128" s="221"/>
      <c r="FA128" s="313"/>
      <c r="FB128" s="249"/>
      <c r="FC128" s="221"/>
      <c r="FD128" s="313"/>
      <c r="FE128" s="249"/>
      <c r="FF128" s="221"/>
      <c r="FG128" s="313"/>
      <c r="FH128" s="249"/>
      <c r="FI128" s="216"/>
      <c r="FJ128" s="1435"/>
      <c r="FK128" s="216"/>
      <c r="FL128" s="1268"/>
      <c r="FM128" s="1655"/>
      <c r="FN128" s="1268"/>
      <c r="FO128" s="1655"/>
      <c r="FP128" s="1268"/>
      <c r="FQ128" s="1656"/>
      <c r="FR128" s="249"/>
      <c r="FS128" s="216"/>
      <c r="FT128" s="1657"/>
      <c r="FU128" s="1658"/>
      <c r="FV128" s="242"/>
      <c r="FW128" s="2522"/>
      <c r="FX128" s="2523"/>
      <c r="FY128" s="336"/>
      <c r="FZ128" s="223"/>
      <c r="GA128" s="338"/>
      <c r="GB128" s="204"/>
      <c r="GC128" s="339"/>
      <c r="GD128" s="342"/>
      <c r="GE128" s="199"/>
      <c r="GF128" s="199"/>
      <c r="GG128" s="199"/>
      <c r="GH128" s="199"/>
      <c r="GI128" s="199"/>
      <c r="GJ128" s="199"/>
      <c r="GK128" s="199"/>
      <c r="GL128" s="49"/>
      <c r="GM128" s="28"/>
      <c r="GN128" s="28"/>
      <c r="GO128" s="322"/>
      <c r="GP128" s="1190"/>
      <c r="GQ128" s="1190"/>
      <c r="GR128" s="49"/>
      <c r="GS128" s="2879"/>
      <c r="GT128" s="2880"/>
      <c r="GU128" s="2881"/>
      <c r="GV128" s="49"/>
      <c r="GW128" s="49"/>
      <c r="GX128" s="49"/>
      <c r="GY128" s="49"/>
      <c r="GZ128" s="49"/>
      <c r="HA128" s="49"/>
      <c r="HB128" s="49"/>
      <c r="HC128" s="49"/>
      <c r="HD128" s="49"/>
      <c r="HE128" s="49"/>
      <c r="HF128" s="49"/>
      <c r="HG128" s="49"/>
      <c r="HH128" s="49"/>
      <c r="HI128" s="49"/>
      <c r="HJ128" s="49"/>
      <c r="HK128" s="49"/>
      <c r="HL128" s="49"/>
      <c r="HM128" s="49"/>
      <c r="HN128" s="49"/>
      <c r="HO128" s="49"/>
      <c r="HP128" s="49"/>
      <c r="HQ128" s="49"/>
      <c r="HR128" s="49"/>
      <c r="HS128" s="49"/>
      <c r="HT128" s="49"/>
      <c r="HU128" s="49"/>
      <c r="HV128" s="49"/>
      <c r="HW128" s="49"/>
      <c r="HX128" s="49"/>
      <c r="HY128" s="49"/>
      <c r="HZ128" s="49"/>
      <c r="IA128" s="49"/>
      <c r="IB128" s="49"/>
      <c r="IC128" s="49"/>
      <c r="ID128" s="49"/>
      <c r="IE128" s="49"/>
      <c r="IF128" s="49"/>
      <c r="IG128" s="49"/>
      <c r="IH128" s="49"/>
      <c r="II128" s="49"/>
      <c r="IJ128" s="49"/>
      <c r="IK128" s="49"/>
      <c r="IL128" s="49"/>
      <c r="IM128" s="49"/>
      <c r="IN128" s="49"/>
      <c r="IO128" s="49"/>
      <c r="IP128" s="49"/>
      <c r="IQ128" s="49"/>
      <c r="IR128" s="49"/>
      <c r="IS128" s="49"/>
      <c r="IT128" s="49"/>
      <c r="IU128" s="49"/>
      <c r="IV128" s="49"/>
    </row>
    <row r="129" spans="1:256" s="198" customFormat="1" ht="12" customHeight="1">
      <c r="A129" s="1252"/>
      <c r="B129" s="200"/>
      <c r="C129" s="486"/>
      <c r="D129" s="203"/>
      <c r="E129" s="203"/>
      <c r="F129" s="203"/>
      <c r="G129" s="203"/>
      <c r="H129" s="203"/>
      <c r="I129" s="203"/>
      <c r="J129" s="203"/>
      <c r="K129" s="175"/>
      <c r="L129" s="203"/>
      <c r="M129" s="203"/>
      <c r="N129" s="203"/>
      <c r="O129" s="203"/>
      <c r="P129" s="203"/>
      <c r="Q129" s="1197"/>
      <c r="R129" s="998"/>
      <c r="S129" s="999"/>
      <c r="T129" s="2801"/>
      <c r="U129" s="233"/>
      <c r="V129" s="49"/>
      <c r="W129" s="218"/>
      <c r="X129" s="218"/>
      <c r="Y129" s="216"/>
      <c r="Z129" s="216"/>
      <c r="AA129" s="215"/>
      <c r="AB129" s="216"/>
      <c r="AC129" s="216"/>
      <c r="AD129" s="239"/>
      <c r="AE129" s="216"/>
      <c r="AF129" s="216"/>
      <c r="AG129" s="216"/>
      <c r="AH129" s="216"/>
      <c r="AI129" s="216"/>
      <c r="AJ129" s="216"/>
      <c r="AK129" s="239"/>
      <c r="AL129" s="216"/>
      <c r="AM129" s="216"/>
      <c r="AN129" s="216"/>
      <c r="AO129" s="216"/>
      <c r="AP129" s="216"/>
      <c r="AQ129" s="216"/>
      <c r="AR129" s="216"/>
      <c r="AS129" s="216"/>
      <c r="AT129" s="216"/>
      <c r="AU129" s="216"/>
      <c r="AV129" s="217"/>
      <c r="AW129" s="355"/>
      <c r="AX129" s="217"/>
      <c r="AY129" s="1559"/>
      <c r="AZ129" s="249"/>
      <c r="BA129" s="221"/>
      <c r="BB129" s="300"/>
      <c r="BC129" s="217"/>
      <c r="BD129" s="392"/>
      <c r="BE129" s="1244"/>
      <c r="BF129" s="249"/>
      <c r="BG129" s="252"/>
      <c r="BH129" s="1469"/>
      <c r="BI129" s="216"/>
      <c r="BJ129" s="1469"/>
      <c r="BK129" s="1459"/>
      <c r="BL129" s="260"/>
      <c r="BM129" s="214"/>
      <c r="BN129" s="293"/>
      <c r="BO129" s="217"/>
      <c r="BP129" s="355"/>
      <c r="BQ129" s="217"/>
      <c r="BR129" s="1193"/>
      <c r="BS129" s="249"/>
      <c r="BT129" s="216"/>
      <c r="BU129" s="1195"/>
      <c r="BV129" s="249"/>
      <c r="BW129" s="216"/>
      <c r="BX129" s="1195"/>
      <c r="BY129" s="249"/>
      <c r="BZ129" s="216"/>
      <c r="CA129" s="1195"/>
      <c r="CB129" s="249"/>
      <c r="CC129" s="216"/>
      <c r="CD129" s="1195"/>
      <c r="CE129" s="249"/>
      <c r="CF129" s="216"/>
      <c r="CG129" s="1195"/>
      <c r="CH129" s="249"/>
      <c r="CI129" s="216"/>
      <c r="CJ129" s="1195"/>
      <c r="CK129" s="249"/>
      <c r="CL129" s="216"/>
      <c r="CM129" s="1194"/>
      <c r="CN129" s="1524"/>
      <c r="CO129" s="217"/>
      <c r="CP129" s="1193"/>
      <c r="CQ129" s="293"/>
      <c r="CR129" s="217"/>
      <c r="CS129" s="305"/>
      <c r="CT129" s="249"/>
      <c r="CU129" s="216"/>
      <c r="CV129" s="1193"/>
      <c r="CW129" s="249"/>
      <c r="CX129" s="216"/>
      <c r="CY129" s="305"/>
      <c r="CZ129" s="249"/>
      <c r="DA129" s="216"/>
      <c r="DB129" s="307"/>
      <c r="DC129" s="328"/>
      <c r="DD129" s="322"/>
      <c r="DE129" s="305"/>
      <c r="DF129" s="249"/>
      <c r="DG129" s="216"/>
      <c r="DH129" s="305"/>
      <c r="DI129" s="249"/>
      <c r="DJ129" s="216"/>
      <c r="DK129" s="309"/>
      <c r="DL129" s="293"/>
      <c r="DM129" s="326"/>
      <c r="DN129" s="1256"/>
      <c r="DO129" s="214"/>
      <c r="DP129" s="1257"/>
      <c r="DQ129" s="1258"/>
      <c r="DR129" s="305"/>
      <c r="DS129" s="249"/>
      <c r="DT129" s="216"/>
      <c r="DU129" s="2518"/>
      <c r="DV129"/>
      <c r="DW129"/>
      <c r="DX129" s="305"/>
      <c r="DY129" s="249"/>
      <c r="DZ129" s="221"/>
      <c r="EA129" s="388"/>
      <c r="EB129" s="249"/>
      <c r="EC129" s="216"/>
      <c r="ED129" s="1461"/>
      <c r="EE129" s="249"/>
      <c r="EF129" s="216"/>
      <c r="EG129" s="355"/>
      <c r="EH129" s="1425"/>
      <c r="EI129" s="1470"/>
      <c r="EJ129" s="249"/>
      <c r="EK129" s="221"/>
      <c r="EL129" s="313"/>
      <c r="EM129" s="249"/>
      <c r="EN129" s="221"/>
      <c r="EO129" s="313"/>
      <c r="EP129" s="249"/>
      <c r="EQ129" s="216"/>
      <c r="ER129" s="313"/>
      <c r="ES129" s="249"/>
      <c r="ET129" s="216"/>
      <c r="EU129" s="313"/>
      <c r="EV129" s="249"/>
      <c r="EW129" s="216"/>
      <c r="EX129" s="2505"/>
      <c r="EY129" s="249"/>
      <c r="EZ129" s="221"/>
      <c r="FA129" s="313"/>
      <c r="FB129" s="249"/>
      <c r="FC129" s="221"/>
      <c r="FD129" s="313"/>
      <c r="FE129" s="249"/>
      <c r="FF129" s="221"/>
      <c r="FG129" s="313"/>
      <c r="FH129" s="249"/>
      <c r="FI129" s="216"/>
      <c r="FJ129" s="1435"/>
      <c r="FK129" s="216"/>
      <c r="FL129" s="1268"/>
      <c r="FM129" s="1655"/>
      <c r="FN129" s="1268"/>
      <c r="FO129" s="1655"/>
      <c r="FP129" s="1268"/>
      <c r="FQ129" s="1656"/>
      <c r="FR129" s="249"/>
      <c r="FS129" s="216"/>
      <c r="FT129" s="1657"/>
      <c r="FU129" s="1658"/>
      <c r="FV129" s="242"/>
      <c r="FW129" s="2522"/>
      <c r="FX129" s="2523"/>
      <c r="FY129" s="336"/>
      <c r="FZ129" s="223"/>
      <c r="GA129" s="338"/>
      <c r="GB129" s="204"/>
      <c r="GC129" s="339"/>
      <c r="GD129" s="342"/>
      <c r="GE129" s="199"/>
      <c r="GF129" s="199"/>
      <c r="GG129" s="199"/>
      <c r="GH129" s="199"/>
      <c r="GI129" s="199"/>
      <c r="GJ129" s="199"/>
      <c r="GK129" s="199"/>
      <c r="GL129" s="49"/>
      <c r="GM129" s="28"/>
      <c r="GN129" s="28"/>
      <c r="GO129" s="322"/>
      <c r="GP129" s="1190"/>
      <c r="GQ129" s="1190"/>
      <c r="GR129" s="49"/>
      <c r="GS129" s="2879"/>
      <c r="GT129" s="2880"/>
      <c r="GU129" s="2881"/>
      <c r="GV129" s="49"/>
      <c r="GW129" s="49"/>
      <c r="GX129" s="49"/>
      <c r="GY129" s="49"/>
      <c r="GZ129" s="49"/>
      <c r="HA129" s="49"/>
      <c r="HB129" s="49"/>
      <c r="HC129" s="49"/>
      <c r="HD129" s="49"/>
      <c r="HE129" s="49"/>
      <c r="HF129" s="49"/>
      <c r="HG129" s="49"/>
      <c r="HH129" s="49"/>
      <c r="HI129" s="49"/>
      <c r="HJ129" s="49"/>
      <c r="HK129" s="49"/>
      <c r="HL129" s="49"/>
      <c r="HM129" s="49"/>
      <c r="HN129" s="49"/>
      <c r="HO129" s="49"/>
      <c r="HP129" s="49"/>
      <c r="HQ129" s="49"/>
      <c r="HR129" s="49"/>
      <c r="HS129" s="49"/>
      <c r="HT129" s="49"/>
      <c r="HU129" s="49"/>
      <c r="HV129" s="49"/>
      <c r="HW129" s="49"/>
      <c r="HX129" s="49"/>
      <c r="HY129" s="49"/>
      <c r="HZ129" s="49"/>
      <c r="IA129" s="49"/>
      <c r="IB129" s="49"/>
      <c r="IC129" s="49"/>
      <c r="ID129" s="49"/>
      <c r="IE129" s="49"/>
      <c r="IF129" s="49"/>
      <c r="IG129" s="49"/>
      <c r="IH129" s="49"/>
      <c r="II129" s="49"/>
      <c r="IJ129" s="49"/>
      <c r="IK129" s="49"/>
      <c r="IL129" s="49"/>
      <c r="IM129" s="49"/>
      <c r="IN129" s="49"/>
      <c r="IO129" s="49"/>
      <c r="IP129" s="49"/>
      <c r="IQ129" s="49"/>
      <c r="IR129" s="49"/>
      <c r="IS129" s="49"/>
      <c r="IT129" s="49"/>
      <c r="IU129" s="49"/>
      <c r="IV129" s="49"/>
    </row>
    <row r="130" spans="1:256" s="198" customFormat="1" ht="12" customHeight="1">
      <c r="A130" s="1252"/>
      <c r="B130" s="200"/>
      <c r="C130" s="486"/>
      <c r="D130" s="203"/>
      <c r="E130" s="203"/>
      <c r="F130" s="203"/>
      <c r="G130" s="203"/>
      <c r="H130" s="203"/>
      <c r="I130" s="203"/>
      <c r="J130" s="203"/>
      <c r="K130" s="175"/>
      <c r="L130" s="203"/>
      <c r="M130" s="203"/>
      <c r="N130" s="203"/>
      <c r="O130" s="203"/>
      <c r="P130" s="203"/>
      <c r="Q130" s="1197"/>
      <c r="R130" s="998"/>
      <c r="S130" s="999"/>
      <c r="T130" s="2801"/>
      <c r="U130" s="233"/>
      <c r="V130" s="49"/>
      <c r="W130" s="218"/>
      <c r="X130" s="218"/>
      <c r="Y130" s="216"/>
      <c r="Z130" s="216"/>
      <c r="AA130" s="215"/>
      <c r="AB130" s="216"/>
      <c r="AC130" s="216"/>
      <c r="AD130" s="239"/>
      <c r="AE130" s="216"/>
      <c r="AF130" s="216"/>
      <c r="AG130" s="216"/>
      <c r="AH130" s="216"/>
      <c r="AI130" s="216"/>
      <c r="AJ130" s="216"/>
      <c r="AK130" s="239"/>
      <c r="AL130" s="216"/>
      <c r="AM130" s="216"/>
      <c r="AN130" s="216"/>
      <c r="AO130" s="216"/>
      <c r="AP130" s="216"/>
      <c r="AQ130" s="216"/>
      <c r="AR130" s="216"/>
      <c r="AS130" s="216"/>
      <c r="AT130" s="216"/>
      <c r="AU130" s="216"/>
      <c r="AV130" s="217"/>
      <c r="AW130" s="355"/>
      <c r="AX130" s="217"/>
      <c r="AY130" s="1559"/>
      <c r="AZ130" s="249"/>
      <c r="BA130" s="221"/>
      <c r="BB130" s="300"/>
      <c r="BC130" s="217"/>
      <c r="BD130" s="392"/>
      <c r="BE130" s="1244"/>
      <c r="BF130" s="249"/>
      <c r="BG130" s="252"/>
      <c r="BH130" s="1469"/>
      <c r="BI130" s="216"/>
      <c r="BJ130" s="1469"/>
      <c r="BK130" s="1459"/>
      <c r="BL130" s="260"/>
      <c r="BM130" s="214"/>
      <c r="BN130" s="293"/>
      <c r="BO130" s="217"/>
      <c r="BP130" s="355"/>
      <c r="BQ130" s="217"/>
      <c r="BR130" s="1193"/>
      <c r="BS130" s="249"/>
      <c r="BT130" s="216"/>
      <c r="BU130" s="1195"/>
      <c r="BV130" s="249"/>
      <c r="BW130" s="216"/>
      <c r="BX130" s="1195"/>
      <c r="BY130" s="249"/>
      <c r="BZ130" s="216"/>
      <c r="CA130" s="1195"/>
      <c r="CB130" s="249"/>
      <c r="CC130" s="216"/>
      <c r="CD130" s="1195"/>
      <c r="CE130" s="249"/>
      <c r="CF130" s="216"/>
      <c r="CG130" s="1195"/>
      <c r="CH130" s="249"/>
      <c r="CI130" s="216"/>
      <c r="CJ130" s="1195"/>
      <c r="CK130" s="249"/>
      <c r="CL130" s="216"/>
      <c r="CM130" s="1194"/>
      <c r="CN130" s="1524"/>
      <c r="CO130" s="217"/>
      <c r="CP130" s="1193"/>
      <c r="CQ130" s="293"/>
      <c r="CR130" s="217"/>
      <c r="CS130" s="305"/>
      <c r="CT130" s="249"/>
      <c r="CU130" s="216"/>
      <c r="CV130" s="1193"/>
      <c r="CW130" s="249"/>
      <c r="CX130" s="216"/>
      <c r="CY130" s="305"/>
      <c r="CZ130" s="249"/>
      <c r="DA130" s="216"/>
      <c r="DB130" s="307"/>
      <c r="DC130" s="328"/>
      <c r="DD130" s="322"/>
      <c r="DE130" s="305"/>
      <c r="DF130" s="249"/>
      <c r="DG130" s="216"/>
      <c r="DH130" s="305"/>
      <c r="DI130" s="249"/>
      <c r="DJ130" s="216"/>
      <c r="DK130" s="309"/>
      <c r="DL130" s="293"/>
      <c r="DM130" s="326"/>
      <c r="DN130" s="1256"/>
      <c r="DO130" s="214"/>
      <c r="DP130" s="1257"/>
      <c r="DQ130" s="1258"/>
      <c r="DR130" s="305"/>
      <c r="DS130" s="249"/>
      <c r="DT130" s="216"/>
      <c r="DU130" s="2518"/>
      <c r="DV130"/>
      <c r="DW130"/>
      <c r="DX130" s="305"/>
      <c r="DY130" s="249"/>
      <c r="DZ130" s="221"/>
      <c r="EA130" s="388"/>
      <c r="EB130" s="249"/>
      <c r="EC130" s="216"/>
      <c r="ED130" s="1461"/>
      <c r="EE130" s="249"/>
      <c r="EF130" s="216"/>
      <c r="EG130" s="355"/>
      <c r="EH130" s="1425"/>
      <c r="EI130" s="1470"/>
      <c r="EJ130" s="249"/>
      <c r="EK130" s="221"/>
      <c r="EL130" s="313"/>
      <c r="EM130" s="249"/>
      <c r="EN130" s="221"/>
      <c r="EO130" s="313"/>
      <c r="EP130" s="249"/>
      <c r="EQ130" s="216"/>
      <c r="ER130" s="313"/>
      <c r="ES130" s="249"/>
      <c r="ET130" s="216"/>
      <c r="EU130" s="313"/>
      <c r="EV130" s="249"/>
      <c r="EW130" s="216"/>
      <c r="EX130" s="2505"/>
      <c r="EY130" s="249"/>
      <c r="EZ130" s="221"/>
      <c r="FA130" s="313"/>
      <c r="FB130" s="249"/>
      <c r="FC130" s="221"/>
      <c r="FD130" s="313"/>
      <c r="FE130" s="249"/>
      <c r="FF130" s="221"/>
      <c r="FG130" s="313"/>
      <c r="FH130" s="249"/>
      <c r="FI130" s="216"/>
      <c r="FJ130" s="1435"/>
      <c r="FK130" s="216"/>
      <c r="FL130" s="1268"/>
      <c r="FM130" s="1655"/>
      <c r="FN130" s="1268"/>
      <c r="FO130" s="1655"/>
      <c r="FP130" s="1268"/>
      <c r="FQ130" s="1656"/>
      <c r="FR130" s="249"/>
      <c r="FS130" s="216"/>
      <c r="FT130" s="1657"/>
      <c r="FU130" s="1658"/>
      <c r="FV130" s="242"/>
      <c r="FW130" s="2522"/>
      <c r="FX130" s="2523"/>
      <c r="FY130" s="336"/>
      <c r="FZ130" s="223"/>
      <c r="GA130" s="338"/>
      <c r="GB130" s="204"/>
      <c r="GC130" s="339"/>
      <c r="GD130" s="342"/>
      <c r="GE130" s="199"/>
      <c r="GF130" s="199"/>
      <c r="GG130" s="199"/>
      <c r="GH130" s="199"/>
      <c r="GI130" s="199"/>
      <c r="GJ130" s="199"/>
      <c r="GK130" s="199"/>
      <c r="GL130" s="49"/>
      <c r="GM130" s="28"/>
      <c r="GN130" s="28"/>
      <c r="GO130" s="322"/>
      <c r="GP130" s="1190"/>
      <c r="GQ130" s="1190"/>
      <c r="GR130" s="49"/>
      <c r="GS130" s="2879"/>
      <c r="GT130" s="2880"/>
      <c r="GU130" s="2881"/>
      <c r="GV130" s="49"/>
      <c r="GW130" s="49"/>
      <c r="GX130" s="49"/>
      <c r="GY130" s="49"/>
      <c r="GZ130" s="49"/>
      <c r="HA130" s="49"/>
      <c r="HB130" s="49"/>
      <c r="HC130" s="49"/>
      <c r="HD130" s="49"/>
      <c r="HE130" s="49"/>
      <c r="HF130" s="49"/>
      <c r="HG130" s="49"/>
      <c r="HH130" s="49"/>
      <c r="HI130" s="49"/>
      <c r="HJ130" s="49"/>
      <c r="HK130" s="49"/>
      <c r="HL130" s="49"/>
      <c r="HM130" s="49"/>
      <c r="HN130" s="49"/>
      <c r="HO130" s="49"/>
      <c r="HP130" s="49"/>
      <c r="HQ130" s="49"/>
      <c r="HR130" s="49"/>
      <c r="HS130" s="49"/>
      <c r="HT130" s="49"/>
      <c r="HU130" s="49"/>
      <c r="HV130" s="49"/>
      <c r="HW130" s="49"/>
      <c r="HX130" s="49"/>
      <c r="HY130" s="49"/>
      <c r="HZ130" s="49"/>
      <c r="IA130" s="49"/>
      <c r="IB130" s="49"/>
      <c r="IC130" s="49"/>
      <c r="ID130" s="49"/>
      <c r="IE130" s="49"/>
      <c r="IF130" s="49"/>
      <c r="IG130" s="49"/>
      <c r="IH130" s="49"/>
      <c r="II130" s="49"/>
      <c r="IJ130" s="49"/>
      <c r="IK130" s="49"/>
      <c r="IL130" s="49"/>
      <c r="IM130" s="49"/>
      <c r="IN130" s="49"/>
      <c r="IO130" s="49"/>
      <c r="IP130" s="49"/>
      <c r="IQ130" s="49"/>
      <c r="IR130" s="49"/>
      <c r="IS130" s="49"/>
      <c r="IT130" s="49"/>
      <c r="IU130" s="49"/>
      <c r="IV130" s="49"/>
    </row>
    <row r="131" spans="1:256" s="198" customFormat="1" ht="12" customHeight="1">
      <c r="A131" s="1252"/>
      <c r="B131" s="200"/>
      <c r="C131" s="486"/>
      <c r="D131" s="203"/>
      <c r="E131" s="203"/>
      <c r="F131" s="203"/>
      <c r="G131" s="203"/>
      <c r="H131" s="203"/>
      <c r="I131" s="203"/>
      <c r="J131" s="203"/>
      <c r="K131" s="175"/>
      <c r="L131" s="203"/>
      <c r="M131" s="203"/>
      <c r="N131" s="203"/>
      <c r="O131" s="203"/>
      <c r="P131" s="203"/>
      <c r="Q131" s="1197"/>
      <c r="R131" s="998"/>
      <c r="S131" s="999"/>
      <c r="T131" s="2801"/>
      <c r="U131" s="233"/>
      <c r="V131" s="49"/>
      <c r="W131" s="218"/>
      <c r="X131" s="218"/>
      <c r="Y131" s="216"/>
      <c r="Z131" s="216"/>
      <c r="AA131" s="215"/>
      <c r="AB131" s="216"/>
      <c r="AC131" s="216"/>
      <c r="AD131" s="239"/>
      <c r="AE131" s="216"/>
      <c r="AF131" s="216"/>
      <c r="AG131" s="216"/>
      <c r="AH131" s="216"/>
      <c r="AI131" s="216"/>
      <c r="AJ131" s="216"/>
      <c r="AK131" s="239"/>
      <c r="AL131" s="216"/>
      <c r="AM131" s="216"/>
      <c r="AN131" s="216"/>
      <c r="AO131" s="216"/>
      <c r="AP131" s="216"/>
      <c r="AQ131" s="216"/>
      <c r="AR131" s="216"/>
      <c r="AS131" s="216"/>
      <c r="AT131" s="216"/>
      <c r="AU131" s="216"/>
      <c r="AV131" s="217"/>
      <c r="AW131" s="355"/>
      <c r="AX131" s="217"/>
      <c r="AY131" s="1559"/>
      <c r="AZ131" s="249"/>
      <c r="BA131" s="221"/>
      <c r="BB131" s="300"/>
      <c r="BC131" s="217"/>
      <c r="BD131" s="392"/>
      <c r="BE131" s="1244"/>
      <c r="BF131" s="249"/>
      <c r="BG131" s="252"/>
      <c r="BH131" s="1469"/>
      <c r="BI131" s="216"/>
      <c r="BJ131" s="1469"/>
      <c r="BK131" s="1459"/>
      <c r="BL131" s="260"/>
      <c r="BM131" s="214"/>
      <c r="BN131" s="293"/>
      <c r="BO131" s="217"/>
      <c r="BP131" s="355"/>
      <c r="BQ131" s="217"/>
      <c r="BR131" s="1193"/>
      <c r="BS131" s="249"/>
      <c r="BT131" s="216"/>
      <c r="BU131" s="1195"/>
      <c r="BV131" s="249"/>
      <c r="BW131" s="216"/>
      <c r="BX131" s="1195"/>
      <c r="BY131" s="249"/>
      <c r="BZ131" s="216"/>
      <c r="CA131" s="1195"/>
      <c r="CB131" s="249"/>
      <c r="CC131" s="216"/>
      <c r="CD131" s="1195"/>
      <c r="CE131" s="249"/>
      <c r="CF131" s="216"/>
      <c r="CG131" s="1195"/>
      <c r="CH131" s="249"/>
      <c r="CI131" s="216"/>
      <c r="CJ131" s="1195"/>
      <c r="CK131" s="249"/>
      <c r="CL131" s="216"/>
      <c r="CM131" s="1194"/>
      <c r="CN131" s="1524"/>
      <c r="CO131" s="217"/>
      <c r="CP131" s="1193"/>
      <c r="CQ131" s="293"/>
      <c r="CR131" s="217"/>
      <c r="CS131" s="305"/>
      <c r="CT131" s="249"/>
      <c r="CU131" s="216"/>
      <c r="CV131" s="1193"/>
      <c r="CW131" s="249"/>
      <c r="CX131" s="216"/>
      <c r="CY131" s="305"/>
      <c r="CZ131" s="249"/>
      <c r="DA131" s="216"/>
      <c r="DB131" s="307"/>
      <c r="DC131" s="328"/>
      <c r="DD131" s="322"/>
      <c r="DE131" s="305"/>
      <c r="DF131" s="249"/>
      <c r="DG131" s="216"/>
      <c r="DH131" s="305"/>
      <c r="DI131" s="249"/>
      <c r="DJ131" s="216"/>
      <c r="DK131" s="309"/>
      <c r="DL131" s="293"/>
      <c r="DM131" s="326"/>
      <c r="DN131" s="1256"/>
      <c r="DO131" s="214"/>
      <c r="DP131" s="1257"/>
      <c r="DQ131" s="1258"/>
      <c r="DR131" s="305"/>
      <c r="DS131" s="249"/>
      <c r="DT131" s="216"/>
      <c r="DU131" s="2518"/>
      <c r="DV131"/>
      <c r="DW131"/>
      <c r="DX131" s="305"/>
      <c r="DY131" s="249"/>
      <c r="DZ131" s="221"/>
      <c r="EA131" s="388"/>
      <c r="EB131" s="249"/>
      <c r="EC131" s="216"/>
      <c r="ED131" s="1461"/>
      <c r="EE131" s="249"/>
      <c r="EF131" s="216"/>
      <c r="EG131" s="355"/>
      <c r="EH131" s="1425"/>
      <c r="EI131" s="1470"/>
      <c r="EJ131" s="249"/>
      <c r="EK131" s="221"/>
      <c r="EL131" s="313"/>
      <c r="EM131" s="249"/>
      <c r="EN131" s="221"/>
      <c r="EO131" s="313"/>
      <c r="EP131" s="249"/>
      <c r="EQ131" s="216"/>
      <c r="ER131" s="313"/>
      <c r="ES131" s="249"/>
      <c r="ET131" s="216"/>
      <c r="EU131" s="313"/>
      <c r="EV131" s="249"/>
      <c r="EW131" s="216"/>
      <c r="EX131" s="2505"/>
      <c r="EY131" s="249"/>
      <c r="EZ131" s="221"/>
      <c r="FA131" s="313"/>
      <c r="FB131" s="249"/>
      <c r="FC131" s="221"/>
      <c r="FD131" s="313"/>
      <c r="FE131" s="249"/>
      <c r="FF131" s="221"/>
      <c r="FG131" s="313"/>
      <c r="FH131" s="249"/>
      <c r="FI131" s="216"/>
      <c r="FJ131" s="1435"/>
      <c r="FK131" s="216"/>
      <c r="FL131" s="1268"/>
      <c r="FM131" s="1655"/>
      <c r="FN131" s="1268"/>
      <c r="FO131" s="1655"/>
      <c r="FP131" s="1268"/>
      <c r="FQ131" s="1656"/>
      <c r="FR131" s="249"/>
      <c r="FS131" s="216"/>
      <c r="FT131" s="1657"/>
      <c r="FU131" s="1658"/>
      <c r="FV131" s="242"/>
      <c r="FW131" s="2522"/>
      <c r="FX131" s="2523"/>
      <c r="FY131" s="336"/>
      <c r="FZ131" s="223"/>
      <c r="GA131" s="338"/>
      <c r="GB131" s="204"/>
      <c r="GC131" s="339"/>
      <c r="GD131" s="342"/>
      <c r="GE131" s="199"/>
      <c r="GF131" s="199"/>
      <c r="GG131" s="199"/>
      <c r="GH131" s="199"/>
      <c r="GI131" s="199"/>
      <c r="GJ131" s="199"/>
      <c r="GK131" s="199"/>
      <c r="GL131" s="49"/>
      <c r="GM131" s="28"/>
      <c r="GN131" s="28"/>
      <c r="GO131" s="322"/>
      <c r="GP131" s="1190"/>
      <c r="GQ131" s="1190"/>
      <c r="GR131" s="49"/>
      <c r="GS131" s="2879"/>
      <c r="GT131" s="2880"/>
      <c r="GU131" s="2881"/>
      <c r="GV131" s="49"/>
      <c r="GW131" s="49"/>
      <c r="GX131" s="49"/>
      <c r="GY131" s="49"/>
      <c r="GZ131" s="49"/>
      <c r="HA131" s="49"/>
      <c r="HB131" s="49"/>
      <c r="HC131" s="49"/>
      <c r="HD131" s="49"/>
      <c r="HE131" s="49"/>
      <c r="HF131" s="49"/>
      <c r="HG131" s="49"/>
      <c r="HH131" s="49"/>
      <c r="HI131" s="49"/>
      <c r="HJ131" s="49"/>
      <c r="HK131" s="49"/>
      <c r="HL131" s="49"/>
      <c r="HM131" s="49"/>
      <c r="HN131" s="49"/>
      <c r="HO131" s="49"/>
      <c r="HP131" s="49"/>
      <c r="HQ131" s="49"/>
      <c r="HR131" s="49"/>
      <c r="HS131" s="49"/>
      <c r="HT131" s="49"/>
      <c r="HU131" s="49"/>
      <c r="HV131" s="49"/>
      <c r="HW131" s="49"/>
      <c r="HX131" s="49"/>
      <c r="HY131" s="49"/>
      <c r="HZ131" s="49"/>
      <c r="IA131" s="49"/>
      <c r="IB131" s="49"/>
      <c r="IC131" s="49"/>
      <c r="ID131" s="49"/>
      <c r="IE131" s="49"/>
      <c r="IF131" s="49"/>
      <c r="IG131" s="49"/>
      <c r="IH131" s="49"/>
      <c r="II131" s="49"/>
      <c r="IJ131" s="49"/>
      <c r="IK131" s="49"/>
      <c r="IL131" s="49"/>
      <c r="IM131" s="49"/>
      <c r="IN131" s="49"/>
      <c r="IO131" s="49"/>
      <c r="IP131" s="49"/>
      <c r="IQ131" s="49"/>
      <c r="IR131" s="49"/>
      <c r="IS131" s="49"/>
      <c r="IT131" s="49"/>
      <c r="IU131" s="49"/>
      <c r="IV131" s="49"/>
    </row>
    <row r="132" spans="1:256" s="198" customFormat="1" ht="12" customHeight="1">
      <c r="A132" s="1252"/>
      <c r="B132" s="200"/>
      <c r="C132" s="486"/>
      <c r="D132" s="203"/>
      <c r="E132" s="203"/>
      <c r="F132" s="203"/>
      <c r="G132" s="203"/>
      <c r="H132" s="203"/>
      <c r="I132" s="203"/>
      <c r="J132" s="203"/>
      <c r="K132" s="175"/>
      <c r="L132" s="203"/>
      <c r="M132" s="203"/>
      <c r="N132" s="203"/>
      <c r="O132" s="203"/>
      <c r="P132" s="203"/>
      <c r="Q132" s="1197"/>
      <c r="R132" s="998"/>
      <c r="S132" s="999"/>
      <c r="T132" s="2801"/>
      <c r="U132" s="233"/>
      <c r="V132" s="49"/>
      <c r="W132" s="218"/>
      <c r="X132" s="218"/>
      <c r="Y132" s="216"/>
      <c r="Z132" s="216"/>
      <c r="AA132" s="215"/>
      <c r="AB132" s="216"/>
      <c r="AC132" s="216"/>
      <c r="AD132" s="239"/>
      <c r="AE132" s="216"/>
      <c r="AF132" s="216"/>
      <c r="AG132" s="216"/>
      <c r="AH132" s="216"/>
      <c r="AI132" s="216"/>
      <c r="AJ132" s="216"/>
      <c r="AK132" s="239"/>
      <c r="AL132" s="216"/>
      <c r="AM132" s="216"/>
      <c r="AN132" s="216"/>
      <c r="AO132" s="216"/>
      <c r="AP132" s="216"/>
      <c r="AQ132" s="216"/>
      <c r="AR132" s="216"/>
      <c r="AS132" s="216"/>
      <c r="AT132" s="216"/>
      <c r="AU132" s="216"/>
      <c r="AV132" s="217"/>
      <c r="AW132" s="355"/>
      <c r="AX132" s="217"/>
      <c r="AY132" s="1559"/>
      <c r="AZ132" s="249"/>
      <c r="BA132" s="221"/>
      <c r="BB132" s="300"/>
      <c r="BC132" s="217"/>
      <c r="BD132" s="392"/>
      <c r="BE132" s="1244"/>
      <c r="BF132" s="249"/>
      <c r="BG132" s="252"/>
      <c r="BH132" s="1469"/>
      <c r="BI132" s="216"/>
      <c r="BJ132" s="1469"/>
      <c r="BK132" s="1459"/>
      <c r="BL132" s="260"/>
      <c r="BM132" s="214"/>
      <c r="BN132" s="293"/>
      <c r="BO132" s="217"/>
      <c r="BP132" s="355"/>
      <c r="BQ132" s="217"/>
      <c r="BR132" s="1193"/>
      <c r="BS132" s="249"/>
      <c r="BT132" s="216"/>
      <c r="BU132" s="1195"/>
      <c r="BV132" s="249"/>
      <c r="BW132" s="216"/>
      <c r="BX132" s="1195"/>
      <c r="BY132" s="249"/>
      <c r="BZ132" s="216"/>
      <c r="CA132" s="1195"/>
      <c r="CB132" s="249"/>
      <c r="CC132" s="216"/>
      <c r="CD132" s="1195"/>
      <c r="CE132" s="249"/>
      <c r="CF132" s="216"/>
      <c r="CG132" s="1195"/>
      <c r="CH132" s="249"/>
      <c r="CI132" s="216"/>
      <c r="CJ132" s="1195"/>
      <c r="CK132" s="249"/>
      <c r="CL132" s="216"/>
      <c r="CM132" s="1194"/>
      <c r="CN132" s="1524"/>
      <c r="CO132" s="217"/>
      <c r="CP132" s="1193"/>
      <c r="CQ132" s="293"/>
      <c r="CR132" s="217"/>
      <c r="CS132" s="305"/>
      <c r="CT132" s="249"/>
      <c r="CU132" s="216"/>
      <c r="CV132" s="1193"/>
      <c r="CW132" s="249"/>
      <c r="CX132" s="216"/>
      <c r="CY132" s="305"/>
      <c r="CZ132" s="249"/>
      <c r="DA132" s="216"/>
      <c r="DB132" s="307"/>
      <c r="DC132" s="328"/>
      <c r="DD132" s="322"/>
      <c r="DE132" s="305"/>
      <c r="DF132" s="249"/>
      <c r="DG132" s="216"/>
      <c r="DH132" s="305"/>
      <c r="DI132" s="249"/>
      <c r="DJ132" s="216"/>
      <c r="DK132" s="309"/>
      <c r="DL132" s="293"/>
      <c r="DM132" s="326"/>
      <c r="DN132" s="1256"/>
      <c r="DO132" s="214"/>
      <c r="DP132" s="1257"/>
      <c r="DQ132" s="1258"/>
      <c r="DR132" s="305"/>
      <c r="DS132" s="249"/>
      <c r="DT132" s="216"/>
      <c r="DU132" s="2518"/>
      <c r="DV132"/>
      <c r="DW132"/>
      <c r="DX132" s="305"/>
      <c r="DY132" s="249"/>
      <c r="DZ132" s="221"/>
      <c r="EA132" s="388"/>
      <c r="EB132" s="249"/>
      <c r="EC132" s="216"/>
      <c r="ED132" s="1461"/>
      <c r="EE132" s="249"/>
      <c r="EF132" s="216"/>
      <c r="EG132" s="355"/>
      <c r="EH132" s="1425"/>
      <c r="EI132" s="1470"/>
      <c r="EJ132" s="249"/>
      <c r="EK132" s="221"/>
      <c r="EL132" s="313"/>
      <c r="EM132" s="249"/>
      <c r="EN132" s="221"/>
      <c r="EO132" s="313"/>
      <c r="EP132" s="249"/>
      <c r="EQ132" s="216"/>
      <c r="ER132" s="313"/>
      <c r="ES132" s="249"/>
      <c r="ET132" s="216"/>
      <c r="EU132" s="313"/>
      <c r="EV132" s="249"/>
      <c r="EW132" s="216"/>
      <c r="EX132" s="2505"/>
      <c r="EY132" s="249"/>
      <c r="EZ132" s="221"/>
      <c r="FA132" s="313"/>
      <c r="FB132" s="249"/>
      <c r="FC132" s="221"/>
      <c r="FD132" s="313"/>
      <c r="FE132" s="249"/>
      <c r="FF132" s="221"/>
      <c r="FG132" s="313"/>
      <c r="FH132" s="249"/>
      <c r="FI132" s="216"/>
      <c r="FJ132" s="1435"/>
      <c r="FK132" s="216"/>
      <c r="FL132" s="1268"/>
      <c r="FM132" s="1655"/>
      <c r="FN132" s="1268"/>
      <c r="FO132" s="1655"/>
      <c r="FP132" s="1268"/>
      <c r="FQ132" s="1656"/>
      <c r="FR132" s="249"/>
      <c r="FS132" s="216"/>
      <c r="FT132" s="1657"/>
      <c r="FU132" s="1658"/>
      <c r="FV132" s="242"/>
      <c r="FW132" s="2522"/>
      <c r="FX132" s="2523"/>
      <c r="FY132" s="336"/>
      <c r="FZ132" s="223"/>
      <c r="GA132" s="338"/>
      <c r="GB132" s="204"/>
      <c r="GC132" s="339"/>
      <c r="GD132" s="342"/>
      <c r="GE132" s="199"/>
      <c r="GF132" s="199"/>
      <c r="GG132" s="199"/>
      <c r="GH132" s="199"/>
      <c r="GI132" s="199"/>
      <c r="GJ132" s="199"/>
      <c r="GK132" s="199"/>
      <c r="GL132" s="49"/>
      <c r="GM132" s="28"/>
      <c r="GN132" s="28"/>
      <c r="GO132" s="322"/>
      <c r="GP132" s="1190"/>
      <c r="GQ132" s="1190"/>
      <c r="GR132" s="49"/>
      <c r="GS132" s="2879"/>
      <c r="GT132" s="2880"/>
      <c r="GU132" s="2881"/>
      <c r="GV132" s="49"/>
      <c r="GW132" s="49"/>
      <c r="GX132" s="49"/>
      <c r="GY132" s="49"/>
      <c r="GZ132" s="49"/>
      <c r="HA132" s="49"/>
      <c r="HB132" s="49"/>
      <c r="HC132" s="49"/>
      <c r="HD132" s="49"/>
      <c r="HE132" s="49"/>
      <c r="HF132" s="49"/>
      <c r="HG132" s="49"/>
      <c r="HH132" s="49"/>
      <c r="HI132" s="49"/>
      <c r="HJ132" s="49"/>
      <c r="HK132" s="49"/>
      <c r="HL132" s="49"/>
      <c r="HM132" s="49"/>
      <c r="HN132" s="49"/>
      <c r="HO132" s="49"/>
      <c r="HP132" s="49"/>
      <c r="HQ132" s="49"/>
      <c r="HR132" s="49"/>
      <c r="HS132" s="49"/>
      <c r="HT132" s="49"/>
      <c r="HU132" s="49"/>
      <c r="HV132" s="49"/>
      <c r="HW132" s="49"/>
      <c r="HX132" s="49"/>
      <c r="HY132" s="49"/>
      <c r="HZ132" s="49"/>
      <c r="IA132" s="49"/>
      <c r="IB132" s="49"/>
      <c r="IC132" s="49"/>
      <c r="ID132" s="49"/>
      <c r="IE132" s="49"/>
      <c r="IF132" s="49"/>
      <c r="IG132" s="49"/>
      <c r="IH132" s="49"/>
      <c r="II132" s="49"/>
      <c r="IJ132" s="49"/>
      <c r="IK132" s="49"/>
      <c r="IL132" s="49"/>
      <c r="IM132" s="49"/>
      <c r="IN132" s="49"/>
      <c r="IO132" s="49"/>
      <c r="IP132" s="49"/>
      <c r="IQ132" s="49"/>
      <c r="IR132" s="49"/>
      <c r="IS132" s="49"/>
      <c r="IT132" s="49"/>
      <c r="IU132" s="49"/>
      <c r="IV132" s="49"/>
    </row>
    <row r="133" spans="1:256" s="198" customFormat="1" ht="12" customHeight="1">
      <c r="A133" s="1252"/>
      <c r="B133" s="200"/>
      <c r="C133" s="486"/>
      <c r="D133" s="203"/>
      <c r="E133" s="203"/>
      <c r="F133" s="203"/>
      <c r="G133" s="203"/>
      <c r="H133" s="203"/>
      <c r="I133" s="203"/>
      <c r="J133" s="203"/>
      <c r="K133" s="175"/>
      <c r="L133" s="203"/>
      <c r="M133" s="203"/>
      <c r="N133" s="203"/>
      <c r="O133" s="203"/>
      <c r="P133" s="203"/>
      <c r="Q133" s="1197"/>
      <c r="R133" s="998"/>
      <c r="S133" s="999"/>
      <c r="T133" s="2801"/>
      <c r="U133" s="233"/>
      <c r="V133" s="49"/>
      <c r="W133" s="218"/>
      <c r="X133" s="218"/>
      <c r="Y133" s="216"/>
      <c r="Z133" s="216"/>
      <c r="AA133" s="215"/>
      <c r="AB133" s="216"/>
      <c r="AC133" s="216"/>
      <c r="AD133" s="239"/>
      <c r="AE133" s="216"/>
      <c r="AF133" s="216"/>
      <c r="AG133" s="216"/>
      <c r="AH133" s="216"/>
      <c r="AI133" s="216"/>
      <c r="AJ133" s="216"/>
      <c r="AK133" s="239"/>
      <c r="AL133" s="216"/>
      <c r="AM133" s="216"/>
      <c r="AN133" s="216"/>
      <c r="AO133" s="216"/>
      <c r="AP133" s="216"/>
      <c r="AQ133" s="216"/>
      <c r="AR133" s="216"/>
      <c r="AS133" s="216"/>
      <c r="AT133" s="216"/>
      <c r="AU133" s="216"/>
      <c r="AV133" s="217"/>
      <c r="AW133" s="355"/>
      <c r="AX133" s="217"/>
      <c r="AY133" s="1559"/>
      <c r="AZ133" s="249"/>
      <c r="BA133" s="221"/>
      <c r="BB133" s="300"/>
      <c r="BC133" s="217"/>
      <c r="BD133" s="392"/>
      <c r="BE133" s="1244"/>
      <c r="BF133" s="249"/>
      <c r="BG133" s="252"/>
      <c r="BH133" s="1469"/>
      <c r="BI133" s="216"/>
      <c r="BJ133" s="1469"/>
      <c r="BK133" s="1459"/>
      <c r="BL133" s="260"/>
      <c r="BM133" s="214"/>
      <c r="BN133" s="293"/>
      <c r="BO133" s="217"/>
      <c r="BP133" s="355"/>
      <c r="BQ133" s="217"/>
      <c r="BR133" s="1193"/>
      <c r="BS133" s="249"/>
      <c r="BT133" s="216"/>
      <c r="BU133" s="1195"/>
      <c r="BV133" s="249"/>
      <c r="BW133" s="216"/>
      <c r="BX133" s="1195"/>
      <c r="BY133" s="249"/>
      <c r="BZ133" s="216"/>
      <c r="CA133" s="1195"/>
      <c r="CB133" s="249"/>
      <c r="CC133" s="216"/>
      <c r="CD133" s="1195"/>
      <c r="CE133" s="249"/>
      <c r="CF133" s="216"/>
      <c r="CG133" s="1195"/>
      <c r="CH133" s="249"/>
      <c r="CI133" s="216"/>
      <c r="CJ133" s="1195"/>
      <c r="CK133" s="249"/>
      <c r="CL133" s="216"/>
      <c r="CM133" s="1194"/>
      <c r="CN133" s="1524"/>
      <c r="CO133" s="217"/>
      <c r="CP133" s="1193"/>
      <c r="CQ133" s="293"/>
      <c r="CR133" s="217"/>
      <c r="CS133" s="305"/>
      <c r="CT133" s="249"/>
      <c r="CU133" s="216"/>
      <c r="CV133" s="1193"/>
      <c r="CW133" s="249"/>
      <c r="CX133" s="216"/>
      <c r="CY133" s="305"/>
      <c r="CZ133" s="249"/>
      <c r="DA133" s="216"/>
      <c r="DB133" s="307"/>
      <c r="DC133" s="328"/>
      <c r="DD133" s="322"/>
      <c r="DE133" s="305"/>
      <c r="DF133" s="249"/>
      <c r="DG133" s="216"/>
      <c r="DH133" s="305"/>
      <c r="DI133" s="249"/>
      <c r="DJ133" s="216"/>
      <c r="DK133" s="309"/>
      <c r="DL133" s="293"/>
      <c r="DM133" s="326"/>
      <c r="DN133" s="1256"/>
      <c r="DO133" s="214"/>
      <c r="DP133" s="1257"/>
      <c r="DQ133" s="1258"/>
      <c r="DR133" s="305"/>
      <c r="DS133" s="249"/>
      <c r="DT133" s="216"/>
      <c r="DU133" s="2518"/>
      <c r="DV133"/>
      <c r="DW133"/>
      <c r="DX133" s="305"/>
      <c r="DY133" s="249"/>
      <c r="DZ133" s="221"/>
      <c r="EA133" s="388"/>
      <c r="EB133" s="249"/>
      <c r="EC133" s="216"/>
      <c r="ED133" s="1461"/>
      <c r="EE133" s="249"/>
      <c r="EF133" s="216"/>
      <c r="EG133" s="355"/>
      <c r="EH133" s="1425"/>
      <c r="EI133" s="1470"/>
      <c r="EJ133" s="249"/>
      <c r="EK133" s="221"/>
      <c r="EL133" s="313"/>
      <c r="EM133" s="249"/>
      <c r="EN133" s="221"/>
      <c r="EO133" s="313"/>
      <c r="EP133" s="249"/>
      <c r="EQ133" s="216"/>
      <c r="ER133" s="313"/>
      <c r="ES133" s="249"/>
      <c r="ET133" s="216"/>
      <c r="EU133" s="313"/>
      <c r="EV133" s="249"/>
      <c r="EW133" s="216"/>
      <c r="EX133" s="2505"/>
      <c r="EY133" s="249"/>
      <c r="EZ133" s="221"/>
      <c r="FA133" s="313"/>
      <c r="FB133" s="249"/>
      <c r="FC133" s="221"/>
      <c r="FD133" s="313"/>
      <c r="FE133" s="249"/>
      <c r="FF133" s="221"/>
      <c r="FG133" s="313"/>
      <c r="FH133" s="249"/>
      <c r="FI133" s="216"/>
      <c r="FJ133" s="1435"/>
      <c r="FK133" s="216"/>
      <c r="FL133" s="1268"/>
      <c r="FM133" s="1655"/>
      <c r="FN133" s="1268"/>
      <c r="FO133" s="1655"/>
      <c r="FP133" s="1268"/>
      <c r="FQ133" s="1656"/>
      <c r="FR133" s="249"/>
      <c r="FS133" s="216"/>
      <c r="FT133" s="1657"/>
      <c r="FU133" s="1658"/>
      <c r="FV133" s="242"/>
      <c r="FW133" s="2522"/>
      <c r="FX133" s="2523"/>
      <c r="FY133" s="336"/>
      <c r="FZ133" s="223"/>
      <c r="GA133" s="338"/>
      <c r="GB133" s="204"/>
      <c r="GC133" s="339"/>
      <c r="GD133" s="342"/>
      <c r="GE133" s="199"/>
      <c r="GF133" s="199"/>
      <c r="GG133" s="199"/>
      <c r="GH133" s="199"/>
      <c r="GI133" s="199"/>
      <c r="GJ133" s="199"/>
      <c r="GK133" s="199"/>
      <c r="GL133" s="49"/>
      <c r="GM133" s="28"/>
      <c r="GN133" s="28"/>
      <c r="GO133" s="322"/>
      <c r="GP133" s="1190"/>
      <c r="GQ133" s="1190"/>
      <c r="GR133" s="49"/>
      <c r="GS133" s="2879"/>
      <c r="GT133" s="2880"/>
      <c r="GU133" s="2881"/>
      <c r="GV133" s="49"/>
      <c r="GW133" s="49"/>
      <c r="GX133" s="49"/>
      <c r="GY133" s="49"/>
      <c r="GZ133" s="49"/>
      <c r="HA133" s="49"/>
      <c r="HB133" s="49"/>
      <c r="HC133" s="49"/>
      <c r="HD133" s="49"/>
      <c r="HE133" s="49"/>
      <c r="HF133" s="49"/>
      <c r="HG133" s="49"/>
      <c r="HH133" s="49"/>
      <c r="HI133" s="49"/>
      <c r="HJ133" s="49"/>
      <c r="HK133" s="49"/>
      <c r="HL133" s="49"/>
      <c r="HM133" s="49"/>
      <c r="HN133" s="49"/>
      <c r="HO133" s="49"/>
      <c r="HP133" s="49"/>
      <c r="HQ133" s="49"/>
      <c r="HR133" s="49"/>
      <c r="HS133" s="49"/>
      <c r="HT133" s="49"/>
      <c r="HU133" s="49"/>
      <c r="HV133" s="49"/>
      <c r="HW133" s="49"/>
      <c r="HX133" s="49"/>
      <c r="HY133" s="49"/>
      <c r="HZ133" s="49"/>
      <c r="IA133" s="49"/>
      <c r="IB133" s="49"/>
      <c r="IC133" s="49"/>
      <c r="ID133" s="49"/>
      <c r="IE133" s="49"/>
      <c r="IF133" s="49"/>
      <c r="IG133" s="49"/>
      <c r="IH133" s="49"/>
      <c r="II133" s="49"/>
      <c r="IJ133" s="49"/>
      <c r="IK133" s="49"/>
      <c r="IL133" s="49"/>
      <c r="IM133" s="49"/>
      <c r="IN133" s="49"/>
      <c r="IO133" s="49"/>
      <c r="IP133" s="49"/>
      <c r="IQ133" s="49"/>
      <c r="IR133" s="49"/>
      <c r="IS133" s="49"/>
      <c r="IT133" s="49"/>
      <c r="IU133" s="49"/>
      <c r="IV133" s="49"/>
    </row>
    <row r="134" spans="1:256" s="198" customFormat="1" ht="12" customHeight="1">
      <c r="A134" s="1252"/>
      <c r="B134" s="200"/>
      <c r="C134" s="486"/>
      <c r="D134" s="203"/>
      <c r="E134" s="203"/>
      <c r="F134" s="203"/>
      <c r="G134" s="203"/>
      <c r="H134" s="203"/>
      <c r="I134" s="203"/>
      <c r="J134" s="203"/>
      <c r="K134" s="175"/>
      <c r="L134" s="203"/>
      <c r="M134" s="203"/>
      <c r="N134" s="203"/>
      <c r="O134" s="203"/>
      <c r="P134" s="203"/>
      <c r="Q134" s="1197"/>
      <c r="R134" s="998"/>
      <c r="S134" s="999"/>
      <c r="T134" s="2801"/>
      <c r="U134" s="233"/>
      <c r="V134" s="49"/>
      <c r="W134" s="218"/>
      <c r="X134" s="218"/>
      <c r="Y134" s="216"/>
      <c r="Z134" s="216"/>
      <c r="AA134" s="215"/>
      <c r="AB134" s="216"/>
      <c r="AC134" s="216"/>
      <c r="AD134" s="239"/>
      <c r="AE134" s="216"/>
      <c r="AF134" s="216"/>
      <c r="AG134" s="216"/>
      <c r="AH134" s="216"/>
      <c r="AI134" s="216"/>
      <c r="AJ134" s="216"/>
      <c r="AK134" s="239"/>
      <c r="AL134" s="216"/>
      <c r="AM134" s="216"/>
      <c r="AN134" s="216"/>
      <c r="AO134" s="216"/>
      <c r="AP134" s="216"/>
      <c r="AQ134" s="216"/>
      <c r="AR134" s="216"/>
      <c r="AS134" s="216"/>
      <c r="AT134" s="216"/>
      <c r="AU134" s="216"/>
      <c r="AV134" s="217"/>
      <c r="AW134" s="355"/>
      <c r="AX134" s="217"/>
      <c r="AY134" s="1559"/>
      <c r="AZ134" s="249"/>
      <c r="BA134" s="221"/>
      <c r="BB134" s="300"/>
      <c r="BC134" s="217"/>
      <c r="BD134" s="392"/>
      <c r="BE134" s="1244"/>
      <c r="BF134" s="249"/>
      <c r="BG134" s="252"/>
      <c r="BH134" s="1469"/>
      <c r="BI134" s="216"/>
      <c r="BJ134" s="1469"/>
      <c r="BK134" s="1459"/>
      <c r="BL134" s="260"/>
      <c r="BM134" s="214"/>
      <c r="BN134" s="293"/>
      <c r="BO134" s="217"/>
      <c r="BP134" s="355"/>
      <c r="BQ134" s="217"/>
      <c r="BR134" s="1193"/>
      <c r="BS134" s="249"/>
      <c r="BT134" s="216"/>
      <c r="BU134" s="1195"/>
      <c r="BV134" s="249"/>
      <c r="BW134" s="216"/>
      <c r="BX134" s="1195"/>
      <c r="BY134" s="249"/>
      <c r="BZ134" s="216"/>
      <c r="CA134" s="1195"/>
      <c r="CB134" s="249"/>
      <c r="CC134" s="216"/>
      <c r="CD134" s="1195"/>
      <c r="CE134" s="249"/>
      <c r="CF134" s="216"/>
      <c r="CG134" s="1195"/>
      <c r="CH134" s="249"/>
      <c r="CI134" s="216"/>
      <c r="CJ134" s="1195"/>
      <c r="CK134" s="249"/>
      <c r="CL134" s="216"/>
      <c r="CM134" s="1194"/>
      <c r="CN134" s="1524"/>
      <c r="CO134" s="217"/>
      <c r="CP134" s="1193"/>
      <c r="CQ134" s="293"/>
      <c r="CR134" s="217"/>
      <c r="CS134" s="305"/>
      <c r="CT134" s="249"/>
      <c r="CU134" s="216"/>
      <c r="CV134" s="1193"/>
      <c r="CW134" s="249"/>
      <c r="CX134" s="216"/>
      <c r="CY134" s="305"/>
      <c r="CZ134" s="249"/>
      <c r="DA134" s="216"/>
      <c r="DB134" s="307"/>
      <c r="DC134" s="328"/>
      <c r="DD134" s="322"/>
      <c r="DE134" s="305"/>
      <c r="DF134" s="249"/>
      <c r="DG134" s="216"/>
      <c r="DH134" s="305"/>
      <c r="DI134" s="249"/>
      <c r="DJ134" s="216"/>
      <c r="DK134" s="309"/>
      <c r="DL134" s="293"/>
      <c r="DM134" s="326"/>
      <c r="DN134" s="1256"/>
      <c r="DO134" s="214"/>
      <c r="DP134" s="1257"/>
      <c r="DQ134" s="1258"/>
      <c r="DR134" s="305"/>
      <c r="DS134" s="249"/>
      <c r="DT134" s="216"/>
      <c r="DU134" s="2518"/>
      <c r="DV134"/>
      <c r="DW134"/>
      <c r="DX134" s="305"/>
      <c r="DY134" s="249"/>
      <c r="DZ134" s="221"/>
      <c r="EA134" s="388"/>
      <c r="EB134" s="249"/>
      <c r="EC134" s="216"/>
      <c r="ED134" s="1461"/>
      <c r="EE134" s="249"/>
      <c r="EF134" s="216"/>
      <c r="EG134" s="355"/>
      <c r="EH134" s="1425"/>
      <c r="EI134" s="1470"/>
      <c r="EJ134" s="249"/>
      <c r="EK134" s="221"/>
      <c r="EL134" s="313"/>
      <c r="EM134" s="249"/>
      <c r="EN134" s="221"/>
      <c r="EO134" s="313"/>
      <c r="EP134" s="249"/>
      <c r="EQ134" s="216"/>
      <c r="ER134" s="313"/>
      <c r="ES134" s="249"/>
      <c r="ET134" s="216"/>
      <c r="EU134" s="313"/>
      <c r="EV134" s="249"/>
      <c r="EW134" s="216"/>
      <c r="EX134" s="2505"/>
      <c r="EY134" s="249"/>
      <c r="EZ134" s="221"/>
      <c r="FA134" s="313"/>
      <c r="FB134" s="249"/>
      <c r="FC134" s="221"/>
      <c r="FD134" s="313"/>
      <c r="FE134" s="249"/>
      <c r="FF134" s="221"/>
      <c r="FG134" s="313"/>
      <c r="FH134" s="249"/>
      <c r="FI134" s="216"/>
      <c r="FJ134" s="1435"/>
      <c r="FK134" s="216"/>
      <c r="FL134" s="1268"/>
      <c r="FM134" s="1655"/>
      <c r="FN134" s="1268"/>
      <c r="FO134" s="1655"/>
      <c r="FP134" s="1268"/>
      <c r="FQ134" s="1656"/>
      <c r="FR134" s="249"/>
      <c r="FS134" s="216"/>
      <c r="FT134" s="1657"/>
      <c r="FU134" s="1658"/>
      <c r="FV134" s="242"/>
      <c r="FW134" s="2522"/>
      <c r="FX134" s="2523"/>
      <c r="FY134" s="336"/>
      <c r="FZ134" s="223"/>
      <c r="GA134" s="338"/>
      <c r="GB134" s="204"/>
      <c r="GC134" s="339"/>
      <c r="GD134" s="342"/>
      <c r="GE134" s="199"/>
      <c r="GF134" s="199"/>
      <c r="GG134" s="199"/>
      <c r="GH134" s="199"/>
      <c r="GI134" s="199"/>
      <c r="GJ134" s="199"/>
      <c r="GK134" s="199"/>
      <c r="GL134" s="49"/>
      <c r="GM134" s="28"/>
      <c r="GN134" s="28"/>
      <c r="GO134" s="322"/>
      <c r="GP134" s="1190"/>
      <c r="GQ134" s="1190"/>
      <c r="GR134" s="49"/>
      <c r="GS134" s="2879"/>
      <c r="GT134" s="2880"/>
      <c r="GU134" s="2881"/>
      <c r="GV134" s="49"/>
      <c r="GW134" s="49"/>
      <c r="GX134" s="49"/>
      <c r="GY134" s="49"/>
      <c r="GZ134" s="49"/>
      <c r="HA134" s="49"/>
      <c r="HB134" s="49"/>
      <c r="HC134" s="49"/>
      <c r="HD134" s="49"/>
      <c r="HE134" s="49"/>
      <c r="HF134" s="49"/>
      <c r="HG134" s="49"/>
      <c r="HH134" s="49"/>
      <c r="HI134" s="49"/>
      <c r="HJ134" s="49"/>
      <c r="HK134" s="49"/>
      <c r="HL134" s="49"/>
      <c r="HM134" s="49"/>
      <c r="HN134" s="49"/>
      <c r="HO134" s="49"/>
      <c r="HP134" s="49"/>
      <c r="HQ134" s="49"/>
      <c r="HR134" s="49"/>
      <c r="HS134" s="49"/>
      <c r="HT134" s="49"/>
      <c r="HU134" s="49"/>
      <c r="HV134" s="49"/>
      <c r="HW134" s="49"/>
      <c r="HX134" s="49"/>
      <c r="HY134" s="49"/>
      <c r="HZ134" s="49"/>
      <c r="IA134" s="49"/>
      <c r="IB134" s="49"/>
      <c r="IC134" s="49"/>
      <c r="ID134" s="49"/>
      <c r="IE134" s="49"/>
      <c r="IF134" s="49"/>
      <c r="IG134" s="49"/>
      <c r="IH134" s="49"/>
      <c r="II134" s="49"/>
      <c r="IJ134" s="49"/>
      <c r="IK134" s="49"/>
      <c r="IL134" s="49"/>
      <c r="IM134" s="49"/>
      <c r="IN134" s="49"/>
      <c r="IO134" s="49"/>
      <c r="IP134" s="49"/>
      <c r="IQ134" s="49"/>
      <c r="IR134" s="49"/>
      <c r="IS134" s="49"/>
      <c r="IT134" s="49"/>
      <c r="IU134" s="49"/>
      <c r="IV134" s="49"/>
    </row>
    <row r="135" spans="1:256" s="198" customFormat="1" ht="12" customHeight="1">
      <c r="A135" s="1252"/>
      <c r="B135" s="200"/>
      <c r="C135" s="486"/>
      <c r="D135" s="203"/>
      <c r="E135" s="203"/>
      <c r="F135" s="203"/>
      <c r="G135" s="203"/>
      <c r="H135" s="203"/>
      <c r="I135" s="203"/>
      <c r="J135" s="203"/>
      <c r="K135" s="175"/>
      <c r="L135" s="203"/>
      <c r="M135" s="203"/>
      <c r="N135" s="203"/>
      <c r="O135" s="203"/>
      <c r="P135" s="203"/>
      <c r="Q135" s="1197"/>
      <c r="R135" s="998"/>
      <c r="S135" s="999"/>
      <c r="T135" s="2801"/>
      <c r="U135" s="233"/>
      <c r="V135" s="49"/>
      <c r="W135" s="218"/>
      <c r="X135" s="218"/>
      <c r="Y135" s="216"/>
      <c r="Z135" s="216"/>
      <c r="AA135" s="215"/>
      <c r="AB135" s="216"/>
      <c r="AC135" s="216"/>
      <c r="AD135" s="239"/>
      <c r="AE135" s="216"/>
      <c r="AF135" s="216"/>
      <c r="AG135" s="216"/>
      <c r="AH135" s="216"/>
      <c r="AI135" s="216"/>
      <c r="AJ135" s="216"/>
      <c r="AK135" s="239"/>
      <c r="AL135" s="216"/>
      <c r="AM135" s="216"/>
      <c r="AN135" s="216"/>
      <c r="AO135" s="216"/>
      <c r="AP135" s="216"/>
      <c r="AQ135" s="216"/>
      <c r="AR135" s="216"/>
      <c r="AS135" s="216"/>
      <c r="AT135" s="216"/>
      <c r="AU135" s="216"/>
      <c r="AV135" s="217"/>
      <c r="AW135" s="355"/>
      <c r="AX135" s="217"/>
      <c r="AY135" s="1559"/>
      <c r="AZ135" s="249"/>
      <c r="BA135" s="221"/>
      <c r="BB135" s="300"/>
      <c r="BC135" s="217"/>
      <c r="BD135" s="392"/>
      <c r="BE135" s="1244"/>
      <c r="BF135" s="249"/>
      <c r="BG135" s="252"/>
      <c r="BH135" s="1469"/>
      <c r="BI135" s="216"/>
      <c r="BJ135" s="1469"/>
      <c r="BK135" s="1459"/>
      <c r="BL135" s="260"/>
      <c r="BM135" s="214"/>
      <c r="BN135" s="293"/>
      <c r="BO135" s="217"/>
      <c r="BP135" s="355"/>
      <c r="BQ135" s="217"/>
      <c r="BR135" s="1193"/>
      <c r="BS135" s="249"/>
      <c r="BT135" s="216"/>
      <c r="BU135" s="1195"/>
      <c r="BV135" s="249"/>
      <c r="BW135" s="216"/>
      <c r="BX135" s="1195"/>
      <c r="BY135" s="249"/>
      <c r="BZ135" s="216"/>
      <c r="CA135" s="1195"/>
      <c r="CB135" s="249"/>
      <c r="CC135" s="216"/>
      <c r="CD135" s="1195"/>
      <c r="CE135" s="249"/>
      <c r="CF135" s="216"/>
      <c r="CG135" s="1195"/>
      <c r="CH135" s="249"/>
      <c r="CI135" s="216"/>
      <c r="CJ135" s="1195"/>
      <c r="CK135" s="249"/>
      <c r="CL135" s="216"/>
      <c r="CM135" s="1194"/>
      <c r="CN135" s="1524"/>
      <c r="CO135" s="217"/>
      <c r="CP135" s="1193"/>
      <c r="CQ135" s="293"/>
      <c r="CR135" s="217"/>
      <c r="CS135" s="305"/>
      <c r="CT135" s="249"/>
      <c r="CU135" s="216"/>
      <c r="CV135" s="1193"/>
      <c r="CW135" s="249"/>
      <c r="CX135" s="216"/>
      <c r="CY135" s="305"/>
      <c r="CZ135" s="249"/>
      <c r="DA135" s="216"/>
      <c r="DB135" s="307"/>
      <c r="DC135" s="328"/>
      <c r="DD135" s="322"/>
      <c r="DE135" s="305"/>
      <c r="DF135" s="249"/>
      <c r="DG135" s="216"/>
      <c r="DH135" s="305"/>
      <c r="DI135" s="249"/>
      <c r="DJ135" s="216"/>
      <c r="DK135" s="309"/>
      <c r="DL135" s="293"/>
      <c r="DM135" s="326"/>
      <c r="DN135" s="1256"/>
      <c r="DO135" s="214"/>
      <c r="DP135" s="1257"/>
      <c r="DQ135" s="1258"/>
      <c r="DR135" s="305"/>
      <c r="DS135" s="249"/>
      <c r="DT135" s="216"/>
      <c r="DU135" s="2518"/>
      <c r="DV135"/>
      <c r="DW135"/>
      <c r="DX135" s="305"/>
      <c r="DY135" s="249"/>
      <c r="DZ135" s="221"/>
      <c r="EA135" s="388"/>
      <c r="EB135" s="249"/>
      <c r="EC135" s="216"/>
      <c r="ED135" s="1461"/>
      <c r="EE135" s="249"/>
      <c r="EF135" s="216"/>
      <c r="EG135" s="355"/>
      <c r="EH135" s="1425"/>
      <c r="EI135" s="1470"/>
      <c r="EJ135" s="249"/>
      <c r="EK135" s="221"/>
      <c r="EL135" s="313"/>
      <c r="EM135" s="249"/>
      <c r="EN135" s="221"/>
      <c r="EO135" s="313"/>
      <c r="EP135" s="249"/>
      <c r="EQ135" s="216"/>
      <c r="ER135" s="313"/>
      <c r="ES135" s="249"/>
      <c r="ET135" s="216"/>
      <c r="EU135" s="313"/>
      <c r="EV135" s="249"/>
      <c r="EW135" s="216"/>
      <c r="EX135" s="2505"/>
      <c r="EY135" s="249"/>
      <c r="EZ135" s="221"/>
      <c r="FA135" s="313"/>
      <c r="FB135" s="249"/>
      <c r="FC135" s="221"/>
      <c r="FD135" s="313"/>
      <c r="FE135" s="249"/>
      <c r="FF135" s="221"/>
      <c r="FG135" s="313"/>
      <c r="FH135" s="249"/>
      <c r="FI135" s="216"/>
      <c r="FJ135" s="1435"/>
      <c r="FK135" s="216"/>
      <c r="FL135" s="1268"/>
      <c r="FM135" s="1655"/>
      <c r="FN135" s="1268"/>
      <c r="FO135" s="1655"/>
      <c r="FP135" s="1268"/>
      <c r="FQ135" s="1656"/>
      <c r="FR135" s="249"/>
      <c r="FS135" s="216"/>
      <c r="FT135" s="1657"/>
      <c r="FU135" s="1658"/>
      <c r="FV135" s="242"/>
      <c r="FW135" s="2522"/>
      <c r="FX135" s="2523"/>
      <c r="FY135" s="336"/>
      <c r="FZ135" s="223"/>
      <c r="GA135" s="338"/>
      <c r="GB135" s="204"/>
      <c r="GC135" s="339"/>
      <c r="GD135" s="342"/>
      <c r="GE135" s="199"/>
      <c r="GF135" s="199"/>
      <c r="GG135" s="199"/>
      <c r="GH135" s="199"/>
      <c r="GI135" s="199"/>
      <c r="GJ135" s="199"/>
      <c r="GK135" s="199"/>
      <c r="GL135" s="49"/>
      <c r="GM135" s="28"/>
      <c r="GN135" s="28"/>
      <c r="GO135" s="322"/>
      <c r="GP135" s="1190"/>
      <c r="GQ135" s="1190"/>
      <c r="GR135" s="49"/>
      <c r="GS135" s="2879"/>
      <c r="GT135" s="2880"/>
      <c r="GU135" s="2881"/>
      <c r="GV135" s="49"/>
      <c r="GW135" s="49"/>
      <c r="GX135" s="49"/>
      <c r="GY135" s="49"/>
      <c r="GZ135" s="49"/>
      <c r="HA135" s="49"/>
      <c r="HB135" s="49"/>
      <c r="HC135" s="49"/>
      <c r="HD135" s="49"/>
      <c r="HE135" s="49"/>
      <c r="HF135" s="49"/>
      <c r="HG135" s="49"/>
      <c r="HH135" s="49"/>
      <c r="HI135" s="49"/>
      <c r="HJ135" s="49"/>
      <c r="HK135" s="49"/>
      <c r="HL135" s="49"/>
      <c r="HM135" s="49"/>
      <c r="HN135" s="49"/>
      <c r="HO135" s="49"/>
      <c r="HP135" s="49"/>
      <c r="HQ135" s="49"/>
      <c r="HR135" s="49"/>
      <c r="HS135" s="49"/>
      <c r="HT135" s="49"/>
      <c r="HU135" s="49"/>
      <c r="HV135" s="49"/>
      <c r="HW135" s="49"/>
      <c r="HX135" s="49"/>
      <c r="HY135" s="49"/>
      <c r="HZ135" s="49"/>
      <c r="IA135" s="49"/>
      <c r="IB135" s="49"/>
      <c r="IC135" s="49"/>
      <c r="ID135" s="49"/>
      <c r="IE135" s="49"/>
      <c r="IF135" s="49"/>
      <c r="IG135" s="49"/>
      <c r="IH135" s="49"/>
      <c r="II135" s="49"/>
      <c r="IJ135" s="49"/>
      <c r="IK135" s="49"/>
      <c r="IL135" s="49"/>
      <c r="IM135" s="49"/>
      <c r="IN135" s="49"/>
      <c r="IO135" s="49"/>
      <c r="IP135" s="49"/>
      <c r="IQ135" s="49"/>
      <c r="IR135" s="49"/>
      <c r="IS135" s="49"/>
      <c r="IT135" s="49"/>
      <c r="IU135" s="49"/>
      <c r="IV135" s="49"/>
    </row>
    <row r="136" spans="1:256" s="198" customFormat="1" ht="12" customHeight="1">
      <c r="A136" s="1252"/>
      <c r="B136" s="200"/>
      <c r="C136" s="486"/>
      <c r="D136" s="201"/>
      <c r="E136" s="202"/>
      <c r="F136" s="203"/>
      <c r="G136" s="197"/>
      <c r="H136" s="197"/>
      <c r="I136" s="197"/>
      <c r="J136" s="197"/>
      <c r="K136" s="175"/>
      <c r="L136" s="197"/>
      <c r="M136" s="197"/>
      <c r="N136" s="197"/>
      <c r="O136" s="197"/>
      <c r="P136" s="197"/>
      <c r="Q136" s="1198"/>
      <c r="R136" s="202"/>
      <c r="S136" s="202"/>
      <c r="T136" s="2801"/>
      <c r="U136" s="233"/>
      <c r="V136" s="49"/>
      <c r="W136" s="218"/>
      <c r="X136" s="218"/>
      <c r="Y136" s="216"/>
      <c r="Z136" s="216"/>
      <c r="AA136" s="215"/>
      <c r="AB136" s="216"/>
      <c r="AC136" s="216"/>
      <c r="AD136" s="239"/>
      <c r="AE136" s="216"/>
      <c r="AF136" s="216"/>
      <c r="AG136" s="216"/>
      <c r="AH136" s="216"/>
      <c r="AI136" s="216"/>
      <c r="AJ136" s="216"/>
      <c r="AK136" s="239"/>
      <c r="AL136" s="216"/>
      <c r="AM136" s="216"/>
      <c r="AN136" s="216"/>
      <c r="AO136" s="216"/>
      <c r="AP136" s="216"/>
      <c r="AQ136" s="216"/>
      <c r="AR136" s="216"/>
      <c r="AS136" s="216"/>
      <c r="AT136" s="216"/>
      <c r="AU136" s="216"/>
      <c r="AV136" s="217"/>
      <c r="AW136" s="355"/>
      <c r="AX136" s="217"/>
      <c r="AY136" s="1559"/>
      <c r="AZ136" s="249"/>
      <c r="BA136" s="221"/>
      <c r="BB136" s="300"/>
      <c r="BC136" s="217"/>
      <c r="BD136" s="392"/>
      <c r="BE136" s="1244"/>
      <c r="BF136" s="249"/>
      <c r="BG136" s="252"/>
      <c r="BH136" s="1469"/>
      <c r="BI136" s="216"/>
      <c r="BJ136" s="1469"/>
      <c r="BK136" s="1459"/>
      <c r="BL136" s="260"/>
      <c r="BM136" s="214"/>
      <c r="BN136" s="293"/>
      <c r="BO136" s="217"/>
      <c r="BP136" s="355"/>
      <c r="BQ136" s="217"/>
      <c r="BR136" s="1193"/>
      <c r="BS136" s="249"/>
      <c r="BT136" s="216"/>
      <c r="BU136" s="1195"/>
      <c r="BV136" s="249"/>
      <c r="BW136" s="216"/>
      <c r="BX136" s="1195"/>
      <c r="BY136" s="249"/>
      <c r="BZ136" s="216"/>
      <c r="CA136" s="1195"/>
      <c r="CB136" s="249"/>
      <c r="CC136" s="216"/>
      <c r="CD136" s="1195"/>
      <c r="CE136" s="249"/>
      <c r="CF136" s="216"/>
      <c r="CG136" s="1195"/>
      <c r="CH136" s="249"/>
      <c r="CI136" s="216"/>
      <c r="CJ136" s="1195"/>
      <c r="CK136" s="249"/>
      <c r="CL136" s="216"/>
      <c r="CM136" s="1194"/>
      <c r="CN136" s="1524"/>
      <c r="CO136" s="217"/>
      <c r="CP136" s="1193"/>
      <c r="CQ136" s="293"/>
      <c r="CR136" s="217"/>
      <c r="CS136" s="305"/>
      <c r="CT136" s="249"/>
      <c r="CU136" s="216"/>
      <c r="CV136" s="1193"/>
      <c r="CW136" s="249"/>
      <c r="CX136" s="216"/>
      <c r="CY136" s="305"/>
      <c r="CZ136" s="249"/>
      <c r="DA136" s="216"/>
      <c r="DB136" s="307"/>
      <c r="DC136" s="328"/>
      <c r="DD136" s="322"/>
      <c r="DE136" s="305"/>
      <c r="DF136" s="249"/>
      <c r="DG136" s="216"/>
      <c r="DH136" s="305"/>
      <c r="DI136" s="249"/>
      <c r="DJ136" s="216"/>
      <c r="DK136" s="309"/>
      <c r="DL136" s="293"/>
      <c r="DM136" s="326"/>
      <c r="DN136" s="1256"/>
      <c r="DO136" s="214"/>
      <c r="DP136" s="1257"/>
      <c r="DQ136" s="1258"/>
      <c r="DR136" s="305"/>
      <c r="DS136" s="249"/>
      <c r="DT136" s="216"/>
      <c r="DU136" s="2518"/>
      <c r="DV136"/>
      <c r="DW136"/>
      <c r="DX136" s="305"/>
      <c r="DY136" s="249"/>
      <c r="DZ136" s="221"/>
      <c r="EA136" s="388"/>
      <c r="EB136" s="249"/>
      <c r="EC136" s="216"/>
      <c r="ED136" s="1461"/>
      <c r="EE136" s="249"/>
      <c r="EF136" s="216"/>
      <c r="EG136" s="355"/>
      <c r="EH136" s="1425"/>
      <c r="EI136" s="1470"/>
      <c r="EJ136" s="249"/>
      <c r="EK136" s="221"/>
      <c r="EL136" s="313"/>
      <c r="EM136" s="249"/>
      <c r="EN136" s="221"/>
      <c r="EO136" s="313"/>
      <c r="EP136" s="249"/>
      <c r="EQ136" s="216"/>
      <c r="ER136" s="313"/>
      <c r="ES136" s="249"/>
      <c r="ET136" s="216"/>
      <c r="EU136" s="313"/>
      <c r="EV136" s="249"/>
      <c r="EW136" s="216"/>
      <c r="EX136" s="2505"/>
      <c r="EY136" s="249"/>
      <c r="EZ136" s="221"/>
      <c r="FA136" s="313"/>
      <c r="FB136" s="249"/>
      <c r="FC136" s="221"/>
      <c r="FD136" s="313"/>
      <c r="FE136" s="249"/>
      <c r="FF136" s="221"/>
      <c r="FG136" s="313"/>
      <c r="FH136" s="249"/>
      <c r="FI136" s="216"/>
      <c r="FJ136" s="1435"/>
      <c r="FK136" s="216"/>
      <c r="FL136" s="1268"/>
      <c r="FM136" s="1655"/>
      <c r="FN136" s="1268"/>
      <c r="FO136" s="1655"/>
      <c r="FP136" s="1268"/>
      <c r="FQ136" s="1656"/>
      <c r="FR136" s="249"/>
      <c r="FS136" s="216"/>
      <c r="FT136" s="1657"/>
      <c r="FU136" s="1658"/>
      <c r="FV136" s="242"/>
      <c r="FW136" s="2522"/>
      <c r="FX136" s="2523"/>
      <c r="FY136" s="336"/>
      <c r="FZ136" s="223"/>
      <c r="GA136" s="338"/>
      <c r="GB136" s="204"/>
      <c r="GC136" s="339"/>
      <c r="GD136" s="342"/>
      <c r="GE136" s="199"/>
      <c r="GF136" s="199"/>
      <c r="GG136" s="199"/>
      <c r="GH136" s="199"/>
      <c r="GI136" s="199"/>
      <c r="GJ136" s="199"/>
      <c r="GK136" s="199"/>
      <c r="GL136" s="49"/>
      <c r="GM136" s="28"/>
      <c r="GN136" s="28"/>
      <c r="GO136" s="322"/>
      <c r="GP136" s="1190"/>
      <c r="GQ136" s="1190"/>
      <c r="GR136" s="49"/>
      <c r="GS136" s="2879"/>
      <c r="GT136" s="2880"/>
      <c r="GU136" s="2881"/>
      <c r="GV136" s="49"/>
      <c r="GW136" s="49"/>
      <c r="GX136" s="49"/>
      <c r="GY136" s="49"/>
      <c r="GZ136" s="49"/>
      <c r="HA136" s="49"/>
      <c r="HB136" s="49"/>
      <c r="HC136" s="49"/>
      <c r="HD136" s="49"/>
      <c r="HE136" s="49"/>
      <c r="HF136" s="49"/>
      <c r="HG136" s="49"/>
      <c r="HH136" s="49"/>
      <c r="HI136" s="49"/>
      <c r="HJ136" s="49"/>
      <c r="HK136" s="49"/>
      <c r="HL136" s="49"/>
      <c r="HM136" s="49"/>
      <c r="HN136" s="49"/>
      <c r="HO136" s="49"/>
      <c r="HP136" s="49"/>
      <c r="HQ136" s="49"/>
      <c r="HR136" s="49"/>
      <c r="HS136" s="49"/>
      <c r="HT136" s="49"/>
      <c r="HU136" s="49"/>
      <c r="HV136" s="49"/>
      <c r="HW136" s="49"/>
      <c r="HX136" s="49"/>
      <c r="HY136" s="49"/>
      <c r="HZ136" s="49"/>
      <c r="IA136" s="49"/>
      <c r="IB136" s="49"/>
      <c r="IC136" s="49"/>
      <c r="ID136" s="49"/>
      <c r="IE136" s="49"/>
      <c r="IF136" s="49"/>
      <c r="IG136" s="49"/>
      <c r="IH136" s="49"/>
      <c r="II136" s="49"/>
      <c r="IJ136" s="49"/>
      <c r="IK136" s="49"/>
      <c r="IL136" s="49"/>
      <c r="IM136" s="49"/>
      <c r="IN136" s="49"/>
      <c r="IO136" s="49"/>
      <c r="IP136" s="49"/>
      <c r="IQ136" s="49"/>
      <c r="IR136" s="49"/>
      <c r="IS136" s="49"/>
      <c r="IT136" s="49"/>
      <c r="IU136" s="49"/>
      <c r="IV136" s="49"/>
    </row>
    <row r="137" spans="1:256" s="198" customFormat="1" ht="12" customHeight="1">
      <c r="A137" s="1252"/>
      <c r="B137" s="200"/>
      <c r="C137" s="486"/>
      <c r="D137" s="201"/>
      <c r="E137" s="202"/>
      <c r="F137" s="203"/>
      <c r="G137" s="197"/>
      <c r="H137" s="197"/>
      <c r="I137" s="197"/>
      <c r="J137" s="197"/>
      <c r="K137" s="175"/>
      <c r="L137" s="197"/>
      <c r="M137" s="197"/>
      <c r="N137" s="197"/>
      <c r="O137" s="197"/>
      <c r="P137" s="197"/>
      <c r="Q137" s="1198"/>
      <c r="R137" s="202"/>
      <c r="S137" s="202"/>
      <c r="T137" s="2801"/>
      <c r="U137" s="233"/>
      <c r="V137" s="49"/>
      <c r="W137" s="218"/>
      <c r="X137" s="218"/>
      <c r="Y137" s="216"/>
      <c r="Z137" s="216"/>
      <c r="AA137" s="215"/>
      <c r="AB137" s="216"/>
      <c r="AC137" s="216"/>
      <c r="AD137" s="239"/>
      <c r="AE137" s="216"/>
      <c r="AF137" s="216"/>
      <c r="AG137" s="216"/>
      <c r="AH137" s="216"/>
      <c r="AI137" s="216"/>
      <c r="AJ137" s="216"/>
      <c r="AK137" s="239"/>
      <c r="AL137" s="216"/>
      <c r="AM137" s="216"/>
      <c r="AN137" s="216"/>
      <c r="AO137" s="216"/>
      <c r="AP137" s="216"/>
      <c r="AQ137" s="216"/>
      <c r="AR137" s="216"/>
      <c r="AS137" s="216"/>
      <c r="AT137" s="216"/>
      <c r="AU137" s="216"/>
      <c r="AV137" s="217"/>
      <c r="AW137" s="355"/>
      <c r="AX137" s="217"/>
      <c r="AY137" s="1559"/>
      <c r="AZ137" s="249"/>
      <c r="BA137" s="221"/>
      <c r="BB137" s="300"/>
      <c r="BC137" s="217"/>
      <c r="BD137" s="392"/>
      <c r="BE137" s="1244"/>
      <c r="BF137" s="249"/>
      <c r="BG137" s="252"/>
      <c r="BH137" s="1469"/>
      <c r="BI137" s="216"/>
      <c r="BJ137" s="1469"/>
      <c r="BK137" s="1459"/>
      <c r="BL137" s="260"/>
      <c r="BM137" s="214"/>
      <c r="BN137" s="293"/>
      <c r="BO137" s="217"/>
      <c r="BP137" s="355"/>
      <c r="BQ137" s="217"/>
      <c r="BR137" s="1193"/>
      <c r="BS137" s="249"/>
      <c r="BT137" s="216"/>
      <c r="BU137" s="1195"/>
      <c r="BV137" s="249"/>
      <c r="BW137" s="216"/>
      <c r="BX137" s="1195"/>
      <c r="BY137" s="249"/>
      <c r="BZ137" s="216"/>
      <c r="CA137" s="1195"/>
      <c r="CB137" s="249"/>
      <c r="CC137" s="216"/>
      <c r="CD137" s="1195"/>
      <c r="CE137" s="249"/>
      <c r="CF137" s="216"/>
      <c r="CG137" s="1195"/>
      <c r="CH137" s="249"/>
      <c r="CI137" s="216"/>
      <c r="CJ137" s="1195"/>
      <c r="CK137" s="249"/>
      <c r="CL137" s="216"/>
      <c r="CM137" s="1194"/>
      <c r="CN137" s="1524"/>
      <c r="CO137" s="217"/>
      <c r="CP137" s="1193"/>
      <c r="CQ137" s="293"/>
      <c r="CR137" s="217"/>
      <c r="CS137" s="305"/>
      <c r="CT137" s="249"/>
      <c r="CU137" s="216"/>
      <c r="CV137" s="1193"/>
      <c r="CW137" s="249"/>
      <c r="CX137" s="216"/>
      <c r="CY137" s="305"/>
      <c r="CZ137" s="249"/>
      <c r="DA137" s="216"/>
      <c r="DB137" s="307"/>
      <c r="DC137" s="328"/>
      <c r="DD137" s="322"/>
      <c r="DE137" s="305"/>
      <c r="DF137" s="249"/>
      <c r="DG137" s="216"/>
      <c r="DH137" s="305"/>
      <c r="DI137" s="249"/>
      <c r="DJ137" s="216"/>
      <c r="DK137" s="309"/>
      <c r="DL137" s="293"/>
      <c r="DM137" s="326"/>
      <c r="DN137" s="1256"/>
      <c r="DO137" s="214"/>
      <c r="DP137" s="1257"/>
      <c r="DQ137" s="1258"/>
      <c r="DR137" s="305"/>
      <c r="DS137" s="249"/>
      <c r="DT137" s="216"/>
      <c r="DU137" s="2518"/>
      <c r="DV137"/>
      <c r="DW137"/>
      <c r="DX137" s="305"/>
      <c r="DY137" s="249"/>
      <c r="DZ137" s="221"/>
      <c r="EA137" s="388"/>
      <c r="EB137" s="249"/>
      <c r="EC137" s="216"/>
      <c r="ED137" s="1461"/>
      <c r="EE137" s="249"/>
      <c r="EF137" s="216"/>
      <c r="EG137" s="355"/>
      <c r="EH137" s="1425"/>
      <c r="EI137" s="1470"/>
      <c r="EJ137" s="249"/>
      <c r="EK137" s="221"/>
      <c r="EL137" s="313"/>
      <c r="EM137" s="249"/>
      <c r="EN137" s="221"/>
      <c r="EO137" s="313"/>
      <c r="EP137" s="249"/>
      <c r="EQ137" s="216"/>
      <c r="ER137" s="313"/>
      <c r="ES137" s="249"/>
      <c r="ET137" s="216"/>
      <c r="EU137" s="313"/>
      <c r="EV137" s="249"/>
      <c r="EW137" s="216"/>
      <c r="EX137" s="2505"/>
      <c r="EY137" s="249"/>
      <c r="EZ137" s="221"/>
      <c r="FA137" s="313"/>
      <c r="FB137" s="249"/>
      <c r="FC137" s="221"/>
      <c r="FD137" s="313"/>
      <c r="FE137" s="249"/>
      <c r="FF137" s="221"/>
      <c r="FG137" s="313"/>
      <c r="FH137" s="249"/>
      <c r="FI137" s="216"/>
      <c r="FJ137" s="1435"/>
      <c r="FK137" s="216"/>
      <c r="FL137" s="1268"/>
      <c r="FM137" s="1655"/>
      <c r="FN137" s="1268"/>
      <c r="FO137" s="1655"/>
      <c r="FP137" s="1268"/>
      <c r="FQ137" s="1656"/>
      <c r="FR137" s="249"/>
      <c r="FS137" s="216"/>
      <c r="FT137" s="1657"/>
      <c r="FU137" s="1658"/>
      <c r="FV137" s="242"/>
      <c r="FW137" s="2522"/>
      <c r="FX137" s="2523"/>
      <c r="FY137" s="336"/>
      <c r="FZ137" s="223"/>
      <c r="GA137" s="338"/>
      <c r="GB137" s="204"/>
      <c r="GC137" s="339"/>
      <c r="GD137" s="342"/>
      <c r="GE137" s="199"/>
      <c r="GF137" s="199"/>
      <c r="GG137" s="199"/>
      <c r="GH137" s="199"/>
      <c r="GI137" s="199"/>
      <c r="GJ137" s="199"/>
      <c r="GK137" s="199"/>
      <c r="GL137" s="49"/>
      <c r="GM137" s="28"/>
      <c r="GN137" s="28"/>
      <c r="GO137" s="322"/>
      <c r="GP137" s="1190"/>
      <c r="GQ137" s="1190"/>
      <c r="GR137" s="49"/>
      <c r="GS137" s="2879"/>
      <c r="GT137" s="2880"/>
      <c r="GU137" s="2881"/>
      <c r="GV137" s="49"/>
      <c r="GW137" s="49"/>
      <c r="GX137" s="49"/>
      <c r="GY137" s="49"/>
      <c r="GZ137" s="49"/>
      <c r="HA137" s="49"/>
      <c r="HB137" s="49"/>
      <c r="HC137" s="49"/>
      <c r="HD137" s="49"/>
      <c r="HE137" s="49"/>
      <c r="HF137" s="49"/>
      <c r="HG137" s="49"/>
      <c r="HH137" s="49"/>
      <c r="HI137" s="49"/>
      <c r="HJ137" s="49"/>
      <c r="HK137" s="49"/>
      <c r="HL137" s="49"/>
      <c r="HM137" s="49"/>
      <c r="HN137" s="49"/>
      <c r="HO137" s="49"/>
      <c r="HP137" s="49"/>
      <c r="HQ137" s="49"/>
      <c r="HR137" s="49"/>
      <c r="HS137" s="49"/>
      <c r="HT137" s="49"/>
      <c r="HU137" s="49"/>
      <c r="HV137" s="49"/>
      <c r="HW137" s="49"/>
      <c r="HX137" s="49"/>
      <c r="HY137" s="49"/>
      <c r="HZ137" s="49"/>
      <c r="IA137" s="49"/>
      <c r="IB137" s="49"/>
      <c r="IC137" s="49"/>
      <c r="ID137" s="49"/>
      <c r="IE137" s="49"/>
      <c r="IF137" s="49"/>
      <c r="IG137" s="49"/>
      <c r="IH137" s="49"/>
      <c r="II137" s="49"/>
      <c r="IJ137" s="49"/>
      <c r="IK137" s="49"/>
      <c r="IL137" s="49"/>
      <c r="IM137" s="49"/>
      <c r="IN137" s="49"/>
      <c r="IO137" s="49"/>
      <c r="IP137" s="49"/>
      <c r="IQ137" s="49"/>
      <c r="IR137" s="49"/>
      <c r="IS137" s="49"/>
      <c r="IT137" s="49"/>
      <c r="IU137" s="49"/>
      <c r="IV137" s="49"/>
    </row>
    <row r="138" spans="1:256" s="198" customFormat="1" ht="12" customHeight="1">
      <c r="A138" s="1252"/>
      <c r="B138" s="200"/>
      <c r="C138" s="486"/>
      <c r="D138" s="201"/>
      <c r="E138" s="202"/>
      <c r="F138" s="203"/>
      <c r="G138" s="197"/>
      <c r="H138" s="197"/>
      <c r="I138" s="197"/>
      <c r="J138" s="197"/>
      <c r="K138" s="175"/>
      <c r="L138" s="197"/>
      <c r="M138" s="197"/>
      <c r="N138" s="197"/>
      <c r="O138" s="197"/>
      <c r="P138" s="197"/>
      <c r="Q138" s="1198"/>
      <c r="R138" s="202"/>
      <c r="S138" s="202"/>
      <c r="T138" s="2801"/>
      <c r="U138" s="233"/>
      <c r="V138" s="49"/>
      <c r="W138" s="218"/>
      <c r="X138" s="218"/>
      <c r="Y138" s="216"/>
      <c r="Z138" s="216"/>
      <c r="AA138" s="215"/>
      <c r="AB138" s="216"/>
      <c r="AC138" s="216"/>
      <c r="AD138" s="239"/>
      <c r="AE138" s="216"/>
      <c r="AF138" s="216"/>
      <c r="AG138" s="216"/>
      <c r="AH138" s="216"/>
      <c r="AI138" s="216"/>
      <c r="AJ138" s="216"/>
      <c r="AK138" s="239"/>
      <c r="AL138" s="216"/>
      <c r="AM138" s="216"/>
      <c r="AN138" s="216"/>
      <c r="AO138" s="216"/>
      <c r="AP138" s="216"/>
      <c r="AQ138" s="216"/>
      <c r="AR138" s="216"/>
      <c r="AS138" s="216"/>
      <c r="AT138" s="216"/>
      <c r="AU138" s="216"/>
      <c r="AV138" s="217"/>
      <c r="AW138" s="355"/>
      <c r="AX138" s="217"/>
      <c r="AY138" s="1559"/>
      <c r="AZ138" s="249"/>
      <c r="BA138" s="221"/>
      <c r="BB138" s="300"/>
      <c r="BC138" s="217"/>
      <c r="BD138" s="392"/>
      <c r="BE138" s="1244"/>
      <c r="BF138" s="249"/>
      <c r="BG138" s="252"/>
      <c r="BH138" s="1469"/>
      <c r="BI138" s="216"/>
      <c r="BJ138" s="1469"/>
      <c r="BK138" s="1459"/>
      <c r="BL138" s="260"/>
      <c r="BM138" s="214"/>
      <c r="BN138" s="293"/>
      <c r="BO138" s="217"/>
      <c r="BP138" s="355"/>
      <c r="BQ138" s="217"/>
      <c r="BR138" s="1193"/>
      <c r="BS138" s="249"/>
      <c r="BT138" s="216"/>
      <c r="BU138" s="1195"/>
      <c r="BV138" s="249"/>
      <c r="BW138" s="216"/>
      <c r="BX138" s="1195"/>
      <c r="BY138" s="249"/>
      <c r="BZ138" s="216"/>
      <c r="CA138" s="1195"/>
      <c r="CB138" s="249"/>
      <c r="CC138" s="216"/>
      <c r="CD138" s="1195"/>
      <c r="CE138" s="249"/>
      <c r="CF138" s="216"/>
      <c r="CG138" s="1195"/>
      <c r="CH138" s="249"/>
      <c r="CI138" s="216"/>
      <c r="CJ138" s="1195"/>
      <c r="CK138" s="249"/>
      <c r="CL138" s="216"/>
      <c r="CM138" s="1194"/>
      <c r="CN138" s="1524"/>
      <c r="CO138" s="217"/>
      <c r="CP138" s="1193"/>
      <c r="CQ138" s="293"/>
      <c r="CR138" s="217"/>
      <c r="CS138" s="305"/>
      <c r="CT138" s="249"/>
      <c r="CU138" s="216"/>
      <c r="CV138" s="1193"/>
      <c r="CW138" s="249"/>
      <c r="CX138" s="216"/>
      <c r="CY138" s="305"/>
      <c r="CZ138" s="249"/>
      <c r="DA138" s="216"/>
      <c r="DB138" s="307"/>
      <c r="DC138" s="328"/>
      <c r="DD138" s="322"/>
      <c r="DE138" s="305"/>
      <c r="DF138" s="249"/>
      <c r="DG138" s="216"/>
      <c r="DH138" s="305"/>
      <c r="DI138" s="249"/>
      <c r="DJ138" s="216"/>
      <c r="DK138" s="309"/>
      <c r="DL138" s="293"/>
      <c r="DM138" s="326"/>
      <c r="DN138" s="1256"/>
      <c r="DO138" s="214"/>
      <c r="DP138" s="1257"/>
      <c r="DQ138" s="1258"/>
      <c r="DR138" s="305"/>
      <c r="DS138" s="249"/>
      <c r="DT138" s="216"/>
      <c r="DU138" s="2518"/>
      <c r="DV138"/>
      <c r="DW138"/>
      <c r="DX138" s="305"/>
      <c r="DY138" s="249"/>
      <c r="DZ138" s="221"/>
      <c r="EA138" s="388"/>
      <c r="EB138" s="249"/>
      <c r="EC138" s="216"/>
      <c r="ED138" s="1461"/>
      <c r="EE138" s="249"/>
      <c r="EF138" s="216"/>
      <c r="EG138" s="355"/>
      <c r="EH138" s="1425"/>
      <c r="EI138" s="1470"/>
      <c r="EJ138" s="249"/>
      <c r="EK138" s="221"/>
      <c r="EL138" s="313"/>
      <c r="EM138" s="249"/>
      <c r="EN138" s="221"/>
      <c r="EO138" s="313"/>
      <c r="EP138" s="249"/>
      <c r="EQ138" s="216"/>
      <c r="ER138" s="313"/>
      <c r="ES138" s="249"/>
      <c r="ET138" s="216"/>
      <c r="EU138" s="313"/>
      <c r="EV138" s="249"/>
      <c r="EW138" s="216"/>
      <c r="EX138" s="2505"/>
      <c r="EY138" s="249"/>
      <c r="EZ138" s="221"/>
      <c r="FA138" s="313"/>
      <c r="FB138" s="249"/>
      <c r="FC138" s="221"/>
      <c r="FD138" s="313"/>
      <c r="FE138" s="249"/>
      <c r="FF138" s="221"/>
      <c r="FG138" s="313"/>
      <c r="FH138" s="249"/>
      <c r="FI138" s="216"/>
      <c r="FJ138" s="1435"/>
      <c r="FK138" s="216"/>
      <c r="FL138" s="1268"/>
      <c r="FM138" s="1655"/>
      <c r="FN138" s="1268"/>
      <c r="FO138" s="1655"/>
      <c r="FP138" s="1268"/>
      <c r="FQ138" s="1656"/>
      <c r="FR138" s="249"/>
      <c r="FS138" s="216"/>
      <c r="FT138" s="1657"/>
      <c r="FU138" s="1658"/>
      <c r="FV138" s="242"/>
      <c r="FW138" s="2522"/>
      <c r="FX138" s="2523"/>
      <c r="FY138" s="336"/>
      <c r="FZ138" s="223"/>
      <c r="GA138" s="338"/>
      <c r="GB138" s="204"/>
      <c r="GC138" s="339"/>
      <c r="GD138" s="342"/>
      <c r="GE138" s="199"/>
      <c r="GF138" s="199"/>
      <c r="GG138" s="199"/>
      <c r="GH138" s="199"/>
      <c r="GI138" s="199"/>
      <c r="GJ138" s="199"/>
      <c r="GK138" s="199"/>
      <c r="GL138" s="49"/>
      <c r="GM138" s="28"/>
      <c r="GN138" s="28"/>
      <c r="GO138" s="322"/>
      <c r="GP138" s="1190"/>
      <c r="GQ138" s="1190"/>
      <c r="GR138" s="49"/>
      <c r="GS138" s="2879"/>
      <c r="GT138" s="2880"/>
      <c r="GU138" s="2881"/>
      <c r="GV138" s="49"/>
      <c r="GW138" s="49"/>
      <c r="GX138" s="49"/>
      <c r="GY138" s="49"/>
      <c r="GZ138" s="49"/>
      <c r="HA138" s="49"/>
      <c r="HB138" s="49"/>
      <c r="HC138" s="49"/>
      <c r="HD138" s="49"/>
      <c r="HE138" s="49"/>
      <c r="HF138" s="49"/>
      <c r="HG138" s="49"/>
      <c r="HH138" s="49"/>
      <c r="HI138" s="49"/>
      <c r="HJ138" s="49"/>
      <c r="HK138" s="49"/>
      <c r="HL138" s="49"/>
      <c r="HM138" s="49"/>
      <c r="HN138" s="49"/>
      <c r="HO138" s="49"/>
      <c r="HP138" s="49"/>
      <c r="HQ138" s="49"/>
      <c r="HR138" s="49"/>
      <c r="HS138" s="49"/>
      <c r="HT138" s="49"/>
      <c r="HU138" s="49"/>
      <c r="HV138" s="49"/>
      <c r="HW138" s="49"/>
      <c r="HX138" s="49"/>
      <c r="HY138" s="49"/>
      <c r="HZ138" s="49"/>
      <c r="IA138" s="49"/>
      <c r="IB138" s="49"/>
      <c r="IC138" s="49"/>
      <c r="ID138" s="49"/>
      <c r="IE138" s="49"/>
      <c r="IF138" s="49"/>
      <c r="IG138" s="49"/>
      <c r="IH138" s="49"/>
      <c r="II138" s="49"/>
      <c r="IJ138" s="49"/>
      <c r="IK138" s="49"/>
      <c r="IL138" s="49"/>
      <c r="IM138" s="49"/>
      <c r="IN138" s="49"/>
      <c r="IO138" s="49"/>
      <c r="IP138" s="49"/>
      <c r="IQ138" s="49"/>
      <c r="IR138" s="49"/>
      <c r="IS138" s="49"/>
      <c r="IT138" s="49"/>
      <c r="IU138" s="49"/>
      <c r="IV138" s="49"/>
    </row>
    <row r="139" spans="1:256" s="198" customFormat="1" ht="12" customHeight="1">
      <c r="A139" s="1252"/>
      <c r="B139" s="200"/>
      <c r="C139" s="486"/>
      <c r="D139" s="201"/>
      <c r="E139" s="202"/>
      <c r="F139" s="203"/>
      <c r="G139" s="197"/>
      <c r="H139" s="197"/>
      <c r="I139" s="197"/>
      <c r="J139" s="197"/>
      <c r="K139" s="175"/>
      <c r="L139" s="197"/>
      <c r="M139" s="197"/>
      <c r="N139" s="197"/>
      <c r="O139" s="197"/>
      <c r="P139" s="197"/>
      <c r="Q139" s="1198"/>
      <c r="R139" s="202"/>
      <c r="S139" s="202"/>
      <c r="T139" s="2801"/>
      <c r="U139" s="233"/>
      <c r="V139" s="49"/>
      <c r="W139" s="218"/>
      <c r="X139" s="218"/>
      <c r="Y139" s="216"/>
      <c r="Z139" s="216"/>
      <c r="AA139" s="215"/>
      <c r="AB139" s="216"/>
      <c r="AC139" s="216"/>
      <c r="AD139" s="239"/>
      <c r="AE139" s="216"/>
      <c r="AF139" s="216"/>
      <c r="AG139" s="216"/>
      <c r="AH139" s="216"/>
      <c r="AI139" s="216"/>
      <c r="AJ139" s="216"/>
      <c r="AK139" s="239"/>
      <c r="AL139" s="216"/>
      <c r="AM139" s="216"/>
      <c r="AN139" s="216"/>
      <c r="AO139" s="216"/>
      <c r="AP139" s="216"/>
      <c r="AQ139" s="216"/>
      <c r="AR139" s="216"/>
      <c r="AS139" s="216"/>
      <c r="AT139" s="216"/>
      <c r="AU139" s="216"/>
      <c r="AV139" s="217"/>
      <c r="AW139" s="355"/>
      <c r="AX139" s="217"/>
      <c r="AY139" s="1559"/>
      <c r="AZ139" s="249"/>
      <c r="BA139" s="221"/>
      <c r="BB139" s="300"/>
      <c r="BC139" s="217"/>
      <c r="BD139" s="392"/>
      <c r="BE139" s="1244"/>
      <c r="BF139" s="249"/>
      <c r="BG139" s="252"/>
      <c r="BH139" s="1469"/>
      <c r="BI139" s="216"/>
      <c r="BJ139" s="1469"/>
      <c r="BK139" s="1459"/>
      <c r="BL139" s="260"/>
      <c r="BM139" s="214"/>
      <c r="BN139" s="293"/>
      <c r="BO139" s="217"/>
      <c r="BP139" s="355"/>
      <c r="BQ139" s="217"/>
      <c r="BR139" s="1193"/>
      <c r="BS139" s="249"/>
      <c r="BT139" s="216"/>
      <c r="BU139" s="1195"/>
      <c r="BV139" s="249"/>
      <c r="BW139" s="216"/>
      <c r="BX139" s="1195"/>
      <c r="BY139" s="249"/>
      <c r="BZ139" s="216"/>
      <c r="CA139" s="1195"/>
      <c r="CB139" s="249"/>
      <c r="CC139" s="216"/>
      <c r="CD139" s="1195"/>
      <c r="CE139" s="249"/>
      <c r="CF139" s="216"/>
      <c r="CG139" s="1195"/>
      <c r="CH139" s="249"/>
      <c r="CI139" s="216"/>
      <c r="CJ139" s="1195"/>
      <c r="CK139" s="249"/>
      <c r="CL139" s="216"/>
      <c r="CM139" s="1194"/>
      <c r="CN139" s="1524"/>
      <c r="CO139" s="217"/>
      <c r="CP139" s="1193"/>
      <c r="CQ139" s="293"/>
      <c r="CR139" s="217"/>
      <c r="CS139" s="305"/>
      <c r="CT139" s="249"/>
      <c r="CU139" s="216"/>
      <c r="CV139" s="1193"/>
      <c r="CW139" s="249"/>
      <c r="CX139" s="216"/>
      <c r="CY139" s="305"/>
      <c r="CZ139" s="249"/>
      <c r="DA139" s="216"/>
      <c r="DB139" s="307"/>
      <c r="DC139" s="328"/>
      <c r="DD139" s="322"/>
      <c r="DE139" s="305"/>
      <c r="DF139" s="249"/>
      <c r="DG139" s="216"/>
      <c r="DH139" s="305"/>
      <c r="DI139" s="249"/>
      <c r="DJ139" s="216"/>
      <c r="DK139" s="309"/>
      <c r="DL139" s="293"/>
      <c r="DM139" s="326"/>
      <c r="DN139" s="1256"/>
      <c r="DO139" s="214"/>
      <c r="DP139" s="1257"/>
      <c r="DQ139" s="1258"/>
      <c r="DR139" s="305"/>
      <c r="DS139" s="249"/>
      <c r="DT139" s="216"/>
      <c r="DU139" s="2518"/>
      <c r="DV139"/>
      <c r="DW139"/>
      <c r="DX139" s="305"/>
      <c r="DY139" s="249"/>
      <c r="DZ139" s="221"/>
      <c r="EA139" s="388"/>
      <c r="EB139" s="249"/>
      <c r="EC139" s="216"/>
      <c r="ED139" s="1461"/>
      <c r="EE139" s="249"/>
      <c r="EF139" s="216"/>
      <c r="EG139" s="355"/>
      <c r="EH139" s="1425"/>
      <c r="EI139" s="1470"/>
      <c r="EJ139" s="249"/>
      <c r="EK139" s="221"/>
      <c r="EL139" s="313"/>
      <c r="EM139" s="249"/>
      <c r="EN139" s="221"/>
      <c r="EO139" s="313"/>
      <c r="EP139" s="249"/>
      <c r="EQ139" s="216"/>
      <c r="ER139" s="313"/>
      <c r="ES139" s="249"/>
      <c r="ET139" s="216"/>
      <c r="EU139" s="313"/>
      <c r="EV139" s="249"/>
      <c r="EW139" s="216"/>
      <c r="EX139" s="2505"/>
      <c r="EY139" s="249"/>
      <c r="EZ139" s="221"/>
      <c r="FA139" s="313"/>
      <c r="FB139" s="249"/>
      <c r="FC139" s="221"/>
      <c r="FD139" s="313"/>
      <c r="FE139" s="249"/>
      <c r="FF139" s="221"/>
      <c r="FG139" s="313"/>
      <c r="FH139" s="249"/>
      <c r="FI139" s="216"/>
      <c r="FJ139" s="1435"/>
      <c r="FK139" s="216"/>
      <c r="FL139" s="1268"/>
      <c r="FM139" s="1655"/>
      <c r="FN139" s="1268"/>
      <c r="FO139" s="1655"/>
      <c r="FP139" s="1268"/>
      <c r="FQ139" s="1656"/>
      <c r="FR139" s="249"/>
      <c r="FS139" s="216"/>
      <c r="FT139" s="1657"/>
      <c r="FU139" s="1658"/>
      <c r="FV139" s="242"/>
      <c r="FW139" s="2522"/>
      <c r="FX139" s="2523"/>
      <c r="FY139" s="336"/>
      <c r="FZ139" s="223"/>
      <c r="GA139" s="338"/>
      <c r="GB139" s="204"/>
      <c r="GC139" s="339"/>
      <c r="GD139" s="342"/>
      <c r="GE139" s="199"/>
      <c r="GF139" s="199"/>
      <c r="GG139" s="199"/>
      <c r="GH139" s="199"/>
      <c r="GI139" s="199"/>
      <c r="GJ139" s="199"/>
      <c r="GK139" s="199"/>
      <c r="GL139" s="49"/>
      <c r="GM139" s="28"/>
      <c r="GN139" s="28"/>
      <c r="GO139" s="322"/>
      <c r="GP139" s="1190"/>
      <c r="GQ139" s="1190"/>
      <c r="GR139" s="49"/>
      <c r="GS139" s="2879"/>
      <c r="GT139" s="2880"/>
      <c r="GU139" s="2881"/>
      <c r="GV139" s="49"/>
      <c r="GW139" s="49"/>
      <c r="GX139" s="49"/>
      <c r="GY139" s="49"/>
      <c r="GZ139" s="49"/>
      <c r="HA139" s="49"/>
      <c r="HB139" s="49"/>
      <c r="HC139" s="49"/>
      <c r="HD139" s="49"/>
      <c r="HE139" s="49"/>
      <c r="HF139" s="49"/>
      <c r="HG139" s="49"/>
      <c r="HH139" s="49"/>
      <c r="HI139" s="49"/>
      <c r="HJ139" s="49"/>
      <c r="HK139" s="49"/>
      <c r="HL139" s="49"/>
      <c r="HM139" s="49"/>
      <c r="HN139" s="49"/>
      <c r="HO139" s="49"/>
      <c r="HP139" s="49"/>
      <c r="HQ139" s="49"/>
      <c r="HR139" s="49"/>
      <c r="HS139" s="49"/>
      <c r="HT139" s="49"/>
      <c r="HU139" s="49"/>
      <c r="HV139" s="49"/>
      <c r="HW139" s="49"/>
      <c r="HX139" s="49"/>
      <c r="HY139" s="49"/>
      <c r="HZ139" s="49"/>
      <c r="IA139" s="49"/>
      <c r="IB139" s="49"/>
      <c r="IC139" s="49"/>
      <c r="ID139" s="49"/>
      <c r="IE139" s="49"/>
      <c r="IF139" s="49"/>
      <c r="IG139" s="49"/>
      <c r="IH139" s="49"/>
      <c r="II139" s="49"/>
      <c r="IJ139" s="49"/>
      <c r="IK139" s="49"/>
      <c r="IL139" s="49"/>
      <c r="IM139" s="49"/>
      <c r="IN139" s="49"/>
      <c r="IO139" s="49"/>
      <c r="IP139" s="49"/>
      <c r="IQ139" s="49"/>
      <c r="IR139" s="49"/>
      <c r="IS139" s="49"/>
      <c r="IT139" s="49"/>
      <c r="IU139" s="49"/>
      <c r="IV139" s="49"/>
    </row>
    <row r="140" spans="1:256" s="198" customFormat="1" ht="12" customHeight="1">
      <c r="A140" s="1252"/>
      <c r="B140" s="200"/>
      <c r="C140" s="486"/>
      <c r="D140" s="201"/>
      <c r="E140" s="202"/>
      <c r="F140" s="203"/>
      <c r="G140" s="197"/>
      <c r="H140" s="197"/>
      <c r="I140" s="197"/>
      <c r="J140" s="197"/>
      <c r="K140" s="175"/>
      <c r="L140" s="197"/>
      <c r="M140" s="197"/>
      <c r="N140" s="197"/>
      <c r="O140" s="197"/>
      <c r="P140" s="197"/>
      <c r="Q140" s="1198"/>
      <c r="R140" s="202"/>
      <c r="S140" s="202"/>
      <c r="T140" s="2801"/>
      <c r="U140" s="233"/>
      <c r="V140" s="49"/>
      <c r="W140" s="218"/>
      <c r="X140" s="218"/>
      <c r="Y140" s="216"/>
      <c r="Z140" s="216"/>
      <c r="AA140" s="215"/>
      <c r="AB140" s="216"/>
      <c r="AC140" s="216"/>
      <c r="AD140" s="239"/>
      <c r="AE140" s="216"/>
      <c r="AF140" s="216"/>
      <c r="AG140" s="216"/>
      <c r="AH140" s="216"/>
      <c r="AI140" s="216"/>
      <c r="AJ140" s="216"/>
      <c r="AK140" s="239"/>
      <c r="AL140" s="216"/>
      <c r="AM140" s="216"/>
      <c r="AN140" s="216"/>
      <c r="AO140" s="216"/>
      <c r="AP140" s="216"/>
      <c r="AQ140" s="216"/>
      <c r="AR140" s="216"/>
      <c r="AS140" s="216"/>
      <c r="AT140" s="216"/>
      <c r="AU140" s="216"/>
      <c r="AV140" s="217"/>
      <c r="AW140" s="355"/>
      <c r="AX140" s="217"/>
      <c r="AY140" s="1559"/>
      <c r="AZ140" s="249"/>
      <c r="BA140" s="221"/>
      <c r="BB140" s="300"/>
      <c r="BC140" s="217"/>
      <c r="BD140" s="392"/>
      <c r="BE140" s="1244"/>
      <c r="BF140" s="249"/>
      <c r="BG140" s="252"/>
      <c r="BH140" s="1469"/>
      <c r="BI140" s="216"/>
      <c r="BJ140" s="1469"/>
      <c r="BK140" s="1459"/>
      <c r="BL140" s="260"/>
      <c r="BM140" s="214"/>
      <c r="BN140" s="293"/>
      <c r="BO140" s="217"/>
      <c r="BP140" s="355"/>
      <c r="BQ140" s="217"/>
      <c r="BR140" s="1193"/>
      <c r="BS140" s="249"/>
      <c r="BT140" s="216"/>
      <c r="BU140" s="1195"/>
      <c r="BV140" s="249"/>
      <c r="BW140" s="216"/>
      <c r="BX140" s="1195"/>
      <c r="BY140" s="249"/>
      <c r="BZ140" s="216"/>
      <c r="CA140" s="1195"/>
      <c r="CB140" s="249"/>
      <c r="CC140" s="216"/>
      <c r="CD140" s="1195"/>
      <c r="CE140" s="249"/>
      <c r="CF140" s="216"/>
      <c r="CG140" s="1195"/>
      <c r="CH140" s="249"/>
      <c r="CI140" s="216"/>
      <c r="CJ140" s="1195"/>
      <c r="CK140" s="249"/>
      <c r="CL140" s="216"/>
      <c r="CM140" s="1194"/>
      <c r="CN140" s="1524"/>
      <c r="CO140" s="217"/>
      <c r="CP140" s="1193"/>
      <c r="CQ140" s="293"/>
      <c r="CR140" s="217"/>
      <c r="CS140" s="305"/>
      <c r="CT140" s="249"/>
      <c r="CU140" s="216"/>
      <c r="CV140" s="1193"/>
      <c r="CW140" s="249"/>
      <c r="CX140" s="216"/>
      <c r="CY140" s="305"/>
      <c r="CZ140" s="249"/>
      <c r="DA140" s="216"/>
      <c r="DB140" s="307"/>
      <c r="DC140" s="328"/>
      <c r="DD140" s="322"/>
      <c r="DE140" s="305"/>
      <c r="DF140" s="249"/>
      <c r="DG140" s="216"/>
      <c r="DH140" s="305"/>
      <c r="DI140" s="249"/>
      <c r="DJ140" s="216"/>
      <c r="DK140" s="309"/>
      <c r="DL140" s="293"/>
      <c r="DM140" s="326"/>
      <c r="DN140" s="1256"/>
      <c r="DO140" s="214"/>
      <c r="DP140" s="1257"/>
      <c r="DQ140" s="1258"/>
      <c r="DR140" s="305"/>
      <c r="DS140" s="249"/>
      <c r="DT140" s="216"/>
      <c r="DU140" s="2518"/>
      <c r="DV140"/>
      <c r="DW140"/>
      <c r="DX140" s="305"/>
      <c r="DY140" s="249"/>
      <c r="DZ140" s="221"/>
      <c r="EA140" s="388"/>
      <c r="EB140" s="249"/>
      <c r="EC140" s="216"/>
      <c r="ED140" s="1461"/>
      <c r="EE140" s="249"/>
      <c r="EF140" s="216"/>
      <c r="EG140" s="355"/>
      <c r="EH140" s="1425"/>
      <c r="EI140" s="1470"/>
      <c r="EJ140" s="249"/>
      <c r="EK140" s="221"/>
      <c r="EL140" s="313"/>
      <c r="EM140" s="249"/>
      <c r="EN140" s="221"/>
      <c r="EO140" s="313"/>
      <c r="EP140" s="249"/>
      <c r="EQ140" s="216"/>
      <c r="ER140" s="313"/>
      <c r="ES140" s="249"/>
      <c r="ET140" s="216"/>
      <c r="EU140" s="313"/>
      <c r="EV140" s="249"/>
      <c r="EW140" s="216"/>
      <c r="EX140" s="2505"/>
      <c r="EY140" s="249"/>
      <c r="EZ140" s="221"/>
      <c r="FA140" s="313"/>
      <c r="FB140" s="249"/>
      <c r="FC140" s="221"/>
      <c r="FD140" s="313"/>
      <c r="FE140" s="249"/>
      <c r="FF140" s="221"/>
      <c r="FG140" s="313"/>
      <c r="FH140" s="249"/>
      <c r="FI140" s="216"/>
      <c r="FJ140" s="1435"/>
      <c r="FK140" s="216"/>
      <c r="FL140" s="1268"/>
      <c r="FM140" s="1655"/>
      <c r="FN140" s="1268"/>
      <c r="FO140" s="1655"/>
      <c r="FP140" s="1268"/>
      <c r="FQ140" s="1656"/>
      <c r="FR140" s="249"/>
      <c r="FS140" s="216"/>
      <c r="FT140" s="1657"/>
      <c r="FU140" s="1658"/>
      <c r="FV140" s="242"/>
      <c r="FW140" s="2522"/>
      <c r="FX140" s="2523"/>
      <c r="FY140" s="336"/>
      <c r="FZ140" s="223"/>
      <c r="GA140" s="338"/>
      <c r="GB140" s="204"/>
      <c r="GC140" s="339"/>
      <c r="GD140" s="342"/>
      <c r="GE140" s="199"/>
      <c r="GF140" s="199"/>
      <c r="GG140" s="199"/>
      <c r="GH140" s="199"/>
      <c r="GI140" s="199"/>
      <c r="GJ140" s="199"/>
      <c r="GK140" s="199"/>
      <c r="GL140" s="49"/>
      <c r="GM140" s="28"/>
      <c r="GN140" s="28"/>
      <c r="GO140" s="322"/>
      <c r="GP140" s="1190"/>
      <c r="GQ140" s="1190"/>
      <c r="GR140" s="49"/>
      <c r="GS140" s="2879"/>
      <c r="GT140" s="2880"/>
      <c r="GU140" s="2881"/>
      <c r="GV140" s="49"/>
      <c r="GW140" s="49"/>
      <c r="GX140" s="49"/>
      <c r="GY140" s="49"/>
      <c r="GZ140" s="49"/>
      <c r="HA140" s="49"/>
      <c r="HB140" s="49"/>
      <c r="HC140" s="49"/>
      <c r="HD140" s="49"/>
      <c r="HE140" s="49"/>
      <c r="HF140" s="49"/>
      <c r="HG140" s="49"/>
      <c r="HH140" s="49"/>
      <c r="HI140" s="49"/>
      <c r="HJ140" s="49"/>
      <c r="HK140" s="49"/>
      <c r="HL140" s="49"/>
      <c r="HM140" s="49"/>
      <c r="HN140" s="49"/>
      <c r="HO140" s="49"/>
      <c r="HP140" s="49"/>
      <c r="HQ140" s="49"/>
      <c r="HR140" s="49"/>
      <c r="HS140" s="49"/>
      <c r="HT140" s="49"/>
      <c r="HU140" s="49"/>
      <c r="HV140" s="49"/>
      <c r="HW140" s="49"/>
      <c r="HX140" s="49"/>
      <c r="HY140" s="49"/>
      <c r="HZ140" s="49"/>
      <c r="IA140" s="49"/>
      <c r="IB140" s="49"/>
      <c r="IC140" s="49"/>
      <c r="ID140" s="49"/>
      <c r="IE140" s="49"/>
      <c r="IF140" s="49"/>
      <c r="IG140" s="49"/>
      <c r="IH140" s="49"/>
      <c r="II140" s="49"/>
      <c r="IJ140" s="49"/>
      <c r="IK140" s="49"/>
      <c r="IL140" s="49"/>
      <c r="IM140" s="49"/>
      <c r="IN140" s="49"/>
      <c r="IO140" s="49"/>
      <c r="IP140" s="49"/>
      <c r="IQ140" s="49"/>
      <c r="IR140" s="49"/>
      <c r="IS140" s="49"/>
      <c r="IT140" s="49"/>
      <c r="IU140" s="49"/>
      <c r="IV140" s="49"/>
    </row>
    <row r="141" spans="1:256" s="198" customFormat="1" ht="12" customHeight="1">
      <c r="A141" s="1252"/>
      <c r="B141" s="200"/>
      <c r="C141" s="486"/>
      <c r="D141" s="201"/>
      <c r="E141" s="202"/>
      <c r="F141" s="203"/>
      <c r="G141" s="197"/>
      <c r="H141" s="197"/>
      <c r="I141" s="197"/>
      <c r="J141" s="197"/>
      <c r="K141" s="175"/>
      <c r="L141" s="197"/>
      <c r="M141" s="197"/>
      <c r="N141" s="197"/>
      <c r="O141" s="197"/>
      <c r="P141" s="197"/>
      <c r="Q141" s="1198"/>
      <c r="R141" s="202"/>
      <c r="S141" s="202"/>
      <c r="T141" s="1186"/>
      <c r="U141" s="233"/>
      <c r="V141" s="49"/>
      <c r="W141" s="218"/>
      <c r="X141" s="218"/>
      <c r="Y141" s="216"/>
      <c r="Z141" s="216"/>
      <c r="AA141" s="215"/>
      <c r="AB141" s="216"/>
      <c r="AC141" s="216"/>
      <c r="AD141" s="239"/>
      <c r="AE141" s="216"/>
      <c r="AF141" s="216"/>
      <c r="AG141" s="216"/>
      <c r="AH141" s="216"/>
      <c r="AI141" s="216"/>
      <c r="AJ141" s="216"/>
      <c r="AK141" s="239"/>
      <c r="AL141" s="216"/>
      <c r="AM141" s="216"/>
      <c r="AN141" s="216"/>
      <c r="AO141" s="216"/>
      <c r="AP141" s="216"/>
      <c r="AQ141" s="216"/>
      <c r="AR141" s="216"/>
      <c r="AS141" s="216"/>
      <c r="AT141" s="216"/>
      <c r="AU141" s="216"/>
      <c r="AV141" s="217"/>
      <c r="AW141" s="355"/>
      <c r="AX141" s="217"/>
      <c r="AY141" s="1559"/>
      <c r="AZ141" s="249"/>
      <c r="BA141" s="221"/>
      <c r="BB141" s="300"/>
      <c r="BC141" s="217"/>
      <c r="BD141" s="392"/>
      <c r="BE141" s="1244"/>
      <c r="BF141" s="249"/>
      <c r="BG141" s="252"/>
      <c r="BH141" s="1469"/>
      <c r="BI141" s="216"/>
      <c r="BJ141" s="1469"/>
      <c r="BK141" s="1459"/>
      <c r="BL141" s="260"/>
      <c r="BM141" s="214"/>
      <c r="BN141" s="293"/>
      <c r="BO141" s="217"/>
      <c r="BP141" s="355"/>
      <c r="BQ141" s="217"/>
      <c r="BR141" s="1193"/>
      <c r="BS141" s="249"/>
      <c r="BT141" s="216"/>
      <c r="BU141" s="1195"/>
      <c r="BV141" s="249"/>
      <c r="BW141" s="216"/>
      <c r="BX141" s="1195"/>
      <c r="BY141" s="249"/>
      <c r="BZ141" s="216"/>
      <c r="CA141" s="1195"/>
      <c r="CB141" s="249"/>
      <c r="CC141" s="216"/>
      <c r="CD141" s="1195"/>
      <c r="CE141" s="249"/>
      <c r="CF141" s="216"/>
      <c r="CG141" s="1195"/>
      <c r="CH141" s="249"/>
      <c r="CI141" s="216"/>
      <c r="CJ141" s="1195"/>
      <c r="CK141" s="249"/>
      <c r="CL141" s="216"/>
      <c r="CM141" s="1194"/>
      <c r="CN141" s="1524"/>
      <c r="CO141" s="217"/>
      <c r="CP141" s="1193"/>
      <c r="CQ141" s="293"/>
      <c r="CR141" s="217"/>
      <c r="CS141" s="305"/>
      <c r="CT141" s="249"/>
      <c r="CU141" s="216"/>
      <c r="CV141" s="1193"/>
      <c r="CW141" s="249"/>
      <c r="CX141" s="216"/>
      <c r="CY141" s="305"/>
      <c r="CZ141" s="249"/>
      <c r="DA141" s="216"/>
      <c r="DB141" s="307"/>
      <c r="DC141" s="328"/>
      <c r="DD141" s="322"/>
      <c r="DE141" s="305"/>
      <c r="DF141" s="249"/>
      <c r="DG141" s="216"/>
      <c r="DH141" s="305"/>
      <c r="DI141" s="249"/>
      <c r="DJ141" s="216"/>
      <c r="DK141" s="309"/>
      <c r="DL141" s="293"/>
      <c r="DM141" s="326"/>
      <c r="DN141" s="1256"/>
      <c r="DO141" s="214"/>
      <c r="DP141" s="1257"/>
      <c r="DQ141" s="1258"/>
      <c r="DR141" s="305"/>
      <c r="DS141" s="249"/>
      <c r="DT141" s="216"/>
      <c r="DU141" s="305"/>
      <c r="DV141" s="2520"/>
      <c r="DW141" s="2521"/>
      <c r="DX141" s="305"/>
      <c r="DY141" s="249"/>
      <c r="DZ141" s="221"/>
      <c r="EA141" s="388"/>
      <c r="EB141" s="249"/>
      <c r="EC141" s="216"/>
      <c r="ED141" s="1461"/>
      <c r="EE141" s="249"/>
      <c r="EF141" s="216"/>
      <c r="EG141" s="355"/>
      <c r="EH141" s="1425"/>
      <c r="EI141" s="1470"/>
      <c r="EJ141" s="249"/>
      <c r="EK141" s="221"/>
      <c r="EL141" s="313"/>
      <c r="EM141" s="249"/>
      <c r="EN141" s="221"/>
      <c r="EO141" s="313"/>
      <c r="EP141" s="249"/>
      <c r="EQ141" s="216"/>
      <c r="ER141" s="313"/>
      <c r="ES141" s="249"/>
      <c r="ET141" s="216"/>
      <c r="EU141" s="313"/>
      <c r="EV141" s="249"/>
      <c r="EW141" s="216"/>
      <c r="EX141" s="2505"/>
      <c r="EY141" s="249"/>
      <c r="EZ141" s="221"/>
      <c r="FA141" s="313"/>
      <c r="FB141" s="249"/>
      <c r="FC141" s="221"/>
      <c r="FD141" s="313"/>
      <c r="FE141" s="249"/>
      <c r="FF141" s="221"/>
      <c r="FG141" s="313"/>
      <c r="FH141" s="249"/>
      <c r="FI141" s="216"/>
      <c r="FJ141" s="1435"/>
      <c r="FK141" s="216"/>
      <c r="FL141" s="1268"/>
      <c r="FM141" s="1655"/>
      <c r="FN141" s="1268"/>
      <c r="FO141" s="1655"/>
      <c r="FP141" s="1268"/>
      <c r="FQ141" s="1656"/>
      <c r="FR141" s="249"/>
      <c r="FS141" s="216"/>
      <c r="FT141" s="1657"/>
      <c r="FU141" s="1658"/>
      <c r="FV141" s="242"/>
      <c r="FW141" s="343"/>
      <c r="FX141" s="222"/>
      <c r="FY141" s="336"/>
      <c r="FZ141" s="223"/>
      <c r="GA141" s="338"/>
      <c r="GB141" s="204"/>
      <c r="GC141" s="339"/>
      <c r="GD141" s="342"/>
      <c r="GE141" s="199"/>
      <c r="GF141" s="199"/>
      <c r="GG141" s="199"/>
      <c r="GH141" s="199"/>
      <c r="GI141" s="199"/>
      <c r="GJ141" s="199"/>
      <c r="GK141" s="199"/>
      <c r="GL141" s="49"/>
      <c r="GM141" s="28"/>
      <c r="GN141" s="28"/>
      <c r="GO141" s="322"/>
      <c r="GP141" s="1190"/>
      <c r="GQ141" s="1190"/>
      <c r="GR141" s="49"/>
      <c r="GS141" s="2879"/>
      <c r="GT141" s="2880"/>
      <c r="GU141" s="2881"/>
      <c r="GV141" s="49"/>
      <c r="GW141" s="49"/>
      <c r="GX141" s="49"/>
      <c r="GY141" s="49"/>
      <c r="GZ141" s="49"/>
      <c r="HA141" s="49"/>
      <c r="HB141" s="49"/>
      <c r="HC141" s="49"/>
      <c r="HD141" s="49"/>
      <c r="HE141" s="49"/>
      <c r="HF141" s="49"/>
      <c r="HG141" s="49"/>
      <c r="HH141" s="49"/>
      <c r="HI141" s="49"/>
      <c r="HJ141" s="49"/>
      <c r="HK141" s="49"/>
      <c r="HL141" s="49"/>
      <c r="HM141" s="49"/>
      <c r="HN141" s="49"/>
      <c r="HO141" s="49"/>
      <c r="HP141" s="49"/>
      <c r="HQ141" s="49"/>
      <c r="HR141" s="49"/>
      <c r="HS141" s="49"/>
      <c r="HT141" s="49"/>
      <c r="HU141" s="49"/>
      <c r="HV141" s="49"/>
      <c r="HW141" s="49"/>
      <c r="HX141" s="49"/>
      <c r="HY141" s="49"/>
      <c r="HZ141" s="49"/>
      <c r="IA141" s="49"/>
      <c r="IB141" s="49"/>
      <c r="IC141" s="49"/>
      <c r="ID141" s="49"/>
      <c r="IE141" s="49"/>
      <c r="IF141" s="49"/>
      <c r="IG141" s="49"/>
      <c r="IH141" s="49"/>
      <c r="II141" s="49"/>
      <c r="IJ141" s="49"/>
      <c r="IK141" s="49"/>
      <c r="IL141" s="49"/>
      <c r="IM141" s="49"/>
      <c r="IN141" s="49"/>
      <c r="IO141" s="49"/>
      <c r="IP141" s="49"/>
      <c r="IQ141" s="49"/>
      <c r="IR141" s="49"/>
      <c r="IS141" s="49"/>
      <c r="IT141" s="49"/>
      <c r="IU141" s="49"/>
      <c r="IV141" s="49"/>
    </row>
    <row r="142" spans="1:256" s="198" customFormat="1" ht="12" customHeight="1">
      <c r="A142" s="1252"/>
      <c r="B142" s="200"/>
      <c r="C142" s="486"/>
      <c r="D142" s="201"/>
      <c r="E142" s="202"/>
      <c r="F142" s="203"/>
      <c r="G142" s="197"/>
      <c r="H142" s="197"/>
      <c r="I142" s="197"/>
      <c r="J142" s="197"/>
      <c r="K142" s="175"/>
      <c r="L142" s="197"/>
      <c r="M142" s="197"/>
      <c r="N142" s="197"/>
      <c r="O142" s="197"/>
      <c r="P142" s="197"/>
      <c r="Q142" s="1198"/>
      <c r="R142" s="202"/>
      <c r="S142" s="202"/>
      <c r="T142" s="1186"/>
      <c r="U142" s="233"/>
      <c r="V142" s="49"/>
      <c r="W142" s="218"/>
      <c r="X142" s="218"/>
      <c r="Y142" s="216"/>
      <c r="Z142" s="216"/>
      <c r="AA142" s="215"/>
      <c r="AB142" s="216"/>
      <c r="AC142" s="216"/>
      <c r="AD142" s="239"/>
      <c r="AE142" s="216"/>
      <c r="AF142" s="216"/>
      <c r="AG142" s="216"/>
      <c r="AH142" s="216"/>
      <c r="AI142" s="216"/>
      <c r="AJ142" s="216"/>
      <c r="AK142" s="239"/>
      <c r="AL142" s="216"/>
      <c r="AM142" s="216"/>
      <c r="AN142" s="216"/>
      <c r="AO142" s="216"/>
      <c r="AP142" s="216"/>
      <c r="AQ142" s="216"/>
      <c r="AR142" s="216"/>
      <c r="AS142" s="216"/>
      <c r="AT142" s="216"/>
      <c r="AU142" s="216"/>
      <c r="AV142" s="217"/>
      <c r="AW142" s="355"/>
      <c r="AX142" s="217"/>
      <c r="AY142" s="1559"/>
      <c r="AZ142" s="249"/>
      <c r="BA142" s="221"/>
      <c r="BB142" s="300"/>
      <c r="BC142" s="217"/>
      <c r="BD142" s="392"/>
      <c r="BE142" s="1244"/>
      <c r="BF142" s="249"/>
      <c r="BG142" s="252"/>
      <c r="BH142" s="1469"/>
      <c r="BI142" s="216"/>
      <c r="BJ142" s="1469"/>
      <c r="BK142" s="1459"/>
      <c r="BL142" s="260"/>
      <c r="BM142" s="214"/>
      <c r="BN142" s="293"/>
      <c r="BO142" s="217"/>
      <c r="BP142" s="355"/>
      <c r="BQ142" s="217"/>
      <c r="BR142" s="1193"/>
      <c r="BS142" s="249"/>
      <c r="BT142" s="216"/>
      <c r="BU142" s="1195"/>
      <c r="BV142" s="249"/>
      <c r="BW142" s="216"/>
      <c r="BX142" s="1195"/>
      <c r="BY142" s="249"/>
      <c r="BZ142" s="216"/>
      <c r="CA142" s="1195"/>
      <c r="CB142" s="249"/>
      <c r="CC142" s="216"/>
      <c r="CD142" s="1195"/>
      <c r="CE142" s="249"/>
      <c r="CF142" s="216"/>
      <c r="CG142" s="1195"/>
      <c r="CH142" s="249"/>
      <c r="CI142" s="216"/>
      <c r="CJ142" s="1195"/>
      <c r="CK142" s="249"/>
      <c r="CL142" s="216"/>
      <c r="CM142" s="1194"/>
      <c r="CN142" s="1524"/>
      <c r="CO142" s="217"/>
      <c r="CP142" s="1193"/>
      <c r="CQ142" s="293"/>
      <c r="CR142" s="217"/>
      <c r="CS142" s="305"/>
      <c r="CT142" s="249"/>
      <c r="CU142" s="216"/>
      <c r="CV142" s="1193"/>
      <c r="CW142" s="249"/>
      <c r="CX142" s="216"/>
      <c r="CY142" s="305"/>
      <c r="CZ142" s="249"/>
      <c r="DA142" s="216"/>
      <c r="DB142" s="307"/>
      <c r="DC142" s="328"/>
      <c r="DD142" s="322"/>
      <c r="DE142" s="305"/>
      <c r="DF142" s="249"/>
      <c r="DG142" s="216"/>
      <c r="DH142" s="305"/>
      <c r="DI142" s="249"/>
      <c r="DJ142" s="216"/>
      <c r="DK142" s="309"/>
      <c r="DL142" s="293"/>
      <c r="DM142" s="326"/>
      <c r="DN142" s="1256"/>
      <c r="DO142" s="214"/>
      <c r="DP142" s="1257"/>
      <c r="DQ142" s="1258"/>
      <c r="DR142" s="305"/>
      <c r="DS142" s="249"/>
      <c r="DT142" s="216"/>
      <c r="DU142" s="305"/>
      <c r="DV142" s="2520"/>
      <c r="DW142" s="2521"/>
      <c r="DX142" s="305"/>
      <c r="DY142" s="249"/>
      <c r="DZ142" s="221"/>
      <c r="EA142" s="388"/>
      <c r="EB142" s="249"/>
      <c r="EC142" s="216"/>
      <c r="ED142" s="1461"/>
      <c r="EE142" s="249"/>
      <c r="EF142" s="216"/>
      <c r="EG142" s="355"/>
      <c r="EH142" s="1425"/>
      <c r="EI142" s="1470"/>
      <c r="EJ142" s="249"/>
      <c r="EK142" s="221"/>
      <c r="EL142" s="313"/>
      <c r="EM142" s="249"/>
      <c r="EN142" s="221"/>
      <c r="EO142" s="313"/>
      <c r="EP142" s="249"/>
      <c r="EQ142" s="216"/>
      <c r="ER142" s="313"/>
      <c r="ES142" s="249"/>
      <c r="ET142" s="216"/>
      <c r="EU142" s="313"/>
      <c r="EV142" s="249"/>
      <c r="EW142" s="216"/>
      <c r="EX142" s="2505"/>
      <c r="EY142" s="249"/>
      <c r="EZ142" s="221"/>
      <c r="FA142" s="313"/>
      <c r="FB142" s="249"/>
      <c r="FC142" s="221"/>
      <c r="FD142" s="313"/>
      <c r="FE142" s="249"/>
      <c r="FF142" s="221"/>
      <c r="FG142" s="313"/>
      <c r="FH142" s="249"/>
      <c r="FI142" s="216"/>
      <c r="FJ142" s="1435"/>
      <c r="FK142" s="216"/>
      <c r="FL142" s="1268"/>
      <c r="FM142" s="1655"/>
      <c r="FN142" s="1268"/>
      <c r="FO142" s="1655"/>
      <c r="FP142" s="1268"/>
      <c r="FQ142" s="1656"/>
      <c r="FR142" s="249"/>
      <c r="FS142" s="216"/>
      <c r="FT142" s="1657"/>
      <c r="FU142" s="1658"/>
      <c r="FV142" s="242"/>
      <c r="FW142" s="343"/>
      <c r="FX142" s="222"/>
      <c r="FY142" s="336"/>
      <c r="FZ142" s="223"/>
      <c r="GA142" s="338"/>
      <c r="GB142" s="204"/>
      <c r="GC142" s="339"/>
      <c r="GD142" s="342"/>
      <c r="GE142" s="199"/>
      <c r="GF142" s="199"/>
      <c r="GG142" s="199"/>
      <c r="GH142" s="199"/>
      <c r="GI142" s="199"/>
      <c r="GJ142" s="199"/>
      <c r="GK142" s="199"/>
      <c r="GL142" s="49"/>
      <c r="GM142" s="28"/>
      <c r="GN142" s="28"/>
      <c r="GO142" s="322"/>
      <c r="GP142" s="1190"/>
      <c r="GQ142" s="1190"/>
      <c r="GR142" s="49"/>
      <c r="GS142" s="2879"/>
      <c r="GT142" s="2880"/>
      <c r="GU142" s="2881"/>
      <c r="GV142" s="49"/>
      <c r="GW142" s="49"/>
      <c r="GX142" s="49"/>
      <c r="GY142" s="49"/>
      <c r="GZ142" s="49"/>
      <c r="HA142" s="49"/>
      <c r="HB142" s="49"/>
      <c r="HC142" s="49"/>
      <c r="HD142" s="49"/>
      <c r="HE142" s="49"/>
      <c r="HF142" s="49"/>
      <c r="HG142" s="49"/>
      <c r="HH142" s="49"/>
      <c r="HI142" s="49"/>
      <c r="HJ142" s="49"/>
      <c r="HK142" s="49"/>
      <c r="HL142" s="49"/>
      <c r="HM142" s="49"/>
      <c r="HN142" s="49"/>
      <c r="HO142" s="49"/>
      <c r="HP142" s="49"/>
      <c r="HQ142" s="49"/>
      <c r="HR142" s="49"/>
      <c r="HS142" s="49"/>
      <c r="HT142" s="49"/>
      <c r="HU142" s="49"/>
      <c r="HV142" s="49"/>
      <c r="HW142" s="49"/>
      <c r="HX142" s="49"/>
      <c r="HY142" s="49"/>
      <c r="HZ142" s="49"/>
      <c r="IA142" s="49"/>
      <c r="IB142" s="49"/>
      <c r="IC142" s="49"/>
      <c r="ID142" s="49"/>
      <c r="IE142" s="49"/>
      <c r="IF142" s="49"/>
      <c r="IG142" s="49"/>
      <c r="IH142" s="49"/>
      <c r="II142" s="49"/>
      <c r="IJ142" s="49"/>
      <c r="IK142" s="49"/>
      <c r="IL142" s="49"/>
      <c r="IM142" s="49"/>
      <c r="IN142" s="49"/>
      <c r="IO142" s="49"/>
      <c r="IP142" s="49"/>
      <c r="IQ142" s="49"/>
      <c r="IR142" s="49"/>
      <c r="IS142" s="49"/>
      <c r="IT142" s="49"/>
      <c r="IU142" s="49"/>
      <c r="IV142" s="49"/>
    </row>
    <row r="143" spans="1:256" s="198" customFormat="1" ht="12" customHeight="1">
      <c r="A143" s="1252"/>
      <c r="B143" s="200"/>
      <c r="C143" s="486"/>
      <c r="D143" s="201"/>
      <c r="E143" s="202"/>
      <c r="F143" s="203"/>
      <c r="G143" s="197"/>
      <c r="H143" s="197"/>
      <c r="I143" s="197"/>
      <c r="J143" s="197"/>
      <c r="K143" s="175"/>
      <c r="L143" s="197"/>
      <c r="M143" s="197"/>
      <c r="N143" s="197"/>
      <c r="O143" s="197"/>
      <c r="P143" s="197"/>
      <c r="Q143" s="1198"/>
      <c r="R143" s="202"/>
      <c r="S143" s="202"/>
      <c r="T143" s="1186"/>
      <c r="U143" s="233"/>
      <c r="V143" s="49"/>
      <c r="W143" s="218"/>
      <c r="X143" s="218"/>
      <c r="Y143" s="216"/>
      <c r="Z143" s="216"/>
      <c r="AA143" s="215"/>
      <c r="AB143" s="216"/>
      <c r="AC143" s="216"/>
      <c r="AD143" s="239"/>
      <c r="AE143" s="216"/>
      <c r="AF143" s="216"/>
      <c r="AG143" s="216"/>
      <c r="AH143" s="216"/>
      <c r="AI143" s="216"/>
      <c r="AJ143" s="216"/>
      <c r="AK143" s="239"/>
      <c r="AL143" s="216"/>
      <c r="AM143" s="216"/>
      <c r="AN143" s="216"/>
      <c r="AO143" s="216"/>
      <c r="AP143" s="216"/>
      <c r="AQ143" s="216"/>
      <c r="AR143" s="216"/>
      <c r="AS143" s="216"/>
      <c r="AT143" s="216"/>
      <c r="AU143" s="216"/>
      <c r="AV143" s="217"/>
      <c r="AW143" s="355"/>
      <c r="AX143" s="217"/>
      <c r="AY143" s="1559"/>
      <c r="AZ143" s="249"/>
      <c r="BA143" s="221"/>
      <c r="BB143" s="300"/>
      <c r="BC143" s="217"/>
      <c r="BD143" s="392"/>
      <c r="BE143" s="1244"/>
      <c r="BF143" s="249"/>
      <c r="BG143" s="252"/>
      <c r="BH143" s="1469"/>
      <c r="BI143" s="216"/>
      <c r="BJ143" s="1469"/>
      <c r="BK143" s="1459"/>
      <c r="BL143" s="260"/>
      <c r="BM143" s="214"/>
      <c r="BN143" s="293"/>
      <c r="BO143" s="217"/>
      <c r="BP143" s="355"/>
      <c r="BQ143" s="217"/>
      <c r="BR143" s="1193"/>
      <c r="BS143" s="249"/>
      <c r="BT143" s="216"/>
      <c r="BU143" s="1195"/>
      <c r="BV143" s="249"/>
      <c r="BW143" s="216"/>
      <c r="BX143" s="1195"/>
      <c r="BY143" s="249"/>
      <c r="BZ143" s="216"/>
      <c r="CA143" s="1195"/>
      <c r="CB143" s="249"/>
      <c r="CC143" s="216"/>
      <c r="CD143" s="1195"/>
      <c r="CE143" s="249"/>
      <c r="CF143" s="216"/>
      <c r="CG143" s="1195"/>
      <c r="CH143" s="249"/>
      <c r="CI143" s="216"/>
      <c r="CJ143" s="1195"/>
      <c r="CK143" s="249"/>
      <c r="CL143" s="216"/>
      <c r="CM143" s="1194"/>
      <c r="CN143" s="1524"/>
      <c r="CO143" s="217"/>
      <c r="CP143" s="1193"/>
      <c r="CQ143" s="293"/>
      <c r="CR143" s="217"/>
      <c r="CS143" s="305"/>
      <c r="CT143" s="249"/>
      <c r="CU143" s="216"/>
      <c r="CV143" s="1193"/>
      <c r="CW143" s="249"/>
      <c r="CX143" s="216"/>
      <c r="CY143" s="305"/>
      <c r="CZ143" s="249"/>
      <c r="DA143" s="216"/>
      <c r="DB143" s="307"/>
      <c r="DC143" s="328"/>
      <c r="DD143" s="322"/>
      <c r="DE143" s="305"/>
      <c r="DF143" s="249"/>
      <c r="DG143" s="216"/>
      <c r="DH143" s="305"/>
      <c r="DI143" s="249"/>
      <c r="DJ143" s="216"/>
      <c r="DK143" s="309"/>
      <c r="DL143" s="293"/>
      <c r="DM143" s="326"/>
      <c r="DN143" s="1256"/>
      <c r="DO143" s="214"/>
      <c r="DP143" s="1257"/>
      <c r="DQ143" s="1258"/>
      <c r="DR143" s="305"/>
      <c r="DS143" s="249"/>
      <c r="DT143" s="216"/>
      <c r="DU143" s="305"/>
      <c r="DV143" s="2520"/>
      <c r="DW143" s="2521"/>
      <c r="DX143" s="305"/>
      <c r="DY143" s="249"/>
      <c r="DZ143" s="221"/>
      <c r="EA143" s="388"/>
      <c r="EB143" s="249"/>
      <c r="EC143" s="216"/>
      <c r="ED143" s="1461"/>
      <c r="EE143" s="249"/>
      <c r="EF143" s="216"/>
      <c r="EG143" s="355"/>
      <c r="EH143" s="1425"/>
      <c r="EI143" s="1470"/>
      <c r="EJ143" s="249"/>
      <c r="EK143" s="221"/>
      <c r="EL143" s="313"/>
      <c r="EM143" s="249"/>
      <c r="EN143" s="221"/>
      <c r="EO143" s="313"/>
      <c r="EP143" s="249"/>
      <c r="EQ143" s="216"/>
      <c r="ER143" s="313"/>
      <c r="ES143" s="249"/>
      <c r="ET143" s="216"/>
      <c r="EU143" s="313"/>
      <c r="EV143" s="249"/>
      <c r="EW143" s="216"/>
      <c r="EX143" s="2505"/>
      <c r="EY143" s="249"/>
      <c r="EZ143" s="221"/>
      <c r="FA143" s="313"/>
      <c r="FB143" s="249"/>
      <c r="FC143" s="221"/>
      <c r="FD143" s="313"/>
      <c r="FE143" s="249"/>
      <c r="FF143" s="221"/>
      <c r="FG143" s="313"/>
      <c r="FH143" s="249"/>
      <c r="FI143" s="216"/>
      <c r="FJ143" s="1435"/>
      <c r="FK143" s="216"/>
      <c r="FL143" s="1268"/>
      <c r="FM143" s="1655"/>
      <c r="FN143" s="1268"/>
      <c r="FO143" s="1655"/>
      <c r="FP143" s="1268"/>
      <c r="FQ143" s="1656"/>
      <c r="FR143" s="249"/>
      <c r="FS143" s="216"/>
      <c r="FT143" s="1657"/>
      <c r="FU143" s="1658"/>
      <c r="FV143" s="242"/>
      <c r="FW143" s="343"/>
      <c r="FX143" s="222"/>
      <c r="FY143" s="336"/>
      <c r="FZ143" s="223"/>
      <c r="GA143" s="338"/>
      <c r="GB143" s="204"/>
      <c r="GC143" s="339"/>
      <c r="GD143" s="342"/>
      <c r="GE143" s="199"/>
      <c r="GF143" s="199"/>
      <c r="GG143" s="199"/>
      <c r="GH143" s="199"/>
      <c r="GI143" s="199"/>
      <c r="GJ143" s="199"/>
      <c r="GK143" s="199"/>
      <c r="GL143" s="49"/>
      <c r="GM143" s="28"/>
      <c r="GN143" s="28"/>
      <c r="GO143" s="322"/>
      <c r="GP143" s="1190"/>
      <c r="GQ143" s="1190"/>
      <c r="GR143" s="49"/>
      <c r="GS143" s="2879"/>
      <c r="GT143" s="2880"/>
      <c r="GU143" s="2881"/>
      <c r="GV143" s="49"/>
      <c r="GW143" s="49"/>
      <c r="GX143" s="49"/>
      <c r="GY143" s="49"/>
      <c r="GZ143" s="49"/>
      <c r="HA143" s="49"/>
      <c r="HB143" s="49"/>
      <c r="HC143" s="49"/>
      <c r="HD143" s="49"/>
      <c r="HE143" s="49"/>
      <c r="HF143" s="49"/>
      <c r="HG143" s="49"/>
      <c r="HH143" s="49"/>
      <c r="HI143" s="49"/>
      <c r="HJ143" s="49"/>
      <c r="HK143" s="49"/>
      <c r="HL143" s="49"/>
      <c r="HM143" s="49"/>
      <c r="HN143" s="49"/>
      <c r="HO143" s="49"/>
      <c r="HP143" s="49"/>
      <c r="HQ143" s="49"/>
      <c r="HR143" s="49"/>
      <c r="HS143" s="49"/>
      <c r="HT143" s="49"/>
      <c r="HU143" s="49"/>
      <c r="HV143" s="49"/>
      <c r="HW143" s="49"/>
      <c r="HX143" s="49"/>
      <c r="HY143" s="49"/>
      <c r="HZ143" s="49"/>
      <c r="IA143" s="49"/>
      <c r="IB143" s="49"/>
      <c r="IC143" s="49"/>
      <c r="ID143" s="49"/>
      <c r="IE143" s="49"/>
      <c r="IF143" s="49"/>
      <c r="IG143" s="49"/>
      <c r="IH143" s="49"/>
      <c r="II143" s="49"/>
      <c r="IJ143" s="49"/>
      <c r="IK143" s="49"/>
      <c r="IL143" s="49"/>
      <c r="IM143" s="49"/>
      <c r="IN143" s="49"/>
      <c r="IO143" s="49"/>
      <c r="IP143" s="49"/>
      <c r="IQ143" s="49"/>
      <c r="IR143" s="49"/>
      <c r="IS143" s="49"/>
      <c r="IT143" s="49"/>
      <c r="IU143" s="49"/>
      <c r="IV143" s="49"/>
    </row>
    <row r="144" spans="1:256" s="198" customFormat="1" ht="12" customHeight="1">
      <c r="A144" s="1252"/>
      <c r="B144" s="200"/>
      <c r="C144" s="486"/>
      <c r="D144" s="201"/>
      <c r="E144" s="202"/>
      <c r="F144" s="203"/>
      <c r="G144" s="197"/>
      <c r="H144" s="197"/>
      <c r="I144" s="197"/>
      <c r="J144" s="197"/>
      <c r="K144" s="175"/>
      <c r="L144" s="197"/>
      <c r="M144" s="197"/>
      <c r="N144" s="197"/>
      <c r="O144" s="197"/>
      <c r="P144" s="197"/>
      <c r="Q144" s="1198"/>
      <c r="R144" s="202"/>
      <c r="S144" s="202"/>
      <c r="T144" s="1186"/>
      <c r="U144" s="233"/>
      <c r="V144" s="49"/>
      <c r="W144" s="218"/>
      <c r="X144" s="218"/>
      <c r="Y144" s="216"/>
      <c r="Z144" s="216"/>
      <c r="AA144" s="215"/>
      <c r="AB144" s="216"/>
      <c r="AC144" s="216"/>
      <c r="AD144" s="239"/>
      <c r="AE144" s="216"/>
      <c r="AF144" s="216"/>
      <c r="AG144" s="216"/>
      <c r="AH144" s="216"/>
      <c r="AI144" s="216"/>
      <c r="AJ144" s="216"/>
      <c r="AK144" s="239"/>
      <c r="AL144" s="216"/>
      <c r="AM144" s="216"/>
      <c r="AN144" s="216"/>
      <c r="AO144" s="216"/>
      <c r="AP144" s="216"/>
      <c r="AQ144" s="216"/>
      <c r="AR144" s="216"/>
      <c r="AS144" s="216"/>
      <c r="AT144" s="216"/>
      <c r="AU144" s="216"/>
      <c r="AV144" s="217"/>
      <c r="AW144" s="355"/>
      <c r="AX144" s="217"/>
      <c r="AY144" s="1559"/>
      <c r="AZ144" s="249"/>
      <c r="BA144" s="221"/>
      <c r="BB144" s="300"/>
      <c r="BC144" s="217"/>
      <c r="BD144" s="392"/>
      <c r="BE144" s="1244"/>
      <c r="BF144" s="249"/>
      <c r="BG144" s="252"/>
      <c r="BH144" s="1469"/>
      <c r="BI144" s="216"/>
      <c r="BJ144" s="1469"/>
      <c r="BK144" s="1459"/>
      <c r="BL144" s="260"/>
      <c r="BM144" s="214"/>
      <c r="BN144" s="293"/>
      <c r="BO144" s="217"/>
      <c r="BP144" s="355"/>
      <c r="BQ144" s="217"/>
      <c r="BR144" s="1193"/>
      <c r="BS144" s="249"/>
      <c r="BT144" s="216"/>
      <c r="BU144" s="1195"/>
      <c r="BV144" s="249"/>
      <c r="BW144" s="216"/>
      <c r="BX144" s="1195"/>
      <c r="BY144" s="249"/>
      <c r="BZ144" s="216"/>
      <c r="CA144" s="1195"/>
      <c r="CB144" s="249"/>
      <c r="CC144" s="216"/>
      <c r="CD144" s="1195"/>
      <c r="CE144" s="249"/>
      <c r="CF144" s="216"/>
      <c r="CG144" s="1195"/>
      <c r="CH144" s="249"/>
      <c r="CI144" s="216"/>
      <c r="CJ144" s="1195"/>
      <c r="CK144" s="249"/>
      <c r="CL144" s="216"/>
      <c r="CM144" s="1194"/>
      <c r="CN144" s="1524"/>
      <c r="CO144" s="217"/>
      <c r="CP144" s="1193"/>
      <c r="CQ144" s="293"/>
      <c r="CR144" s="217"/>
      <c r="CS144" s="305"/>
      <c r="CT144" s="249"/>
      <c r="CU144" s="216"/>
      <c r="CV144" s="1193"/>
      <c r="CW144" s="249"/>
      <c r="CX144" s="216"/>
      <c r="CY144" s="305"/>
      <c r="CZ144" s="249"/>
      <c r="DA144" s="216"/>
      <c r="DB144" s="307"/>
      <c r="DC144" s="328"/>
      <c r="DD144" s="322"/>
      <c r="DE144" s="305"/>
      <c r="DF144" s="249"/>
      <c r="DG144" s="216"/>
      <c r="DH144" s="305"/>
      <c r="DI144" s="249"/>
      <c r="DJ144" s="216"/>
      <c r="DK144" s="309"/>
      <c r="DL144" s="293"/>
      <c r="DM144" s="326"/>
      <c r="DN144" s="1256"/>
      <c r="DO144" s="214"/>
      <c r="DP144" s="1257"/>
      <c r="DQ144" s="1258"/>
      <c r="DR144" s="305"/>
      <c r="DS144" s="249"/>
      <c r="DT144" s="216"/>
      <c r="DU144" s="305"/>
      <c r="DV144" s="2520"/>
      <c r="DW144" s="2521"/>
      <c r="DX144" s="305"/>
      <c r="DY144" s="249"/>
      <c r="DZ144" s="221"/>
      <c r="EA144" s="388"/>
      <c r="EB144" s="249"/>
      <c r="EC144" s="216"/>
      <c r="ED144" s="1461"/>
      <c r="EE144" s="249"/>
      <c r="EF144" s="216"/>
      <c r="EG144" s="355"/>
      <c r="EH144" s="1425"/>
      <c r="EI144" s="1470"/>
      <c r="EJ144" s="249"/>
      <c r="EK144" s="221"/>
      <c r="EL144" s="313"/>
      <c r="EM144" s="249"/>
      <c r="EN144" s="221"/>
      <c r="EO144" s="313"/>
      <c r="EP144" s="249"/>
      <c r="EQ144" s="216"/>
      <c r="ER144" s="313"/>
      <c r="ES144" s="249"/>
      <c r="ET144" s="216"/>
      <c r="EU144" s="313"/>
      <c r="EV144" s="249"/>
      <c r="EW144" s="216"/>
      <c r="EX144" s="2505"/>
      <c r="EY144" s="249"/>
      <c r="EZ144" s="221"/>
      <c r="FA144" s="313"/>
      <c r="FB144" s="249"/>
      <c r="FC144" s="221"/>
      <c r="FD144" s="313"/>
      <c r="FE144" s="249"/>
      <c r="FF144" s="221"/>
      <c r="FG144" s="313"/>
      <c r="FH144" s="249"/>
      <c r="FI144" s="216"/>
      <c r="FJ144" s="1435"/>
      <c r="FK144" s="216"/>
      <c r="FL144" s="1268"/>
      <c r="FM144" s="1655"/>
      <c r="FN144" s="1268"/>
      <c r="FO144" s="1655"/>
      <c r="FP144" s="1268"/>
      <c r="FQ144" s="1656"/>
      <c r="FR144" s="249"/>
      <c r="FS144" s="216"/>
      <c r="FT144" s="1657"/>
      <c r="FU144" s="1658"/>
      <c r="FV144" s="242"/>
      <c r="FW144" s="343"/>
      <c r="FX144" s="222"/>
      <c r="FY144" s="336"/>
      <c r="FZ144" s="223"/>
      <c r="GA144" s="338"/>
      <c r="GB144" s="204"/>
      <c r="GC144" s="339"/>
      <c r="GD144" s="342"/>
      <c r="GE144" s="199"/>
      <c r="GF144" s="199"/>
      <c r="GG144" s="199"/>
      <c r="GH144" s="199"/>
      <c r="GI144" s="199"/>
      <c r="GJ144" s="199"/>
      <c r="GK144" s="199"/>
      <c r="GL144" s="49"/>
      <c r="GM144" s="28"/>
      <c r="GN144" s="28"/>
      <c r="GO144" s="322"/>
      <c r="GP144" s="1190"/>
      <c r="GQ144" s="1190"/>
      <c r="GR144" s="49"/>
      <c r="GS144" s="2879"/>
      <c r="GT144" s="2880"/>
      <c r="GU144" s="2881"/>
      <c r="GV144" s="49"/>
      <c r="GW144" s="49"/>
      <c r="GX144" s="49"/>
      <c r="GY144" s="49"/>
      <c r="GZ144" s="49"/>
      <c r="HA144" s="49"/>
      <c r="HB144" s="49"/>
      <c r="HC144" s="49"/>
      <c r="HD144" s="49"/>
      <c r="HE144" s="49"/>
      <c r="HF144" s="49"/>
      <c r="HG144" s="49"/>
      <c r="HH144" s="49"/>
      <c r="HI144" s="49"/>
      <c r="HJ144" s="49"/>
      <c r="HK144" s="49"/>
      <c r="HL144" s="49"/>
      <c r="HM144" s="49"/>
      <c r="HN144" s="49"/>
      <c r="HO144" s="49"/>
      <c r="HP144" s="49"/>
      <c r="HQ144" s="49"/>
      <c r="HR144" s="49"/>
      <c r="HS144" s="49"/>
      <c r="HT144" s="49"/>
      <c r="HU144" s="49"/>
      <c r="HV144" s="49"/>
      <c r="HW144" s="49"/>
      <c r="HX144" s="49"/>
      <c r="HY144" s="49"/>
      <c r="HZ144" s="49"/>
      <c r="IA144" s="49"/>
      <c r="IB144" s="49"/>
      <c r="IC144" s="49"/>
      <c r="ID144" s="49"/>
      <c r="IE144" s="49"/>
      <c r="IF144" s="49"/>
      <c r="IG144" s="49"/>
      <c r="IH144" s="49"/>
      <c r="II144" s="49"/>
      <c r="IJ144" s="49"/>
      <c r="IK144" s="49"/>
      <c r="IL144" s="49"/>
      <c r="IM144" s="49"/>
      <c r="IN144" s="49"/>
      <c r="IO144" s="49"/>
      <c r="IP144" s="49"/>
      <c r="IQ144" s="49"/>
      <c r="IR144" s="49"/>
      <c r="IS144" s="49"/>
      <c r="IT144" s="49"/>
      <c r="IU144" s="49"/>
      <c r="IV144" s="49"/>
    </row>
    <row r="145" spans="1:256" s="198" customFormat="1" ht="12" customHeight="1">
      <c r="A145" s="1252"/>
      <c r="B145" s="200"/>
      <c r="C145" s="486"/>
      <c r="D145" s="201"/>
      <c r="E145" s="202"/>
      <c r="F145" s="203"/>
      <c r="G145" s="197"/>
      <c r="H145" s="197"/>
      <c r="I145" s="197"/>
      <c r="J145" s="197"/>
      <c r="K145" s="175"/>
      <c r="L145" s="197"/>
      <c r="M145" s="197"/>
      <c r="N145" s="197"/>
      <c r="O145" s="197"/>
      <c r="P145" s="197"/>
      <c r="Q145" s="1198"/>
      <c r="R145" s="202"/>
      <c r="S145" s="202"/>
      <c r="T145" s="1186"/>
      <c r="U145" s="233"/>
      <c r="V145" s="49"/>
      <c r="W145" s="218"/>
      <c r="X145" s="218"/>
      <c r="Y145" s="216"/>
      <c r="Z145" s="216"/>
      <c r="AA145" s="215"/>
      <c r="AB145" s="216"/>
      <c r="AC145" s="216"/>
      <c r="AD145" s="239"/>
      <c r="AE145" s="216"/>
      <c r="AF145" s="216"/>
      <c r="AG145" s="216"/>
      <c r="AH145" s="216"/>
      <c r="AI145" s="216"/>
      <c r="AJ145" s="216"/>
      <c r="AK145" s="239"/>
      <c r="AL145" s="216"/>
      <c r="AM145" s="216"/>
      <c r="AN145" s="216"/>
      <c r="AO145" s="216"/>
      <c r="AP145" s="216"/>
      <c r="AQ145" s="216"/>
      <c r="AR145" s="216"/>
      <c r="AS145" s="216"/>
      <c r="AT145" s="216"/>
      <c r="AU145" s="216"/>
      <c r="AV145" s="217"/>
      <c r="AW145" s="355"/>
      <c r="AX145" s="217"/>
      <c r="AY145" s="1559"/>
      <c r="AZ145" s="249"/>
      <c r="BA145" s="221"/>
      <c r="BB145" s="300"/>
      <c r="BC145" s="217"/>
      <c r="BD145" s="392"/>
      <c r="BE145" s="1244"/>
      <c r="BF145" s="249"/>
      <c r="BG145" s="252"/>
      <c r="BH145" s="1469"/>
      <c r="BI145" s="216"/>
      <c r="BJ145" s="1469"/>
      <c r="BK145" s="1459"/>
      <c r="BL145" s="260"/>
      <c r="BM145" s="214"/>
      <c r="BN145" s="293"/>
      <c r="BO145" s="217"/>
      <c r="BP145" s="355"/>
      <c r="BQ145" s="217"/>
      <c r="BR145" s="1193"/>
      <c r="BS145" s="249"/>
      <c r="BT145" s="216"/>
      <c r="BU145" s="1195"/>
      <c r="BV145" s="249"/>
      <c r="BW145" s="216"/>
      <c r="BX145" s="1195"/>
      <c r="BY145" s="249"/>
      <c r="BZ145" s="216"/>
      <c r="CA145" s="1195"/>
      <c r="CB145" s="249"/>
      <c r="CC145" s="216"/>
      <c r="CD145" s="1195"/>
      <c r="CE145" s="249"/>
      <c r="CF145" s="216"/>
      <c r="CG145" s="1195"/>
      <c r="CH145" s="249"/>
      <c r="CI145" s="216"/>
      <c r="CJ145" s="1195"/>
      <c r="CK145" s="249"/>
      <c r="CL145" s="216"/>
      <c r="CM145" s="1194"/>
      <c r="CN145" s="1524"/>
      <c r="CO145" s="217"/>
      <c r="CP145" s="1193"/>
      <c r="CQ145" s="293"/>
      <c r="CR145" s="217"/>
      <c r="CS145" s="305"/>
      <c r="CT145" s="249"/>
      <c r="CU145" s="216"/>
      <c r="CV145" s="1193"/>
      <c r="CW145" s="249"/>
      <c r="CX145" s="216"/>
      <c r="CY145" s="305"/>
      <c r="CZ145" s="249"/>
      <c r="DA145" s="216"/>
      <c r="DB145" s="307"/>
      <c r="DC145" s="328"/>
      <c r="DD145" s="322"/>
      <c r="DE145" s="305"/>
      <c r="DF145" s="249"/>
      <c r="DG145" s="216"/>
      <c r="DH145" s="305"/>
      <c r="DI145" s="249"/>
      <c r="DJ145" s="216"/>
      <c r="DK145" s="309"/>
      <c r="DL145" s="293"/>
      <c r="DM145" s="326"/>
      <c r="DN145" s="1256"/>
      <c r="DO145" s="214"/>
      <c r="DP145" s="1257"/>
      <c r="DQ145" s="1258"/>
      <c r="DR145" s="305"/>
      <c r="DS145" s="249"/>
      <c r="DT145" s="216"/>
      <c r="DU145" s="305"/>
      <c r="DV145" s="2520"/>
      <c r="DW145" s="2521"/>
      <c r="DX145" s="305"/>
      <c r="DY145" s="249"/>
      <c r="DZ145" s="221"/>
      <c r="EA145" s="388"/>
      <c r="EB145" s="249"/>
      <c r="EC145" s="216"/>
      <c r="ED145" s="1461"/>
      <c r="EE145" s="249"/>
      <c r="EF145" s="216"/>
      <c r="EG145" s="355"/>
      <c r="EH145" s="1425"/>
      <c r="EI145" s="1470"/>
      <c r="EJ145" s="249"/>
      <c r="EK145" s="221"/>
      <c r="EL145" s="313"/>
      <c r="EM145" s="249"/>
      <c r="EN145" s="221"/>
      <c r="EO145" s="313"/>
      <c r="EP145" s="249"/>
      <c r="EQ145" s="216"/>
      <c r="ER145" s="313"/>
      <c r="ES145" s="249"/>
      <c r="ET145" s="216"/>
      <c r="EU145" s="313"/>
      <c r="EV145" s="249"/>
      <c r="EW145" s="216"/>
      <c r="EX145" s="2505"/>
      <c r="EY145" s="249"/>
      <c r="EZ145" s="221"/>
      <c r="FA145" s="313"/>
      <c r="FB145" s="249"/>
      <c r="FC145" s="221"/>
      <c r="FD145" s="313"/>
      <c r="FE145" s="249"/>
      <c r="FF145" s="221"/>
      <c r="FG145" s="313"/>
      <c r="FH145" s="249"/>
      <c r="FI145" s="216"/>
      <c r="FJ145" s="1435"/>
      <c r="FK145" s="216"/>
      <c r="FL145" s="1268"/>
      <c r="FM145" s="1655"/>
      <c r="FN145" s="1268"/>
      <c r="FO145" s="1655"/>
      <c r="FP145" s="1268"/>
      <c r="FQ145" s="1656"/>
      <c r="FR145" s="249"/>
      <c r="FS145" s="216"/>
      <c r="FT145" s="1657"/>
      <c r="FU145" s="1658"/>
      <c r="FV145" s="242"/>
      <c r="FW145" s="343"/>
      <c r="FX145" s="222"/>
      <c r="FY145" s="336"/>
      <c r="FZ145" s="223"/>
      <c r="GA145" s="338"/>
      <c r="GB145" s="204"/>
      <c r="GC145" s="339"/>
      <c r="GD145" s="342"/>
      <c r="GE145" s="199"/>
      <c r="GF145" s="199"/>
      <c r="GG145" s="199"/>
      <c r="GH145" s="199"/>
      <c r="GI145" s="199"/>
      <c r="GJ145" s="199"/>
      <c r="GK145" s="199"/>
      <c r="GL145" s="49"/>
      <c r="GM145" s="28"/>
      <c r="GN145" s="28"/>
      <c r="GO145" s="322"/>
      <c r="GP145" s="1190"/>
      <c r="GQ145" s="1190"/>
      <c r="GR145" s="49"/>
      <c r="GS145" s="2879"/>
      <c r="GT145" s="2880"/>
      <c r="GU145" s="2881"/>
      <c r="GV145" s="49"/>
      <c r="GW145" s="49"/>
      <c r="GX145" s="49"/>
      <c r="GY145" s="49"/>
      <c r="GZ145" s="49"/>
      <c r="HA145" s="49"/>
      <c r="HB145" s="49"/>
      <c r="HC145" s="49"/>
      <c r="HD145" s="49"/>
      <c r="HE145" s="49"/>
      <c r="HF145" s="49"/>
      <c r="HG145" s="49"/>
      <c r="HH145" s="49"/>
      <c r="HI145" s="49"/>
      <c r="HJ145" s="49"/>
      <c r="HK145" s="49"/>
      <c r="HL145" s="49"/>
      <c r="HM145" s="49"/>
      <c r="HN145" s="49"/>
      <c r="HO145" s="49"/>
      <c r="HP145" s="49"/>
      <c r="HQ145" s="49"/>
      <c r="HR145" s="49"/>
      <c r="HS145" s="49"/>
      <c r="HT145" s="49"/>
      <c r="HU145" s="49"/>
      <c r="HV145" s="49"/>
      <c r="HW145" s="49"/>
      <c r="HX145" s="49"/>
      <c r="HY145" s="49"/>
      <c r="HZ145" s="49"/>
      <c r="IA145" s="49"/>
      <c r="IB145" s="49"/>
      <c r="IC145" s="49"/>
      <c r="ID145" s="49"/>
      <c r="IE145" s="49"/>
      <c r="IF145" s="49"/>
      <c r="IG145" s="49"/>
      <c r="IH145" s="49"/>
      <c r="II145" s="49"/>
      <c r="IJ145" s="49"/>
      <c r="IK145" s="49"/>
      <c r="IL145" s="49"/>
      <c r="IM145" s="49"/>
      <c r="IN145" s="49"/>
      <c r="IO145" s="49"/>
      <c r="IP145" s="49"/>
      <c r="IQ145" s="49"/>
      <c r="IR145" s="49"/>
      <c r="IS145" s="49"/>
      <c r="IT145" s="49"/>
      <c r="IU145" s="49"/>
      <c r="IV145" s="49"/>
    </row>
    <row r="146" spans="1:256" s="198" customFormat="1" ht="12" customHeight="1">
      <c r="A146" s="1252"/>
      <c r="B146" s="200"/>
      <c r="C146" s="486"/>
      <c r="D146" s="201"/>
      <c r="E146" s="202"/>
      <c r="F146" s="203"/>
      <c r="G146" s="197"/>
      <c r="H146" s="197"/>
      <c r="I146" s="197"/>
      <c r="J146" s="197"/>
      <c r="K146" s="175"/>
      <c r="L146" s="197"/>
      <c r="M146" s="197"/>
      <c r="N146" s="197"/>
      <c r="O146" s="197"/>
      <c r="P146" s="197"/>
      <c r="Q146" s="1198"/>
      <c r="R146" s="202"/>
      <c r="S146" s="202"/>
      <c r="T146" s="1186"/>
      <c r="U146" s="233"/>
      <c r="V146" s="49"/>
      <c r="W146" s="218"/>
      <c r="X146" s="218"/>
      <c r="Y146" s="216"/>
      <c r="Z146" s="216"/>
      <c r="AA146" s="215"/>
      <c r="AB146" s="216"/>
      <c r="AC146" s="216"/>
      <c r="AD146" s="239"/>
      <c r="AE146" s="216"/>
      <c r="AF146" s="216"/>
      <c r="AG146" s="216"/>
      <c r="AH146" s="216"/>
      <c r="AI146" s="216"/>
      <c r="AJ146" s="216"/>
      <c r="AK146" s="239"/>
      <c r="AL146" s="216"/>
      <c r="AM146" s="216"/>
      <c r="AN146" s="216"/>
      <c r="AO146" s="216"/>
      <c r="AP146" s="216"/>
      <c r="AQ146" s="216"/>
      <c r="AR146" s="216"/>
      <c r="AS146" s="216"/>
      <c r="AT146" s="216"/>
      <c r="AU146" s="216"/>
      <c r="AV146" s="217"/>
      <c r="AW146" s="355"/>
      <c r="AX146" s="217"/>
      <c r="AY146" s="1559"/>
      <c r="AZ146" s="249"/>
      <c r="BA146" s="221"/>
      <c r="BB146" s="300"/>
      <c r="BC146" s="217"/>
      <c r="BD146" s="392"/>
      <c r="BE146" s="1244"/>
      <c r="BF146" s="249"/>
      <c r="BG146" s="252"/>
      <c r="BH146" s="1469"/>
      <c r="BI146" s="216"/>
      <c r="BJ146" s="1469"/>
      <c r="BK146" s="1459"/>
      <c r="BL146" s="260"/>
      <c r="BM146" s="214"/>
      <c r="BN146" s="293"/>
      <c r="BO146" s="217"/>
      <c r="BP146" s="355"/>
      <c r="BQ146" s="217"/>
      <c r="BR146" s="1193"/>
      <c r="BS146" s="249"/>
      <c r="BT146" s="216"/>
      <c r="BU146" s="1195"/>
      <c r="BV146" s="249"/>
      <c r="BW146" s="216"/>
      <c r="BX146" s="1195"/>
      <c r="BY146" s="249"/>
      <c r="BZ146" s="216"/>
      <c r="CA146" s="1195"/>
      <c r="CB146" s="249"/>
      <c r="CC146" s="216"/>
      <c r="CD146" s="1195"/>
      <c r="CE146" s="249"/>
      <c r="CF146" s="216"/>
      <c r="CG146" s="1195"/>
      <c r="CH146" s="249"/>
      <c r="CI146" s="216"/>
      <c r="CJ146" s="1195"/>
      <c r="CK146" s="249"/>
      <c r="CL146" s="216"/>
      <c r="CM146" s="1194"/>
      <c r="CN146" s="1524"/>
      <c r="CO146" s="217"/>
      <c r="CP146" s="1193"/>
      <c r="CQ146" s="293"/>
      <c r="CR146" s="217"/>
      <c r="CS146" s="305"/>
      <c r="CT146" s="249"/>
      <c r="CU146" s="216"/>
      <c r="CV146" s="1193"/>
      <c r="CW146" s="249"/>
      <c r="CX146" s="216"/>
      <c r="CY146" s="305"/>
      <c r="CZ146" s="249"/>
      <c r="DA146" s="216"/>
      <c r="DB146" s="307"/>
      <c r="DC146" s="328"/>
      <c r="DD146" s="322"/>
      <c r="DE146" s="305"/>
      <c r="DF146" s="249"/>
      <c r="DG146" s="216"/>
      <c r="DH146" s="305"/>
      <c r="DI146" s="249"/>
      <c r="DJ146" s="216"/>
      <c r="DK146" s="309"/>
      <c r="DL146" s="293"/>
      <c r="DM146" s="326"/>
      <c r="DN146" s="1256"/>
      <c r="DO146" s="214"/>
      <c r="DP146" s="1257"/>
      <c r="DQ146" s="1258"/>
      <c r="DR146" s="305"/>
      <c r="DS146" s="249"/>
      <c r="DT146" s="216"/>
      <c r="DU146" s="305"/>
      <c r="DV146" s="2520"/>
      <c r="DW146" s="2521"/>
      <c r="DX146" s="305"/>
      <c r="DY146" s="249"/>
      <c r="DZ146" s="221"/>
      <c r="EA146" s="388"/>
      <c r="EB146" s="249"/>
      <c r="EC146" s="216"/>
      <c r="ED146" s="1461"/>
      <c r="EE146" s="249"/>
      <c r="EF146" s="216"/>
      <c r="EG146" s="355"/>
      <c r="EH146" s="1425"/>
      <c r="EI146" s="1470"/>
      <c r="EJ146" s="249"/>
      <c r="EK146" s="221"/>
      <c r="EL146" s="313"/>
      <c r="EM146" s="249"/>
      <c r="EN146" s="221"/>
      <c r="EO146" s="313"/>
      <c r="EP146" s="249"/>
      <c r="EQ146" s="216"/>
      <c r="ER146" s="313"/>
      <c r="ES146" s="249"/>
      <c r="ET146" s="216"/>
      <c r="EU146" s="313"/>
      <c r="EV146" s="249"/>
      <c r="EW146" s="216"/>
      <c r="EX146" s="2505"/>
      <c r="EY146" s="249"/>
      <c r="EZ146" s="221"/>
      <c r="FA146" s="313"/>
      <c r="FB146" s="249"/>
      <c r="FC146" s="221"/>
      <c r="FD146" s="313"/>
      <c r="FE146" s="249"/>
      <c r="FF146" s="221"/>
      <c r="FG146" s="313"/>
      <c r="FH146" s="249"/>
      <c r="FI146" s="216"/>
      <c r="FJ146" s="1435"/>
      <c r="FK146" s="216"/>
      <c r="FL146" s="1268"/>
      <c r="FM146" s="1655"/>
      <c r="FN146" s="1268"/>
      <c r="FO146" s="1655"/>
      <c r="FP146" s="1268"/>
      <c r="FQ146" s="1656"/>
      <c r="FR146" s="249"/>
      <c r="FS146" s="216"/>
      <c r="FT146" s="1657"/>
      <c r="FU146" s="1658"/>
      <c r="FV146" s="242"/>
      <c r="FW146" s="343"/>
      <c r="FX146" s="222"/>
      <c r="FY146" s="336"/>
      <c r="FZ146" s="223"/>
      <c r="GA146" s="338"/>
      <c r="GB146" s="204"/>
      <c r="GC146" s="339"/>
      <c r="GD146" s="342"/>
      <c r="GE146" s="199"/>
      <c r="GF146" s="199"/>
      <c r="GG146" s="199"/>
      <c r="GH146" s="199"/>
      <c r="GI146" s="199"/>
      <c r="GJ146" s="199"/>
      <c r="GK146" s="199"/>
      <c r="GL146" s="49"/>
      <c r="GM146" s="28"/>
      <c r="GN146" s="28"/>
      <c r="GO146" s="322"/>
      <c r="GP146" s="1190"/>
      <c r="GQ146" s="1190"/>
      <c r="GR146" s="49"/>
      <c r="GS146" s="2879"/>
      <c r="GT146" s="2880"/>
      <c r="GU146" s="2881"/>
      <c r="GV146" s="49"/>
      <c r="GW146" s="49"/>
      <c r="GX146" s="49"/>
      <c r="GY146" s="49"/>
      <c r="GZ146" s="49"/>
      <c r="HA146" s="49"/>
      <c r="HB146" s="49"/>
      <c r="HC146" s="49"/>
      <c r="HD146" s="49"/>
      <c r="HE146" s="49"/>
      <c r="HF146" s="49"/>
      <c r="HG146" s="49"/>
      <c r="HH146" s="49"/>
      <c r="HI146" s="49"/>
      <c r="HJ146" s="49"/>
      <c r="HK146" s="49"/>
      <c r="HL146" s="49"/>
      <c r="HM146" s="49"/>
      <c r="HN146" s="49"/>
      <c r="HO146" s="49"/>
      <c r="HP146" s="49"/>
      <c r="HQ146" s="49"/>
      <c r="HR146" s="49"/>
      <c r="HS146" s="49"/>
      <c r="HT146" s="49"/>
      <c r="HU146" s="49"/>
      <c r="HV146" s="49"/>
      <c r="HW146" s="49"/>
      <c r="HX146" s="49"/>
      <c r="HY146" s="49"/>
      <c r="HZ146" s="49"/>
      <c r="IA146" s="49"/>
      <c r="IB146" s="49"/>
      <c r="IC146" s="49"/>
      <c r="ID146" s="49"/>
      <c r="IE146" s="49"/>
      <c r="IF146" s="49"/>
      <c r="IG146" s="49"/>
      <c r="IH146" s="49"/>
      <c r="II146" s="49"/>
      <c r="IJ146" s="49"/>
      <c r="IK146" s="49"/>
      <c r="IL146" s="49"/>
      <c r="IM146" s="49"/>
      <c r="IN146" s="49"/>
      <c r="IO146" s="49"/>
      <c r="IP146" s="49"/>
      <c r="IQ146" s="49"/>
      <c r="IR146" s="49"/>
      <c r="IS146" s="49"/>
      <c r="IT146" s="49"/>
      <c r="IU146" s="49"/>
      <c r="IV146" s="49"/>
    </row>
    <row r="147" spans="1:256" s="198" customFormat="1" ht="12" customHeight="1">
      <c r="A147" s="1252"/>
      <c r="B147" s="200"/>
      <c r="C147" s="486"/>
      <c r="D147" s="201"/>
      <c r="E147" s="202"/>
      <c r="F147" s="203"/>
      <c r="G147" s="197"/>
      <c r="H147" s="197"/>
      <c r="I147" s="197"/>
      <c r="J147" s="197"/>
      <c r="K147" s="175"/>
      <c r="L147" s="197"/>
      <c r="M147" s="197"/>
      <c r="N147" s="197"/>
      <c r="O147" s="197"/>
      <c r="P147" s="197"/>
      <c r="Q147" s="1198"/>
      <c r="R147" s="202"/>
      <c r="S147" s="202"/>
      <c r="T147" s="1186"/>
      <c r="U147" s="233"/>
      <c r="V147" s="49"/>
      <c r="W147" s="218"/>
      <c r="X147" s="218"/>
      <c r="Y147" s="216"/>
      <c r="Z147" s="216"/>
      <c r="AA147" s="215"/>
      <c r="AB147" s="216"/>
      <c r="AC147" s="216"/>
      <c r="AD147" s="239"/>
      <c r="AE147" s="216"/>
      <c r="AF147" s="216"/>
      <c r="AG147" s="216"/>
      <c r="AH147" s="216"/>
      <c r="AI147" s="216"/>
      <c r="AJ147" s="216"/>
      <c r="AK147" s="239"/>
      <c r="AL147" s="216"/>
      <c r="AM147" s="216"/>
      <c r="AN147" s="216"/>
      <c r="AO147" s="216"/>
      <c r="AP147" s="216"/>
      <c r="AQ147" s="216"/>
      <c r="AR147" s="216"/>
      <c r="AS147" s="216"/>
      <c r="AT147" s="216"/>
      <c r="AU147" s="216"/>
      <c r="AV147" s="217"/>
      <c r="AW147" s="355"/>
      <c r="AX147" s="217"/>
      <c r="AY147" s="1559"/>
      <c r="AZ147" s="249"/>
      <c r="BA147" s="221"/>
      <c r="BB147" s="300"/>
      <c r="BC147" s="217"/>
      <c r="BD147" s="392"/>
      <c r="BE147" s="1244"/>
      <c r="BF147" s="249"/>
      <c r="BG147" s="252"/>
      <c r="BH147" s="1469"/>
      <c r="BI147" s="216"/>
      <c r="BJ147" s="1469"/>
      <c r="BK147" s="1459"/>
      <c r="BL147" s="260"/>
      <c r="BM147" s="214"/>
      <c r="BN147" s="293"/>
      <c r="BO147" s="217"/>
      <c r="BP147" s="355"/>
      <c r="BQ147" s="217"/>
      <c r="BR147" s="1193"/>
      <c r="BS147" s="249"/>
      <c r="BT147" s="216"/>
      <c r="BU147" s="1195"/>
      <c r="BV147" s="249"/>
      <c r="BW147" s="216"/>
      <c r="BX147" s="1195"/>
      <c r="BY147" s="249"/>
      <c r="BZ147" s="216"/>
      <c r="CA147" s="1195"/>
      <c r="CB147" s="249"/>
      <c r="CC147" s="216"/>
      <c r="CD147" s="1195"/>
      <c r="CE147" s="249"/>
      <c r="CF147" s="216"/>
      <c r="CG147" s="1195"/>
      <c r="CH147" s="249"/>
      <c r="CI147" s="216"/>
      <c r="CJ147" s="1195"/>
      <c r="CK147" s="249"/>
      <c r="CL147" s="216"/>
      <c r="CM147" s="1194"/>
      <c r="CN147" s="1524"/>
      <c r="CO147" s="217"/>
      <c r="CP147" s="1193"/>
      <c r="CQ147" s="293"/>
      <c r="CR147" s="217"/>
      <c r="CS147" s="305"/>
      <c r="CT147" s="249"/>
      <c r="CU147" s="216"/>
      <c r="CV147" s="1193"/>
      <c r="CW147" s="249"/>
      <c r="CX147" s="216"/>
      <c r="CY147" s="305"/>
      <c r="CZ147" s="249"/>
      <c r="DA147" s="216"/>
      <c r="DB147" s="307"/>
      <c r="DC147" s="328"/>
      <c r="DD147" s="322"/>
      <c r="DE147" s="305"/>
      <c r="DF147" s="249"/>
      <c r="DG147" s="216"/>
      <c r="DH147" s="305"/>
      <c r="DI147" s="249"/>
      <c r="DJ147" s="216"/>
      <c r="DK147" s="309"/>
      <c r="DL147" s="293"/>
      <c r="DM147" s="326"/>
      <c r="DN147" s="1256"/>
      <c r="DO147" s="214"/>
      <c r="DP147" s="1257"/>
      <c r="DQ147" s="1258"/>
      <c r="DR147" s="305"/>
      <c r="DS147" s="249"/>
      <c r="DT147" s="216"/>
      <c r="DU147" s="305"/>
      <c r="DV147" s="2520"/>
      <c r="DW147" s="2521"/>
      <c r="DX147" s="305"/>
      <c r="DY147" s="249"/>
      <c r="DZ147" s="221"/>
      <c r="EA147" s="388"/>
      <c r="EB147" s="249"/>
      <c r="EC147" s="216"/>
      <c r="ED147" s="1461"/>
      <c r="EE147" s="249"/>
      <c r="EF147" s="216"/>
      <c r="EG147" s="355"/>
      <c r="EH147" s="1425"/>
      <c r="EI147" s="1470"/>
      <c r="EJ147" s="249"/>
      <c r="EK147" s="221"/>
      <c r="EL147" s="313"/>
      <c r="EM147" s="249"/>
      <c r="EN147" s="221"/>
      <c r="EO147" s="313"/>
      <c r="EP147" s="249"/>
      <c r="EQ147" s="216"/>
      <c r="ER147" s="313"/>
      <c r="ES147" s="249"/>
      <c r="ET147" s="216"/>
      <c r="EU147" s="313"/>
      <c r="EV147" s="249"/>
      <c r="EW147" s="216"/>
      <c r="EX147" s="2505"/>
      <c r="EY147" s="249"/>
      <c r="EZ147" s="221"/>
      <c r="FA147" s="313"/>
      <c r="FB147" s="249"/>
      <c r="FC147" s="221"/>
      <c r="FD147" s="313"/>
      <c r="FE147" s="249"/>
      <c r="FF147" s="221"/>
      <c r="FG147" s="313"/>
      <c r="FH147" s="249"/>
      <c r="FI147" s="216"/>
      <c r="FJ147" s="1435"/>
      <c r="FK147" s="216"/>
      <c r="FL147" s="1268"/>
      <c r="FM147" s="1655"/>
      <c r="FN147" s="1268"/>
      <c r="FO147" s="1655"/>
      <c r="FP147" s="1268"/>
      <c r="FQ147" s="1656"/>
      <c r="FR147" s="249"/>
      <c r="FS147" s="216"/>
      <c r="FT147" s="1657"/>
      <c r="FU147" s="1658"/>
      <c r="FV147" s="242"/>
      <c r="FW147" s="343"/>
      <c r="FX147" s="222"/>
      <c r="FY147" s="336"/>
      <c r="FZ147" s="223"/>
      <c r="GA147" s="338"/>
      <c r="GB147" s="204"/>
      <c r="GC147" s="339"/>
      <c r="GD147" s="342"/>
      <c r="GE147" s="199"/>
      <c r="GF147" s="199"/>
      <c r="GG147" s="199"/>
      <c r="GH147" s="199"/>
      <c r="GI147" s="199"/>
      <c r="GJ147" s="199"/>
      <c r="GK147" s="199"/>
      <c r="GL147" s="49"/>
      <c r="GM147" s="28"/>
      <c r="GN147" s="28"/>
      <c r="GO147" s="322"/>
      <c r="GP147" s="1190"/>
      <c r="GQ147" s="1190"/>
      <c r="GR147" s="49"/>
      <c r="GS147" s="2879"/>
      <c r="GT147" s="2880"/>
      <c r="GU147" s="2881"/>
      <c r="GV147" s="49"/>
      <c r="GW147" s="49"/>
      <c r="GX147" s="49"/>
      <c r="GY147" s="49"/>
      <c r="GZ147" s="49"/>
      <c r="HA147" s="49"/>
      <c r="HB147" s="49"/>
      <c r="HC147" s="49"/>
      <c r="HD147" s="49"/>
      <c r="HE147" s="49"/>
      <c r="HF147" s="49"/>
      <c r="HG147" s="49"/>
      <c r="HH147" s="49"/>
      <c r="HI147" s="49"/>
      <c r="HJ147" s="49"/>
      <c r="HK147" s="49"/>
      <c r="HL147" s="49"/>
      <c r="HM147" s="49"/>
      <c r="HN147" s="49"/>
      <c r="HO147" s="49"/>
      <c r="HP147" s="49"/>
      <c r="HQ147" s="49"/>
      <c r="HR147" s="49"/>
      <c r="HS147" s="49"/>
      <c r="HT147" s="49"/>
      <c r="HU147" s="49"/>
      <c r="HV147" s="49"/>
      <c r="HW147" s="49"/>
      <c r="HX147" s="49"/>
      <c r="HY147" s="49"/>
      <c r="HZ147" s="49"/>
      <c r="IA147" s="49"/>
      <c r="IB147" s="49"/>
      <c r="IC147" s="49"/>
      <c r="ID147" s="49"/>
      <c r="IE147" s="49"/>
      <c r="IF147" s="49"/>
      <c r="IG147" s="49"/>
      <c r="IH147" s="49"/>
      <c r="II147" s="49"/>
      <c r="IJ147" s="49"/>
      <c r="IK147" s="49"/>
      <c r="IL147" s="49"/>
      <c r="IM147" s="49"/>
      <c r="IN147" s="49"/>
      <c r="IO147" s="49"/>
      <c r="IP147" s="49"/>
      <c r="IQ147" s="49"/>
      <c r="IR147" s="49"/>
      <c r="IS147" s="49"/>
      <c r="IT147" s="49"/>
      <c r="IU147" s="49"/>
      <c r="IV147" s="49"/>
    </row>
    <row r="148" spans="1:256" s="198" customFormat="1" ht="12" customHeight="1">
      <c r="A148" s="1252"/>
      <c r="B148" s="200"/>
      <c r="C148" s="486"/>
      <c r="D148" s="201"/>
      <c r="E148" s="202"/>
      <c r="F148" s="203"/>
      <c r="G148" s="197"/>
      <c r="H148" s="197"/>
      <c r="I148" s="197"/>
      <c r="J148" s="197"/>
      <c r="K148" s="175"/>
      <c r="L148" s="197"/>
      <c r="M148" s="197"/>
      <c r="N148" s="197"/>
      <c r="O148" s="197"/>
      <c r="P148" s="197"/>
      <c r="Q148" s="1198"/>
      <c r="R148" s="202"/>
      <c r="S148" s="202"/>
      <c r="T148" s="1186"/>
      <c r="U148" s="233"/>
      <c r="V148" s="49"/>
      <c r="W148" s="218"/>
      <c r="X148" s="218"/>
      <c r="Y148" s="216"/>
      <c r="Z148" s="216"/>
      <c r="AA148" s="215"/>
      <c r="AB148" s="216"/>
      <c r="AC148" s="216"/>
      <c r="AD148" s="239"/>
      <c r="AE148" s="216"/>
      <c r="AF148" s="216"/>
      <c r="AG148" s="216"/>
      <c r="AH148" s="216"/>
      <c r="AI148" s="216"/>
      <c r="AJ148" s="216"/>
      <c r="AK148" s="239"/>
      <c r="AL148" s="216"/>
      <c r="AM148" s="216"/>
      <c r="AN148" s="216"/>
      <c r="AO148" s="216"/>
      <c r="AP148" s="216"/>
      <c r="AQ148" s="216"/>
      <c r="AR148" s="216"/>
      <c r="AS148" s="216"/>
      <c r="AT148" s="216"/>
      <c r="AU148" s="216"/>
      <c r="AV148" s="217"/>
      <c r="AW148" s="355"/>
      <c r="AX148" s="217"/>
      <c r="AY148" s="1559"/>
      <c r="AZ148" s="249"/>
      <c r="BA148" s="221"/>
      <c r="BB148" s="300"/>
      <c r="BC148" s="217"/>
      <c r="BD148" s="392"/>
      <c r="BE148" s="1244"/>
      <c r="BF148" s="249"/>
      <c r="BG148" s="252"/>
      <c r="BH148" s="1469"/>
      <c r="BI148" s="216"/>
      <c r="BJ148" s="1469"/>
      <c r="BK148" s="1459"/>
      <c r="BL148" s="260"/>
      <c r="BM148" s="214"/>
      <c r="BN148" s="293"/>
      <c r="BO148" s="217"/>
      <c r="BP148" s="355"/>
      <c r="BQ148" s="217"/>
      <c r="BR148" s="1193"/>
      <c r="BS148" s="249"/>
      <c r="BT148" s="216"/>
      <c r="BU148" s="1195"/>
      <c r="BV148" s="249"/>
      <c r="BW148" s="216"/>
      <c r="BX148" s="1195"/>
      <c r="BY148" s="249"/>
      <c r="BZ148" s="216"/>
      <c r="CA148" s="1195"/>
      <c r="CB148" s="249"/>
      <c r="CC148" s="216"/>
      <c r="CD148" s="1195"/>
      <c r="CE148" s="249"/>
      <c r="CF148" s="216"/>
      <c r="CG148" s="1195"/>
      <c r="CH148" s="249"/>
      <c r="CI148" s="216"/>
      <c r="CJ148" s="1195"/>
      <c r="CK148" s="249"/>
      <c r="CL148" s="216"/>
      <c r="CM148" s="1194"/>
      <c r="CN148" s="1524"/>
      <c r="CO148" s="217"/>
      <c r="CP148" s="1193"/>
      <c r="CQ148" s="293"/>
      <c r="CR148" s="217"/>
      <c r="CS148" s="305"/>
      <c r="CT148" s="249"/>
      <c r="CU148" s="216"/>
      <c r="CV148" s="1193"/>
      <c r="CW148" s="249"/>
      <c r="CX148" s="216"/>
      <c r="CY148" s="305"/>
      <c r="CZ148" s="249"/>
      <c r="DA148" s="216"/>
      <c r="DB148" s="307"/>
      <c r="DC148" s="328"/>
      <c r="DD148" s="322"/>
      <c r="DE148" s="305"/>
      <c r="DF148" s="249"/>
      <c r="DG148" s="216"/>
      <c r="DH148" s="305"/>
      <c r="DI148" s="249"/>
      <c r="DJ148" s="216"/>
      <c r="DK148" s="309"/>
      <c r="DL148" s="293"/>
      <c r="DM148" s="326"/>
      <c r="DN148" s="1256"/>
      <c r="DO148" s="214"/>
      <c r="DP148" s="1257"/>
      <c r="DQ148" s="1258"/>
      <c r="DR148" s="305"/>
      <c r="DS148" s="249"/>
      <c r="DT148" s="216"/>
      <c r="DU148" s="305"/>
      <c r="DV148" s="2520"/>
      <c r="DW148" s="2521"/>
      <c r="DX148" s="305"/>
      <c r="DY148" s="249"/>
      <c r="DZ148" s="221"/>
      <c r="EA148" s="388"/>
      <c r="EB148" s="249"/>
      <c r="EC148" s="216"/>
      <c r="ED148" s="1461"/>
      <c r="EE148" s="249"/>
      <c r="EF148" s="216"/>
      <c r="EG148" s="355"/>
      <c r="EH148" s="1425"/>
      <c r="EI148" s="1470"/>
      <c r="EJ148" s="249"/>
      <c r="EK148" s="221"/>
      <c r="EL148" s="313"/>
      <c r="EM148" s="249"/>
      <c r="EN148" s="221"/>
      <c r="EO148" s="313"/>
      <c r="EP148" s="249"/>
      <c r="EQ148" s="216"/>
      <c r="ER148" s="313"/>
      <c r="ES148" s="249"/>
      <c r="ET148" s="216"/>
      <c r="EU148" s="313"/>
      <c r="EV148" s="249"/>
      <c r="EW148" s="216"/>
      <c r="EX148" s="2505"/>
      <c r="EY148" s="249"/>
      <c r="EZ148" s="221"/>
      <c r="FA148" s="313"/>
      <c r="FB148" s="249"/>
      <c r="FC148" s="221"/>
      <c r="FD148" s="313"/>
      <c r="FE148" s="249"/>
      <c r="FF148" s="221"/>
      <c r="FG148" s="313"/>
      <c r="FH148" s="249"/>
      <c r="FI148" s="216"/>
      <c r="FJ148" s="1435"/>
      <c r="FK148" s="216"/>
      <c r="FL148" s="1268"/>
      <c r="FM148" s="1655"/>
      <c r="FN148" s="1268"/>
      <c r="FO148" s="1655"/>
      <c r="FP148" s="1268"/>
      <c r="FQ148" s="1656"/>
      <c r="FR148" s="249"/>
      <c r="FS148" s="216"/>
      <c r="FT148" s="1657"/>
      <c r="FU148" s="1658"/>
      <c r="FV148" s="242"/>
      <c r="FW148" s="343"/>
      <c r="FX148" s="222"/>
      <c r="FY148" s="336"/>
      <c r="FZ148" s="223"/>
      <c r="GA148" s="338"/>
      <c r="GB148" s="204"/>
      <c r="GC148" s="339"/>
      <c r="GD148" s="342"/>
      <c r="GE148" s="199"/>
      <c r="GF148" s="199"/>
      <c r="GG148" s="199"/>
      <c r="GH148" s="199"/>
      <c r="GI148" s="199"/>
      <c r="GJ148" s="199"/>
      <c r="GK148" s="199"/>
      <c r="GL148" s="49"/>
      <c r="GM148" s="28"/>
      <c r="GN148" s="28"/>
      <c r="GO148" s="322"/>
      <c r="GP148" s="1190"/>
      <c r="GQ148" s="1190"/>
      <c r="GR148" s="49"/>
      <c r="GS148" s="2879"/>
      <c r="GT148" s="2880"/>
      <c r="GU148" s="2881"/>
      <c r="GV148" s="49"/>
      <c r="GW148" s="49"/>
      <c r="GX148" s="49"/>
      <c r="GY148" s="49"/>
      <c r="GZ148" s="49"/>
      <c r="HA148" s="49"/>
      <c r="HB148" s="49"/>
      <c r="HC148" s="49"/>
      <c r="HD148" s="49"/>
      <c r="HE148" s="49"/>
      <c r="HF148" s="49"/>
      <c r="HG148" s="49"/>
      <c r="HH148" s="49"/>
      <c r="HI148" s="49"/>
      <c r="HJ148" s="49"/>
      <c r="HK148" s="49"/>
      <c r="HL148" s="49"/>
      <c r="HM148" s="49"/>
      <c r="HN148" s="49"/>
      <c r="HO148" s="49"/>
      <c r="HP148" s="49"/>
      <c r="HQ148" s="49"/>
      <c r="HR148" s="49"/>
      <c r="HS148" s="49"/>
      <c r="HT148" s="49"/>
      <c r="HU148" s="49"/>
      <c r="HV148" s="49"/>
      <c r="HW148" s="49"/>
      <c r="HX148" s="49"/>
      <c r="HY148" s="49"/>
      <c r="HZ148" s="49"/>
      <c r="IA148" s="49"/>
      <c r="IB148" s="49"/>
      <c r="IC148" s="49"/>
      <c r="ID148" s="49"/>
      <c r="IE148" s="49"/>
      <c r="IF148" s="49"/>
      <c r="IG148" s="49"/>
      <c r="IH148" s="49"/>
      <c r="II148" s="49"/>
      <c r="IJ148" s="49"/>
      <c r="IK148" s="49"/>
      <c r="IL148" s="49"/>
      <c r="IM148" s="49"/>
      <c r="IN148" s="49"/>
      <c r="IO148" s="49"/>
      <c r="IP148" s="49"/>
      <c r="IQ148" s="49"/>
      <c r="IR148" s="49"/>
      <c r="IS148" s="49"/>
      <c r="IT148" s="49"/>
      <c r="IU148" s="49"/>
      <c r="IV148" s="49"/>
    </row>
    <row r="149" spans="1:256" s="198" customFormat="1" ht="12" customHeight="1">
      <c r="A149" s="1252"/>
      <c r="B149" s="200"/>
      <c r="C149" s="486"/>
      <c r="D149" s="201"/>
      <c r="E149" s="202"/>
      <c r="F149" s="203"/>
      <c r="G149" s="197"/>
      <c r="H149" s="197"/>
      <c r="I149" s="197"/>
      <c r="J149" s="197"/>
      <c r="K149" s="175"/>
      <c r="L149" s="197"/>
      <c r="M149" s="197"/>
      <c r="N149" s="197"/>
      <c r="O149" s="197"/>
      <c r="P149" s="197"/>
      <c r="Q149" s="1198"/>
      <c r="R149" s="202"/>
      <c r="S149" s="202"/>
      <c r="T149" s="1186"/>
      <c r="U149" s="233"/>
      <c r="V149" s="49"/>
      <c r="W149" s="218"/>
      <c r="X149" s="218"/>
      <c r="Y149" s="216"/>
      <c r="Z149" s="216"/>
      <c r="AA149" s="215"/>
      <c r="AB149" s="216"/>
      <c r="AC149" s="216"/>
      <c r="AD149" s="239"/>
      <c r="AE149" s="216"/>
      <c r="AF149" s="216"/>
      <c r="AG149" s="216"/>
      <c r="AH149" s="216"/>
      <c r="AI149" s="216"/>
      <c r="AJ149" s="216"/>
      <c r="AK149" s="239"/>
      <c r="AL149" s="216"/>
      <c r="AM149" s="216"/>
      <c r="AN149" s="216"/>
      <c r="AO149" s="216"/>
      <c r="AP149" s="216"/>
      <c r="AQ149" s="216"/>
      <c r="AR149" s="216"/>
      <c r="AS149" s="216"/>
      <c r="AT149" s="216"/>
      <c r="AU149" s="216"/>
      <c r="AV149" s="217"/>
      <c r="AW149" s="355"/>
      <c r="AX149" s="217"/>
      <c r="AY149" s="1559"/>
      <c r="AZ149" s="249"/>
      <c r="BA149" s="221"/>
      <c r="BB149" s="300"/>
      <c r="BC149" s="217"/>
      <c r="BD149" s="392"/>
      <c r="BE149" s="1244"/>
      <c r="BF149" s="249"/>
      <c r="BG149" s="252"/>
      <c r="BH149" s="1469"/>
      <c r="BI149" s="216"/>
      <c r="BJ149" s="1469"/>
      <c r="BK149" s="1459"/>
      <c r="BL149" s="260"/>
      <c r="BM149" s="214"/>
      <c r="BN149" s="293"/>
      <c r="BO149" s="217"/>
      <c r="BP149" s="355"/>
      <c r="BQ149" s="217"/>
      <c r="BR149" s="1193"/>
      <c r="BS149" s="249"/>
      <c r="BT149" s="216"/>
      <c r="BU149" s="1195"/>
      <c r="BV149" s="249"/>
      <c r="BW149" s="216"/>
      <c r="BX149" s="1195"/>
      <c r="BY149" s="249"/>
      <c r="BZ149" s="216"/>
      <c r="CA149" s="1195"/>
      <c r="CB149" s="249"/>
      <c r="CC149" s="216"/>
      <c r="CD149" s="1195"/>
      <c r="CE149" s="249"/>
      <c r="CF149" s="216"/>
      <c r="CG149" s="1195"/>
      <c r="CH149" s="249"/>
      <c r="CI149" s="216"/>
      <c r="CJ149" s="1195"/>
      <c r="CK149" s="249"/>
      <c r="CL149" s="216"/>
      <c r="CM149" s="1194"/>
      <c r="CN149" s="1524"/>
      <c r="CO149" s="217"/>
      <c r="CP149" s="1193"/>
      <c r="CQ149" s="293"/>
      <c r="CR149" s="217"/>
      <c r="CS149" s="305"/>
      <c r="CT149" s="249"/>
      <c r="CU149" s="216"/>
      <c r="CV149" s="1193"/>
      <c r="CW149" s="249"/>
      <c r="CX149" s="216"/>
      <c r="CY149" s="305"/>
      <c r="CZ149" s="249"/>
      <c r="DA149" s="216"/>
      <c r="DB149" s="307"/>
      <c r="DC149" s="328"/>
      <c r="DD149" s="322"/>
      <c r="DE149" s="305"/>
      <c r="DF149" s="249"/>
      <c r="DG149" s="216"/>
      <c r="DH149" s="305"/>
      <c r="DI149" s="249"/>
      <c r="DJ149" s="216"/>
      <c r="DK149" s="309"/>
      <c r="DL149" s="293"/>
      <c r="DM149" s="326"/>
      <c r="DN149" s="1256"/>
      <c r="DO149" s="214"/>
      <c r="DP149" s="1257"/>
      <c r="DQ149" s="1258"/>
      <c r="DR149" s="305"/>
      <c r="DS149" s="249"/>
      <c r="DT149" s="216"/>
      <c r="DU149" s="305"/>
      <c r="DV149" s="2520"/>
      <c r="DW149" s="2521"/>
      <c r="DX149" s="305"/>
      <c r="DY149" s="249"/>
      <c r="DZ149" s="221"/>
      <c r="EA149" s="388"/>
      <c r="EB149" s="249"/>
      <c r="EC149" s="216"/>
      <c r="ED149" s="1461"/>
      <c r="EE149" s="249"/>
      <c r="EF149" s="216"/>
      <c r="EG149" s="355"/>
      <c r="EH149" s="1425"/>
      <c r="EI149" s="1470"/>
      <c r="EJ149" s="249"/>
      <c r="EK149" s="221"/>
      <c r="EL149" s="313"/>
      <c r="EM149" s="249"/>
      <c r="EN149" s="221"/>
      <c r="EO149" s="313"/>
      <c r="EP149" s="249"/>
      <c r="EQ149" s="216"/>
      <c r="ER149" s="313"/>
      <c r="ES149" s="249"/>
      <c r="ET149" s="216"/>
      <c r="EU149" s="313"/>
      <c r="EV149" s="249"/>
      <c r="EW149" s="216"/>
      <c r="EX149" s="2505"/>
      <c r="EY149" s="249"/>
      <c r="EZ149" s="221"/>
      <c r="FA149" s="313"/>
      <c r="FB149" s="249"/>
      <c r="FC149" s="221"/>
      <c r="FD149" s="313"/>
      <c r="FE149" s="249"/>
      <c r="FF149" s="221"/>
      <c r="FG149" s="313"/>
      <c r="FH149" s="249"/>
      <c r="FI149" s="216"/>
      <c r="FJ149" s="1435"/>
      <c r="FK149" s="216"/>
      <c r="FL149" s="1268"/>
      <c r="FM149" s="1655"/>
      <c r="FN149" s="1268"/>
      <c r="FO149" s="1655"/>
      <c r="FP149" s="1268"/>
      <c r="FQ149" s="1656"/>
      <c r="FR149" s="249"/>
      <c r="FS149" s="216"/>
      <c r="FT149" s="1657"/>
      <c r="FU149" s="1658"/>
      <c r="FV149" s="242"/>
      <c r="FW149" s="343"/>
      <c r="FX149" s="222"/>
      <c r="FY149" s="336"/>
      <c r="FZ149" s="223"/>
      <c r="GA149" s="338"/>
      <c r="GB149" s="204"/>
      <c r="GC149" s="339"/>
      <c r="GD149" s="342"/>
      <c r="GE149" s="199"/>
      <c r="GF149" s="199"/>
      <c r="GG149" s="199"/>
      <c r="GH149" s="199"/>
      <c r="GI149" s="199"/>
      <c r="GJ149" s="199"/>
      <c r="GK149" s="199"/>
      <c r="GL149" s="49"/>
      <c r="GM149" s="28"/>
      <c r="GN149" s="28"/>
      <c r="GO149" s="322"/>
      <c r="GP149" s="1190"/>
      <c r="GQ149" s="1190"/>
      <c r="GR149" s="49"/>
      <c r="GS149" s="2879"/>
      <c r="GT149" s="2880"/>
      <c r="GU149" s="2881"/>
      <c r="GV149" s="49"/>
      <c r="GW149" s="49"/>
      <c r="GX149" s="49"/>
      <c r="GY149" s="49"/>
      <c r="GZ149" s="49"/>
      <c r="HA149" s="49"/>
      <c r="HB149" s="49"/>
      <c r="HC149" s="49"/>
      <c r="HD149" s="49"/>
      <c r="HE149" s="49"/>
      <c r="HF149" s="49"/>
      <c r="HG149" s="49"/>
      <c r="HH149" s="49"/>
      <c r="HI149" s="49"/>
      <c r="HJ149" s="49"/>
      <c r="HK149" s="49"/>
      <c r="HL149" s="49"/>
      <c r="HM149" s="49"/>
      <c r="HN149" s="49"/>
      <c r="HO149" s="49"/>
      <c r="HP149" s="49"/>
      <c r="HQ149" s="49"/>
      <c r="HR149" s="49"/>
      <c r="HS149" s="49"/>
      <c r="HT149" s="49"/>
      <c r="HU149" s="49"/>
      <c r="HV149" s="49"/>
      <c r="HW149" s="49"/>
      <c r="HX149" s="49"/>
      <c r="HY149" s="49"/>
      <c r="HZ149" s="49"/>
      <c r="IA149" s="49"/>
      <c r="IB149" s="49"/>
      <c r="IC149" s="49"/>
      <c r="ID149" s="49"/>
      <c r="IE149" s="49"/>
      <c r="IF149" s="49"/>
      <c r="IG149" s="49"/>
      <c r="IH149" s="49"/>
      <c r="II149" s="49"/>
      <c r="IJ149" s="49"/>
      <c r="IK149" s="49"/>
      <c r="IL149" s="49"/>
      <c r="IM149" s="49"/>
      <c r="IN149" s="49"/>
      <c r="IO149" s="49"/>
      <c r="IP149" s="49"/>
      <c r="IQ149" s="49"/>
      <c r="IR149" s="49"/>
      <c r="IS149" s="49"/>
      <c r="IT149" s="49"/>
      <c r="IU149" s="49"/>
      <c r="IV149" s="49"/>
    </row>
    <row r="150" spans="1:256" s="198" customFormat="1" ht="12" customHeight="1">
      <c r="A150" s="1252"/>
      <c r="B150" s="200"/>
      <c r="C150" s="486"/>
      <c r="D150" s="201"/>
      <c r="E150" s="202"/>
      <c r="F150" s="203"/>
      <c r="G150" s="197"/>
      <c r="H150" s="197"/>
      <c r="I150" s="197"/>
      <c r="J150" s="197"/>
      <c r="K150" s="175"/>
      <c r="L150" s="197"/>
      <c r="M150" s="197"/>
      <c r="N150" s="197"/>
      <c r="O150" s="197"/>
      <c r="P150" s="197"/>
      <c r="Q150" s="1198"/>
      <c r="R150" s="202"/>
      <c r="S150" s="202"/>
      <c r="T150" s="1186"/>
      <c r="U150" s="233"/>
      <c r="V150" s="49"/>
      <c r="W150" s="218"/>
      <c r="X150" s="218"/>
      <c r="Y150" s="216"/>
      <c r="Z150" s="216"/>
      <c r="AA150" s="215"/>
      <c r="AB150" s="216"/>
      <c r="AC150" s="216"/>
      <c r="AD150" s="239"/>
      <c r="AE150" s="216"/>
      <c r="AF150" s="216"/>
      <c r="AG150" s="216"/>
      <c r="AH150" s="216"/>
      <c r="AI150" s="216"/>
      <c r="AJ150" s="216"/>
      <c r="AK150" s="239"/>
      <c r="AL150" s="216"/>
      <c r="AM150" s="216"/>
      <c r="AN150" s="216"/>
      <c r="AO150" s="216"/>
      <c r="AP150" s="216"/>
      <c r="AQ150" s="216"/>
      <c r="AR150" s="216"/>
      <c r="AS150" s="216"/>
      <c r="AT150" s="216"/>
      <c r="AU150" s="216"/>
      <c r="AV150" s="217"/>
      <c r="AW150" s="355"/>
      <c r="AX150" s="217"/>
      <c r="AY150" s="1559"/>
      <c r="AZ150" s="249"/>
      <c r="BA150" s="221"/>
      <c r="BB150" s="300"/>
      <c r="BC150" s="217"/>
      <c r="BD150" s="392"/>
      <c r="BE150" s="1244"/>
      <c r="BF150" s="249"/>
      <c r="BG150" s="252"/>
      <c r="BH150" s="1469"/>
      <c r="BI150" s="216"/>
      <c r="BJ150" s="1469"/>
      <c r="BK150" s="1459"/>
      <c r="BL150" s="260"/>
      <c r="BM150" s="214"/>
      <c r="BN150" s="293"/>
      <c r="BO150" s="217"/>
      <c r="BP150" s="355"/>
      <c r="BQ150" s="217"/>
      <c r="BR150" s="1193"/>
      <c r="BS150" s="249"/>
      <c r="BT150" s="216"/>
      <c r="BU150" s="1195"/>
      <c r="BV150" s="249"/>
      <c r="BW150" s="216"/>
      <c r="BX150" s="1195"/>
      <c r="BY150" s="249"/>
      <c r="BZ150" s="216"/>
      <c r="CA150" s="1195"/>
      <c r="CB150" s="249"/>
      <c r="CC150" s="216"/>
      <c r="CD150" s="1195"/>
      <c r="CE150" s="249"/>
      <c r="CF150" s="216"/>
      <c r="CG150" s="1195"/>
      <c r="CH150" s="249"/>
      <c r="CI150" s="216"/>
      <c r="CJ150" s="1195"/>
      <c r="CK150" s="249"/>
      <c r="CL150" s="216"/>
      <c r="CM150" s="1194"/>
      <c r="CN150" s="1524"/>
      <c r="CO150" s="217"/>
      <c r="CP150" s="1193"/>
      <c r="CQ150" s="293"/>
      <c r="CR150" s="217"/>
      <c r="CS150" s="305"/>
      <c r="CT150" s="249"/>
      <c r="CU150" s="216"/>
      <c r="CV150" s="1193"/>
      <c r="CW150" s="249"/>
      <c r="CX150" s="216"/>
      <c r="CY150" s="305"/>
      <c r="CZ150" s="249"/>
      <c r="DA150" s="216"/>
      <c r="DB150" s="307"/>
      <c r="DC150" s="328"/>
      <c r="DD150" s="322"/>
      <c r="DE150" s="305"/>
      <c r="DF150" s="249"/>
      <c r="DG150" s="216"/>
      <c r="DH150" s="305"/>
      <c r="DI150" s="249"/>
      <c r="DJ150" s="216"/>
      <c r="DK150" s="309"/>
      <c r="DL150" s="293"/>
      <c r="DM150" s="326"/>
      <c r="DN150" s="1256"/>
      <c r="DO150" s="214"/>
      <c r="DP150" s="1257"/>
      <c r="DQ150" s="1258"/>
      <c r="DR150" s="305"/>
      <c r="DS150" s="249"/>
      <c r="DT150" s="216"/>
      <c r="DU150" s="305"/>
      <c r="DV150" s="2520"/>
      <c r="DW150" s="2521"/>
      <c r="DX150" s="305"/>
      <c r="DY150" s="249"/>
      <c r="DZ150" s="221"/>
      <c r="EA150" s="388"/>
      <c r="EB150" s="249"/>
      <c r="EC150" s="216"/>
      <c r="ED150" s="1461"/>
      <c r="EE150" s="249"/>
      <c r="EF150" s="216"/>
      <c r="EG150" s="355"/>
      <c r="EH150" s="1425"/>
      <c r="EI150" s="1470"/>
      <c r="EJ150" s="249"/>
      <c r="EK150" s="221"/>
      <c r="EL150" s="313"/>
      <c r="EM150" s="249"/>
      <c r="EN150" s="221"/>
      <c r="EO150" s="313"/>
      <c r="EP150" s="249"/>
      <c r="EQ150" s="216"/>
      <c r="ER150" s="313"/>
      <c r="ES150" s="249"/>
      <c r="ET150" s="216"/>
      <c r="EU150" s="313"/>
      <c r="EV150" s="249"/>
      <c r="EW150" s="216"/>
      <c r="EX150" s="2505"/>
      <c r="EY150" s="249"/>
      <c r="EZ150" s="221"/>
      <c r="FA150" s="313"/>
      <c r="FB150" s="249"/>
      <c r="FC150" s="221"/>
      <c r="FD150" s="313"/>
      <c r="FE150" s="249"/>
      <c r="FF150" s="221"/>
      <c r="FG150" s="313"/>
      <c r="FH150" s="249"/>
      <c r="FI150" s="216"/>
      <c r="FJ150" s="1435"/>
      <c r="FK150" s="216"/>
      <c r="FL150" s="1268"/>
      <c r="FM150" s="1655"/>
      <c r="FN150" s="1268"/>
      <c r="FO150" s="1655"/>
      <c r="FP150" s="1268"/>
      <c r="FQ150" s="1656"/>
      <c r="FR150" s="249"/>
      <c r="FS150" s="216"/>
      <c r="FT150" s="1657"/>
      <c r="FU150" s="1658"/>
      <c r="FV150" s="242"/>
      <c r="FW150" s="343"/>
      <c r="FX150" s="222"/>
      <c r="FY150" s="336"/>
      <c r="FZ150" s="223"/>
      <c r="GA150" s="338"/>
      <c r="GB150" s="204"/>
      <c r="GC150" s="339"/>
      <c r="GD150" s="342"/>
      <c r="GE150" s="199"/>
      <c r="GF150" s="199"/>
      <c r="GG150" s="199"/>
      <c r="GH150" s="199"/>
      <c r="GI150" s="199"/>
      <c r="GJ150" s="199"/>
      <c r="GK150" s="199"/>
      <c r="GL150" s="49"/>
      <c r="GM150" s="28"/>
      <c r="GN150" s="28"/>
      <c r="GO150" s="322"/>
      <c r="GP150" s="1190"/>
      <c r="GQ150" s="1190"/>
      <c r="GR150" s="49"/>
      <c r="GS150" s="2879"/>
      <c r="GT150" s="2880"/>
      <c r="GU150" s="2881"/>
      <c r="GV150" s="49"/>
      <c r="GW150" s="49"/>
      <c r="GX150" s="49"/>
      <c r="GY150" s="49"/>
      <c r="GZ150" s="49"/>
      <c r="HA150" s="49"/>
      <c r="HB150" s="49"/>
      <c r="HC150" s="49"/>
      <c r="HD150" s="49"/>
      <c r="HE150" s="49"/>
      <c r="HF150" s="49"/>
      <c r="HG150" s="49"/>
      <c r="HH150" s="49"/>
      <c r="HI150" s="49"/>
      <c r="HJ150" s="49"/>
      <c r="HK150" s="49"/>
      <c r="HL150" s="49"/>
      <c r="HM150" s="49"/>
      <c r="HN150" s="49"/>
      <c r="HO150" s="49"/>
      <c r="HP150" s="49"/>
      <c r="HQ150" s="49"/>
      <c r="HR150" s="49"/>
      <c r="HS150" s="49"/>
      <c r="HT150" s="49"/>
      <c r="HU150" s="49"/>
      <c r="HV150" s="49"/>
      <c r="HW150" s="49"/>
      <c r="HX150" s="49"/>
      <c r="HY150" s="49"/>
      <c r="HZ150" s="49"/>
      <c r="IA150" s="49"/>
      <c r="IB150" s="49"/>
      <c r="IC150" s="49"/>
      <c r="ID150" s="49"/>
      <c r="IE150" s="49"/>
      <c r="IF150" s="49"/>
      <c r="IG150" s="49"/>
      <c r="IH150" s="49"/>
      <c r="II150" s="49"/>
      <c r="IJ150" s="49"/>
      <c r="IK150" s="49"/>
      <c r="IL150" s="49"/>
      <c r="IM150" s="49"/>
      <c r="IN150" s="49"/>
      <c r="IO150" s="49"/>
      <c r="IP150" s="49"/>
      <c r="IQ150" s="49"/>
      <c r="IR150" s="49"/>
      <c r="IS150" s="49"/>
      <c r="IT150" s="49"/>
      <c r="IU150" s="49"/>
      <c r="IV150" s="49"/>
    </row>
    <row r="151" spans="1:256" s="198" customFormat="1" ht="12" customHeight="1">
      <c r="A151" s="1252"/>
      <c r="B151" s="200"/>
      <c r="C151" s="486"/>
      <c r="D151" s="201"/>
      <c r="E151" s="202"/>
      <c r="F151" s="203"/>
      <c r="G151" s="197"/>
      <c r="H151" s="197"/>
      <c r="I151" s="197"/>
      <c r="J151" s="197"/>
      <c r="K151" s="175"/>
      <c r="L151" s="197"/>
      <c r="M151" s="197"/>
      <c r="N151" s="197"/>
      <c r="O151" s="197"/>
      <c r="P151" s="197"/>
      <c r="Q151" s="1198"/>
      <c r="R151" s="202"/>
      <c r="S151" s="202"/>
      <c r="T151" s="1186"/>
      <c r="U151" s="233"/>
      <c r="V151" s="49"/>
      <c r="W151" s="218"/>
      <c r="X151" s="218"/>
      <c r="Y151" s="216"/>
      <c r="Z151" s="216"/>
      <c r="AA151" s="215"/>
      <c r="AB151" s="216"/>
      <c r="AC151" s="216"/>
      <c r="AD151" s="239"/>
      <c r="AE151" s="216"/>
      <c r="AF151" s="216"/>
      <c r="AG151" s="216"/>
      <c r="AH151" s="216"/>
      <c r="AI151" s="216"/>
      <c r="AJ151" s="216"/>
      <c r="AK151" s="239"/>
      <c r="AL151" s="216"/>
      <c r="AM151" s="216"/>
      <c r="AN151" s="216"/>
      <c r="AO151" s="216"/>
      <c r="AP151" s="216"/>
      <c r="AQ151" s="216"/>
      <c r="AR151" s="216"/>
      <c r="AS151" s="216"/>
      <c r="AT151" s="216"/>
      <c r="AU151" s="216"/>
      <c r="AV151" s="217"/>
      <c r="AW151" s="355"/>
      <c r="AX151" s="217"/>
      <c r="AY151" s="1559"/>
      <c r="AZ151" s="249"/>
      <c r="BA151" s="221"/>
      <c r="BB151" s="300"/>
      <c r="BC151" s="217"/>
      <c r="BD151" s="392"/>
      <c r="BE151" s="1244"/>
      <c r="BF151" s="249"/>
      <c r="BG151" s="252"/>
      <c r="BH151" s="1469"/>
      <c r="BI151" s="216"/>
      <c r="BJ151" s="1469"/>
      <c r="BK151" s="1459"/>
      <c r="BL151" s="260"/>
      <c r="BM151" s="214"/>
      <c r="BN151" s="293"/>
      <c r="BO151" s="217"/>
      <c r="BP151" s="355"/>
      <c r="BQ151" s="217"/>
      <c r="BR151" s="1193"/>
      <c r="BS151" s="249"/>
      <c r="BT151" s="216"/>
      <c r="BU151" s="1195"/>
      <c r="BV151" s="249"/>
      <c r="BW151" s="216"/>
      <c r="BX151" s="1195"/>
      <c r="BY151" s="249"/>
      <c r="BZ151" s="216"/>
      <c r="CA151" s="1195"/>
      <c r="CB151" s="249"/>
      <c r="CC151" s="216"/>
      <c r="CD151" s="1195"/>
      <c r="CE151" s="249"/>
      <c r="CF151" s="216"/>
      <c r="CG151" s="1195"/>
      <c r="CH151" s="249"/>
      <c r="CI151" s="216"/>
      <c r="CJ151" s="1195"/>
      <c r="CK151" s="249"/>
      <c r="CL151" s="216"/>
      <c r="CM151" s="1194"/>
      <c r="CN151" s="1524"/>
      <c r="CO151" s="217"/>
      <c r="CP151" s="1193"/>
      <c r="CQ151" s="293"/>
      <c r="CR151" s="217"/>
      <c r="CS151" s="305"/>
      <c r="CT151" s="249"/>
      <c r="CU151" s="216"/>
      <c r="CV151" s="1193"/>
      <c r="CW151" s="249"/>
      <c r="CX151" s="216"/>
      <c r="CY151" s="305"/>
      <c r="CZ151" s="249"/>
      <c r="DA151" s="216"/>
      <c r="DB151" s="307"/>
      <c r="DC151" s="328"/>
      <c r="DD151" s="322"/>
      <c r="DE151" s="305"/>
      <c r="DF151" s="249"/>
      <c r="DG151" s="216"/>
      <c r="DH151" s="305"/>
      <c r="DI151" s="249"/>
      <c r="DJ151" s="216"/>
      <c r="DK151" s="309"/>
      <c r="DL151" s="293"/>
      <c r="DM151" s="326"/>
      <c r="DN151" s="1256"/>
      <c r="DO151" s="214"/>
      <c r="DP151" s="1257"/>
      <c r="DQ151" s="1258"/>
      <c r="DR151" s="305"/>
      <c r="DS151" s="249"/>
      <c r="DT151" s="216"/>
      <c r="DU151" s="305"/>
      <c r="DV151" s="2520"/>
      <c r="DW151" s="2521"/>
      <c r="DX151" s="305"/>
      <c r="DY151" s="249"/>
      <c r="DZ151" s="221"/>
      <c r="EA151" s="388"/>
      <c r="EB151" s="249"/>
      <c r="EC151" s="216"/>
      <c r="ED151" s="1461"/>
      <c r="EE151" s="249"/>
      <c r="EF151" s="216"/>
      <c r="EG151" s="355"/>
      <c r="EH151" s="1425"/>
      <c r="EI151" s="1470"/>
      <c r="EJ151" s="249"/>
      <c r="EK151" s="221"/>
      <c r="EL151" s="313"/>
      <c r="EM151" s="249"/>
      <c r="EN151" s="221"/>
      <c r="EO151" s="313"/>
      <c r="EP151" s="249"/>
      <c r="EQ151" s="216"/>
      <c r="ER151" s="313"/>
      <c r="ES151" s="249"/>
      <c r="ET151" s="216"/>
      <c r="EU151" s="313"/>
      <c r="EV151" s="249"/>
      <c r="EW151" s="216"/>
      <c r="EX151" s="2505"/>
      <c r="EY151" s="249"/>
      <c r="EZ151" s="221"/>
      <c r="FA151" s="313"/>
      <c r="FB151" s="249"/>
      <c r="FC151" s="221"/>
      <c r="FD151" s="313"/>
      <c r="FE151" s="249"/>
      <c r="FF151" s="221"/>
      <c r="FG151" s="313"/>
      <c r="FH151" s="249"/>
      <c r="FI151" s="216"/>
      <c r="FJ151" s="1435"/>
      <c r="FK151" s="216"/>
      <c r="FL151" s="1268"/>
      <c r="FM151" s="1655"/>
      <c r="FN151" s="1268"/>
      <c r="FO151" s="1655"/>
      <c r="FP151" s="1268"/>
      <c r="FQ151" s="1656"/>
      <c r="FR151" s="249"/>
      <c r="FS151" s="216"/>
      <c r="FT151" s="1657"/>
      <c r="FU151" s="1658"/>
      <c r="FV151" s="242"/>
      <c r="FW151" s="343"/>
      <c r="FX151" s="222"/>
      <c r="FY151" s="336"/>
      <c r="FZ151" s="223"/>
      <c r="GA151" s="338"/>
      <c r="GB151" s="204"/>
      <c r="GC151" s="339"/>
      <c r="GD151" s="342"/>
      <c r="GE151" s="199"/>
      <c r="GF151" s="199"/>
      <c r="GG151" s="199"/>
      <c r="GH151" s="199"/>
      <c r="GI151" s="199"/>
      <c r="GJ151" s="199"/>
      <c r="GK151" s="199"/>
      <c r="GL151" s="49"/>
      <c r="GM151" s="28"/>
      <c r="GN151" s="28"/>
      <c r="GO151" s="322"/>
      <c r="GP151" s="1190"/>
      <c r="GQ151" s="1190"/>
      <c r="GR151" s="49"/>
      <c r="GS151" s="2879"/>
      <c r="GT151" s="2880"/>
      <c r="GU151" s="2881"/>
      <c r="GV151" s="49"/>
      <c r="GW151" s="49"/>
      <c r="GX151" s="49"/>
      <c r="GY151" s="49"/>
      <c r="GZ151" s="49"/>
      <c r="HA151" s="49"/>
      <c r="HB151" s="49"/>
      <c r="HC151" s="49"/>
      <c r="HD151" s="49"/>
      <c r="HE151" s="49"/>
      <c r="HF151" s="49"/>
      <c r="HG151" s="49"/>
      <c r="HH151" s="49"/>
      <c r="HI151" s="49"/>
      <c r="HJ151" s="49"/>
      <c r="HK151" s="49"/>
      <c r="HL151" s="49"/>
      <c r="HM151" s="49"/>
      <c r="HN151" s="49"/>
      <c r="HO151" s="49"/>
      <c r="HP151" s="49"/>
      <c r="HQ151" s="49"/>
      <c r="HR151" s="49"/>
      <c r="HS151" s="49"/>
      <c r="HT151" s="49"/>
      <c r="HU151" s="49"/>
      <c r="HV151" s="49"/>
      <c r="HW151" s="49"/>
      <c r="HX151" s="49"/>
      <c r="HY151" s="49"/>
      <c r="HZ151" s="49"/>
      <c r="IA151" s="49"/>
      <c r="IB151" s="49"/>
      <c r="IC151" s="49"/>
      <c r="ID151" s="49"/>
      <c r="IE151" s="49"/>
      <c r="IF151" s="49"/>
      <c r="IG151" s="49"/>
      <c r="IH151" s="49"/>
      <c r="II151" s="49"/>
      <c r="IJ151" s="49"/>
      <c r="IK151" s="49"/>
      <c r="IL151" s="49"/>
      <c r="IM151" s="49"/>
      <c r="IN151" s="49"/>
      <c r="IO151" s="49"/>
      <c r="IP151" s="49"/>
      <c r="IQ151" s="49"/>
      <c r="IR151" s="49"/>
      <c r="IS151" s="49"/>
      <c r="IT151" s="49"/>
      <c r="IU151" s="49"/>
      <c r="IV151" s="49"/>
    </row>
    <row r="152" spans="1:256" s="198" customFormat="1" ht="12" customHeight="1">
      <c r="A152" s="1252"/>
      <c r="B152" s="200"/>
      <c r="C152" s="486"/>
      <c r="D152" s="201"/>
      <c r="E152" s="202"/>
      <c r="F152" s="203"/>
      <c r="G152" s="197"/>
      <c r="H152" s="197"/>
      <c r="I152" s="197"/>
      <c r="J152" s="197"/>
      <c r="K152" s="175"/>
      <c r="L152" s="197"/>
      <c r="M152" s="197"/>
      <c r="N152" s="197"/>
      <c r="O152" s="197"/>
      <c r="P152" s="197"/>
      <c r="Q152" s="1198"/>
      <c r="R152" s="202"/>
      <c r="S152" s="202"/>
      <c r="T152" s="1186"/>
      <c r="U152" s="233"/>
      <c r="V152" s="49"/>
      <c r="W152" s="218"/>
      <c r="X152" s="218"/>
      <c r="Y152" s="216"/>
      <c r="Z152" s="216"/>
      <c r="AA152" s="215"/>
      <c r="AB152" s="216"/>
      <c r="AC152" s="216"/>
      <c r="AD152" s="239"/>
      <c r="AE152" s="216"/>
      <c r="AF152" s="216"/>
      <c r="AG152" s="216"/>
      <c r="AH152" s="216"/>
      <c r="AI152" s="216"/>
      <c r="AJ152" s="216"/>
      <c r="AK152" s="239"/>
      <c r="AL152" s="216"/>
      <c r="AM152" s="216"/>
      <c r="AN152" s="216"/>
      <c r="AO152" s="216"/>
      <c r="AP152" s="216"/>
      <c r="AQ152" s="216"/>
      <c r="AR152" s="216"/>
      <c r="AS152" s="216"/>
      <c r="AT152" s="216"/>
      <c r="AU152" s="216"/>
      <c r="AV152" s="217"/>
      <c r="AW152" s="355"/>
      <c r="AX152" s="217"/>
      <c r="AY152" s="1559"/>
      <c r="AZ152" s="249"/>
      <c r="BA152" s="221"/>
      <c r="BB152" s="300"/>
      <c r="BC152" s="217"/>
      <c r="BD152" s="392"/>
      <c r="BE152" s="1244"/>
      <c r="BF152" s="249"/>
      <c r="BG152" s="252"/>
      <c r="BH152" s="1469"/>
      <c r="BI152" s="216"/>
      <c r="BJ152" s="1469"/>
      <c r="BK152" s="1459"/>
      <c r="BL152" s="260"/>
      <c r="BM152" s="214"/>
      <c r="BN152" s="293"/>
      <c r="BO152" s="217"/>
      <c r="BP152" s="355"/>
      <c r="BQ152" s="217"/>
      <c r="BR152" s="1193"/>
      <c r="BS152" s="249"/>
      <c r="BT152" s="216"/>
      <c r="BU152" s="1195"/>
      <c r="BV152" s="249"/>
      <c r="BW152" s="216"/>
      <c r="BX152" s="1195"/>
      <c r="BY152" s="249"/>
      <c r="BZ152" s="216"/>
      <c r="CA152" s="1195"/>
      <c r="CB152" s="249"/>
      <c r="CC152" s="216"/>
      <c r="CD152" s="1195"/>
      <c r="CE152" s="249"/>
      <c r="CF152" s="216"/>
      <c r="CG152" s="1195"/>
      <c r="CH152" s="249"/>
      <c r="CI152" s="216"/>
      <c r="CJ152" s="1195"/>
      <c r="CK152" s="249"/>
      <c r="CL152" s="216"/>
      <c r="CM152" s="1194"/>
      <c r="CN152" s="1524"/>
      <c r="CO152" s="217"/>
      <c r="CP152" s="1193"/>
      <c r="CQ152" s="293"/>
      <c r="CR152" s="217"/>
      <c r="CS152" s="305"/>
      <c r="CT152" s="249"/>
      <c r="CU152" s="216"/>
      <c r="CV152" s="1193"/>
      <c r="CW152" s="249"/>
      <c r="CX152" s="216"/>
      <c r="CY152" s="305"/>
      <c r="CZ152" s="249"/>
      <c r="DA152" s="216"/>
      <c r="DB152" s="307"/>
      <c r="DC152" s="328"/>
      <c r="DD152" s="322"/>
      <c r="DE152" s="305"/>
      <c r="DF152" s="249"/>
      <c r="DG152" s="216"/>
      <c r="DH152" s="305"/>
      <c r="DI152" s="249"/>
      <c r="DJ152" s="216"/>
      <c r="DK152" s="309"/>
      <c r="DL152" s="293"/>
      <c r="DM152" s="326"/>
      <c r="DN152" s="1256"/>
      <c r="DO152" s="214"/>
      <c r="DP152" s="1257"/>
      <c r="DQ152" s="1258"/>
      <c r="DR152" s="305"/>
      <c r="DS152" s="249"/>
      <c r="DT152" s="216"/>
      <c r="DU152" s="305"/>
      <c r="DV152" s="2520"/>
      <c r="DW152" s="2521"/>
      <c r="DX152" s="305"/>
      <c r="DY152" s="249"/>
      <c r="DZ152" s="221"/>
      <c r="EA152" s="388"/>
      <c r="EB152" s="249"/>
      <c r="EC152" s="216"/>
      <c r="ED152" s="1461"/>
      <c r="EE152" s="249"/>
      <c r="EF152" s="216"/>
      <c r="EG152" s="355"/>
      <c r="EH152" s="1425"/>
      <c r="EI152" s="1470"/>
      <c r="EJ152" s="249"/>
      <c r="EK152" s="221"/>
      <c r="EL152" s="313"/>
      <c r="EM152" s="249"/>
      <c r="EN152" s="221"/>
      <c r="EO152" s="313"/>
      <c r="EP152" s="249"/>
      <c r="EQ152" s="216"/>
      <c r="ER152" s="313"/>
      <c r="ES152" s="249"/>
      <c r="ET152" s="216"/>
      <c r="EU152" s="313"/>
      <c r="EV152" s="249"/>
      <c r="EW152" s="216"/>
      <c r="EX152" s="2505"/>
      <c r="EY152" s="249"/>
      <c r="EZ152" s="221"/>
      <c r="FA152" s="313"/>
      <c r="FB152" s="249"/>
      <c r="FC152" s="221"/>
      <c r="FD152" s="313"/>
      <c r="FE152" s="249"/>
      <c r="FF152" s="221"/>
      <c r="FG152" s="313"/>
      <c r="FH152" s="249"/>
      <c r="FI152" s="216"/>
      <c r="FJ152" s="1435"/>
      <c r="FK152" s="216"/>
      <c r="FL152" s="1268"/>
      <c r="FM152" s="1655"/>
      <c r="FN152" s="1268"/>
      <c r="FO152" s="1655"/>
      <c r="FP152" s="1268"/>
      <c r="FQ152" s="1656"/>
      <c r="FR152" s="249"/>
      <c r="FS152" s="216"/>
      <c r="FT152" s="1657"/>
      <c r="FU152" s="1658"/>
      <c r="FV152" s="242"/>
      <c r="FW152" s="343"/>
      <c r="FX152" s="222"/>
      <c r="FY152" s="336"/>
      <c r="FZ152" s="223"/>
      <c r="GA152" s="338"/>
      <c r="GB152" s="204"/>
      <c r="GC152" s="339"/>
      <c r="GD152" s="342"/>
      <c r="GE152" s="199"/>
      <c r="GF152" s="199"/>
      <c r="GG152" s="199"/>
      <c r="GH152" s="199"/>
      <c r="GI152" s="199"/>
      <c r="GJ152" s="199"/>
      <c r="GK152" s="199"/>
      <c r="GL152" s="49"/>
      <c r="GM152" s="28"/>
      <c r="GN152" s="28"/>
      <c r="GO152" s="322"/>
      <c r="GP152" s="1190"/>
      <c r="GQ152" s="1190"/>
      <c r="GR152" s="49"/>
      <c r="GS152" s="2879"/>
      <c r="GT152" s="2880"/>
      <c r="GU152" s="2881"/>
      <c r="GV152" s="49"/>
      <c r="GW152" s="49"/>
      <c r="GX152" s="49"/>
      <c r="GY152" s="49"/>
      <c r="GZ152" s="49"/>
      <c r="HA152" s="49"/>
      <c r="HB152" s="49"/>
      <c r="HC152" s="49"/>
      <c r="HD152" s="49"/>
      <c r="HE152" s="49"/>
      <c r="HF152" s="49"/>
      <c r="HG152" s="49"/>
      <c r="HH152" s="49"/>
      <c r="HI152" s="49"/>
      <c r="HJ152" s="49"/>
      <c r="HK152" s="49"/>
      <c r="HL152" s="49"/>
      <c r="HM152" s="49"/>
      <c r="HN152" s="49"/>
      <c r="HO152" s="49"/>
      <c r="HP152" s="49"/>
      <c r="HQ152" s="49"/>
      <c r="HR152" s="49"/>
      <c r="HS152" s="49"/>
      <c r="HT152" s="49"/>
      <c r="HU152" s="49"/>
      <c r="HV152" s="49"/>
      <c r="HW152" s="49"/>
      <c r="HX152" s="49"/>
      <c r="HY152" s="49"/>
      <c r="HZ152" s="49"/>
      <c r="IA152" s="49"/>
      <c r="IB152" s="49"/>
      <c r="IC152" s="49"/>
      <c r="ID152" s="49"/>
      <c r="IE152" s="49"/>
      <c r="IF152" s="49"/>
      <c r="IG152" s="49"/>
      <c r="IH152" s="49"/>
      <c r="II152" s="49"/>
      <c r="IJ152" s="49"/>
      <c r="IK152" s="49"/>
      <c r="IL152" s="49"/>
      <c r="IM152" s="49"/>
      <c r="IN152" s="49"/>
      <c r="IO152" s="49"/>
      <c r="IP152" s="49"/>
      <c r="IQ152" s="49"/>
      <c r="IR152" s="49"/>
      <c r="IS152" s="49"/>
      <c r="IT152" s="49"/>
      <c r="IU152" s="49"/>
      <c r="IV152" s="49"/>
    </row>
    <row r="153" spans="1:256" s="198" customFormat="1" ht="12" customHeight="1">
      <c r="A153" s="1252"/>
      <c r="B153" s="200"/>
      <c r="C153" s="486"/>
      <c r="D153" s="201"/>
      <c r="E153" s="202"/>
      <c r="F153" s="203"/>
      <c r="G153" s="197"/>
      <c r="H153" s="197"/>
      <c r="I153" s="197"/>
      <c r="J153" s="197"/>
      <c r="K153" s="175"/>
      <c r="L153" s="197"/>
      <c r="M153" s="197"/>
      <c r="N153" s="197"/>
      <c r="O153" s="197"/>
      <c r="P153" s="197"/>
      <c r="Q153" s="1198"/>
      <c r="R153" s="202"/>
      <c r="S153" s="202"/>
      <c r="T153" s="1186"/>
      <c r="U153" s="233"/>
      <c r="V153" s="49"/>
      <c r="W153" s="218"/>
      <c r="X153" s="218"/>
      <c r="Y153" s="216"/>
      <c r="Z153" s="216"/>
      <c r="AA153" s="215"/>
      <c r="AB153" s="216"/>
      <c r="AC153" s="216"/>
      <c r="AD153" s="239"/>
      <c r="AE153" s="216"/>
      <c r="AF153" s="216"/>
      <c r="AG153" s="216"/>
      <c r="AH153" s="216"/>
      <c r="AI153" s="216"/>
      <c r="AJ153" s="216"/>
      <c r="AK153" s="239"/>
      <c r="AL153" s="216"/>
      <c r="AM153" s="216"/>
      <c r="AN153" s="216"/>
      <c r="AO153" s="216"/>
      <c r="AP153" s="216"/>
      <c r="AQ153" s="216"/>
      <c r="AR153" s="216"/>
      <c r="AS153" s="216"/>
      <c r="AT153" s="216"/>
      <c r="AU153" s="216"/>
      <c r="AV153" s="217"/>
      <c r="AW153" s="355"/>
      <c r="AX153" s="217"/>
      <c r="AY153" s="1559"/>
      <c r="AZ153" s="249"/>
      <c r="BA153" s="221"/>
      <c r="BB153" s="300"/>
      <c r="BC153" s="217"/>
      <c r="BD153" s="392"/>
      <c r="BE153" s="1244"/>
      <c r="BF153" s="249"/>
      <c r="BG153" s="252"/>
      <c r="BH153" s="1469"/>
      <c r="BI153" s="216"/>
      <c r="BJ153" s="1469"/>
      <c r="BK153" s="1459"/>
      <c r="BL153" s="260"/>
      <c r="BM153" s="214"/>
      <c r="BN153" s="293"/>
      <c r="BO153" s="217"/>
      <c r="BP153" s="355"/>
      <c r="BQ153" s="217"/>
      <c r="BR153" s="1193"/>
      <c r="BS153" s="249"/>
      <c r="BT153" s="216"/>
      <c r="BU153" s="1195"/>
      <c r="BV153" s="249"/>
      <c r="BW153" s="216"/>
      <c r="BX153" s="1195"/>
      <c r="BY153" s="249"/>
      <c r="BZ153" s="216"/>
      <c r="CA153" s="1195"/>
      <c r="CB153" s="249"/>
      <c r="CC153" s="216"/>
      <c r="CD153" s="1195"/>
      <c r="CE153" s="249"/>
      <c r="CF153" s="216"/>
      <c r="CG153" s="1195"/>
      <c r="CH153" s="249"/>
      <c r="CI153" s="216"/>
      <c r="CJ153" s="1195"/>
      <c r="CK153" s="249"/>
      <c r="CL153" s="216"/>
      <c r="CM153" s="1194"/>
      <c r="CN153" s="1524"/>
      <c r="CO153" s="217"/>
      <c r="CP153" s="1193"/>
      <c r="CQ153" s="293"/>
      <c r="CR153" s="217"/>
      <c r="CS153" s="305"/>
      <c r="CT153" s="249"/>
      <c r="CU153" s="216"/>
      <c r="CV153" s="1193"/>
      <c r="CW153" s="249"/>
      <c r="CX153" s="216"/>
      <c r="CY153" s="305"/>
      <c r="CZ153" s="249"/>
      <c r="DA153" s="216"/>
      <c r="DB153" s="307"/>
      <c r="DC153" s="328"/>
      <c r="DD153" s="322"/>
      <c r="DE153" s="305"/>
      <c r="DF153" s="249"/>
      <c r="DG153" s="216"/>
      <c r="DH153" s="305"/>
      <c r="DI153" s="249"/>
      <c r="DJ153" s="216"/>
      <c r="DK153" s="309"/>
      <c r="DL153" s="293"/>
      <c r="DM153" s="326"/>
      <c r="DN153" s="1256"/>
      <c r="DO153" s="214"/>
      <c r="DP153" s="1257"/>
      <c r="DQ153" s="1258"/>
      <c r="DR153" s="305"/>
      <c r="DS153" s="249"/>
      <c r="DT153" s="216"/>
      <c r="DU153" s="305"/>
      <c r="DV153" s="2520"/>
      <c r="DW153" s="2521"/>
      <c r="DX153" s="305"/>
      <c r="DY153" s="249"/>
      <c r="DZ153" s="221"/>
      <c r="EA153" s="388"/>
      <c r="EB153" s="249"/>
      <c r="EC153" s="216"/>
      <c r="ED153" s="1461"/>
      <c r="EE153" s="249"/>
      <c r="EF153" s="216"/>
      <c r="EG153" s="355"/>
      <c r="EH153" s="1425"/>
      <c r="EI153" s="1470"/>
      <c r="EJ153" s="249"/>
      <c r="EK153" s="221"/>
      <c r="EL153" s="313"/>
      <c r="EM153" s="249"/>
      <c r="EN153" s="221"/>
      <c r="EO153" s="313"/>
      <c r="EP153" s="249"/>
      <c r="EQ153" s="216"/>
      <c r="ER153" s="313"/>
      <c r="ES153" s="249"/>
      <c r="ET153" s="216"/>
      <c r="EU153" s="313"/>
      <c r="EV153" s="249"/>
      <c r="EW153" s="216"/>
      <c r="EX153" s="2505"/>
      <c r="EY153" s="249"/>
      <c r="EZ153" s="221"/>
      <c r="FA153" s="313"/>
      <c r="FB153" s="249"/>
      <c r="FC153" s="221"/>
      <c r="FD153" s="313"/>
      <c r="FE153" s="249"/>
      <c r="FF153" s="221"/>
      <c r="FG153" s="313"/>
      <c r="FH153" s="249"/>
      <c r="FI153" s="216"/>
      <c r="FJ153" s="1435"/>
      <c r="FK153" s="216"/>
      <c r="FL153" s="1268"/>
      <c r="FM153" s="1655"/>
      <c r="FN153" s="1268"/>
      <c r="FO153" s="1655"/>
      <c r="FP153" s="1268"/>
      <c r="FQ153" s="1656"/>
      <c r="FR153" s="249"/>
      <c r="FS153" s="216"/>
      <c r="FT153" s="1657"/>
      <c r="FU153" s="1658"/>
      <c r="FV153" s="242"/>
      <c r="FW153" s="343"/>
      <c r="FX153" s="222"/>
      <c r="FY153" s="336"/>
      <c r="FZ153" s="223"/>
      <c r="GA153" s="338"/>
      <c r="GB153" s="204"/>
      <c r="GC153" s="339"/>
      <c r="GD153" s="342"/>
      <c r="GE153" s="199"/>
      <c r="GF153" s="199"/>
      <c r="GG153" s="199"/>
      <c r="GH153" s="199"/>
      <c r="GI153" s="199"/>
      <c r="GJ153" s="199"/>
      <c r="GK153" s="199"/>
      <c r="GL153" s="49"/>
      <c r="GM153" s="28"/>
      <c r="GN153" s="28"/>
      <c r="GO153" s="322"/>
      <c r="GP153" s="1190"/>
      <c r="GQ153" s="1190"/>
      <c r="GR153" s="49"/>
      <c r="GS153" s="2879"/>
      <c r="GT153" s="2880"/>
      <c r="GU153" s="2881"/>
      <c r="GV153" s="49"/>
      <c r="GW153" s="49"/>
      <c r="GX153" s="49"/>
      <c r="GY153" s="49"/>
      <c r="GZ153" s="49"/>
      <c r="HA153" s="49"/>
      <c r="HB153" s="49"/>
      <c r="HC153" s="49"/>
      <c r="HD153" s="49"/>
      <c r="HE153" s="49"/>
      <c r="HF153" s="49"/>
      <c r="HG153" s="49"/>
      <c r="HH153" s="49"/>
      <c r="HI153" s="49"/>
      <c r="HJ153" s="49"/>
      <c r="HK153" s="49"/>
      <c r="HL153" s="49"/>
      <c r="HM153" s="49"/>
      <c r="HN153" s="49"/>
      <c r="HO153" s="49"/>
      <c r="HP153" s="49"/>
      <c r="HQ153" s="49"/>
      <c r="HR153" s="49"/>
      <c r="HS153" s="49"/>
      <c r="HT153" s="49"/>
      <c r="HU153" s="49"/>
      <c r="HV153" s="49"/>
      <c r="HW153" s="49"/>
      <c r="HX153" s="49"/>
      <c r="HY153" s="49"/>
      <c r="HZ153" s="49"/>
      <c r="IA153" s="49"/>
      <c r="IB153" s="49"/>
      <c r="IC153" s="49"/>
      <c r="ID153" s="49"/>
      <c r="IE153" s="49"/>
      <c r="IF153" s="49"/>
      <c r="IG153" s="49"/>
      <c r="IH153" s="49"/>
      <c r="II153" s="49"/>
      <c r="IJ153" s="49"/>
      <c r="IK153" s="49"/>
      <c r="IL153" s="49"/>
      <c r="IM153" s="49"/>
      <c r="IN153" s="49"/>
      <c r="IO153" s="49"/>
      <c r="IP153" s="49"/>
      <c r="IQ153" s="49"/>
      <c r="IR153" s="49"/>
      <c r="IS153" s="49"/>
      <c r="IT153" s="49"/>
      <c r="IU153" s="49"/>
      <c r="IV153" s="49"/>
    </row>
    <row r="154" spans="1:256" s="198" customFormat="1" ht="12" customHeight="1">
      <c r="A154" s="1252"/>
      <c r="B154" s="200"/>
      <c r="C154" s="486"/>
      <c r="D154" s="201"/>
      <c r="E154" s="202"/>
      <c r="F154" s="203"/>
      <c r="G154" s="197"/>
      <c r="H154" s="197"/>
      <c r="I154" s="197"/>
      <c r="J154" s="197"/>
      <c r="K154" s="175"/>
      <c r="L154" s="197"/>
      <c r="M154" s="197"/>
      <c r="N154" s="197"/>
      <c r="O154" s="197"/>
      <c r="P154" s="197"/>
      <c r="Q154" s="1198"/>
      <c r="R154" s="202"/>
      <c r="S154" s="202"/>
      <c r="T154" s="1186"/>
      <c r="U154" s="233"/>
      <c r="V154" s="49"/>
      <c r="W154" s="218"/>
      <c r="X154" s="218"/>
      <c r="Y154" s="216"/>
      <c r="Z154" s="216"/>
      <c r="AA154" s="215"/>
      <c r="AB154" s="216"/>
      <c r="AC154" s="216"/>
      <c r="AD154" s="239"/>
      <c r="AE154" s="216"/>
      <c r="AF154" s="216"/>
      <c r="AG154" s="216"/>
      <c r="AH154" s="216"/>
      <c r="AI154" s="216"/>
      <c r="AJ154" s="216"/>
      <c r="AK154" s="239"/>
      <c r="AL154" s="216"/>
      <c r="AM154" s="216"/>
      <c r="AN154" s="216"/>
      <c r="AO154" s="216"/>
      <c r="AP154" s="216"/>
      <c r="AQ154" s="216"/>
      <c r="AR154" s="216"/>
      <c r="AS154" s="216"/>
      <c r="AT154" s="216"/>
      <c r="AU154" s="216"/>
      <c r="AV154" s="217"/>
      <c r="AW154" s="355"/>
      <c r="AX154" s="217"/>
      <c r="AY154" s="1559"/>
      <c r="AZ154" s="249"/>
      <c r="BA154" s="221"/>
      <c r="BB154" s="300"/>
      <c r="BC154" s="217"/>
      <c r="BD154" s="392"/>
      <c r="BE154" s="1244"/>
      <c r="BF154" s="249"/>
      <c r="BG154" s="252"/>
      <c r="BH154" s="1469"/>
      <c r="BI154" s="216"/>
      <c r="BJ154" s="1469"/>
      <c r="BK154" s="1459"/>
      <c r="BL154" s="260"/>
      <c r="BM154" s="214"/>
      <c r="BN154" s="293"/>
      <c r="BO154" s="217"/>
      <c r="BP154" s="355"/>
      <c r="BQ154" s="217"/>
      <c r="BR154" s="1193"/>
      <c r="BS154" s="249"/>
      <c r="BT154" s="216"/>
      <c r="BU154" s="1195"/>
      <c r="BV154" s="249"/>
      <c r="BW154" s="216"/>
      <c r="BX154" s="1195"/>
      <c r="BY154" s="249"/>
      <c r="BZ154" s="216"/>
      <c r="CA154" s="1195"/>
      <c r="CB154" s="249"/>
      <c r="CC154" s="216"/>
      <c r="CD154" s="1195"/>
      <c r="CE154" s="249"/>
      <c r="CF154" s="216"/>
      <c r="CG154" s="1195"/>
      <c r="CH154" s="249"/>
      <c r="CI154" s="216"/>
      <c r="CJ154" s="1195"/>
      <c r="CK154" s="249"/>
      <c r="CL154" s="216"/>
      <c r="CM154" s="1194"/>
      <c r="CN154" s="1524"/>
      <c r="CO154" s="217"/>
      <c r="CP154" s="1193"/>
      <c r="CQ154" s="293"/>
      <c r="CR154" s="217"/>
      <c r="CS154" s="305"/>
      <c r="CT154" s="249"/>
      <c r="CU154" s="216"/>
      <c r="CV154" s="1193"/>
      <c r="CW154" s="249"/>
      <c r="CX154" s="216"/>
      <c r="CY154" s="305"/>
      <c r="CZ154" s="249"/>
      <c r="DA154" s="216"/>
      <c r="DB154" s="307"/>
      <c r="DC154" s="328"/>
      <c r="DD154" s="322"/>
      <c r="DE154" s="305"/>
      <c r="DF154" s="249"/>
      <c r="DG154" s="216"/>
      <c r="DH154" s="305"/>
      <c r="DI154" s="249"/>
      <c r="DJ154" s="216"/>
      <c r="DK154" s="309"/>
      <c r="DL154" s="293"/>
      <c r="DM154" s="326"/>
      <c r="DN154" s="1256"/>
      <c r="DO154" s="214"/>
      <c r="DP154" s="1257"/>
      <c r="DQ154" s="1258"/>
      <c r="DR154" s="305"/>
      <c r="DS154" s="249"/>
      <c r="DT154" s="216"/>
      <c r="DU154" s="305"/>
      <c r="DV154" s="2520"/>
      <c r="DW154" s="2521"/>
      <c r="DX154" s="305"/>
      <c r="DY154" s="249"/>
      <c r="DZ154" s="221"/>
      <c r="EA154" s="388"/>
      <c r="EB154" s="249"/>
      <c r="EC154" s="216"/>
      <c r="ED154" s="1461"/>
      <c r="EE154" s="249"/>
      <c r="EF154" s="216"/>
      <c r="EG154" s="355"/>
      <c r="EH154" s="1425"/>
      <c r="EI154" s="1470"/>
      <c r="EJ154" s="249"/>
      <c r="EK154" s="221"/>
      <c r="EL154" s="313"/>
      <c r="EM154" s="249"/>
      <c r="EN154" s="221"/>
      <c r="EO154" s="313"/>
      <c r="EP154" s="249"/>
      <c r="EQ154" s="216"/>
      <c r="ER154" s="313"/>
      <c r="ES154" s="249"/>
      <c r="ET154" s="216"/>
      <c r="EU154" s="313"/>
      <c r="EV154" s="249"/>
      <c r="EW154" s="216"/>
      <c r="EX154" s="2505"/>
      <c r="EY154" s="249"/>
      <c r="EZ154" s="221"/>
      <c r="FA154" s="313"/>
      <c r="FB154" s="249"/>
      <c r="FC154" s="221"/>
      <c r="FD154" s="313"/>
      <c r="FE154" s="249"/>
      <c r="FF154" s="221"/>
      <c r="FG154" s="313"/>
      <c r="FH154" s="249"/>
      <c r="FI154" s="216"/>
      <c r="FJ154" s="1435"/>
      <c r="FK154" s="216"/>
      <c r="FL154" s="1268"/>
      <c r="FM154" s="1655"/>
      <c r="FN154" s="1268"/>
      <c r="FO154" s="1655"/>
      <c r="FP154" s="1268"/>
      <c r="FQ154" s="1656"/>
      <c r="FR154" s="249"/>
      <c r="FS154" s="216"/>
      <c r="FT154" s="1657"/>
      <c r="FU154" s="1658"/>
      <c r="FV154" s="242"/>
      <c r="FW154" s="343"/>
      <c r="FX154" s="222"/>
      <c r="FY154" s="336"/>
      <c r="FZ154" s="223"/>
      <c r="GA154" s="338"/>
      <c r="GB154" s="204"/>
      <c r="GC154" s="339"/>
      <c r="GD154" s="342"/>
      <c r="GE154" s="199"/>
      <c r="GF154" s="199"/>
      <c r="GG154" s="199"/>
      <c r="GH154" s="199"/>
      <c r="GI154" s="199"/>
      <c r="GJ154" s="199"/>
      <c r="GK154" s="199"/>
      <c r="GL154" s="49"/>
      <c r="GM154" s="28"/>
      <c r="GN154" s="28"/>
      <c r="GO154" s="322"/>
      <c r="GP154" s="1190"/>
      <c r="GQ154" s="1190"/>
      <c r="GR154" s="49"/>
      <c r="GS154" s="2879"/>
      <c r="GT154" s="2880"/>
      <c r="GU154" s="2881"/>
      <c r="GV154" s="49"/>
      <c r="GW154" s="49"/>
      <c r="GX154" s="49"/>
      <c r="GY154" s="49"/>
      <c r="GZ154" s="49"/>
      <c r="HA154" s="49"/>
      <c r="HB154" s="49"/>
      <c r="HC154" s="49"/>
      <c r="HD154" s="49"/>
      <c r="HE154" s="49"/>
      <c r="HF154" s="49"/>
      <c r="HG154" s="49"/>
      <c r="HH154" s="49"/>
      <c r="HI154" s="49"/>
      <c r="HJ154" s="49"/>
      <c r="HK154" s="49"/>
      <c r="HL154" s="49"/>
      <c r="HM154" s="49"/>
      <c r="HN154" s="49"/>
      <c r="HO154" s="49"/>
      <c r="HP154" s="49"/>
      <c r="HQ154" s="49"/>
      <c r="HR154" s="49"/>
      <c r="HS154" s="49"/>
      <c r="HT154" s="49"/>
      <c r="HU154" s="49"/>
      <c r="HV154" s="49"/>
      <c r="HW154" s="49"/>
      <c r="HX154" s="49"/>
      <c r="HY154" s="49"/>
      <c r="HZ154" s="49"/>
      <c r="IA154" s="49"/>
      <c r="IB154" s="49"/>
      <c r="IC154" s="49"/>
      <c r="ID154" s="49"/>
      <c r="IE154" s="49"/>
      <c r="IF154" s="49"/>
      <c r="IG154" s="49"/>
      <c r="IH154" s="49"/>
      <c r="II154" s="49"/>
      <c r="IJ154" s="49"/>
      <c r="IK154" s="49"/>
      <c r="IL154" s="49"/>
      <c r="IM154" s="49"/>
      <c r="IN154" s="49"/>
      <c r="IO154" s="49"/>
      <c r="IP154" s="49"/>
      <c r="IQ154" s="49"/>
      <c r="IR154" s="49"/>
      <c r="IS154" s="49"/>
      <c r="IT154" s="49"/>
      <c r="IU154" s="49"/>
      <c r="IV154" s="49"/>
    </row>
    <row r="155" spans="1:256" s="198" customFormat="1" ht="12" customHeight="1">
      <c r="A155" s="1252"/>
      <c r="B155" s="200"/>
      <c r="C155" s="486"/>
      <c r="D155" s="201"/>
      <c r="E155" s="202"/>
      <c r="F155" s="203"/>
      <c r="G155" s="197"/>
      <c r="H155" s="197"/>
      <c r="I155" s="197"/>
      <c r="J155" s="197"/>
      <c r="K155" s="175"/>
      <c r="L155" s="197"/>
      <c r="M155" s="197"/>
      <c r="N155" s="197"/>
      <c r="O155" s="197"/>
      <c r="P155" s="197"/>
      <c r="Q155" s="1198"/>
      <c r="R155" s="202"/>
      <c r="S155" s="202"/>
      <c r="T155" s="1186"/>
      <c r="U155" s="233"/>
      <c r="V155" s="49"/>
      <c r="W155" s="218"/>
      <c r="X155" s="218"/>
      <c r="Y155" s="216"/>
      <c r="Z155" s="216"/>
      <c r="AA155" s="215"/>
      <c r="AB155" s="216"/>
      <c r="AC155" s="216"/>
      <c r="AD155" s="239"/>
      <c r="AE155" s="216"/>
      <c r="AF155" s="216"/>
      <c r="AG155" s="216"/>
      <c r="AH155" s="216"/>
      <c r="AI155" s="216"/>
      <c r="AJ155" s="216"/>
      <c r="AK155" s="239"/>
      <c r="AL155" s="216"/>
      <c r="AM155" s="216"/>
      <c r="AN155" s="216"/>
      <c r="AO155" s="216"/>
      <c r="AP155" s="216"/>
      <c r="AQ155" s="216"/>
      <c r="AR155" s="216"/>
      <c r="AS155" s="216"/>
      <c r="AT155" s="216"/>
      <c r="AU155" s="216"/>
      <c r="AV155" s="217"/>
      <c r="AW155" s="355"/>
      <c r="AX155" s="217"/>
      <c r="AY155" s="1559"/>
      <c r="AZ155" s="249"/>
      <c r="BA155" s="221"/>
      <c r="BB155" s="300"/>
      <c r="BC155" s="217"/>
      <c r="BD155" s="392"/>
      <c r="BE155" s="1244"/>
      <c r="BF155" s="249"/>
      <c r="BG155" s="252"/>
      <c r="BH155" s="1469"/>
      <c r="BI155" s="216"/>
      <c r="BJ155" s="1469"/>
      <c r="BK155" s="1459"/>
      <c r="BL155" s="260"/>
      <c r="BM155" s="214"/>
      <c r="BN155" s="293"/>
      <c r="BO155" s="217"/>
      <c r="BP155" s="355"/>
      <c r="BQ155" s="217"/>
      <c r="BR155" s="1193"/>
      <c r="BS155" s="249"/>
      <c r="BT155" s="216"/>
      <c r="BU155" s="1195"/>
      <c r="BV155" s="249"/>
      <c r="BW155" s="216"/>
      <c r="BX155" s="1195"/>
      <c r="BY155" s="249"/>
      <c r="BZ155" s="216"/>
      <c r="CA155" s="1195"/>
      <c r="CB155" s="249"/>
      <c r="CC155" s="216"/>
      <c r="CD155" s="1195"/>
      <c r="CE155" s="249"/>
      <c r="CF155" s="216"/>
      <c r="CG155" s="1195"/>
      <c r="CH155" s="249"/>
      <c r="CI155" s="216"/>
      <c r="CJ155" s="1195"/>
      <c r="CK155" s="249"/>
      <c r="CL155" s="216"/>
      <c r="CM155" s="1194"/>
      <c r="CN155" s="1524"/>
      <c r="CO155" s="217"/>
      <c r="CP155" s="1193"/>
      <c r="CQ155" s="293"/>
      <c r="CR155" s="217"/>
      <c r="CS155" s="305"/>
      <c r="CT155" s="249"/>
      <c r="CU155" s="216"/>
      <c r="CV155" s="1193"/>
      <c r="CW155" s="249"/>
      <c r="CX155" s="216"/>
      <c r="CY155" s="305"/>
      <c r="CZ155" s="249"/>
      <c r="DA155" s="216"/>
      <c r="DB155" s="307"/>
      <c r="DC155" s="328"/>
      <c r="DD155" s="322"/>
      <c r="DE155" s="305"/>
      <c r="DF155" s="249"/>
      <c r="DG155" s="216"/>
      <c r="DH155" s="305"/>
      <c r="DI155" s="249"/>
      <c r="DJ155" s="216"/>
      <c r="DK155" s="309"/>
      <c r="DL155" s="293"/>
      <c r="DM155" s="326"/>
      <c r="DN155" s="1256"/>
      <c r="DO155" s="214"/>
      <c r="DP155" s="1257"/>
      <c r="DQ155" s="1258"/>
      <c r="DR155" s="305"/>
      <c r="DS155" s="249"/>
      <c r="DT155" s="216"/>
      <c r="DU155" s="305"/>
      <c r="DV155" s="2520"/>
      <c r="DW155" s="2521"/>
      <c r="DX155" s="305"/>
      <c r="DY155" s="249"/>
      <c r="DZ155" s="221"/>
      <c r="EA155" s="388"/>
      <c r="EB155" s="249"/>
      <c r="EC155" s="216"/>
      <c r="ED155" s="1461"/>
      <c r="EE155" s="249"/>
      <c r="EF155" s="216"/>
      <c r="EG155" s="355"/>
      <c r="EH155" s="1425"/>
      <c r="EI155" s="1470"/>
      <c r="EJ155" s="249"/>
      <c r="EK155" s="221"/>
      <c r="EL155" s="313"/>
      <c r="EM155" s="249"/>
      <c r="EN155" s="221"/>
      <c r="EO155" s="313"/>
      <c r="EP155" s="249"/>
      <c r="EQ155" s="216"/>
      <c r="ER155" s="313"/>
      <c r="ES155" s="249"/>
      <c r="ET155" s="216"/>
      <c r="EU155" s="313"/>
      <c r="EV155" s="249"/>
      <c r="EW155" s="216"/>
      <c r="EX155" s="2505"/>
      <c r="EY155" s="249"/>
      <c r="EZ155" s="221"/>
      <c r="FA155" s="313"/>
      <c r="FB155" s="249"/>
      <c r="FC155" s="221"/>
      <c r="FD155" s="313"/>
      <c r="FE155" s="249"/>
      <c r="FF155" s="221"/>
      <c r="FG155" s="313"/>
      <c r="FH155" s="249"/>
      <c r="FI155" s="216"/>
      <c r="FJ155" s="1435"/>
      <c r="FK155" s="216"/>
      <c r="FL155" s="1268"/>
      <c r="FM155" s="1655"/>
      <c r="FN155" s="1268"/>
      <c r="FO155" s="1655"/>
      <c r="FP155" s="1268"/>
      <c r="FQ155" s="1656"/>
      <c r="FR155" s="249"/>
      <c r="FS155" s="216"/>
      <c r="FT155" s="1657"/>
      <c r="FU155" s="1658"/>
      <c r="FV155" s="242"/>
      <c r="FW155" s="343"/>
      <c r="FX155" s="222"/>
      <c r="FY155" s="336"/>
      <c r="FZ155" s="223"/>
      <c r="GA155" s="338"/>
      <c r="GB155" s="204"/>
      <c r="GC155" s="339"/>
      <c r="GD155" s="342"/>
      <c r="GE155" s="199"/>
      <c r="GF155" s="199"/>
      <c r="GG155" s="199"/>
      <c r="GH155" s="199"/>
      <c r="GI155" s="199"/>
      <c r="GJ155" s="199"/>
      <c r="GK155" s="199"/>
      <c r="GL155" s="49"/>
      <c r="GM155" s="28"/>
      <c r="GN155" s="28"/>
      <c r="GO155" s="322"/>
      <c r="GP155" s="1190"/>
      <c r="GQ155" s="1190"/>
      <c r="GR155" s="49"/>
      <c r="GS155" s="2879"/>
      <c r="GT155" s="2880"/>
      <c r="GU155" s="2881"/>
      <c r="GV155" s="49"/>
      <c r="GW155" s="49"/>
      <c r="GX155" s="49"/>
      <c r="GY155" s="49"/>
      <c r="GZ155" s="49"/>
      <c r="HA155" s="49"/>
      <c r="HB155" s="49"/>
      <c r="HC155" s="49"/>
      <c r="HD155" s="49"/>
      <c r="HE155" s="49"/>
      <c r="HF155" s="49"/>
      <c r="HG155" s="49"/>
      <c r="HH155" s="49"/>
      <c r="HI155" s="49"/>
      <c r="HJ155" s="49"/>
      <c r="HK155" s="49"/>
      <c r="HL155" s="49"/>
      <c r="HM155" s="49"/>
      <c r="HN155" s="49"/>
      <c r="HO155" s="49"/>
      <c r="HP155" s="49"/>
      <c r="HQ155" s="49"/>
      <c r="HR155" s="49"/>
      <c r="HS155" s="49"/>
      <c r="HT155" s="49"/>
      <c r="HU155" s="49"/>
      <c r="HV155" s="49"/>
      <c r="HW155" s="49"/>
      <c r="HX155" s="49"/>
      <c r="HY155" s="49"/>
      <c r="HZ155" s="49"/>
      <c r="IA155" s="49"/>
      <c r="IB155" s="49"/>
      <c r="IC155" s="49"/>
      <c r="ID155" s="49"/>
      <c r="IE155" s="49"/>
      <c r="IF155" s="49"/>
      <c r="IG155" s="49"/>
      <c r="IH155" s="49"/>
      <c r="II155" s="49"/>
      <c r="IJ155" s="49"/>
      <c r="IK155" s="49"/>
      <c r="IL155" s="49"/>
      <c r="IM155" s="49"/>
      <c r="IN155" s="49"/>
      <c r="IO155" s="49"/>
      <c r="IP155" s="49"/>
      <c r="IQ155" s="49"/>
      <c r="IR155" s="49"/>
      <c r="IS155" s="49"/>
      <c r="IT155" s="49"/>
      <c r="IU155" s="49"/>
      <c r="IV155" s="49"/>
    </row>
    <row r="156" spans="1:256" s="198" customFormat="1" ht="12" customHeight="1">
      <c r="A156" s="1252"/>
      <c r="B156" s="200"/>
      <c r="C156" s="486"/>
      <c r="D156" s="201"/>
      <c r="E156" s="202"/>
      <c r="F156" s="203"/>
      <c r="G156" s="197"/>
      <c r="H156" s="197"/>
      <c r="I156" s="197"/>
      <c r="J156" s="197"/>
      <c r="K156" s="175"/>
      <c r="L156" s="197"/>
      <c r="M156" s="197"/>
      <c r="N156" s="197"/>
      <c r="O156" s="197"/>
      <c r="P156" s="197"/>
      <c r="Q156" s="1198"/>
      <c r="R156" s="202"/>
      <c r="S156" s="202"/>
      <c r="T156" s="1186"/>
      <c r="U156" s="233"/>
      <c r="V156" s="49"/>
      <c r="W156" s="218"/>
      <c r="X156" s="218"/>
      <c r="Y156" s="216"/>
      <c r="Z156" s="216"/>
      <c r="AA156" s="215"/>
      <c r="AB156" s="216"/>
      <c r="AC156" s="216"/>
      <c r="AD156" s="239"/>
      <c r="AE156" s="216"/>
      <c r="AF156" s="216"/>
      <c r="AG156" s="216"/>
      <c r="AH156" s="216"/>
      <c r="AI156" s="216"/>
      <c r="AJ156" s="216"/>
      <c r="AK156" s="239"/>
      <c r="AL156" s="216"/>
      <c r="AM156" s="216"/>
      <c r="AN156" s="216"/>
      <c r="AO156" s="216"/>
      <c r="AP156" s="216"/>
      <c r="AQ156" s="216"/>
      <c r="AR156" s="216"/>
      <c r="AS156" s="216"/>
      <c r="AT156" s="216"/>
      <c r="AU156" s="216"/>
      <c r="AV156" s="217"/>
      <c r="AW156" s="355"/>
      <c r="AX156" s="217"/>
      <c r="AY156" s="1559"/>
      <c r="AZ156" s="249"/>
      <c r="BA156" s="221"/>
      <c r="BB156" s="300"/>
      <c r="BC156" s="217"/>
      <c r="BD156" s="392"/>
      <c r="BE156" s="1244"/>
      <c r="BF156" s="249"/>
      <c r="BG156" s="252"/>
      <c r="BH156" s="1469"/>
      <c r="BI156" s="216"/>
      <c r="BJ156" s="1469"/>
      <c r="BK156" s="1459"/>
      <c r="BL156" s="260"/>
      <c r="BM156" s="214"/>
      <c r="BN156" s="293"/>
      <c r="BO156" s="217"/>
      <c r="BP156" s="355"/>
      <c r="BQ156" s="217"/>
      <c r="BR156" s="1193"/>
      <c r="BS156" s="249"/>
      <c r="BT156" s="216"/>
      <c r="BU156" s="1195"/>
      <c r="BV156" s="249"/>
      <c r="BW156" s="216"/>
      <c r="BX156" s="1195"/>
      <c r="BY156" s="249"/>
      <c r="BZ156" s="216"/>
      <c r="CA156" s="1195"/>
      <c r="CB156" s="249"/>
      <c r="CC156" s="216"/>
      <c r="CD156" s="1195"/>
      <c r="CE156" s="249"/>
      <c r="CF156" s="216"/>
      <c r="CG156" s="1195"/>
      <c r="CH156" s="249"/>
      <c r="CI156" s="216"/>
      <c r="CJ156" s="1195"/>
      <c r="CK156" s="249"/>
      <c r="CL156" s="216"/>
      <c r="CM156" s="1194"/>
      <c r="CN156" s="1524"/>
      <c r="CO156" s="217"/>
      <c r="CP156" s="1193"/>
      <c r="CQ156" s="293"/>
      <c r="CR156" s="217"/>
      <c r="CS156" s="305"/>
      <c r="CT156" s="249"/>
      <c r="CU156" s="216"/>
      <c r="CV156" s="1193"/>
      <c r="CW156" s="249"/>
      <c r="CX156" s="216"/>
      <c r="CY156" s="305"/>
      <c r="CZ156" s="249"/>
      <c r="DA156" s="216"/>
      <c r="DB156" s="307"/>
      <c r="DC156" s="328"/>
      <c r="DD156" s="322"/>
      <c r="DE156" s="305"/>
      <c r="DF156" s="249"/>
      <c r="DG156" s="216"/>
      <c r="DH156" s="305"/>
      <c r="DI156" s="249"/>
      <c r="DJ156" s="216"/>
      <c r="DK156" s="309"/>
      <c r="DL156" s="293"/>
      <c r="DM156" s="326"/>
      <c r="DN156" s="1256"/>
      <c r="DO156" s="214"/>
      <c r="DP156" s="1257"/>
      <c r="DQ156" s="1258"/>
      <c r="DR156" s="305"/>
      <c r="DS156" s="249"/>
      <c r="DT156" s="216"/>
      <c r="DU156" s="305"/>
      <c r="DV156" s="2520"/>
      <c r="DW156" s="2521"/>
      <c r="DX156" s="305"/>
      <c r="DY156" s="249"/>
      <c r="DZ156" s="221"/>
      <c r="EA156" s="388"/>
      <c r="EB156" s="249"/>
      <c r="EC156" s="216"/>
      <c r="ED156" s="1461"/>
      <c r="EE156" s="249"/>
      <c r="EF156" s="216"/>
      <c r="EG156" s="355"/>
      <c r="EH156" s="1425"/>
      <c r="EI156" s="1470"/>
      <c r="EJ156" s="249"/>
      <c r="EK156" s="221"/>
      <c r="EL156" s="313"/>
      <c r="EM156" s="249"/>
      <c r="EN156" s="221"/>
      <c r="EO156" s="313"/>
      <c r="EP156" s="249"/>
      <c r="EQ156" s="216"/>
      <c r="ER156" s="313"/>
      <c r="ES156" s="249"/>
      <c r="ET156" s="216"/>
      <c r="EU156" s="313"/>
      <c r="EV156" s="249"/>
      <c r="EW156" s="216"/>
      <c r="EX156" s="2505"/>
      <c r="EY156" s="249"/>
      <c r="EZ156" s="221"/>
      <c r="FA156" s="313"/>
      <c r="FB156" s="249"/>
      <c r="FC156" s="221"/>
      <c r="FD156" s="313"/>
      <c r="FE156" s="249"/>
      <c r="FF156" s="221"/>
      <c r="FG156" s="313"/>
      <c r="FH156" s="249"/>
      <c r="FI156" s="216"/>
      <c r="FJ156" s="1435"/>
      <c r="FK156" s="216"/>
      <c r="FL156" s="1268"/>
      <c r="FM156" s="1655"/>
      <c r="FN156" s="1268"/>
      <c r="FO156" s="1655"/>
      <c r="FP156" s="1268"/>
      <c r="FQ156" s="1656"/>
      <c r="FR156" s="249"/>
      <c r="FS156" s="216"/>
      <c r="FT156" s="1657"/>
      <c r="FU156" s="1658"/>
      <c r="FV156" s="242"/>
      <c r="FW156" s="343"/>
      <c r="FX156" s="222"/>
      <c r="FY156" s="336"/>
      <c r="FZ156" s="223"/>
      <c r="GA156" s="338"/>
      <c r="GB156" s="204"/>
      <c r="GC156" s="339"/>
      <c r="GD156" s="342"/>
      <c r="GE156" s="199"/>
      <c r="GF156" s="199"/>
      <c r="GG156" s="199"/>
      <c r="GH156" s="199"/>
      <c r="GI156" s="199"/>
      <c r="GJ156" s="199"/>
      <c r="GK156" s="199"/>
      <c r="GL156" s="49"/>
      <c r="GM156" s="28"/>
      <c r="GN156" s="28"/>
      <c r="GO156" s="322"/>
      <c r="GP156" s="1190"/>
      <c r="GQ156" s="1190"/>
      <c r="GR156" s="49"/>
      <c r="GS156" s="2879"/>
      <c r="GT156" s="2880"/>
      <c r="GU156" s="2881"/>
      <c r="GV156" s="49"/>
      <c r="GW156" s="49"/>
      <c r="GX156" s="49"/>
      <c r="GY156" s="49"/>
      <c r="GZ156" s="49"/>
      <c r="HA156" s="49"/>
      <c r="HB156" s="49"/>
      <c r="HC156" s="49"/>
      <c r="HD156" s="49"/>
      <c r="HE156" s="49"/>
      <c r="HF156" s="49"/>
      <c r="HG156" s="49"/>
      <c r="HH156" s="49"/>
      <c r="HI156" s="49"/>
      <c r="HJ156" s="49"/>
      <c r="HK156" s="49"/>
      <c r="HL156" s="49"/>
      <c r="HM156" s="49"/>
      <c r="HN156" s="49"/>
      <c r="HO156" s="49"/>
      <c r="HP156" s="49"/>
      <c r="HQ156" s="49"/>
      <c r="HR156" s="49"/>
      <c r="HS156" s="49"/>
      <c r="HT156" s="49"/>
      <c r="HU156" s="49"/>
      <c r="HV156" s="49"/>
      <c r="HW156" s="49"/>
      <c r="HX156" s="49"/>
      <c r="HY156" s="49"/>
      <c r="HZ156" s="49"/>
      <c r="IA156" s="49"/>
      <c r="IB156" s="49"/>
      <c r="IC156" s="49"/>
      <c r="ID156" s="49"/>
      <c r="IE156" s="49"/>
      <c r="IF156" s="49"/>
      <c r="IG156" s="49"/>
      <c r="IH156" s="49"/>
      <c r="II156" s="49"/>
      <c r="IJ156" s="49"/>
      <c r="IK156" s="49"/>
      <c r="IL156" s="49"/>
      <c r="IM156" s="49"/>
      <c r="IN156" s="49"/>
      <c r="IO156" s="49"/>
      <c r="IP156" s="49"/>
      <c r="IQ156" s="49"/>
      <c r="IR156" s="49"/>
      <c r="IS156" s="49"/>
      <c r="IT156" s="49"/>
      <c r="IU156" s="49"/>
      <c r="IV156" s="49"/>
    </row>
    <row r="157" spans="1:256" s="198" customFormat="1" ht="12" customHeight="1">
      <c r="A157" s="1252"/>
      <c r="B157" s="200"/>
      <c r="C157" s="486"/>
      <c r="D157" s="201"/>
      <c r="E157" s="202"/>
      <c r="F157" s="203"/>
      <c r="G157" s="197"/>
      <c r="H157" s="197"/>
      <c r="I157" s="197"/>
      <c r="J157" s="197"/>
      <c r="K157" s="175"/>
      <c r="L157" s="197"/>
      <c r="M157" s="197"/>
      <c r="N157" s="197"/>
      <c r="O157" s="197"/>
      <c r="P157" s="197"/>
      <c r="Q157" s="1198"/>
      <c r="R157" s="202"/>
      <c r="S157" s="202"/>
      <c r="T157" s="1186"/>
      <c r="U157" s="233"/>
      <c r="V157" s="49"/>
      <c r="W157" s="218"/>
      <c r="X157" s="218"/>
      <c r="Y157" s="216"/>
      <c r="Z157" s="216"/>
      <c r="AA157" s="215"/>
      <c r="AB157" s="216"/>
      <c r="AC157" s="216"/>
      <c r="AD157" s="239"/>
      <c r="AE157" s="216"/>
      <c r="AF157" s="216"/>
      <c r="AG157" s="216"/>
      <c r="AH157" s="216"/>
      <c r="AI157" s="216"/>
      <c r="AJ157" s="216"/>
      <c r="AK157" s="239"/>
      <c r="AL157" s="216"/>
      <c r="AM157" s="216"/>
      <c r="AN157" s="216"/>
      <c r="AO157" s="216"/>
      <c r="AP157" s="216"/>
      <c r="AQ157" s="216"/>
      <c r="AR157" s="216"/>
      <c r="AS157" s="216"/>
      <c r="AT157" s="216"/>
      <c r="AU157" s="216"/>
      <c r="AV157" s="217"/>
      <c r="AW157" s="355"/>
      <c r="AX157" s="217"/>
      <c r="AY157" s="1559"/>
      <c r="AZ157" s="249"/>
      <c r="BA157" s="221"/>
      <c r="BB157" s="300"/>
      <c r="BC157" s="217"/>
      <c r="BD157" s="392"/>
      <c r="BE157" s="1244"/>
      <c r="BF157" s="249"/>
      <c r="BG157" s="252"/>
      <c r="BH157" s="1469"/>
      <c r="BI157" s="216"/>
      <c r="BJ157" s="1469"/>
      <c r="BK157" s="1459"/>
      <c r="BL157" s="260"/>
      <c r="BM157" s="214"/>
      <c r="BN157" s="293"/>
      <c r="BO157" s="217"/>
      <c r="BP157" s="355"/>
      <c r="BQ157" s="217"/>
      <c r="BR157" s="1193"/>
      <c r="BS157" s="249"/>
      <c r="BT157" s="216"/>
      <c r="BU157" s="1195"/>
      <c r="BV157" s="249"/>
      <c r="BW157" s="216"/>
      <c r="BX157" s="1195"/>
      <c r="BY157" s="249"/>
      <c r="BZ157" s="216"/>
      <c r="CA157" s="1195"/>
      <c r="CB157" s="249"/>
      <c r="CC157" s="216"/>
      <c r="CD157" s="1195"/>
      <c r="CE157" s="249"/>
      <c r="CF157" s="216"/>
      <c r="CG157" s="1195"/>
      <c r="CH157" s="249"/>
      <c r="CI157" s="216"/>
      <c r="CJ157" s="1195"/>
      <c r="CK157" s="249"/>
      <c r="CL157" s="216"/>
      <c r="CM157" s="1194"/>
      <c r="CN157" s="1524"/>
      <c r="CO157" s="217"/>
      <c r="CP157" s="1193"/>
      <c r="CQ157" s="293"/>
      <c r="CR157" s="217"/>
      <c r="CS157" s="305"/>
      <c r="CT157" s="249"/>
      <c r="CU157" s="216"/>
      <c r="CV157" s="1193"/>
      <c r="CW157" s="249"/>
      <c r="CX157" s="216"/>
      <c r="CY157" s="305"/>
      <c r="CZ157" s="249"/>
      <c r="DA157" s="216"/>
      <c r="DB157" s="307"/>
      <c r="DC157" s="328"/>
      <c r="DD157" s="322"/>
      <c r="DE157" s="305"/>
      <c r="DF157" s="249"/>
      <c r="DG157" s="216"/>
      <c r="DH157" s="305"/>
      <c r="DI157" s="249"/>
      <c r="DJ157" s="216"/>
      <c r="DK157" s="309"/>
      <c r="DL157" s="293"/>
      <c r="DM157" s="326"/>
      <c r="DN157" s="1256"/>
      <c r="DO157" s="214"/>
      <c r="DP157" s="1257"/>
      <c r="DQ157" s="1258"/>
      <c r="DR157" s="305"/>
      <c r="DS157" s="249"/>
      <c r="DT157" s="216"/>
      <c r="DU157" s="305"/>
      <c r="DV157" s="2520"/>
      <c r="DW157" s="2521"/>
      <c r="DX157" s="305"/>
      <c r="DY157" s="249"/>
      <c r="DZ157" s="221"/>
      <c r="EA157" s="388"/>
      <c r="EB157" s="249"/>
      <c r="EC157" s="216"/>
      <c r="ED157" s="1461"/>
      <c r="EE157" s="249"/>
      <c r="EF157" s="216"/>
      <c r="EG157" s="355"/>
      <c r="EH157" s="1425"/>
      <c r="EI157" s="1470"/>
      <c r="EJ157" s="249"/>
      <c r="EK157" s="221"/>
      <c r="EL157" s="313"/>
      <c r="EM157" s="249"/>
      <c r="EN157" s="221"/>
      <c r="EO157" s="313"/>
      <c r="EP157" s="249"/>
      <c r="EQ157" s="216"/>
      <c r="ER157" s="313"/>
      <c r="ES157" s="249"/>
      <c r="ET157" s="216"/>
      <c r="EU157" s="313"/>
      <c r="EV157" s="249"/>
      <c r="EW157" s="216"/>
      <c r="EX157" s="2505"/>
      <c r="EY157" s="249"/>
      <c r="EZ157" s="221"/>
      <c r="FA157" s="313"/>
      <c r="FB157" s="249"/>
      <c r="FC157" s="221"/>
      <c r="FD157" s="313"/>
      <c r="FE157" s="249"/>
      <c r="FF157" s="221"/>
      <c r="FG157" s="313"/>
      <c r="FH157" s="249"/>
      <c r="FI157" s="216"/>
      <c r="FJ157" s="1435"/>
      <c r="FK157" s="216"/>
      <c r="FL157" s="1268"/>
      <c r="FM157" s="1655"/>
      <c r="FN157" s="1268"/>
      <c r="FO157" s="1655"/>
      <c r="FP157" s="1268"/>
      <c r="FQ157" s="1656"/>
      <c r="FR157" s="249"/>
      <c r="FS157" s="216"/>
      <c r="FT157" s="1657"/>
      <c r="FU157" s="1658"/>
      <c r="FV157" s="242"/>
      <c r="FW157" s="343"/>
      <c r="FX157" s="222"/>
      <c r="FY157" s="336"/>
      <c r="FZ157" s="223"/>
      <c r="GA157" s="338"/>
      <c r="GB157" s="204"/>
      <c r="GC157" s="339"/>
      <c r="GD157" s="342"/>
      <c r="GE157" s="199"/>
      <c r="GF157" s="199"/>
      <c r="GG157" s="199"/>
      <c r="GH157" s="199"/>
      <c r="GI157" s="199"/>
      <c r="GJ157" s="199"/>
      <c r="GK157" s="199"/>
      <c r="GL157" s="49"/>
      <c r="GM157" s="28"/>
      <c r="GN157" s="28"/>
      <c r="GO157" s="322"/>
      <c r="GP157" s="1190"/>
      <c r="GQ157" s="1190"/>
      <c r="GR157" s="49"/>
      <c r="GS157" s="2879"/>
      <c r="GT157" s="2880"/>
      <c r="GU157" s="2881"/>
      <c r="GV157" s="49"/>
      <c r="GW157" s="49"/>
      <c r="GX157" s="49"/>
      <c r="GY157" s="49"/>
      <c r="GZ157" s="49"/>
      <c r="HA157" s="49"/>
      <c r="HB157" s="49"/>
      <c r="HC157" s="49"/>
      <c r="HD157" s="49"/>
      <c r="HE157" s="49"/>
      <c r="HF157" s="49"/>
      <c r="HG157" s="49"/>
      <c r="HH157" s="49"/>
      <c r="HI157" s="49"/>
      <c r="HJ157" s="49"/>
      <c r="HK157" s="49"/>
      <c r="HL157" s="49"/>
      <c r="HM157" s="49"/>
      <c r="HN157" s="49"/>
      <c r="HO157" s="49"/>
      <c r="HP157" s="49"/>
      <c r="HQ157" s="49"/>
      <c r="HR157" s="49"/>
      <c r="HS157" s="49"/>
      <c r="HT157" s="49"/>
      <c r="HU157" s="49"/>
      <c r="HV157" s="49"/>
      <c r="HW157" s="49"/>
      <c r="HX157" s="49"/>
      <c r="HY157" s="49"/>
      <c r="HZ157" s="49"/>
      <c r="IA157" s="49"/>
      <c r="IB157" s="49"/>
      <c r="IC157" s="49"/>
      <c r="ID157" s="49"/>
      <c r="IE157" s="49"/>
      <c r="IF157" s="49"/>
      <c r="IG157" s="49"/>
      <c r="IH157" s="49"/>
      <c r="II157" s="49"/>
      <c r="IJ157" s="49"/>
      <c r="IK157" s="49"/>
      <c r="IL157" s="49"/>
      <c r="IM157" s="49"/>
      <c r="IN157" s="49"/>
      <c r="IO157" s="49"/>
      <c r="IP157" s="49"/>
      <c r="IQ157" s="49"/>
      <c r="IR157" s="49"/>
      <c r="IS157" s="49"/>
      <c r="IT157" s="49"/>
      <c r="IU157" s="49"/>
      <c r="IV157" s="49"/>
    </row>
    <row r="158" spans="1:256" s="198" customFormat="1" ht="12" customHeight="1">
      <c r="A158" s="1252"/>
      <c r="B158" s="200"/>
      <c r="C158" s="486"/>
      <c r="D158" s="201"/>
      <c r="E158" s="202"/>
      <c r="F158" s="203"/>
      <c r="G158" s="197"/>
      <c r="H158" s="197"/>
      <c r="I158" s="197"/>
      <c r="J158" s="197"/>
      <c r="K158" s="175"/>
      <c r="L158" s="197"/>
      <c r="M158" s="197"/>
      <c r="N158" s="197"/>
      <c r="O158" s="197"/>
      <c r="P158" s="197"/>
      <c r="Q158" s="1198"/>
      <c r="R158" s="202"/>
      <c r="S158" s="202"/>
      <c r="T158" s="1186"/>
      <c r="U158" s="233"/>
      <c r="V158" s="49"/>
      <c r="W158" s="218"/>
      <c r="X158" s="218"/>
      <c r="Y158" s="216"/>
      <c r="Z158" s="216"/>
      <c r="AA158" s="215"/>
      <c r="AB158" s="216"/>
      <c r="AC158" s="216"/>
      <c r="AD158" s="239"/>
      <c r="AE158" s="216"/>
      <c r="AF158" s="216"/>
      <c r="AG158" s="216"/>
      <c r="AH158" s="216"/>
      <c r="AI158" s="216"/>
      <c r="AJ158" s="216"/>
      <c r="AK158" s="239"/>
      <c r="AL158" s="216"/>
      <c r="AM158" s="216"/>
      <c r="AN158" s="216"/>
      <c r="AO158" s="216"/>
      <c r="AP158" s="216"/>
      <c r="AQ158" s="216"/>
      <c r="AR158" s="216"/>
      <c r="AS158" s="216"/>
      <c r="AT158" s="216"/>
      <c r="AU158" s="216"/>
      <c r="AV158" s="217"/>
      <c r="AW158" s="355"/>
      <c r="AX158" s="217"/>
      <c r="AY158" s="1559"/>
      <c r="AZ158" s="249"/>
      <c r="BA158" s="221"/>
      <c r="BB158" s="300"/>
      <c r="BC158" s="217"/>
      <c r="BD158" s="392"/>
      <c r="BE158" s="1244"/>
      <c r="BF158" s="249"/>
      <c r="BG158" s="252"/>
      <c r="BH158" s="1469"/>
      <c r="BI158" s="216"/>
      <c r="BJ158" s="1469"/>
      <c r="BK158" s="1459"/>
      <c r="BL158" s="260"/>
      <c r="BM158" s="214"/>
      <c r="BN158" s="293"/>
      <c r="BO158" s="217"/>
      <c r="BP158" s="355"/>
      <c r="BQ158" s="217"/>
      <c r="BR158" s="1193"/>
      <c r="BS158" s="249"/>
      <c r="BT158" s="216"/>
      <c r="BU158" s="1195"/>
      <c r="BV158" s="249"/>
      <c r="BW158" s="216"/>
      <c r="BX158" s="1195"/>
      <c r="BY158" s="249"/>
      <c r="BZ158" s="216"/>
      <c r="CA158" s="1195"/>
      <c r="CB158" s="249"/>
      <c r="CC158" s="216"/>
      <c r="CD158" s="1195"/>
      <c r="CE158" s="249"/>
      <c r="CF158" s="216"/>
      <c r="CG158" s="1195"/>
      <c r="CH158" s="249"/>
      <c r="CI158" s="216"/>
      <c r="CJ158" s="1195"/>
      <c r="CK158" s="249"/>
      <c r="CL158" s="216"/>
      <c r="CM158" s="1194"/>
      <c r="CN158" s="1524"/>
      <c r="CO158" s="217"/>
      <c r="CP158" s="1193"/>
      <c r="CQ158" s="293"/>
      <c r="CR158" s="217"/>
      <c r="CS158" s="305"/>
      <c r="CT158" s="249"/>
      <c r="CU158" s="216"/>
      <c r="CV158" s="1193"/>
      <c r="CW158" s="249"/>
      <c r="CX158" s="216"/>
      <c r="CY158" s="305"/>
      <c r="CZ158" s="249"/>
      <c r="DA158" s="216"/>
      <c r="DB158" s="307"/>
      <c r="DC158" s="328"/>
      <c r="DD158" s="322"/>
      <c r="DE158" s="305"/>
      <c r="DF158" s="249"/>
      <c r="DG158" s="216"/>
      <c r="DH158" s="305"/>
      <c r="DI158" s="249"/>
      <c r="DJ158" s="216"/>
      <c r="DK158" s="309"/>
      <c r="DL158" s="293"/>
      <c r="DM158" s="326"/>
      <c r="DN158" s="1256"/>
      <c r="DO158" s="214"/>
      <c r="DP158" s="1257"/>
      <c r="DQ158" s="1258"/>
      <c r="DR158" s="305"/>
      <c r="DS158" s="249"/>
      <c r="DT158" s="216"/>
      <c r="DU158" s="305"/>
      <c r="DV158" s="2520"/>
      <c r="DW158" s="2521"/>
      <c r="DX158" s="305"/>
      <c r="DY158" s="249"/>
      <c r="DZ158" s="221"/>
      <c r="EA158" s="388"/>
      <c r="EB158" s="249"/>
      <c r="EC158" s="216"/>
      <c r="ED158" s="1461"/>
      <c r="EE158" s="249"/>
      <c r="EF158" s="216"/>
      <c r="EG158" s="355"/>
      <c r="EH158" s="1425"/>
      <c r="EI158" s="1470"/>
      <c r="EJ158" s="249"/>
      <c r="EK158" s="221"/>
      <c r="EL158" s="313"/>
      <c r="EM158" s="249"/>
      <c r="EN158" s="221"/>
      <c r="EO158" s="313"/>
      <c r="EP158" s="249"/>
      <c r="EQ158" s="216"/>
      <c r="ER158" s="313"/>
      <c r="ES158" s="249"/>
      <c r="ET158" s="216"/>
      <c r="EU158" s="313"/>
      <c r="EV158" s="249"/>
      <c r="EW158" s="216"/>
      <c r="EX158" s="2505"/>
      <c r="EY158" s="249"/>
      <c r="EZ158" s="221"/>
      <c r="FA158" s="313"/>
      <c r="FB158" s="249"/>
      <c r="FC158" s="221"/>
      <c r="FD158" s="313"/>
      <c r="FE158" s="249"/>
      <c r="FF158" s="221"/>
      <c r="FG158" s="313"/>
      <c r="FH158" s="249"/>
      <c r="FI158" s="216"/>
      <c r="FJ158" s="1435"/>
      <c r="FK158" s="216"/>
      <c r="FL158" s="1268"/>
      <c r="FM158" s="1655"/>
      <c r="FN158" s="1268"/>
      <c r="FO158" s="1655"/>
      <c r="FP158" s="1268"/>
      <c r="FQ158" s="1656"/>
      <c r="FR158" s="249"/>
      <c r="FS158" s="216"/>
      <c r="FT158" s="1657"/>
      <c r="FU158" s="1658"/>
      <c r="FV158" s="242"/>
      <c r="FW158" s="343"/>
      <c r="FX158" s="222"/>
      <c r="FY158" s="336"/>
      <c r="FZ158" s="223"/>
      <c r="GA158" s="338"/>
      <c r="GB158" s="204"/>
      <c r="GC158" s="339"/>
      <c r="GD158" s="342"/>
      <c r="GE158" s="199"/>
      <c r="GF158" s="199"/>
      <c r="GG158" s="199"/>
      <c r="GH158" s="199"/>
      <c r="GI158" s="199"/>
      <c r="GJ158" s="199"/>
      <c r="GK158" s="199"/>
      <c r="GL158" s="49"/>
      <c r="GM158" s="28"/>
      <c r="GN158" s="28"/>
      <c r="GO158" s="322"/>
      <c r="GP158" s="1190"/>
      <c r="GQ158" s="1190"/>
      <c r="GR158" s="49"/>
      <c r="GS158" s="2879"/>
      <c r="GT158" s="2880"/>
      <c r="GU158" s="2881"/>
      <c r="GV158" s="49"/>
      <c r="GW158" s="49"/>
      <c r="GX158" s="49"/>
      <c r="GY158" s="49"/>
      <c r="GZ158" s="49"/>
      <c r="HA158" s="49"/>
      <c r="HB158" s="49"/>
      <c r="HC158" s="49"/>
      <c r="HD158" s="49"/>
      <c r="HE158" s="49"/>
      <c r="HF158" s="49"/>
      <c r="HG158" s="49"/>
      <c r="HH158" s="49"/>
      <c r="HI158" s="49"/>
      <c r="HJ158" s="49"/>
      <c r="HK158" s="49"/>
      <c r="HL158" s="49"/>
      <c r="HM158" s="49"/>
      <c r="HN158" s="49"/>
      <c r="HO158" s="49"/>
      <c r="HP158" s="49"/>
      <c r="HQ158" s="49"/>
      <c r="HR158" s="49"/>
      <c r="HS158" s="49"/>
      <c r="HT158" s="49"/>
      <c r="HU158" s="49"/>
      <c r="HV158" s="49"/>
      <c r="HW158" s="49"/>
      <c r="HX158" s="49"/>
      <c r="HY158" s="49"/>
      <c r="HZ158" s="49"/>
      <c r="IA158" s="49"/>
      <c r="IB158" s="49"/>
      <c r="IC158" s="49"/>
      <c r="ID158" s="49"/>
      <c r="IE158" s="49"/>
      <c r="IF158" s="49"/>
      <c r="IG158" s="49"/>
      <c r="IH158" s="49"/>
      <c r="II158" s="49"/>
      <c r="IJ158" s="49"/>
      <c r="IK158" s="49"/>
      <c r="IL158" s="49"/>
      <c r="IM158" s="49"/>
      <c r="IN158" s="49"/>
      <c r="IO158" s="49"/>
      <c r="IP158" s="49"/>
      <c r="IQ158" s="49"/>
      <c r="IR158" s="49"/>
      <c r="IS158" s="49"/>
      <c r="IT158" s="49"/>
      <c r="IU158" s="49"/>
      <c r="IV158" s="49"/>
    </row>
    <row r="159" spans="1:256" s="198" customFormat="1" ht="12" customHeight="1">
      <c r="A159" s="1252"/>
      <c r="B159" s="200"/>
      <c r="C159" s="486"/>
      <c r="D159" s="201"/>
      <c r="E159" s="202"/>
      <c r="F159" s="203"/>
      <c r="G159" s="197"/>
      <c r="H159" s="197"/>
      <c r="I159" s="197"/>
      <c r="J159" s="197"/>
      <c r="K159" s="175"/>
      <c r="L159" s="197"/>
      <c r="M159" s="197"/>
      <c r="N159" s="197"/>
      <c r="O159" s="197"/>
      <c r="P159" s="197"/>
      <c r="Q159" s="1198"/>
      <c r="R159" s="202"/>
      <c r="S159" s="202"/>
      <c r="T159" s="1186"/>
      <c r="U159" s="233"/>
      <c r="V159" s="49"/>
      <c r="W159" s="218"/>
      <c r="X159" s="218"/>
      <c r="Y159" s="216"/>
      <c r="Z159" s="216"/>
      <c r="AA159" s="215"/>
      <c r="AB159" s="216"/>
      <c r="AC159" s="216"/>
      <c r="AD159" s="239"/>
      <c r="AE159" s="216"/>
      <c r="AF159" s="216"/>
      <c r="AG159" s="216"/>
      <c r="AH159" s="216"/>
      <c r="AI159" s="216"/>
      <c r="AJ159" s="216"/>
      <c r="AK159" s="239"/>
      <c r="AL159" s="216"/>
      <c r="AM159" s="216"/>
      <c r="AN159" s="216"/>
      <c r="AO159" s="216"/>
      <c r="AP159" s="216"/>
      <c r="AQ159" s="216"/>
      <c r="AR159" s="216"/>
      <c r="AS159" s="216"/>
      <c r="AT159" s="216"/>
      <c r="AU159" s="216"/>
      <c r="AV159" s="217"/>
      <c r="AW159" s="355"/>
      <c r="AX159" s="217"/>
      <c r="AY159" s="1559"/>
      <c r="AZ159" s="249"/>
      <c r="BA159" s="221"/>
      <c r="BB159" s="300"/>
      <c r="BC159" s="217"/>
      <c r="BD159" s="392"/>
      <c r="BE159" s="1244"/>
      <c r="BF159" s="249"/>
      <c r="BG159" s="252"/>
      <c r="BH159" s="1469"/>
      <c r="BI159" s="216"/>
      <c r="BJ159" s="1469"/>
      <c r="BK159" s="1459"/>
      <c r="BL159" s="260"/>
      <c r="BM159" s="214"/>
      <c r="BN159" s="293"/>
      <c r="BO159" s="217"/>
      <c r="BP159" s="355"/>
      <c r="BQ159" s="217"/>
      <c r="BR159" s="1193"/>
      <c r="BS159" s="249"/>
      <c r="BT159" s="216"/>
      <c r="BU159" s="1195"/>
      <c r="BV159" s="249"/>
      <c r="BW159" s="216"/>
      <c r="BX159" s="1195"/>
      <c r="BY159" s="249"/>
      <c r="BZ159" s="216"/>
      <c r="CA159" s="1195"/>
      <c r="CB159" s="249"/>
      <c r="CC159" s="216"/>
      <c r="CD159" s="1195"/>
      <c r="CE159" s="249"/>
      <c r="CF159" s="216"/>
      <c r="CG159" s="1195"/>
      <c r="CH159" s="249"/>
      <c r="CI159" s="216"/>
      <c r="CJ159" s="1195"/>
      <c r="CK159" s="249"/>
      <c r="CL159" s="216"/>
      <c r="CM159" s="1194"/>
      <c r="CN159" s="1524"/>
      <c r="CO159" s="217"/>
      <c r="CP159" s="1193"/>
      <c r="CQ159" s="293"/>
      <c r="CR159" s="217"/>
      <c r="CS159" s="305"/>
      <c r="CT159" s="249"/>
      <c r="CU159" s="216"/>
      <c r="CV159" s="1193"/>
      <c r="CW159" s="249"/>
      <c r="CX159" s="216"/>
      <c r="CY159" s="305"/>
      <c r="CZ159" s="249"/>
      <c r="DA159" s="216"/>
      <c r="DB159" s="307"/>
      <c r="DC159" s="328"/>
      <c r="DD159" s="322"/>
      <c r="DE159" s="305"/>
      <c r="DF159" s="249"/>
      <c r="DG159" s="216"/>
      <c r="DH159" s="305"/>
      <c r="DI159" s="249"/>
      <c r="DJ159" s="216"/>
      <c r="DK159" s="309"/>
      <c r="DL159" s="293"/>
      <c r="DM159" s="326"/>
      <c r="DN159" s="1256"/>
      <c r="DO159" s="214"/>
      <c r="DP159" s="1257"/>
      <c r="DQ159" s="1258"/>
      <c r="DR159" s="305"/>
      <c r="DS159" s="249"/>
      <c r="DT159" s="216"/>
      <c r="DU159" s="305"/>
      <c r="DV159" s="2520"/>
      <c r="DW159" s="2521"/>
      <c r="DX159" s="305"/>
      <c r="DY159" s="249"/>
      <c r="DZ159" s="221"/>
      <c r="EA159" s="388"/>
      <c r="EB159" s="249"/>
      <c r="EC159" s="216"/>
      <c r="ED159" s="1461"/>
      <c r="EE159" s="249"/>
      <c r="EF159" s="216"/>
      <c r="EG159" s="355"/>
      <c r="EH159" s="1425"/>
      <c r="EI159" s="1470"/>
      <c r="EJ159" s="249"/>
      <c r="EK159" s="221"/>
      <c r="EL159" s="313"/>
      <c r="EM159" s="249"/>
      <c r="EN159" s="221"/>
      <c r="EO159" s="313"/>
      <c r="EP159" s="249"/>
      <c r="EQ159" s="216"/>
      <c r="ER159" s="313"/>
      <c r="ES159" s="249"/>
      <c r="ET159" s="216"/>
      <c r="EU159" s="313"/>
      <c r="EV159" s="249"/>
      <c r="EW159" s="216"/>
      <c r="EX159" s="2505"/>
      <c r="EY159" s="249"/>
      <c r="EZ159" s="221"/>
      <c r="FA159" s="313"/>
      <c r="FB159" s="249"/>
      <c r="FC159" s="221"/>
      <c r="FD159" s="313"/>
      <c r="FE159" s="249"/>
      <c r="FF159" s="221"/>
      <c r="FG159" s="313"/>
      <c r="FH159" s="249"/>
      <c r="FI159" s="216"/>
      <c r="FJ159" s="1435"/>
      <c r="FK159" s="216"/>
      <c r="FL159" s="1268"/>
      <c r="FM159" s="1655"/>
      <c r="FN159" s="1268"/>
      <c r="FO159" s="1655"/>
      <c r="FP159" s="1268"/>
      <c r="FQ159" s="1656"/>
      <c r="FR159" s="249"/>
      <c r="FS159" s="216"/>
      <c r="FT159" s="1657"/>
      <c r="FU159" s="1658"/>
      <c r="FV159" s="242"/>
      <c r="FW159" s="343"/>
      <c r="FX159" s="222"/>
      <c r="FY159" s="336"/>
      <c r="FZ159" s="223"/>
      <c r="GA159" s="338"/>
      <c r="GB159" s="204"/>
      <c r="GC159" s="339"/>
      <c r="GD159" s="342"/>
      <c r="GE159" s="199"/>
      <c r="GF159" s="199"/>
      <c r="GG159" s="199"/>
      <c r="GH159" s="199"/>
      <c r="GI159" s="199"/>
      <c r="GJ159" s="199"/>
      <c r="GK159" s="199"/>
      <c r="GL159" s="49"/>
      <c r="GM159" s="28"/>
      <c r="GN159" s="28"/>
      <c r="GO159" s="322"/>
      <c r="GP159" s="1190"/>
      <c r="GQ159" s="1190"/>
      <c r="GR159" s="49"/>
      <c r="GS159" s="2879"/>
      <c r="GT159" s="2880"/>
      <c r="GU159" s="2881"/>
      <c r="GV159" s="49"/>
      <c r="GW159" s="49"/>
      <c r="GX159" s="49"/>
      <c r="GY159" s="49"/>
      <c r="GZ159" s="49"/>
      <c r="HA159" s="49"/>
      <c r="HB159" s="49"/>
      <c r="HC159" s="49"/>
      <c r="HD159" s="49"/>
      <c r="HE159" s="49"/>
      <c r="HF159" s="49"/>
      <c r="HG159" s="49"/>
      <c r="HH159" s="49"/>
      <c r="HI159" s="49"/>
      <c r="HJ159" s="49"/>
      <c r="HK159" s="49"/>
      <c r="HL159" s="49"/>
      <c r="HM159" s="49"/>
      <c r="HN159" s="49"/>
      <c r="HO159" s="49"/>
      <c r="HP159" s="49"/>
      <c r="HQ159" s="49"/>
      <c r="HR159" s="49"/>
      <c r="HS159" s="49"/>
      <c r="HT159" s="49"/>
      <c r="HU159" s="49"/>
      <c r="HV159" s="49"/>
      <c r="HW159" s="49"/>
      <c r="HX159" s="49"/>
      <c r="HY159" s="49"/>
      <c r="HZ159" s="49"/>
      <c r="IA159" s="49"/>
      <c r="IB159" s="49"/>
      <c r="IC159" s="49"/>
      <c r="ID159" s="49"/>
      <c r="IE159" s="49"/>
      <c r="IF159" s="49"/>
      <c r="IG159" s="49"/>
      <c r="IH159" s="49"/>
      <c r="II159" s="49"/>
      <c r="IJ159" s="49"/>
      <c r="IK159" s="49"/>
      <c r="IL159" s="49"/>
      <c r="IM159" s="49"/>
      <c r="IN159" s="49"/>
      <c r="IO159" s="49"/>
      <c r="IP159" s="49"/>
      <c r="IQ159" s="49"/>
      <c r="IR159" s="49"/>
      <c r="IS159" s="49"/>
      <c r="IT159" s="49"/>
      <c r="IU159" s="49"/>
      <c r="IV159" s="49"/>
    </row>
    <row r="160" spans="1:256" s="198" customFormat="1" ht="12" customHeight="1">
      <c r="A160" s="1252"/>
      <c r="B160" s="200"/>
      <c r="C160" s="486"/>
      <c r="D160" s="201"/>
      <c r="E160" s="202"/>
      <c r="F160" s="203"/>
      <c r="G160" s="197"/>
      <c r="H160" s="197"/>
      <c r="I160" s="197"/>
      <c r="J160" s="197"/>
      <c r="K160" s="175"/>
      <c r="L160" s="197"/>
      <c r="M160" s="197"/>
      <c r="N160" s="197"/>
      <c r="O160" s="197"/>
      <c r="P160" s="197"/>
      <c r="Q160" s="1198"/>
      <c r="R160" s="202"/>
      <c r="S160" s="202"/>
      <c r="T160" s="1186"/>
      <c r="U160" s="233"/>
      <c r="V160" s="49"/>
      <c r="W160" s="218"/>
      <c r="X160" s="218"/>
      <c r="Y160" s="216"/>
      <c r="Z160" s="216"/>
      <c r="AA160" s="215"/>
      <c r="AB160" s="216"/>
      <c r="AC160" s="216"/>
      <c r="AD160" s="239"/>
      <c r="AE160" s="216"/>
      <c r="AF160" s="216"/>
      <c r="AG160" s="216"/>
      <c r="AH160" s="216"/>
      <c r="AI160" s="216"/>
      <c r="AJ160" s="216"/>
      <c r="AK160" s="239"/>
      <c r="AL160" s="216"/>
      <c r="AM160" s="216"/>
      <c r="AN160" s="216"/>
      <c r="AO160" s="216"/>
      <c r="AP160" s="216"/>
      <c r="AQ160" s="216"/>
      <c r="AR160" s="216"/>
      <c r="AS160" s="216"/>
      <c r="AT160" s="216"/>
      <c r="AU160" s="216"/>
      <c r="AV160" s="217"/>
      <c r="AW160" s="355"/>
      <c r="AX160" s="217"/>
      <c r="AY160" s="1559"/>
      <c r="AZ160" s="249"/>
      <c r="BA160" s="221"/>
      <c r="BB160" s="300"/>
      <c r="BC160" s="217"/>
      <c r="BD160" s="392"/>
      <c r="BE160" s="1244"/>
      <c r="BF160" s="249"/>
      <c r="BG160" s="252"/>
      <c r="BH160" s="1469"/>
      <c r="BI160" s="216"/>
      <c r="BJ160" s="1469"/>
      <c r="BK160" s="1459"/>
      <c r="BL160" s="260"/>
      <c r="BM160" s="214"/>
      <c r="BN160" s="293"/>
      <c r="BO160" s="217"/>
      <c r="BP160" s="355"/>
      <c r="BQ160" s="217"/>
      <c r="BR160" s="1193"/>
      <c r="BS160" s="249"/>
      <c r="BT160" s="216"/>
      <c r="BU160" s="1195"/>
      <c r="BV160" s="249"/>
      <c r="BW160" s="216"/>
      <c r="BX160" s="1195"/>
      <c r="BY160" s="249"/>
      <c r="BZ160" s="216"/>
      <c r="CA160" s="1195"/>
      <c r="CB160" s="249"/>
      <c r="CC160" s="216"/>
      <c r="CD160" s="1195"/>
      <c r="CE160" s="249"/>
      <c r="CF160" s="216"/>
      <c r="CG160" s="1195"/>
      <c r="CH160" s="249"/>
      <c r="CI160" s="216"/>
      <c r="CJ160" s="1195"/>
      <c r="CK160" s="249"/>
      <c r="CL160" s="216"/>
      <c r="CM160" s="1194"/>
      <c r="CN160" s="1524"/>
      <c r="CO160" s="217"/>
      <c r="CP160" s="1193"/>
      <c r="CQ160" s="293"/>
      <c r="CR160" s="217"/>
      <c r="CS160" s="305"/>
      <c r="CT160" s="249"/>
      <c r="CU160" s="216"/>
      <c r="CV160" s="1193"/>
      <c r="CW160" s="249"/>
      <c r="CX160" s="216"/>
      <c r="CY160" s="305"/>
      <c r="CZ160" s="249"/>
      <c r="DA160" s="216"/>
      <c r="DB160" s="307"/>
      <c r="DC160" s="328"/>
      <c r="DD160" s="322"/>
      <c r="DE160" s="305"/>
      <c r="DF160" s="249"/>
      <c r="DG160" s="216"/>
      <c r="DH160" s="305"/>
      <c r="DI160" s="249"/>
      <c r="DJ160" s="216"/>
      <c r="DK160" s="309"/>
      <c r="DL160" s="293"/>
      <c r="DM160" s="326"/>
      <c r="DN160" s="1256"/>
      <c r="DO160" s="214"/>
      <c r="DP160" s="1257"/>
      <c r="DQ160" s="1258"/>
      <c r="DR160" s="305"/>
      <c r="DS160" s="249"/>
      <c r="DT160" s="216"/>
      <c r="DU160" s="305"/>
      <c r="DV160" s="2520"/>
      <c r="DW160" s="2521"/>
      <c r="DX160" s="305"/>
      <c r="DY160" s="249"/>
      <c r="DZ160" s="221"/>
      <c r="EA160" s="388"/>
      <c r="EB160" s="249"/>
      <c r="EC160" s="216"/>
      <c r="ED160" s="1461"/>
      <c r="EE160" s="249"/>
      <c r="EF160" s="216"/>
      <c r="EG160" s="355"/>
      <c r="EH160" s="1425"/>
      <c r="EI160" s="1470"/>
      <c r="EJ160" s="249"/>
      <c r="EK160" s="221"/>
      <c r="EL160" s="313"/>
      <c r="EM160" s="249"/>
      <c r="EN160" s="221"/>
      <c r="EO160" s="313"/>
      <c r="EP160" s="249"/>
      <c r="EQ160" s="216"/>
      <c r="ER160" s="313"/>
      <c r="ES160" s="249"/>
      <c r="ET160" s="216"/>
      <c r="EU160" s="313"/>
      <c r="EV160" s="249"/>
      <c r="EW160" s="216"/>
      <c r="EX160" s="2505"/>
      <c r="EY160" s="249"/>
      <c r="EZ160" s="221"/>
      <c r="FA160" s="313"/>
      <c r="FB160" s="249"/>
      <c r="FC160" s="221"/>
      <c r="FD160" s="313"/>
      <c r="FE160" s="249"/>
      <c r="FF160" s="221"/>
      <c r="FG160" s="313"/>
      <c r="FH160" s="249"/>
      <c r="FI160" s="216"/>
      <c r="FJ160" s="1435"/>
      <c r="FK160" s="216"/>
      <c r="FL160" s="1268"/>
      <c r="FM160" s="1655"/>
      <c r="FN160" s="1268"/>
      <c r="FO160" s="1655"/>
      <c r="FP160" s="1268"/>
      <c r="FQ160" s="1656"/>
      <c r="FR160" s="249"/>
      <c r="FS160" s="216"/>
      <c r="FT160" s="1657"/>
      <c r="FU160" s="1658"/>
      <c r="FV160" s="242"/>
      <c r="FW160" s="343"/>
      <c r="FX160" s="222"/>
      <c r="FY160" s="336"/>
      <c r="FZ160" s="223"/>
      <c r="GA160" s="338"/>
      <c r="GB160" s="204"/>
      <c r="GC160" s="339"/>
      <c r="GD160" s="342"/>
      <c r="GE160" s="199"/>
      <c r="GF160" s="199"/>
      <c r="GG160" s="199"/>
      <c r="GH160" s="199"/>
      <c r="GI160" s="199"/>
      <c r="GJ160" s="199"/>
      <c r="GK160" s="199"/>
      <c r="GL160" s="49"/>
      <c r="GM160" s="28"/>
      <c r="GN160" s="28"/>
      <c r="GO160" s="322"/>
      <c r="GP160" s="1190"/>
      <c r="GQ160" s="1190"/>
      <c r="GR160" s="49"/>
      <c r="GS160" s="2879"/>
      <c r="GT160" s="2880"/>
      <c r="GU160" s="2881"/>
      <c r="GV160" s="49"/>
      <c r="GW160" s="49"/>
      <c r="GX160" s="49"/>
      <c r="GY160" s="49"/>
      <c r="GZ160" s="49"/>
      <c r="HA160" s="49"/>
      <c r="HB160" s="49"/>
      <c r="HC160" s="49"/>
      <c r="HD160" s="49"/>
      <c r="HE160" s="49"/>
      <c r="HF160" s="49"/>
      <c r="HG160" s="49"/>
      <c r="HH160" s="49"/>
      <c r="HI160" s="49"/>
      <c r="HJ160" s="49"/>
      <c r="HK160" s="49"/>
      <c r="HL160" s="49"/>
      <c r="HM160" s="49"/>
      <c r="HN160" s="49"/>
      <c r="HO160" s="49"/>
      <c r="HP160" s="49"/>
      <c r="HQ160" s="49"/>
      <c r="HR160" s="49"/>
      <c r="HS160" s="49"/>
      <c r="HT160" s="49"/>
      <c r="HU160" s="49"/>
      <c r="HV160" s="49"/>
      <c r="HW160" s="49"/>
      <c r="HX160" s="49"/>
      <c r="HY160" s="49"/>
      <c r="HZ160" s="49"/>
      <c r="IA160" s="49"/>
      <c r="IB160" s="49"/>
      <c r="IC160" s="49"/>
      <c r="ID160" s="49"/>
      <c r="IE160" s="49"/>
      <c r="IF160" s="49"/>
      <c r="IG160" s="49"/>
      <c r="IH160" s="49"/>
      <c r="II160" s="49"/>
      <c r="IJ160" s="49"/>
      <c r="IK160" s="49"/>
      <c r="IL160" s="49"/>
      <c r="IM160" s="49"/>
      <c r="IN160" s="49"/>
      <c r="IO160" s="49"/>
      <c r="IP160" s="49"/>
      <c r="IQ160" s="49"/>
      <c r="IR160" s="49"/>
      <c r="IS160" s="49"/>
      <c r="IT160" s="49"/>
      <c r="IU160" s="49"/>
      <c r="IV160" s="49"/>
    </row>
    <row r="161" spans="1:256" s="198" customFormat="1" ht="12" customHeight="1">
      <c r="A161" s="1252"/>
      <c r="B161" s="200"/>
      <c r="C161" s="486"/>
      <c r="D161" s="201"/>
      <c r="E161" s="202"/>
      <c r="F161" s="203"/>
      <c r="G161" s="197"/>
      <c r="H161" s="197"/>
      <c r="I161" s="197"/>
      <c r="J161" s="197"/>
      <c r="K161" s="175"/>
      <c r="L161" s="197"/>
      <c r="M161" s="197"/>
      <c r="N161" s="197"/>
      <c r="O161" s="197"/>
      <c r="P161" s="197"/>
      <c r="Q161" s="1198"/>
      <c r="R161" s="202"/>
      <c r="S161" s="202"/>
      <c r="T161" s="1186"/>
      <c r="U161" s="233"/>
      <c r="V161" s="49"/>
      <c r="W161" s="218"/>
      <c r="X161" s="218"/>
      <c r="Y161" s="216"/>
      <c r="Z161" s="216"/>
      <c r="AA161" s="215"/>
      <c r="AB161" s="216"/>
      <c r="AC161" s="216"/>
      <c r="AD161" s="239"/>
      <c r="AE161" s="216"/>
      <c r="AF161" s="216"/>
      <c r="AG161" s="216"/>
      <c r="AH161" s="216"/>
      <c r="AI161" s="216"/>
      <c r="AJ161" s="216"/>
      <c r="AK161" s="239"/>
      <c r="AL161" s="216"/>
      <c r="AM161" s="216"/>
      <c r="AN161" s="216"/>
      <c r="AO161" s="216"/>
      <c r="AP161" s="216"/>
      <c r="AQ161" s="216"/>
      <c r="AR161" s="216"/>
      <c r="AS161" s="216"/>
      <c r="AT161" s="216"/>
      <c r="AU161" s="216"/>
      <c r="AV161" s="217"/>
      <c r="AW161" s="355"/>
      <c r="AX161" s="217"/>
      <c r="AY161" s="1559"/>
      <c r="AZ161" s="249"/>
      <c r="BA161" s="221"/>
      <c r="BB161" s="300"/>
      <c r="BC161" s="217"/>
      <c r="BD161" s="392"/>
      <c r="BE161" s="1244"/>
      <c r="BF161" s="249"/>
      <c r="BG161" s="252"/>
      <c r="BH161" s="1469"/>
      <c r="BI161" s="216"/>
      <c r="BJ161" s="1469"/>
      <c r="BK161" s="1459"/>
      <c r="BL161" s="260"/>
      <c r="BM161" s="214"/>
      <c r="BN161" s="293"/>
      <c r="BO161" s="217"/>
      <c r="BP161" s="355"/>
      <c r="BQ161" s="217"/>
      <c r="BR161" s="1193"/>
      <c r="BS161" s="249"/>
      <c r="BT161" s="216"/>
      <c r="BU161" s="1195"/>
      <c r="BV161" s="249"/>
      <c r="BW161" s="216"/>
      <c r="BX161" s="1195"/>
      <c r="BY161" s="249"/>
      <c r="BZ161" s="216"/>
      <c r="CA161" s="1195"/>
      <c r="CB161" s="249"/>
      <c r="CC161" s="216"/>
      <c r="CD161" s="1195"/>
      <c r="CE161" s="249"/>
      <c r="CF161" s="216"/>
      <c r="CG161" s="1195"/>
      <c r="CH161" s="249"/>
      <c r="CI161" s="216"/>
      <c r="CJ161" s="1195"/>
      <c r="CK161" s="249"/>
      <c r="CL161" s="216"/>
      <c r="CM161" s="1194"/>
      <c r="CN161" s="1524"/>
      <c r="CO161" s="217"/>
      <c r="CP161" s="1193"/>
      <c r="CQ161" s="293"/>
      <c r="CR161" s="217"/>
      <c r="CS161" s="305"/>
      <c r="CT161" s="249"/>
      <c r="CU161" s="216"/>
      <c r="CV161" s="1193"/>
      <c r="CW161" s="249"/>
      <c r="CX161" s="216"/>
      <c r="CY161" s="305"/>
      <c r="CZ161" s="249"/>
      <c r="DA161" s="216"/>
      <c r="DB161" s="307"/>
      <c r="DC161" s="328"/>
      <c r="DD161" s="322"/>
      <c r="DE161" s="305"/>
      <c r="DF161" s="249"/>
      <c r="DG161" s="216"/>
      <c r="DH161" s="305"/>
      <c r="DI161" s="249"/>
      <c r="DJ161" s="216"/>
      <c r="DK161" s="309"/>
      <c r="DL161" s="293"/>
      <c r="DM161" s="326"/>
      <c r="DN161" s="1256"/>
      <c r="DO161" s="214"/>
      <c r="DP161" s="1257"/>
      <c r="DQ161" s="1258"/>
      <c r="DR161" s="305"/>
      <c r="DS161" s="249"/>
      <c r="DT161" s="216"/>
      <c r="DU161" s="305"/>
      <c r="DV161" s="2520"/>
      <c r="DW161" s="2521"/>
      <c r="DX161" s="305"/>
      <c r="DY161" s="249"/>
      <c r="DZ161" s="221"/>
      <c r="EA161" s="388"/>
      <c r="EB161" s="249"/>
      <c r="EC161" s="216"/>
      <c r="ED161" s="1461"/>
      <c r="EE161" s="249"/>
      <c r="EF161" s="216"/>
      <c r="EG161" s="355"/>
      <c r="EH161" s="1425"/>
      <c r="EI161" s="1470"/>
      <c r="EJ161" s="249"/>
      <c r="EK161" s="221"/>
      <c r="EL161" s="313"/>
      <c r="EM161" s="249"/>
      <c r="EN161" s="221"/>
      <c r="EO161" s="313"/>
      <c r="EP161" s="249"/>
      <c r="EQ161" s="216"/>
      <c r="ER161" s="313"/>
      <c r="ES161" s="249"/>
      <c r="ET161" s="216"/>
      <c r="EU161" s="313"/>
      <c r="EV161" s="249"/>
      <c r="EW161" s="216"/>
      <c r="EX161" s="2505"/>
      <c r="EY161" s="249"/>
      <c r="EZ161" s="221"/>
      <c r="FA161" s="313"/>
      <c r="FB161" s="249"/>
      <c r="FC161" s="221"/>
      <c r="FD161" s="313"/>
      <c r="FE161" s="249"/>
      <c r="FF161" s="221"/>
      <c r="FG161" s="313"/>
      <c r="FH161" s="249"/>
      <c r="FI161" s="216"/>
      <c r="FJ161" s="1435"/>
      <c r="FK161" s="216"/>
      <c r="FL161" s="1268"/>
      <c r="FM161" s="1655"/>
      <c r="FN161" s="1268"/>
      <c r="FO161" s="1655"/>
      <c r="FP161" s="1268"/>
      <c r="FQ161" s="1656"/>
      <c r="FR161" s="249"/>
      <c r="FS161" s="216"/>
      <c r="FT161" s="1657"/>
      <c r="FU161" s="1658"/>
      <c r="FV161" s="242"/>
      <c r="FW161" s="343"/>
      <c r="FX161" s="222"/>
      <c r="FY161" s="336"/>
      <c r="FZ161" s="223"/>
      <c r="GA161" s="338"/>
      <c r="GB161" s="204"/>
      <c r="GC161" s="339"/>
      <c r="GD161" s="342"/>
      <c r="GE161" s="199"/>
      <c r="GF161" s="199"/>
      <c r="GG161" s="199"/>
      <c r="GH161" s="199"/>
      <c r="GI161" s="199"/>
      <c r="GJ161" s="199"/>
      <c r="GK161" s="199"/>
      <c r="GL161" s="49"/>
      <c r="GM161" s="28"/>
      <c r="GN161" s="28"/>
      <c r="GO161" s="322"/>
      <c r="GP161" s="1190"/>
      <c r="GQ161" s="1190"/>
      <c r="GR161" s="49"/>
      <c r="GS161" s="2879"/>
      <c r="GT161" s="2880"/>
      <c r="GU161" s="2881"/>
      <c r="GV161" s="49"/>
      <c r="GW161" s="49"/>
      <c r="GX161" s="49"/>
      <c r="GY161" s="49"/>
      <c r="GZ161" s="49"/>
      <c r="HA161" s="49"/>
      <c r="HB161" s="49"/>
      <c r="HC161" s="49"/>
      <c r="HD161" s="49"/>
      <c r="HE161" s="49"/>
      <c r="HF161" s="49"/>
      <c r="HG161" s="49"/>
      <c r="HH161" s="49"/>
      <c r="HI161" s="49"/>
      <c r="HJ161" s="49"/>
      <c r="HK161" s="49"/>
      <c r="HL161" s="49"/>
      <c r="HM161" s="49"/>
      <c r="HN161" s="49"/>
      <c r="HO161" s="49"/>
      <c r="HP161" s="49"/>
      <c r="HQ161" s="49"/>
      <c r="HR161" s="49"/>
      <c r="HS161" s="49"/>
      <c r="HT161" s="49"/>
      <c r="HU161" s="49"/>
      <c r="HV161" s="49"/>
      <c r="HW161" s="49"/>
      <c r="HX161" s="49"/>
      <c r="HY161" s="49"/>
      <c r="HZ161" s="49"/>
      <c r="IA161" s="49"/>
      <c r="IB161" s="49"/>
      <c r="IC161" s="49"/>
      <c r="ID161" s="49"/>
      <c r="IE161" s="49"/>
      <c r="IF161" s="49"/>
      <c r="IG161" s="49"/>
      <c r="IH161" s="49"/>
      <c r="II161" s="49"/>
      <c r="IJ161" s="49"/>
      <c r="IK161" s="49"/>
      <c r="IL161" s="49"/>
      <c r="IM161" s="49"/>
      <c r="IN161" s="49"/>
      <c r="IO161" s="49"/>
      <c r="IP161" s="49"/>
      <c r="IQ161" s="49"/>
      <c r="IR161" s="49"/>
      <c r="IS161" s="49"/>
      <c r="IT161" s="49"/>
      <c r="IU161" s="49"/>
      <c r="IV161" s="49"/>
    </row>
    <row r="162" spans="1:256" s="198" customFormat="1" ht="12" customHeight="1">
      <c r="A162" s="1252"/>
      <c r="B162" s="200"/>
      <c r="C162" s="486"/>
      <c r="D162" s="201"/>
      <c r="E162" s="202"/>
      <c r="F162" s="203"/>
      <c r="G162" s="197"/>
      <c r="H162" s="197"/>
      <c r="I162" s="197"/>
      <c r="J162" s="197"/>
      <c r="K162" s="175"/>
      <c r="L162" s="197"/>
      <c r="M162" s="197"/>
      <c r="N162" s="197"/>
      <c r="O162" s="197"/>
      <c r="P162" s="197"/>
      <c r="Q162" s="1198"/>
      <c r="R162" s="202"/>
      <c r="S162" s="202"/>
      <c r="T162" s="1186"/>
      <c r="U162" s="233"/>
      <c r="V162" s="49"/>
      <c r="W162" s="218"/>
      <c r="X162" s="218"/>
      <c r="Y162" s="216"/>
      <c r="Z162" s="216"/>
      <c r="AA162" s="215"/>
      <c r="AB162" s="216"/>
      <c r="AC162" s="216"/>
      <c r="AD162" s="239"/>
      <c r="AE162" s="216"/>
      <c r="AF162" s="216"/>
      <c r="AG162" s="216"/>
      <c r="AH162" s="216"/>
      <c r="AI162" s="216"/>
      <c r="AJ162" s="216"/>
      <c r="AK162" s="239"/>
      <c r="AL162" s="216"/>
      <c r="AM162" s="216"/>
      <c r="AN162" s="216"/>
      <c r="AO162" s="216"/>
      <c r="AP162" s="216"/>
      <c r="AQ162" s="216"/>
      <c r="AR162" s="216"/>
      <c r="AS162" s="216"/>
      <c r="AT162" s="216"/>
      <c r="AU162" s="216"/>
      <c r="AV162" s="217"/>
      <c r="AW162" s="355"/>
      <c r="AX162" s="217"/>
      <c r="AY162" s="1559"/>
      <c r="AZ162" s="249"/>
      <c r="BA162" s="221"/>
      <c r="BB162" s="300"/>
      <c r="BC162" s="217"/>
      <c r="BD162" s="392"/>
      <c r="BE162" s="1244"/>
      <c r="BF162" s="249"/>
      <c r="BG162" s="252"/>
      <c r="BH162" s="1469"/>
      <c r="BI162" s="216"/>
      <c r="BJ162" s="1469"/>
      <c r="BK162" s="1459"/>
      <c r="BL162" s="260"/>
      <c r="BM162" s="214"/>
      <c r="BN162" s="293"/>
      <c r="BO162" s="217"/>
      <c r="BP162" s="355"/>
      <c r="BQ162" s="217"/>
      <c r="BR162" s="1193"/>
      <c r="BS162" s="249"/>
      <c r="BT162" s="216"/>
      <c r="BU162" s="1195"/>
      <c r="BV162" s="249"/>
      <c r="BW162" s="216"/>
      <c r="BX162" s="1195"/>
      <c r="BY162" s="249"/>
      <c r="BZ162" s="216"/>
      <c r="CA162" s="1195"/>
      <c r="CB162" s="249"/>
      <c r="CC162" s="216"/>
      <c r="CD162" s="1195"/>
      <c r="CE162" s="249"/>
      <c r="CF162" s="216"/>
      <c r="CG162" s="1195"/>
      <c r="CH162" s="249"/>
      <c r="CI162" s="216"/>
      <c r="CJ162" s="1195"/>
      <c r="CK162" s="249"/>
      <c r="CL162" s="216"/>
      <c r="CM162" s="1194"/>
      <c r="CN162" s="1524"/>
      <c r="CO162" s="217"/>
      <c r="CP162" s="1193"/>
      <c r="CQ162" s="293"/>
      <c r="CR162" s="217"/>
      <c r="CS162" s="305"/>
      <c r="CT162" s="249"/>
      <c r="CU162" s="216"/>
      <c r="CV162" s="1193"/>
      <c r="CW162" s="249"/>
      <c r="CX162" s="216"/>
      <c r="CY162" s="305"/>
      <c r="CZ162" s="249"/>
      <c r="DA162" s="216"/>
      <c r="DB162" s="307"/>
      <c r="DC162" s="328"/>
      <c r="DD162" s="322"/>
      <c r="DE162" s="305"/>
      <c r="DF162" s="249"/>
      <c r="DG162" s="216"/>
      <c r="DH162" s="305"/>
      <c r="DI162" s="249"/>
      <c r="DJ162" s="216"/>
      <c r="DK162" s="309"/>
      <c r="DL162" s="293"/>
      <c r="DM162" s="326"/>
      <c r="DN162" s="1256"/>
      <c r="DO162" s="214"/>
      <c r="DP162" s="1257"/>
      <c r="DQ162" s="1258"/>
      <c r="DR162" s="305"/>
      <c r="DS162" s="249"/>
      <c r="DT162" s="216"/>
      <c r="DU162" s="305"/>
      <c r="DV162" s="2520"/>
      <c r="DW162" s="2521"/>
      <c r="DX162" s="305"/>
      <c r="DY162" s="249"/>
      <c r="DZ162" s="221"/>
      <c r="EA162" s="388"/>
      <c r="EB162" s="249"/>
      <c r="EC162" s="216"/>
      <c r="ED162" s="1461"/>
      <c r="EE162" s="249"/>
      <c r="EF162" s="216"/>
      <c r="EG162" s="355"/>
      <c r="EH162" s="1425"/>
      <c r="EI162" s="1470"/>
      <c r="EJ162" s="249"/>
      <c r="EK162" s="221"/>
      <c r="EL162" s="313"/>
      <c r="EM162" s="249"/>
      <c r="EN162" s="221"/>
      <c r="EO162" s="313"/>
      <c r="EP162" s="249"/>
      <c r="EQ162" s="216"/>
      <c r="ER162" s="313"/>
      <c r="ES162" s="249"/>
      <c r="ET162" s="216"/>
      <c r="EU162" s="313"/>
      <c r="EV162" s="249"/>
      <c r="EW162" s="216"/>
      <c r="EX162" s="2505"/>
      <c r="EY162" s="249"/>
      <c r="EZ162" s="221"/>
      <c r="FA162" s="313"/>
      <c r="FB162" s="249"/>
      <c r="FC162" s="221"/>
      <c r="FD162" s="313"/>
      <c r="FE162" s="249"/>
      <c r="FF162" s="221"/>
      <c r="FG162" s="313"/>
      <c r="FH162" s="249"/>
      <c r="FI162" s="216"/>
      <c r="FJ162" s="1435"/>
      <c r="FK162" s="216"/>
      <c r="FL162" s="1268"/>
      <c r="FM162" s="1655"/>
      <c r="FN162" s="1268"/>
      <c r="FO162" s="1655"/>
      <c r="FP162" s="1268"/>
      <c r="FQ162" s="1656"/>
      <c r="FR162" s="249"/>
      <c r="FS162" s="216"/>
      <c r="FT162" s="1657"/>
      <c r="FU162" s="1658"/>
      <c r="FV162" s="242"/>
      <c r="FW162" s="343"/>
      <c r="FX162" s="222"/>
      <c r="FY162" s="336"/>
      <c r="FZ162" s="223"/>
      <c r="GA162" s="338"/>
      <c r="GB162" s="204"/>
      <c r="GC162" s="339"/>
      <c r="GD162" s="342"/>
      <c r="GE162" s="199"/>
      <c r="GF162" s="199"/>
      <c r="GG162" s="199"/>
      <c r="GH162" s="199"/>
      <c r="GI162" s="199"/>
      <c r="GJ162" s="199"/>
      <c r="GK162" s="199"/>
      <c r="GL162" s="49"/>
      <c r="GM162" s="28"/>
      <c r="GN162" s="28"/>
      <c r="GO162" s="322"/>
      <c r="GP162" s="1190"/>
      <c r="GQ162" s="1190"/>
      <c r="GR162" s="49"/>
      <c r="GS162" s="2879"/>
      <c r="GT162" s="2880"/>
      <c r="GU162" s="2881"/>
      <c r="GV162" s="49"/>
      <c r="GW162" s="49"/>
      <c r="GX162" s="49"/>
      <c r="GY162" s="49"/>
      <c r="GZ162" s="49"/>
      <c r="HA162" s="49"/>
      <c r="HB162" s="49"/>
      <c r="HC162" s="49"/>
      <c r="HD162" s="49"/>
      <c r="HE162" s="49"/>
      <c r="HF162" s="49"/>
      <c r="HG162" s="49"/>
      <c r="HH162" s="49"/>
      <c r="HI162" s="49"/>
      <c r="HJ162" s="49"/>
      <c r="HK162" s="49"/>
      <c r="HL162" s="49"/>
      <c r="HM162" s="49"/>
      <c r="HN162" s="49"/>
      <c r="HO162" s="49"/>
      <c r="HP162" s="49"/>
      <c r="HQ162" s="49"/>
      <c r="HR162" s="49"/>
      <c r="HS162" s="49"/>
      <c r="HT162" s="49"/>
      <c r="HU162" s="49"/>
      <c r="HV162" s="49"/>
      <c r="HW162" s="49"/>
      <c r="HX162" s="49"/>
      <c r="HY162" s="49"/>
      <c r="HZ162" s="49"/>
      <c r="IA162" s="49"/>
      <c r="IB162" s="49"/>
      <c r="IC162" s="49"/>
      <c r="ID162" s="49"/>
      <c r="IE162" s="49"/>
      <c r="IF162" s="49"/>
      <c r="IG162" s="49"/>
      <c r="IH162" s="49"/>
      <c r="II162" s="49"/>
      <c r="IJ162" s="49"/>
      <c r="IK162" s="49"/>
      <c r="IL162" s="49"/>
      <c r="IM162" s="49"/>
      <c r="IN162" s="49"/>
      <c r="IO162" s="49"/>
      <c r="IP162" s="49"/>
      <c r="IQ162" s="49"/>
      <c r="IR162" s="49"/>
      <c r="IS162" s="49"/>
      <c r="IT162" s="49"/>
      <c r="IU162" s="49"/>
      <c r="IV162" s="49"/>
    </row>
    <row r="163" spans="1:256" s="198" customFormat="1" ht="12" customHeight="1">
      <c r="A163" s="1252"/>
      <c r="B163" s="200"/>
      <c r="C163" s="486"/>
      <c r="D163" s="201"/>
      <c r="E163" s="202"/>
      <c r="F163" s="203"/>
      <c r="G163" s="197"/>
      <c r="H163" s="197"/>
      <c r="I163" s="197"/>
      <c r="J163" s="197"/>
      <c r="K163" s="175"/>
      <c r="L163" s="197"/>
      <c r="M163" s="197"/>
      <c r="N163" s="197"/>
      <c r="O163" s="197"/>
      <c r="P163" s="197"/>
      <c r="Q163" s="1198"/>
      <c r="R163" s="202"/>
      <c r="S163" s="202"/>
      <c r="T163" s="1186"/>
      <c r="U163" s="233"/>
      <c r="V163" s="49"/>
      <c r="W163" s="218"/>
      <c r="X163" s="218"/>
      <c r="Y163" s="216"/>
      <c r="Z163" s="216"/>
      <c r="AA163" s="215"/>
      <c r="AB163" s="216"/>
      <c r="AC163" s="216"/>
      <c r="AD163" s="239"/>
      <c r="AE163" s="216"/>
      <c r="AF163" s="216"/>
      <c r="AG163" s="216"/>
      <c r="AH163" s="216"/>
      <c r="AI163" s="216"/>
      <c r="AJ163" s="216"/>
      <c r="AK163" s="239"/>
      <c r="AL163" s="216"/>
      <c r="AM163" s="216"/>
      <c r="AN163" s="216"/>
      <c r="AO163" s="216"/>
      <c r="AP163" s="216"/>
      <c r="AQ163" s="216"/>
      <c r="AR163" s="216"/>
      <c r="AS163" s="216"/>
      <c r="AT163" s="216"/>
      <c r="AU163" s="216"/>
      <c r="AV163" s="217"/>
      <c r="AW163" s="355"/>
      <c r="AX163" s="217"/>
      <c r="AY163" s="1559"/>
      <c r="AZ163" s="249"/>
      <c r="BA163" s="221"/>
      <c r="BB163" s="300"/>
      <c r="BC163" s="217"/>
      <c r="BD163" s="392"/>
      <c r="BE163" s="1244"/>
      <c r="BF163" s="249"/>
      <c r="BG163" s="252"/>
      <c r="BH163" s="1469"/>
      <c r="BI163" s="216"/>
      <c r="BJ163" s="1469"/>
      <c r="BK163" s="1459"/>
      <c r="BL163" s="260"/>
      <c r="BM163" s="214"/>
      <c r="BN163" s="293"/>
      <c r="BO163" s="217"/>
      <c r="BP163" s="355"/>
      <c r="BQ163" s="217"/>
      <c r="BR163" s="1193"/>
      <c r="BS163" s="249"/>
      <c r="BT163" s="216"/>
      <c r="BU163" s="1195"/>
      <c r="BV163" s="249"/>
      <c r="BW163" s="216"/>
      <c r="BX163" s="1195"/>
      <c r="BY163" s="249"/>
      <c r="BZ163" s="216"/>
      <c r="CA163" s="1195"/>
      <c r="CB163" s="249"/>
      <c r="CC163" s="216"/>
      <c r="CD163" s="1195"/>
      <c r="CE163" s="249"/>
      <c r="CF163" s="216"/>
      <c r="CG163" s="1195"/>
      <c r="CH163" s="249"/>
      <c r="CI163" s="216"/>
      <c r="CJ163" s="1195"/>
      <c r="CK163" s="249"/>
      <c r="CL163" s="216"/>
      <c r="CM163" s="1194"/>
      <c r="CN163" s="1524"/>
      <c r="CO163" s="217"/>
      <c r="CP163" s="1193"/>
      <c r="CQ163" s="293"/>
      <c r="CR163" s="217"/>
      <c r="CS163" s="305"/>
      <c r="CT163" s="249"/>
      <c r="CU163" s="216"/>
      <c r="CV163" s="1193"/>
      <c r="CW163" s="249"/>
      <c r="CX163" s="216"/>
      <c r="CY163" s="305"/>
      <c r="CZ163" s="249"/>
      <c r="DA163" s="216"/>
      <c r="DB163" s="307"/>
      <c r="DC163" s="328"/>
      <c r="DD163" s="322"/>
      <c r="DE163" s="305"/>
      <c r="DF163" s="249"/>
      <c r="DG163" s="216"/>
      <c r="DH163" s="305"/>
      <c r="DI163" s="249"/>
      <c r="DJ163" s="216"/>
      <c r="DK163" s="309"/>
      <c r="DL163" s="293"/>
      <c r="DM163" s="326"/>
      <c r="DN163" s="1256"/>
      <c r="DO163" s="214"/>
      <c r="DP163" s="1257"/>
      <c r="DQ163" s="1258"/>
      <c r="DR163" s="305"/>
      <c r="DS163" s="249"/>
      <c r="DT163" s="216"/>
      <c r="DU163" s="305"/>
      <c r="DV163" s="2520"/>
      <c r="DW163" s="2521"/>
      <c r="DX163" s="305"/>
      <c r="DY163" s="249"/>
      <c r="DZ163" s="221"/>
      <c r="EA163" s="388"/>
      <c r="EB163" s="249"/>
      <c r="EC163" s="216"/>
      <c r="ED163" s="1461"/>
      <c r="EE163" s="249"/>
      <c r="EF163" s="216"/>
      <c r="EG163" s="355"/>
      <c r="EH163" s="1425"/>
      <c r="EI163" s="1470"/>
      <c r="EJ163" s="249"/>
      <c r="EK163" s="221"/>
      <c r="EL163" s="313"/>
      <c r="EM163" s="249"/>
      <c r="EN163" s="221"/>
      <c r="EO163" s="313"/>
      <c r="EP163" s="249"/>
      <c r="EQ163" s="216"/>
      <c r="ER163" s="313"/>
      <c r="ES163" s="249"/>
      <c r="ET163" s="216"/>
      <c r="EU163" s="313"/>
      <c r="EV163" s="249"/>
      <c r="EW163" s="216"/>
      <c r="EX163" s="2505"/>
      <c r="EY163" s="249"/>
      <c r="EZ163" s="221"/>
      <c r="FA163" s="313"/>
      <c r="FB163" s="249"/>
      <c r="FC163" s="221"/>
      <c r="FD163" s="313"/>
      <c r="FE163" s="249"/>
      <c r="FF163" s="221"/>
      <c r="FG163" s="313"/>
      <c r="FH163" s="249"/>
      <c r="FI163" s="216"/>
      <c r="FJ163" s="1435"/>
      <c r="FK163" s="216"/>
      <c r="FL163" s="1268"/>
      <c r="FM163" s="1655"/>
      <c r="FN163" s="1268"/>
      <c r="FO163" s="1655"/>
      <c r="FP163" s="1268"/>
      <c r="FQ163" s="1656"/>
      <c r="FR163" s="249"/>
      <c r="FS163" s="216"/>
      <c r="FT163" s="1657"/>
      <c r="FU163" s="1658"/>
      <c r="FV163" s="242"/>
      <c r="FW163" s="343"/>
      <c r="FX163" s="222"/>
      <c r="FY163" s="336"/>
      <c r="FZ163" s="223"/>
      <c r="GA163" s="338"/>
      <c r="GB163" s="204"/>
      <c r="GC163" s="339"/>
      <c r="GD163" s="342"/>
      <c r="GE163" s="199"/>
      <c r="GF163" s="199"/>
      <c r="GG163" s="199"/>
      <c r="GH163" s="199"/>
      <c r="GI163" s="199"/>
      <c r="GJ163" s="199"/>
      <c r="GK163" s="199"/>
      <c r="GL163" s="49"/>
      <c r="GM163" s="28"/>
      <c r="GN163" s="28"/>
      <c r="GO163" s="322"/>
      <c r="GP163" s="1190"/>
      <c r="GQ163" s="1190"/>
      <c r="GR163" s="49"/>
      <c r="GS163" s="2879"/>
      <c r="GT163" s="2880"/>
      <c r="GU163" s="2881"/>
      <c r="GV163" s="49"/>
      <c r="GW163" s="49"/>
      <c r="GX163" s="49"/>
      <c r="GY163" s="49"/>
      <c r="GZ163" s="49"/>
      <c r="HA163" s="49"/>
      <c r="HB163" s="49"/>
      <c r="HC163" s="49"/>
      <c r="HD163" s="49"/>
      <c r="HE163" s="49"/>
      <c r="HF163" s="49"/>
      <c r="HG163" s="49"/>
      <c r="HH163" s="49"/>
      <c r="HI163" s="49"/>
      <c r="HJ163" s="49"/>
      <c r="HK163" s="49"/>
      <c r="HL163" s="49"/>
      <c r="HM163" s="49"/>
      <c r="HN163" s="49"/>
      <c r="HO163" s="49"/>
      <c r="HP163" s="49"/>
      <c r="HQ163" s="49"/>
      <c r="HR163" s="49"/>
      <c r="HS163" s="49"/>
      <c r="HT163" s="49"/>
      <c r="HU163" s="49"/>
      <c r="HV163" s="49"/>
      <c r="HW163" s="49"/>
      <c r="HX163" s="49"/>
      <c r="HY163" s="49"/>
      <c r="HZ163" s="49"/>
      <c r="IA163" s="49"/>
      <c r="IB163" s="49"/>
      <c r="IC163" s="49"/>
      <c r="ID163" s="49"/>
      <c r="IE163" s="49"/>
      <c r="IF163" s="49"/>
      <c r="IG163" s="49"/>
      <c r="IH163" s="49"/>
      <c r="II163" s="49"/>
      <c r="IJ163" s="49"/>
      <c r="IK163" s="49"/>
      <c r="IL163" s="49"/>
      <c r="IM163" s="49"/>
      <c r="IN163" s="49"/>
      <c r="IO163" s="49"/>
      <c r="IP163" s="49"/>
      <c r="IQ163" s="49"/>
      <c r="IR163" s="49"/>
      <c r="IS163" s="49"/>
      <c r="IT163" s="49"/>
      <c r="IU163" s="49"/>
      <c r="IV163" s="49"/>
    </row>
    <row r="164" spans="1:256" s="198" customFormat="1" ht="12" customHeight="1">
      <c r="A164" s="1252"/>
      <c r="B164" s="200"/>
      <c r="C164" s="486"/>
      <c r="D164" s="201"/>
      <c r="E164" s="202"/>
      <c r="F164" s="203"/>
      <c r="G164" s="197"/>
      <c r="H164" s="197"/>
      <c r="I164" s="197"/>
      <c r="J164" s="197"/>
      <c r="K164" s="175"/>
      <c r="L164" s="197"/>
      <c r="M164" s="197"/>
      <c r="N164" s="197"/>
      <c r="O164" s="197"/>
      <c r="P164" s="197"/>
      <c r="Q164" s="1198"/>
      <c r="R164" s="202"/>
      <c r="S164" s="202"/>
      <c r="T164" s="1186"/>
      <c r="U164" s="233"/>
      <c r="V164" s="49"/>
      <c r="W164" s="218"/>
      <c r="X164" s="218"/>
      <c r="Y164" s="216"/>
      <c r="Z164" s="216"/>
      <c r="AA164" s="215"/>
      <c r="AB164" s="216"/>
      <c r="AC164" s="216"/>
      <c r="AD164" s="239"/>
      <c r="AE164" s="216"/>
      <c r="AF164" s="216"/>
      <c r="AG164" s="216"/>
      <c r="AH164" s="216"/>
      <c r="AI164" s="216"/>
      <c r="AJ164" s="216"/>
      <c r="AK164" s="239"/>
      <c r="AL164" s="216"/>
      <c r="AM164" s="216"/>
      <c r="AN164" s="216"/>
      <c r="AO164" s="216"/>
      <c r="AP164" s="216"/>
      <c r="AQ164" s="216"/>
      <c r="AR164" s="216"/>
      <c r="AS164" s="216"/>
      <c r="AT164" s="216"/>
      <c r="AU164" s="216"/>
      <c r="AV164" s="217"/>
      <c r="AW164" s="355"/>
      <c r="AX164" s="217"/>
      <c r="AY164" s="1559"/>
      <c r="AZ164" s="249"/>
      <c r="BA164" s="221"/>
      <c r="BB164" s="300"/>
      <c r="BC164" s="217"/>
      <c r="BD164" s="392"/>
      <c r="BE164" s="1244"/>
      <c r="BF164" s="249"/>
      <c r="BG164" s="252"/>
      <c r="BH164" s="1469"/>
      <c r="BI164" s="216"/>
      <c r="BJ164" s="1469"/>
      <c r="BK164" s="1459"/>
      <c r="BL164" s="260"/>
      <c r="BM164" s="214"/>
      <c r="BN164" s="293"/>
      <c r="BO164" s="217"/>
      <c r="BP164" s="355"/>
      <c r="BQ164" s="217"/>
      <c r="BR164" s="1193"/>
      <c r="BS164" s="249"/>
      <c r="BT164" s="216"/>
      <c r="BU164" s="1195"/>
      <c r="BV164" s="249"/>
      <c r="BW164" s="216"/>
      <c r="BX164" s="1195"/>
      <c r="BY164" s="249"/>
      <c r="BZ164" s="216"/>
      <c r="CA164" s="1195"/>
      <c r="CB164" s="249"/>
      <c r="CC164" s="216"/>
      <c r="CD164" s="1195"/>
      <c r="CE164" s="249"/>
      <c r="CF164" s="216"/>
      <c r="CG164" s="1195"/>
      <c r="CH164" s="249"/>
      <c r="CI164" s="216"/>
      <c r="CJ164" s="1195"/>
      <c r="CK164" s="249"/>
      <c r="CL164" s="216"/>
      <c r="CM164" s="1194"/>
      <c r="CN164" s="1524"/>
      <c r="CO164" s="217"/>
      <c r="CP164" s="1193"/>
      <c r="CQ164" s="293"/>
      <c r="CR164" s="217"/>
      <c r="CS164" s="305"/>
      <c r="CT164" s="249"/>
      <c r="CU164" s="216"/>
      <c r="CV164" s="1193"/>
      <c r="CW164" s="249"/>
      <c r="CX164" s="216"/>
      <c r="CY164" s="305"/>
      <c r="CZ164" s="249"/>
      <c r="DA164" s="216"/>
      <c r="DB164" s="307"/>
      <c r="DC164" s="328"/>
      <c r="DD164" s="322"/>
      <c r="DE164" s="305"/>
      <c r="DF164" s="249"/>
      <c r="DG164" s="216"/>
      <c r="DH164" s="305"/>
      <c r="DI164" s="249"/>
      <c r="DJ164" s="216"/>
      <c r="DK164" s="309"/>
      <c r="DL164" s="293"/>
      <c r="DM164" s="326"/>
      <c r="DN164" s="1256"/>
      <c r="DO164" s="214"/>
      <c r="DP164" s="1257"/>
      <c r="DQ164" s="1258"/>
      <c r="DR164" s="305"/>
      <c r="DS164" s="249"/>
      <c r="DT164" s="216"/>
      <c r="DU164" s="305"/>
      <c r="DV164" s="2520"/>
      <c r="DW164" s="2521"/>
      <c r="DX164" s="305"/>
      <c r="DY164" s="249"/>
      <c r="DZ164" s="221"/>
      <c r="EA164" s="388"/>
      <c r="EB164" s="249"/>
      <c r="EC164" s="216"/>
      <c r="ED164" s="1461"/>
      <c r="EE164" s="249"/>
      <c r="EF164" s="216"/>
      <c r="EG164" s="355"/>
      <c r="EH164" s="1425"/>
      <c r="EI164" s="1470"/>
      <c r="EJ164" s="249"/>
      <c r="EK164" s="221"/>
      <c r="EL164" s="313"/>
      <c r="EM164" s="249"/>
      <c r="EN164" s="221"/>
      <c r="EO164" s="313"/>
      <c r="EP164" s="249"/>
      <c r="EQ164" s="216"/>
      <c r="ER164" s="313"/>
      <c r="ES164" s="249"/>
      <c r="ET164" s="216"/>
      <c r="EU164" s="313"/>
      <c r="EV164" s="249"/>
      <c r="EW164" s="216"/>
      <c r="EX164" s="2505"/>
      <c r="EY164" s="249"/>
      <c r="EZ164" s="221"/>
      <c r="FA164" s="313"/>
      <c r="FB164" s="249"/>
      <c r="FC164" s="221"/>
      <c r="FD164" s="313"/>
      <c r="FE164" s="249"/>
      <c r="FF164" s="221"/>
      <c r="FG164" s="313"/>
      <c r="FH164" s="249"/>
      <c r="FI164" s="216"/>
      <c r="FJ164" s="1435"/>
      <c r="FK164" s="216"/>
      <c r="FL164" s="1268"/>
      <c r="FM164" s="1655"/>
      <c r="FN164" s="1268"/>
      <c r="FO164" s="1655"/>
      <c r="FP164" s="1268"/>
      <c r="FQ164" s="1656"/>
      <c r="FR164" s="249"/>
      <c r="FS164" s="216"/>
      <c r="FT164" s="1657"/>
      <c r="FU164" s="1658"/>
      <c r="FV164" s="242"/>
      <c r="FW164" s="343"/>
      <c r="FX164" s="222"/>
      <c r="FY164" s="336"/>
      <c r="FZ164" s="223"/>
      <c r="GA164" s="338"/>
      <c r="GB164" s="204"/>
      <c r="GC164" s="339"/>
      <c r="GD164" s="342"/>
      <c r="GE164" s="199"/>
      <c r="GF164" s="199"/>
      <c r="GG164" s="199"/>
      <c r="GH164" s="199"/>
      <c r="GI164" s="199"/>
      <c r="GJ164" s="199"/>
      <c r="GK164" s="199"/>
      <c r="GL164" s="49"/>
      <c r="GM164" s="28"/>
      <c r="GN164" s="28"/>
      <c r="GO164" s="322"/>
      <c r="GP164" s="1190"/>
      <c r="GQ164" s="1190"/>
      <c r="GR164" s="49"/>
      <c r="GS164" s="2879"/>
      <c r="GT164" s="2880"/>
      <c r="GU164" s="2881"/>
      <c r="GV164" s="49"/>
      <c r="GW164" s="49"/>
      <c r="GX164" s="49"/>
      <c r="GY164" s="49"/>
      <c r="GZ164" s="49"/>
      <c r="HA164" s="49"/>
      <c r="HB164" s="49"/>
      <c r="HC164" s="49"/>
      <c r="HD164" s="49"/>
      <c r="HE164" s="49"/>
      <c r="HF164" s="49"/>
      <c r="HG164" s="49"/>
      <c r="HH164" s="49"/>
      <c r="HI164" s="49"/>
      <c r="HJ164" s="49"/>
      <c r="HK164" s="49"/>
      <c r="HL164" s="49"/>
      <c r="HM164" s="49"/>
      <c r="HN164" s="49"/>
      <c r="HO164" s="49"/>
      <c r="HP164" s="49"/>
      <c r="HQ164" s="49"/>
      <c r="HR164" s="49"/>
      <c r="HS164" s="49"/>
      <c r="HT164" s="49"/>
      <c r="HU164" s="49"/>
      <c r="HV164" s="49"/>
      <c r="HW164" s="49"/>
      <c r="HX164" s="49"/>
      <c r="HY164" s="49"/>
      <c r="HZ164" s="49"/>
      <c r="IA164" s="49"/>
      <c r="IB164" s="49"/>
      <c r="IC164" s="49"/>
      <c r="ID164" s="49"/>
      <c r="IE164" s="49"/>
      <c r="IF164" s="49"/>
      <c r="IG164" s="49"/>
      <c r="IH164" s="49"/>
      <c r="II164" s="49"/>
      <c r="IJ164" s="49"/>
      <c r="IK164" s="49"/>
      <c r="IL164" s="49"/>
      <c r="IM164" s="49"/>
      <c r="IN164" s="49"/>
      <c r="IO164" s="49"/>
      <c r="IP164" s="49"/>
      <c r="IQ164" s="49"/>
      <c r="IR164" s="49"/>
      <c r="IS164" s="49"/>
      <c r="IT164" s="49"/>
      <c r="IU164" s="49"/>
      <c r="IV164" s="49"/>
    </row>
    <row r="165" spans="1:256" s="198" customFormat="1" ht="12" customHeight="1">
      <c r="A165" s="1252"/>
      <c r="B165" s="200"/>
      <c r="C165" s="486"/>
      <c r="D165" s="201"/>
      <c r="E165" s="202"/>
      <c r="F165" s="203"/>
      <c r="G165" s="197"/>
      <c r="H165" s="197"/>
      <c r="I165" s="197"/>
      <c r="J165" s="197"/>
      <c r="K165" s="175"/>
      <c r="L165" s="197"/>
      <c r="M165" s="197"/>
      <c r="N165" s="197"/>
      <c r="O165" s="197"/>
      <c r="P165" s="197"/>
      <c r="Q165" s="1198"/>
      <c r="R165" s="202"/>
      <c r="S165" s="202"/>
      <c r="T165" s="1186"/>
      <c r="U165" s="233"/>
      <c r="V165" s="49"/>
      <c r="W165" s="218"/>
      <c r="X165" s="218"/>
      <c r="Y165" s="216"/>
      <c r="Z165" s="216"/>
      <c r="AA165" s="215"/>
      <c r="AB165" s="216"/>
      <c r="AC165" s="216"/>
      <c r="AD165" s="239"/>
      <c r="AE165" s="216"/>
      <c r="AF165" s="216"/>
      <c r="AG165" s="216"/>
      <c r="AH165" s="216"/>
      <c r="AI165" s="216"/>
      <c r="AJ165" s="216"/>
      <c r="AK165" s="239"/>
      <c r="AL165" s="216"/>
      <c r="AM165" s="216"/>
      <c r="AN165" s="216"/>
      <c r="AO165" s="216"/>
      <c r="AP165" s="216"/>
      <c r="AQ165" s="216"/>
      <c r="AR165" s="216"/>
      <c r="AS165" s="216"/>
      <c r="AT165" s="216"/>
      <c r="AU165" s="216"/>
      <c r="AV165" s="217"/>
      <c r="AW165" s="355"/>
      <c r="AX165" s="217"/>
      <c r="AY165" s="1559"/>
      <c r="AZ165" s="249"/>
      <c r="BA165" s="221"/>
      <c r="BB165" s="300"/>
      <c r="BC165" s="217"/>
      <c r="BD165" s="392"/>
      <c r="BE165" s="1244"/>
      <c r="BF165" s="249"/>
      <c r="BG165" s="252"/>
      <c r="BH165" s="1469"/>
      <c r="BI165" s="216"/>
      <c r="BJ165" s="1469"/>
      <c r="BK165" s="1459"/>
      <c r="BL165" s="260"/>
      <c r="BM165" s="214"/>
      <c r="BN165" s="293"/>
      <c r="BO165" s="217"/>
      <c r="BP165" s="355"/>
      <c r="BQ165" s="217"/>
      <c r="BR165" s="1193"/>
      <c r="BS165" s="249"/>
      <c r="BT165" s="216"/>
      <c r="BU165" s="1195"/>
      <c r="BV165" s="249"/>
      <c r="BW165" s="216"/>
      <c r="BX165" s="1195"/>
      <c r="BY165" s="249"/>
      <c r="BZ165" s="216"/>
      <c r="CA165" s="1195"/>
      <c r="CB165" s="249"/>
      <c r="CC165" s="216"/>
      <c r="CD165" s="1195"/>
      <c r="CE165" s="249"/>
      <c r="CF165" s="216"/>
      <c r="CG165" s="1195"/>
      <c r="CH165" s="249"/>
      <c r="CI165" s="216"/>
      <c r="CJ165" s="1195"/>
      <c r="CK165" s="249"/>
      <c r="CL165" s="216"/>
      <c r="CM165" s="1194"/>
      <c r="CN165" s="1524"/>
      <c r="CO165" s="217"/>
      <c r="CP165" s="1193"/>
      <c r="CQ165" s="293"/>
      <c r="CR165" s="217"/>
      <c r="CS165" s="305"/>
      <c r="CT165" s="249"/>
      <c r="CU165" s="216"/>
      <c r="CV165" s="1193"/>
      <c r="CW165" s="249"/>
      <c r="CX165" s="216"/>
      <c r="CY165" s="305"/>
      <c r="CZ165" s="249"/>
      <c r="DA165" s="216"/>
      <c r="DB165" s="307"/>
      <c r="DC165" s="328"/>
      <c r="DD165" s="322"/>
      <c r="DE165" s="305"/>
      <c r="DF165" s="249"/>
      <c r="DG165" s="216"/>
      <c r="DH165" s="305"/>
      <c r="DI165" s="249"/>
      <c r="DJ165" s="216"/>
      <c r="DK165" s="309"/>
      <c r="DL165" s="293"/>
      <c r="DM165" s="326"/>
      <c r="DN165" s="1256"/>
      <c r="DO165" s="214"/>
      <c r="DP165" s="1257"/>
      <c r="DQ165" s="1258"/>
      <c r="DR165" s="305"/>
      <c r="DS165" s="249"/>
      <c r="DT165" s="216"/>
      <c r="DU165" s="305"/>
      <c r="DV165" s="2520"/>
      <c r="DW165" s="2521"/>
      <c r="DX165" s="305"/>
      <c r="DY165" s="249"/>
      <c r="DZ165" s="221"/>
      <c r="EA165" s="388"/>
      <c r="EB165" s="249"/>
      <c r="EC165" s="216"/>
      <c r="ED165" s="1461"/>
      <c r="EE165" s="249"/>
      <c r="EF165" s="216"/>
      <c r="EG165" s="355"/>
      <c r="EH165" s="1425"/>
      <c r="EI165" s="1470"/>
      <c r="EJ165" s="249"/>
      <c r="EK165" s="221"/>
      <c r="EL165" s="313"/>
      <c r="EM165" s="249"/>
      <c r="EN165" s="221"/>
      <c r="EO165" s="313"/>
      <c r="EP165" s="249"/>
      <c r="EQ165" s="216"/>
      <c r="ER165" s="313"/>
      <c r="ES165" s="249"/>
      <c r="ET165" s="216"/>
      <c r="EU165" s="313"/>
      <c r="EV165" s="249"/>
      <c r="EW165" s="216"/>
      <c r="EX165" s="2505"/>
      <c r="EY165" s="249"/>
      <c r="EZ165" s="221"/>
      <c r="FA165" s="313"/>
      <c r="FB165" s="249"/>
      <c r="FC165" s="221"/>
      <c r="FD165" s="313"/>
      <c r="FE165" s="249"/>
      <c r="FF165" s="221"/>
      <c r="FG165" s="313"/>
      <c r="FH165" s="249"/>
      <c r="FI165" s="216"/>
      <c r="FJ165" s="1435"/>
      <c r="FK165" s="216"/>
      <c r="FL165" s="1268"/>
      <c r="FM165" s="1655"/>
      <c r="FN165" s="1268"/>
      <c r="FO165" s="1655"/>
      <c r="FP165" s="1268"/>
      <c r="FQ165" s="1656"/>
      <c r="FR165" s="249"/>
      <c r="FS165" s="216"/>
      <c r="FT165" s="1657"/>
      <c r="FU165" s="1658"/>
      <c r="FV165" s="242"/>
      <c r="FW165" s="343"/>
      <c r="FX165" s="222"/>
      <c r="FY165" s="336"/>
      <c r="FZ165" s="223"/>
      <c r="GA165" s="338"/>
      <c r="GB165" s="204"/>
      <c r="GC165" s="339"/>
      <c r="GD165" s="342"/>
      <c r="GE165" s="199"/>
      <c r="GF165" s="199"/>
      <c r="GG165" s="199"/>
      <c r="GH165" s="199"/>
      <c r="GI165" s="199"/>
      <c r="GJ165" s="199"/>
      <c r="GK165" s="199"/>
      <c r="GL165" s="49"/>
      <c r="GM165" s="28"/>
      <c r="GN165" s="28"/>
      <c r="GO165" s="322"/>
      <c r="GP165" s="1190"/>
      <c r="GQ165" s="1190"/>
      <c r="GR165" s="49"/>
      <c r="GS165" s="2879"/>
      <c r="GT165" s="2880"/>
      <c r="GU165" s="2881"/>
      <c r="GV165" s="49"/>
      <c r="GW165" s="49"/>
      <c r="GX165" s="49"/>
      <c r="GY165" s="49"/>
      <c r="GZ165" s="49"/>
      <c r="HA165" s="49"/>
      <c r="HB165" s="49"/>
      <c r="HC165" s="49"/>
      <c r="HD165" s="49"/>
      <c r="HE165" s="49"/>
      <c r="HF165" s="49"/>
      <c r="HG165" s="49"/>
      <c r="HH165" s="49"/>
      <c r="HI165" s="49"/>
      <c r="HJ165" s="49"/>
      <c r="HK165" s="49"/>
      <c r="HL165" s="49"/>
      <c r="HM165" s="49"/>
      <c r="HN165" s="49"/>
      <c r="HO165" s="49"/>
      <c r="HP165" s="49"/>
      <c r="HQ165" s="49"/>
      <c r="HR165" s="49"/>
      <c r="HS165" s="49"/>
      <c r="HT165" s="49"/>
      <c r="HU165" s="49"/>
      <c r="HV165" s="49"/>
      <c r="HW165" s="49"/>
      <c r="HX165" s="49"/>
      <c r="HY165" s="49"/>
      <c r="HZ165" s="49"/>
      <c r="IA165" s="49"/>
      <c r="IB165" s="49"/>
      <c r="IC165" s="49"/>
      <c r="ID165" s="49"/>
      <c r="IE165" s="49"/>
      <c r="IF165" s="49"/>
      <c r="IG165" s="49"/>
      <c r="IH165" s="49"/>
      <c r="II165" s="49"/>
      <c r="IJ165" s="49"/>
      <c r="IK165" s="49"/>
      <c r="IL165" s="49"/>
      <c r="IM165" s="49"/>
      <c r="IN165" s="49"/>
      <c r="IO165" s="49"/>
      <c r="IP165" s="49"/>
      <c r="IQ165" s="49"/>
      <c r="IR165" s="49"/>
      <c r="IS165" s="49"/>
      <c r="IT165" s="49"/>
      <c r="IU165" s="49"/>
      <c r="IV165" s="49"/>
    </row>
    <row r="166" spans="1:256" s="198" customFormat="1" ht="12" customHeight="1">
      <c r="A166" s="1252"/>
      <c r="B166" s="200"/>
      <c r="C166" s="486"/>
      <c r="D166" s="201"/>
      <c r="E166" s="202"/>
      <c r="F166" s="203"/>
      <c r="G166" s="197"/>
      <c r="H166" s="197"/>
      <c r="I166" s="197"/>
      <c r="J166" s="197"/>
      <c r="K166" s="175"/>
      <c r="L166" s="197"/>
      <c r="M166" s="197"/>
      <c r="N166" s="197"/>
      <c r="O166" s="197"/>
      <c r="P166" s="197"/>
      <c r="Q166" s="1198"/>
      <c r="R166" s="202"/>
      <c r="S166" s="202"/>
      <c r="T166" s="1186"/>
      <c r="U166" s="233"/>
      <c r="V166" s="49"/>
      <c r="W166" s="218"/>
      <c r="X166" s="218"/>
      <c r="Y166" s="216"/>
      <c r="Z166" s="216"/>
      <c r="AA166" s="215"/>
      <c r="AB166" s="216"/>
      <c r="AC166" s="216"/>
      <c r="AD166" s="239"/>
      <c r="AE166" s="216"/>
      <c r="AF166" s="216"/>
      <c r="AG166" s="216"/>
      <c r="AH166" s="216"/>
      <c r="AI166" s="216"/>
      <c r="AJ166" s="216"/>
      <c r="AK166" s="239"/>
      <c r="AL166" s="216"/>
      <c r="AM166" s="216"/>
      <c r="AN166" s="216"/>
      <c r="AO166" s="216"/>
      <c r="AP166" s="216"/>
      <c r="AQ166" s="216"/>
      <c r="AR166" s="216"/>
      <c r="AS166" s="216"/>
      <c r="AT166" s="216"/>
      <c r="AU166" s="216"/>
      <c r="AV166" s="217"/>
      <c r="AW166" s="355"/>
      <c r="AX166" s="217"/>
      <c r="AY166" s="1559"/>
      <c r="AZ166" s="249"/>
      <c r="BA166" s="221"/>
      <c r="BB166" s="300"/>
      <c r="BC166" s="217"/>
      <c r="BD166" s="392"/>
      <c r="BE166" s="1244"/>
      <c r="BF166" s="249"/>
      <c r="BG166" s="252"/>
      <c r="BH166" s="1469"/>
      <c r="BI166" s="216"/>
      <c r="BJ166" s="1469"/>
      <c r="BK166" s="1459"/>
      <c r="BL166" s="260"/>
      <c r="BM166" s="214"/>
      <c r="BN166" s="293"/>
      <c r="BO166" s="217"/>
      <c r="BP166" s="355"/>
      <c r="BQ166" s="217"/>
      <c r="BR166" s="1193"/>
      <c r="BS166" s="249"/>
      <c r="BT166" s="216"/>
      <c r="BU166" s="1195"/>
      <c r="BV166" s="249"/>
      <c r="BW166" s="216"/>
      <c r="BX166" s="1195"/>
      <c r="BY166" s="249"/>
      <c r="BZ166" s="216"/>
      <c r="CA166" s="1195"/>
      <c r="CB166" s="249"/>
      <c r="CC166" s="216"/>
      <c r="CD166" s="1195"/>
      <c r="CE166" s="249"/>
      <c r="CF166" s="216"/>
      <c r="CG166" s="1195"/>
      <c r="CH166" s="249"/>
      <c r="CI166" s="216"/>
      <c r="CJ166" s="1195"/>
      <c r="CK166" s="249"/>
      <c r="CL166" s="216"/>
      <c r="CM166" s="1194"/>
      <c r="CN166" s="1524"/>
      <c r="CO166" s="217"/>
      <c r="CP166" s="1193"/>
      <c r="CQ166" s="293"/>
      <c r="CR166" s="217"/>
      <c r="CS166" s="305"/>
      <c r="CT166" s="249"/>
      <c r="CU166" s="216"/>
      <c r="CV166" s="1193"/>
      <c r="CW166" s="249"/>
      <c r="CX166" s="216"/>
      <c r="CY166" s="305"/>
      <c r="CZ166" s="249"/>
      <c r="DA166" s="216"/>
      <c r="DB166" s="307"/>
      <c r="DC166" s="328"/>
      <c r="DD166" s="322"/>
      <c r="DE166" s="305"/>
      <c r="DF166" s="249"/>
      <c r="DG166" s="216"/>
      <c r="DH166" s="305"/>
      <c r="DI166" s="249"/>
      <c r="DJ166" s="216"/>
      <c r="DK166" s="309"/>
      <c r="DL166" s="293"/>
      <c r="DM166" s="326"/>
      <c r="DN166" s="1256"/>
      <c r="DO166" s="214"/>
      <c r="DP166" s="1257"/>
      <c r="DQ166" s="1258"/>
      <c r="DR166" s="305"/>
      <c r="DS166" s="249"/>
      <c r="DT166" s="216"/>
      <c r="DU166" s="305"/>
      <c r="DV166" s="2520"/>
      <c r="DW166" s="2521"/>
      <c r="DX166" s="305"/>
      <c r="DY166" s="249"/>
      <c r="DZ166" s="221"/>
      <c r="EA166" s="388"/>
      <c r="EB166" s="249"/>
      <c r="EC166" s="216"/>
      <c r="ED166" s="1461"/>
      <c r="EE166" s="249"/>
      <c r="EF166" s="216"/>
      <c r="EG166" s="355"/>
      <c r="EH166" s="1425"/>
      <c r="EI166" s="1470"/>
      <c r="EJ166" s="249"/>
      <c r="EK166" s="221"/>
      <c r="EL166" s="313"/>
      <c r="EM166" s="249"/>
      <c r="EN166" s="221"/>
      <c r="EO166" s="313"/>
      <c r="EP166" s="249"/>
      <c r="EQ166" s="216"/>
      <c r="ER166" s="313"/>
      <c r="ES166" s="249"/>
      <c r="ET166" s="216"/>
      <c r="EU166" s="313"/>
      <c r="EV166" s="249"/>
      <c r="EW166" s="216"/>
      <c r="EX166" s="2505"/>
      <c r="EY166" s="249"/>
      <c r="EZ166" s="221"/>
      <c r="FA166" s="313"/>
      <c r="FB166" s="249"/>
      <c r="FC166" s="221"/>
      <c r="FD166" s="313"/>
      <c r="FE166" s="249"/>
      <c r="FF166" s="221"/>
      <c r="FG166" s="313"/>
      <c r="FH166" s="249"/>
      <c r="FI166" s="216"/>
      <c r="FJ166" s="1435"/>
      <c r="FK166" s="216"/>
      <c r="FL166" s="1268"/>
      <c r="FM166" s="1655"/>
      <c r="FN166" s="1268"/>
      <c r="FO166" s="1655"/>
      <c r="FP166" s="1268"/>
      <c r="FQ166" s="1656"/>
      <c r="FR166" s="249"/>
      <c r="FS166" s="216"/>
      <c r="FT166" s="1657"/>
      <c r="FU166" s="1658"/>
      <c r="FV166" s="242"/>
      <c r="FW166" s="343"/>
      <c r="FX166" s="222"/>
      <c r="FY166" s="336"/>
      <c r="FZ166" s="223"/>
      <c r="GA166" s="338"/>
      <c r="GB166" s="204"/>
      <c r="GC166" s="339"/>
      <c r="GD166" s="342"/>
      <c r="GE166" s="199"/>
      <c r="GF166" s="199"/>
      <c r="GG166" s="199"/>
      <c r="GH166" s="199"/>
      <c r="GI166" s="199"/>
      <c r="GJ166" s="199"/>
      <c r="GK166" s="199"/>
      <c r="GL166" s="49"/>
      <c r="GM166" s="28"/>
      <c r="GN166" s="28"/>
      <c r="GO166" s="322"/>
      <c r="GP166" s="1190"/>
      <c r="GQ166" s="1190"/>
      <c r="GR166" s="49"/>
      <c r="GS166" s="2879"/>
      <c r="GT166" s="2880"/>
      <c r="GU166" s="2881"/>
      <c r="GV166" s="49"/>
      <c r="GW166" s="49"/>
      <c r="GX166" s="49"/>
      <c r="GY166" s="49"/>
      <c r="GZ166" s="49"/>
      <c r="HA166" s="49"/>
      <c r="HB166" s="49"/>
      <c r="HC166" s="49"/>
      <c r="HD166" s="49"/>
      <c r="HE166" s="49"/>
      <c r="HF166" s="49"/>
      <c r="HG166" s="49"/>
      <c r="HH166" s="49"/>
      <c r="HI166" s="49"/>
      <c r="HJ166" s="49"/>
      <c r="HK166" s="49"/>
      <c r="HL166" s="49"/>
      <c r="HM166" s="49"/>
      <c r="HN166" s="49"/>
      <c r="HO166" s="49"/>
      <c r="HP166" s="49"/>
      <c r="HQ166" s="49"/>
      <c r="HR166" s="49"/>
      <c r="HS166" s="49"/>
      <c r="HT166" s="49"/>
      <c r="HU166" s="49"/>
      <c r="HV166" s="49"/>
      <c r="HW166" s="49"/>
      <c r="HX166" s="49"/>
      <c r="HY166" s="49"/>
      <c r="HZ166" s="49"/>
      <c r="IA166" s="49"/>
      <c r="IB166" s="49"/>
      <c r="IC166" s="49"/>
      <c r="ID166" s="49"/>
      <c r="IE166" s="49"/>
      <c r="IF166" s="49"/>
      <c r="IG166" s="49"/>
      <c r="IH166" s="49"/>
      <c r="II166" s="49"/>
      <c r="IJ166" s="49"/>
      <c r="IK166" s="49"/>
      <c r="IL166" s="49"/>
      <c r="IM166" s="49"/>
      <c r="IN166" s="49"/>
      <c r="IO166" s="49"/>
      <c r="IP166" s="49"/>
      <c r="IQ166" s="49"/>
      <c r="IR166" s="49"/>
      <c r="IS166" s="49"/>
      <c r="IT166" s="49"/>
      <c r="IU166" s="49"/>
      <c r="IV166" s="49"/>
    </row>
    <row r="167" spans="1:256" s="198" customFormat="1" ht="12" customHeight="1">
      <c r="A167" s="1252"/>
      <c r="B167" s="200"/>
      <c r="C167" s="486"/>
      <c r="D167" s="201"/>
      <c r="E167" s="202"/>
      <c r="F167" s="203"/>
      <c r="G167" s="197"/>
      <c r="H167" s="197"/>
      <c r="I167" s="197"/>
      <c r="J167" s="197"/>
      <c r="K167" s="175"/>
      <c r="L167" s="197"/>
      <c r="M167" s="197"/>
      <c r="N167" s="197"/>
      <c r="O167" s="197"/>
      <c r="P167" s="197"/>
      <c r="Q167" s="1198"/>
      <c r="R167" s="202"/>
      <c r="S167" s="202"/>
      <c r="T167" s="1186"/>
      <c r="U167" s="233"/>
      <c r="V167" s="49"/>
      <c r="W167" s="218"/>
      <c r="X167" s="218"/>
      <c r="Y167" s="216"/>
      <c r="Z167" s="216"/>
      <c r="AA167" s="215"/>
      <c r="AB167" s="216"/>
      <c r="AC167" s="216"/>
      <c r="AD167" s="239"/>
      <c r="AE167" s="216"/>
      <c r="AF167" s="216"/>
      <c r="AG167" s="216"/>
      <c r="AH167" s="216"/>
      <c r="AI167" s="216"/>
      <c r="AJ167" s="216"/>
      <c r="AK167" s="239"/>
      <c r="AL167" s="216"/>
      <c r="AM167" s="216"/>
      <c r="AN167" s="216"/>
      <c r="AO167" s="216"/>
      <c r="AP167" s="216"/>
      <c r="AQ167" s="216"/>
      <c r="AR167" s="216"/>
      <c r="AS167" s="216"/>
      <c r="AT167" s="216"/>
      <c r="AU167" s="216"/>
      <c r="AV167" s="217"/>
      <c r="AW167" s="355"/>
      <c r="AX167" s="217"/>
      <c r="AY167" s="1559"/>
      <c r="AZ167" s="249"/>
      <c r="BA167" s="221"/>
      <c r="BB167" s="300"/>
      <c r="BC167" s="217"/>
      <c r="BD167" s="392"/>
      <c r="BE167" s="1244"/>
      <c r="BF167" s="249"/>
      <c r="BG167" s="252"/>
      <c r="BH167" s="1469"/>
      <c r="BI167" s="216"/>
      <c r="BJ167" s="1469"/>
      <c r="BK167" s="1459"/>
      <c r="BL167" s="260"/>
      <c r="BM167" s="214"/>
      <c r="BN167" s="293"/>
      <c r="BO167" s="217"/>
      <c r="BP167" s="355"/>
      <c r="BQ167" s="217"/>
      <c r="BR167" s="1193"/>
      <c r="BS167" s="249"/>
      <c r="BT167" s="216"/>
      <c r="BU167" s="1195"/>
      <c r="BV167" s="249"/>
      <c r="BW167" s="216"/>
      <c r="BX167" s="1195"/>
      <c r="BY167" s="249"/>
      <c r="BZ167" s="216"/>
      <c r="CA167" s="1195"/>
      <c r="CB167" s="249"/>
      <c r="CC167" s="216"/>
      <c r="CD167" s="1195"/>
      <c r="CE167" s="249"/>
      <c r="CF167" s="216"/>
      <c r="CG167" s="1195"/>
      <c r="CH167" s="249"/>
      <c r="CI167" s="216"/>
      <c r="CJ167" s="1195"/>
      <c r="CK167" s="249"/>
      <c r="CL167" s="216"/>
      <c r="CM167" s="1194"/>
      <c r="CN167" s="1524"/>
      <c r="CO167" s="217"/>
      <c r="CP167" s="1193"/>
      <c r="CQ167" s="293"/>
      <c r="CR167" s="217"/>
      <c r="CS167" s="305"/>
      <c r="CT167" s="249"/>
      <c r="CU167" s="216"/>
      <c r="CV167" s="1193"/>
      <c r="CW167" s="249"/>
      <c r="CX167" s="216"/>
      <c r="CY167" s="305"/>
      <c r="CZ167" s="249"/>
      <c r="DA167" s="216"/>
      <c r="DB167" s="307"/>
      <c r="DC167" s="328"/>
      <c r="DD167" s="322"/>
      <c r="DE167" s="305"/>
      <c r="DF167" s="249"/>
      <c r="DG167" s="216"/>
      <c r="DH167" s="305"/>
      <c r="DI167" s="249"/>
      <c r="DJ167" s="216"/>
      <c r="DK167" s="309"/>
      <c r="DL167" s="293"/>
      <c r="DM167" s="326"/>
      <c r="DN167" s="1256"/>
      <c r="DO167" s="214"/>
      <c r="DP167" s="1257"/>
      <c r="DQ167" s="1258"/>
      <c r="DR167" s="305"/>
      <c r="DS167" s="249"/>
      <c r="DT167" s="216"/>
      <c r="DU167" s="305"/>
      <c r="DV167" s="2520"/>
      <c r="DW167" s="2521"/>
      <c r="DX167" s="305"/>
      <c r="DY167" s="249"/>
      <c r="DZ167" s="221"/>
      <c r="EA167" s="388"/>
      <c r="EB167" s="249"/>
      <c r="EC167" s="216"/>
      <c r="ED167" s="1461"/>
      <c r="EE167" s="249"/>
      <c r="EF167" s="216"/>
      <c r="EG167" s="355"/>
      <c r="EH167" s="1425"/>
      <c r="EI167" s="1470"/>
      <c r="EJ167" s="249"/>
      <c r="EK167" s="221"/>
      <c r="EL167" s="313"/>
      <c r="EM167" s="249"/>
      <c r="EN167" s="221"/>
      <c r="EO167" s="313"/>
      <c r="EP167" s="249"/>
      <c r="EQ167" s="216"/>
      <c r="ER167" s="313"/>
      <c r="ES167" s="249"/>
      <c r="ET167" s="216"/>
      <c r="EU167" s="313"/>
      <c r="EV167" s="249"/>
      <c r="EW167" s="216"/>
      <c r="EX167" s="2505"/>
      <c r="EY167" s="249"/>
      <c r="EZ167" s="221"/>
      <c r="FA167" s="313"/>
      <c r="FB167" s="249"/>
      <c r="FC167" s="221"/>
      <c r="FD167" s="313"/>
      <c r="FE167" s="249"/>
      <c r="FF167" s="221"/>
      <c r="FG167" s="313"/>
      <c r="FH167" s="249"/>
      <c r="FI167" s="216"/>
      <c r="FJ167" s="1435"/>
      <c r="FK167" s="216"/>
      <c r="FL167" s="1268"/>
      <c r="FM167" s="1655"/>
      <c r="FN167" s="1268"/>
      <c r="FO167" s="1655"/>
      <c r="FP167" s="1268"/>
      <c r="FQ167" s="1656"/>
      <c r="FR167" s="249"/>
      <c r="FS167" s="216"/>
      <c r="FT167" s="1657"/>
      <c r="FU167" s="1658"/>
      <c r="FV167" s="242"/>
      <c r="FW167" s="343"/>
      <c r="FX167" s="222"/>
      <c r="FY167" s="336"/>
      <c r="FZ167" s="223"/>
      <c r="GA167" s="338"/>
      <c r="GB167" s="204"/>
      <c r="GC167" s="339"/>
      <c r="GD167" s="342"/>
      <c r="GE167" s="199"/>
      <c r="GF167" s="199"/>
      <c r="GG167" s="199"/>
      <c r="GH167" s="199"/>
      <c r="GI167" s="199"/>
      <c r="GJ167" s="199"/>
      <c r="GK167" s="199"/>
      <c r="GL167" s="49"/>
      <c r="GM167" s="28"/>
      <c r="GN167" s="28"/>
      <c r="GO167" s="322"/>
      <c r="GP167" s="1190"/>
      <c r="GQ167" s="1190"/>
      <c r="GR167" s="49"/>
      <c r="GS167" s="2879"/>
      <c r="GT167" s="2880"/>
      <c r="GU167" s="2881"/>
      <c r="GV167" s="49"/>
      <c r="GW167" s="49"/>
      <c r="GX167" s="49"/>
      <c r="GY167" s="49"/>
      <c r="GZ167" s="49"/>
      <c r="HA167" s="49"/>
      <c r="HB167" s="49"/>
      <c r="HC167" s="49"/>
      <c r="HD167" s="49"/>
      <c r="HE167" s="49"/>
      <c r="HF167" s="49"/>
      <c r="HG167" s="49"/>
      <c r="HH167" s="49"/>
      <c r="HI167" s="49"/>
      <c r="HJ167" s="49"/>
      <c r="HK167" s="49"/>
      <c r="HL167" s="49"/>
      <c r="HM167" s="49"/>
      <c r="HN167" s="49"/>
      <c r="HO167" s="49"/>
      <c r="HP167" s="49"/>
      <c r="HQ167" s="49"/>
      <c r="HR167" s="49"/>
      <c r="HS167" s="49"/>
      <c r="HT167" s="49"/>
      <c r="HU167" s="49"/>
      <c r="HV167" s="49"/>
      <c r="HW167" s="49"/>
      <c r="HX167" s="49"/>
      <c r="HY167" s="49"/>
      <c r="HZ167" s="49"/>
      <c r="IA167" s="49"/>
      <c r="IB167" s="49"/>
      <c r="IC167" s="49"/>
      <c r="ID167" s="49"/>
      <c r="IE167" s="49"/>
      <c r="IF167" s="49"/>
      <c r="IG167" s="49"/>
      <c r="IH167" s="49"/>
      <c r="II167" s="49"/>
      <c r="IJ167" s="49"/>
      <c r="IK167" s="49"/>
      <c r="IL167" s="49"/>
      <c r="IM167" s="49"/>
      <c r="IN167" s="49"/>
      <c r="IO167" s="49"/>
      <c r="IP167" s="49"/>
      <c r="IQ167" s="49"/>
      <c r="IR167" s="49"/>
      <c r="IS167" s="49"/>
      <c r="IT167" s="49"/>
      <c r="IU167" s="49"/>
      <c r="IV167" s="49"/>
    </row>
    <row r="168" spans="1:256" s="198" customFormat="1" ht="12" customHeight="1">
      <c r="A168" s="1252"/>
      <c r="B168" s="200"/>
      <c r="C168" s="486"/>
      <c r="D168" s="201"/>
      <c r="E168" s="202"/>
      <c r="F168" s="203"/>
      <c r="G168" s="197"/>
      <c r="H168" s="197"/>
      <c r="I168" s="197"/>
      <c r="J168" s="197"/>
      <c r="K168" s="175"/>
      <c r="L168" s="197"/>
      <c r="M168" s="197"/>
      <c r="N168" s="197"/>
      <c r="O168" s="197"/>
      <c r="P168" s="197"/>
      <c r="Q168" s="1198"/>
      <c r="R168" s="202"/>
      <c r="S168" s="202"/>
      <c r="T168" s="1186"/>
      <c r="U168" s="233"/>
      <c r="V168" s="49"/>
      <c r="W168" s="218"/>
      <c r="X168" s="218"/>
      <c r="Y168" s="216"/>
      <c r="Z168" s="216"/>
      <c r="AA168" s="215"/>
      <c r="AB168" s="216"/>
      <c r="AC168" s="216"/>
      <c r="AD168" s="239"/>
      <c r="AE168" s="216"/>
      <c r="AF168" s="216"/>
      <c r="AG168" s="216"/>
      <c r="AH168" s="216"/>
      <c r="AI168" s="216"/>
      <c r="AJ168" s="216"/>
      <c r="AK168" s="239"/>
      <c r="AL168" s="216"/>
      <c r="AM168" s="216"/>
      <c r="AN168" s="216"/>
      <c r="AO168" s="216"/>
      <c r="AP168" s="216"/>
      <c r="AQ168" s="216"/>
      <c r="AR168" s="216"/>
      <c r="AS168" s="216"/>
      <c r="AT168" s="216"/>
      <c r="AU168" s="216"/>
      <c r="AV168" s="217"/>
      <c r="AW168" s="355"/>
      <c r="AX168" s="217"/>
      <c r="AY168" s="1559"/>
      <c r="AZ168" s="249"/>
      <c r="BA168" s="221"/>
      <c r="BB168" s="300"/>
      <c r="BC168" s="217"/>
      <c r="BD168" s="392"/>
      <c r="BE168" s="1244"/>
      <c r="BF168" s="249"/>
      <c r="BG168" s="252"/>
      <c r="BH168" s="1469"/>
      <c r="BI168" s="216"/>
      <c r="BJ168" s="1469"/>
      <c r="BK168" s="1459"/>
      <c r="BL168" s="260"/>
      <c r="BM168" s="214"/>
      <c r="BN168" s="293"/>
      <c r="BO168" s="217"/>
      <c r="BP168" s="355"/>
      <c r="BQ168" s="217"/>
      <c r="BR168" s="1193"/>
      <c r="BS168" s="249"/>
      <c r="BT168" s="216"/>
      <c r="BU168" s="1195"/>
      <c r="BV168" s="249"/>
      <c r="BW168" s="216"/>
      <c r="BX168" s="1195"/>
      <c r="BY168" s="249"/>
      <c r="BZ168" s="216"/>
      <c r="CA168" s="1195"/>
      <c r="CB168" s="249"/>
      <c r="CC168" s="216"/>
      <c r="CD168" s="1195"/>
      <c r="CE168" s="249"/>
      <c r="CF168" s="216"/>
      <c r="CG168" s="1195"/>
      <c r="CH168" s="249"/>
      <c r="CI168" s="216"/>
      <c r="CJ168" s="1195"/>
      <c r="CK168" s="249"/>
      <c r="CL168" s="216"/>
      <c r="CM168" s="1194"/>
      <c r="CN168" s="1524"/>
      <c r="CO168" s="217"/>
      <c r="CP168" s="1193"/>
      <c r="CQ168" s="293"/>
      <c r="CR168" s="217"/>
      <c r="CS168" s="305"/>
      <c r="CT168" s="249"/>
      <c r="CU168" s="216"/>
      <c r="CV168" s="1193"/>
      <c r="CW168" s="249"/>
      <c r="CX168" s="216"/>
      <c r="CY168" s="305"/>
      <c r="CZ168" s="249"/>
      <c r="DA168" s="216"/>
      <c r="DB168" s="307"/>
      <c r="DC168" s="328"/>
      <c r="DD168" s="322"/>
      <c r="DE168" s="305"/>
      <c r="DF168" s="249"/>
      <c r="DG168" s="216"/>
      <c r="DH168" s="305"/>
      <c r="DI168" s="249"/>
      <c r="DJ168" s="216"/>
      <c r="DK168" s="309"/>
      <c r="DL168" s="293"/>
      <c r="DM168" s="326"/>
      <c r="DN168" s="1256"/>
      <c r="DO168" s="214"/>
      <c r="DP168" s="1257"/>
      <c r="DQ168" s="1258"/>
      <c r="DR168" s="305"/>
      <c r="DS168" s="249"/>
      <c r="DT168" s="216"/>
      <c r="DU168" s="305"/>
      <c r="DV168" s="2520"/>
      <c r="DW168" s="2521"/>
      <c r="DX168" s="305"/>
      <c r="DY168" s="249"/>
      <c r="DZ168" s="221"/>
      <c r="EA168" s="388"/>
      <c r="EB168" s="249"/>
      <c r="EC168" s="216"/>
      <c r="ED168" s="1461"/>
      <c r="EE168" s="249"/>
      <c r="EF168" s="216"/>
      <c r="EG168" s="355"/>
      <c r="EH168" s="1425"/>
      <c r="EI168" s="1470"/>
      <c r="EJ168" s="249"/>
      <c r="EK168" s="221"/>
      <c r="EL168" s="313"/>
      <c r="EM168" s="249"/>
      <c r="EN168" s="221"/>
      <c r="EO168" s="313"/>
      <c r="EP168" s="249"/>
      <c r="EQ168" s="216"/>
      <c r="ER168" s="313"/>
      <c r="ES168" s="249"/>
      <c r="ET168" s="216"/>
      <c r="EU168" s="313"/>
      <c r="EV168" s="249"/>
      <c r="EW168" s="216"/>
      <c r="EX168" s="2505"/>
      <c r="EY168" s="249"/>
      <c r="EZ168" s="221"/>
      <c r="FA168" s="313"/>
      <c r="FB168" s="249"/>
      <c r="FC168" s="221"/>
      <c r="FD168" s="313"/>
      <c r="FE168" s="249"/>
      <c r="FF168" s="221"/>
      <c r="FG168" s="313"/>
      <c r="FH168" s="249"/>
      <c r="FI168" s="216"/>
      <c r="FJ168" s="1435"/>
      <c r="FK168" s="216"/>
      <c r="FL168" s="1268"/>
      <c r="FM168" s="1655"/>
      <c r="FN168" s="1268"/>
      <c r="FO168" s="1655"/>
      <c r="FP168" s="1268"/>
      <c r="FQ168" s="1656"/>
      <c r="FR168" s="249"/>
      <c r="FS168" s="216"/>
      <c r="FT168" s="1657"/>
      <c r="FU168" s="1658"/>
      <c r="FV168" s="242"/>
      <c r="FW168" s="343"/>
      <c r="FX168" s="222"/>
      <c r="FY168" s="336"/>
      <c r="FZ168" s="223"/>
      <c r="GA168" s="338"/>
      <c r="GB168" s="204"/>
      <c r="GC168" s="339"/>
      <c r="GD168" s="342"/>
      <c r="GE168" s="199"/>
      <c r="GF168" s="199"/>
      <c r="GG168" s="199"/>
      <c r="GH168" s="199"/>
      <c r="GI168" s="199"/>
      <c r="GJ168" s="199"/>
      <c r="GK168" s="199"/>
      <c r="GL168" s="49"/>
      <c r="GM168" s="28"/>
      <c r="GN168" s="28"/>
      <c r="GO168" s="322"/>
      <c r="GP168" s="1190"/>
      <c r="GQ168" s="1190"/>
      <c r="GR168" s="49"/>
      <c r="GS168" s="2879"/>
      <c r="GT168" s="2880"/>
      <c r="GU168" s="2881"/>
      <c r="GV168" s="49"/>
      <c r="GW168" s="49"/>
      <c r="GX168" s="49"/>
      <c r="GY168" s="49"/>
      <c r="GZ168" s="49"/>
      <c r="HA168" s="49"/>
      <c r="HB168" s="49"/>
      <c r="HC168" s="49"/>
      <c r="HD168" s="49"/>
      <c r="HE168" s="49"/>
      <c r="HF168" s="49"/>
      <c r="HG168" s="49"/>
      <c r="HH168" s="49"/>
      <c r="HI168" s="49"/>
      <c r="HJ168" s="49"/>
      <c r="HK168" s="49"/>
      <c r="HL168" s="49"/>
      <c r="HM168" s="49"/>
      <c r="HN168" s="49"/>
      <c r="HO168" s="49"/>
      <c r="HP168" s="49"/>
      <c r="HQ168" s="49"/>
      <c r="HR168" s="49"/>
      <c r="HS168" s="49"/>
      <c r="HT168" s="49"/>
      <c r="HU168" s="49"/>
      <c r="HV168" s="49"/>
      <c r="HW168" s="49"/>
      <c r="HX168" s="49"/>
      <c r="HY168" s="49"/>
      <c r="HZ168" s="49"/>
      <c r="IA168" s="49"/>
      <c r="IB168" s="49"/>
      <c r="IC168" s="49"/>
      <c r="ID168" s="49"/>
      <c r="IE168" s="49"/>
      <c r="IF168" s="49"/>
      <c r="IG168" s="49"/>
      <c r="IH168" s="49"/>
      <c r="II168" s="49"/>
      <c r="IJ168" s="49"/>
      <c r="IK168" s="49"/>
      <c r="IL168" s="49"/>
      <c r="IM168" s="49"/>
      <c r="IN168" s="49"/>
      <c r="IO168" s="49"/>
      <c r="IP168" s="49"/>
      <c r="IQ168" s="49"/>
      <c r="IR168" s="49"/>
      <c r="IS168" s="49"/>
      <c r="IT168" s="49"/>
      <c r="IU168" s="49"/>
      <c r="IV168" s="49"/>
    </row>
    <row r="169" spans="1:256" s="198" customFormat="1" ht="12" customHeight="1">
      <c r="A169" s="1252"/>
      <c r="B169" s="200"/>
      <c r="C169" s="486"/>
      <c r="D169" s="201"/>
      <c r="E169" s="202"/>
      <c r="F169" s="203"/>
      <c r="G169" s="197"/>
      <c r="H169" s="197"/>
      <c r="I169" s="197"/>
      <c r="J169" s="197"/>
      <c r="K169" s="175"/>
      <c r="L169" s="197"/>
      <c r="M169" s="197"/>
      <c r="N169" s="197"/>
      <c r="O169" s="197"/>
      <c r="P169" s="197"/>
      <c r="Q169" s="1198"/>
      <c r="R169" s="202"/>
      <c r="S169" s="202"/>
      <c r="T169" s="1186"/>
      <c r="U169" s="233"/>
      <c r="V169" s="49"/>
      <c r="W169" s="218"/>
      <c r="X169" s="218"/>
      <c r="Y169" s="216"/>
      <c r="Z169" s="216"/>
      <c r="AA169" s="215"/>
      <c r="AB169" s="216"/>
      <c r="AC169" s="216"/>
      <c r="AD169" s="239"/>
      <c r="AE169" s="216"/>
      <c r="AF169" s="216"/>
      <c r="AG169" s="216"/>
      <c r="AH169" s="216"/>
      <c r="AI169" s="216"/>
      <c r="AJ169" s="216"/>
      <c r="AK169" s="239"/>
      <c r="AL169" s="216"/>
      <c r="AM169" s="216"/>
      <c r="AN169" s="216"/>
      <c r="AO169" s="216"/>
      <c r="AP169" s="216"/>
      <c r="AQ169" s="216"/>
      <c r="AR169" s="216"/>
      <c r="AS169" s="216"/>
      <c r="AT169" s="216"/>
      <c r="AU169" s="216"/>
      <c r="AV169" s="217"/>
      <c r="AW169" s="355"/>
      <c r="AX169" s="217"/>
      <c r="AY169" s="1559"/>
      <c r="AZ169" s="249"/>
      <c r="BA169" s="221"/>
      <c r="BB169" s="300"/>
      <c r="BC169" s="217"/>
      <c r="BD169" s="392"/>
      <c r="BE169" s="1244"/>
      <c r="BF169" s="249"/>
      <c r="BG169" s="252"/>
      <c r="BH169" s="1469"/>
      <c r="BI169" s="216"/>
      <c r="BJ169" s="1469"/>
      <c r="BK169" s="1459"/>
      <c r="BL169" s="260"/>
      <c r="BM169" s="214"/>
      <c r="BN169" s="293"/>
      <c r="BO169" s="217"/>
      <c r="BP169" s="355"/>
      <c r="BQ169" s="217"/>
      <c r="BR169" s="1193"/>
      <c r="BS169" s="249"/>
      <c r="BT169" s="216"/>
      <c r="BU169" s="1195"/>
      <c r="BV169" s="249"/>
      <c r="BW169" s="216"/>
      <c r="BX169" s="1195"/>
      <c r="BY169" s="249"/>
      <c r="BZ169" s="216"/>
      <c r="CA169" s="1195"/>
      <c r="CB169" s="249"/>
      <c r="CC169" s="216"/>
      <c r="CD169" s="1195"/>
      <c r="CE169" s="249"/>
      <c r="CF169" s="216"/>
      <c r="CG169" s="1195"/>
      <c r="CH169" s="249"/>
      <c r="CI169" s="216"/>
      <c r="CJ169" s="1195"/>
      <c r="CK169" s="249"/>
      <c r="CL169" s="216"/>
      <c r="CM169" s="1194"/>
      <c r="CN169" s="1524"/>
      <c r="CO169" s="217"/>
      <c r="CP169" s="1193"/>
      <c r="CQ169" s="293"/>
      <c r="CR169" s="217"/>
      <c r="CS169" s="305"/>
      <c r="CT169" s="249"/>
      <c r="CU169" s="216"/>
      <c r="CV169" s="1193"/>
      <c r="CW169" s="249"/>
      <c r="CX169" s="216"/>
      <c r="CY169" s="305"/>
      <c r="CZ169" s="249"/>
      <c r="DA169" s="216"/>
      <c r="DB169" s="307"/>
      <c r="DC169" s="328"/>
      <c r="DD169" s="322"/>
      <c r="DE169" s="305"/>
      <c r="DF169" s="249"/>
      <c r="DG169" s="216"/>
      <c r="DH169" s="305"/>
      <c r="DI169" s="249"/>
      <c r="DJ169" s="216"/>
      <c r="DK169" s="309"/>
      <c r="DL169" s="293"/>
      <c r="DM169" s="326"/>
      <c r="DN169" s="1256"/>
      <c r="DO169" s="214"/>
      <c r="DP169" s="1257"/>
      <c r="DQ169" s="1258"/>
      <c r="DR169" s="305"/>
      <c r="DS169" s="249"/>
      <c r="DT169" s="216"/>
      <c r="DU169" s="305"/>
      <c r="DV169" s="2520"/>
      <c r="DW169" s="2521"/>
      <c r="DX169" s="305"/>
      <c r="DY169" s="249"/>
      <c r="DZ169" s="221"/>
      <c r="EA169" s="388"/>
      <c r="EB169" s="249"/>
      <c r="EC169" s="216"/>
      <c r="ED169" s="1461"/>
      <c r="EE169" s="249"/>
      <c r="EF169" s="216"/>
      <c r="EG169" s="355"/>
      <c r="EH169" s="1425"/>
      <c r="EI169" s="1470"/>
      <c r="EJ169" s="249"/>
      <c r="EK169" s="221"/>
      <c r="EL169" s="313"/>
      <c r="EM169" s="249"/>
      <c r="EN169" s="221"/>
      <c r="EO169" s="313"/>
      <c r="EP169" s="249"/>
      <c r="EQ169" s="216"/>
      <c r="ER169" s="313"/>
      <c r="ES169" s="249"/>
      <c r="ET169" s="216"/>
      <c r="EU169" s="313"/>
      <c r="EV169" s="249"/>
      <c r="EW169" s="216"/>
      <c r="EX169" s="2505"/>
      <c r="EY169" s="249"/>
      <c r="EZ169" s="221"/>
      <c r="FA169" s="313"/>
      <c r="FB169" s="249"/>
      <c r="FC169" s="221"/>
      <c r="FD169" s="313"/>
      <c r="FE169" s="249"/>
      <c r="FF169" s="221"/>
      <c r="FG169" s="313"/>
      <c r="FH169" s="249"/>
      <c r="FI169" s="216"/>
      <c r="FJ169" s="1435"/>
      <c r="FK169" s="216"/>
      <c r="FL169" s="1268"/>
      <c r="FM169" s="1655"/>
      <c r="FN169" s="1268"/>
      <c r="FO169" s="1655"/>
      <c r="FP169" s="1268"/>
      <c r="FQ169" s="1656"/>
      <c r="FR169" s="249"/>
      <c r="FS169" s="216"/>
      <c r="FT169" s="1657"/>
      <c r="FU169" s="1658"/>
      <c r="FV169" s="242"/>
      <c r="FW169" s="343"/>
      <c r="FX169" s="222"/>
      <c r="FY169" s="336"/>
      <c r="FZ169" s="223"/>
      <c r="GA169" s="338"/>
      <c r="GB169" s="204"/>
      <c r="GC169" s="339"/>
      <c r="GD169" s="342"/>
      <c r="GE169" s="199"/>
      <c r="GF169" s="199"/>
      <c r="GG169" s="199"/>
      <c r="GH169" s="199"/>
      <c r="GI169" s="199"/>
      <c r="GJ169" s="199"/>
      <c r="GK169" s="199"/>
      <c r="GL169" s="49"/>
      <c r="GM169" s="28"/>
      <c r="GN169" s="28"/>
      <c r="GO169" s="322"/>
      <c r="GP169" s="1190"/>
      <c r="GQ169" s="1190"/>
      <c r="GR169" s="49"/>
      <c r="GS169" s="2879"/>
      <c r="GT169" s="2880"/>
      <c r="GU169" s="2881"/>
      <c r="GV169" s="49"/>
      <c r="GW169" s="49"/>
      <c r="GX169" s="49"/>
      <c r="GY169" s="49"/>
      <c r="GZ169" s="49"/>
      <c r="HA169" s="49"/>
      <c r="HB169" s="49"/>
      <c r="HC169" s="49"/>
      <c r="HD169" s="49"/>
      <c r="HE169" s="49"/>
      <c r="HF169" s="49"/>
      <c r="HG169" s="49"/>
      <c r="HH169" s="49"/>
      <c r="HI169" s="49"/>
      <c r="HJ169" s="49"/>
      <c r="HK169" s="49"/>
      <c r="HL169" s="49"/>
      <c r="HM169" s="49"/>
      <c r="HN169" s="49"/>
      <c r="HO169" s="49"/>
      <c r="HP169" s="49"/>
      <c r="HQ169" s="49"/>
      <c r="HR169" s="49"/>
      <c r="HS169" s="49"/>
      <c r="HT169" s="49"/>
      <c r="HU169" s="49"/>
      <c r="HV169" s="49"/>
      <c r="HW169" s="49"/>
      <c r="HX169" s="49"/>
      <c r="HY169" s="49"/>
      <c r="HZ169" s="49"/>
      <c r="IA169" s="49"/>
      <c r="IB169" s="49"/>
      <c r="IC169" s="49"/>
      <c r="ID169" s="49"/>
      <c r="IE169" s="49"/>
      <c r="IF169" s="49"/>
      <c r="IG169" s="49"/>
      <c r="IH169" s="49"/>
      <c r="II169" s="49"/>
      <c r="IJ169" s="49"/>
      <c r="IK169" s="49"/>
      <c r="IL169" s="49"/>
      <c r="IM169" s="49"/>
      <c r="IN169" s="49"/>
      <c r="IO169" s="49"/>
      <c r="IP169" s="49"/>
      <c r="IQ169" s="49"/>
      <c r="IR169" s="49"/>
      <c r="IS169" s="49"/>
      <c r="IT169" s="49"/>
      <c r="IU169" s="49"/>
      <c r="IV169" s="49"/>
    </row>
    <row r="170" spans="1:256" s="198" customFormat="1" ht="12" customHeight="1">
      <c r="A170" s="1252"/>
      <c r="B170" s="200"/>
      <c r="C170" s="486"/>
      <c r="D170" s="201"/>
      <c r="E170" s="202"/>
      <c r="F170" s="203"/>
      <c r="G170" s="197"/>
      <c r="H170" s="197"/>
      <c r="I170" s="197"/>
      <c r="J170" s="197"/>
      <c r="K170" s="175"/>
      <c r="L170" s="197"/>
      <c r="M170" s="197"/>
      <c r="N170" s="197"/>
      <c r="O170" s="197"/>
      <c r="P170" s="197"/>
      <c r="Q170" s="1198"/>
      <c r="R170" s="202"/>
      <c r="S170" s="202"/>
      <c r="T170" s="1186"/>
      <c r="U170" s="233"/>
      <c r="V170" s="49"/>
      <c r="W170" s="218"/>
      <c r="X170" s="218"/>
      <c r="Y170" s="216"/>
      <c r="Z170" s="216"/>
      <c r="AA170" s="215"/>
      <c r="AB170" s="216"/>
      <c r="AC170" s="216"/>
      <c r="AD170" s="239"/>
      <c r="AE170" s="216"/>
      <c r="AF170" s="216"/>
      <c r="AG170" s="216"/>
      <c r="AH170" s="216"/>
      <c r="AI170" s="216"/>
      <c r="AJ170" s="216"/>
      <c r="AK170" s="239"/>
      <c r="AL170" s="216"/>
      <c r="AM170" s="216"/>
      <c r="AN170" s="216"/>
      <c r="AO170" s="216"/>
      <c r="AP170" s="216"/>
      <c r="AQ170" s="216"/>
      <c r="AR170" s="216"/>
      <c r="AS170" s="216"/>
      <c r="AT170" s="216"/>
      <c r="AU170" s="216"/>
      <c r="AV170" s="217"/>
      <c r="AW170" s="355"/>
      <c r="AX170" s="217"/>
      <c r="AY170" s="1559"/>
      <c r="AZ170" s="249"/>
      <c r="BA170" s="221"/>
      <c r="BB170" s="300"/>
      <c r="BC170" s="217"/>
      <c r="BD170" s="392"/>
      <c r="BE170" s="1244"/>
      <c r="BF170" s="249"/>
      <c r="BG170" s="252"/>
      <c r="BH170" s="1469"/>
      <c r="BI170" s="216"/>
      <c r="BJ170" s="1469"/>
      <c r="BK170" s="1459"/>
      <c r="BL170" s="260"/>
      <c r="BM170" s="214"/>
      <c r="BN170" s="293"/>
      <c r="BO170" s="217"/>
      <c r="BP170" s="355"/>
      <c r="BQ170" s="217"/>
      <c r="BR170" s="1193"/>
      <c r="BS170" s="249"/>
      <c r="BT170" s="216"/>
      <c r="BU170" s="1195"/>
      <c r="BV170" s="249"/>
      <c r="BW170" s="216"/>
      <c r="BX170" s="1195"/>
      <c r="BY170" s="249"/>
      <c r="BZ170" s="216"/>
      <c r="CA170" s="1195"/>
      <c r="CB170" s="249"/>
      <c r="CC170" s="216"/>
      <c r="CD170" s="1195"/>
      <c r="CE170" s="249"/>
      <c r="CF170" s="216"/>
      <c r="CG170" s="1195"/>
      <c r="CH170" s="249"/>
      <c r="CI170" s="216"/>
      <c r="CJ170" s="1195"/>
      <c r="CK170" s="249"/>
      <c r="CL170" s="216"/>
      <c r="CM170" s="1194"/>
      <c r="CN170" s="1524"/>
      <c r="CO170" s="217"/>
      <c r="CP170" s="1193"/>
      <c r="CQ170" s="293"/>
      <c r="CR170" s="217"/>
      <c r="CS170" s="305"/>
      <c r="CT170" s="249"/>
      <c r="CU170" s="216"/>
      <c r="CV170" s="1193"/>
      <c r="CW170" s="249"/>
      <c r="CX170" s="216"/>
      <c r="CY170" s="305"/>
      <c r="CZ170" s="249"/>
      <c r="DA170" s="216"/>
      <c r="DB170" s="307"/>
      <c r="DC170" s="328"/>
      <c r="DD170" s="322"/>
      <c r="DE170" s="305"/>
      <c r="DF170" s="249"/>
      <c r="DG170" s="216"/>
      <c r="DH170" s="305"/>
      <c r="DI170" s="249"/>
      <c r="DJ170" s="216"/>
      <c r="DK170" s="309"/>
      <c r="DL170" s="293"/>
      <c r="DM170" s="326"/>
      <c r="DN170" s="1256"/>
      <c r="DO170" s="214"/>
      <c r="DP170" s="1257"/>
      <c r="DQ170" s="1258"/>
      <c r="DR170" s="305"/>
      <c r="DS170" s="249"/>
      <c r="DT170" s="216"/>
      <c r="DU170" s="305"/>
      <c r="DV170" s="2520"/>
      <c r="DW170" s="2521"/>
      <c r="DX170" s="305"/>
      <c r="DY170" s="249"/>
      <c r="DZ170" s="221"/>
      <c r="EA170" s="388"/>
      <c r="EB170" s="249"/>
      <c r="EC170" s="216"/>
      <c r="ED170" s="1461"/>
      <c r="EE170" s="249"/>
      <c r="EF170" s="216"/>
      <c r="EG170" s="355"/>
      <c r="EH170" s="1425"/>
      <c r="EI170" s="1470"/>
      <c r="EJ170" s="249"/>
      <c r="EK170" s="221"/>
      <c r="EL170" s="313"/>
      <c r="EM170" s="249"/>
      <c r="EN170" s="221"/>
      <c r="EO170" s="313"/>
      <c r="EP170" s="249"/>
      <c r="EQ170" s="216"/>
      <c r="ER170" s="313"/>
      <c r="ES170" s="249"/>
      <c r="ET170" s="216"/>
      <c r="EU170" s="313"/>
      <c r="EV170" s="249"/>
      <c r="EW170" s="216"/>
      <c r="EX170" s="2505"/>
      <c r="EY170" s="249"/>
      <c r="EZ170" s="221"/>
      <c r="FA170" s="313"/>
      <c r="FB170" s="249"/>
      <c r="FC170" s="221"/>
      <c r="FD170" s="313"/>
      <c r="FE170" s="249"/>
      <c r="FF170" s="221"/>
      <c r="FG170" s="313"/>
      <c r="FH170" s="249"/>
      <c r="FI170" s="216"/>
      <c r="FJ170" s="1435"/>
      <c r="FK170" s="216"/>
      <c r="FL170" s="1268"/>
      <c r="FM170" s="1655"/>
      <c r="FN170" s="1268"/>
      <c r="FO170" s="1655"/>
      <c r="FP170" s="1268"/>
      <c r="FQ170" s="1656"/>
      <c r="FR170" s="249"/>
      <c r="FS170" s="216"/>
      <c r="FT170" s="1657"/>
      <c r="FU170" s="1658"/>
      <c r="FV170" s="242"/>
      <c r="FW170" s="343"/>
      <c r="FX170" s="222"/>
      <c r="FY170" s="336"/>
      <c r="FZ170" s="223"/>
      <c r="GA170" s="338"/>
      <c r="GB170" s="204"/>
      <c r="GC170" s="339"/>
      <c r="GD170" s="342"/>
      <c r="GE170" s="199"/>
      <c r="GF170" s="199"/>
      <c r="GG170" s="199"/>
      <c r="GH170" s="199"/>
      <c r="GI170" s="199"/>
      <c r="GJ170" s="199"/>
      <c r="GK170" s="199"/>
      <c r="GL170" s="49"/>
      <c r="GM170" s="28"/>
      <c r="GN170" s="28"/>
      <c r="GO170" s="322"/>
      <c r="GP170" s="1190"/>
      <c r="GQ170" s="1190"/>
      <c r="GR170" s="49"/>
      <c r="GS170" s="2879"/>
      <c r="GT170" s="2880"/>
      <c r="GU170" s="2881"/>
      <c r="GV170" s="49"/>
      <c r="GW170" s="49"/>
      <c r="GX170" s="49"/>
      <c r="GY170" s="49"/>
      <c r="GZ170" s="49"/>
      <c r="HA170" s="49"/>
      <c r="HB170" s="49"/>
      <c r="HC170" s="49"/>
      <c r="HD170" s="49"/>
      <c r="HE170" s="49"/>
      <c r="HF170" s="49"/>
      <c r="HG170" s="49"/>
      <c r="HH170" s="49"/>
      <c r="HI170" s="49"/>
      <c r="HJ170" s="49"/>
      <c r="HK170" s="49"/>
      <c r="HL170" s="49"/>
      <c r="HM170" s="49"/>
      <c r="HN170" s="49"/>
      <c r="HO170" s="49"/>
      <c r="HP170" s="49"/>
      <c r="HQ170" s="49"/>
      <c r="HR170" s="49"/>
      <c r="HS170" s="49"/>
      <c r="HT170" s="49"/>
      <c r="HU170" s="49"/>
      <c r="HV170" s="49"/>
      <c r="HW170" s="49"/>
      <c r="HX170" s="49"/>
      <c r="HY170" s="49"/>
      <c r="HZ170" s="49"/>
      <c r="IA170" s="49"/>
      <c r="IB170" s="49"/>
      <c r="IC170" s="49"/>
      <c r="ID170" s="49"/>
      <c r="IE170" s="49"/>
      <c r="IF170" s="49"/>
      <c r="IG170" s="49"/>
      <c r="IH170" s="49"/>
      <c r="II170" s="49"/>
      <c r="IJ170" s="49"/>
      <c r="IK170" s="49"/>
      <c r="IL170" s="49"/>
      <c r="IM170" s="49"/>
      <c r="IN170" s="49"/>
      <c r="IO170" s="49"/>
      <c r="IP170" s="49"/>
      <c r="IQ170" s="49"/>
      <c r="IR170" s="49"/>
      <c r="IS170" s="49"/>
      <c r="IT170" s="49"/>
      <c r="IU170" s="49"/>
      <c r="IV170" s="49"/>
    </row>
    <row r="171" spans="1:256" s="198" customFormat="1" ht="12" customHeight="1">
      <c r="A171" s="1252"/>
      <c r="B171" s="200"/>
      <c r="C171" s="486"/>
      <c r="D171" s="201"/>
      <c r="E171" s="202"/>
      <c r="F171" s="203"/>
      <c r="G171" s="197"/>
      <c r="H171" s="197"/>
      <c r="I171" s="197"/>
      <c r="J171" s="197"/>
      <c r="K171" s="175"/>
      <c r="L171" s="197"/>
      <c r="M171" s="197"/>
      <c r="N171" s="197"/>
      <c r="O171" s="197"/>
      <c r="P171" s="197"/>
      <c r="Q171" s="1198"/>
      <c r="R171" s="202"/>
      <c r="S171" s="202"/>
      <c r="T171" s="1186"/>
      <c r="U171" s="233"/>
      <c r="V171" s="49"/>
      <c r="W171" s="218"/>
      <c r="X171" s="218"/>
      <c r="Y171" s="216"/>
      <c r="Z171" s="216"/>
      <c r="AA171" s="215"/>
      <c r="AB171" s="216"/>
      <c r="AC171" s="216"/>
      <c r="AD171" s="239"/>
      <c r="AE171" s="216"/>
      <c r="AF171" s="216"/>
      <c r="AG171" s="216"/>
      <c r="AH171" s="216"/>
      <c r="AI171" s="216"/>
      <c r="AJ171" s="216"/>
      <c r="AK171" s="239"/>
      <c r="AL171" s="216"/>
      <c r="AM171" s="216"/>
      <c r="AN171" s="216"/>
      <c r="AO171" s="216"/>
      <c r="AP171" s="216"/>
      <c r="AQ171" s="216"/>
      <c r="AR171" s="216"/>
      <c r="AS171" s="216"/>
      <c r="AT171" s="216"/>
      <c r="AU171" s="216"/>
      <c r="AV171" s="217"/>
      <c r="AW171" s="355"/>
      <c r="AX171" s="217"/>
      <c r="AY171" s="1559"/>
      <c r="AZ171" s="249"/>
      <c r="BA171" s="221"/>
      <c r="BB171" s="300"/>
      <c r="BC171" s="217"/>
      <c r="BD171" s="392"/>
      <c r="BE171" s="1244"/>
      <c r="BF171" s="249"/>
      <c r="BG171" s="252"/>
      <c r="BH171" s="1469"/>
      <c r="BI171" s="216"/>
      <c r="BJ171" s="1469"/>
      <c r="BK171" s="1459"/>
      <c r="BL171" s="260"/>
      <c r="BM171" s="214"/>
      <c r="BN171" s="293"/>
      <c r="BO171" s="217"/>
      <c r="BP171" s="355"/>
      <c r="BQ171" s="217"/>
      <c r="BR171" s="1193"/>
      <c r="BS171" s="249"/>
      <c r="BT171" s="216"/>
      <c r="BU171" s="1195"/>
      <c r="BV171" s="249"/>
      <c r="BW171" s="216"/>
      <c r="BX171" s="1195"/>
      <c r="BY171" s="249"/>
      <c r="BZ171" s="216"/>
      <c r="CA171" s="1195"/>
      <c r="CB171" s="249"/>
      <c r="CC171" s="216"/>
      <c r="CD171" s="1195"/>
      <c r="CE171" s="249"/>
      <c r="CF171" s="216"/>
      <c r="CG171" s="1195"/>
      <c r="CH171" s="249"/>
      <c r="CI171" s="216"/>
      <c r="CJ171" s="1195"/>
      <c r="CK171" s="249"/>
      <c r="CL171" s="216"/>
      <c r="CM171" s="1194"/>
      <c r="CN171" s="1524"/>
      <c r="CO171" s="217"/>
      <c r="CP171" s="1193"/>
      <c r="CQ171" s="293"/>
      <c r="CR171" s="217"/>
      <c r="CS171" s="305"/>
      <c r="CT171" s="249"/>
      <c r="CU171" s="216"/>
      <c r="CV171" s="1193"/>
      <c r="CW171" s="249"/>
      <c r="CX171" s="216"/>
      <c r="CY171" s="305"/>
      <c r="CZ171" s="249"/>
      <c r="DA171" s="216"/>
      <c r="DB171" s="307"/>
      <c r="DC171" s="328"/>
      <c r="DD171" s="322"/>
      <c r="DE171" s="305"/>
      <c r="DF171" s="249"/>
      <c r="DG171" s="216"/>
      <c r="DH171" s="305"/>
      <c r="DI171" s="249"/>
      <c r="DJ171" s="216"/>
      <c r="DK171" s="309"/>
      <c r="DL171" s="293"/>
      <c r="DM171" s="326"/>
      <c r="DN171" s="1256"/>
      <c r="DO171" s="214"/>
      <c r="DP171" s="1257"/>
      <c r="DQ171" s="1258"/>
      <c r="DR171" s="305"/>
      <c r="DS171" s="249"/>
      <c r="DT171" s="216"/>
      <c r="DU171" s="305"/>
      <c r="DV171" s="2520"/>
      <c r="DW171" s="2521"/>
      <c r="DX171" s="305"/>
      <c r="DY171" s="249"/>
      <c r="DZ171" s="221"/>
      <c r="EA171" s="388"/>
      <c r="EB171" s="249"/>
      <c r="EC171" s="216"/>
      <c r="ED171" s="1461"/>
      <c r="EE171" s="249"/>
      <c r="EF171" s="216"/>
      <c r="EG171" s="355"/>
      <c r="EH171" s="1425"/>
      <c r="EI171" s="1470"/>
      <c r="EJ171" s="249"/>
      <c r="EK171" s="221"/>
      <c r="EL171" s="313"/>
      <c r="EM171" s="249"/>
      <c r="EN171" s="221"/>
      <c r="EO171" s="313"/>
      <c r="EP171" s="249"/>
      <c r="EQ171" s="216"/>
      <c r="ER171" s="313"/>
      <c r="ES171" s="249"/>
      <c r="ET171" s="216"/>
      <c r="EU171" s="313"/>
      <c r="EV171" s="249"/>
      <c r="EW171" s="216"/>
      <c r="EX171" s="2505"/>
      <c r="EY171" s="249"/>
      <c r="EZ171" s="221"/>
      <c r="FA171" s="313"/>
      <c r="FB171" s="249"/>
      <c r="FC171" s="221"/>
      <c r="FD171" s="313"/>
      <c r="FE171" s="249"/>
      <c r="FF171" s="221"/>
      <c r="FG171" s="313"/>
      <c r="FH171" s="249"/>
      <c r="FI171" s="216"/>
      <c r="FJ171" s="1435"/>
      <c r="FK171" s="216"/>
      <c r="FL171" s="1268"/>
      <c r="FM171" s="1655"/>
      <c r="FN171" s="1268"/>
      <c r="FO171" s="1655"/>
      <c r="FP171" s="1268"/>
      <c r="FQ171" s="1656"/>
      <c r="FR171" s="249"/>
      <c r="FS171" s="216"/>
      <c r="FT171" s="1657"/>
      <c r="FU171" s="1658"/>
      <c r="FV171" s="242"/>
      <c r="FW171" s="343"/>
      <c r="FX171" s="222"/>
      <c r="FY171" s="336"/>
      <c r="FZ171" s="223"/>
      <c r="GA171" s="338"/>
      <c r="GB171" s="204"/>
      <c r="GC171" s="339"/>
      <c r="GD171" s="342"/>
      <c r="GE171" s="199"/>
      <c r="GF171" s="199"/>
      <c r="GG171" s="199"/>
      <c r="GH171" s="199"/>
      <c r="GI171" s="199"/>
      <c r="GJ171" s="199"/>
      <c r="GK171" s="199"/>
      <c r="GL171" s="49"/>
      <c r="GM171" s="28"/>
      <c r="GN171" s="28"/>
      <c r="GO171" s="322"/>
      <c r="GP171" s="1190"/>
      <c r="GQ171" s="1190"/>
      <c r="GR171" s="49"/>
      <c r="GS171" s="2879"/>
      <c r="GT171" s="2880"/>
      <c r="GU171" s="2881"/>
      <c r="GV171" s="49"/>
      <c r="GW171" s="49"/>
      <c r="GX171" s="49"/>
      <c r="GY171" s="49"/>
      <c r="GZ171" s="49"/>
      <c r="HA171" s="49"/>
      <c r="HB171" s="49"/>
      <c r="HC171" s="49"/>
      <c r="HD171" s="49"/>
      <c r="HE171" s="49"/>
      <c r="HF171" s="49"/>
      <c r="HG171" s="49"/>
      <c r="HH171" s="49"/>
      <c r="HI171" s="49"/>
      <c r="HJ171" s="49"/>
      <c r="HK171" s="49"/>
      <c r="HL171" s="49"/>
      <c r="HM171" s="49"/>
      <c r="HN171" s="49"/>
      <c r="HO171" s="49"/>
      <c r="HP171" s="49"/>
      <c r="HQ171" s="49"/>
      <c r="HR171" s="49"/>
      <c r="HS171" s="49"/>
      <c r="HT171" s="49"/>
      <c r="HU171" s="49"/>
      <c r="HV171" s="49"/>
      <c r="HW171" s="49"/>
      <c r="HX171" s="49"/>
      <c r="HY171" s="49"/>
      <c r="HZ171" s="49"/>
      <c r="IA171" s="49"/>
      <c r="IB171" s="49"/>
      <c r="IC171" s="49"/>
      <c r="ID171" s="49"/>
      <c r="IE171" s="49"/>
      <c r="IF171" s="49"/>
      <c r="IG171" s="49"/>
      <c r="IH171" s="49"/>
      <c r="II171" s="49"/>
      <c r="IJ171" s="49"/>
      <c r="IK171" s="49"/>
      <c r="IL171" s="49"/>
      <c r="IM171" s="49"/>
      <c r="IN171" s="49"/>
      <c r="IO171" s="49"/>
      <c r="IP171" s="49"/>
      <c r="IQ171" s="49"/>
      <c r="IR171" s="49"/>
      <c r="IS171" s="49"/>
      <c r="IT171" s="49"/>
      <c r="IU171" s="49"/>
      <c r="IV171" s="49"/>
    </row>
    <row r="172" spans="1:256" s="198" customFormat="1" ht="12" customHeight="1">
      <c r="A172" s="1252"/>
      <c r="B172" s="200"/>
      <c r="C172" s="486"/>
      <c r="D172" s="201"/>
      <c r="E172" s="202"/>
      <c r="F172" s="203"/>
      <c r="G172" s="197"/>
      <c r="H172" s="197"/>
      <c r="I172" s="197"/>
      <c r="J172" s="197"/>
      <c r="K172" s="175"/>
      <c r="L172" s="197"/>
      <c r="M172" s="197"/>
      <c r="N172" s="197"/>
      <c r="O172" s="197"/>
      <c r="P172" s="197"/>
      <c r="Q172" s="1198"/>
      <c r="R172" s="202"/>
      <c r="S172" s="202"/>
      <c r="T172" s="1186"/>
      <c r="U172" s="233"/>
      <c r="V172" s="49"/>
      <c r="W172" s="218"/>
      <c r="X172" s="218"/>
      <c r="Y172" s="216"/>
      <c r="Z172" s="216"/>
      <c r="AA172" s="215"/>
      <c r="AB172" s="216"/>
      <c r="AC172" s="216"/>
      <c r="AD172" s="239"/>
      <c r="AE172" s="216"/>
      <c r="AF172" s="216"/>
      <c r="AG172" s="216"/>
      <c r="AH172" s="216"/>
      <c r="AI172" s="216"/>
      <c r="AJ172" s="216"/>
      <c r="AK172" s="239"/>
      <c r="AL172" s="216"/>
      <c r="AM172" s="216"/>
      <c r="AN172" s="216"/>
      <c r="AO172" s="216"/>
      <c r="AP172" s="216"/>
      <c r="AQ172" s="216"/>
      <c r="AR172" s="216"/>
      <c r="AS172" s="216"/>
      <c r="AT172" s="216"/>
      <c r="AU172" s="216"/>
      <c r="AV172" s="217"/>
      <c r="AW172" s="355"/>
      <c r="AX172" s="217"/>
      <c r="AY172" s="1559"/>
      <c r="AZ172" s="249"/>
      <c r="BA172" s="221"/>
      <c r="BB172" s="300"/>
      <c r="BC172" s="217"/>
      <c r="BD172" s="392"/>
      <c r="BE172" s="1244"/>
      <c r="BF172" s="249"/>
      <c r="BG172" s="252"/>
      <c r="BH172" s="1469"/>
      <c r="BI172" s="216"/>
      <c r="BJ172" s="1469"/>
      <c r="BK172" s="1459"/>
      <c r="BL172" s="260"/>
      <c r="BM172" s="214"/>
      <c r="BN172" s="293"/>
      <c r="BO172" s="217"/>
      <c r="BP172" s="355"/>
      <c r="BQ172" s="217"/>
      <c r="BR172" s="1193"/>
      <c r="BS172" s="249"/>
      <c r="BT172" s="216"/>
      <c r="BU172" s="1195"/>
      <c r="BV172" s="249"/>
      <c r="BW172" s="216"/>
      <c r="BX172" s="1195"/>
      <c r="BY172" s="249"/>
      <c r="BZ172" s="216"/>
      <c r="CA172" s="1195"/>
      <c r="CB172" s="249"/>
      <c r="CC172" s="216"/>
      <c r="CD172" s="1195"/>
      <c r="CE172" s="249"/>
      <c r="CF172" s="216"/>
      <c r="CG172" s="1195"/>
      <c r="CH172" s="249"/>
      <c r="CI172" s="216"/>
      <c r="CJ172" s="1195"/>
      <c r="CK172" s="249"/>
      <c r="CL172" s="216"/>
      <c r="CM172" s="1194"/>
      <c r="CN172" s="1524"/>
      <c r="CO172" s="217"/>
      <c r="CP172" s="1193"/>
      <c r="CQ172" s="293"/>
      <c r="CR172" s="217"/>
      <c r="CS172" s="305"/>
      <c r="CT172" s="249"/>
      <c r="CU172" s="216"/>
      <c r="CV172" s="1193"/>
      <c r="CW172" s="249"/>
      <c r="CX172" s="216"/>
      <c r="CY172" s="305"/>
      <c r="CZ172" s="249"/>
      <c r="DA172" s="216"/>
      <c r="DB172" s="307"/>
      <c r="DC172" s="328"/>
      <c r="DD172" s="322"/>
      <c r="DE172" s="305"/>
      <c r="DF172" s="249"/>
      <c r="DG172" s="216"/>
      <c r="DH172" s="305"/>
      <c r="DI172" s="249"/>
      <c r="DJ172" s="216"/>
      <c r="DK172" s="309"/>
      <c r="DL172" s="293"/>
      <c r="DM172" s="326"/>
      <c r="DN172" s="1256"/>
      <c r="DO172" s="214"/>
      <c r="DP172" s="1257"/>
      <c r="DQ172" s="1258"/>
      <c r="DR172" s="305"/>
      <c r="DS172" s="249"/>
      <c r="DT172" s="216"/>
      <c r="DU172" s="305"/>
      <c r="DV172" s="2520"/>
      <c r="DW172" s="2521"/>
      <c r="DX172" s="305"/>
      <c r="DY172" s="249"/>
      <c r="DZ172" s="221"/>
      <c r="EA172" s="388"/>
      <c r="EB172" s="249"/>
      <c r="EC172" s="216"/>
      <c r="ED172" s="1461"/>
      <c r="EE172" s="249"/>
      <c r="EF172" s="216"/>
      <c r="EG172" s="355"/>
      <c r="EH172" s="1425"/>
      <c r="EI172" s="1470"/>
      <c r="EJ172" s="249"/>
      <c r="EK172" s="221"/>
      <c r="EL172" s="313"/>
      <c r="EM172" s="249"/>
      <c r="EN172" s="221"/>
      <c r="EO172" s="313"/>
      <c r="EP172" s="249"/>
      <c r="EQ172" s="216"/>
      <c r="ER172" s="313"/>
      <c r="ES172" s="249"/>
      <c r="ET172" s="216"/>
      <c r="EU172" s="313"/>
      <c r="EV172" s="249"/>
      <c r="EW172" s="216"/>
      <c r="EX172" s="2505"/>
      <c r="EY172" s="249"/>
      <c r="EZ172" s="221"/>
      <c r="FA172" s="313"/>
      <c r="FB172" s="249"/>
      <c r="FC172" s="221"/>
      <c r="FD172" s="313"/>
      <c r="FE172" s="249"/>
      <c r="FF172" s="221"/>
      <c r="FG172" s="313"/>
      <c r="FH172" s="249"/>
      <c r="FI172" s="216"/>
      <c r="FJ172" s="1435"/>
      <c r="FK172" s="216"/>
      <c r="FL172" s="1268"/>
      <c r="FM172" s="1655"/>
      <c r="FN172" s="1268"/>
      <c r="FO172" s="1655"/>
      <c r="FP172" s="1268"/>
      <c r="FQ172" s="1656"/>
      <c r="FR172" s="249"/>
      <c r="FS172" s="216"/>
      <c r="FT172" s="1657"/>
      <c r="FU172" s="1658"/>
      <c r="FV172" s="242"/>
      <c r="FW172" s="343"/>
      <c r="FX172" s="222"/>
      <c r="FY172" s="336"/>
      <c r="FZ172" s="223"/>
      <c r="GA172" s="338"/>
      <c r="GB172" s="204"/>
      <c r="GC172" s="339"/>
      <c r="GD172" s="342"/>
      <c r="GE172" s="199"/>
      <c r="GF172" s="199"/>
      <c r="GG172" s="199"/>
      <c r="GH172" s="199"/>
      <c r="GI172" s="199"/>
      <c r="GJ172" s="199"/>
      <c r="GK172" s="199"/>
      <c r="GL172" s="49"/>
      <c r="GM172" s="28"/>
      <c r="GN172" s="28"/>
      <c r="GO172" s="322"/>
      <c r="GP172" s="1190"/>
      <c r="GQ172" s="1190"/>
      <c r="GR172" s="49"/>
      <c r="GS172" s="2879"/>
      <c r="GT172" s="2880"/>
      <c r="GU172" s="2881"/>
      <c r="GV172" s="49"/>
      <c r="GW172" s="49"/>
      <c r="GX172" s="49"/>
      <c r="GY172" s="49"/>
      <c r="GZ172" s="49"/>
      <c r="HA172" s="49"/>
      <c r="HB172" s="49"/>
      <c r="HC172" s="49"/>
      <c r="HD172" s="49"/>
      <c r="HE172" s="49"/>
      <c r="HF172" s="49"/>
      <c r="HG172" s="49"/>
      <c r="HH172" s="49"/>
      <c r="HI172" s="49"/>
      <c r="HJ172" s="49"/>
      <c r="HK172" s="49"/>
      <c r="HL172" s="49"/>
      <c r="HM172" s="49"/>
      <c r="HN172" s="49"/>
      <c r="HO172" s="49"/>
      <c r="HP172" s="49"/>
      <c r="HQ172" s="49"/>
      <c r="HR172" s="49"/>
      <c r="HS172" s="49"/>
      <c r="HT172" s="49"/>
      <c r="HU172" s="49"/>
      <c r="HV172" s="49"/>
      <c r="HW172" s="49"/>
      <c r="HX172" s="49"/>
      <c r="HY172" s="49"/>
      <c r="HZ172" s="49"/>
      <c r="IA172" s="49"/>
      <c r="IB172" s="49"/>
      <c r="IC172" s="49"/>
      <c r="ID172" s="49"/>
      <c r="IE172" s="49"/>
      <c r="IF172" s="49"/>
      <c r="IG172" s="49"/>
      <c r="IH172" s="49"/>
      <c r="II172" s="49"/>
      <c r="IJ172" s="49"/>
      <c r="IK172" s="49"/>
      <c r="IL172" s="49"/>
      <c r="IM172" s="49"/>
      <c r="IN172" s="49"/>
      <c r="IO172" s="49"/>
      <c r="IP172" s="49"/>
      <c r="IQ172" s="49"/>
      <c r="IR172" s="49"/>
      <c r="IS172" s="49"/>
      <c r="IT172" s="49"/>
      <c r="IU172" s="49"/>
      <c r="IV172" s="49"/>
    </row>
    <row r="173" spans="1:256" s="198" customFormat="1" ht="12" customHeight="1">
      <c r="A173" s="1252"/>
      <c r="B173" s="200"/>
      <c r="C173" s="486"/>
      <c r="D173" s="201"/>
      <c r="E173" s="202"/>
      <c r="F173" s="203"/>
      <c r="G173" s="197"/>
      <c r="H173" s="197"/>
      <c r="I173" s="197"/>
      <c r="J173" s="197"/>
      <c r="K173" s="175"/>
      <c r="L173" s="197"/>
      <c r="M173" s="197"/>
      <c r="N173" s="197"/>
      <c r="O173" s="197"/>
      <c r="P173" s="197"/>
      <c r="Q173" s="1198"/>
      <c r="R173" s="202"/>
      <c r="S173" s="202"/>
      <c r="T173" s="1186"/>
      <c r="U173" s="233"/>
      <c r="V173" s="49"/>
      <c r="W173" s="218"/>
      <c r="X173" s="218"/>
      <c r="Y173" s="216"/>
      <c r="Z173" s="216"/>
      <c r="AA173" s="215"/>
      <c r="AB173" s="216"/>
      <c r="AC173" s="216"/>
      <c r="AD173" s="239"/>
      <c r="AE173" s="216"/>
      <c r="AF173" s="216"/>
      <c r="AG173" s="216"/>
      <c r="AH173" s="216"/>
      <c r="AI173" s="216"/>
      <c r="AJ173" s="216"/>
      <c r="AK173" s="239"/>
      <c r="AL173" s="216"/>
      <c r="AM173" s="216"/>
      <c r="AN173" s="216"/>
      <c r="AO173" s="216"/>
      <c r="AP173" s="216"/>
      <c r="AQ173" s="216"/>
      <c r="AR173" s="216"/>
      <c r="AS173" s="216"/>
      <c r="AT173" s="216"/>
      <c r="AU173" s="216"/>
      <c r="AV173" s="217"/>
      <c r="AW173" s="355"/>
      <c r="AX173" s="217"/>
      <c r="AY173" s="1559"/>
      <c r="AZ173" s="249"/>
      <c r="BA173" s="221"/>
      <c r="BB173" s="300"/>
      <c r="BC173" s="217"/>
      <c r="BD173" s="392"/>
      <c r="BE173" s="1244"/>
      <c r="BF173" s="249"/>
      <c r="BG173" s="252"/>
      <c r="BH173" s="1469"/>
      <c r="BI173" s="216"/>
      <c r="BJ173" s="1469"/>
      <c r="BK173" s="1459"/>
      <c r="BL173" s="260"/>
      <c r="BM173" s="214"/>
      <c r="BN173" s="293"/>
      <c r="BO173" s="217"/>
      <c r="BP173" s="355"/>
      <c r="BQ173" s="217"/>
      <c r="BR173" s="1193"/>
      <c r="BS173" s="249"/>
      <c r="BT173" s="216"/>
      <c r="BU173" s="1195"/>
      <c r="BV173" s="249"/>
      <c r="BW173" s="216"/>
      <c r="BX173" s="1195"/>
      <c r="BY173" s="249"/>
      <c r="BZ173" s="216"/>
      <c r="CA173" s="1195"/>
      <c r="CB173" s="249"/>
      <c r="CC173" s="216"/>
      <c r="CD173" s="1195"/>
      <c r="CE173" s="249"/>
      <c r="CF173" s="216"/>
      <c r="CG173" s="1195"/>
      <c r="CH173" s="249"/>
      <c r="CI173" s="216"/>
      <c r="CJ173" s="1195"/>
      <c r="CK173" s="249"/>
      <c r="CL173" s="216"/>
      <c r="CM173" s="1194"/>
      <c r="CN173" s="1524"/>
      <c r="CO173" s="217"/>
      <c r="CP173" s="1193"/>
      <c r="CQ173" s="293"/>
      <c r="CR173" s="217"/>
      <c r="CS173" s="305"/>
      <c r="CT173" s="249"/>
      <c r="CU173" s="216"/>
      <c r="CV173" s="1193"/>
      <c r="CW173" s="249"/>
      <c r="CX173" s="216"/>
      <c r="CY173" s="305"/>
      <c r="CZ173" s="249"/>
      <c r="DA173" s="216"/>
      <c r="DB173" s="307"/>
      <c r="DC173" s="328"/>
      <c r="DD173" s="322"/>
      <c r="DE173" s="305"/>
      <c r="DF173" s="249"/>
      <c r="DG173" s="216"/>
      <c r="DH173" s="305"/>
      <c r="DI173" s="249"/>
      <c r="DJ173" s="216"/>
      <c r="DK173" s="309"/>
      <c r="DL173" s="293"/>
      <c r="DM173" s="326"/>
      <c r="DN173" s="1256"/>
      <c r="DO173" s="214"/>
      <c r="DP173" s="1257"/>
      <c r="DQ173" s="1258"/>
      <c r="DR173" s="305"/>
      <c r="DS173" s="249"/>
      <c r="DT173" s="216"/>
      <c r="DU173" s="305"/>
      <c r="DV173" s="2520"/>
      <c r="DW173" s="2521"/>
      <c r="DX173" s="305"/>
      <c r="DY173" s="249"/>
      <c r="DZ173" s="221"/>
      <c r="EA173" s="388"/>
      <c r="EB173" s="249"/>
      <c r="EC173" s="216"/>
      <c r="ED173" s="1461"/>
      <c r="EE173" s="249"/>
      <c r="EF173" s="216"/>
      <c r="EG173" s="355"/>
      <c r="EH173" s="1425"/>
      <c r="EI173" s="1470"/>
      <c r="EJ173" s="249"/>
      <c r="EK173" s="221"/>
      <c r="EL173" s="313"/>
      <c r="EM173" s="249"/>
      <c r="EN173" s="221"/>
      <c r="EO173" s="313"/>
      <c r="EP173" s="249"/>
      <c r="EQ173" s="216"/>
      <c r="ER173" s="313"/>
      <c r="ES173" s="249"/>
      <c r="ET173" s="216"/>
      <c r="EU173" s="313"/>
      <c r="EV173" s="249"/>
      <c r="EW173" s="216"/>
      <c r="EX173" s="2505"/>
      <c r="EY173" s="249"/>
      <c r="EZ173" s="221"/>
      <c r="FA173" s="313"/>
      <c r="FB173" s="249"/>
      <c r="FC173" s="221"/>
      <c r="FD173" s="313"/>
      <c r="FE173" s="249"/>
      <c r="FF173" s="221"/>
      <c r="FG173" s="313"/>
      <c r="FH173" s="249"/>
      <c r="FI173" s="216"/>
      <c r="FJ173" s="1435"/>
      <c r="FK173" s="216"/>
      <c r="FL173" s="1268"/>
      <c r="FM173" s="1655"/>
      <c r="FN173" s="1268"/>
      <c r="FO173" s="1655"/>
      <c r="FP173" s="1268"/>
      <c r="FQ173" s="1656"/>
      <c r="FR173" s="249"/>
      <c r="FS173" s="216"/>
      <c r="FT173" s="1657"/>
      <c r="FU173" s="1658"/>
      <c r="FV173" s="242"/>
      <c r="FW173" s="343"/>
      <c r="FX173" s="222"/>
      <c r="FY173" s="336"/>
      <c r="FZ173" s="223"/>
      <c r="GA173" s="338"/>
      <c r="GB173" s="204"/>
      <c r="GC173" s="339"/>
      <c r="GD173" s="342"/>
      <c r="GE173" s="199"/>
      <c r="GF173" s="199"/>
      <c r="GG173" s="199"/>
      <c r="GH173" s="199"/>
      <c r="GI173" s="199"/>
      <c r="GJ173" s="199"/>
      <c r="GK173" s="199"/>
      <c r="GL173" s="49"/>
      <c r="GM173" s="28"/>
      <c r="GN173" s="28"/>
      <c r="GO173" s="322"/>
      <c r="GP173" s="1190"/>
      <c r="GQ173" s="1190"/>
      <c r="GR173" s="49"/>
      <c r="GS173" s="2879"/>
      <c r="GT173" s="2880"/>
      <c r="GU173" s="2881"/>
      <c r="GV173" s="49"/>
      <c r="GW173" s="49"/>
      <c r="GX173" s="49"/>
      <c r="GY173" s="49"/>
      <c r="GZ173" s="49"/>
      <c r="HA173" s="49"/>
      <c r="HB173" s="49"/>
      <c r="HC173" s="49"/>
      <c r="HD173" s="49"/>
      <c r="HE173" s="49"/>
      <c r="HF173" s="49"/>
      <c r="HG173" s="49"/>
      <c r="HH173" s="49"/>
      <c r="HI173" s="49"/>
      <c r="HJ173" s="49"/>
      <c r="HK173" s="49"/>
      <c r="HL173" s="49"/>
      <c r="HM173" s="49"/>
      <c r="HN173" s="49"/>
      <c r="HO173" s="49"/>
      <c r="HP173" s="49"/>
      <c r="HQ173" s="49"/>
      <c r="HR173" s="49"/>
      <c r="HS173" s="49"/>
      <c r="HT173" s="49"/>
      <c r="HU173" s="49"/>
      <c r="HV173" s="49"/>
      <c r="HW173" s="49"/>
      <c r="HX173" s="49"/>
      <c r="HY173" s="49"/>
      <c r="HZ173" s="49"/>
      <c r="IA173" s="49"/>
      <c r="IB173" s="49"/>
      <c r="IC173" s="49"/>
      <c r="ID173" s="49"/>
      <c r="IE173" s="49"/>
      <c r="IF173" s="49"/>
      <c r="IG173" s="49"/>
      <c r="IH173" s="49"/>
      <c r="II173" s="49"/>
      <c r="IJ173" s="49"/>
      <c r="IK173" s="49"/>
      <c r="IL173" s="49"/>
      <c r="IM173" s="49"/>
      <c r="IN173" s="49"/>
      <c r="IO173" s="49"/>
      <c r="IP173" s="49"/>
      <c r="IQ173" s="49"/>
      <c r="IR173" s="49"/>
      <c r="IS173" s="49"/>
      <c r="IT173" s="49"/>
      <c r="IU173" s="49"/>
      <c r="IV173" s="49"/>
    </row>
    <row r="174" spans="1:256" s="198" customFormat="1" ht="12" customHeight="1">
      <c r="A174" s="1252"/>
      <c r="B174" s="200"/>
      <c r="C174" s="486"/>
      <c r="D174" s="201"/>
      <c r="E174" s="202"/>
      <c r="F174" s="203"/>
      <c r="G174" s="197"/>
      <c r="H174" s="197"/>
      <c r="I174" s="197"/>
      <c r="J174" s="197"/>
      <c r="K174" s="175"/>
      <c r="L174" s="197"/>
      <c r="M174" s="197"/>
      <c r="N174" s="197"/>
      <c r="O174" s="197"/>
      <c r="P174" s="197"/>
      <c r="Q174" s="1198"/>
      <c r="R174" s="202"/>
      <c r="S174" s="202"/>
      <c r="T174" s="1186"/>
      <c r="U174" s="233"/>
      <c r="V174" s="49"/>
      <c r="W174" s="218"/>
      <c r="X174" s="218"/>
      <c r="Y174" s="216"/>
      <c r="Z174" s="216"/>
      <c r="AA174" s="215"/>
      <c r="AB174" s="216"/>
      <c r="AC174" s="216"/>
      <c r="AD174" s="239"/>
      <c r="AE174" s="216"/>
      <c r="AF174" s="216"/>
      <c r="AG174" s="216"/>
      <c r="AH174" s="216"/>
      <c r="AI174" s="216"/>
      <c r="AJ174" s="216"/>
      <c r="AK174" s="239"/>
      <c r="AL174" s="216"/>
      <c r="AM174" s="216"/>
      <c r="AN174" s="216"/>
      <c r="AO174" s="216"/>
      <c r="AP174" s="216"/>
      <c r="AQ174" s="216"/>
      <c r="AR174" s="216"/>
      <c r="AS174" s="216"/>
      <c r="AT174" s="216"/>
      <c r="AU174" s="216"/>
      <c r="AV174" s="217"/>
      <c r="AW174" s="355"/>
      <c r="AX174" s="217"/>
      <c r="AY174" s="1559"/>
      <c r="AZ174" s="249"/>
      <c r="BA174" s="221"/>
      <c r="BB174" s="300"/>
      <c r="BC174" s="217"/>
      <c r="BD174" s="392"/>
      <c r="BE174" s="1244"/>
      <c r="BF174" s="249"/>
      <c r="BG174" s="252"/>
      <c r="BH174" s="1469"/>
      <c r="BI174" s="216"/>
      <c r="BJ174" s="1469"/>
      <c r="BK174" s="1459"/>
      <c r="BL174" s="260"/>
      <c r="BM174" s="214"/>
      <c r="BN174" s="293"/>
      <c r="BO174" s="217"/>
      <c r="BP174" s="355"/>
      <c r="BQ174" s="217"/>
      <c r="BR174" s="1193"/>
      <c r="BS174" s="249"/>
      <c r="BT174" s="216"/>
      <c r="BU174" s="1195"/>
      <c r="BV174" s="249"/>
      <c r="BW174" s="216"/>
      <c r="BX174" s="1195"/>
      <c r="BY174" s="249"/>
      <c r="BZ174" s="216"/>
      <c r="CA174" s="1195"/>
      <c r="CB174" s="249"/>
      <c r="CC174" s="216"/>
      <c r="CD174" s="1195"/>
      <c r="CE174" s="249"/>
      <c r="CF174" s="216"/>
      <c r="CG174" s="1195"/>
      <c r="CH174" s="249"/>
      <c r="CI174" s="216"/>
      <c r="CJ174" s="1195"/>
      <c r="CK174" s="249"/>
      <c r="CL174" s="216"/>
      <c r="CM174" s="1194"/>
      <c r="CN174" s="1524"/>
      <c r="CO174" s="217"/>
      <c r="CP174" s="1193"/>
      <c r="CQ174" s="293"/>
      <c r="CR174" s="217"/>
      <c r="CS174" s="305"/>
      <c r="CT174" s="249"/>
      <c r="CU174" s="216"/>
      <c r="CV174" s="1193"/>
      <c r="CW174" s="249"/>
      <c r="CX174" s="216"/>
      <c r="CY174" s="305"/>
      <c r="CZ174" s="249"/>
      <c r="DA174" s="216"/>
      <c r="DB174" s="307"/>
      <c r="DC174" s="328"/>
      <c r="DD174" s="322"/>
      <c r="DE174" s="305"/>
      <c r="DF174" s="249"/>
      <c r="DG174" s="216"/>
      <c r="DH174" s="305"/>
      <c r="DI174" s="249"/>
      <c r="DJ174" s="216"/>
      <c r="DK174" s="309"/>
      <c r="DL174" s="293"/>
      <c r="DM174" s="326"/>
      <c r="DN174" s="1256"/>
      <c r="DO174" s="214"/>
      <c r="DP174" s="1257"/>
      <c r="DQ174" s="1258"/>
      <c r="DR174" s="305"/>
      <c r="DS174" s="249"/>
      <c r="DT174" s="216"/>
      <c r="DU174" s="305"/>
      <c r="DV174" s="2520"/>
      <c r="DW174" s="2521"/>
      <c r="DX174" s="305"/>
      <c r="DY174" s="249"/>
      <c r="DZ174" s="221"/>
      <c r="EA174" s="388"/>
      <c r="EB174" s="249"/>
      <c r="EC174" s="216"/>
      <c r="ED174" s="1461"/>
      <c r="EE174" s="249"/>
      <c r="EF174" s="216"/>
      <c r="EG174" s="355"/>
      <c r="EH174" s="1425"/>
      <c r="EI174" s="1470"/>
      <c r="EJ174" s="249"/>
      <c r="EK174" s="221"/>
      <c r="EL174" s="313"/>
      <c r="EM174" s="249"/>
      <c r="EN174" s="221"/>
      <c r="EO174" s="313"/>
      <c r="EP174" s="249"/>
      <c r="EQ174" s="216"/>
      <c r="ER174" s="313"/>
      <c r="ES174" s="249"/>
      <c r="ET174" s="216"/>
      <c r="EU174" s="313"/>
      <c r="EV174" s="249"/>
      <c r="EW174" s="216"/>
      <c r="EX174" s="2505"/>
      <c r="EY174" s="249"/>
      <c r="EZ174" s="221"/>
      <c r="FA174" s="313"/>
      <c r="FB174" s="249"/>
      <c r="FC174" s="221"/>
      <c r="FD174" s="313"/>
      <c r="FE174" s="249"/>
      <c r="FF174" s="221"/>
      <c r="FG174" s="313"/>
      <c r="FH174" s="249"/>
      <c r="FI174" s="216"/>
      <c r="FJ174" s="1435"/>
      <c r="FK174" s="216"/>
      <c r="FL174" s="1268"/>
      <c r="FM174" s="1655"/>
      <c r="FN174" s="1268"/>
      <c r="FO174" s="1655"/>
      <c r="FP174" s="1268"/>
      <c r="FQ174" s="1656"/>
      <c r="FR174" s="249"/>
      <c r="FS174" s="216"/>
      <c r="FT174" s="1657"/>
      <c r="FU174" s="1658"/>
      <c r="FV174" s="242"/>
      <c r="FW174" s="343"/>
      <c r="FX174" s="222"/>
      <c r="FY174" s="336"/>
      <c r="FZ174" s="223"/>
      <c r="GA174" s="338"/>
      <c r="GB174" s="204"/>
      <c r="GC174" s="339"/>
      <c r="GD174" s="342"/>
      <c r="GE174" s="199"/>
      <c r="GF174" s="199"/>
      <c r="GG174" s="199"/>
      <c r="GH174" s="199"/>
      <c r="GI174" s="199"/>
      <c r="GJ174" s="199"/>
      <c r="GK174" s="199"/>
      <c r="GL174" s="49"/>
      <c r="GM174" s="28"/>
      <c r="GN174" s="28"/>
      <c r="GO174" s="322"/>
      <c r="GP174" s="1190"/>
      <c r="GQ174" s="1190"/>
      <c r="GR174" s="49"/>
      <c r="GS174" s="2879"/>
      <c r="GT174" s="2880"/>
      <c r="GU174" s="2881"/>
      <c r="GV174" s="49"/>
      <c r="GW174" s="49"/>
      <c r="GX174" s="49"/>
      <c r="GY174" s="49"/>
      <c r="GZ174" s="49"/>
      <c r="HA174" s="49"/>
      <c r="HB174" s="49"/>
      <c r="HC174" s="49"/>
      <c r="HD174" s="49"/>
      <c r="HE174" s="49"/>
      <c r="HF174" s="49"/>
      <c r="HG174" s="49"/>
      <c r="HH174" s="49"/>
      <c r="HI174" s="49"/>
      <c r="HJ174" s="49"/>
      <c r="HK174" s="49"/>
      <c r="HL174" s="49"/>
      <c r="HM174" s="49"/>
      <c r="HN174" s="49"/>
      <c r="HO174" s="49"/>
      <c r="HP174" s="49"/>
      <c r="HQ174" s="49"/>
      <c r="HR174" s="49"/>
      <c r="HS174" s="49"/>
      <c r="HT174" s="49"/>
      <c r="HU174" s="49"/>
      <c r="HV174" s="49"/>
      <c r="HW174" s="49"/>
      <c r="HX174" s="49"/>
      <c r="HY174" s="49"/>
      <c r="HZ174" s="49"/>
      <c r="IA174" s="49"/>
      <c r="IB174" s="49"/>
      <c r="IC174" s="49"/>
      <c r="ID174" s="49"/>
      <c r="IE174" s="49"/>
      <c r="IF174" s="49"/>
      <c r="IG174" s="49"/>
      <c r="IH174" s="49"/>
      <c r="II174" s="49"/>
      <c r="IJ174" s="49"/>
      <c r="IK174" s="49"/>
      <c r="IL174" s="49"/>
      <c r="IM174" s="49"/>
      <c r="IN174" s="49"/>
      <c r="IO174" s="49"/>
      <c r="IP174" s="49"/>
      <c r="IQ174" s="49"/>
      <c r="IR174" s="49"/>
      <c r="IS174" s="49"/>
      <c r="IT174" s="49"/>
      <c r="IU174" s="49"/>
      <c r="IV174" s="49"/>
    </row>
    <row r="175" spans="1:256" s="198" customFormat="1" ht="12" customHeight="1">
      <c r="A175" s="1252"/>
      <c r="B175" s="200"/>
      <c r="C175" s="486"/>
      <c r="D175" s="201"/>
      <c r="E175" s="202"/>
      <c r="F175" s="203"/>
      <c r="G175" s="197"/>
      <c r="H175" s="197"/>
      <c r="I175" s="197"/>
      <c r="J175" s="197"/>
      <c r="K175" s="175"/>
      <c r="L175" s="197"/>
      <c r="M175" s="197"/>
      <c r="N175" s="197"/>
      <c r="O175" s="197"/>
      <c r="P175" s="197"/>
      <c r="Q175" s="1198"/>
      <c r="R175" s="202"/>
      <c r="S175" s="202"/>
      <c r="T175" s="1186"/>
      <c r="U175" s="233"/>
      <c r="V175" s="49"/>
      <c r="W175" s="218"/>
      <c r="X175" s="218"/>
      <c r="Y175" s="216"/>
      <c r="Z175" s="216"/>
      <c r="AA175" s="215"/>
      <c r="AB175" s="216"/>
      <c r="AC175" s="216"/>
      <c r="AD175" s="239"/>
      <c r="AE175" s="216"/>
      <c r="AF175" s="216"/>
      <c r="AG175" s="216"/>
      <c r="AH175" s="216"/>
      <c r="AI175" s="216"/>
      <c r="AJ175" s="216"/>
      <c r="AK175" s="239"/>
      <c r="AL175" s="216"/>
      <c r="AM175" s="216"/>
      <c r="AN175" s="216"/>
      <c r="AO175" s="216"/>
      <c r="AP175" s="216"/>
      <c r="AQ175" s="216"/>
      <c r="AR175" s="216"/>
      <c r="AS175" s="216"/>
      <c r="AT175" s="216"/>
      <c r="AU175" s="216"/>
      <c r="AV175" s="217"/>
      <c r="AW175" s="355"/>
      <c r="AX175" s="217"/>
      <c r="AY175" s="1559"/>
      <c r="AZ175" s="249"/>
      <c r="BA175" s="221"/>
      <c r="BB175" s="300"/>
      <c r="BC175" s="217"/>
      <c r="BD175" s="392"/>
      <c r="BE175" s="1244"/>
      <c r="BF175" s="249"/>
      <c r="BG175" s="252"/>
      <c r="BH175" s="1469"/>
      <c r="BI175" s="216"/>
      <c r="BJ175" s="1469"/>
      <c r="BK175" s="1459"/>
      <c r="BL175" s="260"/>
      <c r="BM175" s="214"/>
      <c r="BN175" s="293"/>
      <c r="BO175" s="217"/>
      <c r="BP175" s="355"/>
      <c r="BQ175" s="217"/>
      <c r="BR175" s="1193"/>
      <c r="BS175" s="249"/>
      <c r="BT175" s="216"/>
      <c r="BU175" s="1195"/>
      <c r="BV175" s="249"/>
      <c r="BW175" s="216"/>
      <c r="BX175" s="1195"/>
      <c r="BY175" s="249"/>
      <c r="BZ175" s="216"/>
      <c r="CA175" s="1195"/>
      <c r="CB175" s="249"/>
      <c r="CC175" s="216"/>
      <c r="CD175" s="1195"/>
      <c r="CE175" s="249"/>
      <c r="CF175" s="216"/>
      <c r="CG175" s="1195"/>
      <c r="CH175" s="249"/>
      <c r="CI175" s="216"/>
      <c r="CJ175" s="1195"/>
      <c r="CK175" s="249"/>
      <c r="CL175" s="216"/>
      <c r="CM175" s="1194"/>
      <c r="CN175" s="1524"/>
      <c r="CO175" s="217"/>
      <c r="CP175" s="1193"/>
      <c r="CQ175" s="293"/>
      <c r="CR175" s="217"/>
      <c r="CS175" s="305"/>
      <c r="CT175" s="249"/>
      <c r="CU175" s="216"/>
      <c r="CV175" s="1193"/>
      <c r="CW175" s="249"/>
      <c r="CX175" s="216"/>
      <c r="CY175" s="305"/>
      <c r="CZ175" s="249"/>
      <c r="DA175" s="216"/>
      <c r="DB175" s="307"/>
      <c r="DC175" s="328"/>
      <c r="DD175" s="322"/>
      <c r="DE175" s="305"/>
      <c r="DF175" s="249"/>
      <c r="DG175" s="216"/>
      <c r="DH175" s="305"/>
      <c r="DI175" s="249"/>
      <c r="DJ175" s="216"/>
      <c r="DK175" s="309"/>
      <c r="DL175" s="293"/>
      <c r="DM175" s="326"/>
      <c r="DN175" s="1256"/>
      <c r="DO175" s="214"/>
      <c r="DP175" s="1257"/>
      <c r="DQ175" s="1258"/>
      <c r="DR175" s="305"/>
      <c r="DS175" s="249"/>
      <c r="DT175" s="216"/>
      <c r="DU175" s="305"/>
      <c r="DV175" s="2520"/>
      <c r="DW175" s="2521"/>
      <c r="DX175" s="305"/>
      <c r="DY175" s="249"/>
      <c r="DZ175" s="221"/>
      <c r="EA175" s="388"/>
      <c r="EB175" s="249"/>
      <c r="EC175" s="216"/>
      <c r="ED175" s="1461"/>
      <c r="EE175" s="249"/>
      <c r="EF175" s="216"/>
      <c r="EG175" s="355"/>
      <c r="EH175" s="1425"/>
      <c r="EI175" s="1470"/>
      <c r="EJ175" s="249"/>
      <c r="EK175" s="221"/>
      <c r="EL175" s="313"/>
      <c r="EM175" s="249"/>
      <c r="EN175" s="221"/>
      <c r="EO175" s="313"/>
      <c r="EP175" s="249"/>
      <c r="EQ175" s="216"/>
      <c r="ER175" s="313"/>
      <c r="ES175" s="249"/>
      <c r="ET175" s="216"/>
      <c r="EU175" s="313"/>
      <c r="EV175" s="249"/>
      <c r="EW175" s="216"/>
      <c r="EX175" s="2505"/>
      <c r="EY175" s="249"/>
      <c r="EZ175" s="221"/>
      <c r="FA175" s="313"/>
      <c r="FB175" s="249"/>
      <c r="FC175" s="221"/>
      <c r="FD175" s="313"/>
      <c r="FE175" s="249"/>
      <c r="FF175" s="221"/>
      <c r="FG175" s="313"/>
      <c r="FH175" s="249"/>
      <c r="FI175" s="216"/>
      <c r="FJ175" s="1435"/>
      <c r="FK175" s="216"/>
      <c r="FL175" s="1268"/>
      <c r="FM175" s="1655"/>
      <c r="FN175" s="1268"/>
      <c r="FO175" s="1655"/>
      <c r="FP175" s="1268"/>
      <c r="FQ175" s="1656"/>
      <c r="FR175" s="249"/>
      <c r="FS175" s="216"/>
      <c r="FT175" s="1657"/>
      <c r="FU175" s="1658"/>
      <c r="FV175" s="242"/>
      <c r="FW175" s="343"/>
      <c r="FX175" s="222"/>
      <c r="FY175" s="336"/>
      <c r="FZ175" s="223"/>
      <c r="GA175" s="338"/>
      <c r="GB175" s="204"/>
      <c r="GC175" s="339"/>
      <c r="GD175" s="342"/>
      <c r="GE175" s="199"/>
      <c r="GF175" s="199"/>
      <c r="GG175" s="199"/>
      <c r="GH175" s="199"/>
      <c r="GI175" s="199"/>
      <c r="GJ175" s="199"/>
      <c r="GK175" s="199"/>
      <c r="GL175" s="49"/>
      <c r="GM175" s="28"/>
      <c r="GN175" s="28"/>
      <c r="GO175" s="322"/>
      <c r="GP175" s="1190"/>
      <c r="GQ175" s="1190"/>
      <c r="GR175" s="49"/>
      <c r="GS175" s="2879"/>
      <c r="GT175" s="2880"/>
      <c r="GU175" s="2881"/>
      <c r="GV175" s="49"/>
      <c r="GW175" s="49"/>
      <c r="GX175" s="49"/>
      <c r="GY175" s="49"/>
      <c r="GZ175" s="49"/>
      <c r="HA175" s="49"/>
      <c r="HB175" s="49"/>
      <c r="HC175" s="49"/>
      <c r="HD175" s="49"/>
      <c r="HE175" s="49"/>
      <c r="HF175" s="49"/>
      <c r="HG175" s="49"/>
      <c r="HH175" s="49"/>
      <c r="HI175" s="49"/>
      <c r="HJ175" s="49"/>
      <c r="HK175" s="49"/>
      <c r="HL175" s="49"/>
      <c r="HM175" s="49"/>
      <c r="HN175" s="49"/>
      <c r="HO175" s="49"/>
      <c r="HP175" s="49"/>
      <c r="HQ175" s="49"/>
      <c r="HR175" s="49"/>
      <c r="HS175" s="49"/>
      <c r="HT175" s="49"/>
      <c r="HU175" s="49"/>
      <c r="HV175" s="49"/>
      <c r="HW175" s="49"/>
      <c r="HX175" s="49"/>
      <c r="HY175" s="49"/>
      <c r="HZ175" s="49"/>
      <c r="IA175" s="49"/>
      <c r="IB175" s="49"/>
      <c r="IC175" s="49"/>
      <c r="ID175" s="49"/>
      <c r="IE175" s="49"/>
      <c r="IF175" s="49"/>
      <c r="IG175" s="49"/>
      <c r="IH175" s="49"/>
      <c r="II175" s="49"/>
      <c r="IJ175" s="49"/>
      <c r="IK175" s="49"/>
      <c r="IL175" s="49"/>
      <c r="IM175" s="49"/>
      <c r="IN175" s="49"/>
      <c r="IO175" s="49"/>
      <c r="IP175" s="49"/>
      <c r="IQ175" s="49"/>
      <c r="IR175" s="49"/>
      <c r="IS175" s="49"/>
      <c r="IT175" s="49"/>
      <c r="IU175" s="49"/>
      <c r="IV175" s="49"/>
    </row>
    <row r="176" spans="1:256" s="198" customFormat="1" ht="12" customHeight="1">
      <c r="A176" s="1252"/>
      <c r="B176" s="200"/>
      <c r="C176" s="486"/>
      <c r="D176" s="201"/>
      <c r="E176" s="202"/>
      <c r="F176" s="203"/>
      <c r="G176" s="197"/>
      <c r="H176" s="197"/>
      <c r="I176" s="197"/>
      <c r="J176" s="197"/>
      <c r="K176" s="175"/>
      <c r="L176" s="197"/>
      <c r="M176" s="197"/>
      <c r="N176" s="197"/>
      <c r="O176" s="197"/>
      <c r="P176" s="197"/>
      <c r="Q176" s="1198"/>
      <c r="R176" s="202"/>
      <c r="S176" s="202"/>
      <c r="T176" s="1186"/>
      <c r="U176" s="233"/>
      <c r="V176" s="49"/>
      <c r="W176" s="218"/>
      <c r="X176" s="218"/>
      <c r="Y176" s="216"/>
      <c r="Z176" s="216"/>
      <c r="AA176" s="215"/>
      <c r="AB176" s="216"/>
      <c r="AC176" s="216"/>
      <c r="AD176" s="239"/>
      <c r="AE176" s="216"/>
      <c r="AF176" s="216"/>
      <c r="AG176" s="216"/>
      <c r="AH176" s="216"/>
      <c r="AI176" s="216"/>
      <c r="AJ176" s="216"/>
      <c r="AK176" s="239"/>
      <c r="AL176" s="216"/>
      <c r="AM176" s="216"/>
      <c r="AN176" s="216"/>
      <c r="AO176" s="216"/>
      <c r="AP176" s="216"/>
      <c r="AQ176" s="216"/>
      <c r="AR176" s="216"/>
      <c r="AS176" s="216"/>
      <c r="AT176" s="216"/>
      <c r="AU176" s="216"/>
      <c r="AV176" s="217"/>
      <c r="AW176" s="355"/>
      <c r="AX176" s="217"/>
      <c r="AY176" s="1559"/>
      <c r="AZ176" s="249"/>
      <c r="BA176" s="221"/>
      <c r="BB176" s="300"/>
      <c r="BC176" s="217"/>
      <c r="BD176" s="392"/>
      <c r="BE176" s="1244"/>
      <c r="BF176" s="249"/>
      <c r="BG176" s="252"/>
      <c r="BH176" s="1469"/>
      <c r="BI176" s="216"/>
      <c r="BJ176" s="1469"/>
      <c r="BK176" s="1459"/>
      <c r="BL176" s="260"/>
      <c r="BM176" s="214"/>
      <c r="BN176" s="293"/>
      <c r="BO176" s="217"/>
      <c r="BP176" s="355"/>
      <c r="BQ176" s="217"/>
      <c r="BR176" s="1193"/>
      <c r="BS176" s="249"/>
      <c r="BT176" s="216"/>
      <c r="BU176" s="1195"/>
      <c r="BV176" s="249"/>
      <c r="BW176" s="216"/>
      <c r="BX176" s="1195"/>
      <c r="BY176" s="249"/>
      <c r="BZ176" s="216"/>
      <c r="CA176" s="1195"/>
      <c r="CB176" s="249"/>
      <c r="CC176" s="216"/>
      <c r="CD176" s="1195"/>
      <c r="CE176" s="249"/>
      <c r="CF176" s="216"/>
      <c r="CG176" s="1195"/>
      <c r="CH176" s="249"/>
      <c r="CI176" s="216"/>
      <c r="CJ176" s="1195"/>
      <c r="CK176" s="249"/>
      <c r="CL176" s="216"/>
      <c r="CM176" s="1194"/>
      <c r="CN176" s="1524"/>
      <c r="CO176" s="217"/>
      <c r="CP176" s="1193"/>
      <c r="CQ176" s="293"/>
      <c r="CR176" s="217"/>
      <c r="CS176" s="305"/>
      <c r="CT176" s="249"/>
      <c r="CU176" s="216"/>
      <c r="CV176" s="1193"/>
      <c r="CW176" s="249"/>
      <c r="CX176" s="216"/>
      <c r="CY176" s="305"/>
      <c r="CZ176" s="249"/>
      <c r="DA176" s="216"/>
      <c r="DB176" s="307"/>
      <c r="DC176" s="328"/>
      <c r="DD176" s="322"/>
      <c r="DE176" s="305"/>
      <c r="DF176" s="249"/>
      <c r="DG176" s="216"/>
      <c r="DH176" s="305"/>
      <c r="DI176" s="249"/>
      <c r="DJ176" s="216"/>
      <c r="DK176" s="309"/>
      <c r="DL176" s="293"/>
      <c r="DM176" s="326"/>
      <c r="DN176" s="1256"/>
      <c r="DO176" s="214"/>
      <c r="DP176" s="1257"/>
      <c r="DQ176" s="1258"/>
      <c r="DR176" s="305"/>
      <c r="DS176" s="249"/>
      <c r="DT176" s="216"/>
      <c r="DU176" s="305"/>
      <c r="DV176" s="2520"/>
      <c r="DW176" s="2521"/>
      <c r="DX176" s="305"/>
      <c r="DY176" s="249"/>
      <c r="DZ176" s="221"/>
      <c r="EA176" s="388"/>
      <c r="EB176" s="249"/>
      <c r="EC176" s="216"/>
      <c r="ED176" s="1461"/>
      <c r="EE176" s="249"/>
      <c r="EF176" s="216"/>
      <c r="EG176" s="355"/>
      <c r="EH176" s="1425"/>
      <c r="EI176" s="1470"/>
      <c r="EJ176" s="249"/>
      <c r="EK176" s="221"/>
      <c r="EL176" s="313"/>
      <c r="EM176" s="249"/>
      <c r="EN176" s="221"/>
      <c r="EO176" s="313"/>
      <c r="EP176" s="249"/>
      <c r="EQ176" s="216"/>
      <c r="ER176" s="313"/>
      <c r="ES176" s="249"/>
      <c r="ET176" s="216"/>
      <c r="EU176" s="313"/>
      <c r="EV176" s="249"/>
      <c r="EW176" s="216"/>
      <c r="EX176" s="2505"/>
      <c r="EY176" s="249"/>
      <c r="EZ176" s="221"/>
      <c r="FA176" s="313"/>
      <c r="FB176" s="249"/>
      <c r="FC176" s="221"/>
      <c r="FD176" s="313"/>
      <c r="FE176" s="249"/>
      <c r="FF176" s="221"/>
      <c r="FG176" s="313"/>
      <c r="FH176" s="249"/>
      <c r="FI176" s="216"/>
      <c r="FJ176" s="1435"/>
      <c r="FK176" s="216"/>
      <c r="FL176" s="1268"/>
      <c r="FM176" s="1655"/>
      <c r="FN176" s="1268"/>
      <c r="FO176" s="1655"/>
      <c r="FP176" s="1268"/>
      <c r="FQ176" s="1656"/>
      <c r="FR176" s="249"/>
      <c r="FS176" s="216"/>
      <c r="FT176" s="1657"/>
      <c r="FU176" s="1658"/>
      <c r="FV176" s="242"/>
      <c r="FW176" s="343"/>
      <c r="FX176" s="222"/>
      <c r="FY176" s="336"/>
      <c r="FZ176" s="223"/>
      <c r="GA176" s="338"/>
      <c r="GB176" s="204"/>
      <c r="GC176" s="339"/>
      <c r="GD176" s="342"/>
      <c r="GE176" s="199"/>
      <c r="GF176" s="199"/>
      <c r="GG176" s="199"/>
      <c r="GH176" s="199"/>
      <c r="GI176" s="199"/>
      <c r="GJ176" s="199"/>
      <c r="GK176" s="199"/>
      <c r="GL176" s="49"/>
      <c r="GM176" s="28"/>
      <c r="GN176" s="28"/>
      <c r="GO176" s="322"/>
      <c r="GP176" s="1190"/>
      <c r="GQ176" s="1190"/>
      <c r="GR176" s="49"/>
      <c r="GS176" s="2879"/>
      <c r="GT176" s="2880"/>
      <c r="GU176" s="2881"/>
      <c r="GV176" s="49"/>
      <c r="GW176" s="49"/>
      <c r="GX176" s="49"/>
      <c r="GY176" s="49"/>
      <c r="GZ176" s="49"/>
      <c r="HA176" s="49"/>
      <c r="HB176" s="49"/>
      <c r="HC176" s="49"/>
      <c r="HD176" s="49"/>
      <c r="HE176" s="49"/>
      <c r="HF176" s="49"/>
      <c r="HG176" s="49"/>
      <c r="HH176" s="49"/>
      <c r="HI176" s="49"/>
      <c r="HJ176" s="49"/>
      <c r="HK176" s="49"/>
      <c r="HL176" s="49"/>
      <c r="HM176" s="49"/>
      <c r="HN176" s="49"/>
      <c r="HO176" s="49"/>
      <c r="HP176" s="49"/>
      <c r="HQ176" s="49"/>
      <c r="HR176" s="49"/>
      <c r="HS176" s="49"/>
      <c r="HT176" s="49"/>
      <c r="HU176" s="49"/>
      <c r="HV176" s="49"/>
      <c r="HW176" s="49"/>
      <c r="HX176" s="49"/>
      <c r="HY176" s="49"/>
      <c r="HZ176" s="49"/>
      <c r="IA176" s="49"/>
      <c r="IB176" s="49"/>
      <c r="IC176" s="49"/>
      <c r="ID176" s="49"/>
      <c r="IE176" s="49"/>
      <c r="IF176" s="49"/>
      <c r="IG176" s="49"/>
      <c r="IH176" s="49"/>
      <c r="II176" s="49"/>
      <c r="IJ176" s="49"/>
      <c r="IK176" s="49"/>
      <c r="IL176" s="49"/>
      <c r="IM176" s="49"/>
      <c r="IN176" s="49"/>
      <c r="IO176" s="49"/>
      <c r="IP176" s="49"/>
      <c r="IQ176" s="49"/>
      <c r="IR176" s="49"/>
      <c r="IS176" s="49"/>
      <c r="IT176" s="49"/>
      <c r="IU176" s="49"/>
      <c r="IV176" s="49"/>
    </row>
    <row r="177" spans="1:256" s="198" customFormat="1" ht="12" customHeight="1">
      <c r="A177" s="1252"/>
      <c r="B177" s="200"/>
      <c r="C177" s="486"/>
      <c r="D177" s="201"/>
      <c r="E177" s="202"/>
      <c r="F177" s="203"/>
      <c r="G177" s="197"/>
      <c r="H177" s="197"/>
      <c r="I177" s="197"/>
      <c r="J177" s="197"/>
      <c r="K177" s="175"/>
      <c r="L177" s="197"/>
      <c r="M177" s="197"/>
      <c r="N177" s="197"/>
      <c r="O177" s="197"/>
      <c r="P177" s="197"/>
      <c r="Q177" s="1198"/>
      <c r="R177" s="202"/>
      <c r="S177" s="202"/>
      <c r="T177" s="1186"/>
      <c r="U177" s="233"/>
      <c r="V177" s="49"/>
      <c r="W177" s="218"/>
      <c r="X177" s="218"/>
      <c r="Y177" s="216"/>
      <c r="Z177" s="216"/>
      <c r="AA177" s="215"/>
      <c r="AB177" s="216"/>
      <c r="AC177" s="216"/>
      <c r="AD177" s="239"/>
      <c r="AE177" s="216"/>
      <c r="AF177" s="216"/>
      <c r="AG177" s="216"/>
      <c r="AH177" s="216"/>
      <c r="AI177" s="216"/>
      <c r="AJ177" s="216"/>
      <c r="AK177" s="239"/>
      <c r="AL177" s="216"/>
      <c r="AM177" s="216"/>
      <c r="AN177" s="216"/>
      <c r="AO177" s="216"/>
      <c r="AP177" s="216"/>
      <c r="AQ177" s="216"/>
      <c r="AR177" s="216"/>
      <c r="AS177" s="216"/>
      <c r="AT177" s="216"/>
      <c r="AU177" s="216"/>
      <c r="AV177" s="217"/>
      <c r="AW177" s="355"/>
      <c r="AX177" s="217"/>
      <c r="AY177" s="1559"/>
      <c r="AZ177" s="249"/>
      <c r="BA177" s="221"/>
      <c r="BB177" s="300"/>
      <c r="BC177" s="217"/>
      <c r="BD177" s="392"/>
      <c r="BE177" s="1244"/>
      <c r="BF177" s="249"/>
      <c r="BG177" s="252"/>
      <c r="BH177" s="1469"/>
      <c r="BI177" s="216"/>
      <c r="BJ177" s="1469"/>
      <c r="BK177" s="1459"/>
      <c r="BL177" s="260"/>
      <c r="BM177" s="214"/>
      <c r="BN177" s="293"/>
      <c r="BO177" s="217"/>
      <c r="BP177" s="355"/>
      <c r="BQ177" s="217"/>
      <c r="BR177" s="1193"/>
      <c r="BS177" s="249"/>
      <c r="BT177" s="216"/>
      <c r="BU177" s="1195"/>
      <c r="BV177" s="249"/>
      <c r="BW177" s="216"/>
      <c r="BX177" s="1195"/>
      <c r="BY177" s="249"/>
      <c r="BZ177" s="216"/>
      <c r="CA177" s="1195"/>
      <c r="CB177" s="249"/>
      <c r="CC177" s="216"/>
      <c r="CD177" s="1195"/>
      <c r="CE177" s="249"/>
      <c r="CF177" s="216"/>
      <c r="CG177" s="1195"/>
      <c r="CH177" s="249"/>
      <c r="CI177" s="216"/>
      <c r="CJ177" s="1195"/>
      <c r="CK177" s="249"/>
      <c r="CL177" s="216"/>
      <c r="CM177" s="1194"/>
      <c r="CN177" s="1524"/>
      <c r="CO177" s="217"/>
      <c r="CP177" s="1193"/>
      <c r="CQ177" s="293"/>
      <c r="CR177" s="217"/>
      <c r="CS177" s="305"/>
      <c r="CT177" s="249"/>
      <c r="CU177" s="216"/>
      <c r="CV177" s="1193"/>
      <c r="CW177" s="249"/>
      <c r="CX177" s="216"/>
      <c r="CY177" s="305"/>
      <c r="CZ177" s="249"/>
      <c r="DA177" s="216"/>
      <c r="DB177" s="307"/>
      <c r="DC177" s="328"/>
      <c r="DD177" s="322"/>
      <c r="DE177" s="305"/>
      <c r="DF177" s="249"/>
      <c r="DG177" s="216"/>
      <c r="DH177" s="305"/>
      <c r="DI177" s="249"/>
      <c r="DJ177" s="216"/>
      <c r="DK177" s="309"/>
      <c r="DL177" s="293"/>
      <c r="DM177" s="326"/>
      <c r="DN177" s="1256"/>
      <c r="DO177" s="214"/>
      <c r="DP177" s="1257"/>
      <c r="DQ177" s="1258"/>
      <c r="DR177" s="305"/>
      <c r="DS177" s="249"/>
      <c r="DT177" s="216"/>
      <c r="DU177" s="305"/>
      <c r="DV177" s="2520"/>
      <c r="DW177" s="2521"/>
      <c r="DX177" s="305"/>
      <c r="DY177" s="249"/>
      <c r="DZ177" s="221"/>
      <c r="EA177" s="388"/>
      <c r="EB177" s="249"/>
      <c r="EC177" s="216"/>
      <c r="ED177" s="1461"/>
      <c r="EE177" s="249"/>
      <c r="EF177" s="216"/>
      <c r="EG177" s="355"/>
      <c r="EH177" s="1425"/>
      <c r="EI177" s="1470"/>
      <c r="EJ177" s="249"/>
      <c r="EK177" s="221"/>
      <c r="EL177" s="313"/>
      <c r="EM177" s="249"/>
      <c r="EN177" s="221"/>
      <c r="EO177" s="313"/>
      <c r="EP177" s="249"/>
      <c r="EQ177" s="216"/>
      <c r="ER177" s="313"/>
      <c r="ES177" s="249"/>
      <c r="ET177" s="216"/>
      <c r="EU177" s="313"/>
      <c r="EV177" s="249"/>
      <c r="EW177" s="216"/>
      <c r="EX177" s="2505"/>
      <c r="EY177" s="249"/>
      <c r="EZ177" s="221"/>
      <c r="FA177" s="313"/>
      <c r="FB177" s="249"/>
      <c r="FC177" s="221"/>
      <c r="FD177" s="313"/>
      <c r="FE177" s="249"/>
      <c r="FF177" s="221"/>
      <c r="FG177" s="313"/>
      <c r="FH177" s="249"/>
      <c r="FI177" s="216"/>
      <c r="FJ177" s="1435"/>
      <c r="FK177" s="216"/>
      <c r="FL177" s="1268"/>
      <c r="FM177" s="1655"/>
      <c r="FN177" s="1268"/>
      <c r="FO177" s="1655"/>
      <c r="FP177" s="1268"/>
      <c r="FQ177" s="1656"/>
      <c r="FR177" s="249"/>
      <c r="FS177" s="216"/>
      <c r="FT177" s="1657"/>
      <c r="FU177" s="1658"/>
      <c r="FV177" s="242"/>
      <c r="FW177" s="343"/>
      <c r="FX177" s="222"/>
      <c r="FY177" s="336"/>
      <c r="FZ177" s="223"/>
      <c r="GA177" s="338"/>
      <c r="GB177" s="204"/>
      <c r="GC177" s="339"/>
      <c r="GD177" s="342"/>
      <c r="GE177" s="199"/>
      <c r="GF177" s="199"/>
      <c r="GG177" s="199"/>
      <c r="GH177" s="199"/>
      <c r="GI177" s="199"/>
      <c r="GJ177" s="199"/>
      <c r="GK177" s="199"/>
      <c r="GL177" s="49"/>
      <c r="GM177" s="28"/>
      <c r="GN177" s="28"/>
      <c r="GO177" s="322"/>
      <c r="GP177" s="1190"/>
      <c r="GQ177" s="1190"/>
      <c r="GR177" s="49"/>
      <c r="GS177" s="2879"/>
      <c r="GT177" s="2880"/>
      <c r="GU177" s="2881"/>
      <c r="GV177" s="49"/>
      <c r="GW177" s="49"/>
      <c r="GX177" s="49"/>
      <c r="GY177" s="49"/>
      <c r="GZ177" s="49"/>
      <c r="HA177" s="49"/>
      <c r="HB177" s="49"/>
      <c r="HC177" s="49"/>
      <c r="HD177" s="49"/>
      <c r="HE177" s="49"/>
      <c r="HF177" s="49"/>
      <c r="HG177" s="49"/>
      <c r="HH177" s="49"/>
      <c r="HI177" s="49"/>
      <c r="HJ177" s="49"/>
      <c r="HK177" s="49"/>
      <c r="HL177" s="49"/>
      <c r="HM177" s="49"/>
      <c r="HN177" s="49"/>
      <c r="HO177" s="49"/>
      <c r="HP177" s="49"/>
      <c r="HQ177" s="49"/>
      <c r="HR177" s="49"/>
      <c r="HS177" s="49"/>
      <c r="HT177" s="49"/>
      <c r="HU177" s="49"/>
      <c r="HV177" s="49"/>
      <c r="HW177" s="49"/>
      <c r="HX177" s="49"/>
      <c r="HY177" s="49"/>
      <c r="HZ177" s="49"/>
      <c r="IA177" s="49"/>
      <c r="IB177" s="49"/>
      <c r="IC177" s="49"/>
      <c r="ID177" s="49"/>
      <c r="IE177" s="49"/>
      <c r="IF177" s="49"/>
      <c r="IG177" s="49"/>
      <c r="IH177" s="49"/>
      <c r="II177" s="49"/>
      <c r="IJ177" s="49"/>
      <c r="IK177" s="49"/>
      <c r="IL177" s="49"/>
      <c r="IM177" s="49"/>
      <c r="IN177" s="49"/>
      <c r="IO177" s="49"/>
      <c r="IP177" s="49"/>
      <c r="IQ177" s="49"/>
      <c r="IR177" s="49"/>
      <c r="IS177" s="49"/>
      <c r="IT177" s="49"/>
      <c r="IU177" s="49"/>
      <c r="IV177" s="49"/>
    </row>
    <row r="178" spans="1:256" s="198" customFormat="1" ht="12" customHeight="1">
      <c r="A178" s="1252"/>
      <c r="B178" s="200"/>
      <c r="C178" s="486"/>
      <c r="D178" s="201"/>
      <c r="E178" s="202"/>
      <c r="F178" s="203"/>
      <c r="G178" s="197"/>
      <c r="H178" s="197"/>
      <c r="I178" s="197"/>
      <c r="J178" s="197"/>
      <c r="K178" s="175"/>
      <c r="L178" s="197"/>
      <c r="M178" s="197"/>
      <c r="N178" s="197"/>
      <c r="O178" s="197"/>
      <c r="P178" s="197"/>
      <c r="Q178" s="1198"/>
      <c r="R178" s="202"/>
      <c r="S178" s="202"/>
      <c r="T178" s="1186"/>
      <c r="U178" s="233"/>
      <c r="V178" s="49"/>
      <c r="W178" s="218"/>
      <c r="X178" s="218"/>
      <c r="Y178" s="216"/>
      <c r="Z178" s="216"/>
      <c r="AA178" s="215"/>
      <c r="AB178" s="216"/>
      <c r="AC178" s="216"/>
      <c r="AD178" s="239"/>
      <c r="AE178" s="216"/>
      <c r="AF178" s="216"/>
      <c r="AG178" s="216"/>
      <c r="AH178" s="216"/>
      <c r="AI178" s="216"/>
      <c r="AJ178" s="216"/>
      <c r="AK178" s="239"/>
      <c r="AL178" s="216"/>
      <c r="AM178" s="216"/>
      <c r="AN178" s="216"/>
      <c r="AO178" s="216"/>
      <c r="AP178" s="216"/>
      <c r="AQ178" s="216"/>
      <c r="AR178" s="216"/>
      <c r="AS178" s="216"/>
      <c r="AT178" s="216"/>
      <c r="AU178" s="216"/>
      <c r="AV178" s="217"/>
      <c r="AW178" s="355"/>
      <c r="AX178" s="217"/>
      <c r="AY178" s="1559"/>
      <c r="AZ178" s="249"/>
      <c r="BA178" s="221"/>
      <c r="BB178" s="300"/>
      <c r="BC178" s="217"/>
      <c r="BD178" s="392"/>
      <c r="BE178" s="1244"/>
      <c r="BF178" s="249"/>
      <c r="BG178" s="252"/>
      <c r="BH178" s="1469"/>
      <c r="BI178" s="216"/>
      <c r="BJ178" s="1469"/>
      <c r="BK178" s="1459"/>
      <c r="BL178" s="260"/>
      <c r="BM178" s="214"/>
      <c r="BN178" s="293"/>
      <c r="BO178" s="217"/>
      <c r="BP178" s="355"/>
      <c r="BQ178" s="217"/>
      <c r="BR178" s="1193"/>
      <c r="BS178" s="249"/>
      <c r="BT178" s="216"/>
      <c r="BU178" s="1195"/>
      <c r="BV178" s="249"/>
      <c r="BW178" s="216"/>
      <c r="BX178" s="1195"/>
      <c r="BY178" s="249"/>
      <c r="BZ178" s="216"/>
      <c r="CA178" s="1195"/>
      <c r="CB178" s="249"/>
      <c r="CC178" s="216"/>
      <c r="CD178" s="1195"/>
      <c r="CE178" s="249"/>
      <c r="CF178" s="216"/>
      <c r="CG178" s="1195"/>
      <c r="CH178" s="249"/>
      <c r="CI178" s="216"/>
      <c r="CJ178" s="1195"/>
      <c r="CK178" s="249"/>
      <c r="CL178" s="216"/>
      <c r="CM178" s="1194"/>
      <c r="CN178" s="1524"/>
      <c r="CO178" s="217"/>
      <c r="CP178" s="1193"/>
      <c r="CQ178" s="293"/>
      <c r="CR178" s="217"/>
      <c r="CS178" s="305"/>
      <c r="CT178" s="249"/>
      <c r="CU178" s="216"/>
      <c r="CV178" s="1193"/>
      <c r="CW178" s="249"/>
      <c r="CX178" s="216"/>
      <c r="CY178" s="305"/>
      <c r="CZ178" s="249"/>
      <c r="DA178" s="216"/>
      <c r="DB178" s="307"/>
      <c r="DC178" s="328"/>
      <c r="DD178" s="322"/>
      <c r="DE178" s="305"/>
      <c r="DF178" s="249"/>
      <c r="DG178" s="216"/>
      <c r="DH178" s="305"/>
      <c r="DI178" s="249"/>
      <c r="DJ178" s="216"/>
      <c r="DK178" s="309"/>
      <c r="DL178" s="293"/>
      <c r="DM178" s="326"/>
      <c r="DN178" s="1256"/>
      <c r="DO178" s="214"/>
      <c r="DP178" s="1257"/>
      <c r="DQ178" s="1258"/>
      <c r="DR178" s="305"/>
      <c r="DS178" s="249"/>
      <c r="DT178" s="216"/>
      <c r="DU178" s="305"/>
      <c r="DV178" s="2520"/>
      <c r="DW178" s="2521"/>
      <c r="DX178" s="305"/>
      <c r="DY178" s="249"/>
      <c r="DZ178" s="221"/>
      <c r="EA178" s="388"/>
      <c r="EB178" s="249"/>
      <c r="EC178" s="216"/>
      <c r="ED178" s="1461"/>
      <c r="EE178" s="249"/>
      <c r="EF178" s="216"/>
      <c r="EG178" s="355"/>
      <c r="EH178" s="1425"/>
      <c r="EI178" s="1470"/>
      <c r="EJ178" s="249"/>
      <c r="EK178" s="221"/>
      <c r="EL178" s="313"/>
      <c r="EM178" s="249"/>
      <c r="EN178" s="221"/>
      <c r="EO178" s="313"/>
      <c r="EP178" s="249"/>
      <c r="EQ178" s="216"/>
      <c r="ER178" s="313"/>
      <c r="ES178" s="249"/>
      <c r="ET178" s="216"/>
      <c r="EU178" s="313"/>
      <c r="EV178" s="249"/>
      <c r="EW178" s="216"/>
      <c r="EX178" s="2505"/>
      <c r="EY178" s="249"/>
      <c r="EZ178" s="221"/>
      <c r="FA178" s="313"/>
      <c r="FB178" s="249"/>
      <c r="FC178" s="221"/>
      <c r="FD178" s="313"/>
      <c r="FE178" s="249"/>
      <c r="FF178" s="221"/>
      <c r="FG178" s="313"/>
      <c r="FH178" s="249"/>
      <c r="FI178" s="216"/>
      <c r="FJ178" s="1435"/>
      <c r="FK178" s="216"/>
      <c r="FL178" s="1268"/>
      <c r="FM178" s="1655"/>
      <c r="FN178" s="1268"/>
      <c r="FO178" s="1655"/>
      <c r="FP178" s="1268"/>
      <c r="FQ178" s="1656"/>
      <c r="FR178" s="249"/>
      <c r="FS178" s="216"/>
      <c r="FT178" s="1657"/>
      <c r="FU178" s="1658"/>
      <c r="FV178" s="242"/>
      <c r="FW178" s="343"/>
      <c r="FX178" s="222"/>
      <c r="FY178" s="336"/>
      <c r="FZ178" s="223"/>
      <c r="GA178" s="338"/>
      <c r="GB178" s="204"/>
      <c r="GC178" s="339"/>
      <c r="GD178" s="342"/>
      <c r="GE178" s="199"/>
      <c r="GF178" s="199"/>
      <c r="GG178" s="199"/>
      <c r="GH178" s="199"/>
      <c r="GI178" s="199"/>
      <c r="GJ178" s="199"/>
      <c r="GK178" s="199"/>
      <c r="GL178" s="49"/>
      <c r="GM178" s="28"/>
      <c r="GN178" s="28"/>
      <c r="GO178" s="322"/>
      <c r="GP178" s="1190"/>
      <c r="GQ178" s="1190"/>
      <c r="GR178" s="49"/>
      <c r="GS178" s="2879"/>
      <c r="GT178" s="2880"/>
      <c r="GU178" s="2881"/>
      <c r="GV178" s="49"/>
      <c r="GW178" s="49"/>
      <c r="GX178" s="49"/>
      <c r="GY178" s="49"/>
      <c r="GZ178" s="49"/>
      <c r="HA178" s="49"/>
      <c r="HB178" s="49"/>
      <c r="HC178" s="49"/>
      <c r="HD178" s="49"/>
      <c r="HE178" s="49"/>
      <c r="HF178" s="49"/>
      <c r="HG178" s="49"/>
      <c r="HH178" s="49"/>
      <c r="HI178" s="49"/>
      <c r="HJ178" s="49"/>
      <c r="HK178" s="49"/>
      <c r="HL178" s="49"/>
      <c r="HM178" s="49"/>
      <c r="HN178" s="49"/>
      <c r="HO178" s="49"/>
      <c r="HP178" s="49"/>
      <c r="HQ178" s="49"/>
      <c r="HR178" s="49"/>
      <c r="HS178" s="49"/>
      <c r="HT178" s="49"/>
      <c r="HU178" s="49"/>
      <c r="HV178" s="49"/>
      <c r="HW178" s="49"/>
      <c r="HX178" s="49"/>
      <c r="HY178" s="49"/>
      <c r="HZ178" s="49"/>
      <c r="IA178" s="49"/>
      <c r="IB178" s="49"/>
      <c r="IC178" s="49"/>
      <c r="ID178" s="49"/>
      <c r="IE178" s="49"/>
      <c r="IF178" s="49"/>
      <c r="IG178" s="49"/>
      <c r="IH178" s="49"/>
      <c r="II178" s="49"/>
      <c r="IJ178" s="49"/>
      <c r="IK178" s="49"/>
      <c r="IL178" s="49"/>
      <c r="IM178" s="49"/>
      <c r="IN178" s="49"/>
      <c r="IO178" s="49"/>
      <c r="IP178" s="49"/>
      <c r="IQ178" s="49"/>
      <c r="IR178" s="49"/>
      <c r="IS178" s="49"/>
      <c r="IT178" s="49"/>
      <c r="IU178" s="49"/>
      <c r="IV178" s="49"/>
    </row>
    <row r="179" spans="1:256" s="198" customFormat="1" ht="12" customHeight="1">
      <c r="A179" s="1252"/>
      <c r="B179" s="200"/>
      <c r="C179" s="486"/>
      <c r="D179" s="201"/>
      <c r="E179" s="202"/>
      <c r="F179" s="203"/>
      <c r="G179" s="197"/>
      <c r="H179" s="197"/>
      <c r="I179" s="197"/>
      <c r="J179" s="197"/>
      <c r="K179" s="175"/>
      <c r="L179" s="197"/>
      <c r="M179" s="197"/>
      <c r="N179" s="197"/>
      <c r="O179" s="197"/>
      <c r="P179" s="197"/>
      <c r="Q179" s="1198"/>
      <c r="R179" s="202"/>
      <c r="S179" s="202"/>
      <c r="T179" s="1186"/>
      <c r="U179" s="233"/>
      <c r="V179" s="49"/>
      <c r="W179" s="218"/>
      <c r="X179" s="218"/>
      <c r="Y179" s="216"/>
      <c r="Z179" s="216"/>
      <c r="AA179" s="215"/>
      <c r="AB179" s="216"/>
      <c r="AC179" s="216"/>
      <c r="AD179" s="239"/>
      <c r="AE179" s="216"/>
      <c r="AF179" s="216"/>
      <c r="AG179" s="216"/>
      <c r="AH179" s="216"/>
      <c r="AI179" s="216"/>
      <c r="AJ179" s="216"/>
      <c r="AK179" s="239"/>
      <c r="AL179" s="216"/>
      <c r="AM179" s="216"/>
      <c r="AN179" s="216"/>
      <c r="AO179" s="216"/>
      <c r="AP179" s="216"/>
      <c r="AQ179" s="216"/>
      <c r="AR179" s="216"/>
      <c r="AS179" s="216"/>
      <c r="AT179" s="216"/>
      <c r="AU179" s="216"/>
      <c r="AV179" s="217"/>
      <c r="AW179" s="355"/>
      <c r="AX179" s="217"/>
      <c r="AY179" s="1559"/>
      <c r="AZ179" s="249"/>
      <c r="BA179" s="221"/>
      <c r="BB179" s="300"/>
      <c r="BC179" s="217"/>
      <c r="BD179" s="392"/>
      <c r="BE179" s="1244"/>
      <c r="BF179" s="249"/>
      <c r="BG179" s="252"/>
      <c r="BH179" s="1469"/>
      <c r="BI179" s="216"/>
      <c r="BJ179" s="1469"/>
      <c r="BK179" s="1459"/>
      <c r="BL179" s="260"/>
      <c r="BM179" s="214"/>
      <c r="BN179" s="293"/>
      <c r="BO179" s="217"/>
      <c r="BP179" s="355"/>
      <c r="BQ179" s="217"/>
      <c r="BR179" s="1193"/>
      <c r="BS179" s="249"/>
      <c r="BT179" s="216"/>
      <c r="BU179" s="1195"/>
      <c r="BV179" s="249"/>
      <c r="BW179" s="216"/>
      <c r="BX179" s="1195"/>
      <c r="BY179" s="249"/>
      <c r="BZ179" s="216"/>
      <c r="CA179" s="1195"/>
      <c r="CB179" s="249"/>
      <c r="CC179" s="216"/>
      <c r="CD179" s="1195"/>
      <c r="CE179" s="249"/>
      <c r="CF179" s="216"/>
      <c r="CG179" s="1195"/>
      <c r="CH179" s="249"/>
      <c r="CI179" s="216"/>
      <c r="CJ179" s="1195"/>
      <c r="CK179" s="249"/>
      <c r="CL179" s="216"/>
      <c r="CM179" s="1194"/>
      <c r="CN179" s="1524"/>
      <c r="CO179" s="217"/>
      <c r="CP179" s="1193"/>
      <c r="CQ179" s="293"/>
      <c r="CR179" s="217"/>
      <c r="CS179" s="305"/>
      <c r="CT179" s="249"/>
      <c r="CU179" s="216"/>
      <c r="CV179" s="1193"/>
      <c r="CW179" s="249"/>
      <c r="CX179" s="216"/>
      <c r="CY179" s="305"/>
      <c r="CZ179" s="249"/>
      <c r="DA179" s="216"/>
      <c r="DB179" s="307"/>
      <c r="DC179" s="328"/>
      <c r="DD179" s="322"/>
      <c r="DE179" s="305"/>
      <c r="DF179" s="249"/>
      <c r="DG179" s="216"/>
      <c r="DH179" s="305"/>
      <c r="DI179" s="249"/>
      <c r="DJ179" s="216"/>
      <c r="DK179" s="309"/>
      <c r="DL179" s="293"/>
      <c r="DM179" s="326"/>
      <c r="DN179" s="1256"/>
      <c r="DO179" s="214"/>
      <c r="DP179" s="1257"/>
      <c r="DQ179" s="1258"/>
      <c r="DR179" s="305"/>
      <c r="DS179" s="249"/>
      <c r="DT179" s="216"/>
      <c r="DU179" s="305"/>
      <c r="DV179" s="2520"/>
      <c r="DW179" s="2521"/>
      <c r="DX179" s="305"/>
      <c r="DY179" s="249"/>
      <c r="DZ179" s="221"/>
      <c r="EA179" s="388"/>
      <c r="EB179" s="249"/>
      <c r="EC179" s="216"/>
      <c r="ED179" s="1461"/>
      <c r="EE179" s="249"/>
      <c r="EF179" s="216"/>
      <c r="EG179" s="355"/>
      <c r="EH179" s="1425"/>
      <c r="EI179" s="1470"/>
      <c r="EJ179" s="249"/>
      <c r="EK179" s="221"/>
      <c r="EL179" s="313"/>
      <c r="EM179" s="249"/>
      <c r="EN179" s="221"/>
      <c r="EO179" s="313"/>
      <c r="EP179" s="249"/>
      <c r="EQ179" s="216"/>
      <c r="ER179" s="313"/>
      <c r="ES179" s="249"/>
      <c r="ET179" s="216"/>
      <c r="EU179" s="313"/>
      <c r="EV179" s="249"/>
      <c r="EW179" s="216"/>
      <c r="EX179" s="2505"/>
      <c r="EY179" s="249"/>
      <c r="EZ179" s="221"/>
      <c r="FA179" s="313"/>
      <c r="FB179" s="249"/>
      <c r="FC179" s="221"/>
      <c r="FD179" s="313"/>
      <c r="FE179" s="249"/>
      <c r="FF179" s="221"/>
      <c r="FG179" s="313"/>
      <c r="FH179" s="249"/>
      <c r="FI179" s="216"/>
      <c r="FJ179" s="1435"/>
      <c r="FK179" s="216"/>
      <c r="FL179" s="1268"/>
      <c r="FM179" s="1655"/>
      <c r="FN179" s="1268"/>
      <c r="FO179" s="1655"/>
      <c r="FP179" s="1268"/>
      <c r="FQ179" s="1656"/>
      <c r="FR179" s="249"/>
      <c r="FS179" s="216"/>
      <c r="FT179" s="1657"/>
      <c r="FU179" s="1658"/>
      <c r="FV179" s="242"/>
      <c r="FW179" s="343"/>
      <c r="FX179" s="222"/>
      <c r="FY179" s="336"/>
      <c r="FZ179" s="223"/>
      <c r="GA179" s="338"/>
      <c r="GB179" s="204"/>
      <c r="GC179" s="339"/>
      <c r="GD179" s="342"/>
      <c r="GE179" s="199"/>
      <c r="GF179" s="199"/>
      <c r="GG179" s="199"/>
      <c r="GH179" s="199"/>
      <c r="GI179" s="199"/>
      <c r="GJ179" s="199"/>
      <c r="GK179" s="199"/>
      <c r="GL179" s="49"/>
      <c r="GM179" s="28"/>
      <c r="GN179" s="28"/>
      <c r="GO179" s="322"/>
      <c r="GP179" s="1190"/>
      <c r="GQ179" s="1190"/>
      <c r="GR179" s="49"/>
      <c r="GS179" s="2879"/>
      <c r="GT179" s="2880"/>
      <c r="GU179" s="2881"/>
      <c r="GV179" s="49"/>
      <c r="GW179" s="49"/>
      <c r="GX179" s="49"/>
      <c r="GY179" s="49"/>
      <c r="GZ179" s="49"/>
      <c r="HA179" s="49"/>
      <c r="HB179" s="49"/>
      <c r="HC179" s="49"/>
      <c r="HD179" s="49"/>
      <c r="HE179" s="49"/>
      <c r="HF179" s="49"/>
      <c r="HG179" s="49"/>
      <c r="HH179" s="49"/>
      <c r="HI179" s="49"/>
      <c r="HJ179" s="49"/>
      <c r="HK179" s="49"/>
      <c r="HL179" s="49"/>
      <c r="HM179" s="49"/>
      <c r="HN179" s="49"/>
      <c r="HO179" s="49"/>
      <c r="HP179" s="49"/>
      <c r="HQ179" s="49"/>
      <c r="HR179" s="49"/>
      <c r="HS179" s="49"/>
      <c r="HT179" s="49"/>
      <c r="HU179" s="49"/>
      <c r="HV179" s="49"/>
      <c r="HW179" s="49"/>
      <c r="HX179" s="49"/>
      <c r="HY179" s="49"/>
      <c r="HZ179" s="49"/>
      <c r="IA179" s="49"/>
      <c r="IB179" s="49"/>
      <c r="IC179" s="49"/>
      <c r="ID179" s="49"/>
      <c r="IE179" s="49"/>
      <c r="IF179" s="49"/>
      <c r="IG179" s="49"/>
      <c r="IH179" s="49"/>
      <c r="II179" s="49"/>
      <c r="IJ179" s="49"/>
      <c r="IK179" s="49"/>
      <c r="IL179" s="49"/>
      <c r="IM179" s="49"/>
      <c r="IN179" s="49"/>
      <c r="IO179" s="49"/>
      <c r="IP179" s="49"/>
      <c r="IQ179" s="49"/>
      <c r="IR179" s="49"/>
      <c r="IS179" s="49"/>
      <c r="IT179" s="49"/>
      <c r="IU179" s="49"/>
      <c r="IV179" s="49"/>
    </row>
    <row r="180" spans="1:256" s="198" customFormat="1" ht="12" customHeight="1">
      <c r="A180" s="1252"/>
      <c r="B180" s="200"/>
      <c r="C180" s="486"/>
      <c r="D180" s="201"/>
      <c r="E180" s="202"/>
      <c r="F180" s="203"/>
      <c r="G180" s="197"/>
      <c r="H180" s="197"/>
      <c r="I180" s="197"/>
      <c r="J180" s="197"/>
      <c r="K180" s="175"/>
      <c r="L180" s="197"/>
      <c r="M180" s="197"/>
      <c r="N180" s="197"/>
      <c r="O180" s="197"/>
      <c r="P180" s="197"/>
      <c r="Q180" s="1198"/>
      <c r="R180" s="202"/>
      <c r="S180" s="202"/>
      <c r="T180" s="1186"/>
      <c r="U180" s="233"/>
      <c r="V180" s="49"/>
      <c r="W180" s="218"/>
      <c r="X180" s="218"/>
      <c r="Y180" s="216"/>
      <c r="Z180" s="216"/>
      <c r="AA180" s="215"/>
      <c r="AB180" s="216"/>
      <c r="AC180" s="216"/>
      <c r="AD180" s="239"/>
      <c r="AE180" s="216"/>
      <c r="AF180" s="216"/>
      <c r="AG180" s="216"/>
      <c r="AH180" s="216"/>
      <c r="AI180" s="216"/>
      <c r="AJ180" s="216"/>
      <c r="AK180" s="239"/>
      <c r="AL180" s="216"/>
      <c r="AM180" s="216"/>
      <c r="AN180" s="216"/>
      <c r="AO180" s="216"/>
      <c r="AP180" s="216"/>
      <c r="AQ180" s="216"/>
      <c r="AR180" s="216"/>
      <c r="AS180" s="216"/>
      <c r="AT180" s="216"/>
      <c r="AU180" s="216"/>
      <c r="AV180" s="217"/>
      <c r="AW180" s="355"/>
      <c r="AX180" s="217"/>
      <c r="AY180" s="1559"/>
      <c r="AZ180" s="249"/>
      <c r="BA180" s="221"/>
      <c r="BB180" s="300"/>
      <c r="BC180" s="217"/>
      <c r="BD180" s="392"/>
      <c r="BE180" s="1244"/>
      <c r="BF180" s="249"/>
      <c r="BG180" s="252"/>
      <c r="BH180" s="1469"/>
      <c r="BI180" s="216"/>
      <c r="BJ180" s="1469"/>
      <c r="BK180" s="1459"/>
      <c r="BL180" s="260"/>
      <c r="BM180" s="214"/>
      <c r="BN180" s="293"/>
      <c r="BO180" s="217"/>
      <c r="BP180" s="355"/>
      <c r="BQ180" s="217"/>
      <c r="BR180" s="1193"/>
      <c r="BS180" s="249"/>
      <c r="BT180" s="216"/>
      <c r="BU180" s="1195"/>
      <c r="BV180" s="249"/>
      <c r="BW180" s="216"/>
      <c r="BX180" s="1195"/>
      <c r="BY180" s="249"/>
      <c r="BZ180" s="216"/>
      <c r="CA180" s="1195"/>
      <c r="CB180" s="249"/>
      <c r="CC180" s="216"/>
      <c r="CD180" s="1195"/>
      <c r="CE180" s="249"/>
      <c r="CF180" s="216"/>
      <c r="CG180" s="1195"/>
      <c r="CH180" s="249"/>
      <c r="CI180" s="216"/>
      <c r="CJ180" s="1195"/>
      <c r="CK180" s="249"/>
      <c r="CL180" s="216"/>
      <c r="CM180" s="1194"/>
      <c r="CN180" s="1524"/>
      <c r="CO180" s="217"/>
      <c r="CP180" s="1193"/>
      <c r="CQ180" s="293"/>
      <c r="CR180" s="217"/>
      <c r="CS180" s="305"/>
      <c r="CT180" s="249"/>
      <c r="CU180" s="216"/>
      <c r="CV180" s="1193"/>
      <c r="CW180" s="249"/>
      <c r="CX180" s="216"/>
      <c r="CY180" s="305"/>
      <c r="CZ180" s="249"/>
      <c r="DA180" s="216"/>
      <c r="DB180" s="307"/>
      <c r="DC180" s="328"/>
      <c r="DD180" s="322"/>
      <c r="DE180" s="305"/>
      <c r="DF180" s="249"/>
      <c r="DG180" s="216"/>
      <c r="DH180" s="305"/>
      <c r="DI180" s="249"/>
      <c r="DJ180" s="216"/>
      <c r="DK180" s="309"/>
      <c r="DL180" s="293"/>
      <c r="DM180" s="326"/>
      <c r="DN180" s="1256"/>
      <c r="DO180" s="214"/>
      <c r="DP180" s="1257"/>
      <c r="DQ180" s="1258"/>
      <c r="DR180" s="305"/>
      <c r="DS180" s="249"/>
      <c r="DT180" s="216"/>
      <c r="DU180" s="305"/>
      <c r="DV180" s="2520"/>
      <c r="DW180" s="2521"/>
      <c r="DX180" s="305"/>
      <c r="DY180" s="249"/>
      <c r="DZ180" s="221"/>
      <c r="EA180" s="388"/>
      <c r="EB180" s="249"/>
      <c r="EC180" s="216"/>
      <c r="ED180" s="1461"/>
      <c r="EE180" s="249"/>
      <c r="EF180" s="216"/>
      <c r="EG180" s="355"/>
      <c r="EH180" s="1425"/>
      <c r="EI180" s="1470"/>
      <c r="EJ180" s="249"/>
      <c r="EK180" s="221"/>
      <c r="EL180" s="313"/>
      <c r="EM180" s="249"/>
      <c r="EN180" s="221"/>
      <c r="EO180" s="313"/>
      <c r="EP180" s="249"/>
      <c r="EQ180" s="216"/>
      <c r="ER180" s="313"/>
      <c r="ES180" s="249"/>
      <c r="ET180" s="216"/>
      <c r="EU180" s="313"/>
      <c r="EV180" s="249"/>
      <c r="EW180" s="216"/>
      <c r="EX180" s="2505"/>
      <c r="EY180" s="249"/>
      <c r="EZ180" s="221"/>
      <c r="FA180" s="313"/>
      <c r="FB180" s="249"/>
      <c r="FC180" s="221"/>
      <c r="FD180" s="313"/>
      <c r="FE180" s="249"/>
      <c r="FF180" s="221"/>
      <c r="FG180" s="313"/>
      <c r="FH180" s="249"/>
      <c r="FI180" s="216"/>
      <c r="FJ180" s="1435"/>
      <c r="FK180" s="216"/>
      <c r="FL180" s="1268"/>
      <c r="FM180" s="1655"/>
      <c r="FN180" s="1268"/>
      <c r="FO180" s="1655"/>
      <c r="FP180" s="1268"/>
      <c r="FQ180" s="1656"/>
      <c r="FR180" s="249"/>
      <c r="FS180" s="216"/>
      <c r="FT180" s="1657"/>
      <c r="FU180" s="1658"/>
      <c r="FV180" s="242"/>
      <c r="FW180" s="343"/>
      <c r="FX180" s="222"/>
      <c r="FY180" s="336"/>
      <c r="FZ180" s="223"/>
      <c r="GA180" s="338"/>
      <c r="GB180" s="204"/>
      <c r="GC180" s="339"/>
      <c r="GD180" s="342"/>
      <c r="GE180" s="199"/>
      <c r="GF180" s="199"/>
      <c r="GG180" s="199"/>
      <c r="GH180" s="199"/>
      <c r="GI180" s="199"/>
      <c r="GJ180" s="199"/>
      <c r="GK180" s="199"/>
      <c r="GL180" s="49"/>
      <c r="GM180" s="28"/>
      <c r="GN180" s="28"/>
      <c r="GO180" s="322"/>
      <c r="GP180" s="1190"/>
      <c r="GQ180" s="1190"/>
      <c r="GR180" s="49"/>
      <c r="GS180" s="2879"/>
      <c r="GT180" s="2880"/>
      <c r="GU180" s="2881"/>
      <c r="GV180" s="49"/>
      <c r="GW180" s="49"/>
      <c r="GX180" s="49"/>
      <c r="GY180" s="49"/>
      <c r="GZ180" s="49"/>
      <c r="HA180" s="49"/>
      <c r="HB180" s="49"/>
      <c r="HC180" s="49"/>
      <c r="HD180" s="49"/>
      <c r="HE180" s="49"/>
      <c r="HF180" s="49"/>
      <c r="HG180" s="49"/>
      <c r="HH180" s="49"/>
      <c r="HI180" s="49"/>
      <c r="HJ180" s="49"/>
      <c r="HK180" s="49"/>
      <c r="HL180" s="49"/>
      <c r="HM180" s="49"/>
      <c r="HN180" s="49"/>
      <c r="HO180" s="49"/>
      <c r="HP180" s="49"/>
      <c r="HQ180" s="49"/>
      <c r="HR180" s="49"/>
      <c r="HS180" s="49"/>
      <c r="HT180" s="49"/>
      <c r="HU180" s="49"/>
      <c r="HV180" s="49"/>
      <c r="HW180" s="49"/>
      <c r="HX180" s="49"/>
      <c r="HY180" s="49"/>
      <c r="HZ180" s="49"/>
      <c r="IA180" s="49"/>
      <c r="IB180" s="49"/>
      <c r="IC180" s="49"/>
      <c r="ID180" s="49"/>
      <c r="IE180" s="49"/>
      <c r="IF180" s="49"/>
      <c r="IG180" s="49"/>
      <c r="IH180" s="49"/>
      <c r="II180" s="49"/>
      <c r="IJ180" s="49"/>
      <c r="IK180" s="49"/>
      <c r="IL180" s="49"/>
      <c r="IM180" s="49"/>
      <c r="IN180" s="49"/>
      <c r="IO180" s="49"/>
      <c r="IP180" s="49"/>
      <c r="IQ180" s="49"/>
      <c r="IR180" s="49"/>
      <c r="IS180" s="49"/>
      <c r="IT180" s="49"/>
      <c r="IU180" s="49"/>
      <c r="IV180" s="49"/>
    </row>
    <row r="181" spans="1:256" s="198" customFormat="1" ht="12" customHeight="1">
      <c r="A181" s="1252"/>
      <c r="B181" s="200"/>
      <c r="C181" s="486"/>
      <c r="D181" s="201"/>
      <c r="E181" s="202"/>
      <c r="F181" s="203"/>
      <c r="G181" s="197"/>
      <c r="H181" s="197"/>
      <c r="I181" s="197"/>
      <c r="J181" s="197"/>
      <c r="K181" s="175"/>
      <c r="L181" s="197"/>
      <c r="M181" s="197"/>
      <c r="N181" s="197"/>
      <c r="O181" s="197"/>
      <c r="P181" s="197"/>
      <c r="Q181" s="1198"/>
      <c r="R181" s="202"/>
      <c r="S181" s="202"/>
      <c r="T181" s="1186"/>
      <c r="U181" s="233"/>
      <c r="V181" s="49"/>
      <c r="W181" s="218"/>
      <c r="X181" s="218"/>
      <c r="Y181" s="216"/>
      <c r="Z181" s="216"/>
      <c r="AA181" s="215"/>
      <c r="AB181" s="216"/>
      <c r="AC181" s="216"/>
      <c r="AD181" s="239"/>
      <c r="AE181" s="216"/>
      <c r="AF181" s="216"/>
      <c r="AG181" s="216"/>
      <c r="AH181" s="216"/>
      <c r="AI181" s="216"/>
      <c r="AJ181" s="216"/>
      <c r="AK181" s="239"/>
      <c r="AL181" s="216"/>
      <c r="AM181" s="216"/>
      <c r="AN181" s="216"/>
      <c r="AO181" s="216"/>
      <c r="AP181" s="216"/>
      <c r="AQ181" s="216"/>
      <c r="AR181" s="216"/>
      <c r="AS181" s="216"/>
      <c r="AT181" s="216"/>
      <c r="AU181" s="216"/>
      <c r="AV181" s="217"/>
      <c r="AW181" s="355"/>
      <c r="AX181" s="217"/>
      <c r="AY181" s="1559"/>
      <c r="AZ181" s="249"/>
      <c r="BA181" s="221"/>
      <c r="BB181" s="300"/>
      <c r="BC181" s="217"/>
      <c r="BD181" s="392"/>
      <c r="BE181" s="1244"/>
      <c r="BF181" s="249"/>
      <c r="BG181" s="252"/>
      <c r="BH181" s="1469"/>
      <c r="BI181" s="216"/>
      <c r="BJ181" s="1469"/>
      <c r="BK181" s="1459"/>
      <c r="BL181" s="260"/>
      <c r="BM181" s="214"/>
      <c r="BN181" s="293"/>
      <c r="BO181" s="217"/>
      <c r="BP181" s="355"/>
      <c r="BQ181" s="217"/>
      <c r="BR181" s="1193"/>
      <c r="BS181" s="249"/>
      <c r="BT181" s="216"/>
      <c r="BU181" s="1195"/>
      <c r="BV181" s="249"/>
      <c r="BW181" s="216"/>
      <c r="BX181" s="1195"/>
      <c r="BY181" s="249"/>
      <c r="BZ181" s="216"/>
      <c r="CA181" s="1195"/>
      <c r="CB181" s="249"/>
      <c r="CC181" s="216"/>
      <c r="CD181" s="1195"/>
      <c r="CE181" s="249"/>
      <c r="CF181" s="216"/>
      <c r="CG181" s="1195"/>
      <c r="CH181" s="249"/>
      <c r="CI181" s="216"/>
      <c r="CJ181" s="1195"/>
      <c r="CK181" s="249"/>
      <c r="CL181" s="216"/>
      <c r="CM181" s="1194"/>
      <c r="CN181" s="1524"/>
      <c r="CO181" s="217"/>
      <c r="CP181" s="1193"/>
      <c r="CQ181" s="293"/>
      <c r="CR181" s="217"/>
      <c r="CS181" s="305"/>
      <c r="CT181" s="249"/>
      <c r="CU181" s="216"/>
      <c r="CV181" s="1193"/>
      <c r="CW181" s="249"/>
      <c r="CX181" s="216"/>
      <c r="CY181" s="305"/>
      <c r="CZ181" s="249"/>
      <c r="DA181" s="216"/>
      <c r="DB181" s="307"/>
      <c r="DC181" s="328"/>
      <c r="DD181" s="322"/>
      <c r="DE181" s="305"/>
      <c r="DF181" s="249"/>
      <c r="DG181" s="216"/>
      <c r="DH181" s="305"/>
      <c r="DI181" s="249"/>
      <c r="DJ181" s="216"/>
      <c r="DK181" s="309"/>
      <c r="DL181" s="293"/>
      <c r="DM181" s="326"/>
      <c r="DN181" s="1256"/>
      <c r="DO181" s="214"/>
      <c r="DP181" s="1257"/>
      <c r="DQ181" s="1258"/>
      <c r="DR181" s="305"/>
      <c r="DS181" s="249"/>
      <c r="DT181" s="216"/>
      <c r="DU181" s="305"/>
      <c r="DV181" s="2520"/>
      <c r="DW181" s="2521"/>
      <c r="DX181" s="305"/>
      <c r="DY181" s="249"/>
      <c r="DZ181" s="221"/>
      <c r="EA181" s="388"/>
      <c r="EB181" s="249"/>
      <c r="EC181" s="216"/>
      <c r="ED181" s="1461"/>
      <c r="EE181" s="249"/>
      <c r="EF181" s="216"/>
      <c r="EG181" s="355"/>
      <c r="EH181" s="1425"/>
      <c r="EI181" s="1470"/>
      <c r="EJ181" s="249"/>
      <c r="EK181" s="221"/>
      <c r="EL181" s="313"/>
      <c r="EM181" s="249"/>
      <c r="EN181" s="221"/>
      <c r="EO181" s="313"/>
      <c r="EP181" s="249"/>
      <c r="EQ181" s="216"/>
      <c r="ER181" s="313"/>
      <c r="ES181" s="249"/>
      <c r="ET181" s="216"/>
      <c r="EU181" s="313"/>
      <c r="EV181" s="249"/>
      <c r="EW181" s="216"/>
      <c r="EX181" s="2505"/>
      <c r="EY181" s="249"/>
      <c r="EZ181" s="221"/>
      <c r="FA181" s="313"/>
      <c r="FB181" s="249"/>
      <c r="FC181" s="221"/>
      <c r="FD181" s="313"/>
      <c r="FE181" s="249"/>
      <c r="FF181" s="221"/>
      <c r="FG181" s="313"/>
      <c r="FH181" s="249"/>
      <c r="FI181" s="216"/>
      <c r="FJ181" s="1435"/>
      <c r="FK181" s="216"/>
      <c r="FL181" s="1268"/>
      <c r="FM181" s="1655"/>
      <c r="FN181" s="1268"/>
      <c r="FO181" s="1655"/>
      <c r="FP181" s="1268"/>
      <c r="FQ181" s="1656"/>
      <c r="FR181" s="249"/>
      <c r="FS181" s="216"/>
      <c r="FT181" s="1657"/>
      <c r="FU181" s="1658"/>
      <c r="FV181" s="242"/>
      <c r="FW181" s="343"/>
      <c r="FX181" s="222"/>
      <c r="FY181" s="336"/>
      <c r="FZ181" s="223"/>
      <c r="GA181" s="338"/>
      <c r="GB181" s="204"/>
      <c r="GC181" s="339"/>
      <c r="GD181" s="342"/>
      <c r="GE181" s="199"/>
      <c r="GF181" s="199"/>
      <c r="GG181" s="199"/>
      <c r="GH181" s="199"/>
      <c r="GI181" s="199"/>
      <c r="GJ181" s="199"/>
      <c r="GK181" s="199"/>
      <c r="GL181" s="49"/>
      <c r="GM181" s="28"/>
      <c r="GN181" s="28"/>
      <c r="GO181" s="322"/>
      <c r="GP181" s="1190"/>
      <c r="GQ181" s="1190"/>
      <c r="GR181" s="49"/>
      <c r="GS181" s="2879"/>
      <c r="GT181" s="2880"/>
      <c r="GU181" s="2881"/>
      <c r="GV181" s="49"/>
      <c r="GW181" s="49"/>
      <c r="GX181" s="49"/>
      <c r="GY181" s="49"/>
      <c r="GZ181" s="49"/>
      <c r="HA181" s="49"/>
      <c r="HB181" s="49"/>
      <c r="HC181" s="49"/>
      <c r="HD181" s="49"/>
      <c r="HE181" s="49"/>
      <c r="HF181" s="49"/>
      <c r="HG181" s="49"/>
      <c r="HH181" s="49"/>
      <c r="HI181" s="49"/>
      <c r="HJ181" s="49"/>
      <c r="HK181" s="49"/>
      <c r="HL181" s="49"/>
      <c r="HM181" s="49"/>
      <c r="HN181" s="49"/>
      <c r="HO181" s="49"/>
      <c r="HP181" s="49"/>
      <c r="HQ181" s="49"/>
      <c r="HR181" s="49"/>
      <c r="HS181" s="49"/>
      <c r="HT181" s="49"/>
      <c r="HU181" s="49"/>
      <c r="HV181" s="49"/>
      <c r="HW181" s="49"/>
      <c r="HX181" s="49"/>
      <c r="HY181" s="49"/>
      <c r="HZ181" s="49"/>
      <c r="IA181" s="49"/>
      <c r="IB181" s="49"/>
      <c r="IC181" s="49"/>
      <c r="ID181" s="49"/>
      <c r="IE181" s="49"/>
      <c r="IF181" s="49"/>
      <c r="IG181" s="49"/>
      <c r="IH181" s="49"/>
      <c r="II181" s="49"/>
      <c r="IJ181" s="49"/>
      <c r="IK181" s="49"/>
      <c r="IL181" s="49"/>
      <c r="IM181" s="49"/>
      <c r="IN181" s="49"/>
      <c r="IO181" s="49"/>
      <c r="IP181" s="49"/>
      <c r="IQ181" s="49"/>
      <c r="IR181" s="49"/>
      <c r="IS181" s="49"/>
      <c r="IT181" s="49"/>
      <c r="IU181" s="49"/>
      <c r="IV181" s="49"/>
    </row>
    <row r="182" spans="1:256" s="198" customFormat="1" ht="12" customHeight="1">
      <c r="A182" s="1252"/>
      <c r="B182" s="200"/>
      <c r="C182" s="486"/>
      <c r="D182" s="201"/>
      <c r="E182" s="202"/>
      <c r="F182" s="203"/>
      <c r="G182" s="197"/>
      <c r="H182" s="197"/>
      <c r="I182" s="197"/>
      <c r="J182" s="197"/>
      <c r="K182" s="175"/>
      <c r="L182" s="197"/>
      <c r="M182" s="197"/>
      <c r="N182" s="197"/>
      <c r="O182" s="197"/>
      <c r="P182" s="197"/>
      <c r="Q182" s="1198"/>
      <c r="R182" s="202"/>
      <c r="S182" s="202"/>
      <c r="T182" s="1186"/>
      <c r="U182" s="233"/>
      <c r="V182" s="49"/>
      <c r="W182" s="218"/>
      <c r="X182" s="218"/>
      <c r="Y182" s="216"/>
      <c r="Z182" s="216"/>
      <c r="AA182" s="215"/>
      <c r="AB182" s="216"/>
      <c r="AC182" s="216"/>
      <c r="AD182" s="239"/>
      <c r="AE182" s="216"/>
      <c r="AF182" s="216"/>
      <c r="AG182" s="216"/>
      <c r="AH182" s="216"/>
      <c r="AI182" s="216"/>
      <c r="AJ182" s="216"/>
      <c r="AK182" s="239"/>
      <c r="AL182" s="216"/>
      <c r="AM182" s="216"/>
      <c r="AN182" s="216"/>
      <c r="AO182" s="216"/>
      <c r="AP182" s="216"/>
      <c r="AQ182" s="216"/>
      <c r="AR182" s="216"/>
      <c r="AS182" s="216"/>
      <c r="AT182" s="216"/>
      <c r="AU182" s="216"/>
      <c r="AV182" s="217"/>
      <c r="AW182" s="355"/>
      <c r="AX182" s="217"/>
      <c r="AY182" s="1559"/>
      <c r="AZ182" s="249"/>
      <c r="BA182" s="221"/>
      <c r="BB182" s="300"/>
      <c r="BC182" s="217"/>
      <c r="BD182" s="392"/>
      <c r="BE182" s="1244"/>
      <c r="BF182" s="249"/>
      <c r="BG182" s="252"/>
      <c r="BH182" s="1469"/>
      <c r="BI182" s="216"/>
      <c r="BJ182" s="1469"/>
      <c r="BK182" s="1459"/>
      <c r="BL182" s="260"/>
      <c r="BM182" s="214"/>
      <c r="BN182" s="293"/>
      <c r="BO182" s="217"/>
      <c r="BP182" s="355"/>
      <c r="BQ182" s="217"/>
      <c r="BR182" s="1193"/>
      <c r="BS182" s="249"/>
      <c r="BT182" s="216"/>
      <c r="BU182" s="1195"/>
      <c r="BV182" s="249"/>
      <c r="BW182" s="216"/>
      <c r="BX182" s="1195"/>
      <c r="BY182" s="249"/>
      <c r="BZ182" s="216"/>
      <c r="CA182" s="1195"/>
      <c r="CB182" s="249"/>
      <c r="CC182" s="216"/>
      <c r="CD182" s="1195"/>
      <c r="CE182" s="249"/>
      <c r="CF182" s="216"/>
      <c r="CG182" s="1195"/>
      <c r="CH182" s="249"/>
      <c r="CI182" s="216"/>
      <c r="CJ182" s="1195"/>
      <c r="CK182" s="249"/>
      <c r="CL182" s="216"/>
      <c r="CM182" s="1194"/>
      <c r="CN182" s="1524"/>
      <c r="CO182" s="217"/>
      <c r="CP182" s="1193"/>
      <c r="CQ182" s="293"/>
      <c r="CR182" s="217"/>
      <c r="CS182" s="305"/>
      <c r="CT182" s="249"/>
      <c r="CU182" s="216"/>
      <c r="CV182" s="1193"/>
      <c r="CW182" s="249"/>
      <c r="CX182" s="216"/>
      <c r="CY182" s="305"/>
      <c r="CZ182" s="249"/>
      <c r="DA182" s="216"/>
      <c r="DB182" s="307"/>
      <c r="DC182" s="328"/>
      <c r="DD182" s="322"/>
      <c r="DE182" s="305"/>
      <c r="DF182" s="249"/>
      <c r="DG182" s="216"/>
      <c r="DH182" s="305"/>
      <c r="DI182" s="249"/>
      <c r="DJ182" s="216"/>
      <c r="DK182" s="309"/>
      <c r="DL182" s="293"/>
      <c r="DM182" s="326"/>
      <c r="DN182" s="1256"/>
      <c r="DO182" s="214"/>
      <c r="DP182" s="1257"/>
      <c r="DQ182" s="1258"/>
      <c r="DR182" s="305"/>
      <c r="DS182" s="249"/>
      <c r="DT182" s="216"/>
      <c r="DU182" s="305"/>
      <c r="DV182" s="2520"/>
      <c r="DW182" s="2521"/>
      <c r="DX182" s="305"/>
      <c r="DY182" s="249"/>
      <c r="DZ182" s="221"/>
      <c r="EA182" s="388"/>
      <c r="EB182" s="249"/>
      <c r="EC182" s="216"/>
      <c r="ED182" s="1461"/>
      <c r="EE182" s="249"/>
      <c r="EF182" s="216"/>
      <c r="EG182" s="355"/>
      <c r="EH182" s="1425"/>
      <c r="EI182" s="1470"/>
      <c r="EJ182" s="249"/>
      <c r="EK182" s="221"/>
      <c r="EL182" s="313"/>
      <c r="EM182" s="249"/>
      <c r="EN182" s="221"/>
      <c r="EO182" s="313"/>
      <c r="EP182" s="249"/>
      <c r="EQ182" s="216"/>
      <c r="ER182" s="313"/>
      <c r="ES182" s="249"/>
      <c r="ET182" s="216"/>
      <c r="EU182" s="313"/>
      <c r="EV182" s="249"/>
      <c r="EW182" s="216"/>
      <c r="EX182" s="2505"/>
      <c r="EY182" s="249"/>
      <c r="EZ182" s="221"/>
      <c r="FA182" s="313"/>
      <c r="FB182" s="249"/>
      <c r="FC182" s="221"/>
      <c r="FD182" s="313"/>
      <c r="FE182" s="249"/>
      <c r="FF182" s="221"/>
      <c r="FG182" s="313"/>
      <c r="FH182" s="249"/>
      <c r="FI182" s="216"/>
      <c r="FJ182" s="1435"/>
      <c r="FK182" s="216"/>
      <c r="FL182" s="1268"/>
      <c r="FM182" s="1655"/>
      <c r="FN182" s="1268"/>
      <c r="FO182" s="1655"/>
      <c r="FP182" s="1268"/>
      <c r="FQ182" s="1656"/>
      <c r="FR182" s="249"/>
      <c r="FS182" s="216"/>
      <c r="FT182" s="1657"/>
      <c r="FU182" s="1658"/>
      <c r="FV182" s="242"/>
      <c r="FW182" s="343"/>
      <c r="FX182" s="222"/>
      <c r="FY182" s="336"/>
      <c r="FZ182" s="223"/>
      <c r="GA182" s="338"/>
      <c r="GB182" s="204"/>
      <c r="GC182" s="339"/>
      <c r="GD182" s="342"/>
      <c r="GE182" s="199"/>
      <c r="GF182" s="199"/>
      <c r="GG182" s="199"/>
      <c r="GH182" s="199"/>
      <c r="GI182" s="199"/>
      <c r="GJ182" s="199"/>
      <c r="GK182" s="199"/>
      <c r="GL182" s="49"/>
      <c r="GM182" s="28"/>
      <c r="GN182" s="28"/>
      <c r="GO182" s="322"/>
      <c r="GP182" s="1190"/>
      <c r="GQ182" s="1190"/>
      <c r="GR182" s="49"/>
      <c r="GS182" s="2879"/>
      <c r="GT182" s="2880"/>
      <c r="GU182" s="2881"/>
      <c r="GV182" s="49"/>
      <c r="GW182" s="49"/>
      <c r="GX182" s="49"/>
      <c r="GY182" s="49"/>
      <c r="GZ182" s="49"/>
      <c r="HA182" s="49"/>
      <c r="HB182" s="49"/>
      <c r="HC182" s="49"/>
      <c r="HD182" s="49"/>
      <c r="HE182" s="49"/>
      <c r="HF182" s="49"/>
      <c r="HG182" s="49"/>
      <c r="HH182" s="49"/>
      <c r="HI182" s="49"/>
      <c r="HJ182" s="49"/>
      <c r="HK182" s="49"/>
      <c r="HL182" s="49"/>
      <c r="HM182" s="49"/>
      <c r="HN182" s="49"/>
      <c r="HO182" s="49"/>
      <c r="HP182" s="49"/>
      <c r="HQ182" s="49"/>
      <c r="HR182" s="49"/>
      <c r="HS182" s="49"/>
      <c r="HT182" s="49"/>
      <c r="HU182" s="49"/>
      <c r="HV182" s="49"/>
      <c r="HW182" s="49"/>
      <c r="HX182" s="49"/>
      <c r="HY182" s="49"/>
      <c r="HZ182" s="49"/>
      <c r="IA182" s="49"/>
      <c r="IB182" s="49"/>
      <c r="IC182" s="49"/>
      <c r="ID182" s="49"/>
      <c r="IE182" s="49"/>
      <c r="IF182" s="49"/>
      <c r="IG182" s="49"/>
      <c r="IH182" s="49"/>
      <c r="II182" s="49"/>
      <c r="IJ182" s="49"/>
      <c r="IK182" s="49"/>
      <c r="IL182" s="49"/>
      <c r="IM182" s="49"/>
      <c r="IN182" s="49"/>
      <c r="IO182" s="49"/>
      <c r="IP182" s="49"/>
      <c r="IQ182" s="49"/>
      <c r="IR182" s="49"/>
      <c r="IS182" s="49"/>
      <c r="IT182" s="49"/>
      <c r="IU182" s="49"/>
      <c r="IV182" s="49"/>
    </row>
    <row r="183" spans="1:256" s="198" customFormat="1" ht="12" customHeight="1">
      <c r="A183" s="1252"/>
      <c r="B183" s="200"/>
      <c r="C183" s="486"/>
      <c r="D183" s="201"/>
      <c r="E183" s="202"/>
      <c r="F183" s="203"/>
      <c r="G183" s="197"/>
      <c r="H183" s="197"/>
      <c r="I183" s="197"/>
      <c r="J183" s="197"/>
      <c r="K183" s="175"/>
      <c r="L183" s="197"/>
      <c r="M183" s="197"/>
      <c r="N183" s="197"/>
      <c r="O183" s="197"/>
      <c r="P183" s="197"/>
      <c r="Q183" s="1198"/>
      <c r="R183" s="202"/>
      <c r="S183" s="202"/>
      <c r="T183" s="1186"/>
      <c r="U183" s="233"/>
      <c r="V183" s="49"/>
      <c r="W183" s="218"/>
      <c r="X183" s="218"/>
      <c r="Y183" s="216"/>
      <c r="Z183" s="216"/>
      <c r="AA183" s="215"/>
      <c r="AB183" s="216"/>
      <c r="AC183" s="216"/>
      <c r="AD183" s="239"/>
      <c r="AE183" s="216"/>
      <c r="AF183" s="216"/>
      <c r="AG183" s="216"/>
      <c r="AH183" s="216"/>
      <c r="AI183" s="216"/>
      <c r="AJ183" s="216"/>
      <c r="AK183" s="239"/>
      <c r="AL183" s="216"/>
      <c r="AM183" s="216"/>
      <c r="AN183" s="216"/>
      <c r="AO183" s="216"/>
      <c r="AP183" s="216"/>
      <c r="AQ183" s="216"/>
      <c r="AR183" s="216"/>
      <c r="AS183" s="216"/>
      <c r="AT183" s="216"/>
      <c r="AU183" s="216"/>
      <c r="AV183" s="217"/>
      <c r="AW183" s="355"/>
      <c r="AX183" s="217"/>
      <c r="AY183" s="1559"/>
      <c r="AZ183" s="249"/>
      <c r="BA183" s="221"/>
      <c r="BB183" s="300"/>
      <c r="BC183" s="217"/>
      <c r="BD183" s="392"/>
      <c r="BE183" s="1244"/>
      <c r="BF183" s="249"/>
      <c r="BG183" s="252"/>
      <c r="BH183" s="1469"/>
      <c r="BI183" s="216"/>
      <c r="BJ183" s="1469"/>
      <c r="BK183" s="1459"/>
      <c r="BL183" s="260"/>
      <c r="BM183" s="214"/>
      <c r="BN183" s="293"/>
      <c r="BO183" s="217"/>
      <c r="BP183" s="355"/>
      <c r="BQ183" s="217"/>
      <c r="BR183" s="1193"/>
      <c r="BS183" s="249"/>
      <c r="BT183" s="216"/>
      <c r="BU183" s="1195"/>
      <c r="BV183" s="249"/>
      <c r="BW183" s="216"/>
      <c r="BX183" s="1195"/>
      <c r="BY183" s="249"/>
      <c r="BZ183" s="216"/>
      <c r="CA183" s="1195"/>
      <c r="CB183" s="249"/>
      <c r="CC183" s="216"/>
      <c r="CD183" s="1195"/>
      <c r="CE183" s="249"/>
      <c r="CF183" s="216"/>
      <c r="CG183" s="1195"/>
      <c r="CH183" s="249"/>
      <c r="CI183" s="216"/>
      <c r="CJ183" s="1195"/>
      <c r="CK183" s="249"/>
      <c r="CL183" s="216"/>
      <c r="CM183" s="1194"/>
      <c r="CN183" s="1524"/>
      <c r="CO183" s="217"/>
      <c r="CP183" s="1193"/>
      <c r="CQ183" s="293"/>
      <c r="CR183" s="217"/>
      <c r="CS183" s="305"/>
      <c r="CT183" s="249"/>
      <c r="CU183" s="216"/>
      <c r="CV183" s="1193"/>
      <c r="CW183" s="249"/>
      <c r="CX183" s="216"/>
      <c r="CY183" s="305"/>
      <c r="CZ183" s="249"/>
      <c r="DA183" s="216"/>
      <c r="DB183" s="307"/>
      <c r="DC183" s="328"/>
      <c r="DD183" s="322"/>
      <c r="DE183" s="305"/>
      <c r="DF183" s="249"/>
      <c r="DG183" s="216"/>
      <c r="DH183" s="305"/>
      <c r="DI183" s="249"/>
      <c r="DJ183" s="216"/>
      <c r="DK183" s="309"/>
      <c r="DL183" s="293"/>
      <c r="DM183" s="326"/>
      <c r="DN183" s="1256"/>
      <c r="DO183" s="214"/>
      <c r="DP183" s="1257"/>
      <c r="DQ183" s="1258"/>
      <c r="DR183" s="305"/>
      <c r="DS183" s="249"/>
      <c r="DT183" s="216"/>
      <c r="DU183" s="305"/>
      <c r="DV183" s="2520"/>
      <c r="DW183" s="2521"/>
      <c r="DX183" s="305"/>
      <c r="DY183" s="249"/>
      <c r="DZ183" s="221"/>
      <c r="EA183" s="388"/>
      <c r="EB183" s="249"/>
      <c r="EC183" s="216"/>
      <c r="ED183" s="1461"/>
      <c r="EE183" s="249"/>
      <c r="EF183" s="216"/>
      <c r="EG183" s="355"/>
      <c r="EH183" s="1425"/>
      <c r="EI183" s="1470"/>
      <c r="EJ183" s="249"/>
      <c r="EK183" s="221"/>
      <c r="EL183" s="313"/>
      <c r="EM183" s="249"/>
      <c r="EN183" s="221"/>
      <c r="EO183" s="313"/>
      <c r="EP183" s="249"/>
      <c r="EQ183" s="216"/>
      <c r="ER183" s="313"/>
      <c r="ES183" s="249"/>
      <c r="ET183" s="216"/>
      <c r="EU183" s="313"/>
      <c r="EV183" s="249"/>
      <c r="EW183" s="216"/>
      <c r="EX183" s="2505"/>
      <c r="EY183" s="249"/>
      <c r="EZ183" s="221"/>
      <c r="FA183" s="313"/>
      <c r="FB183" s="249"/>
      <c r="FC183" s="221"/>
      <c r="FD183" s="313"/>
      <c r="FE183" s="249"/>
      <c r="FF183" s="221"/>
      <c r="FG183" s="313"/>
      <c r="FH183" s="249"/>
      <c r="FI183" s="216"/>
      <c r="FJ183" s="1435"/>
      <c r="FK183" s="216"/>
      <c r="FL183" s="1268"/>
      <c r="FM183" s="1655"/>
      <c r="FN183" s="1268"/>
      <c r="FO183" s="1655"/>
      <c r="FP183" s="1268"/>
      <c r="FQ183" s="1656"/>
      <c r="FR183" s="249"/>
      <c r="FS183" s="216"/>
      <c r="FT183" s="1657"/>
      <c r="FU183" s="1658"/>
      <c r="FV183" s="242"/>
      <c r="FW183" s="343"/>
      <c r="FX183" s="222"/>
      <c r="FY183" s="336"/>
      <c r="FZ183" s="223"/>
      <c r="GA183" s="338"/>
      <c r="GB183" s="204"/>
      <c r="GC183" s="339"/>
      <c r="GD183" s="342"/>
      <c r="GE183" s="199"/>
      <c r="GF183" s="199"/>
      <c r="GG183" s="199"/>
      <c r="GH183" s="199"/>
      <c r="GI183" s="199"/>
      <c r="GJ183" s="199"/>
      <c r="GK183" s="199"/>
      <c r="GL183" s="49"/>
      <c r="GM183" s="28"/>
      <c r="GN183" s="28"/>
      <c r="GO183" s="322"/>
      <c r="GP183" s="1190"/>
      <c r="GQ183" s="1190"/>
      <c r="GR183" s="49"/>
      <c r="GS183" s="2879"/>
      <c r="GT183" s="2880"/>
      <c r="GU183" s="2881"/>
      <c r="GV183" s="49"/>
      <c r="GW183" s="49"/>
      <c r="GX183" s="49"/>
      <c r="GY183" s="49"/>
      <c r="GZ183" s="49"/>
      <c r="HA183" s="49"/>
      <c r="HB183" s="49"/>
      <c r="HC183" s="49"/>
      <c r="HD183" s="49"/>
      <c r="HE183" s="49"/>
      <c r="HF183" s="49"/>
      <c r="HG183" s="49"/>
      <c r="HH183" s="49"/>
      <c r="HI183" s="49"/>
      <c r="HJ183" s="49"/>
      <c r="HK183" s="49"/>
      <c r="HL183" s="49"/>
      <c r="HM183" s="49"/>
      <c r="HN183" s="49"/>
      <c r="HO183" s="49"/>
      <c r="HP183" s="49"/>
      <c r="HQ183" s="49"/>
      <c r="HR183" s="49"/>
      <c r="HS183" s="49"/>
      <c r="HT183" s="49"/>
      <c r="HU183" s="49"/>
      <c r="HV183" s="49"/>
      <c r="HW183" s="49"/>
      <c r="HX183" s="49"/>
      <c r="HY183" s="49"/>
      <c r="HZ183" s="49"/>
      <c r="IA183" s="49"/>
      <c r="IB183" s="49"/>
      <c r="IC183" s="49"/>
      <c r="ID183" s="49"/>
      <c r="IE183" s="49"/>
      <c r="IF183" s="49"/>
      <c r="IG183" s="49"/>
      <c r="IH183" s="49"/>
      <c r="II183" s="49"/>
      <c r="IJ183" s="49"/>
      <c r="IK183" s="49"/>
      <c r="IL183" s="49"/>
      <c r="IM183" s="49"/>
      <c r="IN183" s="49"/>
      <c r="IO183" s="49"/>
      <c r="IP183" s="49"/>
      <c r="IQ183" s="49"/>
      <c r="IR183" s="49"/>
      <c r="IS183" s="49"/>
      <c r="IT183" s="49"/>
      <c r="IU183" s="49"/>
      <c r="IV183" s="49"/>
    </row>
    <row r="184" spans="1:256" s="198" customFormat="1" ht="12" customHeight="1">
      <c r="A184" s="1252"/>
      <c r="B184" s="200"/>
      <c r="C184" s="486"/>
      <c r="D184" s="201"/>
      <c r="E184" s="202"/>
      <c r="F184" s="203"/>
      <c r="G184" s="197"/>
      <c r="H184" s="197"/>
      <c r="I184" s="197"/>
      <c r="J184" s="197"/>
      <c r="K184" s="175"/>
      <c r="L184" s="197"/>
      <c r="M184" s="197"/>
      <c r="N184" s="197"/>
      <c r="O184" s="197"/>
      <c r="P184" s="197"/>
      <c r="Q184" s="1198"/>
      <c r="R184" s="202"/>
      <c r="S184" s="202"/>
      <c r="T184" s="1186"/>
      <c r="U184" s="233"/>
      <c r="V184" s="49"/>
      <c r="W184" s="218"/>
      <c r="X184" s="218"/>
      <c r="Y184" s="216"/>
      <c r="Z184" s="216"/>
      <c r="AA184" s="215"/>
      <c r="AB184" s="216"/>
      <c r="AC184" s="216"/>
      <c r="AD184" s="239"/>
      <c r="AE184" s="216"/>
      <c r="AF184" s="216"/>
      <c r="AG184" s="216"/>
      <c r="AH184" s="216"/>
      <c r="AI184" s="216"/>
      <c r="AJ184" s="216"/>
      <c r="AK184" s="239"/>
      <c r="AL184" s="216"/>
      <c r="AM184" s="216"/>
      <c r="AN184" s="216"/>
      <c r="AO184" s="216"/>
      <c r="AP184" s="216"/>
      <c r="AQ184" s="216"/>
      <c r="AR184" s="216"/>
      <c r="AS184" s="216"/>
      <c r="AT184" s="216"/>
      <c r="AU184" s="216"/>
      <c r="AV184" s="217"/>
      <c r="AW184" s="355"/>
      <c r="AX184" s="217"/>
      <c r="AY184" s="1559"/>
      <c r="AZ184" s="249"/>
      <c r="BA184" s="221"/>
      <c r="BB184" s="300"/>
      <c r="BC184" s="217"/>
      <c r="BD184" s="392"/>
      <c r="BE184" s="1244"/>
      <c r="BF184" s="249"/>
      <c r="BG184" s="252"/>
      <c r="BH184" s="1469"/>
      <c r="BI184" s="216"/>
      <c r="BJ184" s="1469"/>
      <c r="BK184" s="1459"/>
      <c r="BL184" s="260"/>
      <c r="BM184" s="214"/>
      <c r="BN184" s="293"/>
      <c r="BO184" s="217"/>
      <c r="BP184" s="355"/>
      <c r="BQ184" s="217"/>
      <c r="BR184" s="1193"/>
      <c r="BS184" s="249"/>
      <c r="BT184" s="216"/>
      <c r="BU184" s="1195"/>
      <c r="BV184" s="249"/>
      <c r="BW184" s="216"/>
      <c r="BX184" s="1195"/>
      <c r="BY184" s="249"/>
      <c r="BZ184" s="216"/>
      <c r="CA184" s="1195"/>
      <c r="CB184" s="249"/>
      <c r="CC184" s="216"/>
      <c r="CD184" s="1195"/>
      <c r="CE184" s="249"/>
      <c r="CF184" s="216"/>
      <c r="CG184" s="1195"/>
      <c r="CH184" s="249"/>
      <c r="CI184" s="216"/>
      <c r="CJ184" s="1195"/>
      <c r="CK184" s="249"/>
      <c r="CL184" s="216"/>
      <c r="CM184" s="1194"/>
      <c r="CN184" s="1524"/>
      <c r="CO184" s="217"/>
      <c r="CP184" s="1193"/>
      <c r="CQ184" s="293"/>
      <c r="CR184" s="217"/>
      <c r="CS184" s="305"/>
      <c r="CT184" s="249"/>
      <c r="CU184" s="216"/>
      <c r="CV184" s="1193"/>
      <c r="CW184" s="249"/>
      <c r="CX184" s="216"/>
      <c r="CY184" s="305"/>
      <c r="CZ184" s="249"/>
      <c r="DA184" s="216"/>
      <c r="DB184" s="307"/>
      <c r="DC184" s="328"/>
      <c r="DD184" s="322"/>
      <c r="DE184" s="305"/>
      <c r="DF184" s="249"/>
      <c r="DG184" s="216"/>
      <c r="DH184" s="305"/>
      <c r="DI184" s="249"/>
      <c r="DJ184" s="216"/>
      <c r="DK184" s="309"/>
      <c r="DL184" s="293"/>
      <c r="DM184" s="326"/>
      <c r="DN184" s="1256"/>
      <c r="DO184" s="214"/>
      <c r="DP184" s="1257"/>
      <c r="DQ184" s="1258"/>
      <c r="DR184" s="305"/>
      <c r="DS184" s="249"/>
      <c r="DT184" s="216"/>
      <c r="DU184" s="305"/>
      <c r="DV184" s="2520"/>
      <c r="DW184" s="2521"/>
      <c r="DX184" s="305"/>
      <c r="DY184" s="249"/>
      <c r="DZ184" s="221"/>
      <c r="EA184" s="388"/>
      <c r="EB184" s="249"/>
      <c r="EC184" s="216"/>
      <c r="ED184" s="1461"/>
      <c r="EE184" s="249"/>
      <c r="EF184" s="216"/>
      <c r="EG184" s="355"/>
      <c r="EH184" s="1425"/>
      <c r="EI184" s="1470"/>
      <c r="EJ184" s="249"/>
      <c r="EK184" s="221"/>
      <c r="EL184" s="313"/>
      <c r="EM184" s="249"/>
      <c r="EN184" s="221"/>
      <c r="EO184" s="313"/>
      <c r="EP184" s="249"/>
      <c r="EQ184" s="216"/>
      <c r="ER184" s="313"/>
      <c r="ES184" s="249"/>
      <c r="ET184" s="216"/>
      <c r="EU184" s="313"/>
      <c r="EV184" s="249"/>
      <c r="EW184" s="216"/>
      <c r="EX184" s="2505"/>
      <c r="EY184" s="249"/>
      <c r="EZ184" s="221"/>
      <c r="FA184" s="313"/>
      <c r="FB184" s="249"/>
      <c r="FC184" s="221"/>
      <c r="FD184" s="313"/>
      <c r="FE184" s="249"/>
      <c r="FF184" s="221"/>
      <c r="FG184" s="313"/>
      <c r="FH184" s="249"/>
      <c r="FI184" s="216"/>
      <c r="FJ184" s="1435"/>
      <c r="FK184" s="216"/>
      <c r="FL184" s="1268"/>
      <c r="FM184" s="1655"/>
      <c r="FN184" s="1268"/>
      <c r="FO184" s="1655"/>
      <c r="FP184" s="1268"/>
      <c r="FQ184" s="1656"/>
      <c r="FR184" s="249"/>
      <c r="FS184" s="216"/>
      <c r="FT184" s="1657"/>
      <c r="FU184" s="1658"/>
      <c r="FV184" s="242"/>
      <c r="FW184" s="343"/>
      <c r="FX184" s="222"/>
      <c r="FY184" s="336"/>
      <c r="FZ184" s="223"/>
      <c r="GA184" s="338"/>
      <c r="GB184" s="204"/>
      <c r="GC184" s="339"/>
      <c r="GD184" s="342"/>
      <c r="GE184" s="199"/>
      <c r="GF184" s="199"/>
      <c r="GG184" s="199"/>
      <c r="GH184" s="199"/>
      <c r="GI184" s="199"/>
      <c r="GJ184" s="199"/>
      <c r="GK184" s="199"/>
      <c r="GL184" s="49"/>
      <c r="GM184" s="28"/>
      <c r="GN184" s="28"/>
      <c r="GO184" s="322"/>
      <c r="GP184" s="1190"/>
      <c r="GQ184" s="1190"/>
      <c r="GR184" s="49"/>
      <c r="GS184" s="2879"/>
      <c r="GT184" s="2880"/>
      <c r="GU184" s="2881"/>
      <c r="GV184" s="49"/>
      <c r="GW184" s="49"/>
      <c r="GX184" s="49"/>
      <c r="GY184" s="49"/>
      <c r="GZ184" s="49"/>
      <c r="HA184" s="49"/>
      <c r="HB184" s="49"/>
      <c r="HC184" s="49"/>
      <c r="HD184" s="49"/>
      <c r="HE184" s="49"/>
      <c r="HF184" s="49"/>
      <c r="HG184" s="49"/>
      <c r="HH184" s="49"/>
      <c r="HI184" s="49"/>
      <c r="HJ184" s="49"/>
      <c r="HK184" s="49"/>
      <c r="HL184" s="49"/>
      <c r="HM184" s="49"/>
      <c r="HN184" s="49"/>
      <c r="HO184" s="49"/>
      <c r="HP184" s="49"/>
      <c r="HQ184" s="49"/>
      <c r="HR184" s="49"/>
      <c r="HS184" s="49"/>
      <c r="HT184" s="49"/>
      <c r="HU184" s="49"/>
      <c r="HV184" s="49"/>
      <c r="HW184" s="49"/>
      <c r="HX184" s="49"/>
      <c r="HY184" s="49"/>
      <c r="HZ184" s="49"/>
      <c r="IA184" s="49"/>
      <c r="IB184" s="49"/>
      <c r="IC184" s="49"/>
      <c r="ID184" s="49"/>
      <c r="IE184" s="49"/>
      <c r="IF184" s="49"/>
      <c r="IG184" s="49"/>
      <c r="IH184" s="49"/>
      <c r="II184" s="49"/>
      <c r="IJ184" s="49"/>
      <c r="IK184" s="49"/>
      <c r="IL184" s="49"/>
      <c r="IM184" s="49"/>
      <c r="IN184" s="49"/>
      <c r="IO184" s="49"/>
      <c r="IP184" s="49"/>
      <c r="IQ184" s="49"/>
      <c r="IR184" s="49"/>
      <c r="IS184" s="49"/>
      <c r="IT184" s="49"/>
      <c r="IU184" s="49"/>
      <c r="IV184" s="49"/>
    </row>
    <row r="185" spans="1:256" s="198" customFormat="1" ht="12" customHeight="1">
      <c r="A185" s="1252"/>
      <c r="B185" s="200"/>
      <c r="C185" s="486"/>
      <c r="D185" s="201"/>
      <c r="E185" s="202"/>
      <c r="F185" s="203"/>
      <c r="G185" s="197"/>
      <c r="H185" s="197"/>
      <c r="I185" s="197"/>
      <c r="J185" s="197"/>
      <c r="K185" s="175"/>
      <c r="L185" s="197"/>
      <c r="M185" s="197"/>
      <c r="N185" s="197"/>
      <c r="O185" s="197"/>
      <c r="P185" s="197"/>
      <c r="Q185" s="1198"/>
      <c r="R185" s="202"/>
      <c r="S185" s="202"/>
      <c r="T185" s="1186"/>
      <c r="U185" s="233"/>
      <c r="V185" s="49"/>
      <c r="W185" s="218"/>
      <c r="X185" s="218"/>
      <c r="Y185" s="216"/>
      <c r="Z185" s="216"/>
      <c r="AA185" s="215"/>
      <c r="AB185" s="216"/>
      <c r="AC185" s="216"/>
      <c r="AD185" s="239"/>
      <c r="AE185" s="216"/>
      <c r="AF185" s="216"/>
      <c r="AG185" s="216"/>
      <c r="AH185" s="216"/>
      <c r="AI185" s="216"/>
      <c r="AJ185" s="216"/>
      <c r="AK185" s="239"/>
      <c r="AL185" s="216"/>
      <c r="AM185" s="216"/>
      <c r="AN185" s="216"/>
      <c r="AO185" s="216"/>
      <c r="AP185" s="216"/>
      <c r="AQ185" s="216"/>
      <c r="AR185" s="216"/>
      <c r="AS185" s="216"/>
      <c r="AT185" s="216"/>
      <c r="AU185" s="216"/>
      <c r="AV185" s="217"/>
      <c r="AW185" s="355"/>
      <c r="AX185" s="217"/>
      <c r="AY185" s="1559"/>
      <c r="AZ185" s="249"/>
      <c r="BA185" s="221"/>
      <c r="BB185" s="300"/>
      <c r="BC185" s="217"/>
      <c r="BD185" s="392"/>
      <c r="BE185" s="1244"/>
      <c r="BF185" s="249"/>
      <c r="BG185" s="252"/>
      <c r="BH185" s="1469"/>
      <c r="BI185" s="216"/>
      <c r="BJ185" s="1469"/>
      <c r="BK185" s="1459"/>
      <c r="BL185" s="260"/>
      <c r="BM185" s="214"/>
      <c r="BN185" s="293"/>
      <c r="BO185" s="217"/>
      <c r="BP185" s="355"/>
      <c r="BQ185" s="217"/>
      <c r="BR185" s="1193"/>
      <c r="BS185" s="249"/>
      <c r="BT185" s="216"/>
      <c r="BU185" s="1195"/>
      <c r="BV185" s="249"/>
      <c r="BW185" s="216"/>
      <c r="BX185" s="1195"/>
      <c r="BY185" s="249"/>
      <c r="BZ185" s="216"/>
      <c r="CA185" s="1195"/>
      <c r="CB185" s="249"/>
      <c r="CC185" s="216"/>
      <c r="CD185" s="1195"/>
      <c r="CE185" s="249"/>
      <c r="CF185" s="216"/>
      <c r="CG185" s="1195"/>
      <c r="CH185" s="249"/>
      <c r="CI185" s="216"/>
      <c r="CJ185" s="1195"/>
      <c r="CK185" s="249"/>
      <c r="CL185" s="216"/>
      <c r="CM185" s="1194"/>
      <c r="CN185" s="1524"/>
      <c r="CO185" s="217"/>
      <c r="CP185" s="1193"/>
      <c r="CQ185" s="293"/>
      <c r="CR185" s="217"/>
      <c r="CS185" s="305"/>
      <c r="CT185" s="249"/>
      <c r="CU185" s="216"/>
      <c r="CV185" s="1193"/>
      <c r="CW185" s="249"/>
      <c r="CX185" s="216"/>
      <c r="CY185" s="305"/>
      <c r="CZ185" s="249"/>
      <c r="DA185" s="216"/>
      <c r="DB185" s="307"/>
      <c r="DC185" s="328"/>
      <c r="DD185" s="322"/>
      <c r="DE185" s="305"/>
      <c r="DF185" s="249"/>
      <c r="DG185" s="216"/>
      <c r="DH185" s="305"/>
      <c r="DI185" s="249"/>
      <c r="DJ185" s="216"/>
      <c r="DK185" s="309"/>
      <c r="DL185" s="293"/>
      <c r="DM185" s="326"/>
      <c r="DN185" s="1256"/>
      <c r="DO185" s="214"/>
      <c r="DP185" s="1257"/>
      <c r="DQ185" s="1258"/>
      <c r="DR185" s="305"/>
      <c r="DS185" s="249"/>
      <c r="DT185" s="216"/>
      <c r="DU185" s="305"/>
      <c r="DV185" s="2520"/>
      <c r="DW185" s="2521"/>
      <c r="DX185" s="305"/>
      <c r="DY185" s="249"/>
      <c r="DZ185" s="221"/>
      <c r="EA185" s="388"/>
      <c r="EB185" s="249"/>
      <c r="EC185" s="216"/>
      <c r="ED185" s="1461"/>
      <c r="EE185" s="249"/>
      <c r="EF185" s="216"/>
      <c r="EG185" s="355"/>
      <c r="EH185" s="1425"/>
      <c r="EI185" s="1470"/>
      <c r="EJ185" s="249"/>
      <c r="EK185" s="221"/>
      <c r="EL185" s="313"/>
      <c r="EM185" s="249"/>
      <c r="EN185" s="221"/>
      <c r="EO185" s="313"/>
      <c r="EP185" s="249"/>
      <c r="EQ185" s="216"/>
      <c r="ER185" s="313"/>
      <c r="ES185" s="249"/>
      <c r="ET185" s="216"/>
      <c r="EU185" s="313"/>
      <c r="EV185" s="249"/>
      <c r="EW185" s="216"/>
      <c r="EX185" s="2505"/>
      <c r="EY185" s="249"/>
      <c r="EZ185" s="221"/>
      <c r="FA185" s="313"/>
      <c r="FB185" s="249"/>
      <c r="FC185" s="221"/>
      <c r="FD185" s="313"/>
      <c r="FE185" s="249"/>
      <c r="FF185" s="221"/>
      <c r="FG185" s="313"/>
      <c r="FH185" s="249"/>
      <c r="FI185" s="216"/>
      <c r="FJ185" s="1435"/>
      <c r="FK185" s="216"/>
      <c r="FL185" s="1268"/>
      <c r="FM185" s="1655"/>
      <c r="FN185" s="1268"/>
      <c r="FO185" s="1655"/>
      <c r="FP185" s="1268"/>
      <c r="FQ185" s="1656"/>
      <c r="FR185" s="249"/>
      <c r="FS185" s="216"/>
      <c r="FT185" s="1657"/>
      <c r="FU185" s="1658"/>
      <c r="FV185" s="242"/>
      <c r="FW185" s="343"/>
      <c r="FX185" s="222"/>
      <c r="FY185" s="336"/>
      <c r="FZ185" s="223"/>
      <c r="GA185" s="338"/>
      <c r="GB185" s="204"/>
      <c r="GC185" s="339"/>
      <c r="GD185" s="342"/>
      <c r="GE185" s="199"/>
      <c r="GF185" s="199"/>
      <c r="GG185" s="199"/>
      <c r="GH185" s="199"/>
      <c r="GI185" s="199"/>
      <c r="GJ185" s="199"/>
      <c r="GK185" s="199"/>
      <c r="GL185" s="49"/>
      <c r="GM185" s="28"/>
      <c r="GN185" s="28"/>
      <c r="GO185" s="322"/>
      <c r="GP185" s="1190"/>
      <c r="GQ185" s="1190"/>
      <c r="GR185" s="49"/>
      <c r="GS185" s="2879"/>
      <c r="GT185" s="2880"/>
      <c r="GU185" s="2881"/>
      <c r="GV185" s="49"/>
      <c r="GW185" s="49"/>
      <c r="GX185" s="49"/>
      <c r="GY185" s="49"/>
      <c r="GZ185" s="49"/>
      <c r="HA185" s="49"/>
      <c r="HB185" s="49"/>
      <c r="HC185" s="49"/>
      <c r="HD185" s="49"/>
      <c r="HE185" s="49"/>
      <c r="HF185" s="49"/>
      <c r="HG185" s="49"/>
      <c r="HH185" s="49"/>
      <c r="HI185" s="49"/>
      <c r="HJ185" s="49"/>
      <c r="HK185" s="49"/>
      <c r="HL185" s="49"/>
      <c r="HM185" s="49"/>
      <c r="HN185" s="49"/>
      <c r="HO185" s="49"/>
      <c r="HP185" s="49"/>
      <c r="HQ185" s="49"/>
      <c r="HR185" s="49"/>
      <c r="HS185" s="49"/>
      <c r="HT185" s="49"/>
      <c r="HU185" s="49"/>
      <c r="HV185" s="49"/>
      <c r="HW185" s="49"/>
      <c r="HX185" s="49"/>
      <c r="HY185" s="49"/>
      <c r="HZ185" s="49"/>
      <c r="IA185" s="49"/>
      <c r="IB185" s="49"/>
      <c r="IC185" s="49"/>
      <c r="ID185" s="49"/>
      <c r="IE185" s="49"/>
      <c r="IF185" s="49"/>
      <c r="IG185" s="49"/>
      <c r="IH185" s="49"/>
      <c r="II185" s="49"/>
      <c r="IJ185" s="49"/>
      <c r="IK185" s="49"/>
      <c r="IL185" s="49"/>
      <c r="IM185" s="49"/>
      <c r="IN185" s="49"/>
      <c r="IO185" s="49"/>
      <c r="IP185" s="49"/>
      <c r="IQ185" s="49"/>
      <c r="IR185" s="49"/>
      <c r="IS185" s="49"/>
      <c r="IT185" s="49"/>
      <c r="IU185" s="49"/>
      <c r="IV185" s="49"/>
    </row>
    <row r="186" spans="1:256" s="198" customFormat="1" ht="12" customHeight="1">
      <c r="A186" s="1252"/>
      <c r="B186" s="200"/>
      <c r="C186" s="486"/>
      <c r="D186" s="201"/>
      <c r="E186" s="202"/>
      <c r="F186" s="203"/>
      <c r="G186" s="197"/>
      <c r="H186" s="197"/>
      <c r="I186" s="197"/>
      <c r="J186" s="197"/>
      <c r="K186" s="175"/>
      <c r="L186" s="197"/>
      <c r="M186" s="197"/>
      <c r="N186" s="197"/>
      <c r="O186" s="197"/>
      <c r="P186" s="197"/>
      <c r="Q186" s="1198"/>
      <c r="R186" s="202"/>
      <c r="S186" s="202"/>
      <c r="T186" s="1186"/>
      <c r="U186" s="233"/>
      <c r="V186" s="49"/>
      <c r="W186" s="218"/>
      <c r="X186" s="218"/>
      <c r="Y186" s="216"/>
      <c r="Z186" s="216"/>
      <c r="AA186" s="215"/>
      <c r="AB186" s="216"/>
      <c r="AC186" s="216"/>
      <c r="AD186" s="239"/>
      <c r="AE186" s="216"/>
      <c r="AF186" s="216"/>
      <c r="AG186" s="216"/>
      <c r="AH186" s="216"/>
      <c r="AI186" s="216"/>
      <c r="AJ186" s="216"/>
      <c r="AK186" s="239"/>
      <c r="AL186" s="216"/>
      <c r="AM186" s="216"/>
      <c r="AN186" s="216"/>
      <c r="AO186" s="216"/>
      <c r="AP186" s="216"/>
      <c r="AQ186" s="216"/>
      <c r="AR186" s="216"/>
      <c r="AS186" s="216"/>
      <c r="AT186" s="216"/>
      <c r="AU186" s="216"/>
      <c r="AV186" s="217"/>
      <c r="AW186" s="355"/>
      <c r="AX186" s="217"/>
      <c r="AY186" s="1559"/>
      <c r="AZ186" s="249"/>
      <c r="BA186" s="221"/>
      <c r="BB186" s="300"/>
      <c r="BC186" s="217"/>
      <c r="BD186" s="392"/>
      <c r="BE186" s="1244"/>
      <c r="BF186" s="249"/>
      <c r="BG186" s="252"/>
      <c r="BH186" s="1469"/>
      <c r="BI186" s="216"/>
      <c r="BJ186" s="1469"/>
      <c r="BK186" s="1459"/>
      <c r="BL186" s="260"/>
      <c r="BM186" s="214"/>
      <c r="BN186" s="293"/>
      <c r="BO186" s="217"/>
      <c r="BP186" s="355"/>
      <c r="BQ186" s="217"/>
      <c r="BR186" s="1193"/>
      <c r="BS186" s="249"/>
      <c r="BT186" s="216"/>
      <c r="BU186" s="1195"/>
      <c r="BV186" s="249"/>
      <c r="BW186" s="216"/>
      <c r="BX186" s="1195"/>
      <c r="BY186" s="249"/>
      <c r="BZ186" s="216"/>
      <c r="CA186" s="1195"/>
      <c r="CB186" s="249"/>
      <c r="CC186" s="216"/>
      <c r="CD186" s="1195"/>
      <c r="CE186" s="249"/>
      <c r="CF186" s="216"/>
      <c r="CG186" s="1195"/>
      <c r="CH186" s="249"/>
      <c r="CI186" s="216"/>
      <c r="CJ186" s="1195"/>
      <c r="CK186" s="249"/>
      <c r="CL186" s="216"/>
      <c r="CM186" s="1194"/>
      <c r="CN186" s="1524"/>
      <c r="CO186" s="217"/>
      <c r="CP186" s="1193"/>
      <c r="CQ186" s="293"/>
      <c r="CR186" s="217"/>
      <c r="CS186" s="305"/>
      <c r="CT186" s="249"/>
      <c r="CU186" s="216"/>
      <c r="CV186" s="1193"/>
      <c r="CW186" s="249"/>
      <c r="CX186" s="216"/>
      <c r="CY186" s="305"/>
      <c r="CZ186" s="249"/>
      <c r="DA186" s="216"/>
      <c r="DB186" s="307"/>
      <c r="DC186" s="328"/>
      <c r="DD186" s="322"/>
      <c r="DE186" s="305"/>
      <c r="DF186" s="249"/>
      <c r="DG186" s="216"/>
      <c r="DH186" s="305"/>
      <c r="DI186" s="249"/>
      <c r="DJ186" s="216"/>
      <c r="DK186" s="309"/>
      <c r="DL186" s="293"/>
      <c r="DM186" s="326"/>
      <c r="DN186" s="1256"/>
      <c r="DO186" s="214"/>
      <c r="DP186" s="1257"/>
      <c r="DQ186" s="1258"/>
      <c r="DR186" s="305"/>
      <c r="DS186" s="249"/>
      <c r="DT186" s="216"/>
      <c r="DU186" s="305"/>
      <c r="DV186" s="2520"/>
      <c r="DW186" s="2521"/>
      <c r="DX186" s="305"/>
      <c r="DY186" s="249"/>
      <c r="DZ186" s="221"/>
      <c r="EA186" s="388"/>
      <c r="EB186" s="249"/>
      <c r="EC186" s="216"/>
      <c r="ED186" s="1461"/>
      <c r="EE186" s="249"/>
      <c r="EF186" s="216"/>
      <c r="EG186" s="355"/>
      <c r="EH186" s="1425"/>
      <c r="EI186" s="1470"/>
      <c r="EJ186" s="249"/>
      <c r="EK186" s="221"/>
      <c r="EL186" s="313"/>
      <c r="EM186" s="249"/>
      <c r="EN186" s="221"/>
      <c r="EO186" s="313"/>
      <c r="EP186" s="249"/>
      <c r="EQ186" s="216"/>
      <c r="ER186" s="313"/>
      <c r="ES186" s="249"/>
      <c r="ET186" s="216"/>
      <c r="EU186" s="313"/>
      <c r="EV186" s="249"/>
      <c r="EW186" s="216"/>
      <c r="EX186" s="2505"/>
      <c r="EY186" s="249"/>
      <c r="EZ186" s="221"/>
      <c r="FA186" s="313"/>
      <c r="FB186" s="249"/>
      <c r="FC186" s="221"/>
      <c r="FD186" s="313"/>
      <c r="FE186" s="249"/>
      <c r="FF186" s="221"/>
      <c r="FG186" s="313"/>
      <c r="FH186" s="249"/>
      <c r="FI186" s="216"/>
      <c r="FJ186" s="1435"/>
      <c r="FK186" s="216"/>
      <c r="FL186" s="1268"/>
      <c r="FM186" s="1655"/>
      <c r="FN186" s="1268"/>
      <c r="FO186" s="1655"/>
      <c r="FP186" s="1268"/>
      <c r="FQ186" s="1656"/>
      <c r="FR186" s="249"/>
      <c r="FS186" s="216"/>
      <c r="FT186" s="1657"/>
      <c r="FU186" s="1658"/>
      <c r="FV186" s="242"/>
      <c r="FW186" s="343"/>
      <c r="FX186" s="222"/>
      <c r="FY186" s="336"/>
      <c r="FZ186" s="223"/>
      <c r="GA186" s="338"/>
      <c r="GB186" s="204"/>
      <c r="GC186" s="339"/>
      <c r="GD186" s="342"/>
      <c r="GE186" s="199"/>
      <c r="GF186" s="199"/>
      <c r="GG186" s="199"/>
      <c r="GH186" s="199"/>
      <c r="GI186" s="199"/>
      <c r="GJ186" s="199"/>
      <c r="GK186" s="199"/>
      <c r="GL186" s="49"/>
      <c r="GM186" s="28"/>
      <c r="GN186" s="28"/>
      <c r="GO186" s="322"/>
      <c r="GP186" s="1190"/>
      <c r="GQ186" s="1190"/>
      <c r="GR186" s="49"/>
      <c r="GS186" s="2879"/>
      <c r="GT186" s="2880"/>
      <c r="GU186" s="2881"/>
      <c r="GV186" s="49"/>
      <c r="GW186" s="49"/>
      <c r="GX186" s="49"/>
      <c r="GY186" s="49"/>
      <c r="GZ186" s="49"/>
      <c r="HA186" s="49"/>
      <c r="HB186" s="49"/>
      <c r="HC186" s="49"/>
      <c r="HD186" s="49"/>
      <c r="HE186" s="49"/>
      <c r="HF186" s="49"/>
      <c r="HG186" s="49"/>
      <c r="HH186" s="49"/>
      <c r="HI186" s="49"/>
      <c r="HJ186" s="49"/>
      <c r="HK186" s="49"/>
      <c r="HL186" s="49"/>
      <c r="HM186" s="49"/>
      <c r="HN186" s="49"/>
      <c r="HO186" s="49"/>
      <c r="HP186" s="49"/>
      <c r="HQ186" s="49"/>
      <c r="HR186" s="49"/>
      <c r="HS186" s="49"/>
      <c r="HT186" s="49"/>
      <c r="HU186" s="49"/>
      <c r="HV186" s="49"/>
      <c r="HW186" s="49"/>
      <c r="HX186" s="49"/>
      <c r="HY186" s="49"/>
      <c r="HZ186" s="49"/>
      <c r="IA186" s="49"/>
      <c r="IB186" s="49"/>
      <c r="IC186" s="49"/>
      <c r="ID186" s="49"/>
      <c r="IE186" s="49"/>
      <c r="IF186" s="49"/>
      <c r="IG186" s="49"/>
      <c r="IH186" s="49"/>
      <c r="II186" s="49"/>
      <c r="IJ186" s="49"/>
      <c r="IK186" s="49"/>
      <c r="IL186" s="49"/>
      <c r="IM186" s="49"/>
      <c r="IN186" s="49"/>
      <c r="IO186" s="49"/>
      <c r="IP186" s="49"/>
      <c r="IQ186" s="49"/>
      <c r="IR186" s="49"/>
      <c r="IS186" s="49"/>
      <c r="IT186" s="49"/>
      <c r="IU186" s="49"/>
      <c r="IV186" s="49"/>
    </row>
    <row r="187" spans="1:256" s="198" customFormat="1" ht="12" customHeight="1">
      <c r="A187" s="1252"/>
      <c r="B187" s="200"/>
      <c r="C187" s="486"/>
      <c r="D187" s="201"/>
      <c r="E187" s="202"/>
      <c r="F187" s="203"/>
      <c r="G187" s="197"/>
      <c r="H187" s="197"/>
      <c r="I187" s="197"/>
      <c r="J187" s="197"/>
      <c r="K187" s="175"/>
      <c r="L187" s="197"/>
      <c r="M187" s="197"/>
      <c r="N187" s="197"/>
      <c r="O187" s="197"/>
      <c r="P187" s="197"/>
      <c r="Q187" s="1198"/>
      <c r="R187" s="202"/>
      <c r="S187" s="202"/>
      <c r="T187" s="1186"/>
      <c r="U187" s="233"/>
      <c r="V187" s="49"/>
      <c r="W187" s="218"/>
      <c r="X187" s="218"/>
      <c r="Y187" s="216"/>
      <c r="Z187" s="216"/>
      <c r="AA187" s="215"/>
      <c r="AB187" s="216"/>
      <c r="AC187" s="216"/>
      <c r="AD187" s="239"/>
      <c r="AE187" s="216"/>
      <c r="AF187" s="216"/>
      <c r="AG187" s="216"/>
      <c r="AH187" s="216"/>
      <c r="AI187" s="216"/>
      <c r="AJ187" s="216"/>
      <c r="AK187" s="239"/>
      <c r="AL187" s="216"/>
      <c r="AM187" s="216"/>
      <c r="AN187" s="216"/>
      <c r="AO187" s="216"/>
      <c r="AP187" s="216"/>
      <c r="AQ187" s="216"/>
      <c r="AR187" s="216"/>
      <c r="AS187" s="216"/>
      <c r="AT187" s="216"/>
      <c r="AU187" s="216"/>
      <c r="AV187" s="217"/>
      <c r="AW187" s="355"/>
      <c r="AX187" s="217"/>
      <c r="AY187" s="1559"/>
      <c r="AZ187" s="249"/>
      <c r="BA187" s="221"/>
      <c r="BB187" s="300"/>
      <c r="BC187" s="217"/>
      <c r="BD187" s="392"/>
      <c r="BE187" s="1244"/>
      <c r="BF187" s="249"/>
      <c r="BG187" s="252"/>
      <c r="BH187" s="1469"/>
      <c r="BI187" s="216"/>
      <c r="BJ187" s="1469"/>
      <c r="BK187" s="1459"/>
      <c r="BL187" s="260"/>
      <c r="BM187" s="214"/>
      <c r="BN187" s="293"/>
      <c r="BO187" s="217"/>
      <c r="BP187" s="355"/>
      <c r="BQ187" s="217"/>
      <c r="BR187" s="1193"/>
      <c r="BS187" s="249"/>
      <c r="BT187" s="216"/>
      <c r="BU187" s="1195"/>
      <c r="BV187" s="249"/>
      <c r="BW187" s="216"/>
      <c r="BX187" s="1195"/>
      <c r="BY187" s="249"/>
      <c r="BZ187" s="216"/>
      <c r="CA187" s="1195"/>
      <c r="CB187" s="249"/>
      <c r="CC187" s="216"/>
      <c r="CD187" s="1195"/>
      <c r="CE187" s="249"/>
      <c r="CF187" s="216"/>
      <c r="CG187" s="1195"/>
      <c r="CH187" s="249"/>
      <c r="CI187" s="216"/>
      <c r="CJ187" s="1195"/>
      <c r="CK187" s="249"/>
      <c r="CL187" s="216"/>
      <c r="CM187" s="1194"/>
      <c r="CN187" s="1524"/>
      <c r="CO187" s="217"/>
      <c r="CP187" s="1193"/>
      <c r="CQ187" s="293"/>
      <c r="CR187" s="217"/>
      <c r="CS187" s="305"/>
      <c r="CT187" s="249"/>
      <c r="CU187" s="216"/>
      <c r="CV187" s="1193"/>
      <c r="CW187" s="249"/>
      <c r="CX187" s="216"/>
      <c r="CY187" s="305"/>
      <c r="CZ187" s="249"/>
      <c r="DA187" s="216"/>
      <c r="DB187" s="307"/>
      <c r="DC187" s="328"/>
      <c r="DD187" s="322"/>
      <c r="DE187" s="305"/>
      <c r="DF187" s="249"/>
      <c r="DG187" s="216"/>
      <c r="DH187" s="305"/>
      <c r="DI187" s="249"/>
      <c r="DJ187" s="216"/>
      <c r="DK187" s="309"/>
      <c r="DL187" s="293"/>
      <c r="DM187" s="326"/>
      <c r="DN187" s="1256"/>
      <c r="DO187" s="214"/>
      <c r="DP187" s="1257"/>
      <c r="DQ187" s="1258"/>
      <c r="DR187" s="305"/>
      <c r="DS187" s="249"/>
      <c r="DT187" s="216"/>
      <c r="DU187" s="305"/>
      <c r="DV187" s="2520"/>
      <c r="DW187" s="2521"/>
      <c r="DX187" s="305"/>
      <c r="DY187" s="249"/>
      <c r="DZ187" s="221"/>
      <c r="EA187" s="388"/>
      <c r="EB187" s="249"/>
      <c r="EC187" s="216"/>
      <c r="ED187" s="1461"/>
      <c r="EE187" s="249"/>
      <c r="EF187" s="216"/>
      <c r="EG187" s="355"/>
      <c r="EH187" s="1425"/>
      <c r="EI187" s="1470"/>
      <c r="EJ187" s="249"/>
      <c r="EK187" s="221"/>
      <c r="EL187" s="313"/>
      <c r="EM187" s="249"/>
      <c r="EN187" s="221"/>
      <c r="EO187" s="313"/>
      <c r="EP187" s="249"/>
      <c r="EQ187" s="216"/>
      <c r="ER187" s="313"/>
      <c r="ES187" s="249"/>
      <c r="ET187" s="216"/>
      <c r="EU187" s="313"/>
      <c r="EV187" s="249"/>
      <c r="EW187" s="216"/>
      <c r="EX187" s="2505"/>
      <c r="EY187" s="249"/>
      <c r="EZ187" s="221"/>
      <c r="FA187" s="313"/>
      <c r="FB187" s="249"/>
      <c r="FC187" s="221"/>
      <c r="FD187" s="313"/>
      <c r="FE187" s="249"/>
      <c r="FF187" s="221"/>
      <c r="FG187" s="313"/>
      <c r="FH187" s="249"/>
      <c r="FI187" s="216"/>
      <c r="FJ187" s="1435"/>
      <c r="FK187" s="216"/>
      <c r="FL187" s="1268"/>
      <c r="FM187" s="1655"/>
      <c r="FN187" s="1268"/>
      <c r="FO187" s="1655"/>
      <c r="FP187" s="1268"/>
      <c r="FQ187" s="1656"/>
      <c r="FR187" s="249"/>
      <c r="FS187" s="216"/>
      <c r="FT187" s="1657"/>
      <c r="FU187" s="1658"/>
      <c r="FV187" s="242"/>
      <c r="FW187" s="343"/>
      <c r="FX187" s="222"/>
      <c r="FY187" s="336"/>
      <c r="FZ187" s="223"/>
      <c r="GA187" s="338"/>
      <c r="GB187" s="204"/>
      <c r="GC187" s="339"/>
      <c r="GD187" s="342"/>
      <c r="GE187" s="199"/>
      <c r="GF187" s="199"/>
      <c r="GG187" s="199"/>
      <c r="GH187" s="199"/>
      <c r="GI187" s="199"/>
      <c r="GJ187" s="199"/>
      <c r="GK187" s="199"/>
      <c r="GL187" s="49"/>
      <c r="GM187" s="28"/>
      <c r="GN187" s="28"/>
      <c r="GO187" s="322"/>
      <c r="GP187" s="1190"/>
      <c r="GQ187" s="1190"/>
      <c r="GR187" s="49"/>
      <c r="GS187" s="2879"/>
      <c r="GT187" s="2880"/>
      <c r="GU187" s="2881"/>
      <c r="GV187" s="49"/>
      <c r="GW187" s="49"/>
      <c r="GX187" s="49"/>
      <c r="GY187" s="49"/>
      <c r="GZ187" s="49"/>
      <c r="HA187" s="49"/>
      <c r="HB187" s="49"/>
      <c r="HC187" s="49"/>
      <c r="HD187" s="49"/>
      <c r="HE187" s="49"/>
      <c r="HF187" s="49"/>
      <c r="HG187" s="49"/>
      <c r="HH187" s="49"/>
      <c r="HI187" s="49"/>
      <c r="HJ187" s="49"/>
      <c r="HK187" s="49"/>
      <c r="HL187" s="49"/>
      <c r="HM187" s="49"/>
      <c r="HN187" s="49"/>
      <c r="HO187" s="49"/>
      <c r="HP187" s="49"/>
      <c r="HQ187" s="49"/>
      <c r="HR187" s="49"/>
      <c r="HS187" s="49"/>
      <c r="HT187" s="49"/>
      <c r="HU187" s="49"/>
      <c r="HV187" s="49"/>
      <c r="HW187" s="49"/>
      <c r="HX187" s="49"/>
      <c r="HY187" s="49"/>
      <c r="HZ187" s="49"/>
      <c r="IA187" s="49"/>
      <c r="IB187" s="49"/>
      <c r="IC187" s="49"/>
      <c r="ID187" s="49"/>
      <c r="IE187" s="49"/>
      <c r="IF187" s="49"/>
      <c r="IG187" s="49"/>
      <c r="IH187" s="49"/>
      <c r="II187" s="49"/>
      <c r="IJ187" s="49"/>
      <c r="IK187" s="49"/>
      <c r="IL187" s="49"/>
      <c r="IM187" s="49"/>
      <c r="IN187" s="49"/>
      <c r="IO187" s="49"/>
      <c r="IP187" s="49"/>
      <c r="IQ187" s="49"/>
      <c r="IR187" s="49"/>
      <c r="IS187" s="49"/>
      <c r="IT187" s="49"/>
      <c r="IU187" s="49"/>
      <c r="IV187" s="49"/>
    </row>
    <row r="188" spans="1:256" s="198" customFormat="1" ht="12" customHeight="1">
      <c r="A188" s="1252"/>
      <c r="B188" s="200"/>
      <c r="C188" s="486"/>
      <c r="D188" s="201"/>
      <c r="E188" s="202"/>
      <c r="F188" s="203"/>
      <c r="G188" s="197"/>
      <c r="H188" s="197"/>
      <c r="I188" s="197"/>
      <c r="J188" s="197"/>
      <c r="K188" s="175"/>
      <c r="L188" s="197"/>
      <c r="M188" s="197"/>
      <c r="N188" s="197"/>
      <c r="O188" s="197"/>
      <c r="P188" s="197"/>
      <c r="Q188" s="1198"/>
      <c r="R188" s="202"/>
      <c r="S188" s="202"/>
      <c r="T188" s="1186"/>
      <c r="U188" s="233"/>
      <c r="V188" s="49"/>
      <c r="W188" s="218"/>
      <c r="X188" s="218"/>
      <c r="Y188" s="216"/>
      <c r="Z188" s="216"/>
      <c r="AA188" s="215"/>
      <c r="AB188" s="216"/>
      <c r="AC188" s="216"/>
      <c r="AD188" s="239"/>
      <c r="AE188" s="216"/>
      <c r="AF188" s="216"/>
      <c r="AG188" s="216"/>
      <c r="AH188" s="216"/>
      <c r="AI188" s="216"/>
      <c r="AJ188" s="216"/>
      <c r="AK188" s="239"/>
      <c r="AL188" s="216"/>
      <c r="AM188" s="216"/>
      <c r="AN188" s="216"/>
      <c r="AO188" s="216"/>
      <c r="AP188" s="216"/>
      <c r="AQ188" s="216"/>
      <c r="AR188" s="216"/>
      <c r="AS188" s="216"/>
      <c r="AT188" s="216"/>
      <c r="AU188" s="216"/>
      <c r="AV188" s="217"/>
      <c r="AW188" s="355"/>
      <c r="AX188" s="217"/>
      <c r="AY188" s="1559"/>
      <c r="AZ188" s="249"/>
      <c r="BA188" s="221"/>
      <c r="BB188" s="300"/>
      <c r="BC188" s="217"/>
      <c r="BD188" s="392"/>
      <c r="BE188" s="1244"/>
      <c r="BF188" s="249"/>
      <c r="BG188" s="252"/>
      <c r="BH188" s="1469"/>
      <c r="BI188" s="216"/>
      <c r="BJ188" s="1469"/>
      <c r="BK188" s="1459"/>
      <c r="BL188" s="260"/>
      <c r="BM188" s="214"/>
      <c r="BN188" s="293"/>
      <c r="BO188" s="217"/>
      <c r="BP188" s="355"/>
      <c r="BQ188" s="217"/>
      <c r="BR188" s="1193"/>
      <c r="BS188" s="249"/>
      <c r="BT188" s="216"/>
      <c r="BU188" s="1195"/>
      <c r="BV188" s="249"/>
      <c r="BW188" s="216"/>
      <c r="BX188" s="1195"/>
      <c r="BY188" s="249"/>
      <c r="BZ188" s="216"/>
      <c r="CA188" s="1195"/>
      <c r="CB188" s="249"/>
      <c r="CC188" s="216"/>
      <c r="CD188" s="1195"/>
      <c r="CE188" s="249"/>
      <c r="CF188" s="216"/>
      <c r="CG188" s="1195"/>
      <c r="CH188" s="249"/>
      <c r="CI188" s="216"/>
      <c r="CJ188" s="1195"/>
      <c r="CK188" s="249"/>
      <c r="CL188" s="216"/>
      <c r="CM188" s="1194"/>
      <c r="CN188" s="1524"/>
      <c r="CO188" s="217"/>
      <c r="CP188" s="1193"/>
      <c r="CQ188" s="293"/>
      <c r="CR188" s="217"/>
      <c r="CS188" s="305"/>
      <c r="CT188" s="249"/>
      <c r="CU188" s="216"/>
      <c r="CV188" s="1193"/>
      <c r="CW188" s="249"/>
      <c r="CX188" s="216"/>
      <c r="CY188" s="305"/>
      <c r="CZ188" s="249"/>
      <c r="DA188" s="216"/>
      <c r="DB188" s="307"/>
      <c r="DC188" s="328"/>
      <c r="DD188" s="322"/>
      <c r="DE188" s="305"/>
      <c r="DF188" s="249"/>
      <c r="DG188" s="216"/>
      <c r="DH188" s="305"/>
      <c r="DI188" s="249"/>
      <c r="DJ188" s="216"/>
      <c r="DK188" s="309"/>
      <c r="DL188" s="293"/>
      <c r="DM188" s="326"/>
      <c r="DN188" s="1256"/>
      <c r="DO188" s="214"/>
      <c r="DP188" s="1257"/>
      <c r="DQ188" s="1258"/>
      <c r="DR188" s="305"/>
      <c r="DS188" s="249"/>
      <c r="DT188" s="216"/>
      <c r="DU188" s="305"/>
      <c r="DV188" s="2520"/>
      <c r="DW188" s="2521"/>
      <c r="DX188" s="305"/>
      <c r="DY188" s="249"/>
      <c r="DZ188" s="221"/>
      <c r="EA188" s="388"/>
      <c r="EB188" s="249"/>
      <c r="EC188" s="216"/>
      <c r="ED188" s="1461"/>
      <c r="EE188" s="249"/>
      <c r="EF188" s="216"/>
      <c r="EG188" s="355"/>
      <c r="EH188" s="1425"/>
      <c r="EI188" s="1470"/>
      <c r="EJ188" s="249"/>
      <c r="EK188" s="221"/>
      <c r="EL188" s="313"/>
      <c r="EM188" s="249"/>
      <c r="EN188" s="221"/>
      <c r="EO188" s="313"/>
      <c r="EP188" s="249"/>
      <c r="EQ188" s="216"/>
      <c r="ER188" s="313"/>
      <c r="ES188" s="249"/>
      <c r="ET188" s="216"/>
      <c r="EU188" s="313"/>
      <c r="EV188" s="249"/>
      <c r="EW188" s="216"/>
      <c r="EX188" s="2505"/>
      <c r="EY188" s="249"/>
      <c r="EZ188" s="221"/>
      <c r="FA188" s="313"/>
      <c r="FB188" s="249"/>
      <c r="FC188" s="221"/>
      <c r="FD188" s="313"/>
      <c r="FE188" s="249"/>
      <c r="FF188" s="221"/>
      <c r="FG188" s="313"/>
      <c r="FH188" s="249"/>
      <c r="FI188" s="216"/>
      <c r="FJ188" s="1435"/>
      <c r="FK188" s="216"/>
      <c r="FL188" s="1268"/>
      <c r="FM188" s="1655"/>
      <c r="FN188" s="1268"/>
      <c r="FO188" s="1655"/>
      <c r="FP188" s="1268"/>
      <c r="FQ188" s="1656"/>
      <c r="FR188" s="249"/>
      <c r="FS188" s="216"/>
      <c r="FT188" s="1657"/>
      <c r="FU188" s="1658"/>
      <c r="FV188" s="242"/>
      <c r="FW188" s="343"/>
      <c r="FX188" s="222"/>
      <c r="FY188" s="336"/>
      <c r="FZ188" s="223"/>
      <c r="GA188" s="338"/>
      <c r="GB188" s="204"/>
      <c r="GC188" s="339"/>
      <c r="GD188" s="342"/>
      <c r="GE188" s="199"/>
      <c r="GF188" s="199"/>
      <c r="GG188" s="199"/>
      <c r="GH188" s="199"/>
      <c r="GI188" s="199"/>
      <c r="GJ188" s="199"/>
      <c r="GK188" s="199"/>
      <c r="GL188" s="49"/>
      <c r="GM188" s="28"/>
      <c r="GN188" s="28"/>
      <c r="GO188" s="322"/>
      <c r="GP188" s="1190"/>
      <c r="GQ188" s="1190"/>
      <c r="GR188" s="49"/>
      <c r="GS188" s="2879"/>
      <c r="GT188" s="2880"/>
      <c r="GU188" s="2881"/>
      <c r="GV188" s="49"/>
      <c r="GW188" s="49"/>
      <c r="GX188" s="49"/>
      <c r="GY188" s="49"/>
      <c r="GZ188" s="49"/>
      <c r="HA188" s="49"/>
      <c r="HB188" s="49"/>
      <c r="HC188" s="49"/>
      <c r="HD188" s="49"/>
      <c r="HE188" s="49"/>
      <c r="HF188" s="49"/>
      <c r="HG188" s="49"/>
      <c r="HH188" s="49"/>
      <c r="HI188" s="49"/>
      <c r="HJ188" s="49"/>
      <c r="HK188" s="49"/>
      <c r="HL188" s="49"/>
      <c r="HM188" s="49"/>
      <c r="HN188" s="49"/>
      <c r="HO188" s="49"/>
      <c r="HP188" s="49"/>
      <c r="HQ188" s="49"/>
      <c r="HR188" s="49"/>
      <c r="HS188" s="49"/>
      <c r="HT188" s="49"/>
      <c r="HU188" s="49"/>
      <c r="HV188" s="49"/>
      <c r="HW188" s="49"/>
      <c r="HX188" s="49"/>
      <c r="HY188" s="49"/>
      <c r="HZ188" s="49"/>
      <c r="IA188" s="49"/>
      <c r="IB188" s="49"/>
      <c r="IC188" s="49"/>
      <c r="ID188" s="49"/>
      <c r="IE188" s="49"/>
      <c r="IF188" s="49"/>
      <c r="IG188" s="49"/>
      <c r="IH188" s="49"/>
      <c r="II188" s="49"/>
      <c r="IJ188" s="49"/>
      <c r="IK188" s="49"/>
      <c r="IL188" s="49"/>
      <c r="IM188" s="49"/>
      <c r="IN188" s="49"/>
      <c r="IO188" s="49"/>
      <c r="IP188" s="49"/>
      <c r="IQ188" s="49"/>
      <c r="IR188" s="49"/>
      <c r="IS188" s="49"/>
      <c r="IT188" s="49"/>
      <c r="IU188" s="49"/>
      <c r="IV188" s="49"/>
    </row>
    <row r="189" spans="1:256" s="198" customFormat="1" ht="12" customHeight="1">
      <c r="A189" s="1252"/>
      <c r="B189" s="200"/>
      <c r="C189" s="486"/>
      <c r="D189" s="201"/>
      <c r="E189" s="202"/>
      <c r="F189" s="203"/>
      <c r="G189" s="197"/>
      <c r="H189" s="197"/>
      <c r="I189" s="197"/>
      <c r="J189" s="197"/>
      <c r="K189" s="175"/>
      <c r="L189" s="197"/>
      <c r="M189" s="197"/>
      <c r="N189" s="197"/>
      <c r="O189" s="197"/>
      <c r="P189" s="197"/>
      <c r="Q189" s="1198"/>
      <c r="R189" s="202"/>
      <c r="S189" s="202"/>
      <c r="T189" s="1186"/>
      <c r="U189" s="233"/>
      <c r="V189" s="49"/>
      <c r="W189" s="218"/>
      <c r="X189" s="218"/>
      <c r="Y189" s="216"/>
      <c r="Z189" s="216"/>
      <c r="AA189" s="215"/>
      <c r="AB189" s="216"/>
      <c r="AC189" s="216"/>
      <c r="AD189" s="239"/>
      <c r="AE189" s="216"/>
      <c r="AF189" s="216"/>
      <c r="AG189" s="216"/>
      <c r="AH189" s="216"/>
      <c r="AI189" s="216"/>
      <c r="AJ189" s="216"/>
      <c r="AK189" s="239"/>
      <c r="AL189" s="216"/>
      <c r="AM189" s="216"/>
      <c r="AN189" s="216"/>
      <c r="AO189" s="216"/>
      <c r="AP189" s="216"/>
      <c r="AQ189" s="216"/>
      <c r="AR189" s="216"/>
      <c r="AS189" s="216"/>
      <c r="AT189" s="216"/>
      <c r="AU189" s="216"/>
      <c r="AV189" s="217"/>
      <c r="AW189" s="355"/>
      <c r="AX189" s="217"/>
      <c r="AY189" s="1559"/>
      <c r="AZ189" s="249"/>
      <c r="BA189" s="221"/>
      <c r="BB189" s="300"/>
      <c r="BC189" s="217"/>
      <c r="BD189" s="392"/>
      <c r="BE189" s="1244"/>
      <c r="BF189" s="249"/>
      <c r="BG189" s="252"/>
      <c r="BH189" s="1469"/>
      <c r="BI189" s="216"/>
      <c r="BJ189" s="1469"/>
      <c r="BK189" s="1459"/>
      <c r="BL189" s="260"/>
      <c r="BM189" s="214"/>
      <c r="BN189" s="293"/>
      <c r="BO189" s="217"/>
      <c r="BP189" s="355"/>
      <c r="BQ189" s="217"/>
      <c r="BR189" s="1193"/>
      <c r="BS189" s="249"/>
      <c r="BT189" s="216"/>
      <c r="BU189" s="1195"/>
      <c r="BV189" s="249"/>
      <c r="BW189" s="216"/>
      <c r="BX189" s="1195"/>
      <c r="BY189" s="249"/>
      <c r="BZ189" s="216"/>
      <c r="CA189" s="1195"/>
      <c r="CB189" s="249"/>
      <c r="CC189" s="216"/>
      <c r="CD189" s="1195"/>
      <c r="CE189" s="249"/>
      <c r="CF189" s="216"/>
      <c r="CG189" s="1195"/>
      <c r="CH189" s="249"/>
      <c r="CI189" s="216"/>
      <c r="CJ189" s="1195"/>
      <c r="CK189" s="249"/>
      <c r="CL189" s="216"/>
      <c r="CM189" s="1194"/>
      <c r="CN189" s="1524"/>
      <c r="CO189" s="217"/>
      <c r="CP189" s="1193"/>
      <c r="CQ189" s="293"/>
      <c r="CR189" s="217"/>
      <c r="CS189" s="305"/>
      <c r="CT189" s="249"/>
      <c r="CU189" s="216"/>
      <c r="CV189" s="1193"/>
      <c r="CW189" s="249"/>
      <c r="CX189" s="216"/>
      <c r="CY189" s="305"/>
      <c r="CZ189" s="249"/>
      <c r="DA189" s="216"/>
      <c r="DB189" s="307"/>
      <c r="DC189" s="328"/>
      <c r="DD189" s="322"/>
      <c r="DE189" s="305"/>
      <c r="DF189" s="249"/>
      <c r="DG189" s="216"/>
      <c r="DH189" s="305"/>
      <c r="DI189" s="249"/>
      <c r="DJ189" s="216"/>
      <c r="DK189" s="309"/>
      <c r="DL189" s="293"/>
      <c r="DM189" s="326"/>
      <c r="DN189" s="1256"/>
      <c r="DO189" s="214"/>
      <c r="DP189" s="1257"/>
      <c r="DQ189" s="1258"/>
      <c r="DR189" s="305"/>
      <c r="DS189" s="249"/>
      <c r="DT189" s="216"/>
      <c r="DU189" s="305"/>
      <c r="DV189" s="2520"/>
      <c r="DW189" s="2521"/>
      <c r="DX189" s="305"/>
      <c r="DY189" s="249"/>
      <c r="DZ189" s="221"/>
      <c r="EA189" s="388"/>
      <c r="EB189" s="249"/>
      <c r="EC189" s="216"/>
      <c r="ED189" s="1461"/>
      <c r="EE189" s="249"/>
      <c r="EF189" s="216"/>
      <c r="EG189" s="355"/>
      <c r="EH189" s="1425"/>
      <c r="EI189" s="1470"/>
      <c r="EJ189" s="249"/>
      <c r="EK189" s="221"/>
      <c r="EL189" s="313"/>
      <c r="EM189" s="249"/>
      <c r="EN189" s="221"/>
      <c r="EO189" s="313"/>
      <c r="EP189" s="249"/>
      <c r="EQ189" s="216"/>
      <c r="ER189" s="313"/>
      <c r="ES189" s="249"/>
      <c r="ET189" s="216"/>
      <c r="EU189" s="313"/>
      <c r="EV189" s="249"/>
      <c r="EW189" s="216"/>
      <c r="EX189" s="2505"/>
      <c r="EY189" s="249"/>
      <c r="EZ189" s="221"/>
      <c r="FA189" s="313"/>
      <c r="FB189" s="249"/>
      <c r="FC189" s="221"/>
      <c r="FD189" s="313"/>
      <c r="FE189" s="249"/>
      <c r="FF189" s="221"/>
      <c r="FG189" s="313"/>
      <c r="FH189" s="249"/>
      <c r="FI189" s="216"/>
      <c r="FJ189" s="1435"/>
      <c r="FK189" s="216"/>
      <c r="FL189" s="1268"/>
      <c r="FM189" s="1655"/>
      <c r="FN189" s="1268"/>
      <c r="FO189" s="1655"/>
      <c r="FP189" s="1268"/>
      <c r="FQ189" s="1656"/>
      <c r="FR189" s="249"/>
      <c r="FS189" s="216"/>
      <c r="FT189" s="1657"/>
      <c r="FU189" s="1658"/>
      <c r="FV189" s="242"/>
      <c r="FW189" s="343"/>
      <c r="FX189" s="222"/>
      <c r="FY189" s="336"/>
      <c r="FZ189" s="223"/>
      <c r="GA189" s="338"/>
      <c r="GB189" s="204"/>
      <c r="GC189" s="339"/>
      <c r="GD189" s="342"/>
      <c r="GE189" s="199"/>
      <c r="GF189" s="199"/>
      <c r="GG189" s="199"/>
      <c r="GH189" s="199"/>
      <c r="GI189" s="199"/>
      <c r="GJ189" s="199"/>
      <c r="GK189" s="199"/>
      <c r="GL189" s="49"/>
      <c r="GM189" s="28"/>
      <c r="GN189" s="28"/>
      <c r="GO189" s="322"/>
      <c r="GP189" s="1190"/>
      <c r="GQ189" s="1190"/>
      <c r="GR189" s="49"/>
      <c r="GS189" s="2879"/>
      <c r="GT189" s="2880"/>
      <c r="GU189" s="2881"/>
      <c r="GV189" s="49"/>
      <c r="GW189" s="49"/>
      <c r="GX189" s="49"/>
      <c r="GY189" s="49"/>
      <c r="GZ189" s="49"/>
      <c r="HA189" s="49"/>
      <c r="HB189" s="49"/>
      <c r="HC189" s="49"/>
      <c r="HD189" s="49"/>
      <c r="HE189" s="49"/>
      <c r="HF189" s="49"/>
      <c r="HG189" s="49"/>
      <c r="HH189" s="49"/>
      <c r="HI189" s="49"/>
      <c r="HJ189" s="49"/>
      <c r="HK189" s="49"/>
      <c r="HL189" s="49"/>
      <c r="HM189" s="49"/>
      <c r="HN189" s="49"/>
      <c r="HO189" s="49"/>
      <c r="HP189" s="49"/>
      <c r="HQ189" s="49"/>
      <c r="HR189" s="49"/>
      <c r="HS189" s="49"/>
      <c r="HT189" s="49"/>
      <c r="HU189" s="49"/>
      <c r="HV189" s="49"/>
      <c r="HW189" s="49"/>
      <c r="HX189" s="49"/>
      <c r="HY189" s="49"/>
      <c r="HZ189" s="49"/>
      <c r="IA189" s="49"/>
      <c r="IB189" s="49"/>
      <c r="IC189" s="49"/>
      <c r="ID189" s="49"/>
      <c r="IE189" s="49"/>
      <c r="IF189" s="49"/>
      <c r="IG189" s="49"/>
      <c r="IH189" s="49"/>
      <c r="II189" s="49"/>
      <c r="IJ189" s="49"/>
      <c r="IK189" s="49"/>
      <c r="IL189" s="49"/>
      <c r="IM189" s="49"/>
      <c r="IN189" s="49"/>
      <c r="IO189" s="49"/>
      <c r="IP189" s="49"/>
      <c r="IQ189" s="49"/>
      <c r="IR189" s="49"/>
      <c r="IS189" s="49"/>
      <c r="IT189" s="49"/>
      <c r="IU189" s="49"/>
      <c r="IV189" s="49"/>
    </row>
    <row r="190" spans="1:256" s="198" customFormat="1" ht="12" customHeight="1">
      <c r="A190" s="1252"/>
      <c r="B190" s="200"/>
      <c r="C190" s="486"/>
      <c r="D190" s="201"/>
      <c r="E190" s="202"/>
      <c r="F190" s="203"/>
      <c r="G190" s="197"/>
      <c r="H190" s="197"/>
      <c r="I190" s="197"/>
      <c r="J190" s="197"/>
      <c r="K190" s="175"/>
      <c r="L190" s="197"/>
      <c r="M190" s="197"/>
      <c r="N190" s="197"/>
      <c r="O190" s="197"/>
      <c r="P190" s="197"/>
      <c r="Q190" s="1198"/>
      <c r="R190" s="202"/>
      <c r="S190" s="202"/>
      <c r="T190" s="1186"/>
      <c r="U190" s="233"/>
      <c r="V190" s="49"/>
      <c r="W190" s="218"/>
      <c r="X190" s="218"/>
      <c r="Y190" s="216"/>
      <c r="Z190" s="216"/>
      <c r="AA190" s="215"/>
      <c r="AB190" s="216"/>
      <c r="AC190" s="216"/>
      <c r="AD190" s="239"/>
      <c r="AE190" s="216"/>
      <c r="AF190" s="216"/>
      <c r="AG190" s="216"/>
      <c r="AH190" s="216"/>
      <c r="AI190" s="216"/>
      <c r="AJ190" s="216"/>
      <c r="AK190" s="239"/>
      <c r="AL190" s="216"/>
      <c r="AM190" s="216"/>
      <c r="AN190" s="216"/>
      <c r="AO190" s="216"/>
      <c r="AP190" s="216"/>
      <c r="AQ190" s="216"/>
      <c r="AR190" s="216"/>
      <c r="AS190" s="216"/>
      <c r="AT190" s="216"/>
      <c r="AU190" s="216"/>
      <c r="AV190" s="217"/>
      <c r="AW190" s="355"/>
      <c r="AX190" s="217"/>
      <c r="AY190" s="1559"/>
      <c r="AZ190" s="249"/>
      <c r="BA190" s="221"/>
      <c r="BB190" s="300"/>
      <c r="BC190" s="217"/>
      <c r="BD190" s="392"/>
      <c r="BE190" s="1244"/>
      <c r="BF190" s="249"/>
      <c r="BG190" s="252"/>
      <c r="BH190" s="1469"/>
      <c r="BI190" s="216"/>
      <c r="BJ190" s="1469"/>
      <c r="BK190" s="1459"/>
      <c r="BL190" s="260"/>
      <c r="BM190" s="214"/>
      <c r="BN190" s="293"/>
      <c r="BO190" s="217"/>
      <c r="BP190" s="355"/>
      <c r="BQ190" s="217"/>
      <c r="BR190" s="1193"/>
      <c r="BS190" s="249"/>
      <c r="BT190" s="216"/>
      <c r="BU190" s="1195"/>
      <c r="BV190" s="249"/>
      <c r="BW190" s="216"/>
      <c r="BX190" s="1195"/>
      <c r="BY190" s="249"/>
      <c r="BZ190" s="216"/>
      <c r="CA190" s="1195"/>
      <c r="CB190" s="249"/>
      <c r="CC190" s="216"/>
      <c r="CD190" s="1195"/>
      <c r="CE190" s="249"/>
      <c r="CF190" s="216"/>
      <c r="CG190" s="1195"/>
      <c r="CH190" s="249"/>
      <c r="CI190" s="216"/>
      <c r="CJ190" s="1195"/>
      <c r="CK190" s="249"/>
      <c r="CL190" s="216"/>
      <c r="CM190" s="1194"/>
      <c r="CN190" s="1524"/>
      <c r="CO190" s="217"/>
      <c r="CP190" s="1193"/>
      <c r="CQ190" s="293"/>
      <c r="CR190" s="217"/>
      <c r="CS190" s="305"/>
      <c r="CT190" s="249"/>
      <c r="CU190" s="216"/>
      <c r="CV190" s="1193"/>
      <c r="CW190" s="249"/>
      <c r="CX190" s="216"/>
      <c r="CY190" s="305"/>
      <c r="CZ190" s="249"/>
      <c r="DA190" s="216"/>
      <c r="DB190" s="307"/>
      <c r="DC190" s="328"/>
      <c r="DD190" s="322"/>
      <c r="DE190" s="305"/>
      <c r="DF190" s="249"/>
      <c r="DG190" s="216"/>
      <c r="DH190" s="305"/>
      <c r="DI190" s="249"/>
      <c r="DJ190" s="216"/>
      <c r="DK190" s="309"/>
      <c r="DL190" s="293"/>
      <c r="DM190" s="326"/>
      <c r="DN190" s="1256"/>
      <c r="DO190" s="214"/>
      <c r="DP190" s="1257"/>
      <c r="DQ190" s="1258"/>
      <c r="DR190" s="305"/>
      <c r="DS190" s="249"/>
      <c r="DT190" s="216"/>
      <c r="DU190" s="305"/>
      <c r="DV190" s="2520"/>
      <c r="DW190" s="2521"/>
      <c r="DX190" s="305"/>
      <c r="DY190" s="249"/>
      <c r="DZ190" s="221"/>
      <c r="EA190" s="388"/>
      <c r="EB190" s="249"/>
      <c r="EC190" s="216"/>
      <c r="ED190" s="1461"/>
      <c r="EE190" s="249"/>
      <c r="EF190" s="216"/>
      <c r="EG190" s="355"/>
      <c r="EH190" s="1425"/>
      <c r="EI190" s="1470"/>
      <c r="EJ190" s="249"/>
      <c r="EK190" s="221"/>
      <c r="EL190" s="313"/>
      <c r="EM190" s="249"/>
      <c r="EN190" s="221"/>
      <c r="EO190" s="313"/>
      <c r="EP190" s="249"/>
      <c r="EQ190" s="216"/>
      <c r="ER190" s="313"/>
      <c r="ES190" s="249"/>
      <c r="ET190" s="216"/>
      <c r="EU190" s="313"/>
      <c r="EV190" s="249"/>
      <c r="EW190" s="216"/>
      <c r="EX190" s="2505"/>
      <c r="EY190" s="249"/>
      <c r="EZ190" s="221"/>
      <c r="FA190" s="313"/>
      <c r="FB190" s="249"/>
      <c r="FC190" s="221"/>
      <c r="FD190" s="313"/>
      <c r="FE190" s="249"/>
      <c r="FF190" s="221"/>
      <c r="FG190" s="313"/>
      <c r="FH190" s="249"/>
      <c r="FI190" s="216"/>
      <c r="FJ190" s="1435"/>
      <c r="FK190" s="216"/>
      <c r="FL190" s="1268"/>
      <c r="FM190" s="1655"/>
      <c r="FN190" s="1268"/>
      <c r="FO190" s="1655"/>
      <c r="FP190" s="1268"/>
      <c r="FQ190" s="1656"/>
      <c r="FR190" s="249"/>
      <c r="FS190" s="216"/>
      <c r="FT190" s="1657"/>
      <c r="FU190" s="1658"/>
      <c r="FV190" s="242"/>
      <c r="FW190" s="343"/>
      <c r="FX190" s="222"/>
      <c r="FY190" s="336"/>
      <c r="FZ190" s="223"/>
      <c r="GA190" s="338"/>
      <c r="GB190" s="204"/>
      <c r="GC190" s="339"/>
      <c r="GD190" s="342"/>
      <c r="GE190" s="199"/>
      <c r="GF190" s="199"/>
      <c r="GG190" s="199"/>
      <c r="GH190" s="199"/>
      <c r="GI190" s="199"/>
      <c r="GJ190" s="199"/>
      <c r="GK190" s="199"/>
      <c r="GL190" s="49"/>
      <c r="GM190" s="28"/>
      <c r="GN190" s="28"/>
      <c r="GO190" s="322"/>
      <c r="GP190" s="1190"/>
      <c r="GQ190" s="1190"/>
      <c r="GR190" s="49"/>
      <c r="GS190" s="2879"/>
      <c r="GT190" s="2880"/>
      <c r="GU190" s="2881"/>
      <c r="GV190" s="49"/>
      <c r="GW190" s="49"/>
      <c r="GX190" s="49"/>
      <c r="GY190" s="49"/>
      <c r="GZ190" s="49"/>
      <c r="HA190" s="49"/>
      <c r="HB190" s="49"/>
      <c r="HC190" s="49"/>
      <c r="HD190" s="49"/>
      <c r="HE190" s="49"/>
      <c r="HF190" s="49"/>
      <c r="HG190" s="49"/>
      <c r="HH190" s="49"/>
      <c r="HI190" s="49"/>
      <c r="HJ190" s="49"/>
      <c r="HK190" s="49"/>
      <c r="HL190" s="49"/>
      <c r="HM190" s="49"/>
      <c r="HN190" s="49"/>
      <c r="HO190" s="49"/>
      <c r="HP190" s="49"/>
      <c r="HQ190" s="49"/>
      <c r="HR190" s="49"/>
      <c r="HS190" s="49"/>
      <c r="HT190" s="49"/>
      <c r="HU190" s="49"/>
      <c r="HV190" s="49"/>
      <c r="HW190" s="49"/>
      <c r="HX190" s="49"/>
      <c r="HY190" s="49"/>
      <c r="HZ190" s="49"/>
      <c r="IA190" s="49"/>
      <c r="IB190" s="49"/>
      <c r="IC190" s="49"/>
      <c r="ID190" s="49"/>
      <c r="IE190" s="49"/>
      <c r="IF190" s="49"/>
      <c r="IG190" s="49"/>
      <c r="IH190" s="49"/>
      <c r="II190" s="49"/>
      <c r="IJ190" s="49"/>
      <c r="IK190" s="49"/>
      <c r="IL190" s="49"/>
      <c r="IM190" s="49"/>
      <c r="IN190" s="49"/>
      <c r="IO190" s="49"/>
      <c r="IP190" s="49"/>
      <c r="IQ190" s="49"/>
      <c r="IR190" s="49"/>
      <c r="IS190" s="49"/>
      <c r="IT190" s="49"/>
      <c r="IU190" s="49"/>
      <c r="IV190" s="49"/>
    </row>
    <row r="191" spans="1:256" s="198" customFormat="1" ht="12" customHeight="1">
      <c r="A191" s="1252"/>
      <c r="B191" s="200"/>
      <c r="C191" s="486"/>
      <c r="D191" s="201"/>
      <c r="E191" s="202"/>
      <c r="F191" s="203"/>
      <c r="G191" s="197"/>
      <c r="H191" s="197"/>
      <c r="I191" s="197"/>
      <c r="J191" s="197"/>
      <c r="K191" s="175"/>
      <c r="L191" s="197"/>
      <c r="M191" s="197"/>
      <c r="N191" s="197"/>
      <c r="O191" s="197"/>
      <c r="P191" s="197"/>
      <c r="Q191" s="1198"/>
      <c r="R191" s="202"/>
      <c r="S191" s="202"/>
      <c r="T191" s="1186"/>
      <c r="U191" s="233"/>
      <c r="V191" s="49"/>
      <c r="W191" s="218"/>
      <c r="X191" s="218"/>
      <c r="Y191" s="216"/>
      <c r="Z191" s="216"/>
      <c r="AA191" s="215"/>
      <c r="AB191" s="216"/>
      <c r="AC191" s="216"/>
      <c r="AD191" s="239"/>
      <c r="AE191" s="216"/>
      <c r="AF191" s="216"/>
      <c r="AG191" s="216"/>
      <c r="AH191" s="216"/>
      <c r="AI191" s="216"/>
      <c r="AJ191" s="216"/>
      <c r="AK191" s="239"/>
      <c r="AL191" s="216"/>
      <c r="AM191" s="216"/>
      <c r="AN191" s="216"/>
      <c r="AO191" s="216"/>
      <c r="AP191" s="216"/>
      <c r="AQ191" s="216"/>
      <c r="AR191" s="216"/>
      <c r="AS191" s="216"/>
      <c r="AT191" s="216"/>
      <c r="AU191" s="216"/>
      <c r="AV191" s="217"/>
      <c r="AW191" s="355"/>
      <c r="AX191" s="217"/>
      <c r="AY191" s="1559"/>
      <c r="AZ191" s="249"/>
      <c r="BA191" s="221"/>
      <c r="BB191" s="300"/>
      <c r="BC191" s="217"/>
      <c r="BD191" s="392"/>
      <c r="BE191" s="1244"/>
      <c r="BF191" s="249"/>
      <c r="BG191" s="252"/>
      <c r="BH191" s="1469"/>
      <c r="BI191" s="216"/>
      <c r="BJ191" s="1469"/>
      <c r="BK191" s="1459"/>
      <c r="BL191" s="260"/>
      <c r="BM191" s="214"/>
      <c r="BN191" s="293"/>
      <c r="BO191" s="217"/>
      <c r="BP191" s="355"/>
      <c r="BQ191" s="217"/>
      <c r="BR191" s="1193"/>
      <c r="BS191" s="249"/>
      <c r="BT191" s="216"/>
      <c r="BU191" s="1195"/>
      <c r="BV191" s="249"/>
      <c r="BW191" s="216"/>
      <c r="BX191" s="1195"/>
      <c r="BY191" s="249"/>
      <c r="BZ191" s="216"/>
      <c r="CA191" s="1195"/>
      <c r="CB191" s="249"/>
      <c r="CC191" s="216"/>
      <c r="CD191" s="1195"/>
      <c r="CE191" s="249"/>
      <c r="CF191" s="216"/>
      <c r="CG191" s="1195"/>
      <c r="CH191" s="249"/>
      <c r="CI191" s="216"/>
      <c r="CJ191" s="1195"/>
      <c r="CK191" s="249"/>
      <c r="CL191" s="216"/>
      <c r="CM191" s="1194"/>
      <c r="CN191" s="1524"/>
      <c r="CO191" s="217"/>
      <c r="CP191" s="1193"/>
      <c r="CQ191" s="293"/>
      <c r="CR191" s="217"/>
      <c r="CS191" s="305"/>
      <c r="CT191" s="249"/>
      <c r="CU191" s="216"/>
      <c r="CV191" s="1193"/>
      <c r="CW191" s="249"/>
      <c r="CX191" s="216"/>
      <c r="CY191" s="305"/>
      <c r="CZ191" s="249"/>
      <c r="DA191" s="216"/>
      <c r="DB191" s="307"/>
      <c r="DC191" s="328"/>
      <c r="DD191" s="322"/>
      <c r="DE191" s="305"/>
      <c r="DF191" s="249"/>
      <c r="DG191" s="216"/>
      <c r="DH191" s="305"/>
      <c r="DI191" s="249"/>
      <c r="DJ191" s="216"/>
      <c r="DK191" s="309"/>
      <c r="DL191" s="293"/>
      <c r="DM191" s="326"/>
      <c r="DN191" s="1256"/>
      <c r="DO191" s="214"/>
      <c r="DP191" s="1257"/>
      <c r="DQ191" s="1258"/>
      <c r="DR191" s="305"/>
      <c r="DS191" s="249"/>
      <c r="DT191" s="216"/>
      <c r="DU191" s="305"/>
      <c r="DV191" s="2520"/>
      <c r="DW191" s="2521"/>
      <c r="DX191" s="305"/>
      <c r="DY191" s="249"/>
      <c r="DZ191" s="221"/>
      <c r="EA191" s="388"/>
      <c r="EB191" s="249"/>
      <c r="EC191" s="216"/>
      <c r="ED191" s="1461"/>
      <c r="EE191" s="249"/>
      <c r="EF191" s="216"/>
      <c r="EG191" s="355"/>
      <c r="EH191" s="1425"/>
      <c r="EI191" s="1470"/>
      <c r="EJ191" s="249"/>
      <c r="EK191" s="221"/>
      <c r="EL191" s="313"/>
      <c r="EM191" s="249"/>
      <c r="EN191" s="221"/>
      <c r="EO191" s="313"/>
      <c r="EP191" s="249"/>
      <c r="EQ191" s="216"/>
      <c r="ER191" s="313"/>
      <c r="ES191" s="249"/>
      <c r="ET191" s="216"/>
      <c r="EU191" s="313"/>
      <c r="EV191" s="249"/>
      <c r="EW191" s="216"/>
      <c r="EX191" s="2505"/>
      <c r="EY191" s="249"/>
      <c r="EZ191" s="221"/>
      <c r="FA191" s="313"/>
      <c r="FB191" s="249"/>
      <c r="FC191" s="221"/>
      <c r="FD191" s="313"/>
      <c r="FE191" s="249"/>
      <c r="FF191" s="221"/>
      <c r="FG191" s="313"/>
      <c r="FH191" s="249"/>
      <c r="FI191" s="216"/>
      <c r="FJ191" s="1435"/>
      <c r="FK191" s="216"/>
      <c r="FL191" s="1268"/>
      <c r="FM191" s="1655"/>
      <c r="FN191" s="1268"/>
      <c r="FO191" s="1655"/>
      <c r="FP191" s="1268"/>
      <c r="FQ191" s="1656"/>
      <c r="FR191" s="249"/>
      <c r="FS191" s="216"/>
      <c r="FT191" s="1657"/>
      <c r="FU191" s="1658"/>
      <c r="FV191" s="242"/>
      <c r="FW191" s="343"/>
      <c r="FX191" s="222"/>
      <c r="FY191" s="336"/>
      <c r="FZ191" s="223"/>
      <c r="GA191" s="338"/>
      <c r="GB191" s="204"/>
      <c r="GC191" s="339"/>
      <c r="GD191" s="342"/>
      <c r="GE191" s="199"/>
      <c r="GF191" s="199"/>
      <c r="GG191" s="199"/>
      <c r="GH191" s="199"/>
      <c r="GI191" s="199"/>
      <c r="GJ191" s="199"/>
      <c r="GK191" s="199"/>
      <c r="GL191" s="49"/>
      <c r="GM191" s="28"/>
      <c r="GN191" s="28"/>
      <c r="GO191" s="322"/>
      <c r="GP191" s="1190"/>
      <c r="GQ191" s="1190"/>
      <c r="GR191" s="49"/>
      <c r="GS191" s="2879"/>
      <c r="GT191" s="2880"/>
      <c r="GU191" s="2881"/>
      <c r="GV191" s="49"/>
      <c r="GW191" s="49"/>
      <c r="GX191" s="49"/>
      <c r="GY191" s="49"/>
      <c r="GZ191" s="49"/>
      <c r="HA191" s="49"/>
      <c r="HB191" s="49"/>
      <c r="HC191" s="49"/>
      <c r="HD191" s="49"/>
      <c r="HE191" s="49"/>
      <c r="HF191" s="49"/>
      <c r="HG191" s="49"/>
      <c r="HH191" s="49"/>
      <c r="HI191" s="49"/>
      <c r="HJ191" s="49"/>
      <c r="HK191" s="49"/>
      <c r="HL191" s="49"/>
      <c r="HM191" s="49"/>
      <c r="HN191" s="49"/>
      <c r="HO191" s="49"/>
      <c r="HP191" s="49"/>
      <c r="HQ191" s="49"/>
      <c r="HR191" s="49"/>
      <c r="HS191" s="49"/>
      <c r="HT191" s="49"/>
      <c r="HU191" s="49"/>
      <c r="HV191" s="49"/>
      <c r="HW191" s="49"/>
      <c r="HX191" s="49"/>
      <c r="HY191" s="49"/>
      <c r="HZ191" s="49"/>
      <c r="IA191" s="49"/>
      <c r="IB191" s="49"/>
      <c r="IC191" s="49"/>
      <c r="ID191" s="49"/>
      <c r="IE191" s="49"/>
      <c r="IF191" s="49"/>
      <c r="IG191" s="49"/>
      <c r="IH191" s="49"/>
      <c r="II191" s="49"/>
      <c r="IJ191" s="49"/>
      <c r="IK191" s="49"/>
      <c r="IL191" s="49"/>
      <c r="IM191" s="49"/>
      <c r="IN191" s="49"/>
      <c r="IO191" s="49"/>
      <c r="IP191" s="49"/>
      <c r="IQ191" s="49"/>
      <c r="IR191" s="49"/>
      <c r="IS191" s="49"/>
      <c r="IT191" s="49"/>
      <c r="IU191" s="49"/>
      <c r="IV191" s="49"/>
    </row>
    <row r="192" spans="1:256" s="198" customFormat="1" ht="12" customHeight="1">
      <c r="A192" s="1252"/>
      <c r="B192" s="200"/>
      <c r="C192" s="486"/>
      <c r="D192" s="201"/>
      <c r="E192" s="202"/>
      <c r="F192" s="203"/>
      <c r="G192" s="197"/>
      <c r="H192" s="197"/>
      <c r="I192" s="197"/>
      <c r="J192" s="197"/>
      <c r="K192" s="175"/>
      <c r="L192" s="197"/>
      <c r="M192" s="197"/>
      <c r="N192" s="197"/>
      <c r="O192" s="197"/>
      <c r="P192" s="197"/>
      <c r="Q192" s="1198"/>
      <c r="R192" s="202"/>
      <c r="S192" s="202"/>
      <c r="T192" s="1186"/>
      <c r="U192" s="233"/>
      <c r="V192" s="49"/>
      <c r="W192" s="218"/>
      <c r="X192" s="218"/>
      <c r="Y192" s="216"/>
      <c r="Z192" s="216"/>
      <c r="AA192" s="215"/>
      <c r="AB192" s="216"/>
      <c r="AC192" s="216"/>
      <c r="AD192" s="239"/>
      <c r="AE192" s="216"/>
      <c r="AF192" s="216"/>
      <c r="AG192" s="216"/>
      <c r="AH192" s="216"/>
      <c r="AI192" s="216"/>
      <c r="AJ192" s="216"/>
      <c r="AK192" s="239"/>
      <c r="AL192" s="216"/>
      <c r="AM192" s="216"/>
      <c r="AN192" s="216"/>
      <c r="AO192" s="216"/>
      <c r="AP192" s="216"/>
      <c r="AQ192" s="216"/>
      <c r="AR192" s="216"/>
      <c r="AS192" s="216"/>
      <c r="AT192" s="216"/>
      <c r="AU192" s="216"/>
      <c r="AV192" s="217"/>
      <c r="AW192" s="355"/>
      <c r="AX192" s="217"/>
      <c r="AY192" s="1559"/>
      <c r="AZ192" s="249"/>
      <c r="BA192" s="221"/>
      <c r="BB192" s="300"/>
      <c r="BC192" s="217"/>
      <c r="BD192" s="392"/>
      <c r="BE192" s="1244"/>
      <c r="BF192" s="249"/>
      <c r="BG192" s="252"/>
      <c r="BH192" s="1469"/>
      <c r="BI192" s="216"/>
      <c r="BJ192" s="1469"/>
      <c r="BK192" s="1459"/>
      <c r="BL192" s="260"/>
      <c r="BM192" s="214"/>
      <c r="BN192" s="293"/>
      <c r="BO192" s="217"/>
      <c r="BP192" s="355"/>
      <c r="BQ192" s="217"/>
      <c r="BR192" s="1193"/>
      <c r="BS192" s="249"/>
      <c r="BT192" s="216"/>
      <c r="BU192" s="1195"/>
      <c r="BV192" s="249"/>
      <c r="BW192" s="216"/>
      <c r="BX192" s="1195"/>
      <c r="BY192" s="249"/>
      <c r="BZ192" s="216"/>
      <c r="CA192" s="1195"/>
      <c r="CB192" s="249"/>
      <c r="CC192" s="216"/>
      <c r="CD192" s="1195"/>
      <c r="CE192" s="249"/>
      <c r="CF192" s="216"/>
      <c r="CG192" s="1195"/>
      <c r="CH192" s="249"/>
      <c r="CI192" s="216"/>
      <c r="CJ192" s="1195"/>
      <c r="CK192" s="249"/>
      <c r="CL192" s="216"/>
      <c r="CM192" s="1194"/>
      <c r="CN192" s="1524"/>
      <c r="CO192" s="217"/>
      <c r="CP192" s="1193"/>
      <c r="CQ192" s="293"/>
      <c r="CR192" s="217"/>
      <c r="CS192" s="305"/>
      <c r="CT192" s="249"/>
      <c r="CU192" s="216"/>
      <c r="CV192" s="1193"/>
      <c r="CW192" s="249"/>
      <c r="CX192" s="216"/>
      <c r="CY192" s="305"/>
      <c r="CZ192" s="249"/>
      <c r="DA192" s="216"/>
      <c r="DB192" s="307"/>
      <c r="DC192" s="328"/>
      <c r="DD192" s="322"/>
      <c r="DE192" s="305"/>
      <c r="DF192" s="249"/>
      <c r="DG192" s="216"/>
      <c r="DH192" s="305"/>
      <c r="DI192" s="249"/>
      <c r="DJ192" s="216"/>
      <c r="DK192" s="309"/>
      <c r="DL192" s="293"/>
      <c r="DM192" s="326"/>
      <c r="DN192" s="1256"/>
      <c r="DO192" s="214"/>
      <c r="DP192" s="1257"/>
      <c r="DQ192" s="1258"/>
      <c r="DR192" s="305"/>
      <c r="DS192" s="249"/>
      <c r="DT192" s="216"/>
      <c r="DU192" s="305"/>
      <c r="DV192" s="2520"/>
      <c r="DW192" s="2521"/>
      <c r="DX192" s="305"/>
      <c r="DY192" s="249"/>
      <c r="DZ192" s="221"/>
      <c r="EA192" s="388"/>
      <c r="EB192" s="249"/>
      <c r="EC192" s="216"/>
      <c r="ED192" s="1461"/>
      <c r="EE192" s="249"/>
      <c r="EF192" s="216"/>
      <c r="EG192" s="355"/>
      <c r="EH192" s="1425"/>
      <c r="EI192" s="1470"/>
      <c r="EJ192" s="249"/>
      <c r="EK192" s="221"/>
      <c r="EL192" s="313"/>
      <c r="EM192" s="249"/>
      <c r="EN192" s="221"/>
      <c r="EO192" s="313"/>
      <c r="EP192" s="249"/>
      <c r="EQ192" s="216"/>
      <c r="ER192" s="313"/>
      <c r="ES192" s="249"/>
      <c r="ET192" s="216"/>
      <c r="EU192" s="313"/>
      <c r="EV192" s="249"/>
      <c r="EW192" s="216"/>
      <c r="EX192" s="2505"/>
      <c r="EY192" s="249"/>
      <c r="EZ192" s="221"/>
      <c r="FA192" s="313"/>
      <c r="FB192" s="249"/>
      <c r="FC192" s="221"/>
      <c r="FD192" s="313"/>
      <c r="FE192" s="249"/>
      <c r="FF192" s="221"/>
      <c r="FG192" s="313"/>
      <c r="FH192" s="249"/>
      <c r="FI192" s="216"/>
      <c r="FJ192" s="1435"/>
      <c r="FK192" s="216"/>
      <c r="FL192" s="1268"/>
      <c r="FM192" s="1655"/>
      <c r="FN192" s="1268"/>
      <c r="FO192" s="1655"/>
      <c r="FP192" s="1268"/>
      <c r="FQ192" s="1656"/>
      <c r="FR192" s="249"/>
      <c r="FS192" s="216"/>
      <c r="FT192" s="1657"/>
      <c r="FU192" s="1658"/>
      <c r="FV192" s="242"/>
      <c r="FW192" s="343"/>
      <c r="FX192" s="222"/>
      <c r="FY192" s="336"/>
      <c r="FZ192" s="223"/>
      <c r="GA192" s="338"/>
      <c r="GB192" s="204"/>
      <c r="GC192" s="339"/>
      <c r="GD192" s="342"/>
      <c r="GE192" s="199"/>
      <c r="GF192" s="199"/>
      <c r="GG192" s="199"/>
      <c r="GH192" s="199"/>
      <c r="GI192" s="199"/>
      <c r="GJ192" s="199"/>
      <c r="GK192" s="199"/>
      <c r="GL192" s="49"/>
      <c r="GM192" s="28"/>
      <c r="GN192" s="28"/>
      <c r="GO192" s="322"/>
      <c r="GP192" s="1190"/>
      <c r="GQ192" s="1190"/>
      <c r="GR192" s="49"/>
      <c r="GS192" s="2879"/>
      <c r="GT192" s="2880"/>
      <c r="GU192" s="2881"/>
      <c r="GV192" s="49"/>
      <c r="GW192" s="49"/>
      <c r="GX192" s="49"/>
      <c r="GY192" s="49"/>
      <c r="GZ192" s="49"/>
      <c r="HA192" s="49"/>
      <c r="HB192" s="49"/>
      <c r="HC192" s="49"/>
      <c r="HD192" s="49"/>
      <c r="HE192" s="49"/>
      <c r="HF192" s="49"/>
      <c r="HG192" s="49"/>
      <c r="HH192" s="49"/>
      <c r="HI192" s="49"/>
      <c r="HJ192" s="49"/>
      <c r="HK192" s="49"/>
      <c r="HL192" s="49"/>
      <c r="HM192" s="49"/>
      <c r="HN192" s="49"/>
      <c r="HO192" s="49"/>
      <c r="HP192" s="49"/>
      <c r="HQ192" s="49"/>
      <c r="HR192" s="49"/>
      <c r="HS192" s="49"/>
      <c r="HT192" s="49"/>
      <c r="HU192" s="49"/>
      <c r="HV192" s="49"/>
      <c r="HW192" s="49"/>
      <c r="HX192" s="49"/>
      <c r="HY192" s="49"/>
      <c r="HZ192" s="49"/>
      <c r="IA192" s="49"/>
      <c r="IB192" s="49"/>
      <c r="IC192" s="49"/>
      <c r="ID192" s="49"/>
      <c r="IE192" s="49"/>
      <c r="IF192" s="49"/>
      <c r="IG192" s="49"/>
      <c r="IH192" s="49"/>
      <c r="II192" s="49"/>
      <c r="IJ192" s="49"/>
      <c r="IK192" s="49"/>
      <c r="IL192" s="49"/>
      <c r="IM192" s="49"/>
      <c r="IN192" s="49"/>
      <c r="IO192" s="49"/>
      <c r="IP192" s="49"/>
      <c r="IQ192" s="49"/>
      <c r="IR192" s="49"/>
      <c r="IS192" s="49"/>
      <c r="IT192" s="49"/>
      <c r="IU192" s="49"/>
      <c r="IV192" s="49"/>
    </row>
    <row r="193" spans="1:256" s="198" customFormat="1" ht="12" customHeight="1">
      <c r="A193" s="1252"/>
      <c r="B193" s="200"/>
      <c r="C193" s="486"/>
      <c r="D193" s="201"/>
      <c r="E193" s="202"/>
      <c r="F193" s="203"/>
      <c r="G193" s="197"/>
      <c r="H193" s="197"/>
      <c r="I193" s="197"/>
      <c r="J193" s="197"/>
      <c r="K193" s="175"/>
      <c r="L193" s="197"/>
      <c r="M193" s="197"/>
      <c r="N193" s="197"/>
      <c r="O193" s="197"/>
      <c r="P193" s="197"/>
      <c r="Q193" s="1198"/>
      <c r="R193" s="202"/>
      <c r="S193" s="202"/>
      <c r="T193" s="1186"/>
      <c r="U193" s="233"/>
      <c r="V193" s="49"/>
      <c r="W193" s="218"/>
      <c r="X193" s="218"/>
      <c r="Y193" s="216"/>
      <c r="Z193" s="216"/>
      <c r="AA193" s="215"/>
      <c r="AB193" s="216"/>
      <c r="AC193" s="216"/>
      <c r="AD193" s="239"/>
      <c r="AE193" s="216"/>
      <c r="AF193" s="216"/>
      <c r="AG193" s="216"/>
      <c r="AH193" s="216"/>
      <c r="AI193" s="216"/>
      <c r="AJ193" s="216"/>
      <c r="AK193" s="239"/>
      <c r="AL193" s="216"/>
      <c r="AM193" s="216"/>
      <c r="AN193" s="216"/>
      <c r="AO193" s="216"/>
      <c r="AP193" s="216"/>
      <c r="AQ193" s="216"/>
      <c r="AR193" s="216"/>
      <c r="AS193" s="216"/>
      <c r="AT193" s="216"/>
      <c r="AU193" s="216"/>
      <c r="AV193" s="217"/>
      <c r="AW193" s="355"/>
      <c r="AX193" s="217"/>
      <c r="AY193" s="1559"/>
      <c r="AZ193" s="249"/>
      <c r="BA193" s="221"/>
      <c r="BB193" s="300"/>
      <c r="BC193" s="217"/>
      <c r="BD193" s="392"/>
      <c r="BE193" s="1244"/>
      <c r="BF193" s="249"/>
      <c r="BG193" s="252"/>
      <c r="BH193" s="1469"/>
      <c r="BI193" s="216"/>
      <c r="BJ193" s="1469"/>
      <c r="BK193" s="1459"/>
      <c r="BL193" s="260"/>
      <c r="BM193" s="214"/>
      <c r="BN193" s="293"/>
      <c r="BO193" s="217"/>
      <c r="BP193" s="355"/>
      <c r="BQ193" s="217"/>
      <c r="BR193" s="1193"/>
      <c r="BS193" s="249"/>
      <c r="BT193" s="216"/>
      <c r="BU193" s="1195"/>
      <c r="BV193" s="249"/>
      <c r="BW193" s="216"/>
      <c r="BX193" s="1195"/>
      <c r="BY193" s="249"/>
      <c r="BZ193" s="216"/>
      <c r="CA193" s="1195"/>
      <c r="CB193" s="249"/>
      <c r="CC193" s="216"/>
      <c r="CD193" s="1195"/>
      <c r="CE193" s="249"/>
      <c r="CF193" s="216"/>
      <c r="CG193" s="1195"/>
      <c r="CH193" s="249"/>
      <c r="CI193" s="216"/>
      <c r="CJ193" s="1195"/>
      <c r="CK193" s="249"/>
      <c r="CL193" s="216"/>
      <c r="CM193" s="1194"/>
      <c r="CN193" s="1524"/>
      <c r="CO193" s="217"/>
      <c r="CP193" s="1193"/>
      <c r="CQ193" s="293"/>
      <c r="CR193" s="217"/>
      <c r="CS193" s="305"/>
      <c r="CT193" s="249"/>
      <c r="CU193" s="216"/>
      <c r="CV193" s="1193"/>
      <c r="CW193" s="249"/>
      <c r="CX193" s="216"/>
      <c r="CY193" s="305"/>
      <c r="CZ193" s="249"/>
      <c r="DA193" s="216"/>
      <c r="DB193" s="307"/>
      <c r="DC193" s="328"/>
      <c r="DD193" s="322"/>
      <c r="DE193" s="305"/>
      <c r="DF193" s="249"/>
      <c r="DG193" s="216"/>
      <c r="DH193" s="305"/>
      <c r="DI193" s="249"/>
      <c r="DJ193" s="216"/>
      <c r="DK193" s="309"/>
      <c r="DL193" s="293"/>
      <c r="DM193" s="326"/>
      <c r="DN193" s="1256"/>
      <c r="DO193" s="214"/>
      <c r="DP193" s="1257"/>
      <c r="DQ193" s="1258"/>
      <c r="DR193" s="305"/>
      <c r="DS193" s="249"/>
      <c r="DT193" s="216"/>
      <c r="DU193" s="305"/>
      <c r="DV193" s="2520"/>
      <c r="DW193" s="2521"/>
      <c r="DX193" s="305"/>
      <c r="DY193" s="249"/>
      <c r="DZ193" s="221"/>
      <c r="EA193" s="388"/>
      <c r="EB193" s="249"/>
      <c r="EC193" s="216"/>
      <c r="ED193" s="1461"/>
      <c r="EE193" s="249"/>
      <c r="EF193" s="216"/>
      <c r="EG193" s="355"/>
      <c r="EH193" s="1425"/>
      <c r="EI193" s="1470"/>
      <c r="EJ193" s="249"/>
      <c r="EK193" s="221"/>
      <c r="EL193" s="313"/>
      <c r="EM193" s="249"/>
      <c r="EN193" s="221"/>
      <c r="EO193" s="313"/>
      <c r="EP193" s="249"/>
      <c r="EQ193" s="216"/>
      <c r="ER193" s="313"/>
      <c r="ES193" s="249"/>
      <c r="ET193" s="216"/>
      <c r="EU193" s="313"/>
      <c r="EV193" s="249"/>
      <c r="EW193" s="216"/>
      <c r="EX193" s="2505"/>
      <c r="EY193" s="249"/>
      <c r="EZ193" s="221"/>
      <c r="FA193" s="313"/>
      <c r="FB193" s="249"/>
      <c r="FC193" s="221"/>
      <c r="FD193" s="313"/>
      <c r="FE193" s="249"/>
      <c r="FF193" s="221"/>
      <c r="FG193" s="313"/>
      <c r="FH193" s="249"/>
      <c r="FI193" s="216"/>
      <c r="FJ193" s="1435"/>
      <c r="FK193" s="216"/>
      <c r="FL193" s="1268"/>
      <c r="FM193" s="1655"/>
      <c r="FN193" s="1268"/>
      <c r="FO193" s="1655"/>
      <c r="FP193" s="1268"/>
      <c r="FQ193" s="1656"/>
      <c r="FR193" s="249"/>
      <c r="FS193" s="216"/>
      <c r="FT193" s="1657"/>
      <c r="FU193" s="1658"/>
      <c r="FV193" s="242"/>
      <c r="FW193" s="343"/>
      <c r="FX193" s="222"/>
      <c r="FY193" s="336"/>
      <c r="FZ193" s="223"/>
      <c r="GA193" s="338"/>
      <c r="GB193" s="204"/>
      <c r="GC193" s="339"/>
      <c r="GD193" s="342"/>
      <c r="GE193" s="199"/>
      <c r="GF193" s="199"/>
      <c r="GG193" s="199"/>
      <c r="GH193" s="199"/>
      <c r="GI193" s="199"/>
      <c r="GJ193" s="199"/>
      <c r="GK193" s="199"/>
      <c r="GL193" s="49"/>
      <c r="GM193" s="28"/>
      <c r="GN193" s="28"/>
      <c r="GO193" s="322"/>
      <c r="GP193" s="1190"/>
      <c r="GQ193" s="1190"/>
      <c r="GR193" s="49"/>
      <c r="GS193" s="2879"/>
      <c r="GT193" s="2880"/>
      <c r="GU193" s="2881"/>
      <c r="GV193" s="49"/>
      <c r="GW193" s="49"/>
      <c r="GX193" s="49"/>
      <c r="GY193" s="49"/>
      <c r="GZ193" s="49"/>
      <c r="HA193" s="49"/>
      <c r="HB193" s="49"/>
      <c r="HC193" s="49"/>
      <c r="HD193" s="49"/>
      <c r="HE193" s="49"/>
      <c r="HF193" s="49"/>
      <c r="HG193" s="49"/>
      <c r="HH193" s="49"/>
      <c r="HI193" s="49"/>
      <c r="HJ193" s="49"/>
      <c r="HK193" s="49"/>
      <c r="HL193" s="49"/>
      <c r="HM193" s="49"/>
      <c r="HN193" s="49"/>
      <c r="HO193" s="49"/>
      <c r="HP193" s="49"/>
      <c r="HQ193" s="49"/>
      <c r="HR193" s="49"/>
      <c r="HS193" s="49"/>
      <c r="HT193" s="49"/>
      <c r="HU193" s="49"/>
      <c r="HV193" s="49"/>
      <c r="HW193" s="49"/>
      <c r="HX193" s="49"/>
      <c r="HY193" s="49"/>
      <c r="HZ193" s="49"/>
      <c r="IA193" s="49"/>
      <c r="IB193" s="49"/>
      <c r="IC193" s="49"/>
      <c r="ID193" s="49"/>
      <c r="IE193" s="49"/>
      <c r="IF193" s="49"/>
      <c r="IG193" s="49"/>
      <c r="IH193" s="49"/>
      <c r="II193" s="49"/>
      <c r="IJ193" s="49"/>
      <c r="IK193" s="49"/>
      <c r="IL193" s="49"/>
      <c r="IM193" s="49"/>
      <c r="IN193" s="49"/>
      <c r="IO193" s="49"/>
      <c r="IP193" s="49"/>
      <c r="IQ193" s="49"/>
      <c r="IR193" s="49"/>
      <c r="IS193" s="49"/>
      <c r="IT193" s="49"/>
      <c r="IU193" s="49"/>
      <c r="IV193" s="49"/>
    </row>
    <row r="194" spans="1:256" s="198" customFormat="1" ht="12" customHeight="1">
      <c r="A194" s="1252"/>
      <c r="B194" s="200"/>
      <c r="C194" s="486"/>
      <c r="D194" s="201"/>
      <c r="E194" s="202"/>
      <c r="F194" s="203"/>
      <c r="G194" s="197"/>
      <c r="H194" s="197"/>
      <c r="I194" s="197"/>
      <c r="J194" s="197"/>
      <c r="K194" s="175"/>
      <c r="L194" s="197"/>
      <c r="M194" s="197"/>
      <c r="N194" s="197"/>
      <c r="O194" s="197"/>
      <c r="P194" s="197"/>
      <c r="Q194" s="1198"/>
      <c r="R194" s="202"/>
      <c r="S194" s="202"/>
      <c r="T194" s="1186"/>
      <c r="U194" s="233"/>
      <c r="V194" s="49"/>
      <c r="W194" s="218"/>
      <c r="X194" s="218"/>
      <c r="Y194" s="216"/>
      <c r="Z194" s="216"/>
      <c r="AA194" s="215"/>
      <c r="AB194" s="216"/>
      <c r="AC194" s="216"/>
      <c r="AD194" s="239"/>
      <c r="AE194" s="216"/>
      <c r="AF194" s="216"/>
      <c r="AG194" s="216"/>
      <c r="AH194" s="216"/>
      <c r="AI194" s="216"/>
      <c r="AJ194" s="216"/>
      <c r="AK194" s="239"/>
      <c r="AL194" s="216"/>
      <c r="AM194" s="216"/>
      <c r="AN194" s="216"/>
      <c r="AO194" s="216"/>
      <c r="AP194" s="216"/>
      <c r="AQ194" s="216"/>
      <c r="AR194" s="216"/>
      <c r="AS194" s="216"/>
      <c r="AT194" s="216"/>
      <c r="AU194" s="216"/>
      <c r="AV194" s="217"/>
      <c r="AW194" s="355"/>
      <c r="AX194" s="217"/>
      <c r="AY194" s="1559"/>
      <c r="AZ194" s="249"/>
      <c r="BA194" s="221"/>
      <c r="BB194" s="300"/>
      <c r="BC194" s="217"/>
      <c r="BD194" s="392"/>
      <c r="BE194" s="1244"/>
      <c r="BF194" s="249"/>
      <c r="BG194" s="252"/>
      <c r="BH194" s="1469"/>
      <c r="BI194" s="216"/>
      <c r="BJ194" s="1469"/>
      <c r="BK194" s="1459"/>
      <c r="BL194" s="260"/>
      <c r="BM194" s="214"/>
      <c r="BN194" s="293"/>
      <c r="BO194" s="217"/>
      <c r="BP194" s="355"/>
      <c r="BQ194" s="217"/>
      <c r="BR194" s="1193"/>
      <c r="BS194" s="249"/>
      <c r="BT194" s="216"/>
      <c r="BU194" s="1195"/>
      <c r="BV194" s="249"/>
      <c r="BW194" s="216"/>
      <c r="BX194" s="1195"/>
      <c r="BY194" s="249"/>
      <c r="BZ194" s="216"/>
      <c r="CA194" s="1195"/>
      <c r="CB194" s="249"/>
      <c r="CC194" s="216"/>
      <c r="CD194" s="1195"/>
      <c r="CE194" s="249"/>
      <c r="CF194" s="216"/>
      <c r="CG194" s="1195"/>
      <c r="CH194" s="249"/>
      <c r="CI194" s="216"/>
      <c r="CJ194" s="1195"/>
      <c r="CK194" s="249"/>
      <c r="CL194" s="216"/>
      <c r="CM194" s="1194"/>
      <c r="CN194" s="1524"/>
      <c r="CO194" s="217"/>
      <c r="CP194" s="1193"/>
      <c r="CQ194" s="293"/>
      <c r="CR194" s="217"/>
      <c r="CS194" s="305"/>
      <c r="CT194" s="249"/>
      <c r="CU194" s="216"/>
      <c r="CV194" s="1193"/>
      <c r="CW194" s="249"/>
      <c r="CX194" s="216"/>
      <c r="CY194" s="305"/>
      <c r="CZ194" s="249"/>
      <c r="DA194" s="216"/>
      <c r="DB194" s="307"/>
      <c r="DC194" s="328"/>
      <c r="DD194" s="322"/>
      <c r="DE194" s="305"/>
      <c r="DF194" s="249"/>
      <c r="DG194" s="216"/>
      <c r="DH194" s="305"/>
      <c r="DI194" s="249"/>
      <c r="DJ194" s="216"/>
      <c r="DK194" s="309"/>
      <c r="DL194" s="293"/>
      <c r="DM194" s="326"/>
      <c r="DN194" s="1256"/>
      <c r="DO194" s="214"/>
      <c r="DP194" s="1257"/>
      <c r="DQ194" s="1258"/>
      <c r="DR194" s="305"/>
      <c r="DS194" s="249"/>
      <c r="DT194" s="216"/>
      <c r="DU194" s="305"/>
      <c r="DV194" s="2520"/>
      <c r="DW194" s="2521"/>
      <c r="DX194" s="305"/>
      <c r="DY194" s="249"/>
      <c r="DZ194" s="221"/>
      <c r="EA194" s="388"/>
      <c r="EB194" s="249"/>
      <c r="EC194" s="216"/>
      <c r="ED194" s="1461"/>
      <c r="EE194" s="249"/>
      <c r="EF194" s="216"/>
      <c r="EG194" s="355"/>
      <c r="EH194" s="1425"/>
      <c r="EI194" s="1470"/>
      <c r="EJ194" s="249"/>
      <c r="EK194" s="221"/>
      <c r="EL194" s="313"/>
      <c r="EM194" s="249"/>
      <c r="EN194" s="221"/>
      <c r="EO194" s="313"/>
      <c r="EP194" s="249"/>
      <c r="EQ194" s="216"/>
      <c r="ER194" s="313"/>
      <c r="ES194" s="249"/>
      <c r="ET194" s="216"/>
      <c r="EU194" s="313"/>
      <c r="EV194" s="249"/>
      <c r="EW194" s="216"/>
      <c r="EX194" s="2505"/>
      <c r="EY194" s="249"/>
      <c r="EZ194" s="221"/>
      <c r="FA194" s="313"/>
      <c r="FB194" s="249"/>
      <c r="FC194" s="221"/>
      <c r="FD194" s="313"/>
      <c r="FE194" s="249"/>
      <c r="FF194" s="221"/>
      <c r="FG194" s="313"/>
      <c r="FH194" s="249"/>
      <c r="FI194" s="216"/>
      <c r="FJ194" s="1435"/>
      <c r="FK194" s="216"/>
      <c r="FL194" s="1268"/>
      <c r="FM194" s="1655"/>
      <c r="FN194" s="1268"/>
      <c r="FO194" s="1655"/>
      <c r="FP194" s="1268"/>
      <c r="FQ194" s="1656"/>
      <c r="FR194" s="249"/>
      <c r="FS194" s="216"/>
      <c r="FT194" s="1657"/>
      <c r="FU194" s="1658"/>
      <c r="FV194" s="242"/>
      <c r="FW194" s="343"/>
      <c r="FX194" s="222"/>
      <c r="FY194" s="336"/>
      <c r="FZ194" s="223"/>
      <c r="GA194" s="338"/>
      <c r="GB194" s="204"/>
      <c r="GC194" s="339"/>
      <c r="GD194" s="342"/>
      <c r="GE194" s="199"/>
      <c r="GF194" s="199"/>
      <c r="GG194" s="199"/>
      <c r="GH194" s="199"/>
      <c r="GI194" s="199"/>
      <c r="GJ194" s="199"/>
      <c r="GK194" s="199"/>
      <c r="GL194" s="49"/>
      <c r="GM194" s="28"/>
      <c r="GN194" s="28"/>
      <c r="GO194" s="322"/>
      <c r="GP194" s="1190"/>
      <c r="GQ194" s="1190"/>
      <c r="GR194" s="49"/>
      <c r="GS194" s="2879"/>
      <c r="GT194" s="2880"/>
      <c r="GU194" s="2881"/>
      <c r="GV194" s="49"/>
      <c r="GW194" s="49"/>
      <c r="GX194" s="49"/>
      <c r="GY194" s="49"/>
      <c r="GZ194" s="49"/>
      <c r="HA194" s="49"/>
      <c r="HB194" s="49"/>
      <c r="HC194" s="49"/>
      <c r="HD194" s="49"/>
      <c r="HE194" s="49"/>
      <c r="HF194" s="49"/>
      <c r="HG194" s="49"/>
      <c r="HH194" s="49"/>
      <c r="HI194" s="49"/>
      <c r="HJ194" s="49"/>
      <c r="HK194" s="49"/>
      <c r="HL194" s="49"/>
      <c r="HM194" s="49"/>
      <c r="HN194" s="49"/>
      <c r="HO194" s="49"/>
      <c r="HP194" s="49"/>
      <c r="HQ194" s="49"/>
      <c r="HR194" s="49"/>
      <c r="HS194" s="49"/>
      <c r="HT194" s="49"/>
      <c r="HU194" s="49"/>
      <c r="HV194" s="49"/>
      <c r="HW194" s="49"/>
      <c r="HX194" s="49"/>
      <c r="HY194" s="49"/>
      <c r="HZ194" s="49"/>
      <c r="IA194" s="49"/>
      <c r="IB194" s="49"/>
      <c r="IC194" s="49"/>
      <c r="ID194" s="49"/>
      <c r="IE194" s="49"/>
      <c r="IF194" s="49"/>
      <c r="IG194" s="49"/>
      <c r="IH194" s="49"/>
      <c r="II194" s="49"/>
      <c r="IJ194" s="49"/>
      <c r="IK194" s="49"/>
      <c r="IL194" s="49"/>
      <c r="IM194" s="49"/>
      <c r="IN194" s="49"/>
      <c r="IO194" s="49"/>
      <c r="IP194" s="49"/>
      <c r="IQ194" s="49"/>
      <c r="IR194" s="49"/>
      <c r="IS194" s="49"/>
      <c r="IT194" s="49"/>
      <c r="IU194" s="49"/>
      <c r="IV194" s="49"/>
    </row>
    <row r="195" spans="1:256" s="198" customFormat="1" ht="12" customHeight="1">
      <c r="A195" s="1252"/>
      <c r="B195" s="200"/>
      <c r="C195" s="486"/>
      <c r="D195" s="201"/>
      <c r="E195" s="202"/>
      <c r="F195" s="203"/>
      <c r="G195" s="197"/>
      <c r="H195" s="197"/>
      <c r="I195" s="197"/>
      <c r="J195" s="197"/>
      <c r="K195" s="175"/>
      <c r="L195" s="197"/>
      <c r="M195" s="197"/>
      <c r="N195" s="197"/>
      <c r="O195" s="197"/>
      <c r="P195" s="197"/>
      <c r="Q195" s="1198"/>
      <c r="R195" s="202"/>
      <c r="S195" s="202"/>
      <c r="T195" s="1186"/>
      <c r="U195" s="233"/>
      <c r="V195" s="49"/>
      <c r="W195" s="218"/>
      <c r="X195" s="218"/>
      <c r="Y195" s="216"/>
      <c r="Z195" s="216"/>
      <c r="AA195" s="215"/>
      <c r="AB195" s="216"/>
      <c r="AC195" s="216"/>
      <c r="AD195" s="239"/>
      <c r="AE195" s="216"/>
      <c r="AF195" s="216"/>
      <c r="AG195" s="216"/>
      <c r="AH195" s="216"/>
      <c r="AI195" s="216"/>
      <c r="AJ195" s="216"/>
      <c r="AK195" s="239"/>
      <c r="AL195" s="216"/>
      <c r="AM195" s="216"/>
      <c r="AN195" s="216"/>
      <c r="AO195" s="216"/>
      <c r="AP195" s="216"/>
      <c r="AQ195" s="216"/>
      <c r="AR195" s="216"/>
      <c r="AS195" s="216"/>
      <c r="AT195" s="216"/>
      <c r="AU195" s="216"/>
      <c r="AV195" s="217"/>
      <c r="AW195" s="355"/>
      <c r="AX195" s="217"/>
      <c r="AY195" s="1559"/>
      <c r="AZ195" s="249"/>
      <c r="BA195" s="221"/>
      <c r="BB195" s="300"/>
      <c r="BC195" s="217"/>
      <c r="BD195" s="392"/>
      <c r="BE195" s="1244"/>
      <c r="BF195" s="249"/>
      <c r="BG195" s="252"/>
      <c r="BH195" s="1469"/>
      <c r="BI195" s="216"/>
      <c r="BJ195" s="1469"/>
      <c r="BK195" s="1459"/>
      <c r="BL195" s="260"/>
      <c r="BM195" s="214"/>
      <c r="BN195" s="293"/>
      <c r="BO195" s="217"/>
      <c r="BP195" s="355"/>
      <c r="BQ195" s="217"/>
      <c r="BR195" s="1193"/>
      <c r="BS195" s="249"/>
      <c r="BT195" s="216"/>
      <c r="BU195" s="1195"/>
      <c r="BV195" s="249"/>
      <c r="BW195" s="216"/>
      <c r="BX195" s="1195"/>
      <c r="BY195" s="249"/>
      <c r="BZ195" s="216"/>
      <c r="CA195" s="1195"/>
      <c r="CB195" s="249"/>
      <c r="CC195" s="216"/>
      <c r="CD195" s="1195"/>
      <c r="CE195" s="249"/>
      <c r="CF195" s="216"/>
      <c r="CG195" s="1195"/>
      <c r="CH195" s="249"/>
      <c r="CI195" s="216"/>
      <c r="CJ195" s="1195"/>
      <c r="CK195" s="249"/>
      <c r="CL195" s="216"/>
      <c r="CM195" s="1194"/>
      <c r="CN195" s="1524"/>
      <c r="CO195" s="217"/>
      <c r="CP195" s="1193"/>
      <c r="CQ195" s="293"/>
      <c r="CR195" s="217"/>
      <c r="CS195" s="305"/>
      <c r="CT195" s="249"/>
      <c r="CU195" s="216"/>
      <c r="CV195" s="1193"/>
      <c r="CW195" s="249"/>
      <c r="CX195" s="216"/>
      <c r="CY195" s="305"/>
      <c r="CZ195" s="249"/>
      <c r="DA195" s="216"/>
      <c r="DB195" s="307"/>
      <c r="DC195" s="328"/>
      <c r="DD195" s="322"/>
      <c r="DE195" s="305"/>
      <c r="DF195" s="249"/>
      <c r="DG195" s="216"/>
      <c r="DH195" s="305"/>
      <c r="DI195" s="249"/>
      <c r="DJ195" s="216"/>
      <c r="DK195" s="309"/>
      <c r="DL195" s="293"/>
      <c r="DM195" s="326"/>
      <c r="DN195" s="1256"/>
      <c r="DO195" s="214"/>
      <c r="DP195" s="1257"/>
      <c r="DQ195" s="1258"/>
      <c r="DR195" s="305"/>
      <c r="DS195" s="249"/>
      <c r="DT195" s="216"/>
      <c r="DU195" s="305"/>
      <c r="DV195" s="2520"/>
      <c r="DW195" s="2521"/>
      <c r="DX195" s="305"/>
      <c r="DY195" s="249"/>
      <c r="DZ195" s="221"/>
      <c r="EA195" s="388"/>
      <c r="EB195" s="249"/>
      <c r="EC195" s="216"/>
      <c r="ED195" s="1461"/>
      <c r="EE195" s="249"/>
      <c r="EF195" s="216"/>
      <c r="EG195" s="355"/>
      <c r="EH195" s="1425"/>
      <c r="EI195" s="1470"/>
      <c r="EJ195" s="249"/>
      <c r="EK195" s="221"/>
      <c r="EL195" s="313"/>
      <c r="EM195" s="249"/>
      <c r="EN195" s="221"/>
      <c r="EO195" s="313"/>
      <c r="EP195" s="249"/>
      <c r="EQ195" s="216"/>
      <c r="ER195" s="313"/>
      <c r="ES195" s="249"/>
      <c r="ET195" s="216"/>
      <c r="EU195" s="313"/>
      <c r="EV195" s="249"/>
      <c r="EW195" s="216"/>
      <c r="EX195" s="2505"/>
      <c r="EY195" s="249"/>
      <c r="EZ195" s="221"/>
      <c r="FA195" s="313"/>
      <c r="FB195" s="249"/>
      <c r="FC195" s="221"/>
      <c r="FD195" s="313"/>
      <c r="FE195" s="249"/>
      <c r="FF195" s="221"/>
      <c r="FG195" s="313"/>
      <c r="FH195" s="249"/>
      <c r="FI195" s="216"/>
      <c r="FJ195" s="1435"/>
      <c r="FK195" s="216"/>
      <c r="FL195" s="1268"/>
      <c r="FM195" s="1655"/>
      <c r="FN195" s="1268"/>
      <c r="FO195" s="1655"/>
      <c r="FP195" s="1268"/>
      <c r="FQ195" s="1656"/>
      <c r="FR195" s="249"/>
      <c r="FS195" s="216"/>
      <c r="FT195" s="1657"/>
      <c r="FU195" s="1658"/>
      <c r="FV195" s="242"/>
      <c r="FW195" s="343"/>
      <c r="FX195" s="222"/>
      <c r="FY195" s="336"/>
      <c r="FZ195" s="223"/>
      <c r="GA195" s="338"/>
      <c r="GB195" s="204"/>
      <c r="GC195" s="339"/>
      <c r="GD195" s="342"/>
      <c r="GE195" s="199"/>
      <c r="GF195" s="199"/>
      <c r="GG195" s="199"/>
      <c r="GH195" s="199"/>
      <c r="GI195" s="199"/>
      <c r="GJ195" s="199"/>
      <c r="GK195" s="199"/>
      <c r="GL195" s="49"/>
      <c r="GM195" s="28"/>
      <c r="GN195" s="28"/>
      <c r="GO195" s="322"/>
      <c r="GP195" s="1190"/>
      <c r="GQ195" s="1190"/>
      <c r="GR195" s="49"/>
      <c r="GS195" s="2879"/>
      <c r="GT195" s="2880"/>
      <c r="GU195" s="2881"/>
      <c r="GV195" s="49"/>
      <c r="GW195" s="49"/>
      <c r="GX195" s="49"/>
      <c r="GY195" s="49"/>
      <c r="GZ195" s="49"/>
      <c r="HA195" s="49"/>
      <c r="HB195" s="49"/>
      <c r="HC195" s="49"/>
      <c r="HD195" s="49"/>
      <c r="HE195" s="49"/>
      <c r="HF195" s="49"/>
      <c r="HG195" s="49"/>
      <c r="HH195" s="49"/>
      <c r="HI195" s="49"/>
      <c r="HJ195" s="49"/>
      <c r="HK195" s="49"/>
      <c r="HL195" s="49"/>
      <c r="HM195" s="49"/>
      <c r="HN195" s="49"/>
      <c r="HO195" s="49"/>
      <c r="HP195" s="49"/>
      <c r="HQ195" s="49"/>
      <c r="HR195" s="49"/>
      <c r="HS195" s="49"/>
      <c r="HT195" s="49"/>
      <c r="HU195" s="49"/>
      <c r="HV195" s="49"/>
      <c r="HW195" s="49"/>
      <c r="HX195" s="49"/>
      <c r="HY195" s="49"/>
      <c r="HZ195" s="49"/>
      <c r="IA195" s="49"/>
      <c r="IB195" s="49"/>
      <c r="IC195" s="49"/>
      <c r="ID195" s="49"/>
      <c r="IE195" s="49"/>
      <c r="IF195" s="49"/>
      <c r="IG195" s="49"/>
      <c r="IH195" s="49"/>
      <c r="II195" s="49"/>
      <c r="IJ195" s="49"/>
      <c r="IK195" s="49"/>
      <c r="IL195" s="49"/>
      <c r="IM195" s="49"/>
      <c r="IN195" s="49"/>
      <c r="IO195" s="49"/>
      <c r="IP195" s="49"/>
      <c r="IQ195" s="49"/>
      <c r="IR195" s="49"/>
      <c r="IS195" s="49"/>
      <c r="IT195" s="49"/>
      <c r="IU195" s="49"/>
      <c r="IV195" s="49"/>
    </row>
    <row r="196" spans="1:256" s="198" customFormat="1" ht="12" customHeight="1">
      <c r="A196" s="1252"/>
      <c r="B196" s="200"/>
      <c r="C196" s="486"/>
      <c r="D196" s="201"/>
      <c r="E196" s="202"/>
      <c r="F196" s="203"/>
      <c r="G196" s="197"/>
      <c r="H196" s="197"/>
      <c r="I196" s="197"/>
      <c r="J196" s="197"/>
      <c r="K196" s="175"/>
      <c r="L196" s="197"/>
      <c r="M196" s="197"/>
      <c r="N196" s="197"/>
      <c r="O196" s="197"/>
      <c r="P196" s="197"/>
      <c r="Q196" s="1198"/>
      <c r="R196" s="202"/>
      <c r="S196" s="202"/>
      <c r="T196" s="1186"/>
      <c r="U196" s="233"/>
      <c r="V196" s="49"/>
      <c r="W196" s="218"/>
      <c r="X196" s="218"/>
      <c r="Y196" s="216"/>
      <c r="Z196" s="216"/>
      <c r="AA196" s="215"/>
      <c r="AB196" s="216"/>
      <c r="AC196" s="216"/>
      <c r="AD196" s="239"/>
      <c r="AE196" s="216"/>
      <c r="AF196" s="216"/>
      <c r="AG196" s="216"/>
      <c r="AH196" s="216"/>
      <c r="AI196" s="216"/>
      <c r="AJ196" s="216"/>
      <c r="AK196" s="239"/>
      <c r="AL196" s="216"/>
      <c r="AM196" s="216"/>
      <c r="AN196" s="216"/>
      <c r="AO196" s="216"/>
      <c r="AP196" s="216"/>
      <c r="AQ196" s="216"/>
      <c r="AR196" s="216"/>
      <c r="AS196" s="216"/>
      <c r="AT196" s="216"/>
      <c r="AU196" s="216"/>
      <c r="AV196" s="217"/>
      <c r="AW196" s="355"/>
      <c r="AX196" s="217"/>
      <c r="AY196" s="1559"/>
      <c r="AZ196" s="249"/>
      <c r="BA196" s="221"/>
      <c r="BB196" s="300"/>
      <c r="BC196" s="217"/>
      <c r="BD196" s="392"/>
      <c r="BE196" s="1244"/>
      <c r="BF196" s="249"/>
      <c r="BG196" s="252"/>
      <c r="BH196" s="1469"/>
      <c r="BI196" s="216"/>
      <c r="BJ196" s="1469"/>
      <c r="BK196" s="1459"/>
      <c r="BL196" s="260"/>
      <c r="BM196" s="214"/>
      <c r="BN196" s="293"/>
      <c r="BO196" s="217"/>
      <c r="BP196" s="355"/>
      <c r="BQ196" s="217"/>
      <c r="BR196" s="1193"/>
      <c r="BS196" s="249"/>
      <c r="BT196" s="216"/>
      <c r="BU196" s="1195"/>
      <c r="BV196" s="249"/>
      <c r="BW196" s="216"/>
      <c r="BX196" s="1195"/>
      <c r="BY196" s="249"/>
      <c r="BZ196" s="216"/>
      <c r="CA196" s="1195"/>
      <c r="CB196" s="249"/>
      <c r="CC196" s="216"/>
      <c r="CD196" s="1195"/>
      <c r="CE196" s="249"/>
      <c r="CF196" s="216"/>
      <c r="CG196" s="1195"/>
      <c r="CH196" s="249"/>
      <c r="CI196" s="216"/>
      <c r="CJ196" s="1195"/>
      <c r="CK196" s="249"/>
      <c r="CL196" s="216"/>
      <c r="CM196" s="1194"/>
      <c r="CN196" s="1524"/>
      <c r="CO196" s="217"/>
      <c r="CP196" s="1193"/>
      <c r="CQ196" s="293"/>
      <c r="CR196" s="217"/>
      <c r="CS196" s="305"/>
      <c r="CT196" s="249"/>
      <c r="CU196" s="216"/>
      <c r="CV196" s="1193"/>
      <c r="CW196" s="249"/>
      <c r="CX196" s="216"/>
      <c r="CY196" s="305"/>
      <c r="CZ196" s="249"/>
      <c r="DA196" s="216"/>
      <c r="DB196" s="307"/>
      <c r="DC196" s="328"/>
      <c r="DD196" s="322"/>
      <c r="DE196" s="305"/>
      <c r="DF196" s="249"/>
      <c r="DG196" s="216"/>
      <c r="DH196" s="305"/>
      <c r="DI196" s="249"/>
      <c r="DJ196" s="216"/>
      <c r="DK196" s="309"/>
      <c r="DL196" s="293"/>
      <c r="DM196" s="326"/>
      <c r="DN196" s="1256"/>
      <c r="DO196" s="214"/>
      <c r="DP196" s="1257"/>
      <c r="DQ196" s="1258"/>
      <c r="DR196" s="305"/>
      <c r="DS196" s="249"/>
      <c r="DT196" s="216"/>
      <c r="DU196" s="305"/>
      <c r="DV196" s="2520"/>
      <c r="DW196" s="2521"/>
      <c r="DX196" s="305"/>
      <c r="DY196" s="249"/>
      <c r="DZ196" s="221"/>
      <c r="EA196" s="388"/>
      <c r="EB196" s="249"/>
      <c r="EC196" s="216"/>
      <c r="ED196" s="1461"/>
      <c r="EE196" s="249"/>
      <c r="EF196" s="216"/>
      <c r="EG196" s="355"/>
      <c r="EH196" s="1425"/>
      <c r="EI196" s="1470"/>
      <c r="EJ196" s="249"/>
      <c r="EK196" s="221"/>
      <c r="EL196" s="313"/>
      <c r="EM196" s="249"/>
      <c r="EN196" s="221"/>
      <c r="EO196" s="313"/>
      <c r="EP196" s="249"/>
      <c r="EQ196" s="216"/>
      <c r="ER196" s="313"/>
      <c r="ES196" s="249"/>
      <c r="ET196" s="216"/>
      <c r="EU196" s="313"/>
      <c r="EV196" s="249"/>
      <c r="EW196" s="216"/>
      <c r="EX196" s="2505"/>
      <c r="EY196" s="249"/>
      <c r="EZ196" s="221"/>
      <c r="FA196" s="313"/>
      <c r="FB196" s="249"/>
      <c r="FC196" s="221"/>
      <c r="FD196" s="313"/>
      <c r="FE196" s="249"/>
      <c r="FF196" s="221"/>
      <c r="FG196" s="313"/>
      <c r="FH196" s="249"/>
      <c r="FI196" s="216"/>
      <c r="FJ196" s="1435"/>
      <c r="FK196" s="216"/>
      <c r="FL196" s="1268"/>
      <c r="FM196" s="1655"/>
      <c r="FN196" s="1268"/>
      <c r="FO196" s="1655"/>
      <c r="FP196" s="1268"/>
      <c r="FQ196" s="1656"/>
      <c r="FR196" s="249"/>
      <c r="FS196" s="216"/>
      <c r="FT196" s="1657"/>
      <c r="FU196" s="1658"/>
      <c r="FV196" s="242"/>
      <c r="FW196" s="343"/>
      <c r="FX196" s="222"/>
      <c r="FY196" s="336"/>
      <c r="FZ196" s="223"/>
      <c r="GA196" s="338"/>
      <c r="GB196" s="204"/>
      <c r="GC196" s="339"/>
      <c r="GD196" s="342"/>
      <c r="GE196" s="199"/>
      <c r="GF196" s="199"/>
      <c r="GG196" s="199"/>
      <c r="GH196" s="199"/>
      <c r="GI196" s="199"/>
      <c r="GJ196" s="199"/>
      <c r="GK196" s="199"/>
      <c r="GL196" s="49"/>
      <c r="GM196" s="28"/>
      <c r="GN196" s="28"/>
      <c r="GO196" s="322"/>
      <c r="GP196" s="1190"/>
      <c r="GQ196" s="1190"/>
      <c r="GR196" s="49"/>
      <c r="GS196" s="2879"/>
      <c r="GT196" s="2880"/>
      <c r="GU196" s="2881"/>
      <c r="GV196" s="49"/>
      <c r="GW196" s="49"/>
      <c r="GX196" s="49"/>
      <c r="GY196" s="49"/>
      <c r="GZ196" s="49"/>
      <c r="HA196" s="49"/>
      <c r="HB196" s="49"/>
      <c r="HC196" s="49"/>
      <c r="HD196" s="49"/>
      <c r="HE196" s="49"/>
      <c r="HF196" s="49"/>
      <c r="HG196" s="49"/>
      <c r="HH196" s="49"/>
      <c r="HI196" s="49"/>
      <c r="HJ196" s="49"/>
      <c r="HK196" s="49"/>
      <c r="HL196" s="49"/>
      <c r="HM196" s="49"/>
      <c r="HN196" s="49"/>
      <c r="HO196" s="49"/>
      <c r="HP196" s="49"/>
      <c r="HQ196" s="49"/>
      <c r="HR196" s="49"/>
      <c r="HS196" s="49"/>
      <c r="HT196" s="49"/>
      <c r="HU196" s="49"/>
      <c r="HV196" s="49"/>
      <c r="HW196" s="49"/>
      <c r="HX196" s="49"/>
      <c r="HY196" s="49"/>
      <c r="HZ196" s="49"/>
      <c r="IA196" s="49"/>
      <c r="IB196" s="49"/>
      <c r="IC196" s="49"/>
      <c r="ID196" s="49"/>
      <c r="IE196" s="49"/>
      <c r="IF196" s="49"/>
      <c r="IG196" s="49"/>
      <c r="IH196" s="49"/>
      <c r="II196" s="49"/>
      <c r="IJ196" s="49"/>
      <c r="IK196" s="49"/>
      <c r="IL196" s="49"/>
      <c r="IM196" s="49"/>
      <c r="IN196" s="49"/>
      <c r="IO196" s="49"/>
      <c r="IP196" s="49"/>
      <c r="IQ196" s="49"/>
      <c r="IR196" s="49"/>
      <c r="IS196" s="49"/>
      <c r="IT196" s="49"/>
      <c r="IU196" s="49"/>
      <c r="IV196" s="49"/>
    </row>
    <row r="197" spans="1:256" s="198" customFormat="1" ht="12" customHeight="1">
      <c r="A197" s="1252"/>
      <c r="B197" s="200"/>
      <c r="C197" s="486"/>
      <c r="D197" s="201"/>
      <c r="E197" s="202"/>
      <c r="F197" s="203"/>
      <c r="G197" s="197"/>
      <c r="H197" s="197"/>
      <c r="I197" s="197"/>
      <c r="J197" s="197"/>
      <c r="K197" s="175"/>
      <c r="L197" s="197"/>
      <c r="M197" s="197"/>
      <c r="N197" s="197"/>
      <c r="O197" s="197"/>
      <c r="P197" s="197"/>
      <c r="Q197" s="1198"/>
      <c r="R197" s="202"/>
      <c r="S197" s="202"/>
      <c r="T197" s="1186"/>
      <c r="U197" s="233"/>
      <c r="V197" s="49"/>
      <c r="W197" s="218"/>
      <c r="X197" s="218"/>
      <c r="Y197" s="216"/>
      <c r="Z197" s="216"/>
      <c r="AA197" s="215"/>
      <c r="AB197" s="216"/>
      <c r="AC197" s="216"/>
      <c r="AD197" s="239"/>
      <c r="AE197" s="216"/>
      <c r="AF197" s="216"/>
      <c r="AG197" s="216"/>
      <c r="AH197" s="216"/>
      <c r="AI197" s="216"/>
      <c r="AJ197" s="216"/>
      <c r="AK197" s="239"/>
      <c r="AL197" s="216"/>
      <c r="AM197" s="216"/>
      <c r="AN197" s="216"/>
      <c r="AO197" s="216"/>
      <c r="AP197" s="216"/>
      <c r="AQ197" s="216"/>
      <c r="AR197" s="216"/>
      <c r="AS197" s="216"/>
      <c r="AT197" s="216"/>
      <c r="AU197" s="216"/>
      <c r="AV197" s="217"/>
      <c r="AW197" s="355"/>
      <c r="AX197" s="217"/>
      <c r="AY197" s="1559"/>
      <c r="AZ197" s="249"/>
      <c r="BA197" s="221"/>
      <c r="BB197" s="300"/>
      <c r="BC197" s="217"/>
      <c r="BD197" s="392"/>
      <c r="BE197" s="1244"/>
      <c r="BF197" s="249"/>
      <c r="BG197" s="252"/>
      <c r="BH197" s="1469"/>
      <c r="BI197" s="216"/>
      <c r="BJ197" s="1469"/>
      <c r="BK197" s="1459"/>
      <c r="BL197" s="260"/>
      <c r="BM197" s="214"/>
      <c r="BN197" s="293"/>
      <c r="BO197" s="217"/>
      <c r="BP197" s="355"/>
      <c r="BQ197" s="217"/>
      <c r="BR197" s="1193"/>
      <c r="BS197" s="249"/>
      <c r="BT197" s="216"/>
      <c r="BU197" s="1195"/>
      <c r="BV197" s="249"/>
      <c r="BW197" s="216"/>
      <c r="BX197" s="1195"/>
      <c r="BY197" s="249"/>
      <c r="BZ197" s="216"/>
      <c r="CA197" s="1195"/>
      <c r="CB197" s="249"/>
      <c r="CC197" s="216"/>
      <c r="CD197" s="1195"/>
      <c r="CE197" s="249"/>
      <c r="CF197" s="216"/>
      <c r="CG197" s="1195"/>
      <c r="CH197" s="249"/>
      <c r="CI197" s="216"/>
      <c r="CJ197" s="1195"/>
      <c r="CK197" s="249"/>
      <c r="CL197" s="216"/>
      <c r="CM197" s="1194"/>
      <c r="CN197" s="1524"/>
      <c r="CO197" s="217"/>
      <c r="CP197" s="1193"/>
      <c r="CQ197" s="293"/>
      <c r="CR197" s="217"/>
      <c r="CS197" s="305"/>
      <c r="CT197" s="249"/>
      <c r="CU197" s="216"/>
      <c r="CV197" s="1193"/>
      <c r="CW197" s="249"/>
      <c r="CX197" s="216"/>
      <c r="CY197" s="305"/>
      <c r="CZ197" s="249"/>
      <c r="DA197" s="216"/>
      <c r="DB197" s="307"/>
      <c r="DC197" s="328"/>
      <c r="DD197" s="322"/>
      <c r="DE197" s="305"/>
      <c r="DF197" s="249"/>
      <c r="DG197" s="216"/>
      <c r="DH197" s="305"/>
      <c r="DI197" s="249"/>
      <c r="DJ197" s="216"/>
      <c r="DK197" s="309"/>
      <c r="DL197" s="293"/>
      <c r="DM197" s="326"/>
      <c r="DN197" s="1256"/>
      <c r="DO197" s="214"/>
      <c r="DP197" s="1257"/>
      <c r="DQ197" s="1258"/>
      <c r="DR197" s="305"/>
      <c r="DS197" s="249"/>
      <c r="DT197" s="216"/>
      <c r="DU197" s="305"/>
      <c r="DV197" s="2520"/>
      <c r="DW197" s="2521"/>
      <c r="DX197" s="305"/>
      <c r="DY197" s="249"/>
      <c r="DZ197" s="221"/>
      <c r="EA197" s="388"/>
      <c r="EB197" s="249"/>
      <c r="EC197" s="216"/>
      <c r="ED197" s="1461"/>
      <c r="EE197" s="249"/>
      <c r="EF197" s="216"/>
      <c r="EG197" s="355"/>
      <c r="EH197" s="1425"/>
      <c r="EI197" s="1470"/>
      <c r="EJ197" s="249"/>
      <c r="EK197" s="221"/>
      <c r="EL197" s="313"/>
      <c r="EM197" s="249"/>
      <c r="EN197" s="221"/>
      <c r="EO197" s="313"/>
      <c r="EP197" s="249"/>
      <c r="EQ197" s="216"/>
      <c r="ER197" s="313"/>
      <c r="ES197" s="249"/>
      <c r="ET197" s="216"/>
      <c r="EU197" s="313"/>
      <c r="EV197" s="249"/>
      <c r="EW197" s="216"/>
      <c r="EX197" s="2505"/>
      <c r="EY197" s="249"/>
      <c r="EZ197" s="221"/>
      <c r="FA197" s="313"/>
      <c r="FB197" s="249"/>
      <c r="FC197" s="221"/>
      <c r="FD197" s="313"/>
      <c r="FE197" s="249"/>
      <c r="FF197" s="221"/>
      <c r="FG197" s="313"/>
      <c r="FH197" s="249"/>
      <c r="FI197" s="216"/>
      <c r="FJ197" s="1435"/>
      <c r="FK197" s="216"/>
      <c r="FL197" s="1268"/>
      <c r="FM197" s="1655"/>
      <c r="FN197" s="1268"/>
      <c r="FO197" s="1655"/>
      <c r="FP197" s="1268"/>
      <c r="FQ197" s="1656"/>
      <c r="FR197" s="249"/>
      <c r="FS197" s="216"/>
      <c r="FT197" s="1657"/>
      <c r="FU197" s="1658"/>
      <c r="FV197" s="242"/>
      <c r="FW197" s="343"/>
      <c r="FX197" s="222"/>
      <c r="FY197" s="336"/>
      <c r="FZ197" s="223"/>
      <c r="GA197" s="338"/>
      <c r="GB197" s="204"/>
      <c r="GC197" s="339"/>
      <c r="GD197" s="342"/>
      <c r="GE197" s="199"/>
      <c r="GF197" s="199"/>
      <c r="GG197" s="199"/>
      <c r="GH197" s="199"/>
      <c r="GI197" s="199"/>
      <c r="GJ197" s="199"/>
      <c r="GK197" s="199"/>
      <c r="GL197" s="49"/>
      <c r="GM197" s="28"/>
      <c r="GN197" s="28"/>
      <c r="GO197" s="322"/>
      <c r="GP197" s="1190"/>
      <c r="GQ197" s="1190"/>
      <c r="GR197" s="49"/>
      <c r="GS197" s="2879"/>
      <c r="GT197" s="2880"/>
      <c r="GU197" s="2881"/>
      <c r="GV197" s="49"/>
      <c r="GW197" s="49"/>
      <c r="GX197" s="49"/>
      <c r="GY197" s="49"/>
      <c r="GZ197" s="49"/>
      <c r="HA197" s="49"/>
      <c r="HB197" s="49"/>
      <c r="HC197" s="49"/>
      <c r="HD197" s="49"/>
      <c r="HE197" s="49"/>
      <c r="HF197" s="49"/>
      <c r="HG197" s="49"/>
      <c r="HH197" s="49"/>
      <c r="HI197" s="49"/>
      <c r="HJ197" s="49"/>
      <c r="HK197" s="49"/>
      <c r="HL197" s="49"/>
      <c r="HM197" s="49"/>
      <c r="HN197" s="49"/>
      <c r="HO197" s="49"/>
      <c r="HP197" s="49"/>
      <c r="HQ197" s="49"/>
      <c r="HR197" s="49"/>
      <c r="HS197" s="49"/>
      <c r="HT197" s="49"/>
      <c r="HU197" s="49"/>
      <c r="HV197" s="49"/>
      <c r="HW197" s="49"/>
      <c r="HX197" s="49"/>
      <c r="HY197" s="49"/>
      <c r="HZ197" s="49"/>
      <c r="IA197" s="49"/>
      <c r="IB197" s="49"/>
      <c r="IC197" s="49"/>
      <c r="ID197" s="49"/>
      <c r="IE197" s="49"/>
      <c r="IF197" s="49"/>
      <c r="IG197" s="49"/>
      <c r="IH197" s="49"/>
      <c r="II197" s="49"/>
      <c r="IJ197" s="49"/>
      <c r="IK197" s="49"/>
      <c r="IL197" s="49"/>
      <c r="IM197" s="49"/>
      <c r="IN197" s="49"/>
      <c r="IO197" s="49"/>
      <c r="IP197" s="49"/>
      <c r="IQ197" s="49"/>
      <c r="IR197" s="49"/>
      <c r="IS197" s="49"/>
      <c r="IT197" s="49"/>
      <c r="IU197" s="49"/>
      <c r="IV197" s="49"/>
    </row>
    <row r="198" spans="1:256" s="198" customFormat="1" ht="12" customHeight="1">
      <c r="A198" s="1252"/>
      <c r="B198" s="200"/>
      <c r="C198" s="486"/>
      <c r="D198" s="201"/>
      <c r="E198" s="202"/>
      <c r="F198" s="203"/>
      <c r="G198" s="197"/>
      <c r="H198" s="197"/>
      <c r="I198" s="197"/>
      <c r="J198" s="197"/>
      <c r="K198" s="175"/>
      <c r="L198" s="197"/>
      <c r="M198" s="197"/>
      <c r="N198" s="197"/>
      <c r="O198" s="197"/>
      <c r="P198" s="197"/>
      <c r="Q198" s="1198"/>
      <c r="R198" s="202"/>
      <c r="S198" s="202"/>
      <c r="T198" s="1186"/>
      <c r="U198" s="233"/>
      <c r="V198" s="49"/>
      <c r="W198" s="218"/>
      <c r="X198" s="218"/>
      <c r="Y198" s="216"/>
      <c r="Z198" s="216"/>
      <c r="AA198" s="215"/>
      <c r="AB198" s="216"/>
      <c r="AC198" s="216"/>
      <c r="AD198" s="239"/>
      <c r="AE198" s="216"/>
      <c r="AF198" s="216"/>
      <c r="AG198" s="216"/>
      <c r="AH198" s="216"/>
      <c r="AI198" s="216"/>
      <c r="AJ198" s="216"/>
      <c r="AK198" s="239"/>
      <c r="AL198" s="216"/>
      <c r="AM198" s="216"/>
      <c r="AN198" s="216"/>
      <c r="AO198" s="216"/>
      <c r="AP198" s="216"/>
      <c r="AQ198" s="216"/>
      <c r="AR198" s="216"/>
      <c r="AS198" s="216"/>
      <c r="AT198" s="216"/>
      <c r="AU198" s="216"/>
      <c r="AV198" s="217"/>
      <c r="AW198" s="355"/>
      <c r="AX198" s="217"/>
      <c r="AY198" s="1559"/>
      <c r="AZ198" s="249"/>
      <c r="BA198" s="221"/>
      <c r="BB198" s="300"/>
      <c r="BC198" s="217"/>
      <c r="BD198" s="392"/>
      <c r="BE198" s="1244"/>
      <c r="BF198" s="249"/>
      <c r="BG198" s="252"/>
      <c r="BH198" s="1469"/>
      <c r="BI198" s="216"/>
      <c r="BJ198" s="1469"/>
      <c r="BK198" s="1459"/>
      <c r="BL198" s="260"/>
      <c r="BM198" s="214"/>
      <c r="BN198" s="293"/>
      <c r="BO198" s="217"/>
      <c r="BP198" s="355"/>
      <c r="BQ198" s="217"/>
      <c r="BR198" s="1193"/>
      <c r="BS198" s="249"/>
      <c r="BT198" s="216"/>
      <c r="BU198" s="1195"/>
      <c r="BV198" s="249"/>
      <c r="BW198" s="216"/>
      <c r="BX198" s="1195"/>
      <c r="BY198" s="249"/>
      <c r="BZ198" s="216"/>
      <c r="CA198" s="1195"/>
      <c r="CB198" s="249"/>
      <c r="CC198" s="216"/>
      <c r="CD198" s="1195"/>
      <c r="CE198" s="249"/>
      <c r="CF198" s="216"/>
      <c r="CG198" s="1195"/>
      <c r="CH198" s="249"/>
      <c r="CI198" s="216"/>
      <c r="CJ198" s="1195"/>
      <c r="CK198" s="249"/>
      <c r="CL198" s="216"/>
      <c r="CM198" s="1194"/>
      <c r="CN198" s="1524"/>
      <c r="CO198" s="217"/>
      <c r="CP198" s="1193"/>
      <c r="CQ198" s="293"/>
      <c r="CR198" s="217"/>
      <c r="CS198" s="305"/>
      <c r="CT198" s="249"/>
      <c r="CU198" s="216"/>
      <c r="CV198" s="1193"/>
      <c r="CW198" s="249"/>
      <c r="CX198" s="216"/>
      <c r="CY198" s="305"/>
      <c r="CZ198" s="249"/>
      <c r="DA198" s="216"/>
      <c r="DB198" s="307"/>
      <c r="DC198" s="328"/>
      <c r="DD198" s="322"/>
      <c r="DE198" s="305"/>
      <c r="DF198" s="249"/>
      <c r="DG198" s="216"/>
      <c r="DH198" s="305"/>
      <c r="DI198" s="249"/>
      <c r="DJ198" s="216"/>
      <c r="DK198" s="309"/>
      <c r="DL198" s="293"/>
      <c r="DM198" s="326"/>
      <c r="DN198" s="1256"/>
      <c r="DO198" s="214"/>
      <c r="DP198" s="1257"/>
      <c r="DQ198" s="1258"/>
      <c r="DR198" s="305"/>
      <c r="DS198" s="249"/>
      <c r="DT198" s="216"/>
      <c r="DU198" s="305"/>
      <c r="DV198" s="2520"/>
      <c r="DW198" s="2521"/>
      <c r="DX198" s="305"/>
      <c r="DY198" s="249"/>
      <c r="DZ198" s="221"/>
      <c r="EA198" s="388"/>
      <c r="EB198" s="249"/>
      <c r="EC198" s="216"/>
      <c r="ED198" s="1461"/>
      <c r="EE198" s="249"/>
      <c r="EF198" s="216"/>
      <c r="EG198" s="355"/>
      <c r="EH198" s="1425"/>
      <c r="EI198" s="1470"/>
      <c r="EJ198" s="249"/>
      <c r="EK198" s="221"/>
      <c r="EL198" s="313"/>
      <c r="EM198" s="249"/>
      <c r="EN198" s="221"/>
      <c r="EO198" s="313"/>
      <c r="EP198" s="249"/>
      <c r="EQ198" s="216"/>
      <c r="ER198" s="313"/>
      <c r="ES198" s="249"/>
      <c r="ET198" s="216"/>
      <c r="EU198" s="313"/>
      <c r="EV198" s="249"/>
      <c r="EW198" s="216"/>
      <c r="EX198" s="2505"/>
      <c r="EY198" s="249"/>
      <c r="EZ198" s="221"/>
      <c r="FA198" s="313"/>
      <c r="FB198" s="249"/>
      <c r="FC198" s="221"/>
      <c r="FD198" s="313"/>
      <c r="FE198" s="249"/>
      <c r="FF198" s="221"/>
      <c r="FG198" s="313"/>
      <c r="FH198" s="249"/>
      <c r="FI198" s="216"/>
      <c r="FJ198" s="1435"/>
      <c r="FK198" s="216"/>
      <c r="FL198" s="1268"/>
      <c r="FM198" s="1655"/>
      <c r="FN198" s="1268"/>
      <c r="FO198" s="1655"/>
      <c r="FP198" s="1268"/>
      <c r="FQ198" s="1656"/>
      <c r="FR198" s="249"/>
      <c r="FS198" s="216"/>
      <c r="FT198" s="1657"/>
      <c r="FU198" s="1658"/>
      <c r="FV198" s="242"/>
      <c r="FW198" s="343"/>
      <c r="FX198" s="222"/>
      <c r="FY198" s="336"/>
      <c r="FZ198" s="223"/>
      <c r="GA198" s="338"/>
      <c r="GB198" s="204"/>
      <c r="GC198" s="339"/>
      <c r="GD198" s="342"/>
      <c r="GE198" s="199"/>
      <c r="GF198" s="199"/>
      <c r="GG198" s="199"/>
      <c r="GH198" s="199"/>
      <c r="GI198" s="199"/>
      <c r="GJ198" s="199"/>
      <c r="GK198" s="199"/>
      <c r="GL198" s="49"/>
      <c r="GM198" s="28"/>
      <c r="GN198" s="28"/>
      <c r="GO198" s="322"/>
      <c r="GP198" s="1190"/>
      <c r="GQ198" s="1190"/>
      <c r="GR198" s="49"/>
      <c r="GS198" s="2879"/>
      <c r="GT198" s="2880"/>
      <c r="GU198" s="2881"/>
      <c r="GV198" s="49"/>
      <c r="GW198" s="49"/>
      <c r="GX198" s="49"/>
      <c r="GY198" s="49"/>
      <c r="GZ198" s="49"/>
      <c r="HA198" s="49"/>
      <c r="HB198" s="49"/>
      <c r="HC198" s="49"/>
      <c r="HD198" s="49"/>
      <c r="HE198" s="49"/>
      <c r="HF198" s="49"/>
      <c r="HG198" s="49"/>
      <c r="HH198" s="49"/>
      <c r="HI198" s="49"/>
      <c r="HJ198" s="49"/>
      <c r="HK198" s="49"/>
      <c r="HL198" s="49"/>
      <c r="HM198" s="49"/>
      <c r="HN198" s="49"/>
      <c r="HO198" s="49"/>
      <c r="HP198" s="49"/>
      <c r="HQ198" s="49"/>
      <c r="HR198" s="49"/>
      <c r="HS198" s="49"/>
      <c r="HT198" s="49"/>
      <c r="HU198" s="49"/>
      <c r="HV198" s="49"/>
      <c r="HW198" s="49"/>
      <c r="HX198" s="49"/>
      <c r="HY198" s="49"/>
      <c r="HZ198" s="49"/>
      <c r="IA198" s="49"/>
      <c r="IB198" s="49"/>
      <c r="IC198" s="49"/>
      <c r="ID198" s="49"/>
      <c r="IE198" s="49"/>
      <c r="IF198" s="49"/>
      <c r="IG198" s="49"/>
      <c r="IH198" s="49"/>
      <c r="II198" s="49"/>
      <c r="IJ198" s="49"/>
      <c r="IK198" s="49"/>
      <c r="IL198" s="49"/>
      <c r="IM198" s="49"/>
      <c r="IN198" s="49"/>
      <c r="IO198" s="49"/>
      <c r="IP198" s="49"/>
      <c r="IQ198" s="49"/>
      <c r="IR198" s="49"/>
      <c r="IS198" s="49"/>
      <c r="IT198" s="49"/>
      <c r="IU198" s="49"/>
      <c r="IV198" s="49"/>
    </row>
    <row r="199" spans="1:256" s="198" customFormat="1" ht="12" customHeight="1">
      <c r="A199" s="1252"/>
      <c r="B199" s="200"/>
      <c r="C199" s="486"/>
      <c r="D199" s="201"/>
      <c r="E199" s="202"/>
      <c r="F199" s="203"/>
      <c r="G199" s="197"/>
      <c r="H199" s="197"/>
      <c r="I199" s="197"/>
      <c r="J199" s="197"/>
      <c r="K199" s="175"/>
      <c r="L199" s="197"/>
      <c r="M199" s="197"/>
      <c r="N199" s="197"/>
      <c r="O199" s="197"/>
      <c r="P199" s="197"/>
      <c r="Q199" s="1198"/>
      <c r="R199" s="202"/>
      <c r="S199" s="202"/>
      <c r="T199" s="1186"/>
      <c r="U199" s="233"/>
      <c r="V199" s="49"/>
      <c r="W199" s="218"/>
      <c r="X199" s="218"/>
      <c r="Y199" s="216"/>
      <c r="Z199" s="216"/>
      <c r="AA199" s="215"/>
      <c r="AB199" s="216"/>
      <c r="AC199" s="216"/>
      <c r="AD199" s="239"/>
      <c r="AE199" s="216"/>
      <c r="AF199" s="216"/>
      <c r="AG199" s="216"/>
      <c r="AH199" s="216"/>
      <c r="AI199" s="216"/>
      <c r="AJ199" s="216"/>
      <c r="AK199" s="239"/>
      <c r="AL199" s="216"/>
      <c r="AM199" s="216"/>
      <c r="AN199" s="216"/>
      <c r="AO199" s="216"/>
      <c r="AP199" s="216"/>
      <c r="AQ199" s="216"/>
      <c r="AR199" s="216"/>
      <c r="AS199" s="216"/>
      <c r="AT199" s="216"/>
      <c r="AU199" s="216"/>
      <c r="AV199" s="217"/>
      <c r="AW199" s="355"/>
      <c r="AX199" s="217"/>
      <c r="AY199" s="1559"/>
      <c r="AZ199" s="249"/>
      <c r="BA199" s="221"/>
      <c r="BB199" s="300"/>
      <c r="BC199" s="217"/>
      <c r="BD199" s="392"/>
      <c r="BE199" s="1244"/>
      <c r="BF199" s="249"/>
      <c r="BG199" s="252"/>
      <c r="BH199" s="1469"/>
      <c r="BI199" s="216"/>
      <c r="BJ199" s="1469"/>
      <c r="BK199" s="1459"/>
      <c r="BL199" s="260"/>
      <c r="BM199" s="214"/>
      <c r="BN199" s="293"/>
      <c r="BO199" s="217"/>
      <c r="BP199" s="355"/>
      <c r="BQ199" s="217"/>
      <c r="BR199" s="1193"/>
      <c r="BS199" s="249"/>
      <c r="BT199" s="216"/>
      <c r="BU199" s="1195"/>
      <c r="BV199" s="249"/>
      <c r="BW199" s="216"/>
      <c r="BX199" s="1195"/>
      <c r="BY199" s="249"/>
      <c r="BZ199" s="216"/>
      <c r="CA199" s="1195"/>
      <c r="CB199" s="249"/>
      <c r="CC199" s="216"/>
      <c r="CD199" s="1195"/>
      <c r="CE199" s="249"/>
      <c r="CF199" s="216"/>
      <c r="CG199" s="1195"/>
      <c r="CH199" s="249"/>
      <c r="CI199" s="216"/>
      <c r="CJ199" s="1195"/>
      <c r="CK199" s="249"/>
      <c r="CL199" s="216"/>
      <c r="CM199" s="1194"/>
      <c r="CN199" s="1524"/>
      <c r="CO199" s="217"/>
      <c r="CP199" s="1193"/>
      <c r="CQ199" s="293"/>
      <c r="CR199" s="217"/>
      <c r="CS199" s="305"/>
      <c r="CT199" s="249"/>
      <c r="CU199" s="216"/>
      <c r="CV199" s="1193"/>
      <c r="CW199" s="249"/>
      <c r="CX199" s="216"/>
      <c r="CY199" s="305"/>
      <c r="CZ199" s="249"/>
      <c r="DA199" s="216"/>
      <c r="DB199" s="307"/>
      <c r="DC199" s="328"/>
      <c r="DD199" s="322"/>
      <c r="DE199" s="305"/>
      <c r="DF199" s="249"/>
      <c r="DG199" s="216"/>
      <c r="DH199" s="305"/>
      <c r="DI199" s="249"/>
      <c r="DJ199" s="216"/>
      <c r="DK199" s="309"/>
      <c r="DL199" s="293"/>
      <c r="DM199" s="326"/>
      <c r="DN199" s="1256"/>
      <c r="DO199" s="214"/>
      <c r="DP199" s="1257"/>
      <c r="DQ199" s="1258"/>
      <c r="DR199" s="305"/>
      <c r="DS199" s="249"/>
      <c r="DT199" s="216"/>
      <c r="DU199" s="305"/>
      <c r="DV199" s="2520"/>
      <c r="DW199" s="2521"/>
      <c r="DX199" s="305"/>
      <c r="DY199" s="249"/>
      <c r="DZ199" s="221"/>
      <c r="EA199" s="388"/>
      <c r="EB199" s="249"/>
      <c r="EC199" s="216"/>
      <c r="ED199" s="1461"/>
      <c r="EE199" s="249"/>
      <c r="EF199" s="216"/>
      <c r="EG199" s="355"/>
      <c r="EH199" s="1425"/>
      <c r="EI199" s="1470"/>
      <c r="EJ199" s="249"/>
      <c r="EK199" s="221"/>
      <c r="EL199" s="313"/>
      <c r="EM199" s="249"/>
      <c r="EN199" s="221"/>
      <c r="EO199" s="313"/>
      <c r="EP199" s="249"/>
      <c r="EQ199" s="216"/>
      <c r="ER199" s="313"/>
      <c r="ES199" s="249"/>
      <c r="ET199" s="216"/>
      <c r="EU199" s="313"/>
      <c r="EV199" s="249"/>
      <c r="EW199" s="216"/>
      <c r="EX199" s="2505"/>
      <c r="EY199" s="249"/>
      <c r="EZ199" s="221"/>
      <c r="FA199" s="313"/>
      <c r="FB199" s="249"/>
      <c r="FC199" s="221"/>
      <c r="FD199" s="313"/>
      <c r="FE199" s="249"/>
      <c r="FF199" s="221"/>
      <c r="FG199" s="313"/>
      <c r="FH199" s="249"/>
      <c r="FI199" s="216"/>
      <c r="FJ199" s="1435"/>
      <c r="FK199" s="216"/>
      <c r="FL199" s="1268"/>
      <c r="FM199" s="1655"/>
      <c r="FN199" s="1268"/>
      <c r="FO199" s="1655"/>
      <c r="FP199" s="1268"/>
      <c r="FQ199" s="1656"/>
      <c r="FR199" s="249"/>
      <c r="FS199" s="216"/>
      <c r="FT199" s="1657"/>
      <c r="FU199" s="1658"/>
      <c r="FV199" s="242"/>
      <c r="FW199" s="343"/>
      <c r="FX199" s="222"/>
      <c r="FY199" s="336"/>
      <c r="FZ199" s="223"/>
      <c r="GA199" s="338"/>
      <c r="GB199" s="204"/>
      <c r="GC199" s="339"/>
      <c r="GD199" s="342"/>
      <c r="GE199" s="199"/>
      <c r="GF199" s="199"/>
      <c r="GG199" s="199"/>
      <c r="GH199" s="199"/>
      <c r="GI199" s="199"/>
      <c r="GJ199" s="199"/>
      <c r="GK199" s="199"/>
      <c r="GL199" s="49"/>
      <c r="GM199" s="28"/>
      <c r="GN199" s="28"/>
      <c r="GO199" s="322"/>
      <c r="GP199" s="1190"/>
      <c r="GQ199" s="1190"/>
      <c r="GR199" s="49"/>
      <c r="GS199" s="2879"/>
      <c r="GT199" s="2880"/>
      <c r="GU199" s="2881"/>
      <c r="GV199" s="49"/>
      <c r="GW199" s="49"/>
      <c r="GX199" s="49"/>
      <c r="GY199" s="49"/>
      <c r="GZ199" s="49"/>
      <c r="HA199" s="49"/>
      <c r="HB199" s="49"/>
      <c r="HC199" s="49"/>
      <c r="HD199" s="49"/>
      <c r="HE199" s="49"/>
      <c r="HF199" s="49"/>
      <c r="HG199" s="49"/>
      <c r="HH199" s="49"/>
      <c r="HI199" s="49"/>
      <c r="HJ199" s="49"/>
      <c r="HK199" s="49"/>
      <c r="HL199" s="49"/>
      <c r="HM199" s="49"/>
      <c r="HN199" s="49"/>
      <c r="HO199" s="49"/>
      <c r="HP199" s="49"/>
      <c r="HQ199" s="49"/>
      <c r="HR199" s="49"/>
      <c r="HS199" s="49"/>
      <c r="HT199" s="49"/>
      <c r="HU199" s="49"/>
      <c r="HV199" s="49"/>
      <c r="HW199" s="49"/>
      <c r="HX199" s="49"/>
      <c r="HY199" s="49"/>
      <c r="HZ199" s="49"/>
      <c r="IA199" s="49"/>
      <c r="IB199" s="49"/>
      <c r="IC199" s="49"/>
      <c r="ID199" s="49"/>
      <c r="IE199" s="49"/>
      <c r="IF199" s="49"/>
      <c r="IG199" s="49"/>
      <c r="IH199" s="49"/>
      <c r="II199" s="49"/>
      <c r="IJ199" s="49"/>
      <c r="IK199" s="49"/>
      <c r="IL199" s="49"/>
      <c r="IM199" s="49"/>
      <c r="IN199" s="49"/>
      <c r="IO199" s="49"/>
      <c r="IP199" s="49"/>
      <c r="IQ199" s="49"/>
      <c r="IR199" s="49"/>
      <c r="IS199" s="49"/>
      <c r="IT199" s="49"/>
      <c r="IU199" s="49"/>
      <c r="IV199" s="49"/>
    </row>
    <row r="200" spans="1:256" s="198" customFormat="1" ht="12" customHeight="1">
      <c r="A200" s="1252"/>
      <c r="B200" s="200"/>
      <c r="C200" s="486"/>
      <c r="D200" s="201"/>
      <c r="E200" s="202"/>
      <c r="F200" s="203"/>
      <c r="G200" s="197"/>
      <c r="H200" s="197"/>
      <c r="I200" s="197"/>
      <c r="J200" s="197"/>
      <c r="K200" s="175"/>
      <c r="L200" s="197"/>
      <c r="M200" s="197"/>
      <c r="N200" s="197"/>
      <c r="O200" s="197"/>
      <c r="P200" s="197"/>
      <c r="Q200" s="1198"/>
      <c r="R200" s="202"/>
      <c r="S200" s="202"/>
      <c r="T200" s="1186"/>
      <c r="U200" s="233"/>
      <c r="V200" s="49"/>
      <c r="W200" s="218"/>
      <c r="X200" s="218"/>
      <c r="Y200" s="216"/>
      <c r="Z200" s="216"/>
      <c r="AA200" s="215"/>
      <c r="AB200" s="216"/>
      <c r="AC200" s="216"/>
      <c r="AD200" s="239"/>
      <c r="AE200" s="216"/>
      <c r="AF200" s="216"/>
      <c r="AG200" s="216"/>
      <c r="AH200" s="216"/>
      <c r="AI200" s="216"/>
      <c r="AJ200" s="216"/>
      <c r="AK200" s="239"/>
      <c r="AL200" s="216"/>
      <c r="AM200" s="216"/>
      <c r="AN200" s="216"/>
      <c r="AO200" s="216"/>
      <c r="AP200" s="216"/>
      <c r="AQ200" s="216"/>
      <c r="AR200" s="216"/>
      <c r="AS200" s="216"/>
      <c r="AT200" s="216"/>
      <c r="AU200" s="216"/>
      <c r="AV200" s="217"/>
      <c r="AW200" s="355"/>
      <c r="AX200" s="217"/>
      <c r="AY200" s="1559"/>
      <c r="AZ200" s="249"/>
      <c r="BA200" s="221"/>
      <c r="BB200" s="300"/>
      <c r="BC200" s="217"/>
      <c r="BD200" s="392"/>
      <c r="BE200" s="1244"/>
      <c r="BF200" s="249"/>
      <c r="BG200" s="252"/>
      <c r="BH200" s="1469"/>
      <c r="BI200" s="216"/>
      <c r="BJ200" s="1469"/>
      <c r="BK200" s="1459"/>
      <c r="BL200" s="260"/>
      <c r="BM200" s="214"/>
      <c r="BN200" s="293"/>
      <c r="BO200" s="217"/>
      <c r="BP200" s="355"/>
      <c r="BQ200" s="217"/>
      <c r="BR200" s="1193"/>
      <c r="BS200" s="249"/>
      <c r="BT200" s="216"/>
      <c r="BU200" s="1195"/>
      <c r="BV200" s="249"/>
      <c r="BW200" s="216"/>
      <c r="BX200" s="1195"/>
      <c r="BY200" s="249"/>
      <c r="BZ200" s="216"/>
      <c r="CA200" s="1195"/>
      <c r="CB200" s="249"/>
      <c r="CC200" s="216"/>
      <c r="CD200" s="1195"/>
      <c r="CE200" s="249"/>
      <c r="CF200" s="216"/>
      <c r="CG200" s="1195"/>
      <c r="CH200" s="249"/>
      <c r="CI200" s="216"/>
      <c r="CJ200" s="1195"/>
      <c r="CK200" s="249"/>
      <c r="CL200" s="216"/>
      <c r="CM200" s="1194"/>
      <c r="CN200" s="1524"/>
      <c r="CO200" s="217"/>
      <c r="CP200" s="1193"/>
      <c r="CQ200" s="293"/>
      <c r="CR200" s="217"/>
      <c r="CS200" s="305"/>
      <c r="CT200" s="249"/>
      <c r="CU200" s="216"/>
      <c r="CV200" s="1193"/>
      <c r="CW200" s="249"/>
      <c r="CX200" s="216"/>
      <c r="CY200" s="305"/>
      <c r="CZ200" s="249"/>
      <c r="DA200" s="216"/>
      <c r="DB200" s="307"/>
      <c r="DC200" s="328"/>
      <c r="DD200" s="322"/>
      <c r="DE200" s="305"/>
      <c r="DF200" s="249"/>
      <c r="DG200" s="216"/>
      <c r="DH200" s="305"/>
      <c r="DI200" s="249"/>
      <c r="DJ200" s="216"/>
      <c r="DK200" s="309"/>
      <c r="DL200" s="293"/>
      <c r="DM200" s="326"/>
      <c r="DN200" s="1256"/>
      <c r="DO200" s="214"/>
      <c r="DP200" s="1257"/>
      <c r="DQ200" s="1258"/>
      <c r="DR200" s="305"/>
      <c r="DS200" s="249"/>
      <c r="DT200" s="216"/>
      <c r="DU200" s="305"/>
      <c r="DV200" s="2520"/>
      <c r="DW200" s="2521"/>
      <c r="DX200" s="305"/>
      <c r="DY200" s="249"/>
      <c r="DZ200" s="221"/>
      <c r="EA200" s="388"/>
      <c r="EB200" s="249"/>
      <c r="EC200" s="216"/>
      <c r="ED200" s="1461"/>
      <c r="EE200" s="249"/>
      <c r="EF200" s="216"/>
      <c r="EG200" s="355"/>
      <c r="EH200" s="1425"/>
      <c r="EI200" s="1470"/>
      <c r="EJ200" s="249"/>
      <c r="EK200" s="221"/>
      <c r="EL200" s="313"/>
      <c r="EM200" s="249"/>
      <c r="EN200" s="221"/>
      <c r="EO200" s="313"/>
      <c r="EP200" s="249"/>
      <c r="EQ200" s="216"/>
      <c r="ER200" s="313"/>
      <c r="ES200" s="249"/>
      <c r="ET200" s="216"/>
      <c r="EU200" s="313"/>
      <c r="EV200" s="249"/>
      <c r="EW200" s="216"/>
      <c r="EX200" s="2505"/>
      <c r="EY200" s="249"/>
      <c r="EZ200" s="221"/>
      <c r="FA200" s="313"/>
      <c r="FB200" s="249"/>
      <c r="FC200" s="221"/>
      <c r="FD200" s="313"/>
      <c r="FE200" s="249"/>
      <c r="FF200" s="221"/>
      <c r="FG200" s="313"/>
      <c r="FH200" s="249"/>
      <c r="FI200" s="216"/>
      <c r="FJ200" s="1435"/>
      <c r="FK200" s="216"/>
      <c r="FL200" s="1268"/>
      <c r="FM200" s="1655"/>
      <c r="FN200" s="1268"/>
      <c r="FO200" s="1655"/>
      <c r="FP200" s="1268"/>
      <c r="FQ200" s="1656"/>
      <c r="FR200" s="249"/>
      <c r="FS200" s="216"/>
      <c r="FT200" s="1657"/>
      <c r="FU200" s="1658"/>
      <c r="FV200" s="242"/>
      <c r="FW200" s="343"/>
      <c r="FX200" s="222"/>
      <c r="FY200" s="336"/>
      <c r="FZ200" s="223"/>
      <c r="GA200" s="338"/>
      <c r="GB200" s="204"/>
      <c r="GC200" s="339"/>
      <c r="GD200" s="342"/>
      <c r="GE200" s="199"/>
      <c r="GF200" s="199"/>
      <c r="GG200" s="199"/>
      <c r="GH200" s="199"/>
      <c r="GI200" s="199"/>
      <c r="GJ200" s="199"/>
      <c r="GK200" s="199"/>
      <c r="GL200" s="49"/>
      <c r="GM200" s="28"/>
      <c r="GN200" s="28"/>
      <c r="GO200" s="322"/>
      <c r="GP200" s="1190"/>
      <c r="GQ200" s="1190"/>
      <c r="GR200" s="49"/>
      <c r="GS200" s="2879"/>
      <c r="GT200" s="2880"/>
      <c r="GU200" s="2881"/>
      <c r="GV200" s="49"/>
      <c r="GW200" s="49"/>
      <c r="GX200" s="49"/>
      <c r="GY200" s="49"/>
      <c r="GZ200" s="49"/>
      <c r="HA200" s="49"/>
      <c r="HB200" s="49"/>
      <c r="HC200" s="49"/>
      <c r="HD200" s="49"/>
      <c r="HE200" s="49"/>
      <c r="HF200" s="49"/>
      <c r="HG200" s="49"/>
      <c r="HH200" s="49"/>
      <c r="HI200" s="49"/>
      <c r="HJ200" s="49"/>
      <c r="HK200" s="49"/>
      <c r="HL200" s="49"/>
      <c r="HM200" s="49"/>
      <c r="HN200" s="49"/>
      <c r="HO200" s="49"/>
      <c r="HP200" s="49"/>
      <c r="HQ200" s="49"/>
      <c r="HR200" s="49"/>
      <c r="HS200" s="49"/>
      <c r="HT200" s="49"/>
      <c r="HU200" s="49"/>
      <c r="HV200" s="49"/>
      <c r="HW200" s="49"/>
      <c r="HX200" s="49"/>
      <c r="HY200" s="49"/>
      <c r="HZ200" s="49"/>
      <c r="IA200" s="49"/>
      <c r="IB200" s="49"/>
      <c r="IC200" s="49"/>
      <c r="ID200" s="49"/>
      <c r="IE200" s="49"/>
      <c r="IF200" s="49"/>
      <c r="IG200" s="49"/>
      <c r="IH200" s="49"/>
      <c r="II200" s="49"/>
      <c r="IJ200" s="49"/>
      <c r="IK200" s="49"/>
      <c r="IL200" s="49"/>
      <c r="IM200" s="49"/>
      <c r="IN200" s="49"/>
      <c r="IO200" s="49"/>
      <c r="IP200" s="49"/>
      <c r="IQ200" s="49"/>
      <c r="IR200" s="49"/>
      <c r="IS200" s="49"/>
      <c r="IT200" s="49"/>
      <c r="IU200" s="49"/>
      <c r="IV200" s="49"/>
    </row>
    <row r="201" spans="1:256" s="198" customFormat="1" ht="12" customHeight="1">
      <c r="A201" s="1252"/>
      <c r="B201" s="200"/>
      <c r="C201" s="486"/>
      <c r="D201" s="201"/>
      <c r="E201" s="202"/>
      <c r="F201" s="203"/>
      <c r="G201" s="197"/>
      <c r="H201" s="197"/>
      <c r="I201" s="197"/>
      <c r="J201" s="197"/>
      <c r="K201" s="175"/>
      <c r="L201" s="197"/>
      <c r="M201" s="197"/>
      <c r="N201" s="197"/>
      <c r="O201" s="197"/>
      <c r="P201" s="197"/>
      <c r="Q201" s="1198"/>
      <c r="R201" s="202"/>
      <c r="S201" s="202"/>
      <c r="T201" s="1186"/>
      <c r="U201" s="233"/>
      <c r="V201" s="49"/>
      <c r="W201" s="218"/>
      <c r="X201" s="218"/>
      <c r="Y201" s="216"/>
      <c r="Z201" s="216"/>
      <c r="AA201" s="215"/>
      <c r="AB201" s="216"/>
      <c r="AC201" s="216"/>
      <c r="AD201" s="239"/>
      <c r="AE201" s="216"/>
      <c r="AF201" s="216"/>
      <c r="AG201" s="216"/>
      <c r="AH201" s="216"/>
      <c r="AI201" s="216"/>
      <c r="AJ201" s="216"/>
      <c r="AK201" s="239"/>
      <c r="AL201" s="216"/>
      <c r="AM201" s="216"/>
      <c r="AN201" s="216"/>
      <c r="AO201" s="216"/>
      <c r="AP201" s="216"/>
      <c r="AQ201" s="216"/>
      <c r="AR201" s="216"/>
      <c r="AS201" s="216"/>
      <c r="AT201" s="216"/>
      <c r="AU201" s="216"/>
      <c r="AV201" s="217"/>
      <c r="AW201" s="355"/>
      <c r="AX201" s="217"/>
      <c r="AY201" s="1559"/>
      <c r="AZ201" s="249"/>
      <c r="BA201" s="221"/>
      <c r="BB201" s="300"/>
      <c r="BC201" s="217"/>
      <c r="BD201" s="392"/>
      <c r="BE201" s="1244"/>
      <c r="BF201" s="249"/>
      <c r="BG201" s="252"/>
      <c r="BH201" s="1469"/>
      <c r="BI201" s="216"/>
      <c r="BJ201" s="1469"/>
      <c r="BK201" s="1459"/>
      <c r="BL201" s="260"/>
      <c r="BM201" s="214"/>
      <c r="BN201" s="293"/>
      <c r="BO201" s="217"/>
      <c r="BP201" s="355"/>
      <c r="BQ201" s="217"/>
      <c r="BR201" s="1193"/>
      <c r="BS201" s="249"/>
      <c r="BT201" s="216"/>
      <c r="BU201" s="1195"/>
      <c r="BV201" s="249"/>
      <c r="BW201" s="216"/>
      <c r="BX201" s="1195"/>
      <c r="BY201" s="249"/>
      <c r="BZ201" s="216"/>
      <c r="CA201" s="1195"/>
      <c r="CB201" s="249"/>
      <c r="CC201" s="216"/>
      <c r="CD201" s="1195"/>
      <c r="CE201" s="249"/>
      <c r="CF201" s="216"/>
      <c r="CG201" s="1195"/>
      <c r="CH201" s="249"/>
      <c r="CI201" s="216"/>
      <c r="CJ201" s="1195"/>
      <c r="CK201" s="249"/>
      <c r="CL201" s="216"/>
      <c r="CM201" s="1194"/>
      <c r="CN201" s="1524"/>
      <c r="CO201" s="217"/>
      <c r="CP201" s="1193"/>
      <c r="CQ201" s="293"/>
      <c r="CR201" s="217"/>
      <c r="CS201" s="305"/>
      <c r="CT201" s="249"/>
      <c r="CU201" s="216"/>
      <c r="CV201" s="1193"/>
      <c r="CW201" s="249"/>
      <c r="CX201" s="216"/>
      <c r="CY201" s="305"/>
      <c r="CZ201" s="249"/>
      <c r="DA201" s="216"/>
      <c r="DB201" s="307"/>
      <c r="DC201" s="328"/>
      <c r="DD201" s="322"/>
      <c r="DE201" s="305"/>
      <c r="DF201" s="249"/>
      <c r="DG201" s="216"/>
      <c r="DH201" s="305"/>
      <c r="DI201" s="249"/>
      <c r="DJ201" s="216"/>
      <c r="DK201" s="309"/>
      <c r="DL201" s="293"/>
      <c r="DM201" s="326"/>
      <c r="DN201" s="1256"/>
      <c r="DO201" s="214"/>
      <c r="DP201" s="1257"/>
      <c r="DQ201" s="1258"/>
      <c r="DR201" s="305"/>
      <c r="DS201" s="249"/>
      <c r="DT201" s="216"/>
      <c r="DU201" s="305"/>
      <c r="DV201" s="2520"/>
      <c r="DW201" s="2521"/>
      <c r="DX201" s="305"/>
      <c r="DY201" s="249"/>
      <c r="DZ201" s="221"/>
      <c r="EA201" s="388"/>
      <c r="EB201" s="249"/>
      <c r="EC201" s="216"/>
      <c r="ED201" s="1461"/>
      <c r="EE201" s="249"/>
      <c r="EF201" s="216"/>
      <c r="EG201" s="355"/>
      <c r="EH201" s="1425"/>
      <c r="EI201" s="1470"/>
      <c r="EJ201" s="249"/>
      <c r="EK201" s="221"/>
      <c r="EL201" s="313"/>
      <c r="EM201" s="249"/>
      <c r="EN201" s="221"/>
      <c r="EO201" s="313"/>
      <c r="EP201" s="249"/>
      <c r="EQ201" s="216"/>
      <c r="ER201" s="313"/>
      <c r="ES201" s="249"/>
      <c r="ET201" s="216"/>
      <c r="EU201" s="313"/>
      <c r="EV201" s="249"/>
      <c r="EW201" s="216"/>
      <c r="EX201" s="2505"/>
      <c r="EY201" s="249"/>
      <c r="EZ201" s="221"/>
      <c r="FA201" s="313"/>
      <c r="FB201" s="249"/>
      <c r="FC201" s="221"/>
      <c r="FD201" s="313"/>
      <c r="FE201" s="249"/>
      <c r="FF201" s="221"/>
      <c r="FG201" s="313"/>
      <c r="FH201" s="249"/>
      <c r="FI201" s="216"/>
      <c r="FJ201" s="1435"/>
      <c r="FK201" s="216"/>
      <c r="FL201" s="1268"/>
      <c r="FM201" s="1655"/>
      <c r="FN201" s="1268"/>
      <c r="FO201" s="1655"/>
      <c r="FP201" s="1268"/>
      <c r="FQ201" s="1656"/>
      <c r="FR201" s="249"/>
      <c r="FS201" s="216"/>
      <c r="FT201" s="1657"/>
      <c r="FU201" s="1658"/>
      <c r="FV201" s="242"/>
      <c r="FW201" s="343"/>
      <c r="FX201" s="222"/>
      <c r="FY201" s="336"/>
      <c r="FZ201" s="223"/>
      <c r="GA201" s="338"/>
      <c r="GB201" s="204"/>
      <c r="GC201" s="339"/>
      <c r="GD201" s="342"/>
      <c r="GE201" s="199"/>
      <c r="GF201" s="199"/>
      <c r="GG201" s="199"/>
      <c r="GH201" s="199"/>
      <c r="GI201" s="199"/>
      <c r="GJ201" s="199"/>
      <c r="GK201" s="199"/>
      <c r="GL201" s="49"/>
      <c r="GM201" s="28"/>
      <c r="GN201" s="28"/>
      <c r="GO201" s="322"/>
      <c r="GP201" s="1190"/>
      <c r="GQ201" s="1190"/>
      <c r="GR201" s="49"/>
      <c r="GS201" s="2879"/>
      <c r="GT201" s="2880"/>
      <c r="GU201" s="2881"/>
      <c r="GV201" s="49"/>
      <c r="GW201" s="49"/>
      <c r="GX201" s="49"/>
      <c r="GY201" s="49"/>
      <c r="GZ201" s="49"/>
      <c r="HA201" s="49"/>
      <c r="HB201" s="49"/>
      <c r="HC201" s="49"/>
      <c r="HD201" s="49"/>
      <c r="HE201" s="49"/>
      <c r="HF201" s="49"/>
      <c r="HG201" s="49"/>
      <c r="HH201" s="49"/>
      <c r="HI201" s="49"/>
      <c r="HJ201" s="49"/>
      <c r="HK201" s="49"/>
      <c r="HL201" s="49"/>
      <c r="HM201" s="49"/>
      <c r="HN201" s="49"/>
      <c r="HO201" s="49"/>
      <c r="HP201" s="49"/>
      <c r="HQ201" s="49"/>
      <c r="HR201" s="49"/>
      <c r="HS201" s="49"/>
      <c r="HT201" s="49"/>
      <c r="HU201" s="49"/>
      <c r="HV201" s="49"/>
      <c r="HW201" s="49"/>
      <c r="HX201" s="49"/>
      <c r="HY201" s="49"/>
      <c r="HZ201" s="49"/>
      <c r="IA201" s="49"/>
      <c r="IB201" s="49"/>
      <c r="IC201" s="49"/>
      <c r="ID201" s="49"/>
      <c r="IE201" s="49"/>
      <c r="IF201" s="49"/>
      <c r="IG201" s="49"/>
      <c r="IH201" s="49"/>
      <c r="II201" s="49"/>
      <c r="IJ201" s="49"/>
      <c r="IK201" s="49"/>
      <c r="IL201" s="49"/>
      <c r="IM201" s="49"/>
      <c r="IN201" s="49"/>
      <c r="IO201" s="49"/>
      <c r="IP201" s="49"/>
      <c r="IQ201" s="49"/>
      <c r="IR201" s="49"/>
      <c r="IS201" s="49"/>
      <c r="IT201" s="49"/>
      <c r="IU201" s="49"/>
      <c r="IV201" s="49"/>
    </row>
    <row r="202" spans="1:256" s="198" customFormat="1" ht="12" customHeight="1">
      <c r="A202" s="1252"/>
      <c r="B202" s="200"/>
      <c r="C202" s="486"/>
      <c r="D202" s="201"/>
      <c r="E202" s="202"/>
      <c r="F202" s="203"/>
      <c r="G202" s="197"/>
      <c r="H202" s="197"/>
      <c r="I202" s="197"/>
      <c r="J202" s="197"/>
      <c r="K202" s="175"/>
      <c r="L202" s="197"/>
      <c r="M202" s="197"/>
      <c r="N202" s="197"/>
      <c r="O202" s="197"/>
      <c r="P202" s="197"/>
      <c r="Q202" s="1198"/>
      <c r="R202" s="202"/>
      <c r="S202" s="202"/>
      <c r="T202" s="1186"/>
      <c r="U202" s="233"/>
      <c r="V202" s="49"/>
      <c r="W202" s="218"/>
      <c r="X202" s="218"/>
      <c r="Y202" s="216"/>
      <c r="Z202" s="216"/>
      <c r="AA202" s="215"/>
      <c r="AB202" s="216"/>
      <c r="AC202" s="216"/>
      <c r="AD202" s="239"/>
      <c r="AE202" s="216"/>
      <c r="AF202" s="216"/>
      <c r="AG202" s="216"/>
      <c r="AH202" s="216"/>
      <c r="AI202" s="216"/>
      <c r="AJ202" s="216"/>
      <c r="AK202" s="239"/>
      <c r="AL202" s="216"/>
      <c r="AM202" s="216"/>
      <c r="AN202" s="216"/>
      <c r="AO202" s="216"/>
      <c r="AP202" s="216"/>
      <c r="AQ202" s="216"/>
      <c r="AR202" s="216"/>
      <c r="AS202" s="216"/>
      <c r="AT202" s="216"/>
      <c r="AU202" s="216"/>
      <c r="AV202" s="217"/>
      <c r="AW202" s="355"/>
      <c r="AX202" s="217"/>
      <c r="AY202" s="1559"/>
      <c r="AZ202" s="249"/>
      <c r="BA202" s="221"/>
      <c r="BB202" s="300"/>
      <c r="BC202" s="217"/>
      <c r="BD202" s="392"/>
      <c r="BE202" s="1244"/>
      <c r="BF202" s="249"/>
      <c r="BG202" s="252"/>
      <c r="BH202" s="1469"/>
      <c r="BI202" s="216"/>
      <c r="BJ202" s="1469"/>
      <c r="BK202" s="1459"/>
      <c r="BL202" s="260"/>
      <c r="BM202" s="214"/>
      <c r="BN202" s="293"/>
      <c r="BO202" s="217"/>
      <c r="BP202" s="355"/>
      <c r="BQ202" s="217"/>
      <c r="BR202" s="1193"/>
      <c r="BS202" s="249"/>
      <c r="BT202" s="216"/>
      <c r="BU202" s="1195"/>
      <c r="BV202" s="249"/>
      <c r="BW202" s="216"/>
      <c r="BX202" s="1195"/>
      <c r="BY202" s="249"/>
      <c r="BZ202" s="216"/>
      <c r="CA202" s="1195"/>
      <c r="CB202" s="249"/>
      <c r="CC202" s="216"/>
      <c r="CD202" s="1195"/>
      <c r="CE202" s="249"/>
      <c r="CF202" s="216"/>
      <c r="CG202" s="1195"/>
      <c r="CH202" s="249"/>
      <c r="CI202" s="216"/>
      <c r="CJ202" s="1195"/>
      <c r="CK202" s="249"/>
      <c r="CL202" s="216"/>
      <c r="CM202" s="1194"/>
      <c r="CN202" s="1524"/>
      <c r="CO202" s="217"/>
      <c r="CP202" s="1193"/>
      <c r="CQ202" s="293"/>
      <c r="CR202" s="217"/>
      <c r="CS202" s="305"/>
      <c r="CT202" s="249"/>
      <c r="CU202" s="216"/>
      <c r="CV202" s="1193"/>
      <c r="CW202" s="249"/>
      <c r="CX202" s="216"/>
      <c r="CY202" s="305"/>
      <c r="CZ202" s="249"/>
      <c r="DA202" s="216"/>
      <c r="DB202" s="307"/>
      <c r="DC202" s="328"/>
      <c r="DD202" s="322"/>
      <c r="DE202" s="305"/>
      <c r="DF202" s="249"/>
      <c r="DG202" s="216"/>
      <c r="DH202" s="305"/>
      <c r="DI202" s="249"/>
      <c r="DJ202" s="216"/>
      <c r="DK202" s="309"/>
      <c r="DL202" s="293"/>
      <c r="DM202" s="326"/>
      <c r="DN202" s="1256"/>
      <c r="DO202" s="214"/>
      <c r="DP202" s="1257"/>
      <c r="DQ202" s="1258"/>
      <c r="DR202" s="305"/>
      <c r="DS202" s="249"/>
      <c r="DT202" s="216"/>
      <c r="DU202" s="305"/>
      <c r="DV202" s="2520"/>
      <c r="DW202" s="2521"/>
      <c r="DX202" s="305"/>
      <c r="DY202" s="249"/>
      <c r="DZ202" s="221"/>
      <c r="EA202" s="388"/>
      <c r="EB202" s="249"/>
      <c r="EC202" s="216"/>
      <c r="ED202" s="1461"/>
      <c r="EE202" s="249"/>
      <c r="EF202" s="216"/>
      <c r="EG202" s="355"/>
      <c r="EH202" s="1425"/>
      <c r="EI202" s="1470"/>
      <c r="EJ202" s="249"/>
      <c r="EK202" s="221"/>
      <c r="EL202" s="313"/>
      <c r="EM202" s="249"/>
      <c r="EN202" s="221"/>
      <c r="EO202" s="313"/>
      <c r="EP202" s="249"/>
      <c r="EQ202" s="216"/>
      <c r="ER202" s="313"/>
      <c r="ES202" s="249"/>
      <c r="ET202" s="216"/>
      <c r="EU202" s="313"/>
      <c r="EV202" s="249"/>
      <c r="EW202" s="216"/>
      <c r="EX202" s="2505"/>
      <c r="EY202" s="249"/>
      <c r="EZ202" s="221"/>
      <c r="FA202" s="313"/>
      <c r="FB202" s="249"/>
      <c r="FC202" s="221"/>
      <c r="FD202" s="313"/>
      <c r="FE202" s="249"/>
      <c r="FF202" s="221"/>
      <c r="FG202" s="313"/>
      <c r="FH202" s="249"/>
      <c r="FI202" s="216"/>
      <c r="FJ202" s="1435"/>
      <c r="FK202" s="216"/>
      <c r="FL202" s="1268"/>
      <c r="FM202" s="1655"/>
      <c r="FN202" s="1268"/>
      <c r="FO202" s="1655"/>
      <c r="FP202" s="1268"/>
      <c r="FQ202" s="1656"/>
      <c r="FR202" s="249"/>
      <c r="FS202" s="216"/>
      <c r="FT202" s="1657"/>
      <c r="FU202" s="1658"/>
      <c r="FV202" s="242"/>
      <c r="FW202" s="343"/>
      <c r="FX202" s="222"/>
      <c r="FY202" s="336"/>
      <c r="FZ202" s="223"/>
      <c r="GA202" s="338"/>
      <c r="GB202" s="204"/>
      <c r="GC202" s="339"/>
      <c r="GD202" s="342"/>
      <c r="GE202" s="199"/>
      <c r="GF202" s="199"/>
      <c r="GG202" s="199"/>
      <c r="GH202" s="199"/>
      <c r="GI202" s="199"/>
      <c r="GJ202" s="199"/>
      <c r="GK202" s="199"/>
      <c r="GL202" s="49"/>
      <c r="GM202" s="28"/>
      <c r="GN202" s="28"/>
      <c r="GO202" s="322"/>
      <c r="GP202" s="1190"/>
      <c r="GQ202" s="1190"/>
      <c r="GR202" s="49"/>
      <c r="GS202" s="2879"/>
      <c r="GT202" s="2880"/>
      <c r="GU202" s="2881"/>
      <c r="GV202" s="49"/>
      <c r="GW202" s="49"/>
      <c r="GX202" s="49"/>
      <c r="GY202" s="49"/>
      <c r="GZ202" s="49"/>
      <c r="HA202" s="49"/>
      <c r="HB202" s="49"/>
      <c r="HC202" s="49"/>
      <c r="HD202" s="49"/>
      <c r="HE202" s="49"/>
      <c r="HF202" s="49"/>
      <c r="HG202" s="49"/>
      <c r="HH202" s="49"/>
      <c r="HI202" s="49"/>
      <c r="HJ202" s="49"/>
      <c r="HK202" s="49"/>
      <c r="HL202" s="49"/>
      <c r="HM202" s="49"/>
      <c r="HN202" s="49"/>
      <c r="HO202" s="49"/>
      <c r="HP202" s="49"/>
      <c r="HQ202" s="49"/>
      <c r="HR202" s="49"/>
      <c r="HS202" s="49"/>
      <c r="HT202" s="49"/>
      <c r="HU202" s="49"/>
      <c r="HV202" s="49"/>
      <c r="HW202" s="49"/>
      <c r="HX202" s="49"/>
      <c r="HY202" s="49"/>
      <c r="HZ202" s="49"/>
      <c r="IA202" s="49"/>
      <c r="IB202" s="49"/>
      <c r="IC202" s="49"/>
      <c r="ID202" s="49"/>
      <c r="IE202" s="49"/>
      <c r="IF202" s="49"/>
      <c r="IG202" s="49"/>
      <c r="IH202" s="49"/>
      <c r="II202" s="49"/>
      <c r="IJ202" s="49"/>
      <c r="IK202" s="49"/>
      <c r="IL202" s="49"/>
      <c r="IM202" s="49"/>
      <c r="IN202" s="49"/>
      <c r="IO202" s="49"/>
      <c r="IP202" s="49"/>
      <c r="IQ202" s="49"/>
      <c r="IR202" s="49"/>
      <c r="IS202" s="49"/>
      <c r="IT202" s="49"/>
      <c r="IU202" s="49"/>
      <c r="IV202" s="49"/>
    </row>
    <row r="203" spans="1:256" s="198" customFormat="1" ht="12" customHeight="1">
      <c r="A203" s="1252"/>
      <c r="B203" s="200"/>
      <c r="C203" s="486"/>
      <c r="D203" s="201"/>
      <c r="E203" s="202"/>
      <c r="F203" s="203"/>
      <c r="G203" s="197"/>
      <c r="H203" s="197"/>
      <c r="I203" s="197"/>
      <c r="J203" s="197"/>
      <c r="K203" s="175"/>
      <c r="L203" s="197"/>
      <c r="M203" s="197"/>
      <c r="N203" s="197"/>
      <c r="O203" s="197"/>
      <c r="P203" s="197"/>
      <c r="Q203" s="1198"/>
      <c r="R203" s="202"/>
      <c r="S203" s="202"/>
      <c r="T203" s="1186"/>
      <c r="U203" s="233"/>
      <c r="V203" s="49"/>
      <c r="W203" s="218"/>
      <c r="X203" s="218"/>
      <c r="Y203" s="216"/>
      <c r="Z203" s="216"/>
      <c r="AA203" s="215"/>
      <c r="AB203" s="216"/>
      <c r="AC203" s="216"/>
      <c r="AD203" s="239"/>
      <c r="AE203" s="216"/>
      <c r="AF203" s="216"/>
      <c r="AG203" s="216"/>
      <c r="AH203" s="216"/>
      <c r="AI203" s="216"/>
      <c r="AJ203" s="216"/>
      <c r="AK203" s="239"/>
      <c r="AL203" s="216"/>
      <c r="AM203" s="216"/>
      <c r="AN203" s="216"/>
      <c r="AO203" s="216"/>
      <c r="AP203" s="216"/>
      <c r="AQ203" s="216"/>
      <c r="AR203" s="216"/>
      <c r="AS203" s="216"/>
      <c r="AT203" s="216"/>
      <c r="AU203" s="216"/>
      <c r="AV203" s="217"/>
      <c r="AW203" s="355"/>
      <c r="AX203" s="217"/>
      <c r="AY203" s="1559"/>
      <c r="AZ203" s="249"/>
      <c r="BA203" s="221"/>
      <c r="BB203" s="300"/>
      <c r="BC203" s="217"/>
      <c r="BD203" s="392"/>
      <c r="BE203" s="1244"/>
      <c r="BF203" s="249"/>
      <c r="BG203" s="252"/>
      <c r="BH203" s="1469"/>
      <c r="BI203" s="216"/>
      <c r="BJ203" s="1469"/>
      <c r="BK203" s="1459"/>
      <c r="BL203" s="260"/>
      <c r="BM203" s="214"/>
      <c r="BN203" s="293"/>
      <c r="BO203" s="217"/>
      <c r="BP203" s="355"/>
      <c r="BQ203" s="217"/>
      <c r="BR203" s="1193"/>
      <c r="BS203" s="249"/>
      <c r="BT203" s="216"/>
      <c r="BU203" s="1195"/>
      <c r="BV203" s="249"/>
      <c r="BW203" s="216"/>
      <c r="BX203" s="1195"/>
      <c r="BY203" s="249"/>
      <c r="BZ203" s="216"/>
      <c r="CA203" s="1195"/>
      <c r="CB203" s="249"/>
      <c r="CC203" s="216"/>
      <c r="CD203" s="1195"/>
      <c r="CE203" s="249"/>
      <c r="CF203" s="216"/>
      <c r="CG203" s="1195"/>
      <c r="CH203" s="249"/>
      <c r="CI203" s="216"/>
      <c r="CJ203" s="1195"/>
      <c r="CK203" s="249"/>
      <c r="CL203" s="216"/>
      <c r="CM203" s="1194"/>
      <c r="CN203" s="1524"/>
      <c r="CO203" s="217"/>
      <c r="CP203" s="1193"/>
      <c r="CQ203" s="293"/>
      <c r="CR203" s="217"/>
      <c r="CS203" s="305"/>
      <c r="CT203" s="249"/>
      <c r="CU203" s="216"/>
      <c r="CV203" s="1193"/>
      <c r="CW203" s="249"/>
      <c r="CX203" s="216"/>
      <c r="CY203" s="305"/>
      <c r="CZ203" s="249"/>
      <c r="DA203" s="216"/>
      <c r="DB203" s="307"/>
      <c r="DC203" s="328"/>
      <c r="DD203" s="322"/>
      <c r="DE203" s="305"/>
      <c r="DF203" s="249"/>
      <c r="DG203" s="216"/>
      <c r="DH203" s="305"/>
      <c r="DI203" s="249"/>
      <c r="DJ203" s="216"/>
      <c r="DK203" s="309"/>
      <c r="DL203" s="293"/>
      <c r="DM203" s="326"/>
      <c r="DN203" s="1256"/>
      <c r="DO203" s="214"/>
      <c r="DP203" s="1257"/>
      <c r="DQ203" s="1258"/>
      <c r="DR203" s="305"/>
      <c r="DS203" s="249"/>
      <c r="DT203" s="216"/>
      <c r="DU203" s="305"/>
      <c r="DV203" s="2520"/>
      <c r="DW203" s="2521"/>
      <c r="DX203" s="305"/>
      <c r="DY203" s="249"/>
      <c r="DZ203" s="221"/>
      <c r="EA203" s="388"/>
      <c r="EB203" s="249"/>
      <c r="EC203" s="216"/>
      <c r="ED203" s="1461"/>
      <c r="EE203" s="249"/>
      <c r="EF203" s="216"/>
      <c r="EG203" s="355"/>
      <c r="EH203" s="1425"/>
      <c r="EI203" s="1470"/>
      <c r="EJ203" s="249"/>
      <c r="EK203" s="221"/>
      <c r="EL203" s="313"/>
      <c r="EM203" s="249"/>
      <c r="EN203" s="221"/>
      <c r="EO203" s="313"/>
      <c r="EP203" s="249"/>
      <c r="EQ203" s="216"/>
      <c r="ER203" s="313"/>
      <c r="ES203" s="249"/>
      <c r="ET203" s="216"/>
      <c r="EU203" s="313"/>
      <c r="EV203" s="249"/>
      <c r="EW203" s="216"/>
      <c r="EX203" s="2505"/>
      <c r="EY203" s="249"/>
      <c r="EZ203" s="221"/>
      <c r="FA203" s="313"/>
      <c r="FB203" s="249"/>
      <c r="FC203" s="221"/>
      <c r="FD203" s="313"/>
      <c r="FE203" s="249"/>
      <c r="FF203" s="221"/>
      <c r="FG203" s="313"/>
      <c r="FH203" s="249"/>
      <c r="FI203" s="216"/>
      <c r="FJ203" s="1435"/>
      <c r="FK203" s="216"/>
      <c r="FL203" s="1268"/>
      <c r="FM203" s="1655"/>
      <c r="FN203" s="1268"/>
      <c r="FO203" s="1655"/>
      <c r="FP203" s="1268"/>
      <c r="FQ203" s="1656"/>
      <c r="FR203" s="249"/>
      <c r="FS203" s="216"/>
      <c r="FT203" s="1657"/>
      <c r="FU203" s="1658"/>
      <c r="FV203" s="242"/>
      <c r="FW203" s="343"/>
      <c r="FX203" s="222"/>
      <c r="FY203" s="336"/>
      <c r="FZ203" s="223"/>
      <c r="GA203" s="338"/>
      <c r="GB203" s="204"/>
      <c r="GC203" s="339"/>
      <c r="GD203" s="342"/>
      <c r="GE203" s="199"/>
      <c r="GF203" s="199"/>
      <c r="GG203" s="199"/>
      <c r="GH203" s="199"/>
      <c r="GI203" s="199"/>
      <c r="GJ203" s="199"/>
      <c r="GK203" s="199"/>
      <c r="GL203" s="49"/>
      <c r="GM203" s="28"/>
      <c r="GN203" s="28"/>
      <c r="GO203" s="322"/>
      <c r="GP203" s="1190"/>
      <c r="GQ203" s="1190"/>
      <c r="GR203" s="49"/>
      <c r="GS203" s="2879"/>
      <c r="GT203" s="2880"/>
      <c r="GU203" s="2881"/>
      <c r="GV203" s="49"/>
      <c r="GW203" s="49"/>
      <c r="GX203" s="49"/>
      <c r="GY203" s="49"/>
      <c r="GZ203" s="49"/>
      <c r="HA203" s="49"/>
      <c r="HB203" s="49"/>
      <c r="HC203" s="49"/>
      <c r="HD203" s="49"/>
      <c r="HE203" s="49"/>
      <c r="HF203" s="49"/>
      <c r="HG203" s="49"/>
      <c r="HH203" s="49"/>
      <c r="HI203" s="49"/>
      <c r="HJ203" s="49"/>
      <c r="HK203" s="49"/>
      <c r="HL203" s="49"/>
      <c r="HM203" s="49"/>
      <c r="HN203" s="49"/>
      <c r="HO203" s="49"/>
      <c r="HP203" s="49"/>
      <c r="HQ203" s="49"/>
      <c r="HR203" s="49"/>
      <c r="HS203" s="49"/>
      <c r="HT203" s="49"/>
      <c r="HU203" s="49"/>
      <c r="HV203" s="49"/>
      <c r="HW203" s="49"/>
      <c r="HX203" s="49"/>
      <c r="HY203" s="49"/>
      <c r="HZ203" s="49"/>
      <c r="IA203" s="49"/>
      <c r="IB203" s="49"/>
      <c r="IC203" s="49"/>
      <c r="ID203" s="49"/>
      <c r="IE203" s="49"/>
      <c r="IF203" s="49"/>
      <c r="IG203" s="49"/>
      <c r="IH203" s="49"/>
      <c r="II203" s="49"/>
      <c r="IJ203" s="49"/>
      <c r="IK203" s="49"/>
      <c r="IL203" s="49"/>
      <c r="IM203" s="49"/>
      <c r="IN203" s="49"/>
      <c r="IO203" s="49"/>
      <c r="IP203" s="49"/>
      <c r="IQ203" s="49"/>
      <c r="IR203" s="49"/>
      <c r="IS203" s="49"/>
      <c r="IT203" s="49"/>
      <c r="IU203" s="49"/>
      <c r="IV203" s="49"/>
    </row>
    <row r="204" spans="1:256" s="198" customFormat="1" ht="12" customHeight="1">
      <c r="A204" s="1252"/>
      <c r="B204" s="200"/>
      <c r="C204" s="486"/>
      <c r="D204" s="201"/>
      <c r="E204" s="202"/>
      <c r="F204" s="203"/>
      <c r="G204" s="197"/>
      <c r="H204" s="197"/>
      <c r="I204" s="197"/>
      <c r="J204" s="197"/>
      <c r="K204" s="175"/>
      <c r="L204" s="197"/>
      <c r="M204" s="197"/>
      <c r="N204" s="197"/>
      <c r="O204" s="197"/>
      <c r="P204" s="197"/>
      <c r="Q204" s="1198"/>
      <c r="R204" s="202"/>
      <c r="S204" s="202"/>
      <c r="T204" s="1186"/>
      <c r="U204" s="233"/>
      <c r="V204" s="49"/>
      <c r="W204" s="218"/>
      <c r="X204" s="218"/>
      <c r="Y204" s="216"/>
      <c r="Z204" s="216"/>
      <c r="AA204" s="215"/>
      <c r="AB204" s="216"/>
      <c r="AC204" s="216"/>
      <c r="AD204" s="239"/>
      <c r="AE204" s="216"/>
      <c r="AF204" s="216"/>
      <c r="AG204" s="216"/>
      <c r="AH204" s="216"/>
      <c r="AI204" s="216"/>
      <c r="AJ204" s="216"/>
      <c r="AK204" s="239"/>
      <c r="AL204" s="216"/>
      <c r="AM204" s="216"/>
      <c r="AN204" s="216"/>
      <c r="AO204" s="216"/>
      <c r="AP204" s="216"/>
      <c r="AQ204" s="216"/>
      <c r="AR204" s="216"/>
      <c r="AS204" s="216"/>
      <c r="AT204" s="216"/>
      <c r="AU204" s="216"/>
      <c r="AV204" s="217"/>
      <c r="AW204" s="355"/>
      <c r="AX204" s="217"/>
      <c r="AY204" s="1559"/>
      <c r="AZ204" s="249"/>
      <c r="BA204" s="221"/>
      <c r="BB204" s="300"/>
      <c r="BC204" s="217"/>
      <c r="BD204" s="392"/>
      <c r="BE204" s="1244"/>
      <c r="BF204" s="249"/>
      <c r="BG204" s="252"/>
      <c r="BH204" s="1469"/>
      <c r="BI204" s="216"/>
      <c r="BJ204" s="1469"/>
      <c r="BK204" s="1459"/>
      <c r="BL204" s="260"/>
      <c r="BM204" s="214"/>
      <c r="BN204" s="293"/>
      <c r="BO204" s="217"/>
      <c r="BP204" s="355"/>
      <c r="BQ204" s="217"/>
      <c r="BR204" s="1193"/>
      <c r="BS204" s="249"/>
      <c r="BT204" s="216"/>
      <c r="BU204" s="1195"/>
      <c r="BV204" s="249"/>
      <c r="BW204" s="216"/>
      <c r="BX204" s="1195"/>
      <c r="BY204" s="249"/>
      <c r="BZ204" s="216"/>
      <c r="CA204" s="1195"/>
      <c r="CB204" s="249"/>
      <c r="CC204" s="216"/>
      <c r="CD204" s="1195"/>
      <c r="CE204" s="249"/>
      <c r="CF204" s="216"/>
      <c r="CG204" s="1195"/>
      <c r="CH204" s="249"/>
      <c r="CI204" s="216"/>
      <c r="CJ204" s="1195"/>
      <c r="CK204" s="249"/>
      <c r="CL204" s="216"/>
      <c r="CM204" s="1194"/>
      <c r="CN204" s="1524"/>
      <c r="CO204" s="217"/>
      <c r="CP204" s="1193"/>
      <c r="CQ204" s="293"/>
      <c r="CR204" s="217"/>
      <c r="CS204" s="305"/>
      <c r="CT204" s="249"/>
      <c r="CU204" s="216"/>
      <c r="CV204" s="1193"/>
      <c r="CW204" s="249"/>
      <c r="CX204" s="216"/>
      <c r="CY204" s="305"/>
      <c r="CZ204" s="249"/>
      <c r="DA204" s="216"/>
      <c r="DB204" s="307"/>
      <c r="DC204" s="328"/>
      <c r="DD204" s="322"/>
      <c r="DE204" s="305"/>
      <c r="DF204" s="249"/>
      <c r="DG204" s="216"/>
      <c r="DH204" s="305"/>
      <c r="DI204" s="249"/>
      <c r="DJ204" s="216"/>
      <c r="DK204" s="309"/>
      <c r="DL204" s="293"/>
      <c r="DM204" s="326"/>
      <c r="DN204" s="1256"/>
      <c r="DO204" s="214"/>
      <c r="DP204" s="1257"/>
      <c r="DQ204" s="1258"/>
      <c r="DR204" s="305"/>
      <c r="DS204" s="249"/>
      <c r="DT204" s="216"/>
      <c r="DU204" s="305"/>
      <c r="DV204" s="2520"/>
      <c r="DW204" s="2521"/>
      <c r="DX204" s="305"/>
      <c r="DY204" s="249"/>
      <c r="DZ204" s="221"/>
      <c r="EA204" s="388"/>
      <c r="EB204" s="249"/>
      <c r="EC204" s="216"/>
      <c r="ED204" s="1461"/>
      <c r="EE204" s="249"/>
      <c r="EF204" s="216"/>
      <c r="EG204" s="355"/>
      <c r="EH204" s="1425"/>
      <c r="EI204" s="1470"/>
      <c r="EJ204" s="249"/>
      <c r="EK204" s="221"/>
      <c r="EL204" s="313"/>
      <c r="EM204" s="249"/>
      <c r="EN204" s="221"/>
      <c r="EO204" s="313"/>
      <c r="EP204" s="249"/>
      <c r="EQ204" s="216"/>
      <c r="ER204" s="313"/>
      <c r="ES204" s="249"/>
      <c r="ET204" s="216"/>
      <c r="EU204" s="313"/>
      <c r="EV204" s="249"/>
      <c r="EW204" s="216"/>
      <c r="EX204" s="2505"/>
      <c r="EY204" s="249"/>
      <c r="EZ204" s="221"/>
      <c r="FA204" s="313"/>
      <c r="FB204" s="249"/>
      <c r="FC204" s="221"/>
      <c r="FD204" s="313"/>
      <c r="FE204" s="249"/>
      <c r="FF204" s="221"/>
      <c r="FG204" s="313"/>
      <c r="FH204" s="249"/>
      <c r="FI204" s="216"/>
      <c r="FJ204" s="1435"/>
      <c r="FK204" s="216"/>
      <c r="FL204" s="1268"/>
      <c r="FM204" s="1655"/>
      <c r="FN204" s="1268"/>
      <c r="FO204" s="1655"/>
      <c r="FP204" s="1268"/>
      <c r="FQ204" s="1656"/>
      <c r="FR204" s="249"/>
      <c r="FS204" s="216"/>
      <c r="FT204" s="1657"/>
      <c r="FU204" s="1658"/>
      <c r="FV204" s="242"/>
      <c r="FW204" s="343"/>
      <c r="FX204" s="222"/>
      <c r="FY204" s="336"/>
      <c r="FZ204" s="223"/>
      <c r="GA204" s="338"/>
      <c r="GB204" s="204"/>
      <c r="GC204" s="339"/>
      <c r="GD204" s="342"/>
      <c r="GE204" s="199"/>
      <c r="GF204" s="199"/>
      <c r="GG204" s="199"/>
      <c r="GH204" s="199"/>
      <c r="GI204" s="199"/>
      <c r="GJ204" s="199"/>
      <c r="GK204" s="199"/>
      <c r="GL204" s="49"/>
      <c r="GM204" s="28"/>
      <c r="GN204" s="28"/>
      <c r="GO204" s="322"/>
      <c r="GP204" s="1190"/>
      <c r="GQ204" s="1190"/>
      <c r="GR204" s="49"/>
      <c r="GS204" s="2879"/>
      <c r="GT204" s="2880"/>
      <c r="GU204" s="2881"/>
      <c r="GV204" s="49"/>
      <c r="GW204" s="49"/>
      <c r="GX204" s="49"/>
      <c r="GY204" s="49"/>
      <c r="GZ204" s="49"/>
      <c r="HA204" s="49"/>
      <c r="HB204" s="49"/>
      <c r="HC204" s="49"/>
      <c r="HD204" s="49"/>
      <c r="HE204" s="49"/>
      <c r="HF204" s="49"/>
      <c r="HG204" s="49"/>
      <c r="HH204" s="49"/>
      <c r="HI204" s="49"/>
      <c r="HJ204" s="49"/>
      <c r="HK204" s="49"/>
      <c r="HL204" s="49"/>
      <c r="HM204" s="49"/>
      <c r="HN204" s="49"/>
      <c r="HO204" s="49"/>
      <c r="HP204" s="49"/>
      <c r="HQ204" s="49"/>
      <c r="HR204" s="49"/>
      <c r="HS204" s="49"/>
      <c r="HT204" s="49"/>
      <c r="HU204" s="49"/>
      <c r="HV204" s="49"/>
      <c r="HW204" s="49"/>
      <c r="HX204" s="49"/>
      <c r="HY204" s="49"/>
      <c r="HZ204" s="49"/>
      <c r="IA204" s="49"/>
      <c r="IB204" s="49"/>
      <c r="IC204" s="49"/>
      <c r="ID204" s="49"/>
      <c r="IE204" s="49"/>
      <c r="IF204" s="49"/>
      <c r="IG204" s="49"/>
      <c r="IH204" s="49"/>
      <c r="II204" s="49"/>
      <c r="IJ204" s="49"/>
      <c r="IK204" s="49"/>
      <c r="IL204" s="49"/>
      <c r="IM204" s="49"/>
      <c r="IN204" s="49"/>
      <c r="IO204" s="49"/>
      <c r="IP204" s="49"/>
      <c r="IQ204" s="49"/>
      <c r="IR204" s="49"/>
      <c r="IS204" s="49"/>
      <c r="IT204" s="49"/>
      <c r="IU204" s="49"/>
      <c r="IV204" s="49"/>
    </row>
    <row r="205" spans="1:256" s="198" customFormat="1" ht="12" customHeight="1">
      <c r="A205" s="1252"/>
      <c r="B205" s="200"/>
      <c r="C205" s="486"/>
      <c r="D205" s="201"/>
      <c r="E205" s="202"/>
      <c r="F205" s="203"/>
      <c r="G205" s="197"/>
      <c r="H205" s="197"/>
      <c r="I205" s="197"/>
      <c r="J205" s="197"/>
      <c r="K205" s="175"/>
      <c r="L205" s="197"/>
      <c r="M205" s="197"/>
      <c r="N205" s="197"/>
      <c r="O205" s="197"/>
      <c r="P205" s="197"/>
      <c r="Q205" s="1198"/>
      <c r="R205" s="202"/>
      <c r="S205" s="202"/>
      <c r="T205" s="1186"/>
      <c r="U205" s="233"/>
      <c r="V205" s="49"/>
      <c r="W205" s="218"/>
      <c r="X205" s="218"/>
      <c r="Y205" s="216"/>
      <c r="Z205" s="216"/>
      <c r="AA205" s="215"/>
      <c r="AB205" s="216"/>
      <c r="AC205" s="216"/>
      <c r="AD205" s="239"/>
      <c r="AE205" s="216"/>
      <c r="AF205" s="216"/>
      <c r="AG205" s="216"/>
      <c r="AH205" s="216"/>
      <c r="AI205" s="216"/>
      <c r="AJ205" s="216"/>
      <c r="AK205" s="239"/>
      <c r="AL205" s="216"/>
      <c r="AM205" s="216"/>
      <c r="AN205" s="216"/>
      <c r="AO205" s="216"/>
      <c r="AP205" s="216"/>
      <c r="AQ205" s="216"/>
      <c r="AR205" s="216"/>
      <c r="AS205" s="216"/>
      <c r="AT205" s="216"/>
      <c r="AU205" s="216"/>
      <c r="AV205" s="217"/>
      <c r="AW205" s="355"/>
      <c r="AX205" s="217"/>
      <c r="AY205" s="1559"/>
      <c r="AZ205" s="249"/>
      <c r="BA205" s="221"/>
      <c r="BB205" s="300"/>
      <c r="BC205" s="217"/>
      <c r="BD205" s="392"/>
      <c r="BE205" s="1244"/>
      <c r="BF205" s="249"/>
      <c r="BG205" s="252"/>
      <c r="BH205" s="1469"/>
      <c r="BI205" s="216"/>
      <c r="BJ205" s="1469"/>
      <c r="BK205" s="1459"/>
      <c r="BL205" s="260"/>
      <c r="BM205" s="214"/>
      <c r="BN205" s="293"/>
      <c r="BO205" s="217"/>
      <c r="BP205" s="355"/>
      <c r="BQ205" s="217"/>
      <c r="BR205" s="1193"/>
      <c r="BS205" s="249"/>
      <c r="BT205" s="216"/>
      <c r="BU205" s="1195"/>
      <c r="BV205" s="249"/>
      <c r="BW205" s="216"/>
      <c r="BX205" s="1195"/>
      <c r="BY205" s="249"/>
      <c r="BZ205" s="216"/>
      <c r="CA205" s="1195"/>
      <c r="CB205" s="249"/>
      <c r="CC205" s="216"/>
      <c r="CD205" s="1195"/>
      <c r="CE205" s="249"/>
      <c r="CF205" s="216"/>
      <c r="CG205" s="1195"/>
      <c r="CH205" s="249"/>
      <c r="CI205" s="216"/>
      <c r="CJ205" s="1195"/>
      <c r="CK205" s="249"/>
      <c r="CL205" s="216"/>
      <c r="CM205" s="1194"/>
      <c r="CN205" s="1524"/>
      <c r="CO205" s="217"/>
      <c r="CP205" s="1193"/>
      <c r="CQ205" s="293"/>
      <c r="CR205" s="217"/>
      <c r="CS205" s="305"/>
      <c r="CT205" s="249"/>
      <c r="CU205" s="216"/>
      <c r="CV205" s="1193"/>
      <c r="CW205" s="249"/>
      <c r="CX205" s="216"/>
      <c r="CY205" s="305"/>
      <c r="CZ205" s="249"/>
      <c r="DA205" s="216"/>
      <c r="DB205" s="307"/>
      <c r="DC205" s="328"/>
      <c r="DD205" s="322"/>
      <c r="DE205" s="305"/>
      <c r="DF205" s="249"/>
      <c r="DG205" s="216"/>
      <c r="DH205" s="305"/>
      <c r="DI205" s="249"/>
      <c r="DJ205" s="216"/>
      <c r="DK205" s="309"/>
      <c r="DL205" s="293"/>
      <c r="DM205" s="326"/>
      <c r="DN205" s="1256"/>
      <c r="DO205" s="214"/>
      <c r="DP205" s="1257"/>
      <c r="DQ205" s="1258"/>
      <c r="DR205" s="305"/>
      <c r="DS205" s="249"/>
      <c r="DT205" s="216"/>
      <c r="DU205" s="305"/>
      <c r="DV205" s="2520"/>
      <c r="DW205" s="2521"/>
      <c r="DX205" s="305"/>
      <c r="DY205" s="249"/>
      <c r="DZ205" s="221"/>
      <c r="EA205" s="388"/>
      <c r="EB205" s="249"/>
      <c r="EC205" s="216"/>
      <c r="ED205" s="1461"/>
      <c r="EE205" s="249"/>
      <c r="EF205" s="216"/>
      <c r="EG205" s="355"/>
      <c r="EH205" s="1425"/>
      <c r="EI205" s="1470"/>
      <c r="EJ205" s="249"/>
      <c r="EK205" s="221"/>
      <c r="EL205" s="313"/>
      <c r="EM205" s="249"/>
      <c r="EN205" s="221"/>
      <c r="EO205" s="313"/>
      <c r="EP205" s="249"/>
      <c r="EQ205" s="216"/>
      <c r="ER205" s="313"/>
      <c r="ES205" s="249"/>
      <c r="ET205" s="216"/>
      <c r="EU205" s="313"/>
      <c r="EV205" s="249"/>
      <c r="EW205" s="216"/>
      <c r="EX205" s="2505"/>
      <c r="EY205" s="249"/>
      <c r="EZ205" s="221"/>
      <c r="FA205" s="313"/>
      <c r="FB205" s="249"/>
      <c r="FC205" s="221"/>
      <c r="FD205" s="313"/>
      <c r="FE205" s="249"/>
      <c r="FF205" s="221"/>
      <c r="FG205" s="313"/>
      <c r="FH205" s="249"/>
      <c r="FI205" s="216"/>
      <c r="FJ205" s="1435"/>
      <c r="FK205" s="216"/>
      <c r="FL205" s="1268"/>
      <c r="FM205" s="1655"/>
      <c r="FN205" s="1268"/>
      <c r="FO205" s="1655"/>
      <c r="FP205" s="1268"/>
      <c r="FQ205" s="1656"/>
      <c r="FR205" s="249"/>
      <c r="FS205" s="216"/>
      <c r="FT205" s="1657"/>
      <c r="FU205" s="1658"/>
      <c r="FV205" s="242"/>
      <c r="FW205" s="343"/>
      <c r="FX205" s="222"/>
      <c r="FY205" s="336"/>
      <c r="FZ205" s="223"/>
      <c r="GA205" s="338"/>
      <c r="GB205" s="204"/>
      <c r="GC205" s="339"/>
      <c r="GD205" s="342"/>
      <c r="GE205" s="199"/>
      <c r="GF205" s="199"/>
      <c r="GG205" s="199"/>
      <c r="GH205" s="199"/>
      <c r="GI205" s="199"/>
      <c r="GJ205" s="199"/>
      <c r="GK205" s="199"/>
      <c r="GL205" s="49"/>
      <c r="GM205" s="28"/>
      <c r="GN205" s="28"/>
      <c r="GO205" s="322"/>
      <c r="GP205" s="1190"/>
      <c r="GQ205" s="1190"/>
      <c r="GR205" s="49"/>
      <c r="GS205" s="2879"/>
      <c r="GT205" s="2880"/>
      <c r="GU205" s="2881"/>
      <c r="GV205" s="49"/>
      <c r="GW205" s="49"/>
      <c r="GX205" s="49"/>
      <c r="GY205" s="49"/>
      <c r="GZ205" s="49"/>
      <c r="HA205" s="49"/>
      <c r="HB205" s="49"/>
      <c r="HC205" s="49"/>
      <c r="HD205" s="49"/>
      <c r="HE205" s="49"/>
      <c r="HF205" s="49"/>
      <c r="HG205" s="49"/>
      <c r="HH205" s="49"/>
      <c r="HI205" s="49"/>
      <c r="HJ205" s="49"/>
      <c r="HK205" s="49"/>
      <c r="HL205" s="49"/>
      <c r="HM205" s="49"/>
      <c r="HN205" s="49"/>
      <c r="HO205" s="49"/>
      <c r="HP205" s="49"/>
      <c r="HQ205" s="49"/>
      <c r="HR205" s="49"/>
      <c r="HS205" s="49"/>
      <c r="HT205" s="49"/>
      <c r="HU205" s="49"/>
      <c r="HV205" s="49"/>
      <c r="HW205" s="49"/>
      <c r="HX205" s="49"/>
      <c r="HY205" s="49"/>
      <c r="HZ205" s="49"/>
      <c r="IA205" s="49"/>
      <c r="IB205" s="49"/>
      <c r="IC205" s="49"/>
      <c r="ID205" s="49"/>
      <c r="IE205" s="49"/>
      <c r="IF205" s="49"/>
      <c r="IG205" s="49"/>
      <c r="IH205" s="49"/>
      <c r="II205" s="49"/>
      <c r="IJ205" s="49"/>
      <c r="IK205" s="49"/>
      <c r="IL205" s="49"/>
      <c r="IM205" s="49"/>
      <c r="IN205" s="49"/>
      <c r="IO205" s="49"/>
      <c r="IP205" s="49"/>
      <c r="IQ205" s="49"/>
      <c r="IR205" s="49"/>
      <c r="IS205" s="49"/>
      <c r="IT205" s="49"/>
      <c r="IU205" s="49"/>
      <c r="IV205" s="49"/>
    </row>
    <row r="206" spans="1:256" s="198" customFormat="1" ht="12" customHeight="1">
      <c r="A206" s="1252"/>
      <c r="B206" s="200"/>
      <c r="C206" s="486"/>
      <c r="D206" s="201"/>
      <c r="E206" s="202"/>
      <c r="F206" s="203"/>
      <c r="G206" s="197"/>
      <c r="H206" s="197"/>
      <c r="I206" s="197"/>
      <c r="J206" s="197"/>
      <c r="K206" s="175"/>
      <c r="L206" s="197"/>
      <c r="M206" s="197"/>
      <c r="N206" s="197"/>
      <c r="O206" s="197"/>
      <c r="P206" s="197"/>
      <c r="Q206" s="1198"/>
      <c r="R206" s="202"/>
      <c r="S206" s="202"/>
      <c r="T206" s="1186"/>
      <c r="U206" s="233"/>
      <c r="V206" s="49"/>
      <c r="W206" s="218"/>
      <c r="X206" s="218"/>
      <c r="Y206" s="216"/>
      <c r="Z206" s="216"/>
      <c r="AA206" s="215"/>
      <c r="AB206" s="216"/>
      <c r="AC206" s="216"/>
      <c r="AD206" s="239"/>
      <c r="AE206" s="216"/>
      <c r="AF206" s="216"/>
      <c r="AG206" s="216"/>
      <c r="AH206" s="216"/>
      <c r="AI206" s="216"/>
      <c r="AJ206" s="216"/>
      <c r="AK206" s="239"/>
      <c r="AL206" s="216"/>
      <c r="AM206" s="216"/>
      <c r="AN206" s="216"/>
      <c r="AO206" s="216"/>
      <c r="AP206" s="216"/>
      <c r="AQ206" s="216"/>
      <c r="AR206" s="216"/>
      <c r="AS206" s="216"/>
      <c r="AT206" s="216"/>
      <c r="AU206" s="216"/>
      <c r="AV206" s="217"/>
      <c r="AW206" s="355"/>
      <c r="AX206" s="217"/>
      <c r="AY206" s="1559"/>
      <c r="AZ206" s="249"/>
      <c r="BA206" s="221"/>
      <c r="BB206" s="300"/>
      <c r="BC206" s="217"/>
      <c r="BD206" s="392"/>
      <c r="BE206" s="1244"/>
      <c r="BF206" s="249"/>
      <c r="BG206" s="252"/>
      <c r="BH206" s="1469"/>
      <c r="BI206" s="216"/>
      <c r="BJ206" s="1469"/>
      <c r="BK206" s="1459"/>
      <c r="BL206" s="260"/>
      <c r="BM206" s="214"/>
      <c r="BN206" s="293"/>
      <c r="BO206" s="217"/>
      <c r="BP206" s="355"/>
      <c r="BQ206" s="217"/>
      <c r="BR206" s="1193"/>
      <c r="BS206" s="249"/>
      <c r="BT206" s="216"/>
      <c r="BU206" s="1195"/>
      <c r="BV206" s="249"/>
      <c r="BW206" s="216"/>
      <c r="BX206" s="1195"/>
      <c r="BY206" s="249"/>
      <c r="BZ206" s="216"/>
      <c r="CA206" s="1195"/>
      <c r="CB206" s="249"/>
      <c r="CC206" s="216"/>
      <c r="CD206" s="1195"/>
      <c r="CE206" s="249"/>
      <c r="CF206" s="216"/>
      <c r="CG206" s="1195"/>
      <c r="CH206" s="249"/>
      <c r="CI206" s="216"/>
      <c r="CJ206" s="1195"/>
      <c r="CK206" s="249"/>
      <c r="CL206" s="216"/>
      <c r="CM206" s="1194"/>
      <c r="CN206" s="1524"/>
      <c r="CO206" s="217"/>
      <c r="CP206" s="1193"/>
      <c r="CQ206" s="293"/>
      <c r="CR206" s="217"/>
      <c r="CS206" s="305"/>
      <c r="CT206" s="249"/>
      <c r="CU206" s="216"/>
      <c r="CV206" s="1193"/>
      <c r="CW206" s="249"/>
      <c r="CX206" s="216"/>
      <c r="CY206" s="305"/>
      <c r="CZ206" s="249"/>
      <c r="DA206" s="216"/>
      <c r="DB206" s="307"/>
      <c r="DC206" s="328"/>
      <c r="DD206" s="322"/>
      <c r="DE206" s="305"/>
      <c r="DF206" s="249"/>
      <c r="DG206" s="216"/>
      <c r="DH206" s="305"/>
      <c r="DI206" s="249"/>
      <c r="DJ206" s="216"/>
      <c r="DK206" s="309"/>
      <c r="DL206" s="293"/>
      <c r="DM206" s="326"/>
      <c r="DN206" s="1256"/>
      <c r="DO206" s="214"/>
      <c r="DP206" s="1257"/>
      <c r="DQ206" s="1258"/>
      <c r="DR206" s="305"/>
      <c r="DS206" s="249"/>
      <c r="DT206" s="216"/>
      <c r="DU206" s="305"/>
      <c r="DV206" s="2520"/>
      <c r="DW206" s="2521"/>
      <c r="DX206" s="305"/>
      <c r="DY206" s="249"/>
      <c r="DZ206" s="221"/>
      <c r="EA206" s="388"/>
      <c r="EB206" s="249"/>
      <c r="EC206" s="216"/>
      <c r="ED206" s="1461"/>
      <c r="EE206" s="249"/>
      <c r="EF206" s="216"/>
      <c r="EG206" s="355"/>
      <c r="EH206" s="1425"/>
      <c r="EI206" s="1470"/>
      <c r="EJ206" s="249"/>
      <c r="EK206" s="221"/>
      <c r="EL206" s="313"/>
      <c r="EM206" s="249"/>
      <c r="EN206" s="221"/>
      <c r="EO206" s="313"/>
      <c r="EP206" s="249"/>
      <c r="EQ206" s="216"/>
      <c r="ER206" s="313"/>
      <c r="ES206" s="249"/>
      <c r="ET206" s="216"/>
      <c r="EU206" s="313"/>
      <c r="EV206" s="249"/>
      <c r="EW206" s="216"/>
      <c r="EX206" s="2505"/>
      <c r="EY206" s="249"/>
      <c r="EZ206" s="221"/>
      <c r="FA206" s="313"/>
      <c r="FB206" s="249"/>
      <c r="FC206" s="221"/>
      <c r="FD206" s="313"/>
      <c r="FE206" s="249"/>
      <c r="FF206" s="221"/>
      <c r="FG206" s="313"/>
      <c r="FH206" s="249"/>
      <c r="FI206" s="216"/>
      <c r="FJ206" s="1435"/>
      <c r="FK206" s="216"/>
      <c r="FL206" s="1268"/>
      <c r="FM206" s="1655"/>
      <c r="FN206" s="1268"/>
      <c r="FO206" s="1655"/>
      <c r="FP206" s="1268"/>
      <c r="FQ206" s="1656"/>
      <c r="FR206" s="249"/>
      <c r="FS206" s="216"/>
      <c r="FT206" s="1657"/>
      <c r="FU206" s="1658"/>
      <c r="FV206" s="242"/>
      <c r="FW206" s="343"/>
      <c r="FX206" s="222"/>
      <c r="FY206" s="336"/>
      <c r="FZ206" s="223"/>
      <c r="GA206" s="338"/>
      <c r="GB206" s="204"/>
      <c r="GC206" s="339"/>
      <c r="GD206" s="342"/>
      <c r="GE206" s="199"/>
      <c r="GF206" s="199"/>
      <c r="GG206" s="199"/>
      <c r="GH206" s="199"/>
      <c r="GI206" s="199"/>
      <c r="GJ206" s="199"/>
      <c r="GK206" s="199"/>
      <c r="GL206" s="49"/>
      <c r="GM206" s="28"/>
      <c r="GN206" s="28"/>
      <c r="GO206" s="322"/>
      <c r="GP206" s="1190"/>
      <c r="GQ206" s="1190"/>
      <c r="GR206" s="49"/>
      <c r="GS206" s="2879"/>
      <c r="GT206" s="2880"/>
      <c r="GU206" s="2881"/>
      <c r="GV206" s="49"/>
      <c r="GW206" s="49"/>
      <c r="GX206" s="49"/>
      <c r="GY206" s="49"/>
      <c r="GZ206" s="49"/>
      <c r="HA206" s="49"/>
      <c r="HB206" s="49"/>
      <c r="HC206" s="49"/>
      <c r="HD206" s="49"/>
      <c r="HE206" s="49"/>
      <c r="HF206" s="49"/>
      <c r="HG206" s="49"/>
      <c r="HH206" s="49"/>
      <c r="HI206" s="49"/>
      <c r="HJ206" s="49"/>
      <c r="HK206" s="49"/>
      <c r="HL206" s="49"/>
      <c r="HM206" s="49"/>
      <c r="HN206" s="49"/>
      <c r="HO206" s="49"/>
      <c r="HP206" s="49"/>
      <c r="HQ206" s="49"/>
      <c r="HR206" s="49"/>
      <c r="HS206" s="49"/>
      <c r="HT206" s="49"/>
      <c r="HU206" s="49"/>
      <c r="HV206" s="49"/>
      <c r="HW206" s="49"/>
      <c r="HX206" s="49"/>
      <c r="HY206" s="49"/>
      <c r="HZ206" s="49"/>
      <c r="IA206" s="49"/>
      <c r="IB206" s="49"/>
      <c r="IC206" s="49"/>
      <c r="ID206" s="49"/>
      <c r="IE206" s="49"/>
      <c r="IF206" s="49"/>
      <c r="IG206" s="49"/>
      <c r="IH206" s="49"/>
      <c r="II206" s="49"/>
      <c r="IJ206" s="49"/>
      <c r="IK206" s="49"/>
      <c r="IL206" s="49"/>
      <c r="IM206" s="49"/>
      <c r="IN206" s="49"/>
      <c r="IO206" s="49"/>
      <c r="IP206" s="49"/>
      <c r="IQ206" s="49"/>
      <c r="IR206" s="49"/>
      <c r="IS206" s="49"/>
      <c r="IT206" s="49"/>
      <c r="IU206" s="49"/>
      <c r="IV206" s="49"/>
    </row>
    <row r="207" spans="1:256" s="198" customFormat="1" ht="12" customHeight="1">
      <c r="A207" s="1252"/>
      <c r="B207" s="200"/>
      <c r="C207" s="486"/>
      <c r="D207" s="201"/>
      <c r="E207" s="202"/>
      <c r="F207" s="203"/>
      <c r="G207" s="197"/>
      <c r="H207" s="197"/>
      <c r="I207" s="197"/>
      <c r="J207" s="197"/>
      <c r="K207" s="175"/>
      <c r="L207" s="197"/>
      <c r="M207" s="197"/>
      <c r="N207" s="197"/>
      <c r="O207" s="197"/>
      <c r="P207" s="197"/>
      <c r="Q207" s="1198"/>
      <c r="R207" s="202"/>
      <c r="S207" s="202"/>
      <c r="T207" s="1186"/>
      <c r="U207" s="233"/>
      <c r="V207" s="49"/>
      <c r="W207" s="218"/>
      <c r="X207" s="218"/>
      <c r="Y207" s="216"/>
      <c r="Z207" s="216"/>
      <c r="AA207" s="215"/>
      <c r="AB207" s="216"/>
      <c r="AC207" s="216"/>
      <c r="AD207" s="239"/>
      <c r="AE207" s="216"/>
      <c r="AF207" s="216"/>
      <c r="AG207" s="216"/>
      <c r="AH207" s="216"/>
      <c r="AI207" s="216"/>
      <c r="AJ207" s="216"/>
      <c r="AK207" s="239"/>
      <c r="AL207" s="216"/>
      <c r="AM207" s="216"/>
      <c r="AN207" s="216"/>
      <c r="AO207" s="216"/>
      <c r="AP207" s="216"/>
      <c r="AQ207" s="216"/>
      <c r="AR207" s="216"/>
      <c r="AS207" s="216"/>
      <c r="AT207" s="216"/>
      <c r="AU207" s="216"/>
      <c r="AV207" s="217"/>
      <c r="AW207" s="355"/>
      <c r="AX207" s="217"/>
      <c r="AY207" s="1559"/>
      <c r="AZ207" s="249"/>
      <c r="BA207" s="221"/>
      <c r="BB207" s="300"/>
      <c r="BC207" s="217"/>
      <c r="BD207" s="392"/>
      <c r="BE207" s="1244"/>
      <c r="BF207" s="249"/>
      <c r="BG207" s="252"/>
      <c r="BH207" s="1469"/>
      <c r="BI207" s="216"/>
      <c r="BJ207" s="1469"/>
      <c r="BK207" s="1459"/>
      <c r="BL207" s="260"/>
      <c r="BM207" s="214"/>
      <c r="BN207" s="293"/>
      <c r="BO207" s="217"/>
      <c r="BP207" s="355"/>
      <c r="BQ207" s="217"/>
      <c r="BR207" s="1193"/>
      <c r="BS207" s="249"/>
      <c r="BT207" s="216"/>
      <c r="BU207" s="1195"/>
      <c r="BV207" s="249"/>
      <c r="BW207" s="216"/>
      <c r="BX207" s="1195"/>
      <c r="BY207" s="249"/>
      <c r="BZ207" s="216"/>
      <c r="CA207" s="1195"/>
      <c r="CB207" s="249"/>
      <c r="CC207" s="216"/>
      <c r="CD207" s="1195"/>
      <c r="CE207" s="249"/>
      <c r="CF207" s="216"/>
      <c r="CG207" s="1195"/>
      <c r="CH207" s="249"/>
      <c r="CI207" s="216"/>
      <c r="CJ207" s="1195"/>
      <c r="CK207" s="249"/>
      <c r="CL207" s="216"/>
      <c r="CM207" s="1194"/>
      <c r="CN207" s="1524"/>
      <c r="CO207" s="217"/>
      <c r="CP207" s="1193"/>
      <c r="CQ207" s="293"/>
      <c r="CR207" s="217"/>
      <c r="CS207" s="305"/>
      <c r="CT207" s="249"/>
      <c r="CU207" s="216"/>
      <c r="CV207" s="1193"/>
      <c r="CW207" s="249"/>
      <c r="CX207" s="216"/>
      <c r="CY207" s="305"/>
      <c r="CZ207" s="249"/>
      <c r="DA207" s="216"/>
      <c r="DB207" s="307"/>
      <c r="DC207" s="328"/>
      <c r="DD207" s="322"/>
      <c r="DE207" s="305"/>
      <c r="DF207" s="249"/>
      <c r="DG207" s="216"/>
      <c r="DH207" s="305"/>
      <c r="DI207" s="249"/>
      <c r="DJ207" s="216"/>
      <c r="DK207" s="309"/>
      <c r="DL207" s="293"/>
      <c r="DM207" s="326"/>
      <c r="DN207" s="1256"/>
      <c r="DO207" s="214"/>
      <c r="DP207" s="1257"/>
      <c r="DQ207" s="1258"/>
      <c r="DR207" s="305"/>
      <c r="DS207" s="249"/>
      <c r="DT207" s="216"/>
      <c r="DU207" s="305"/>
      <c r="DV207" s="2520"/>
      <c r="DW207" s="2521"/>
      <c r="DX207" s="305"/>
      <c r="DY207" s="249"/>
      <c r="DZ207" s="221"/>
      <c r="EA207" s="388"/>
      <c r="EB207" s="249"/>
      <c r="EC207" s="216"/>
      <c r="ED207" s="1461"/>
      <c r="EE207" s="249"/>
      <c r="EF207" s="216"/>
      <c r="EG207" s="355"/>
      <c r="EH207" s="1425"/>
      <c r="EI207" s="1470"/>
      <c r="EJ207" s="249"/>
      <c r="EK207" s="221"/>
      <c r="EL207" s="313"/>
      <c r="EM207" s="249"/>
      <c r="EN207" s="221"/>
      <c r="EO207" s="313"/>
      <c r="EP207" s="249"/>
      <c r="EQ207" s="216"/>
      <c r="ER207" s="313"/>
      <c r="ES207" s="249"/>
      <c r="ET207" s="216"/>
      <c r="EU207" s="313"/>
      <c r="EV207" s="249"/>
      <c r="EW207" s="216"/>
      <c r="EX207" s="2505"/>
      <c r="EY207" s="249"/>
      <c r="EZ207" s="221"/>
      <c r="FA207" s="313"/>
      <c r="FB207" s="249"/>
      <c r="FC207" s="221"/>
      <c r="FD207" s="313"/>
      <c r="FE207" s="249"/>
      <c r="FF207" s="221"/>
      <c r="FG207" s="313"/>
      <c r="FH207" s="249"/>
      <c r="FI207" s="216"/>
      <c r="FJ207" s="1435"/>
      <c r="FK207" s="216"/>
      <c r="FL207" s="1268"/>
      <c r="FM207" s="1655"/>
      <c r="FN207" s="1268"/>
      <c r="FO207" s="1655"/>
      <c r="FP207" s="1268"/>
      <c r="FQ207" s="1656"/>
      <c r="FR207" s="249"/>
      <c r="FS207" s="216"/>
      <c r="FT207" s="1657"/>
      <c r="FU207" s="1658"/>
      <c r="FV207" s="242"/>
      <c r="FW207" s="343"/>
      <c r="FX207" s="222"/>
      <c r="FY207" s="336"/>
      <c r="FZ207" s="223"/>
      <c r="GA207" s="338"/>
      <c r="GB207" s="204"/>
      <c r="GC207" s="339"/>
      <c r="GD207" s="342"/>
      <c r="GE207" s="199"/>
      <c r="GF207" s="199"/>
      <c r="GG207" s="199"/>
      <c r="GH207" s="199"/>
      <c r="GI207" s="199"/>
      <c r="GJ207" s="199"/>
      <c r="GK207" s="199"/>
      <c r="GL207" s="49"/>
      <c r="GM207" s="28"/>
      <c r="GN207" s="28"/>
      <c r="GO207" s="322"/>
      <c r="GP207" s="1190"/>
      <c r="GQ207" s="1190"/>
      <c r="GR207" s="49"/>
      <c r="GS207" s="2879"/>
      <c r="GT207" s="2880"/>
      <c r="GU207" s="2881"/>
      <c r="GV207" s="49"/>
      <c r="GW207" s="49"/>
      <c r="GX207" s="49"/>
      <c r="GY207" s="49"/>
      <c r="GZ207" s="49"/>
      <c r="HA207" s="49"/>
      <c r="HB207" s="49"/>
      <c r="HC207" s="49"/>
      <c r="HD207" s="49"/>
      <c r="HE207" s="49"/>
      <c r="HF207" s="49"/>
      <c r="HG207" s="49"/>
      <c r="HH207" s="49"/>
      <c r="HI207" s="49"/>
      <c r="HJ207" s="49"/>
      <c r="HK207" s="49"/>
      <c r="HL207" s="49"/>
      <c r="HM207" s="49"/>
      <c r="HN207" s="49"/>
      <c r="HO207" s="49"/>
      <c r="HP207" s="49"/>
      <c r="HQ207" s="49"/>
      <c r="HR207" s="49"/>
      <c r="HS207" s="49"/>
      <c r="HT207" s="49"/>
      <c r="HU207" s="49"/>
      <c r="HV207" s="49"/>
      <c r="HW207" s="49"/>
      <c r="HX207" s="49"/>
      <c r="HY207" s="49"/>
      <c r="HZ207" s="49"/>
      <c r="IA207" s="49"/>
      <c r="IB207" s="49"/>
      <c r="IC207" s="49"/>
      <c r="ID207" s="49"/>
      <c r="IE207" s="49"/>
      <c r="IF207" s="49"/>
      <c r="IG207" s="49"/>
      <c r="IH207" s="49"/>
      <c r="II207" s="49"/>
      <c r="IJ207" s="49"/>
      <c r="IK207" s="49"/>
      <c r="IL207" s="49"/>
      <c r="IM207" s="49"/>
      <c r="IN207" s="49"/>
      <c r="IO207" s="49"/>
      <c r="IP207" s="49"/>
      <c r="IQ207" s="49"/>
      <c r="IR207" s="49"/>
      <c r="IS207" s="49"/>
      <c r="IT207" s="49"/>
      <c r="IU207" s="49"/>
      <c r="IV207" s="49"/>
    </row>
    <row r="208" spans="1:256" s="198" customFormat="1" ht="12" customHeight="1">
      <c r="A208" s="1252"/>
      <c r="B208" s="200"/>
      <c r="C208" s="486"/>
      <c r="D208" s="201"/>
      <c r="E208" s="202"/>
      <c r="F208" s="203"/>
      <c r="G208" s="197"/>
      <c r="H208" s="197"/>
      <c r="I208" s="197"/>
      <c r="J208" s="197"/>
      <c r="K208" s="175"/>
      <c r="L208" s="197"/>
      <c r="M208" s="197"/>
      <c r="N208" s="197"/>
      <c r="O208" s="197"/>
      <c r="P208" s="197"/>
      <c r="Q208" s="1198"/>
      <c r="R208" s="202"/>
      <c r="S208" s="202"/>
      <c r="T208" s="1186"/>
      <c r="U208" s="233"/>
      <c r="V208" s="49"/>
      <c r="W208" s="218"/>
      <c r="X208" s="218"/>
      <c r="Y208" s="216"/>
      <c r="Z208" s="216"/>
      <c r="AA208" s="215"/>
      <c r="AB208" s="216"/>
      <c r="AC208" s="216"/>
      <c r="AD208" s="239"/>
      <c r="AE208" s="216"/>
      <c r="AF208" s="216"/>
      <c r="AG208" s="216"/>
      <c r="AH208" s="216"/>
      <c r="AI208" s="216"/>
      <c r="AJ208" s="216"/>
      <c r="AK208" s="239"/>
      <c r="AL208" s="216"/>
      <c r="AM208" s="216"/>
      <c r="AN208" s="216"/>
      <c r="AO208" s="216"/>
      <c r="AP208" s="216"/>
      <c r="AQ208" s="216"/>
      <c r="AR208" s="216"/>
      <c r="AS208" s="216"/>
      <c r="AT208" s="216"/>
      <c r="AU208" s="216"/>
      <c r="AV208" s="217"/>
      <c r="AW208" s="355"/>
      <c r="AX208" s="217"/>
      <c r="AY208" s="1559"/>
      <c r="AZ208" s="249"/>
      <c r="BA208" s="221"/>
      <c r="BB208" s="300"/>
      <c r="BC208" s="217"/>
      <c r="BD208" s="392"/>
      <c r="BE208" s="1244"/>
      <c r="BF208" s="249"/>
      <c r="BG208" s="252"/>
      <c r="BH208" s="1469"/>
      <c r="BI208" s="216"/>
      <c r="BJ208" s="1469"/>
      <c r="BK208" s="1459"/>
      <c r="BL208" s="260"/>
      <c r="BM208" s="214"/>
      <c r="BN208" s="293"/>
      <c r="BO208" s="217"/>
      <c r="BP208" s="355"/>
      <c r="BQ208" s="217"/>
      <c r="BR208" s="1193"/>
      <c r="BS208" s="249"/>
      <c r="BT208" s="216"/>
      <c r="BU208" s="1195"/>
      <c r="BV208" s="249"/>
      <c r="BW208" s="216"/>
      <c r="BX208" s="1195"/>
      <c r="BY208" s="249"/>
      <c r="BZ208" s="216"/>
      <c r="CA208" s="1195"/>
      <c r="CB208" s="249"/>
      <c r="CC208" s="216"/>
      <c r="CD208" s="1195"/>
      <c r="CE208" s="249"/>
      <c r="CF208" s="216"/>
      <c r="CG208" s="1195"/>
      <c r="CH208" s="249"/>
      <c r="CI208" s="216"/>
      <c r="CJ208" s="1195"/>
      <c r="CK208" s="249"/>
      <c r="CL208" s="216"/>
      <c r="CM208" s="1194"/>
      <c r="CN208" s="1524"/>
      <c r="CO208" s="217"/>
      <c r="CP208" s="1193"/>
      <c r="CQ208" s="293"/>
      <c r="CR208" s="217"/>
      <c r="CS208" s="305"/>
      <c r="CT208" s="249"/>
      <c r="CU208" s="216"/>
      <c r="CV208" s="1193"/>
      <c r="CW208" s="249"/>
      <c r="CX208" s="216"/>
      <c r="CY208" s="305"/>
      <c r="CZ208" s="249"/>
      <c r="DA208" s="216"/>
      <c r="DB208" s="307"/>
      <c r="DC208" s="328"/>
      <c r="DD208" s="322"/>
      <c r="DE208" s="305"/>
      <c r="DF208" s="249"/>
      <c r="DG208" s="216"/>
      <c r="DH208" s="305"/>
      <c r="DI208" s="249"/>
      <c r="DJ208" s="216"/>
      <c r="DK208" s="309"/>
      <c r="DL208" s="293"/>
      <c r="DM208" s="326"/>
      <c r="DN208" s="1256"/>
      <c r="DO208" s="214"/>
      <c r="DP208" s="1257"/>
      <c r="DQ208" s="1258"/>
      <c r="DR208" s="305"/>
      <c r="DS208" s="249"/>
      <c r="DT208" s="216"/>
      <c r="DU208" s="305"/>
      <c r="DV208" s="2520"/>
      <c r="DW208" s="2521"/>
      <c r="DX208" s="305"/>
      <c r="DY208" s="249"/>
      <c r="DZ208" s="221"/>
      <c r="EA208" s="388"/>
      <c r="EB208" s="249"/>
      <c r="EC208" s="216"/>
      <c r="ED208" s="1461"/>
      <c r="EE208" s="249"/>
      <c r="EF208" s="216"/>
      <c r="EG208" s="355"/>
      <c r="EH208" s="1425"/>
      <c r="EI208" s="1470"/>
      <c r="EJ208" s="249"/>
      <c r="EK208" s="221"/>
      <c r="EL208" s="313"/>
      <c r="EM208" s="249"/>
      <c r="EN208" s="221"/>
      <c r="EO208" s="313"/>
      <c r="EP208" s="249"/>
      <c r="EQ208" s="216"/>
      <c r="ER208" s="313"/>
      <c r="ES208" s="249"/>
      <c r="ET208" s="216"/>
      <c r="EU208" s="313"/>
      <c r="EV208" s="249"/>
      <c r="EW208" s="216"/>
      <c r="EX208" s="2505"/>
      <c r="EY208" s="249"/>
      <c r="EZ208" s="221"/>
      <c r="FA208" s="313"/>
      <c r="FB208" s="249"/>
      <c r="FC208" s="221"/>
      <c r="FD208" s="313"/>
      <c r="FE208" s="249"/>
      <c r="FF208" s="221"/>
      <c r="FG208" s="313"/>
      <c r="FH208" s="249"/>
      <c r="FI208" s="216"/>
      <c r="FJ208" s="1435"/>
      <c r="FK208" s="216"/>
      <c r="FL208" s="1268"/>
      <c r="FM208" s="1655"/>
      <c r="FN208" s="1268"/>
      <c r="FO208" s="1655"/>
      <c r="FP208" s="1268"/>
      <c r="FQ208" s="1656"/>
      <c r="FR208" s="249"/>
      <c r="FS208" s="216"/>
      <c r="FT208" s="1657"/>
      <c r="FU208" s="1658"/>
      <c r="FV208" s="242"/>
      <c r="FW208" s="343"/>
      <c r="FX208" s="222"/>
      <c r="FY208" s="336"/>
      <c r="FZ208" s="223"/>
      <c r="GA208" s="338"/>
      <c r="GB208" s="204"/>
      <c r="GC208" s="339"/>
      <c r="GD208" s="342"/>
      <c r="GE208" s="199"/>
      <c r="GF208" s="199"/>
      <c r="GG208" s="199"/>
      <c r="GH208" s="199"/>
      <c r="GI208" s="199"/>
      <c r="GJ208" s="199"/>
      <c r="GK208" s="199"/>
      <c r="GL208" s="49"/>
      <c r="GM208" s="28"/>
      <c r="GN208" s="28"/>
      <c r="GO208" s="322"/>
      <c r="GP208" s="1190"/>
      <c r="GQ208" s="1190"/>
      <c r="GR208" s="49"/>
      <c r="GS208" s="2879"/>
      <c r="GT208" s="2880"/>
      <c r="GU208" s="2881"/>
      <c r="GV208" s="49"/>
      <c r="GW208" s="49"/>
      <c r="GX208" s="49"/>
      <c r="GY208" s="49"/>
      <c r="GZ208" s="49"/>
      <c r="HA208" s="49"/>
      <c r="HB208" s="49"/>
      <c r="HC208" s="49"/>
      <c r="HD208" s="49"/>
      <c r="HE208" s="49"/>
      <c r="HF208" s="49"/>
      <c r="HG208" s="49"/>
      <c r="HH208" s="49"/>
      <c r="HI208" s="49"/>
      <c r="HJ208" s="49"/>
      <c r="HK208" s="49"/>
      <c r="HL208" s="49"/>
      <c r="HM208" s="49"/>
      <c r="HN208" s="49"/>
      <c r="HO208" s="49"/>
      <c r="HP208" s="49"/>
      <c r="HQ208" s="49"/>
      <c r="HR208" s="49"/>
      <c r="HS208" s="49"/>
      <c r="HT208" s="49"/>
      <c r="HU208" s="49"/>
      <c r="HV208" s="49"/>
      <c r="HW208" s="49"/>
      <c r="HX208" s="49"/>
      <c r="HY208" s="49"/>
      <c r="HZ208" s="49"/>
      <c r="IA208" s="49"/>
      <c r="IB208" s="49"/>
      <c r="IC208" s="49"/>
      <c r="ID208" s="49"/>
      <c r="IE208" s="49"/>
      <c r="IF208" s="49"/>
      <c r="IG208" s="49"/>
      <c r="IH208" s="49"/>
      <c r="II208" s="49"/>
      <c r="IJ208" s="49"/>
      <c r="IK208" s="49"/>
      <c r="IL208" s="49"/>
      <c r="IM208" s="49"/>
      <c r="IN208" s="49"/>
      <c r="IO208" s="49"/>
      <c r="IP208" s="49"/>
      <c r="IQ208" s="49"/>
      <c r="IR208" s="49"/>
      <c r="IS208" s="49"/>
      <c r="IT208" s="49"/>
      <c r="IU208" s="49"/>
      <c r="IV208" s="49"/>
    </row>
    <row r="209" spans="1:256" s="198" customFormat="1" ht="12" customHeight="1">
      <c r="A209" s="1252"/>
      <c r="B209" s="200"/>
      <c r="C209" s="486"/>
      <c r="D209" s="201"/>
      <c r="E209" s="202"/>
      <c r="F209" s="203"/>
      <c r="G209" s="197"/>
      <c r="H209" s="197"/>
      <c r="I209" s="197"/>
      <c r="J209" s="197"/>
      <c r="K209" s="175"/>
      <c r="L209" s="197"/>
      <c r="M209" s="197"/>
      <c r="N209" s="197"/>
      <c r="O209" s="197"/>
      <c r="P209" s="197"/>
      <c r="Q209" s="1198"/>
      <c r="R209" s="202"/>
      <c r="S209" s="202"/>
      <c r="T209" s="1186"/>
      <c r="U209" s="233"/>
      <c r="V209" s="49"/>
      <c r="W209" s="218"/>
      <c r="X209" s="218"/>
      <c r="Y209" s="216"/>
      <c r="Z209" s="216"/>
      <c r="AA209" s="215"/>
      <c r="AB209" s="216"/>
      <c r="AC209" s="216"/>
      <c r="AD209" s="239"/>
      <c r="AE209" s="216"/>
      <c r="AF209" s="216"/>
      <c r="AG209" s="216"/>
      <c r="AH209" s="216"/>
      <c r="AI209" s="216"/>
      <c r="AJ209" s="216"/>
      <c r="AK209" s="239"/>
      <c r="AL209" s="216"/>
      <c r="AM209" s="216"/>
      <c r="AN209" s="216"/>
      <c r="AO209" s="216"/>
      <c r="AP209" s="216"/>
      <c r="AQ209" s="216"/>
      <c r="AR209" s="216"/>
      <c r="AS209" s="216"/>
      <c r="AT209" s="216"/>
      <c r="AU209" s="216"/>
      <c r="AV209" s="217"/>
      <c r="AW209" s="355"/>
      <c r="AX209" s="217"/>
      <c r="AY209" s="1559"/>
      <c r="AZ209" s="249"/>
      <c r="BA209" s="221"/>
      <c r="BB209" s="300"/>
      <c r="BC209" s="217"/>
      <c r="BD209" s="392"/>
      <c r="BE209" s="1244"/>
      <c r="BF209" s="249"/>
      <c r="BG209" s="252"/>
      <c r="BH209" s="1469"/>
      <c r="BI209" s="216"/>
      <c r="BJ209" s="1469"/>
      <c r="BK209" s="1459"/>
      <c r="BL209" s="260"/>
      <c r="BM209" s="214"/>
      <c r="BN209" s="293"/>
      <c r="BO209" s="217"/>
      <c r="BP209" s="355"/>
      <c r="BQ209" s="217"/>
      <c r="BR209" s="1193"/>
      <c r="BS209" s="249"/>
      <c r="BT209" s="216"/>
      <c r="BU209" s="1195"/>
      <c r="BV209" s="249"/>
      <c r="BW209" s="216"/>
      <c r="BX209" s="1195"/>
      <c r="BY209" s="249"/>
      <c r="BZ209" s="216"/>
      <c r="CA209" s="1195"/>
      <c r="CB209" s="249"/>
      <c r="CC209" s="216"/>
      <c r="CD209" s="1195"/>
      <c r="CE209" s="249"/>
      <c r="CF209" s="216"/>
      <c r="CG209" s="1195"/>
      <c r="CH209" s="249"/>
      <c r="CI209" s="216"/>
      <c r="CJ209" s="1195"/>
      <c r="CK209" s="249"/>
      <c r="CL209" s="216"/>
      <c r="CM209" s="1194"/>
      <c r="CN209" s="1524"/>
      <c r="CO209" s="217"/>
      <c r="CP209" s="1193"/>
      <c r="CQ209" s="293"/>
      <c r="CR209" s="217"/>
      <c r="CS209" s="305"/>
      <c r="CT209" s="249"/>
      <c r="CU209" s="216"/>
      <c r="CV209" s="1193"/>
      <c r="CW209" s="249"/>
      <c r="CX209" s="216"/>
      <c r="CY209" s="305"/>
      <c r="CZ209" s="249"/>
      <c r="DA209" s="216"/>
      <c r="DB209" s="307"/>
      <c r="DC209" s="328"/>
      <c r="DD209" s="322"/>
      <c r="DE209" s="305"/>
      <c r="DF209" s="249"/>
      <c r="DG209" s="216"/>
      <c r="DH209" s="305"/>
      <c r="DI209" s="249"/>
      <c r="DJ209" s="216"/>
      <c r="DK209" s="309"/>
      <c r="DL209" s="293"/>
      <c r="DM209" s="326"/>
      <c r="DN209" s="1256"/>
      <c r="DO209" s="214"/>
      <c r="DP209" s="1257"/>
      <c r="DQ209" s="1258"/>
      <c r="DR209" s="305"/>
      <c r="DS209" s="249"/>
      <c r="DT209" s="216"/>
      <c r="DU209" s="305"/>
      <c r="DV209" s="2520"/>
      <c r="DW209" s="2521"/>
      <c r="DX209" s="305"/>
      <c r="DY209" s="249"/>
      <c r="DZ209" s="221"/>
      <c r="EA209" s="388"/>
      <c r="EB209" s="249"/>
      <c r="EC209" s="216"/>
      <c r="ED209" s="1461"/>
      <c r="EE209" s="249"/>
      <c r="EF209" s="216"/>
      <c r="EG209" s="355"/>
      <c r="EH209" s="1425"/>
      <c r="EI209" s="1470"/>
      <c r="EJ209" s="249"/>
      <c r="EK209" s="221"/>
      <c r="EL209" s="313"/>
      <c r="EM209" s="249"/>
      <c r="EN209" s="221"/>
      <c r="EO209" s="313"/>
      <c r="EP209" s="249"/>
      <c r="EQ209" s="216"/>
      <c r="ER209" s="313"/>
      <c r="ES209" s="249"/>
      <c r="ET209" s="216"/>
      <c r="EU209" s="313"/>
      <c r="EV209" s="249"/>
      <c r="EW209" s="216"/>
      <c r="EX209" s="2505"/>
      <c r="EY209" s="249"/>
      <c r="EZ209" s="221"/>
      <c r="FA209" s="313"/>
      <c r="FB209" s="249"/>
      <c r="FC209" s="221"/>
      <c r="FD209" s="313"/>
      <c r="FE209" s="249"/>
      <c r="FF209" s="221"/>
      <c r="FG209" s="313"/>
      <c r="FH209" s="249"/>
      <c r="FI209" s="216"/>
      <c r="FJ209" s="1435"/>
      <c r="FK209" s="216"/>
      <c r="FL209" s="1268"/>
      <c r="FM209" s="1655"/>
      <c r="FN209" s="1268"/>
      <c r="FO209" s="1655"/>
      <c r="FP209" s="1268"/>
      <c r="FQ209" s="1656"/>
      <c r="FR209" s="249"/>
      <c r="FS209" s="216"/>
      <c r="FT209" s="1657"/>
      <c r="FU209" s="1658"/>
      <c r="FV209" s="242"/>
      <c r="FW209" s="343"/>
      <c r="FX209" s="222"/>
      <c r="FY209" s="336"/>
      <c r="FZ209" s="223"/>
      <c r="GA209" s="338"/>
      <c r="GB209" s="204"/>
      <c r="GC209" s="339"/>
      <c r="GD209" s="342"/>
      <c r="GE209" s="199"/>
      <c r="GF209" s="199"/>
      <c r="GG209" s="199"/>
      <c r="GH209" s="199"/>
      <c r="GI209" s="199"/>
      <c r="GJ209" s="199"/>
      <c r="GK209" s="199"/>
      <c r="GL209" s="49"/>
      <c r="GM209" s="28"/>
      <c r="GN209" s="28"/>
      <c r="GO209" s="322"/>
      <c r="GP209" s="1190"/>
      <c r="GQ209" s="1190"/>
      <c r="GR209" s="49"/>
      <c r="GS209" s="2879"/>
      <c r="GT209" s="2880"/>
      <c r="GU209" s="2881"/>
      <c r="GV209" s="49"/>
      <c r="GW209" s="49"/>
      <c r="GX209" s="49"/>
      <c r="GY209" s="49"/>
      <c r="GZ209" s="49"/>
      <c r="HA209" s="49"/>
      <c r="HB209" s="49"/>
      <c r="HC209" s="49"/>
      <c r="HD209" s="49"/>
      <c r="HE209" s="49"/>
      <c r="HF209" s="49"/>
      <c r="HG209" s="49"/>
      <c r="HH209" s="49"/>
      <c r="HI209" s="49"/>
      <c r="HJ209" s="49"/>
      <c r="HK209" s="49"/>
      <c r="HL209" s="49"/>
      <c r="HM209" s="49"/>
      <c r="HN209" s="49"/>
      <c r="HO209" s="49"/>
      <c r="HP209" s="49"/>
      <c r="HQ209" s="49"/>
      <c r="HR209" s="49"/>
      <c r="HS209" s="49"/>
      <c r="HT209" s="49"/>
      <c r="HU209" s="49"/>
      <c r="HV209" s="49"/>
      <c r="HW209" s="49"/>
      <c r="HX209" s="49"/>
      <c r="HY209" s="49"/>
      <c r="HZ209" s="49"/>
      <c r="IA209" s="49"/>
      <c r="IB209" s="49"/>
      <c r="IC209" s="49"/>
      <c r="ID209" s="49"/>
      <c r="IE209" s="49"/>
      <c r="IF209" s="49"/>
      <c r="IG209" s="49"/>
      <c r="IH209" s="49"/>
      <c r="II209" s="49"/>
      <c r="IJ209" s="49"/>
      <c r="IK209" s="49"/>
      <c r="IL209" s="49"/>
      <c r="IM209" s="49"/>
      <c r="IN209" s="49"/>
      <c r="IO209" s="49"/>
      <c r="IP209" s="49"/>
      <c r="IQ209" s="49"/>
      <c r="IR209" s="49"/>
      <c r="IS209" s="49"/>
      <c r="IT209" s="49"/>
      <c r="IU209" s="49"/>
      <c r="IV209" s="49"/>
    </row>
    <row r="210" spans="1:256" s="198" customFormat="1" ht="12" customHeight="1">
      <c r="A210" s="1252"/>
      <c r="B210" s="200"/>
      <c r="C210" s="486"/>
      <c r="D210" s="201"/>
      <c r="E210" s="202"/>
      <c r="F210" s="203"/>
      <c r="G210" s="197"/>
      <c r="H210" s="197"/>
      <c r="I210" s="197"/>
      <c r="J210" s="197"/>
      <c r="K210" s="175"/>
      <c r="L210" s="197"/>
      <c r="M210" s="197"/>
      <c r="N210" s="197"/>
      <c r="O210" s="197"/>
      <c r="P210" s="197"/>
      <c r="Q210" s="1198"/>
      <c r="R210" s="202"/>
      <c r="S210" s="202"/>
      <c r="T210" s="1186"/>
      <c r="U210" s="233"/>
      <c r="V210" s="49"/>
      <c r="W210" s="218"/>
      <c r="X210" s="218"/>
      <c r="Y210" s="216"/>
      <c r="Z210" s="216"/>
      <c r="AA210" s="215"/>
      <c r="AB210" s="216"/>
      <c r="AC210" s="216"/>
      <c r="AD210" s="239"/>
      <c r="AE210" s="216"/>
      <c r="AF210" s="216"/>
      <c r="AG210" s="216"/>
      <c r="AH210" s="216"/>
      <c r="AI210" s="216"/>
      <c r="AJ210" s="216"/>
      <c r="AK210" s="239"/>
      <c r="AL210" s="216"/>
      <c r="AM210" s="216"/>
      <c r="AN210" s="216"/>
      <c r="AO210" s="216"/>
      <c r="AP210" s="216"/>
      <c r="AQ210" s="216"/>
      <c r="AR210" s="216"/>
      <c r="AS210" s="216"/>
      <c r="AT210" s="216"/>
      <c r="AU210" s="216"/>
      <c r="AV210" s="217"/>
      <c r="AW210" s="355"/>
      <c r="AX210" s="217"/>
      <c r="AY210" s="1559"/>
      <c r="AZ210" s="249"/>
      <c r="BA210" s="221"/>
      <c r="BB210" s="300"/>
      <c r="BC210" s="217"/>
      <c r="BD210" s="392"/>
      <c r="BE210" s="1244"/>
      <c r="BF210" s="249"/>
      <c r="BG210" s="252"/>
      <c r="BH210" s="1469"/>
      <c r="BI210" s="216"/>
      <c r="BJ210" s="1469"/>
      <c r="BK210" s="1459"/>
      <c r="BL210" s="260"/>
      <c r="BM210" s="214"/>
      <c r="BN210" s="293"/>
      <c r="BO210" s="217"/>
      <c r="BP210" s="355"/>
      <c r="BQ210" s="217"/>
      <c r="BR210" s="1193"/>
      <c r="BS210" s="249"/>
      <c r="BT210" s="216"/>
      <c r="BU210" s="1195"/>
      <c r="BV210" s="249"/>
      <c r="BW210" s="216"/>
      <c r="BX210" s="1195"/>
      <c r="BY210" s="249"/>
      <c r="BZ210" s="216"/>
      <c r="CA210" s="1195"/>
      <c r="CB210" s="249"/>
      <c r="CC210" s="216"/>
      <c r="CD210" s="1195"/>
      <c r="CE210" s="249"/>
      <c r="CF210" s="216"/>
      <c r="CG210" s="1195"/>
      <c r="CH210" s="249"/>
      <c r="CI210" s="216"/>
      <c r="CJ210" s="1195"/>
      <c r="CK210" s="249"/>
      <c r="CL210" s="216"/>
      <c r="CM210" s="1194"/>
      <c r="CN210" s="1524"/>
      <c r="CO210" s="217"/>
      <c r="CP210" s="1193"/>
      <c r="CQ210" s="293"/>
      <c r="CR210" s="217"/>
      <c r="CS210" s="305"/>
      <c r="CT210" s="249"/>
      <c r="CU210" s="216"/>
      <c r="CV210" s="1193"/>
      <c r="CW210" s="249"/>
      <c r="CX210" s="216"/>
      <c r="CY210" s="305"/>
      <c r="CZ210" s="249"/>
      <c r="DA210" s="216"/>
      <c r="DB210" s="307"/>
      <c r="DC210" s="328"/>
      <c r="DD210" s="322"/>
      <c r="DE210" s="305"/>
      <c r="DF210" s="249"/>
      <c r="DG210" s="216"/>
      <c r="DH210" s="305"/>
      <c r="DI210" s="249"/>
      <c r="DJ210" s="216"/>
      <c r="DK210" s="309"/>
      <c r="DL210" s="293"/>
      <c r="DM210" s="326"/>
      <c r="DN210" s="1256"/>
      <c r="DO210" s="214"/>
      <c r="DP210" s="1257"/>
      <c r="DQ210" s="1258"/>
      <c r="DR210" s="305"/>
      <c r="DS210" s="249"/>
      <c r="DT210" s="216"/>
      <c r="DU210" s="305"/>
      <c r="DV210" s="2520"/>
      <c r="DW210" s="2521"/>
      <c r="DX210" s="305"/>
      <c r="DY210" s="249"/>
      <c r="DZ210" s="221"/>
      <c r="EA210" s="388"/>
      <c r="EB210" s="249"/>
      <c r="EC210" s="216"/>
      <c r="ED210" s="1461"/>
      <c r="EE210" s="249"/>
      <c r="EF210" s="216"/>
      <c r="EG210" s="355"/>
      <c r="EH210" s="1425"/>
      <c r="EI210" s="1470"/>
      <c r="EJ210" s="249"/>
      <c r="EK210" s="221"/>
      <c r="EL210" s="313"/>
      <c r="EM210" s="249"/>
      <c r="EN210" s="221"/>
      <c r="EO210" s="313"/>
      <c r="EP210" s="249"/>
      <c r="EQ210" s="216"/>
      <c r="ER210" s="313"/>
      <c r="ES210" s="249"/>
      <c r="ET210" s="216"/>
      <c r="EU210" s="313"/>
      <c r="EV210" s="249"/>
      <c r="EW210" s="216"/>
      <c r="EX210" s="2505"/>
      <c r="EY210" s="249"/>
      <c r="EZ210" s="221"/>
      <c r="FA210" s="313"/>
      <c r="FB210" s="249"/>
      <c r="FC210" s="221"/>
      <c r="FD210" s="313"/>
      <c r="FE210" s="249"/>
      <c r="FF210" s="221"/>
      <c r="FG210" s="313"/>
      <c r="FH210" s="249"/>
      <c r="FI210" s="216"/>
      <c r="FJ210" s="1435"/>
      <c r="FK210" s="216"/>
      <c r="FL210" s="1268"/>
      <c r="FM210" s="1655"/>
      <c r="FN210" s="1268"/>
      <c r="FO210" s="1655"/>
      <c r="FP210" s="1268"/>
      <c r="FQ210" s="1656"/>
      <c r="FR210" s="249"/>
      <c r="FS210" s="216"/>
      <c r="FT210" s="1657"/>
      <c r="FU210" s="1658"/>
      <c r="FV210" s="242"/>
      <c r="FW210" s="343"/>
      <c r="FX210" s="222"/>
      <c r="FY210" s="336"/>
      <c r="FZ210" s="223"/>
      <c r="GA210" s="338"/>
      <c r="GB210" s="204"/>
      <c r="GC210" s="339"/>
      <c r="GD210" s="342"/>
      <c r="GE210" s="199"/>
      <c r="GF210" s="199"/>
      <c r="GG210" s="199"/>
      <c r="GH210" s="199"/>
      <c r="GI210" s="199"/>
      <c r="GJ210" s="199"/>
      <c r="GK210" s="199"/>
      <c r="GL210" s="49"/>
      <c r="GM210" s="28"/>
      <c r="GN210" s="28"/>
      <c r="GO210" s="322"/>
      <c r="GP210" s="1190"/>
      <c r="GQ210" s="1190"/>
      <c r="GR210" s="49"/>
      <c r="GS210" s="2879"/>
      <c r="GT210" s="2880"/>
      <c r="GU210" s="2881"/>
      <c r="GV210" s="49"/>
      <c r="GW210" s="49"/>
      <c r="GX210" s="49"/>
      <c r="GY210" s="49"/>
      <c r="GZ210" s="49"/>
      <c r="HA210" s="49"/>
      <c r="HB210" s="49"/>
      <c r="HC210" s="49"/>
      <c r="HD210" s="49"/>
      <c r="HE210" s="49"/>
      <c r="HF210" s="49"/>
      <c r="HG210" s="49"/>
      <c r="HH210" s="49"/>
      <c r="HI210" s="49"/>
      <c r="HJ210" s="49"/>
      <c r="HK210" s="49"/>
      <c r="HL210" s="49"/>
      <c r="HM210" s="49"/>
      <c r="HN210" s="49"/>
      <c r="HO210" s="49"/>
      <c r="HP210" s="49"/>
      <c r="HQ210" s="49"/>
      <c r="HR210" s="49"/>
      <c r="HS210" s="49"/>
      <c r="HT210" s="49"/>
      <c r="HU210" s="49"/>
      <c r="HV210" s="49"/>
      <c r="HW210" s="49"/>
      <c r="HX210" s="49"/>
      <c r="HY210" s="49"/>
      <c r="HZ210" s="49"/>
      <c r="IA210" s="49"/>
      <c r="IB210" s="49"/>
      <c r="IC210" s="49"/>
      <c r="ID210" s="49"/>
      <c r="IE210" s="49"/>
      <c r="IF210" s="49"/>
      <c r="IG210" s="49"/>
      <c r="IH210" s="49"/>
      <c r="II210" s="49"/>
      <c r="IJ210" s="49"/>
      <c r="IK210" s="49"/>
      <c r="IL210" s="49"/>
      <c r="IM210" s="49"/>
      <c r="IN210" s="49"/>
      <c r="IO210" s="49"/>
      <c r="IP210" s="49"/>
      <c r="IQ210" s="49"/>
      <c r="IR210" s="49"/>
      <c r="IS210" s="49"/>
      <c r="IT210" s="49"/>
      <c r="IU210" s="49"/>
      <c r="IV210" s="49"/>
    </row>
    <row r="211" spans="1:256" s="198" customFormat="1" ht="12" customHeight="1">
      <c r="A211" s="1252"/>
      <c r="B211" s="200"/>
      <c r="C211" s="486"/>
      <c r="D211" s="201"/>
      <c r="E211" s="202"/>
      <c r="F211" s="203"/>
      <c r="G211" s="197"/>
      <c r="H211" s="197"/>
      <c r="I211" s="197"/>
      <c r="J211" s="197"/>
      <c r="K211" s="175"/>
      <c r="L211" s="197"/>
      <c r="M211" s="197"/>
      <c r="N211" s="197"/>
      <c r="O211" s="197"/>
      <c r="P211" s="197"/>
      <c r="Q211" s="1198"/>
      <c r="R211" s="202"/>
      <c r="S211" s="202"/>
      <c r="T211" s="1186"/>
      <c r="U211" s="233"/>
      <c r="V211" s="49"/>
      <c r="W211" s="218"/>
      <c r="X211" s="218"/>
      <c r="Y211" s="216"/>
      <c r="Z211" s="216"/>
      <c r="AA211" s="215"/>
      <c r="AB211" s="216"/>
      <c r="AC211" s="216"/>
      <c r="AD211" s="239"/>
      <c r="AE211" s="216"/>
      <c r="AF211" s="216"/>
      <c r="AG211" s="216"/>
      <c r="AH211" s="216"/>
      <c r="AI211" s="216"/>
      <c r="AJ211" s="216"/>
      <c r="AK211" s="239"/>
      <c r="AL211" s="216"/>
      <c r="AM211" s="216"/>
      <c r="AN211" s="216"/>
      <c r="AO211" s="216"/>
      <c r="AP211" s="216"/>
      <c r="AQ211" s="216"/>
      <c r="AR211" s="216"/>
      <c r="AS211" s="216"/>
      <c r="AT211" s="216"/>
      <c r="AU211" s="216"/>
      <c r="AV211" s="217"/>
      <c r="AW211" s="355"/>
      <c r="AX211" s="217"/>
      <c r="AY211" s="1559"/>
      <c r="AZ211" s="249"/>
      <c r="BA211" s="221"/>
      <c r="BB211" s="300"/>
      <c r="BC211" s="217"/>
      <c r="BD211" s="392"/>
      <c r="BE211" s="1244"/>
      <c r="BF211" s="249"/>
      <c r="BG211" s="252"/>
      <c r="BH211" s="1469"/>
      <c r="BI211" s="216"/>
      <c r="BJ211" s="1469"/>
      <c r="BK211" s="1459"/>
      <c r="BL211" s="260"/>
      <c r="BM211" s="214"/>
      <c r="BN211" s="293"/>
      <c r="BO211" s="217"/>
      <c r="BP211" s="355"/>
      <c r="BQ211" s="217"/>
      <c r="BR211" s="1193"/>
      <c r="BS211" s="249"/>
      <c r="BT211" s="216"/>
      <c r="BU211" s="1195"/>
      <c r="BV211" s="249"/>
      <c r="BW211" s="216"/>
      <c r="BX211" s="1195"/>
      <c r="BY211" s="249"/>
      <c r="BZ211" s="216"/>
      <c r="CA211" s="1195"/>
      <c r="CB211" s="249"/>
      <c r="CC211" s="216"/>
      <c r="CD211" s="1195"/>
      <c r="CE211" s="249"/>
      <c r="CF211" s="216"/>
      <c r="CG211" s="1195"/>
      <c r="CH211" s="249"/>
      <c r="CI211" s="216"/>
      <c r="CJ211" s="1195"/>
      <c r="CK211" s="249"/>
      <c r="CL211" s="216"/>
      <c r="CM211" s="1194"/>
      <c r="CN211" s="1524"/>
      <c r="CO211" s="217"/>
      <c r="CP211" s="1193"/>
      <c r="CQ211" s="293"/>
      <c r="CR211" s="217"/>
      <c r="CS211" s="305"/>
      <c r="CT211" s="249"/>
      <c r="CU211" s="216"/>
      <c r="CV211" s="1193"/>
      <c r="CW211" s="249"/>
      <c r="CX211" s="216"/>
      <c r="CY211" s="305"/>
      <c r="CZ211" s="249"/>
      <c r="DA211" s="216"/>
      <c r="DB211" s="307"/>
      <c r="DC211" s="328"/>
      <c r="DD211" s="322"/>
      <c r="DE211" s="305"/>
      <c r="DF211" s="249"/>
      <c r="DG211" s="216"/>
      <c r="DH211" s="305"/>
      <c r="DI211" s="249"/>
      <c r="DJ211" s="216"/>
      <c r="DK211" s="309"/>
      <c r="DL211" s="293"/>
      <c r="DM211" s="326"/>
      <c r="DN211" s="1256"/>
      <c r="DO211" s="214"/>
      <c r="DP211" s="1257"/>
      <c r="DQ211" s="1258"/>
      <c r="DR211" s="305"/>
      <c r="DS211" s="249"/>
      <c r="DT211" s="216"/>
      <c r="DU211" s="305"/>
      <c r="DV211" s="2520"/>
      <c r="DW211" s="2521"/>
      <c r="DX211" s="305"/>
      <c r="DY211" s="249"/>
      <c r="DZ211" s="221"/>
      <c r="EA211" s="388"/>
      <c r="EB211" s="249"/>
      <c r="EC211" s="216"/>
      <c r="ED211" s="1461"/>
      <c r="EE211" s="249"/>
      <c r="EF211" s="216"/>
      <c r="EG211" s="355"/>
      <c r="EH211" s="1425"/>
      <c r="EI211" s="1470"/>
      <c r="EJ211" s="249"/>
      <c r="EK211" s="221"/>
      <c r="EL211" s="313"/>
      <c r="EM211" s="249"/>
      <c r="EN211" s="221"/>
      <c r="EO211" s="313"/>
      <c r="EP211" s="249"/>
      <c r="EQ211" s="216"/>
      <c r="ER211" s="313"/>
      <c r="ES211" s="249"/>
      <c r="ET211" s="216"/>
      <c r="EU211" s="313"/>
      <c r="EV211" s="249"/>
      <c r="EW211" s="216"/>
      <c r="EX211" s="2505"/>
      <c r="EY211" s="249"/>
      <c r="EZ211" s="221"/>
      <c r="FA211" s="313"/>
      <c r="FB211" s="249"/>
      <c r="FC211" s="221"/>
      <c r="FD211" s="313"/>
      <c r="FE211" s="249"/>
      <c r="FF211" s="221"/>
      <c r="FG211" s="313"/>
      <c r="FH211" s="249"/>
      <c r="FI211" s="216"/>
      <c r="FJ211" s="1435"/>
      <c r="FK211" s="216"/>
      <c r="FL211" s="1268"/>
      <c r="FM211" s="1655"/>
      <c r="FN211" s="1268"/>
      <c r="FO211" s="1655"/>
      <c r="FP211" s="1268"/>
      <c r="FQ211" s="1656"/>
      <c r="FR211" s="249"/>
      <c r="FS211" s="216"/>
      <c r="FT211" s="1657"/>
      <c r="FU211" s="1658"/>
      <c r="FV211" s="242"/>
      <c r="FW211" s="343"/>
      <c r="FX211" s="222"/>
      <c r="FY211" s="336"/>
      <c r="FZ211" s="223"/>
      <c r="GA211" s="338"/>
      <c r="GB211" s="204"/>
      <c r="GC211" s="339"/>
      <c r="GD211" s="342"/>
      <c r="GE211" s="199"/>
      <c r="GF211" s="199"/>
      <c r="GG211" s="199"/>
      <c r="GH211" s="199"/>
      <c r="GI211" s="199"/>
      <c r="GJ211" s="199"/>
      <c r="GK211" s="199"/>
      <c r="GL211" s="49"/>
      <c r="GM211" s="28"/>
      <c r="GN211" s="28"/>
      <c r="GO211" s="322"/>
      <c r="GP211" s="1190"/>
      <c r="GQ211" s="1190"/>
      <c r="GR211" s="49"/>
      <c r="GS211" s="2879"/>
      <c r="GT211" s="2880"/>
      <c r="GU211" s="2881"/>
      <c r="GV211" s="49"/>
      <c r="GW211" s="49"/>
      <c r="GX211" s="49"/>
      <c r="GY211" s="49"/>
      <c r="GZ211" s="49"/>
      <c r="HA211" s="49"/>
      <c r="HB211" s="49"/>
      <c r="HC211" s="49"/>
      <c r="HD211" s="49"/>
      <c r="HE211" s="49"/>
      <c r="HF211" s="49"/>
      <c r="HG211" s="49"/>
      <c r="HH211" s="49"/>
      <c r="HI211" s="49"/>
      <c r="HJ211" s="49"/>
      <c r="HK211" s="49"/>
      <c r="HL211" s="49"/>
      <c r="HM211" s="49"/>
      <c r="HN211" s="49"/>
      <c r="HO211" s="49"/>
      <c r="HP211" s="49"/>
      <c r="HQ211" s="49"/>
      <c r="HR211" s="49"/>
      <c r="HS211" s="49"/>
      <c r="HT211" s="49"/>
      <c r="HU211" s="49"/>
      <c r="HV211" s="49"/>
      <c r="HW211" s="49"/>
      <c r="HX211" s="49"/>
      <c r="HY211" s="49"/>
      <c r="HZ211" s="49"/>
      <c r="IA211" s="49"/>
      <c r="IB211" s="49"/>
      <c r="IC211" s="49"/>
      <c r="ID211" s="49"/>
      <c r="IE211" s="49"/>
      <c r="IF211" s="49"/>
      <c r="IG211" s="49"/>
      <c r="IH211" s="49"/>
      <c r="II211" s="49"/>
      <c r="IJ211" s="49"/>
      <c r="IK211" s="49"/>
      <c r="IL211" s="49"/>
      <c r="IM211" s="49"/>
      <c r="IN211" s="49"/>
      <c r="IO211" s="49"/>
      <c r="IP211" s="49"/>
      <c r="IQ211" s="49"/>
      <c r="IR211" s="49"/>
      <c r="IS211" s="49"/>
      <c r="IT211" s="49"/>
      <c r="IU211" s="49"/>
      <c r="IV211" s="49"/>
    </row>
    <row r="212" spans="1:256" s="198" customFormat="1" ht="12" customHeight="1">
      <c r="A212" s="1252"/>
      <c r="B212" s="200"/>
      <c r="C212" s="486"/>
      <c r="D212" s="201"/>
      <c r="E212" s="202"/>
      <c r="F212" s="203"/>
      <c r="G212" s="197"/>
      <c r="H212" s="197"/>
      <c r="I212" s="197"/>
      <c r="J212" s="197"/>
      <c r="K212" s="175"/>
      <c r="L212" s="197"/>
      <c r="M212" s="197"/>
      <c r="N212" s="197"/>
      <c r="O212" s="197"/>
      <c r="P212" s="197"/>
      <c r="Q212" s="1198"/>
      <c r="R212" s="202"/>
      <c r="S212" s="202"/>
      <c r="T212" s="1186"/>
      <c r="U212" s="233"/>
      <c r="V212" s="49"/>
      <c r="W212" s="218"/>
      <c r="X212" s="218"/>
      <c r="Y212" s="216"/>
      <c r="Z212" s="216"/>
      <c r="AA212" s="215"/>
      <c r="AB212" s="216"/>
      <c r="AC212" s="216"/>
      <c r="AD212" s="239"/>
      <c r="AE212" s="216"/>
      <c r="AF212" s="216"/>
      <c r="AG212" s="216"/>
      <c r="AH212" s="216"/>
      <c r="AI212" s="216"/>
      <c r="AJ212" s="216"/>
      <c r="AK212" s="239"/>
      <c r="AL212" s="216"/>
      <c r="AM212" s="216"/>
      <c r="AN212" s="216"/>
      <c r="AO212" s="216"/>
      <c r="AP212" s="216"/>
      <c r="AQ212" s="216"/>
      <c r="AR212" s="216"/>
      <c r="AS212" s="216"/>
      <c r="AT212" s="216"/>
      <c r="AU212" s="216"/>
      <c r="AV212" s="217"/>
      <c r="AW212" s="355"/>
      <c r="AX212" s="217"/>
      <c r="AY212" s="1559"/>
      <c r="AZ212" s="249"/>
      <c r="BA212" s="221"/>
      <c r="BB212" s="300"/>
      <c r="BC212" s="217"/>
      <c r="BD212" s="392"/>
      <c r="BE212" s="1244"/>
      <c r="BF212" s="249"/>
      <c r="BG212" s="252"/>
      <c r="BH212" s="1469"/>
      <c r="BI212" s="216"/>
      <c r="BJ212" s="1469"/>
      <c r="BK212" s="1459"/>
      <c r="BL212" s="260"/>
      <c r="BM212" s="214"/>
      <c r="BN212" s="293"/>
      <c r="BO212" s="217"/>
      <c r="BP212" s="355"/>
      <c r="BQ212" s="217"/>
      <c r="BR212" s="1193"/>
      <c r="BS212" s="249"/>
      <c r="BT212" s="216"/>
      <c r="BU212" s="1195"/>
      <c r="BV212" s="249"/>
      <c r="BW212" s="216"/>
      <c r="BX212" s="1195"/>
      <c r="BY212" s="249"/>
      <c r="BZ212" s="216"/>
      <c r="CA212" s="1195"/>
      <c r="CB212" s="249"/>
      <c r="CC212" s="216"/>
      <c r="CD212" s="1195"/>
      <c r="CE212" s="249"/>
      <c r="CF212" s="216"/>
      <c r="CG212" s="1195"/>
      <c r="CH212" s="249"/>
      <c r="CI212" s="216"/>
      <c r="CJ212" s="1195"/>
      <c r="CK212" s="249"/>
      <c r="CL212" s="216"/>
      <c r="CM212" s="1194"/>
      <c r="CN212" s="1524"/>
      <c r="CO212" s="217"/>
      <c r="CP212" s="1193"/>
      <c r="CQ212" s="293"/>
      <c r="CR212" s="217"/>
      <c r="CS212" s="305"/>
      <c r="CT212" s="249"/>
      <c r="CU212" s="216"/>
      <c r="CV212" s="1193"/>
      <c r="CW212" s="249"/>
      <c r="CX212" s="216"/>
      <c r="CY212" s="305"/>
      <c r="CZ212" s="249"/>
      <c r="DA212" s="216"/>
      <c r="DB212" s="307"/>
      <c r="DC212" s="328"/>
      <c r="DD212" s="322"/>
      <c r="DE212" s="305"/>
      <c r="DF212" s="249"/>
      <c r="DG212" s="216"/>
      <c r="DH212" s="305"/>
      <c r="DI212" s="249"/>
      <c r="DJ212" s="216"/>
      <c r="DK212" s="309"/>
      <c r="DL212" s="293"/>
      <c r="DM212" s="326"/>
      <c r="DN212" s="1256"/>
      <c r="DO212" s="214"/>
      <c r="DP212" s="1257"/>
      <c r="DQ212" s="1258"/>
      <c r="DR212" s="305"/>
      <c r="DS212" s="249"/>
      <c r="DT212" s="216"/>
      <c r="DU212" s="305"/>
      <c r="DV212" s="2520"/>
      <c r="DW212" s="2521"/>
      <c r="DX212" s="305"/>
      <c r="DY212" s="249"/>
      <c r="DZ212" s="221"/>
      <c r="EA212" s="388"/>
      <c r="EB212" s="249"/>
      <c r="EC212" s="216"/>
      <c r="ED212" s="1461"/>
      <c r="EE212" s="249"/>
      <c r="EF212" s="216"/>
      <c r="EG212" s="355"/>
      <c r="EH212" s="1425"/>
      <c r="EI212" s="1470"/>
      <c r="EJ212" s="249"/>
      <c r="EK212" s="221"/>
      <c r="EL212" s="313"/>
      <c r="EM212" s="249"/>
      <c r="EN212" s="221"/>
      <c r="EO212" s="313"/>
      <c r="EP212" s="249"/>
      <c r="EQ212" s="216"/>
      <c r="ER212" s="313"/>
      <c r="ES212" s="249"/>
      <c r="ET212" s="216"/>
      <c r="EU212" s="313"/>
      <c r="EV212" s="249"/>
      <c r="EW212" s="216"/>
      <c r="EX212" s="2505"/>
      <c r="EY212" s="249"/>
      <c r="EZ212" s="221"/>
      <c r="FA212" s="313"/>
      <c r="FB212" s="249"/>
      <c r="FC212" s="221"/>
      <c r="FD212" s="313"/>
      <c r="FE212" s="249"/>
      <c r="FF212" s="221"/>
      <c r="FG212" s="313"/>
      <c r="FH212" s="249"/>
      <c r="FI212" s="216"/>
      <c r="FJ212" s="1435"/>
      <c r="FK212" s="216"/>
      <c r="FL212" s="1268"/>
      <c r="FM212" s="1655"/>
      <c r="FN212" s="1268"/>
      <c r="FO212" s="1655"/>
      <c r="FP212" s="1268"/>
      <c r="FQ212" s="1656"/>
      <c r="FR212" s="249"/>
      <c r="FS212" s="216"/>
      <c r="FT212" s="1657"/>
      <c r="FU212" s="1658"/>
      <c r="FV212" s="242"/>
      <c r="FW212" s="343"/>
      <c r="FX212" s="222"/>
      <c r="FY212" s="336"/>
      <c r="FZ212" s="223"/>
      <c r="GA212" s="338"/>
      <c r="GB212" s="204"/>
      <c r="GC212" s="339"/>
      <c r="GD212" s="342"/>
      <c r="GE212" s="199"/>
      <c r="GF212" s="199"/>
      <c r="GG212" s="199"/>
      <c r="GH212" s="199"/>
      <c r="GI212" s="199"/>
      <c r="GJ212" s="199"/>
      <c r="GK212" s="199"/>
      <c r="GL212" s="49"/>
      <c r="GM212" s="28"/>
      <c r="GN212" s="28"/>
      <c r="GO212" s="322"/>
      <c r="GP212" s="1190"/>
      <c r="GQ212" s="1190"/>
      <c r="GR212" s="49"/>
      <c r="GS212" s="2879"/>
      <c r="GT212" s="2880"/>
      <c r="GU212" s="2881"/>
      <c r="GV212" s="49"/>
      <c r="GW212" s="49"/>
      <c r="GX212" s="49"/>
      <c r="GY212" s="49"/>
      <c r="GZ212" s="49"/>
      <c r="HA212" s="49"/>
      <c r="HB212" s="49"/>
      <c r="HC212" s="49"/>
      <c r="HD212" s="49"/>
      <c r="HE212" s="49"/>
      <c r="HF212" s="49"/>
      <c r="HG212" s="49"/>
      <c r="HH212" s="49"/>
      <c r="HI212" s="49"/>
      <c r="HJ212" s="49"/>
      <c r="HK212" s="49"/>
      <c r="HL212" s="49"/>
      <c r="HM212" s="49"/>
      <c r="HN212" s="49"/>
      <c r="HO212" s="49"/>
      <c r="HP212" s="49"/>
      <c r="HQ212" s="49"/>
      <c r="HR212" s="49"/>
      <c r="HS212" s="49"/>
      <c r="HT212" s="49"/>
      <c r="HU212" s="49"/>
      <c r="HV212" s="49"/>
      <c r="HW212" s="49"/>
      <c r="HX212" s="49"/>
      <c r="HY212" s="49"/>
      <c r="HZ212" s="49"/>
      <c r="IA212" s="49"/>
      <c r="IB212" s="49"/>
      <c r="IC212" s="49"/>
      <c r="ID212" s="49"/>
      <c r="IE212" s="49"/>
      <c r="IF212" s="49"/>
      <c r="IG212" s="49"/>
      <c r="IH212" s="49"/>
      <c r="II212" s="49"/>
      <c r="IJ212" s="49"/>
      <c r="IK212" s="49"/>
      <c r="IL212" s="49"/>
      <c r="IM212" s="49"/>
      <c r="IN212" s="49"/>
      <c r="IO212" s="49"/>
      <c r="IP212" s="49"/>
      <c r="IQ212" s="49"/>
      <c r="IR212" s="49"/>
      <c r="IS212" s="49"/>
      <c r="IT212" s="49"/>
      <c r="IU212" s="49"/>
      <c r="IV212" s="49"/>
    </row>
    <row r="213" spans="1:256" s="198" customFormat="1" ht="12" customHeight="1">
      <c r="A213" s="1252"/>
      <c r="B213" s="200"/>
      <c r="C213" s="486"/>
      <c r="D213" s="201"/>
      <c r="E213" s="202"/>
      <c r="F213" s="203"/>
      <c r="G213" s="197"/>
      <c r="H213" s="197"/>
      <c r="I213" s="197"/>
      <c r="J213" s="197"/>
      <c r="K213" s="175"/>
      <c r="L213" s="197"/>
      <c r="M213" s="197"/>
      <c r="N213" s="197"/>
      <c r="O213" s="197"/>
      <c r="P213" s="197"/>
      <c r="Q213" s="1198"/>
      <c r="R213" s="202"/>
      <c r="S213" s="202"/>
      <c r="T213" s="1186"/>
      <c r="U213" s="233"/>
      <c r="V213" s="49"/>
      <c r="W213" s="218"/>
      <c r="X213" s="218"/>
      <c r="Y213" s="216"/>
      <c r="Z213" s="216"/>
      <c r="AA213" s="215"/>
      <c r="AB213" s="216"/>
      <c r="AC213" s="216"/>
      <c r="AD213" s="239"/>
      <c r="AE213" s="216"/>
      <c r="AF213" s="216"/>
      <c r="AG213" s="216"/>
      <c r="AH213" s="216"/>
      <c r="AI213" s="216"/>
      <c r="AJ213" s="216"/>
      <c r="AK213" s="239"/>
      <c r="AL213" s="216"/>
      <c r="AM213" s="216"/>
      <c r="AN213" s="216"/>
      <c r="AO213" s="216"/>
      <c r="AP213" s="216"/>
      <c r="AQ213" s="216"/>
      <c r="AR213" s="216"/>
      <c r="AS213" s="216"/>
      <c r="AT213" s="216"/>
      <c r="AU213" s="216"/>
      <c r="AV213" s="217"/>
      <c r="AW213" s="355"/>
      <c r="AX213" s="217"/>
      <c r="AY213" s="1559"/>
      <c r="AZ213" s="249"/>
      <c r="BA213" s="221"/>
      <c r="BB213" s="300"/>
      <c r="BC213" s="217"/>
      <c r="BD213" s="392"/>
      <c r="BE213" s="1244"/>
      <c r="BF213" s="249"/>
      <c r="BG213" s="252"/>
      <c r="BH213" s="1469"/>
      <c r="BI213" s="216"/>
      <c r="BJ213" s="1469"/>
      <c r="BK213" s="1459"/>
      <c r="BL213" s="260"/>
      <c r="BM213" s="214"/>
      <c r="BN213" s="293"/>
      <c r="BO213" s="217"/>
      <c r="BP213" s="355"/>
      <c r="BQ213" s="217"/>
      <c r="BR213" s="1193"/>
      <c r="BS213" s="249"/>
      <c r="BT213" s="216"/>
      <c r="BU213" s="1195"/>
      <c r="BV213" s="249"/>
      <c r="BW213" s="216"/>
      <c r="BX213" s="1195"/>
      <c r="BY213" s="249"/>
      <c r="BZ213" s="216"/>
      <c r="CA213" s="1195"/>
      <c r="CB213" s="249"/>
      <c r="CC213" s="216"/>
      <c r="CD213" s="1195"/>
      <c r="CE213" s="249"/>
      <c r="CF213" s="216"/>
      <c r="CG213" s="1195"/>
      <c r="CH213" s="249"/>
      <c r="CI213" s="216"/>
      <c r="CJ213" s="1195"/>
      <c r="CK213" s="249"/>
      <c r="CL213" s="216"/>
      <c r="CM213" s="1194"/>
      <c r="CN213" s="1524"/>
      <c r="CO213" s="217"/>
      <c r="CP213" s="1193"/>
      <c r="CQ213" s="293"/>
      <c r="CR213" s="217"/>
      <c r="CS213" s="305"/>
      <c r="CT213" s="249"/>
      <c r="CU213" s="216"/>
      <c r="CV213" s="1193"/>
      <c r="CW213" s="249"/>
      <c r="CX213" s="216"/>
      <c r="CY213" s="305"/>
      <c r="CZ213" s="249"/>
      <c r="DA213" s="216"/>
      <c r="DB213" s="307"/>
      <c r="DC213" s="328"/>
      <c r="DD213" s="322"/>
      <c r="DE213" s="305"/>
      <c r="DF213" s="249"/>
      <c r="DG213" s="216"/>
      <c r="DH213" s="305"/>
      <c r="DI213" s="249"/>
      <c r="DJ213" s="216"/>
      <c r="DK213" s="309"/>
      <c r="DL213" s="293"/>
      <c r="DM213" s="326"/>
      <c r="DN213" s="1256"/>
      <c r="DO213" s="214"/>
      <c r="DP213" s="1257"/>
      <c r="DQ213" s="1258"/>
      <c r="DR213" s="305"/>
      <c r="DS213" s="249"/>
      <c r="DT213" s="216"/>
      <c r="DU213" s="305"/>
      <c r="DV213" s="2520"/>
      <c r="DW213" s="2521"/>
      <c r="DX213" s="305"/>
      <c r="DY213" s="249"/>
      <c r="DZ213" s="221"/>
      <c r="EA213" s="388"/>
      <c r="EB213" s="249"/>
      <c r="EC213" s="216"/>
      <c r="ED213" s="1461"/>
      <c r="EE213" s="249"/>
      <c r="EF213" s="216"/>
      <c r="EG213" s="355"/>
      <c r="EH213" s="1425"/>
      <c r="EI213" s="1470"/>
      <c r="EJ213" s="249"/>
      <c r="EK213" s="221"/>
      <c r="EL213" s="313"/>
      <c r="EM213" s="249"/>
      <c r="EN213" s="221"/>
      <c r="EO213" s="313"/>
      <c r="EP213" s="249"/>
      <c r="EQ213" s="216"/>
      <c r="ER213" s="313"/>
      <c r="ES213" s="249"/>
      <c r="ET213" s="216"/>
      <c r="EU213" s="313"/>
      <c r="EV213" s="249"/>
      <c r="EW213" s="216"/>
      <c r="EX213" s="2505"/>
      <c r="EY213" s="249"/>
      <c r="EZ213" s="221"/>
      <c r="FA213" s="313"/>
      <c r="FB213" s="249"/>
      <c r="FC213" s="221"/>
      <c r="FD213" s="313"/>
      <c r="FE213" s="249"/>
      <c r="FF213" s="221"/>
      <c r="FG213" s="313"/>
      <c r="FH213" s="249"/>
      <c r="FI213" s="216"/>
      <c r="FJ213" s="1435"/>
      <c r="FK213" s="216"/>
      <c r="FL213" s="1268"/>
      <c r="FM213" s="1655"/>
      <c r="FN213" s="1268"/>
      <c r="FO213" s="1655"/>
      <c r="FP213" s="1268"/>
      <c r="FQ213" s="1656"/>
      <c r="FR213" s="249"/>
      <c r="FS213" s="216"/>
      <c r="FT213" s="1657"/>
      <c r="FU213" s="1658"/>
      <c r="FV213" s="242"/>
      <c r="FW213" s="343"/>
      <c r="FX213" s="222"/>
      <c r="FY213" s="336"/>
      <c r="FZ213" s="223"/>
      <c r="GA213" s="338"/>
      <c r="GB213" s="204"/>
      <c r="GC213" s="339"/>
      <c r="GD213" s="342"/>
      <c r="GE213" s="199"/>
      <c r="GF213" s="199"/>
      <c r="GG213" s="199"/>
      <c r="GH213" s="199"/>
      <c r="GI213" s="199"/>
      <c r="GJ213" s="199"/>
      <c r="GK213" s="199"/>
      <c r="GL213" s="49"/>
      <c r="GM213" s="28"/>
      <c r="GN213" s="28"/>
      <c r="GO213" s="322"/>
      <c r="GP213" s="1190"/>
      <c r="GQ213" s="1190"/>
      <c r="GR213" s="49"/>
      <c r="GS213" s="2879"/>
      <c r="GT213" s="2880"/>
      <c r="GU213" s="2881"/>
      <c r="GV213" s="49"/>
      <c r="GW213" s="49"/>
      <c r="GX213" s="49"/>
      <c r="GY213" s="49"/>
      <c r="GZ213" s="49"/>
      <c r="HA213" s="49"/>
      <c r="HB213" s="49"/>
      <c r="HC213" s="49"/>
      <c r="HD213" s="49"/>
      <c r="HE213" s="49"/>
      <c r="HF213" s="49"/>
      <c r="HG213" s="49"/>
      <c r="HH213" s="49"/>
      <c r="HI213" s="49"/>
      <c r="HJ213" s="49"/>
      <c r="HK213" s="49"/>
      <c r="HL213" s="49"/>
      <c r="HM213" s="49"/>
      <c r="HN213" s="49"/>
      <c r="HO213" s="49"/>
      <c r="HP213" s="49"/>
      <c r="HQ213" s="49"/>
      <c r="HR213" s="49"/>
      <c r="HS213" s="49"/>
      <c r="HT213" s="49"/>
      <c r="HU213" s="49"/>
      <c r="HV213" s="49"/>
      <c r="HW213" s="49"/>
      <c r="HX213" s="49"/>
      <c r="HY213" s="49"/>
      <c r="HZ213" s="49"/>
      <c r="IA213" s="49"/>
      <c r="IB213" s="49"/>
      <c r="IC213" s="49"/>
      <c r="ID213" s="49"/>
      <c r="IE213" s="49"/>
      <c r="IF213" s="49"/>
      <c r="IG213" s="49"/>
      <c r="IH213" s="49"/>
      <c r="II213" s="49"/>
      <c r="IJ213" s="49"/>
      <c r="IK213" s="49"/>
      <c r="IL213" s="49"/>
      <c r="IM213" s="49"/>
      <c r="IN213" s="49"/>
      <c r="IO213" s="49"/>
      <c r="IP213" s="49"/>
      <c r="IQ213" s="49"/>
      <c r="IR213" s="49"/>
      <c r="IS213" s="49"/>
      <c r="IT213" s="49"/>
      <c r="IU213" s="49"/>
      <c r="IV213" s="49"/>
    </row>
    <row r="214" spans="1:256" s="198" customFormat="1" ht="12" customHeight="1">
      <c r="A214" s="1252"/>
      <c r="B214" s="200"/>
      <c r="C214" s="486"/>
      <c r="D214" s="201"/>
      <c r="E214" s="202"/>
      <c r="F214" s="203"/>
      <c r="G214" s="197"/>
      <c r="H214" s="197"/>
      <c r="I214" s="197"/>
      <c r="J214" s="197"/>
      <c r="K214" s="175"/>
      <c r="L214" s="197"/>
      <c r="M214" s="197"/>
      <c r="N214" s="197"/>
      <c r="O214" s="197"/>
      <c r="P214" s="197"/>
      <c r="Q214" s="1198"/>
      <c r="R214" s="202"/>
      <c r="S214" s="202"/>
      <c r="T214" s="1186"/>
      <c r="U214" s="233"/>
      <c r="V214" s="49"/>
      <c r="W214" s="218"/>
      <c r="X214" s="218"/>
      <c r="Y214" s="216"/>
      <c r="Z214" s="216"/>
      <c r="AA214" s="215"/>
      <c r="AB214" s="216"/>
      <c r="AC214" s="216"/>
      <c r="AD214" s="239"/>
      <c r="AE214" s="216"/>
      <c r="AF214" s="216"/>
      <c r="AG214" s="216"/>
      <c r="AH214" s="216"/>
      <c r="AI214" s="216"/>
      <c r="AJ214" s="216"/>
      <c r="AK214" s="239"/>
      <c r="AL214" s="216"/>
      <c r="AM214" s="216"/>
      <c r="AN214" s="216"/>
      <c r="AO214" s="216"/>
      <c r="AP214" s="216"/>
      <c r="AQ214" s="216"/>
      <c r="AR214" s="216"/>
      <c r="AS214" s="216"/>
      <c r="AT214" s="216"/>
      <c r="AU214" s="216"/>
      <c r="AV214" s="217"/>
      <c r="AW214" s="355"/>
      <c r="AX214" s="217"/>
      <c r="AY214" s="1559"/>
      <c r="AZ214" s="249"/>
      <c r="BA214" s="221"/>
      <c r="BB214" s="300"/>
      <c r="BC214" s="217"/>
      <c r="BD214" s="392"/>
      <c r="BE214" s="1244"/>
      <c r="BF214" s="249"/>
      <c r="BG214" s="252"/>
      <c r="BH214" s="1469"/>
      <c r="BI214" s="216"/>
      <c r="BJ214" s="1469"/>
      <c r="BK214" s="1459"/>
      <c r="BL214" s="260"/>
      <c r="BM214" s="214"/>
      <c r="BN214" s="293"/>
      <c r="BO214" s="217"/>
      <c r="BP214" s="355"/>
      <c r="BQ214" s="217"/>
      <c r="BR214" s="1193"/>
      <c r="BS214" s="249"/>
      <c r="BT214" s="216"/>
      <c r="BU214" s="1195"/>
      <c r="BV214" s="249"/>
      <c r="BW214" s="216"/>
      <c r="BX214" s="1195"/>
      <c r="BY214" s="249"/>
      <c r="BZ214" s="216"/>
      <c r="CA214" s="1195"/>
      <c r="CB214" s="249"/>
      <c r="CC214" s="216"/>
      <c r="CD214" s="1195"/>
      <c r="CE214" s="249"/>
      <c r="CF214" s="216"/>
      <c r="CG214" s="1195"/>
      <c r="CH214" s="249"/>
      <c r="CI214" s="216"/>
      <c r="CJ214" s="1195"/>
      <c r="CK214" s="249"/>
      <c r="CL214" s="216"/>
      <c r="CM214" s="1194"/>
      <c r="CN214" s="1524"/>
      <c r="CO214" s="217"/>
      <c r="CP214" s="1193"/>
      <c r="CQ214" s="293"/>
      <c r="CR214" s="217"/>
      <c r="CS214" s="305"/>
      <c r="CT214" s="249"/>
      <c r="CU214" s="216"/>
      <c r="CV214" s="1193"/>
      <c r="CW214" s="249"/>
      <c r="CX214" s="216"/>
      <c r="CY214" s="305"/>
      <c r="CZ214" s="249"/>
      <c r="DA214" s="216"/>
      <c r="DB214" s="307"/>
      <c r="DC214" s="328"/>
      <c r="DD214" s="322"/>
      <c r="DE214" s="305"/>
      <c r="DF214" s="249"/>
      <c r="DG214" s="216"/>
      <c r="DH214" s="305"/>
      <c r="DI214" s="249"/>
      <c r="DJ214" s="216"/>
      <c r="DK214" s="309"/>
      <c r="DL214" s="293"/>
      <c r="DM214" s="326"/>
      <c r="DN214" s="1256"/>
      <c r="DO214" s="214"/>
      <c r="DP214" s="1257"/>
      <c r="DQ214" s="1258"/>
      <c r="DR214" s="305"/>
      <c r="DS214" s="249"/>
      <c r="DT214" s="216"/>
      <c r="DU214" s="305"/>
      <c r="DV214" s="2520"/>
      <c r="DW214" s="2521"/>
      <c r="DX214" s="305"/>
      <c r="DY214" s="249"/>
      <c r="DZ214" s="221"/>
      <c r="EA214" s="388"/>
      <c r="EB214" s="249"/>
      <c r="EC214" s="216"/>
      <c r="ED214" s="1461"/>
      <c r="EE214" s="249"/>
      <c r="EF214" s="216"/>
      <c r="EG214" s="355"/>
      <c r="EH214" s="1425"/>
      <c r="EI214" s="1470"/>
      <c r="EJ214" s="249"/>
      <c r="EK214" s="221"/>
      <c r="EL214" s="313"/>
      <c r="EM214" s="249"/>
      <c r="EN214" s="221"/>
      <c r="EO214" s="313"/>
      <c r="EP214" s="249"/>
      <c r="EQ214" s="216"/>
      <c r="ER214" s="313"/>
      <c r="ES214" s="249"/>
      <c r="ET214" s="216"/>
      <c r="EU214" s="313"/>
      <c r="EV214" s="249"/>
      <c r="EW214" s="216"/>
      <c r="EX214" s="2505"/>
      <c r="EY214" s="249"/>
      <c r="EZ214" s="221"/>
      <c r="FA214" s="313"/>
      <c r="FB214" s="249"/>
      <c r="FC214" s="221"/>
      <c r="FD214" s="313"/>
      <c r="FE214" s="249"/>
      <c r="FF214" s="221"/>
      <c r="FG214" s="313"/>
      <c r="FH214" s="249"/>
      <c r="FI214" s="216"/>
      <c r="FJ214" s="1435"/>
      <c r="FK214" s="216"/>
      <c r="FL214" s="1268"/>
      <c r="FM214" s="1655"/>
      <c r="FN214" s="1268"/>
      <c r="FO214" s="1655"/>
      <c r="FP214" s="1268"/>
      <c r="FQ214" s="1656"/>
      <c r="FR214" s="249"/>
      <c r="FS214" s="216"/>
      <c r="FT214" s="1657"/>
      <c r="FU214" s="1658"/>
      <c r="FV214" s="242"/>
      <c r="FW214" s="343"/>
      <c r="FX214" s="222"/>
      <c r="FY214" s="336"/>
      <c r="FZ214" s="223"/>
      <c r="GA214" s="338"/>
      <c r="GB214" s="204"/>
      <c r="GC214" s="339"/>
      <c r="GD214" s="342"/>
      <c r="GE214" s="199"/>
      <c r="GF214" s="199"/>
      <c r="GG214" s="199"/>
      <c r="GH214" s="199"/>
      <c r="GI214" s="199"/>
      <c r="GJ214" s="199"/>
      <c r="GK214" s="199"/>
      <c r="GL214" s="49"/>
      <c r="GM214" s="28"/>
      <c r="GN214" s="28"/>
      <c r="GO214" s="322"/>
      <c r="GP214" s="1190"/>
      <c r="GQ214" s="1190"/>
      <c r="GR214" s="49"/>
      <c r="GS214" s="2879"/>
      <c r="GT214" s="2880"/>
      <c r="GU214" s="2881"/>
      <c r="GV214" s="49"/>
      <c r="GW214" s="49"/>
      <c r="GX214" s="49"/>
      <c r="GY214" s="49"/>
      <c r="GZ214" s="49"/>
      <c r="HA214" s="49"/>
      <c r="HB214" s="49"/>
      <c r="HC214" s="49"/>
      <c r="HD214" s="49"/>
      <c r="HE214" s="49"/>
      <c r="HF214" s="49"/>
      <c r="HG214" s="49"/>
      <c r="HH214" s="49"/>
      <c r="HI214" s="49"/>
      <c r="HJ214" s="49"/>
      <c r="HK214" s="49"/>
      <c r="HL214" s="49"/>
      <c r="HM214" s="49"/>
      <c r="HN214" s="49"/>
      <c r="HO214" s="49"/>
      <c r="HP214" s="49"/>
      <c r="HQ214" s="49"/>
      <c r="HR214" s="49"/>
      <c r="HS214" s="49"/>
      <c r="HT214" s="49"/>
      <c r="HU214" s="49"/>
      <c r="HV214" s="49"/>
      <c r="HW214" s="49"/>
      <c r="HX214" s="49"/>
      <c r="HY214" s="49"/>
      <c r="HZ214" s="49"/>
      <c r="IA214" s="49"/>
      <c r="IB214" s="49"/>
      <c r="IC214" s="49"/>
      <c r="ID214" s="49"/>
      <c r="IE214" s="49"/>
      <c r="IF214" s="49"/>
      <c r="IG214" s="49"/>
      <c r="IH214" s="49"/>
      <c r="II214" s="49"/>
      <c r="IJ214" s="49"/>
      <c r="IK214" s="49"/>
      <c r="IL214" s="49"/>
      <c r="IM214" s="49"/>
      <c r="IN214" s="49"/>
      <c r="IO214" s="49"/>
      <c r="IP214" s="49"/>
      <c r="IQ214" s="49"/>
      <c r="IR214" s="49"/>
      <c r="IS214" s="49"/>
      <c r="IT214" s="49"/>
      <c r="IU214" s="49"/>
      <c r="IV214" s="49"/>
    </row>
    <row r="215" spans="1:256" s="198" customFormat="1" ht="12" customHeight="1">
      <c r="A215" s="1252"/>
      <c r="B215" s="200"/>
      <c r="C215" s="486"/>
      <c r="D215" s="201"/>
      <c r="E215" s="202"/>
      <c r="F215" s="203"/>
      <c r="G215" s="197"/>
      <c r="H215" s="197"/>
      <c r="I215" s="197"/>
      <c r="J215" s="197"/>
      <c r="K215" s="175"/>
      <c r="L215" s="197"/>
      <c r="M215" s="197"/>
      <c r="N215" s="197"/>
      <c r="O215" s="197"/>
      <c r="P215" s="197"/>
      <c r="Q215" s="1198"/>
      <c r="R215" s="202"/>
      <c r="S215" s="202"/>
      <c r="T215" s="1186"/>
      <c r="U215" s="233"/>
      <c r="V215" s="49"/>
      <c r="W215" s="218"/>
      <c r="X215" s="218"/>
      <c r="Y215" s="216"/>
      <c r="Z215" s="216"/>
      <c r="AA215" s="215"/>
      <c r="AB215" s="216"/>
      <c r="AC215" s="216"/>
      <c r="AD215" s="239"/>
      <c r="AE215" s="216"/>
      <c r="AF215" s="216"/>
      <c r="AG215" s="216"/>
      <c r="AH215" s="216"/>
      <c r="AI215" s="216"/>
      <c r="AJ215" s="216"/>
      <c r="AK215" s="239"/>
      <c r="AL215" s="216"/>
      <c r="AM215" s="216"/>
      <c r="AN215" s="216"/>
      <c r="AO215" s="216"/>
      <c r="AP215" s="216"/>
      <c r="AQ215" s="216"/>
      <c r="AR215" s="216"/>
      <c r="AS215" s="216"/>
      <c r="AT215" s="216"/>
      <c r="AU215" s="216"/>
      <c r="AV215" s="217"/>
      <c r="AW215" s="355"/>
      <c r="AX215" s="217"/>
      <c r="AY215" s="1559"/>
      <c r="AZ215" s="249"/>
      <c r="BA215" s="221"/>
      <c r="BB215" s="300"/>
      <c r="BC215" s="217"/>
      <c r="BD215" s="392"/>
      <c r="BE215" s="1244"/>
      <c r="BF215" s="249"/>
      <c r="BG215" s="252"/>
      <c r="BH215" s="1469"/>
      <c r="BI215" s="216"/>
      <c r="BJ215" s="1469"/>
      <c r="BK215" s="1459"/>
      <c r="BL215" s="260"/>
      <c r="BM215" s="214"/>
      <c r="BN215" s="293"/>
      <c r="BO215" s="217"/>
      <c r="BP215" s="355"/>
      <c r="BQ215" s="217"/>
      <c r="BR215" s="1193"/>
      <c r="BS215" s="249"/>
      <c r="BT215" s="216"/>
      <c r="BU215" s="1195"/>
      <c r="BV215" s="249"/>
      <c r="BW215" s="216"/>
      <c r="BX215" s="1195"/>
      <c r="BY215" s="249"/>
      <c r="BZ215" s="216"/>
      <c r="CA215" s="1195"/>
      <c r="CB215" s="249"/>
      <c r="CC215" s="216"/>
      <c r="CD215" s="1195"/>
      <c r="CE215" s="249"/>
      <c r="CF215" s="216"/>
      <c r="CG215" s="1195"/>
      <c r="CH215" s="249"/>
      <c r="CI215" s="216"/>
      <c r="CJ215" s="1195"/>
      <c r="CK215" s="249"/>
      <c r="CL215" s="216"/>
      <c r="CM215" s="1194"/>
      <c r="CN215" s="1524"/>
      <c r="CO215" s="217"/>
      <c r="CP215" s="1193"/>
      <c r="CQ215" s="293"/>
      <c r="CR215" s="217"/>
      <c r="CS215" s="305"/>
      <c r="CT215" s="249"/>
      <c r="CU215" s="216"/>
      <c r="CV215" s="1193"/>
      <c r="CW215" s="249"/>
      <c r="CX215" s="216"/>
      <c r="CY215" s="305"/>
      <c r="CZ215" s="249"/>
      <c r="DA215" s="216"/>
      <c r="DB215" s="307"/>
      <c r="DC215" s="328"/>
      <c r="DD215" s="322"/>
      <c r="DE215" s="305"/>
      <c r="DF215" s="249"/>
      <c r="DG215" s="216"/>
      <c r="DH215" s="305"/>
      <c r="DI215" s="249"/>
      <c r="DJ215" s="216"/>
      <c r="DK215" s="309"/>
      <c r="DL215" s="293"/>
      <c r="DM215" s="326"/>
      <c r="DN215" s="1256"/>
      <c r="DO215" s="214"/>
      <c r="DP215" s="1257"/>
      <c r="DQ215" s="1258"/>
      <c r="DR215" s="305"/>
      <c r="DS215" s="249"/>
      <c r="DT215" s="216"/>
      <c r="DU215" s="305"/>
      <c r="DV215" s="2520"/>
      <c r="DW215" s="2521"/>
      <c r="DX215" s="305"/>
      <c r="DY215" s="249"/>
      <c r="DZ215" s="221"/>
      <c r="EA215" s="388"/>
      <c r="EB215" s="249"/>
      <c r="EC215" s="216"/>
      <c r="ED215" s="1461"/>
      <c r="EE215" s="249"/>
      <c r="EF215" s="216"/>
      <c r="EG215" s="355"/>
      <c r="EH215" s="1425"/>
      <c r="EI215" s="1470"/>
      <c r="EJ215" s="249"/>
      <c r="EK215" s="221"/>
      <c r="EL215" s="313"/>
      <c r="EM215" s="249"/>
      <c r="EN215" s="221"/>
      <c r="EO215" s="313"/>
      <c r="EP215" s="249"/>
      <c r="EQ215" s="216"/>
      <c r="ER215" s="313"/>
      <c r="ES215" s="249"/>
      <c r="ET215" s="216"/>
      <c r="EU215" s="313"/>
      <c r="EV215" s="249"/>
      <c r="EW215" s="216"/>
      <c r="EX215" s="2505"/>
      <c r="EY215" s="249"/>
      <c r="EZ215" s="221"/>
      <c r="FA215" s="313"/>
      <c r="FB215" s="249"/>
      <c r="FC215" s="221"/>
      <c r="FD215" s="313"/>
      <c r="FE215" s="249"/>
      <c r="FF215" s="221"/>
      <c r="FG215" s="313"/>
      <c r="FH215" s="249"/>
      <c r="FI215" s="216"/>
      <c r="FJ215" s="1435"/>
      <c r="FK215" s="216"/>
      <c r="FL215" s="1268"/>
      <c r="FM215" s="1655"/>
      <c r="FN215" s="1268"/>
      <c r="FO215" s="1655"/>
      <c r="FP215" s="1268"/>
      <c r="FQ215" s="1656"/>
      <c r="FR215" s="249"/>
      <c r="FS215" s="216"/>
      <c r="FT215" s="1657"/>
      <c r="FU215" s="1658"/>
      <c r="FV215" s="242"/>
      <c r="FW215" s="343"/>
      <c r="FX215" s="222"/>
      <c r="FY215" s="336"/>
      <c r="FZ215" s="223"/>
      <c r="GA215" s="338"/>
      <c r="GB215" s="204"/>
      <c r="GC215" s="339"/>
      <c r="GD215" s="342"/>
      <c r="GE215" s="199"/>
      <c r="GF215" s="199"/>
      <c r="GG215" s="199"/>
      <c r="GH215" s="199"/>
      <c r="GI215" s="199"/>
      <c r="GJ215" s="199"/>
      <c r="GK215" s="199"/>
      <c r="GL215" s="49"/>
      <c r="GM215" s="28"/>
      <c r="GN215" s="28"/>
      <c r="GO215" s="322"/>
      <c r="GP215" s="1190"/>
      <c r="GQ215" s="1190"/>
      <c r="GR215" s="49"/>
      <c r="GS215" s="2879"/>
      <c r="GT215" s="2880"/>
      <c r="GU215" s="2881"/>
      <c r="GV215" s="49"/>
      <c r="GW215" s="49"/>
      <c r="GX215" s="49"/>
      <c r="GY215" s="49"/>
      <c r="GZ215" s="49"/>
      <c r="HA215" s="49"/>
      <c r="HB215" s="49"/>
      <c r="HC215" s="49"/>
      <c r="HD215" s="49"/>
      <c r="HE215" s="49"/>
      <c r="HF215" s="49"/>
      <c r="HG215" s="49"/>
      <c r="HH215" s="49"/>
      <c r="HI215" s="49"/>
      <c r="HJ215" s="49"/>
      <c r="HK215" s="49"/>
      <c r="HL215" s="49"/>
      <c r="HM215" s="49"/>
      <c r="HN215" s="49"/>
      <c r="HO215" s="49"/>
      <c r="HP215" s="49"/>
      <c r="HQ215" s="49"/>
      <c r="HR215" s="49"/>
      <c r="HS215" s="49"/>
      <c r="HT215" s="49"/>
      <c r="HU215" s="49"/>
      <c r="HV215" s="49"/>
      <c r="HW215" s="49"/>
      <c r="HX215" s="49"/>
      <c r="HY215" s="49"/>
      <c r="HZ215" s="49"/>
      <c r="IA215" s="49"/>
      <c r="IB215" s="49"/>
      <c r="IC215" s="49"/>
      <c r="ID215" s="49"/>
      <c r="IE215" s="49"/>
      <c r="IF215" s="49"/>
      <c r="IG215" s="49"/>
      <c r="IH215" s="49"/>
      <c r="II215" s="49"/>
      <c r="IJ215" s="49"/>
      <c r="IK215" s="49"/>
      <c r="IL215" s="49"/>
      <c r="IM215" s="49"/>
      <c r="IN215" s="49"/>
      <c r="IO215" s="49"/>
      <c r="IP215" s="49"/>
      <c r="IQ215" s="49"/>
      <c r="IR215" s="49"/>
      <c r="IS215" s="49"/>
      <c r="IT215" s="49"/>
      <c r="IU215" s="49"/>
      <c r="IV215" s="49"/>
    </row>
    <row r="216" spans="1:256" s="198" customFormat="1" ht="12" customHeight="1">
      <c r="A216" s="1252"/>
      <c r="B216" s="200"/>
      <c r="C216" s="486"/>
      <c r="D216" s="201"/>
      <c r="E216" s="202"/>
      <c r="F216" s="203"/>
      <c r="G216" s="197"/>
      <c r="H216" s="197"/>
      <c r="I216" s="197"/>
      <c r="J216" s="197"/>
      <c r="K216" s="175"/>
      <c r="L216" s="197"/>
      <c r="M216" s="197"/>
      <c r="N216" s="197"/>
      <c r="O216" s="197"/>
      <c r="P216" s="197"/>
      <c r="Q216" s="1198"/>
      <c r="R216" s="202"/>
      <c r="S216" s="202"/>
      <c r="T216" s="1186"/>
      <c r="U216" s="233"/>
      <c r="V216" s="49"/>
      <c r="W216" s="218"/>
      <c r="X216" s="218"/>
      <c r="Y216" s="216"/>
      <c r="Z216" s="216"/>
      <c r="AA216" s="215"/>
      <c r="AB216" s="216"/>
      <c r="AC216" s="216"/>
      <c r="AD216" s="239"/>
      <c r="AE216" s="216"/>
      <c r="AF216" s="216"/>
      <c r="AG216" s="216"/>
      <c r="AH216" s="216"/>
      <c r="AI216" s="216"/>
      <c r="AJ216" s="216"/>
      <c r="AK216" s="239"/>
      <c r="AL216" s="216"/>
      <c r="AM216" s="216"/>
      <c r="AN216" s="216"/>
      <c r="AO216" s="216"/>
      <c r="AP216" s="216"/>
      <c r="AQ216" s="216"/>
      <c r="AR216" s="216"/>
      <c r="AS216" s="216"/>
      <c r="AT216" s="216"/>
      <c r="AU216" s="216"/>
      <c r="AV216" s="217"/>
      <c r="AW216" s="355"/>
      <c r="AX216" s="217"/>
      <c r="AY216" s="1559"/>
      <c r="AZ216" s="249"/>
      <c r="BA216" s="221"/>
      <c r="BB216" s="300"/>
      <c r="BC216" s="217"/>
      <c r="BD216" s="392"/>
      <c r="BE216" s="1244"/>
      <c r="BF216" s="249"/>
      <c r="BG216" s="252"/>
      <c r="BH216" s="1469"/>
      <c r="BI216" s="216"/>
      <c r="BJ216" s="1469"/>
      <c r="BK216" s="1459"/>
      <c r="BL216" s="260"/>
      <c r="BM216" s="214"/>
      <c r="BN216" s="293"/>
      <c r="BO216" s="217"/>
      <c r="BP216" s="355"/>
      <c r="BQ216" s="217"/>
      <c r="BR216" s="1193"/>
      <c r="BS216" s="249"/>
      <c r="BT216" s="216"/>
      <c r="BU216" s="1195"/>
      <c r="BV216" s="249"/>
      <c r="BW216" s="216"/>
      <c r="BX216" s="1195"/>
      <c r="BY216" s="249"/>
      <c r="BZ216" s="216"/>
      <c r="CA216" s="1195"/>
      <c r="CB216" s="249"/>
      <c r="CC216" s="216"/>
      <c r="CD216" s="1195"/>
      <c r="CE216" s="249"/>
      <c r="CF216" s="216"/>
      <c r="CG216" s="1195"/>
      <c r="CH216" s="249"/>
      <c r="CI216" s="216"/>
      <c r="CJ216" s="1195"/>
      <c r="CK216" s="249"/>
      <c r="CL216" s="216"/>
      <c r="CM216" s="1194"/>
      <c r="CN216" s="1524"/>
      <c r="CO216" s="217"/>
      <c r="CP216" s="1193"/>
      <c r="CQ216" s="293"/>
      <c r="CR216" s="217"/>
      <c r="CS216" s="305"/>
      <c r="CT216" s="249"/>
      <c r="CU216" s="216"/>
      <c r="CV216" s="1193"/>
      <c r="CW216" s="249"/>
      <c r="CX216" s="216"/>
      <c r="CY216" s="305"/>
      <c r="CZ216" s="249"/>
      <c r="DA216" s="216"/>
      <c r="DB216" s="307"/>
      <c r="DC216" s="328"/>
      <c r="DD216" s="322"/>
      <c r="DE216" s="305"/>
      <c r="DF216" s="249"/>
      <c r="DG216" s="216"/>
      <c r="DH216" s="305"/>
      <c r="DI216" s="249"/>
      <c r="DJ216" s="216"/>
      <c r="DK216" s="309"/>
      <c r="DL216" s="293"/>
      <c r="DM216" s="326"/>
      <c r="DN216" s="1256"/>
      <c r="DO216" s="214"/>
      <c r="DP216" s="1257"/>
      <c r="DQ216" s="1258"/>
      <c r="DR216" s="305"/>
      <c r="DS216" s="249"/>
      <c r="DT216" s="216"/>
      <c r="DU216" s="305"/>
      <c r="DV216" s="2520"/>
      <c r="DW216" s="2521"/>
      <c r="DX216" s="305"/>
      <c r="DY216" s="249"/>
      <c r="DZ216" s="221"/>
      <c r="EA216" s="388"/>
      <c r="EB216" s="249"/>
      <c r="EC216" s="216"/>
      <c r="ED216" s="1461"/>
      <c r="EE216" s="249"/>
      <c r="EF216" s="216"/>
      <c r="EG216" s="355"/>
      <c r="EH216" s="1425"/>
      <c r="EI216" s="1470"/>
      <c r="EJ216" s="249"/>
      <c r="EK216" s="221"/>
      <c r="EL216" s="313"/>
      <c r="EM216" s="249"/>
      <c r="EN216" s="221"/>
      <c r="EO216" s="313"/>
      <c r="EP216" s="249"/>
      <c r="EQ216" s="216"/>
      <c r="ER216" s="313"/>
      <c r="ES216" s="249"/>
      <c r="ET216" s="216"/>
      <c r="EU216" s="313"/>
      <c r="EV216" s="249"/>
      <c r="EW216" s="216"/>
      <c r="EX216" s="2505"/>
      <c r="EY216" s="249"/>
      <c r="EZ216" s="221"/>
      <c r="FA216" s="313"/>
      <c r="FB216" s="249"/>
      <c r="FC216" s="221"/>
      <c r="FD216" s="313"/>
      <c r="FE216" s="249"/>
      <c r="FF216" s="221"/>
      <c r="FG216" s="313"/>
      <c r="FH216" s="249"/>
      <c r="FI216" s="216"/>
      <c r="FJ216" s="1435"/>
      <c r="FK216" s="216"/>
      <c r="FL216" s="1268"/>
      <c r="FM216" s="1655"/>
      <c r="FN216" s="1268"/>
      <c r="FO216" s="1655"/>
      <c r="FP216" s="1268"/>
      <c r="FQ216" s="1656"/>
      <c r="FR216" s="249"/>
      <c r="FS216" s="216"/>
      <c r="FT216" s="1657"/>
      <c r="FU216" s="1658"/>
      <c r="FV216" s="242"/>
      <c r="FW216" s="343"/>
      <c r="FX216" s="222"/>
      <c r="FY216" s="336"/>
      <c r="FZ216" s="223"/>
      <c r="GA216" s="338"/>
      <c r="GB216" s="204"/>
      <c r="GC216" s="339"/>
      <c r="GD216" s="342"/>
      <c r="GE216" s="199"/>
      <c r="GF216" s="199"/>
      <c r="GG216" s="199"/>
      <c r="GH216" s="199"/>
      <c r="GI216" s="199"/>
      <c r="GJ216" s="199"/>
      <c r="GK216" s="199"/>
      <c r="GL216" s="49"/>
      <c r="GM216" s="28"/>
      <c r="GN216" s="28"/>
      <c r="GO216" s="322"/>
      <c r="GP216" s="1190"/>
      <c r="GQ216" s="1190"/>
      <c r="GR216" s="49"/>
      <c r="GS216" s="2879"/>
      <c r="GT216" s="2880"/>
      <c r="GU216" s="2881"/>
      <c r="GV216" s="49"/>
      <c r="GW216" s="49"/>
      <c r="GX216" s="49"/>
      <c r="GY216" s="49"/>
      <c r="GZ216" s="49"/>
      <c r="HA216" s="49"/>
      <c r="HB216" s="49"/>
      <c r="HC216" s="49"/>
      <c r="HD216" s="49"/>
      <c r="HE216" s="49"/>
      <c r="HF216" s="49"/>
      <c r="HG216" s="49"/>
      <c r="HH216" s="49"/>
      <c r="HI216" s="49"/>
      <c r="HJ216" s="49"/>
      <c r="HK216" s="49"/>
      <c r="HL216" s="49"/>
      <c r="HM216" s="49"/>
      <c r="HN216" s="49"/>
      <c r="HO216" s="49"/>
      <c r="HP216" s="49"/>
      <c r="HQ216" s="49"/>
      <c r="HR216" s="49"/>
      <c r="HS216" s="49"/>
      <c r="HT216" s="49"/>
      <c r="HU216" s="49"/>
      <c r="HV216" s="49"/>
      <c r="HW216" s="49"/>
      <c r="HX216" s="49"/>
      <c r="HY216" s="49"/>
      <c r="HZ216" s="49"/>
      <c r="IA216" s="49"/>
      <c r="IB216" s="49"/>
      <c r="IC216" s="49"/>
      <c r="ID216" s="49"/>
      <c r="IE216" s="49"/>
      <c r="IF216" s="49"/>
      <c r="IG216" s="49"/>
      <c r="IH216" s="49"/>
      <c r="II216" s="49"/>
      <c r="IJ216" s="49"/>
      <c r="IK216" s="49"/>
      <c r="IL216" s="49"/>
      <c r="IM216" s="49"/>
      <c r="IN216" s="49"/>
      <c r="IO216" s="49"/>
      <c r="IP216" s="49"/>
      <c r="IQ216" s="49"/>
      <c r="IR216" s="49"/>
      <c r="IS216" s="49"/>
      <c r="IT216" s="49"/>
      <c r="IU216" s="49"/>
      <c r="IV216" s="49"/>
    </row>
    <row r="217" spans="1:256" s="198" customFormat="1" ht="12" customHeight="1">
      <c r="A217" s="1252"/>
      <c r="B217" s="200"/>
      <c r="C217" s="486"/>
      <c r="D217" s="201"/>
      <c r="E217" s="202"/>
      <c r="F217" s="203"/>
      <c r="G217" s="197"/>
      <c r="H217" s="197"/>
      <c r="I217" s="197"/>
      <c r="J217" s="197"/>
      <c r="K217" s="175"/>
      <c r="L217" s="197"/>
      <c r="M217" s="197"/>
      <c r="N217" s="197"/>
      <c r="O217" s="197"/>
      <c r="P217" s="197"/>
      <c r="Q217" s="1198"/>
      <c r="R217" s="202"/>
      <c r="S217" s="202"/>
      <c r="T217" s="1186"/>
      <c r="U217" s="233"/>
      <c r="V217" s="49"/>
      <c r="W217" s="218"/>
      <c r="X217" s="218"/>
      <c r="Y217" s="216"/>
      <c r="Z217" s="216"/>
      <c r="AA217" s="215"/>
      <c r="AB217" s="216"/>
      <c r="AC217" s="216"/>
      <c r="AD217" s="239"/>
      <c r="AE217" s="216"/>
      <c r="AF217" s="216"/>
      <c r="AG217" s="216"/>
      <c r="AH217" s="216"/>
      <c r="AI217" s="216"/>
      <c r="AJ217" s="216"/>
      <c r="AK217" s="239"/>
      <c r="AL217" s="216"/>
      <c r="AM217" s="216"/>
      <c r="AN217" s="216"/>
      <c r="AO217" s="216"/>
      <c r="AP217" s="216"/>
      <c r="AQ217" s="216"/>
      <c r="AR217" s="216"/>
      <c r="AS217" s="216"/>
      <c r="AT217" s="216"/>
      <c r="AU217" s="216"/>
      <c r="AV217" s="217"/>
      <c r="AW217" s="355"/>
      <c r="AX217" s="217"/>
      <c r="AY217" s="1559"/>
      <c r="AZ217" s="249"/>
      <c r="BA217" s="221"/>
      <c r="BB217" s="300"/>
      <c r="BC217" s="217"/>
      <c r="BD217" s="392"/>
      <c r="BE217" s="1244"/>
      <c r="BF217" s="249"/>
      <c r="BG217" s="252"/>
      <c r="BH217" s="1469"/>
      <c r="BI217" s="216"/>
      <c r="BJ217" s="1469"/>
      <c r="BK217" s="1459"/>
      <c r="BL217" s="260"/>
      <c r="BM217" s="214"/>
      <c r="BN217" s="293"/>
      <c r="BO217" s="217"/>
      <c r="BP217" s="355"/>
      <c r="BQ217" s="217"/>
      <c r="BR217" s="1193"/>
      <c r="BS217" s="249"/>
      <c r="BT217" s="216"/>
      <c r="BU217" s="1195"/>
      <c r="BV217" s="249"/>
      <c r="BW217" s="216"/>
      <c r="BX217" s="1195"/>
      <c r="BY217" s="249"/>
      <c r="BZ217" s="216"/>
      <c r="CA217" s="1195"/>
      <c r="CB217" s="249"/>
      <c r="CC217" s="216"/>
      <c r="CD217" s="1195"/>
      <c r="CE217" s="249"/>
      <c r="CF217" s="216"/>
      <c r="CG217" s="1195"/>
      <c r="CH217" s="249"/>
      <c r="CI217" s="216"/>
      <c r="CJ217" s="1195"/>
      <c r="CK217" s="249"/>
      <c r="CL217" s="216"/>
      <c r="CM217" s="1194"/>
      <c r="CN217" s="1524"/>
      <c r="CO217" s="217"/>
      <c r="CP217" s="1193"/>
      <c r="CQ217" s="293"/>
      <c r="CR217" s="217"/>
      <c r="CS217" s="305"/>
      <c r="CT217" s="249"/>
      <c r="CU217" s="216"/>
      <c r="CV217" s="1193"/>
      <c r="CW217" s="249"/>
      <c r="CX217" s="216"/>
      <c r="CY217" s="305"/>
      <c r="CZ217" s="249"/>
      <c r="DA217" s="216"/>
      <c r="DB217" s="307"/>
      <c r="DC217" s="328"/>
      <c r="DD217" s="322"/>
      <c r="DE217" s="305"/>
      <c r="DF217" s="249"/>
      <c r="DG217" s="216"/>
      <c r="DH217" s="305"/>
      <c r="DI217" s="249"/>
      <c r="DJ217" s="216"/>
      <c r="DK217" s="309"/>
      <c r="DL217" s="293"/>
      <c r="DM217" s="326"/>
      <c r="DN217" s="1256"/>
      <c r="DO217" s="214"/>
      <c r="DP217" s="1257"/>
      <c r="DQ217" s="1258"/>
      <c r="DR217" s="305"/>
      <c r="DS217" s="249"/>
      <c r="DT217" s="216"/>
      <c r="DU217" s="305"/>
      <c r="DV217" s="2520"/>
      <c r="DW217" s="2521"/>
      <c r="DX217" s="305"/>
      <c r="DY217" s="249"/>
      <c r="DZ217" s="221"/>
      <c r="EA217" s="388"/>
      <c r="EB217" s="249"/>
      <c r="EC217" s="216"/>
      <c r="ED217" s="1461"/>
      <c r="EE217" s="249"/>
      <c r="EF217" s="216"/>
      <c r="EG217" s="355"/>
      <c r="EH217" s="1425"/>
      <c r="EI217" s="1470"/>
      <c r="EJ217" s="249"/>
      <c r="EK217" s="221"/>
      <c r="EL217" s="313"/>
      <c r="EM217" s="249"/>
      <c r="EN217" s="221"/>
      <c r="EO217" s="313"/>
      <c r="EP217" s="249"/>
      <c r="EQ217" s="216"/>
      <c r="ER217" s="313"/>
      <c r="ES217" s="249"/>
      <c r="ET217" s="216"/>
      <c r="EU217" s="313"/>
      <c r="EV217" s="249"/>
      <c r="EW217" s="216"/>
      <c r="EX217" s="2505"/>
      <c r="EY217" s="249"/>
      <c r="EZ217" s="221"/>
      <c r="FA217" s="313"/>
      <c r="FB217" s="249"/>
      <c r="FC217" s="221"/>
      <c r="FD217" s="313"/>
      <c r="FE217" s="249"/>
      <c r="FF217" s="221"/>
      <c r="FG217" s="313"/>
      <c r="FH217" s="249"/>
      <c r="FI217" s="216"/>
      <c r="FJ217" s="1435"/>
      <c r="FK217" s="216"/>
      <c r="FL217" s="1268"/>
      <c r="FM217" s="1655"/>
      <c r="FN217" s="1268"/>
      <c r="FO217" s="1655"/>
      <c r="FP217" s="1268"/>
      <c r="FQ217" s="1656"/>
      <c r="FR217" s="249"/>
      <c r="FS217" s="216"/>
      <c r="FT217" s="1657"/>
      <c r="FU217" s="1658"/>
      <c r="FV217" s="242"/>
      <c r="FW217" s="343"/>
      <c r="FX217" s="222"/>
      <c r="FY217" s="336"/>
      <c r="FZ217" s="223"/>
      <c r="GA217" s="338"/>
      <c r="GB217" s="204"/>
      <c r="GC217" s="339"/>
      <c r="GD217" s="342"/>
      <c r="GE217" s="199"/>
      <c r="GF217" s="199"/>
      <c r="GG217" s="199"/>
      <c r="GH217" s="199"/>
      <c r="GI217" s="199"/>
      <c r="GJ217" s="199"/>
      <c r="GK217" s="199"/>
      <c r="GL217" s="49"/>
      <c r="GM217" s="28"/>
      <c r="GN217" s="28"/>
      <c r="GO217" s="322"/>
      <c r="GP217" s="1190"/>
      <c r="GQ217" s="1190"/>
      <c r="GR217" s="49"/>
      <c r="GS217" s="2879"/>
      <c r="GT217" s="2880"/>
      <c r="GU217" s="2881"/>
      <c r="GV217" s="49"/>
      <c r="GW217" s="49"/>
      <c r="GX217" s="49"/>
      <c r="GY217" s="49"/>
      <c r="GZ217" s="49"/>
      <c r="HA217" s="49"/>
      <c r="HB217" s="49"/>
      <c r="HC217" s="49"/>
      <c r="HD217" s="49"/>
      <c r="HE217" s="49"/>
      <c r="HF217" s="49"/>
      <c r="HG217" s="49"/>
      <c r="HH217" s="49"/>
      <c r="HI217" s="49"/>
      <c r="HJ217" s="49"/>
      <c r="HK217" s="49"/>
      <c r="HL217" s="49"/>
      <c r="HM217" s="49"/>
      <c r="HN217" s="49"/>
      <c r="HO217" s="49"/>
      <c r="HP217" s="49"/>
      <c r="HQ217" s="49"/>
      <c r="HR217" s="49"/>
      <c r="HS217" s="49"/>
      <c r="HT217" s="49"/>
      <c r="HU217" s="49"/>
      <c r="HV217" s="49"/>
      <c r="HW217" s="49"/>
      <c r="HX217" s="49"/>
      <c r="HY217" s="49"/>
      <c r="HZ217" s="49"/>
      <c r="IA217" s="49"/>
      <c r="IB217" s="49"/>
      <c r="IC217" s="49"/>
      <c r="ID217" s="49"/>
      <c r="IE217" s="49"/>
      <c r="IF217" s="49"/>
      <c r="IG217" s="49"/>
      <c r="IH217" s="49"/>
      <c r="II217" s="49"/>
      <c r="IJ217" s="49"/>
      <c r="IK217" s="49"/>
      <c r="IL217" s="49"/>
      <c r="IM217" s="49"/>
      <c r="IN217" s="49"/>
      <c r="IO217" s="49"/>
      <c r="IP217" s="49"/>
      <c r="IQ217" s="49"/>
      <c r="IR217" s="49"/>
      <c r="IS217" s="49"/>
      <c r="IT217" s="49"/>
      <c r="IU217" s="49"/>
      <c r="IV217" s="49"/>
    </row>
    <row r="218" spans="1:256" s="198" customFormat="1" ht="12" customHeight="1">
      <c r="A218" s="1252"/>
      <c r="B218" s="200"/>
      <c r="C218" s="486"/>
      <c r="D218" s="201"/>
      <c r="E218" s="202"/>
      <c r="F218" s="203"/>
      <c r="G218" s="197"/>
      <c r="H218" s="197"/>
      <c r="I218" s="197"/>
      <c r="J218" s="197"/>
      <c r="K218" s="175"/>
      <c r="L218" s="197"/>
      <c r="M218" s="197"/>
      <c r="N218" s="197"/>
      <c r="O218" s="197"/>
      <c r="P218" s="197"/>
      <c r="Q218" s="1198"/>
      <c r="R218" s="202"/>
      <c r="S218" s="202"/>
      <c r="T218" s="1186"/>
      <c r="U218" s="233"/>
      <c r="V218" s="49"/>
      <c r="W218" s="218"/>
      <c r="X218" s="218"/>
      <c r="Y218" s="216"/>
      <c r="Z218" s="216"/>
      <c r="AA218" s="215"/>
      <c r="AB218" s="216"/>
      <c r="AC218" s="216"/>
      <c r="AD218" s="239"/>
      <c r="AE218" s="216"/>
      <c r="AF218" s="216"/>
      <c r="AG218" s="216"/>
      <c r="AH218" s="216"/>
      <c r="AI218" s="216"/>
      <c r="AJ218" s="216"/>
      <c r="AK218" s="239"/>
      <c r="AL218" s="216"/>
      <c r="AM218" s="216"/>
      <c r="AN218" s="216"/>
      <c r="AO218" s="216"/>
      <c r="AP218" s="216"/>
      <c r="AQ218" s="216"/>
      <c r="AR218" s="216"/>
      <c r="AS218" s="216"/>
      <c r="AT218" s="216"/>
      <c r="AU218" s="216"/>
      <c r="AV218" s="217"/>
      <c r="AW218" s="355"/>
      <c r="AX218" s="217"/>
      <c r="AY218" s="1559"/>
      <c r="AZ218" s="249"/>
      <c r="BA218" s="221"/>
      <c r="BB218" s="300"/>
      <c r="BC218" s="217"/>
      <c r="BD218" s="392"/>
      <c r="BE218" s="1244"/>
      <c r="BF218" s="249"/>
      <c r="BG218" s="252"/>
      <c r="BH218" s="1469"/>
      <c r="BI218" s="216"/>
      <c r="BJ218" s="1469"/>
      <c r="BK218" s="1459"/>
      <c r="BL218" s="260"/>
      <c r="BM218" s="214"/>
      <c r="BN218" s="293"/>
      <c r="BO218" s="217"/>
      <c r="BP218" s="355"/>
      <c r="BQ218" s="217"/>
      <c r="BR218" s="1193"/>
      <c r="BS218" s="249"/>
      <c r="BT218" s="216"/>
      <c r="BU218" s="1195"/>
      <c r="BV218" s="249"/>
      <c r="BW218" s="216"/>
      <c r="BX218" s="1195"/>
      <c r="BY218" s="249"/>
      <c r="BZ218" s="216"/>
      <c r="CA218" s="1195"/>
      <c r="CB218" s="249"/>
      <c r="CC218" s="216"/>
      <c r="CD218" s="1195"/>
      <c r="CE218" s="249"/>
      <c r="CF218" s="216"/>
      <c r="CG218" s="1195"/>
      <c r="CH218" s="249"/>
      <c r="CI218" s="216"/>
      <c r="CJ218" s="1195"/>
      <c r="CK218" s="249"/>
      <c r="CL218" s="216"/>
      <c r="CM218" s="1194"/>
      <c r="CN218" s="1524"/>
      <c r="CO218" s="217"/>
      <c r="CP218" s="1193"/>
      <c r="CQ218" s="293"/>
      <c r="CR218" s="217"/>
      <c r="CS218" s="305"/>
      <c r="CT218" s="249"/>
      <c r="CU218" s="216"/>
      <c r="CV218" s="1193"/>
      <c r="CW218" s="249"/>
      <c r="CX218" s="216"/>
      <c r="CY218" s="305"/>
      <c r="CZ218" s="249"/>
      <c r="DA218" s="216"/>
      <c r="DB218" s="307"/>
      <c r="DC218" s="328"/>
      <c r="DD218" s="322"/>
      <c r="DE218" s="305"/>
      <c r="DF218" s="249"/>
      <c r="DG218" s="216"/>
      <c r="DH218" s="305"/>
      <c r="DI218" s="249"/>
      <c r="DJ218" s="216"/>
      <c r="DK218" s="309"/>
      <c r="DL218" s="293"/>
      <c r="DM218" s="326"/>
      <c r="DN218" s="1256"/>
      <c r="DO218" s="214"/>
      <c r="DP218" s="1257"/>
      <c r="DQ218" s="1258"/>
      <c r="DR218" s="305"/>
      <c r="DS218" s="249"/>
      <c r="DT218" s="216"/>
      <c r="DU218" s="305"/>
      <c r="DV218" s="2520"/>
      <c r="DW218" s="2521"/>
      <c r="DX218" s="305"/>
      <c r="DY218" s="249"/>
      <c r="DZ218" s="221"/>
      <c r="EA218" s="388"/>
      <c r="EB218" s="249"/>
      <c r="EC218" s="216"/>
      <c r="ED218" s="1461"/>
      <c r="EE218" s="249"/>
      <c r="EF218" s="216"/>
      <c r="EG218" s="355"/>
      <c r="EH218" s="1425"/>
      <c r="EI218" s="1470"/>
      <c r="EJ218" s="249"/>
      <c r="EK218" s="221"/>
      <c r="EL218" s="313"/>
      <c r="EM218" s="249"/>
      <c r="EN218" s="221"/>
      <c r="EO218" s="313"/>
      <c r="EP218" s="249"/>
      <c r="EQ218" s="216"/>
      <c r="ER218" s="313"/>
      <c r="ES218" s="249"/>
      <c r="ET218" s="216"/>
      <c r="EU218" s="313"/>
      <c r="EV218" s="249"/>
      <c r="EW218" s="216"/>
      <c r="EX218" s="2505"/>
      <c r="EY218" s="249"/>
      <c r="EZ218" s="221"/>
      <c r="FA218" s="313"/>
      <c r="FB218" s="249"/>
      <c r="FC218" s="221"/>
      <c r="FD218" s="313"/>
      <c r="FE218" s="249"/>
      <c r="FF218" s="221"/>
      <c r="FG218" s="313"/>
      <c r="FH218" s="249"/>
      <c r="FI218" s="216"/>
      <c r="FJ218" s="1435"/>
      <c r="FK218" s="216"/>
      <c r="FL218" s="1268"/>
      <c r="FM218" s="1655"/>
      <c r="FN218" s="1268"/>
      <c r="FO218" s="1655"/>
      <c r="FP218" s="1268"/>
      <c r="FQ218" s="1656"/>
      <c r="FR218" s="249"/>
      <c r="FS218" s="216"/>
      <c r="FT218" s="1657"/>
      <c r="FU218" s="1658"/>
      <c r="FV218" s="242"/>
      <c r="FW218" s="343"/>
      <c r="FX218" s="222"/>
      <c r="FY218" s="336"/>
      <c r="FZ218" s="223"/>
      <c r="GA218" s="338"/>
      <c r="GB218" s="204"/>
      <c r="GC218" s="339"/>
      <c r="GD218" s="342"/>
      <c r="GE218" s="199"/>
      <c r="GF218" s="199"/>
      <c r="GG218" s="199"/>
      <c r="GH218" s="199"/>
      <c r="GI218" s="199"/>
      <c r="GJ218" s="199"/>
      <c r="GK218" s="199"/>
      <c r="GL218" s="49"/>
      <c r="GM218" s="28"/>
      <c r="GN218" s="28"/>
      <c r="GO218" s="322"/>
      <c r="GP218" s="1190"/>
      <c r="GQ218" s="1190"/>
      <c r="GR218" s="49"/>
      <c r="GS218" s="2879"/>
      <c r="GT218" s="2880"/>
      <c r="GU218" s="2881"/>
      <c r="GV218" s="49"/>
      <c r="GW218" s="49"/>
      <c r="GX218" s="49"/>
      <c r="GY218" s="49"/>
      <c r="GZ218" s="49"/>
      <c r="HA218" s="49"/>
      <c r="HB218" s="49"/>
      <c r="HC218" s="49"/>
      <c r="HD218" s="49"/>
      <c r="HE218" s="49"/>
      <c r="HF218" s="49"/>
      <c r="HG218" s="49"/>
      <c r="HH218" s="49"/>
      <c r="HI218" s="49"/>
      <c r="HJ218" s="49"/>
      <c r="HK218" s="49"/>
      <c r="HL218" s="49"/>
      <c r="HM218" s="49"/>
      <c r="HN218" s="49"/>
      <c r="HO218" s="49"/>
      <c r="HP218" s="49"/>
      <c r="HQ218" s="49"/>
      <c r="HR218" s="49"/>
      <c r="HS218" s="49"/>
      <c r="HT218" s="49"/>
      <c r="HU218" s="49"/>
      <c r="HV218" s="49"/>
      <c r="HW218" s="49"/>
      <c r="HX218" s="49"/>
      <c r="HY218" s="49"/>
      <c r="HZ218" s="49"/>
      <c r="IA218" s="49"/>
      <c r="IB218" s="49"/>
      <c r="IC218" s="49"/>
      <c r="ID218" s="49"/>
      <c r="IE218" s="49"/>
      <c r="IF218" s="49"/>
      <c r="IG218" s="49"/>
      <c r="IH218" s="49"/>
      <c r="II218" s="49"/>
      <c r="IJ218" s="49"/>
      <c r="IK218" s="49"/>
      <c r="IL218" s="49"/>
      <c r="IM218" s="49"/>
      <c r="IN218" s="49"/>
      <c r="IO218" s="49"/>
      <c r="IP218" s="49"/>
      <c r="IQ218" s="49"/>
      <c r="IR218" s="49"/>
      <c r="IS218" s="49"/>
      <c r="IT218" s="49"/>
      <c r="IU218" s="49"/>
      <c r="IV218" s="49"/>
    </row>
    <row r="219" spans="1:256" s="198" customFormat="1" ht="12" customHeight="1">
      <c r="A219" s="1252"/>
      <c r="B219" s="200"/>
      <c r="C219" s="486"/>
      <c r="D219" s="201"/>
      <c r="E219" s="202"/>
      <c r="F219" s="203"/>
      <c r="G219" s="197"/>
      <c r="H219" s="197"/>
      <c r="I219" s="197"/>
      <c r="J219" s="197"/>
      <c r="K219" s="175"/>
      <c r="L219" s="197"/>
      <c r="M219" s="197"/>
      <c r="N219" s="197"/>
      <c r="O219" s="197"/>
      <c r="P219" s="197"/>
      <c r="Q219" s="1198"/>
      <c r="R219" s="202"/>
      <c r="S219" s="202"/>
      <c r="T219" s="1186"/>
      <c r="U219" s="233"/>
      <c r="V219" s="49"/>
      <c r="W219" s="218"/>
      <c r="X219" s="218"/>
      <c r="Y219" s="216"/>
      <c r="Z219" s="216"/>
      <c r="AA219" s="215"/>
      <c r="AB219" s="216"/>
      <c r="AC219" s="216"/>
      <c r="AD219" s="239"/>
      <c r="AE219" s="216"/>
      <c r="AF219" s="216"/>
      <c r="AG219" s="216"/>
      <c r="AH219" s="216"/>
      <c r="AI219" s="216"/>
      <c r="AJ219" s="216"/>
      <c r="AK219" s="239"/>
      <c r="AL219" s="216"/>
      <c r="AM219" s="216"/>
      <c r="AN219" s="216"/>
      <c r="AO219" s="216"/>
      <c r="AP219" s="216"/>
      <c r="AQ219" s="216"/>
      <c r="AR219" s="216"/>
      <c r="AS219" s="216"/>
      <c r="AT219" s="216"/>
      <c r="AU219" s="216"/>
      <c r="AV219" s="217"/>
      <c r="AW219" s="355"/>
      <c r="AX219" s="217"/>
      <c r="AY219" s="1559"/>
      <c r="AZ219" s="249"/>
      <c r="BA219" s="221"/>
      <c r="BB219" s="300"/>
      <c r="BC219" s="217"/>
      <c r="BD219" s="392"/>
      <c r="BE219" s="1244"/>
      <c r="BF219" s="249"/>
      <c r="BG219" s="252"/>
      <c r="BH219" s="1469"/>
      <c r="BI219" s="216"/>
      <c r="BJ219" s="1469"/>
      <c r="BK219" s="1459"/>
      <c r="BL219" s="260"/>
      <c r="BM219" s="214"/>
      <c r="BN219" s="293"/>
      <c r="BO219" s="217"/>
      <c r="BP219" s="355"/>
      <c r="BQ219" s="217"/>
      <c r="BR219" s="1193"/>
      <c r="BS219" s="249"/>
      <c r="BT219" s="216"/>
      <c r="BU219" s="1195"/>
      <c r="BV219" s="249"/>
      <c r="BW219" s="216"/>
      <c r="BX219" s="1195"/>
      <c r="BY219" s="249"/>
      <c r="BZ219" s="216"/>
      <c r="CA219" s="1195"/>
      <c r="CB219" s="249"/>
      <c r="CC219" s="216"/>
      <c r="CD219" s="1195"/>
      <c r="CE219" s="249"/>
      <c r="CF219" s="216"/>
      <c r="CG219" s="1195"/>
      <c r="CH219" s="249"/>
      <c r="CI219" s="216"/>
      <c r="CJ219" s="1195"/>
      <c r="CK219" s="249"/>
      <c r="CL219" s="216"/>
      <c r="CM219" s="1194"/>
      <c r="CN219" s="1524"/>
      <c r="CO219" s="217"/>
      <c r="CP219" s="1193"/>
      <c r="CQ219" s="293"/>
      <c r="CR219" s="217"/>
      <c r="CS219" s="305"/>
      <c r="CT219" s="249"/>
      <c r="CU219" s="216"/>
      <c r="CV219" s="1193"/>
      <c r="CW219" s="249"/>
      <c r="CX219" s="216"/>
      <c r="CY219" s="305"/>
      <c r="CZ219" s="249"/>
      <c r="DA219" s="216"/>
      <c r="DB219" s="307"/>
      <c r="DC219" s="328"/>
      <c r="DD219" s="322"/>
      <c r="DE219" s="305"/>
      <c r="DF219" s="249"/>
      <c r="DG219" s="216"/>
      <c r="DH219" s="305"/>
      <c r="DI219" s="249"/>
      <c r="DJ219" s="216"/>
      <c r="DK219" s="309"/>
      <c r="DL219" s="293"/>
      <c r="DM219" s="326"/>
      <c r="DN219" s="1256"/>
      <c r="DO219" s="214"/>
      <c r="DP219" s="1257"/>
      <c r="DQ219" s="1258"/>
      <c r="DR219" s="305"/>
      <c r="DS219" s="249"/>
      <c r="DT219" s="216"/>
      <c r="DU219" s="305"/>
      <c r="DV219" s="2520"/>
      <c r="DW219" s="2521"/>
      <c r="DX219" s="305"/>
      <c r="DY219" s="249"/>
      <c r="DZ219" s="221"/>
      <c r="EA219" s="388"/>
      <c r="EB219" s="249"/>
      <c r="EC219" s="216"/>
      <c r="ED219" s="1461"/>
      <c r="EE219" s="249"/>
      <c r="EF219" s="216"/>
      <c r="EG219" s="355"/>
      <c r="EH219" s="1425"/>
      <c r="EI219" s="1470"/>
      <c r="EJ219" s="249"/>
      <c r="EK219" s="221"/>
      <c r="EL219" s="313"/>
      <c r="EM219" s="249"/>
      <c r="EN219" s="221"/>
      <c r="EO219" s="313"/>
      <c r="EP219" s="249"/>
      <c r="EQ219" s="216"/>
      <c r="ER219" s="313"/>
      <c r="ES219" s="249"/>
      <c r="ET219" s="216"/>
      <c r="EU219" s="313"/>
      <c r="EV219" s="249"/>
      <c r="EW219" s="216"/>
      <c r="EX219" s="2505"/>
      <c r="EY219" s="249"/>
      <c r="EZ219" s="221"/>
      <c r="FA219" s="313"/>
      <c r="FB219" s="249"/>
      <c r="FC219" s="221"/>
      <c r="FD219" s="313"/>
      <c r="FE219" s="249"/>
      <c r="FF219" s="221"/>
      <c r="FG219" s="313"/>
      <c r="FH219" s="249"/>
      <c r="FI219" s="216"/>
      <c r="FJ219" s="1435"/>
      <c r="FK219" s="216"/>
      <c r="FL219" s="1268"/>
      <c r="FM219" s="1655"/>
      <c r="FN219" s="1268"/>
      <c r="FO219" s="1655"/>
      <c r="FP219" s="1268"/>
      <c r="FQ219" s="1656"/>
      <c r="FR219" s="249"/>
      <c r="FS219" s="216"/>
      <c r="FT219" s="1657"/>
      <c r="FU219" s="1658"/>
      <c r="FV219" s="242"/>
      <c r="FW219" s="343"/>
      <c r="FX219" s="222"/>
      <c r="FY219" s="336"/>
      <c r="FZ219" s="223"/>
      <c r="GA219" s="338"/>
      <c r="GB219" s="204"/>
      <c r="GC219" s="339"/>
      <c r="GD219" s="342"/>
      <c r="GE219" s="199"/>
      <c r="GF219" s="199"/>
      <c r="GG219" s="199"/>
      <c r="GH219" s="199"/>
      <c r="GI219" s="199"/>
      <c r="GJ219" s="199"/>
      <c r="GK219" s="199"/>
      <c r="GL219" s="49"/>
      <c r="GM219" s="28"/>
      <c r="GN219" s="28"/>
      <c r="GO219" s="322"/>
      <c r="GP219" s="1190"/>
      <c r="GQ219" s="1190"/>
      <c r="GR219" s="49"/>
      <c r="GS219" s="2879"/>
      <c r="GT219" s="2880"/>
      <c r="GU219" s="2881"/>
      <c r="GV219" s="49"/>
      <c r="GW219" s="49"/>
      <c r="GX219" s="49"/>
      <c r="GY219" s="49"/>
      <c r="GZ219" s="49"/>
      <c r="HA219" s="49"/>
      <c r="HB219" s="49"/>
      <c r="HC219" s="49"/>
      <c r="HD219" s="49"/>
      <c r="HE219" s="49"/>
      <c r="HF219" s="49"/>
      <c r="HG219" s="49"/>
      <c r="HH219" s="49"/>
      <c r="HI219" s="49"/>
      <c r="HJ219" s="49"/>
      <c r="HK219" s="49"/>
      <c r="HL219" s="49"/>
      <c r="HM219" s="49"/>
      <c r="HN219" s="49"/>
      <c r="HO219" s="49"/>
      <c r="HP219" s="49"/>
      <c r="HQ219" s="49"/>
      <c r="HR219" s="49"/>
      <c r="HS219" s="49"/>
      <c r="HT219" s="49"/>
      <c r="HU219" s="49"/>
      <c r="HV219" s="49"/>
      <c r="HW219" s="49"/>
      <c r="HX219" s="49"/>
      <c r="HY219" s="49"/>
      <c r="HZ219" s="49"/>
      <c r="IA219" s="49"/>
      <c r="IB219" s="49"/>
      <c r="IC219" s="49"/>
      <c r="ID219" s="49"/>
      <c r="IE219" s="49"/>
      <c r="IF219" s="49"/>
      <c r="IG219" s="49"/>
      <c r="IH219" s="49"/>
      <c r="II219" s="49"/>
      <c r="IJ219" s="49"/>
      <c r="IK219" s="49"/>
      <c r="IL219" s="49"/>
      <c r="IM219" s="49"/>
      <c r="IN219" s="49"/>
      <c r="IO219" s="49"/>
      <c r="IP219" s="49"/>
      <c r="IQ219" s="49"/>
      <c r="IR219" s="49"/>
      <c r="IS219" s="49"/>
      <c r="IT219" s="49"/>
      <c r="IU219" s="49"/>
      <c r="IV219" s="49"/>
    </row>
    <row r="220" spans="1:256" s="198" customFormat="1" ht="12" customHeight="1">
      <c r="A220" s="1252"/>
      <c r="B220" s="200"/>
      <c r="C220" s="486"/>
      <c r="D220" s="201"/>
      <c r="E220" s="202"/>
      <c r="F220" s="203"/>
      <c r="G220" s="197"/>
      <c r="H220" s="197"/>
      <c r="I220" s="197"/>
      <c r="J220" s="197"/>
      <c r="K220" s="175"/>
      <c r="L220" s="197"/>
      <c r="M220" s="197"/>
      <c r="N220" s="197"/>
      <c r="O220" s="197"/>
      <c r="P220" s="197"/>
      <c r="Q220" s="1198"/>
      <c r="R220" s="202"/>
      <c r="S220" s="202"/>
      <c r="T220" s="1186"/>
      <c r="U220" s="233"/>
      <c r="V220" s="49"/>
      <c r="W220" s="218"/>
      <c r="X220" s="218"/>
      <c r="Y220" s="216"/>
      <c r="Z220" s="216"/>
      <c r="AA220" s="215"/>
      <c r="AB220" s="216"/>
      <c r="AC220" s="216"/>
      <c r="AD220" s="239"/>
      <c r="AE220" s="216"/>
      <c r="AF220" s="216"/>
      <c r="AG220" s="216"/>
      <c r="AH220" s="216"/>
      <c r="AI220" s="216"/>
      <c r="AJ220" s="216"/>
      <c r="AK220" s="239"/>
      <c r="AL220" s="216"/>
      <c r="AM220" s="216"/>
      <c r="AN220" s="216"/>
      <c r="AO220" s="216"/>
      <c r="AP220" s="216"/>
      <c r="AQ220" s="216"/>
      <c r="AR220" s="216"/>
      <c r="AS220" s="216"/>
      <c r="AT220" s="216"/>
      <c r="AU220" s="216"/>
      <c r="AV220" s="217"/>
      <c r="AW220" s="355"/>
      <c r="AX220" s="217"/>
      <c r="AY220" s="1559"/>
      <c r="AZ220" s="249"/>
      <c r="BA220" s="221"/>
      <c r="BB220" s="300"/>
      <c r="BC220" s="217"/>
      <c r="BD220" s="392"/>
      <c r="BE220" s="1244"/>
      <c r="BF220" s="249"/>
      <c r="BG220" s="252"/>
      <c r="BH220" s="1469"/>
      <c r="BI220" s="216"/>
      <c r="BJ220" s="1469"/>
      <c r="BK220" s="1459"/>
      <c r="BL220" s="260"/>
      <c r="BM220" s="214"/>
      <c r="BN220" s="293"/>
      <c r="BO220" s="217"/>
      <c r="BP220" s="355"/>
      <c r="BQ220" s="217"/>
      <c r="BR220" s="1193"/>
      <c r="BS220" s="249"/>
      <c r="BT220" s="216"/>
      <c r="BU220" s="1195"/>
      <c r="BV220" s="249"/>
      <c r="BW220" s="216"/>
      <c r="BX220" s="1195"/>
      <c r="BY220" s="249"/>
      <c r="BZ220" s="216"/>
      <c r="CA220" s="1195"/>
      <c r="CB220" s="249"/>
      <c r="CC220" s="216"/>
      <c r="CD220" s="1195"/>
      <c r="CE220" s="249"/>
      <c r="CF220" s="216"/>
      <c r="CG220" s="1195"/>
      <c r="CH220" s="249"/>
      <c r="CI220" s="216"/>
      <c r="CJ220" s="1195"/>
      <c r="CK220" s="249"/>
      <c r="CL220" s="216"/>
      <c r="CM220" s="1194"/>
      <c r="CN220" s="1524"/>
      <c r="CO220" s="217"/>
      <c r="CP220" s="1193"/>
      <c r="CQ220" s="293"/>
      <c r="CR220" s="217"/>
      <c r="CS220" s="305"/>
      <c r="CT220" s="249"/>
      <c r="CU220" s="216"/>
      <c r="CV220" s="1193"/>
      <c r="CW220" s="249"/>
      <c r="CX220" s="216"/>
      <c r="CY220" s="305"/>
      <c r="CZ220" s="249"/>
      <c r="DA220" s="216"/>
      <c r="DB220" s="307"/>
      <c r="DC220" s="328"/>
      <c r="DD220" s="322"/>
      <c r="DE220" s="305"/>
      <c r="DF220" s="249"/>
      <c r="DG220" s="216"/>
      <c r="DH220" s="305"/>
      <c r="DI220" s="249"/>
      <c r="DJ220" s="216"/>
      <c r="DK220" s="309"/>
      <c r="DL220" s="293"/>
      <c r="DM220" s="326"/>
      <c r="DN220" s="1256"/>
      <c r="DO220" s="214"/>
      <c r="DP220" s="1257"/>
      <c r="DQ220" s="1258"/>
      <c r="DR220" s="305"/>
      <c r="DS220" s="249"/>
      <c r="DT220" s="216"/>
      <c r="DU220" s="305"/>
      <c r="DV220" s="2520"/>
      <c r="DW220" s="2521"/>
      <c r="DX220" s="305"/>
      <c r="DY220" s="249"/>
      <c r="DZ220" s="221"/>
      <c r="EA220" s="388"/>
      <c r="EB220" s="249"/>
      <c r="EC220" s="216"/>
      <c r="ED220" s="1461"/>
      <c r="EE220" s="249"/>
      <c r="EF220" s="216"/>
      <c r="EG220" s="355"/>
      <c r="EH220" s="1425"/>
      <c r="EI220" s="1470"/>
      <c r="EJ220" s="249"/>
      <c r="EK220" s="221"/>
      <c r="EL220" s="313"/>
      <c r="EM220" s="249"/>
      <c r="EN220" s="221"/>
      <c r="EO220" s="313"/>
      <c r="EP220" s="249"/>
      <c r="EQ220" s="216"/>
      <c r="ER220" s="313"/>
      <c r="ES220" s="249"/>
      <c r="ET220" s="216"/>
      <c r="EU220" s="313"/>
      <c r="EV220" s="249"/>
      <c r="EW220" s="216"/>
      <c r="EX220" s="2505"/>
      <c r="EY220" s="249"/>
      <c r="EZ220" s="221"/>
      <c r="FA220" s="313"/>
      <c r="FB220" s="249"/>
      <c r="FC220" s="221"/>
      <c r="FD220" s="313"/>
      <c r="FE220" s="249"/>
      <c r="FF220" s="221"/>
      <c r="FG220" s="313"/>
      <c r="FH220" s="249"/>
      <c r="FI220" s="216"/>
      <c r="FJ220" s="1435"/>
      <c r="FK220" s="216"/>
      <c r="FL220" s="1268"/>
      <c r="FM220" s="1655"/>
      <c r="FN220" s="1268"/>
      <c r="FO220" s="1655"/>
      <c r="FP220" s="1268"/>
      <c r="FQ220" s="1656"/>
      <c r="FR220" s="249"/>
      <c r="FS220" s="216"/>
      <c r="FT220" s="1657"/>
      <c r="FU220" s="1658"/>
      <c r="FV220" s="242"/>
      <c r="FW220" s="343"/>
      <c r="FX220" s="222"/>
      <c r="FY220" s="336"/>
      <c r="FZ220" s="223"/>
      <c r="GA220" s="338"/>
      <c r="GB220" s="204"/>
      <c r="GC220" s="339"/>
      <c r="GD220" s="342"/>
      <c r="GE220" s="199"/>
      <c r="GF220" s="199"/>
      <c r="GG220" s="199"/>
      <c r="GH220" s="199"/>
      <c r="GI220" s="199"/>
      <c r="GJ220" s="199"/>
      <c r="GK220" s="199"/>
      <c r="GL220" s="49"/>
      <c r="GM220" s="28"/>
      <c r="GN220" s="28"/>
      <c r="GO220" s="322"/>
      <c r="GP220" s="1190"/>
      <c r="GQ220" s="1190"/>
      <c r="GR220" s="49"/>
      <c r="GS220" s="2879"/>
      <c r="GT220" s="2880"/>
      <c r="GU220" s="2881"/>
      <c r="GV220" s="49"/>
      <c r="GW220" s="49"/>
      <c r="GX220" s="49"/>
      <c r="GY220" s="49"/>
      <c r="GZ220" s="49"/>
      <c r="HA220" s="49"/>
      <c r="HB220" s="49"/>
      <c r="HC220" s="49"/>
      <c r="HD220" s="49"/>
      <c r="HE220" s="49"/>
      <c r="HF220" s="49"/>
      <c r="HG220" s="49"/>
      <c r="HH220" s="49"/>
      <c r="HI220" s="49"/>
      <c r="HJ220" s="49"/>
      <c r="HK220" s="49"/>
      <c r="HL220" s="49"/>
      <c r="HM220" s="49"/>
      <c r="HN220" s="49"/>
      <c r="HO220" s="49"/>
      <c r="HP220" s="49"/>
      <c r="HQ220" s="49"/>
      <c r="HR220" s="49"/>
      <c r="HS220" s="49"/>
      <c r="HT220" s="49"/>
      <c r="HU220" s="49"/>
      <c r="HV220" s="49"/>
      <c r="HW220" s="49"/>
      <c r="HX220" s="49"/>
      <c r="HY220" s="49"/>
      <c r="HZ220" s="49"/>
      <c r="IA220" s="49"/>
      <c r="IB220" s="49"/>
      <c r="IC220" s="49"/>
      <c r="ID220" s="49"/>
      <c r="IE220" s="49"/>
      <c r="IF220" s="49"/>
      <c r="IG220" s="49"/>
      <c r="IH220" s="49"/>
      <c r="II220" s="49"/>
      <c r="IJ220" s="49"/>
      <c r="IK220" s="49"/>
      <c r="IL220" s="49"/>
      <c r="IM220" s="49"/>
      <c r="IN220" s="49"/>
      <c r="IO220" s="49"/>
      <c r="IP220" s="49"/>
      <c r="IQ220" s="49"/>
      <c r="IR220" s="49"/>
      <c r="IS220" s="49"/>
      <c r="IT220" s="49"/>
      <c r="IU220" s="49"/>
      <c r="IV220" s="49"/>
    </row>
    <row r="221" spans="1:256" s="198" customFormat="1" ht="12" customHeight="1">
      <c r="A221" s="1252"/>
      <c r="B221" s="200"/>
      <c r="C221" s="486"/>
      <c r="D221" s="201"/>
      <c r="E221" s="202"/>
      <c r="F221" s="203"/>
      <c r="G221" s="197"/>
      <c r="H221" s="197"/>
      <c r="I221" s="197"/>
      <c r="J221" s="197"/>
      <c r="K221" s="175"/>
      <c r="L221" s="197"/>
      <c r="M221" s="197"/>
      <c r="N221" s="197"/>
      <c r="O221" s="197"/>
      <c r="P221" s="197"/>
      <c r="Q221" s="1198"/>
      <c r="R221" s="202"/>
      <c r="S221" s="202"/>
      <c r="T221" s="1186"/>
      <c r="U221" s="233"/>
      <c r="V221" s="49"/>
      <c r="W221" s="218"/>
      <c r="X221" s="218"/>
      <c r="Y221" s="216"/>
      <c r="Z221" s="216"/>
      <c r="AA221" s="215"/>
      <c r="AB221" s="216"/>
      <c r="AC221" s="216"/>
      <c r="AD221" s="239"/>
      <c r="AE221" s="216"/>
      <c r="AF221" s="216"/>
      <c r="AG221" s="216"/>
      <c r="AH221" s="216"/>
      <c r="AI221" s="216"/>
      <c r="AJ221" s="216"/>
      <c r="AK221" s="239"/>
      <c r="AL221" s="216"/>
      <c r="AM221" s="216"/>
      <c r="AN221" s="216"/>
      <c r="AO221" s="216"/>
      <c r="AP221" s="216"/>
      <c r="AQ221" s="216"/>
      <c r="AR221" s="216"/>
      <c r="AS221" s="216"/>
      <c r="AT221" s="216"/>
      <c r="AU221" s="216"/>
      <c r="AV221" s="217"/>
      <c r="AW221" s="355"/>
      <c r="AX221" s="217"/>
      <c r="AY221" s="1559"/>
      <c r="AZ221" s="249"/>
      <c r="BA221" s="221"/>
      <c r="BB221" s="300"/>
      <c r="BC221" s="217"/>
      <c r="BD221" s="392"/>
      <c r="BE221" s="1244"/>
      <c r="BF221" s="249"/>
      <c r="BG221" s="252"/>
      <c r="BH221" s="1469"/>
      <c r="BI221" s="216"/>
      <c r="BJ221" s="1469"/>
      <c r="BK221" s="1459"/>
      <c r="BL221" s="260"/>
      <c r="BM221" s="214"/>
      <c r="BN221" s="293"/>
      <c r="BO221" s="217"/>
      <c r="BP221" s="355"/>
      <c r="BQ221" s="217"/>
      <c r="BR221" s="1193"/>
      <c r="BS221" s="249"/>
      <c r="BT221" s="216"/>
      <c r="BU221" s="1195"/>
      <c r="BV221" s="249"/>
      <c r="BW221" s="216"/>
      <c r="BX221" s="1195"/>
      <c r="BY221" s="249"/>
      <c r="BZ221" s="216"/>
      <c r="CA221" s="1195"/>
      <c r="CB221" s="249"/>
      <c r="CC221" s="216"/>
      <c r="CD221" s="1195"/>
      <c r="CE221" s="249"/>
      <c r="CF221" s="216"/>
      <c r="CG221" s="1195"/>
      <c r="CH221" s="249"/>
      <c r="CI221" s="216"/>
      <c r="CJ221" s="1195"/>
      <c r="CK221" s="249"/>
      <c r="CL221" s="216"/>
      <c r="CM221" s="1194"/>
      <c r="CN221" s="1524"/>
      <c r="CO221" s="217"/>
      <c r="CP221" s="1193"/>
      <c r="CQ221" s="293"/>
      <c r="CR221" s="217"/>
      <c r="CS221" s="305"/>
      <c r="CT221" s="249"/>
      <c r="CU221" s="216"/>
      <c r="CV221" s="1193"/>
      <c r="CW221" s="249"/>
      <c r="CX221" s="216"/>
      <c r="CY221" s="305"/>
      <c r="CZ221" s="249"/>
      <c r="DA221" s="216"/>
      <c r="DB221" s="307"/>
      <c r="DC221" s="328"/>
      <c r="DD221" s="322"/>
      <c r="DE221" s="305"/>
      <c r="DF221" s="249"/>
      <c r="DG221" s="216"/>
      <c r="DH221" s="305"/>
      <c r="DI221" s="249"/>
      <c r="DJ221" s="216"/>
      <c r="DK221" s="309"/>
      <c r="DL221" s="293"/>
      <c r="DM221" s="326"/>
      <c r="DN221" s="1256"/>
      <c r="DO221" s="214"/>
      <c r="DP221" s="1257"/>
      <c r="DQ221" s="1258"/>
      <c r="DR221" s="305"/>
      <c r="DS221" s="249"/>
      <c r="DT221" s="216"/>
      <c r="DU221" s="305"/>
      <c r="DV221" s="2520"/>
      <c r="DW221" s="2521"/>
      <c r="DX221" s="305"/>
      <c r="DY221" s="249"/>
      <c r="DZ221" s="221"/>
      <c r="EA221" s="388"/>
      <c r="EB221" s="249"/>
      <c r="EC221" s="216"/>
      <c r="ED221" s="1461"/>
      <c r="EE221" s="249"/>
      <c r="EF221" s="216"/>
      <c r="EG221" s="355"/>
      <c r="EH221" s="1425"/>
      <c r="EI221" s="1470"/>
      <c r="EJ221" s="249"/>
      <c r="EK221" s="221"/>
      <c r="EL221" s="313"/>
      <c r="EM221" s="249"/>
      <c r="EN221" s="221"/>
      <c r="EO221" s="313"/>
      <c r="EP221" s="249"/>
      <c r="EQ221" s="216"/>
      <c r="ER221" s="313"/>
      <c r="ES221" s="249"/>
      <c r="ET221" s="216"/>
      <c r="EU221" s="313"/>
      <c r="EV221" s="249"/>
      <c r="EW221" s="216"/>
      <c r="EX221" s="2505"/>
      <c r="EY221" s="249"/>
      <c r="EZ221" s="221"/>
      <c r="FA221" s="313"/>
      <c r="FB221" s="249"/>
      <c r="FC221" s="221"/>
      <c r="FD221" s="313"/>
      <c r="FE221" s="249"/>
      <c r="FF221" s="221"/>
      <c r="FG221" s="313"/>
      <c r="FH221" s="249"/>
      <c r="FI221" s="216"/>
      <c r="FJ221" s="1435"/>
      <c r="FK221" s="216"/>
      <c r="FL221" s="1268"/>
      <c r="FM221" s="1655"/>
      <c r="FN221" s="1268"/>
      <c r="FO221" s="1655"/>
      <c r="FP221" s="1268"/>
      <c r="FQ221" s="1656"/>
      <c r="FR221" s="249"/>
      <c r="FS221" s="216"/>
      <c r="FT221" s="1657"/>
      <c r="FU221" s="1658"/>
      <c r="FV221" s="242"/>
      <c r="FW221" s="343"/>
      <c r="FX221" s="222"/>
      <c r="FY221" s="336"/>
      <c r="FZ221" s="223"/>
      <c r="GA221" s="338"/>
      <c r="GB221" s="204"/>
      <c r="GC221" s="339"/>
      <c r="GD221" s="342"/>
      <c r="GE221" s="199"/>
      <c r="GF221" s="199"/>
      <c r="GG221" s="199"/>
      <c r="GH221" s="199"/>
      <c r="GI221" s="199"/>
      <c r="GJ221" s="199"/>
      <c r="GK221" s="199"/>
      <c r="GL221" s="49"/>
      <c r="GM221" s="28"/>
      <c r="GN221" s="28"/>
      <c r="GO221" s="322"/>
      <c r="GP221" s="1190"/>
      <c r="GQ221" s="1190"/>
      <c r="GR221" s="49"/>
      <c r="GS221" s="2879"/>
      <c r="GT221" s="2880"/>
      <c r="GU221" s="2881"/>
      <c r="GV221" s="49"/>
      <c r="GW221" s="49"/>
      <c r="GX221" s="49"/>
      <c r="GY221" s="49"/>
      <c r="GZ221" s="49"/>
      <c r="HA221" s="49"/>
      <c r="HB221" s="49"/>
      <c r="HC221" s="49"/>
      <c r="HD221" s="49"/>
      <c r="HE221" s="49"/>
      <c r="HF221" s="49"/>
      <c r="HG221" s="49"/>
      <c r="HH221" s="49"/>
      <c r="HI221" s="49"/>
      <c r="HJ221" s="49"/>
      <c r="HK221" s="49"/>
      <c r="HL221" s="49"/>
      <c r="HM221" s="49"/>
      <c r="HN221" s="49"/>
      <c r="HO221" s="49"/>
      <c r="HP221" s="49"/>
      <c r="HQ221" s="49"/>
      <c r="HR221" s="49"/>
      <c r="HS221" s="49"/>
      <c r="HT221" s="49"/>
      <c r="HU221" s="49"/>
      <c r="HV221" s="49"/>
      <c r="HW221" s="49"/>
      <c r="HX221" s="49"/>
      <c r="HY221" s="49"/>
      <c r="HZ221" s="49"/>
      <c r="IA221" s="49"/>
      <c r="IB221" s="49"/>
      <c r="IC221" s="49"/>
      <c r="ID221" s="49"/>
      <c r="IE221" s="49"/>
      <c r="IF221" s="49"/>
      <c r="IG221" s="49"/>
      <c r="IH221" s="49"/>
      <c r="II221" s="49"/>
      <c r="IJ221" s="49"/>
      <c r="IK221" s="49"/>
      <c r="IL221" s="49"/>
      <c r="IM221" s="49"/>
      <c r="IN221" s="49"/>
      <c r="IO221" s="49"/>
      <c r="IP221" s="49"/>
      <c r="IQ221" s="49"/>
      <c r="IR221" s="49"/>
      <c r="IS221" s="49"/>
      <c r="IT221" s="49"/>
      <c r="IU221" s="49"/>
      <c r="IV221" s="49"/>
    </row>
    <row r="222" spans="1:256" s="198" customFormat="1" ht="12" customHeight="1">
      <c r="A222" s="1252"/>
      <c r="B222" s="200"/>
      <c r="C222" s="486"/>
      <c r="D222" s="201"/>
      <c r="E222" s="202"/>
      <c r="F222" s="203"/>
      <c r="G222" s="197"/>
      <c r="H222" s="197"/>
      <c r="I222" s="197"/>
      <c r="J222" s="197"/>
      <c r="K222" s="175"/>
      <c r="L222" s="197"/>
      <c r="M222" s="197"/>
      <c r="N222" s="197"/>
      <c r="O222" s="197"/>
      <c r="P222" s="197"/>
      <c r="Q222" s="1198"/>
      <c r="R222" s="202"/>
      <c r="S222" s="202"/>
      <c r="T222" s="1186"/>
      <c r="U222" s="233"/>
      <c r="V222" s="49"/>
      <c r="W222" s="218"/>
      <c r="X222" s="218"/>
      <c r="Y222" s="216"/>
      <c r="Z222" s="216"/>
      <c r="AA222" s="215"/>
      <c r="AB222" s="216"/>
      <c r="AC222" s="216"/>
      <c r="AD222" s="239"/>
      <c r="AE222" s="216"/>
      <c r="AF222" s="216"/>
      <c r="AG222" s="216"/>
      <c r="AH222" s="216"/>
      <c r="AI222" s="216"/>
      <c r="AJ222" s="216"/>
      <c r="AK222" s="239"/>
      <c r="AL222" s="216"/>
      <c r="AM222" s="216"/>
      <c r="AN222" s="216"/>
      <c r="AO222" s="216"/>
      <c r="AP222" s="216"/>
      <c r="AQ222" s="216"/>
      <c r="AR222" s="216"/>
      <c r="AS222" s="216"/>
      <c r="AT222" s="216"/>
      <c r="AU222" s="216"/>
      <c r="AV222" s="217"/>
      <c r="AW222" s="355"/>
      <c r="AX222" s="217"/>
      <c r="AY222" s="1559"/>
      <c r="AZ222" s="249"/>
      <c r="BA222" s="221"/>
      <c r="BB222" s="300"/>
      <c r="BC222" s="217"/>
      <c r="BD222" s="392"/>
      <c r="BE222" s="1244"/>
      <c r="BF222" s="249"/>
      <c r="BG222" s="252"/>
      <c r="BH222" s="1469"/>
      <c r="BI222" s="216"/>
      <c r="BJ222" s="1469"/>
      <c r="BK222" s="1459"/>
      <c r="BL222" s="260"/>
      <c r="BM222" s="214"/>
      <c r="BN222" s="293"/>
      <c r="BO222" s="217"/>
      <c r="BP222" s="355"/>
      <c r="BQ222" s="217"/>
      <c r="BR222" s="1193"/>
      <c r="BS222" s="249"/>
      <c r="BT222" s="216"/>
      <c r="BU222" s="1195"/>
      <c r="BV222" s="249"/>
      <c r="BW222" s="216"/>
      <c r="BX222" s="1195"/>
      <c r="BY222" s="249"/>
      <c r="BZ222" s="216"/>
      <c r="CA222" s="1195"/>
      <c r="CB222" s="249"/>
      <c r="CC222" s="216"/>
      <c r="CD222" s="1195"/>
      <c r="CE222" s="249"/>
      <c r="CF222" s="216"/>
      <c r="CG222" s="1195"/>
      <c r="CH222" s="249"/>
      <c r="CI222" s="216"/>
      <c r="CJ222" s="1195"/>
      <c r="CK222" s="249"/>
      <c r="CL222" s="216"/>
      <c r="CM222" s="1194"/>
      <c r="CN222" s="1524"/>
      <c r="CO222" s="217"/>
      <c r="CP222" s="1193"/>
      <c r="CQ222" s="293"/>
      <c r="CR222" s="217"/>
      <c r="CS222" s="305"/>
      <c r="CT222" s="249"/>
      <c r="CU222" s="216"/>
      <c r="CV222" s="1193"/>
      <c r="CW222" s="249"/>
      <c r="CX222" s="216"/>
      <c r="CY222" s="305"/>
      <c r="CZ222" s="249"/>
      <c r="DA222" s="216"/>
      <c r="DB222" s="307"/>
      <c r="DC222" s="328"/>
      <c r="DD222" s="322"/>
      <c r="DE222" s="305"/>
      <c r="DF222" s="249"/>
      <c r="DG222" s="216"/>
      <c r="DH222" s="305"/>
      <c r="DI222" s="249"/>
      <c r="DJ222" s="216"/>
      <c r="DK222" s="309"/>
      <c r="DL222" s="293"/>
      <c r="DM222" s="326"/>
      <c r="DN222" s="1256"/>
      <c r="DO222" s="214"/>
      <c r="DP222" s="1257"/>
      <c r="DQ222" s="1258"/>
      <c r="DR222" s="305"/>
      <c r="DS222" s="249"/>
      <c r="DT222" s="216"/>
      <c r="DU222" s="305"/>
      <c r="DV222" s="2520"/>
      <c r="DW222" s="2521"/>
      <c r="DX222" s="305"/>
      <c r="DY222" s="249"/>
      <c r="DZ222" s="221"/>
      <c r="EA222" s="388"/>
      <c r="EB222" s="249"/>
      <c r="EC222" s="216"/>
      <c r="ED222" s="1461"/>
      <c r="EE222" s="249"/>
      <c r="EF222" s="216"/>
      <c r="EG222" s="355"/>
      <c r="EH222" s="1425"/>
      <c r="EI222" s="1470"/>
      <c r="EJ222" s="249"/>
      <c r="EK222" s="221"/>
      <c r="EL222" s="313"/>
      <c r="EM222" s="249"/>
      <c r="EN222" s="221"/>
      <c r="EO222" s="313"/>
      <c r="EP222" s="249"/>
      <c r="EQ222" s="216"/>
      <c r="ER222" s="313"/>
      <c r="ES222" s="249"/>
      <c r="ET222" s="216"/>
      <c r="EU222" s="313"/>
      <c r="EV222" s="249"/>
      <c r="EW222" s="216"/>
      <c r="EX222" s="2505"/>
      <c r="EY222" s="249"/>
      <c r="EZ222" s="221"/>
      <c r="FA222" s="313"/>
      <c r="FB222" s="249"/>
      <c r="FC222" s="221"/>
      <c r="FD222" s="313"/>
      <c r="FE222" s="249"/>
      <c r="FF222" s="221"/>
      <c r="FG222" s="313"/>
      <c r="FH222" s="249"/>
      <c r="FI222" s="216"/>
      <c r="FJ222" s="1435"/>
      <c r="FK222" s="216"/>
      <c r="FL222" s="1268"/>
      <c r="FM222" s="1655"/>
      <c r="FN222" s="1268"/>
      <c r="FO222" s="1655"/>
      <c r="FP222" s="1268"/>
      <c r="FQ222" s="1656"/>
      <c r="FR222" s="249"/>
      <c r="FS222" s="216"/>
      <c r="FT222" s="1657"/>
      <c r="FU222" s="1658"/>
      <c r="FV222" s="242"/>
      <c r="FW222" s="343"/>
      <c r="FX222" s="222"/>
      <c r="FY222" s="336"/>
      <c r="FZ222" s="223"/>
      <c r="GA222" s="338"/>
      <c r="GB222" s="204"/>
      <c r="GC222" s="339"/>
      <c r="GD222" s="342"/>
      <c r="GE222" s="199"/>
      <c r="GF222" s="199"/>
      <c r="GG222" s="199"/>
      <c r="GH222" s="199"/>
      <c r="GI222" s="199"/>
      <c r="GJ222" s="199"/>
      <c r="GK222" s="199"/>
      <c r="GL222" s="49"/>
      <c r="GM222" s="28"/>
      <c r="GN222" s="28"/>
      <c r="GO222" s="322"/>
      <c r="GP222" s="1190"/>
      <c r="GQ222" s="1190"/>
      <c r="GR222" s="49"/>
      <c r="GS222" s="2879"/>
      <c r="GT222" s="2880"/>
      <c r="GU222" s="2881"/>
      <c r="GV222" s="49"/>
      <c r="GW222" s="49"/>
      <c r="GX222" s="49"/>
      <c r="GY222" s="49"/>
      <c r="GZ222" s="49"/>
      <c r="HA222" s="49"/>
      <c r="HB222" s="49"/>
      <c r="HC222" s="49"/>
      <c r="HD222" s="49"/>
      <c r="HE222" s="49"/>
      <c r="HF222" s="49"/>
      <c r="HG222" s="49"/>
      <c r="HH222" s="49"/>
      <c r="HI222" s="49"/>
      <c r="HJ222" s="49"/>
      <c r="HK222" s="49"/>
      <c r="HL222" s="49"/>
      <c r="HM222" s="49"/>
      <c r="HN222" s="49"/>
      <c r="HO222" s="49"/>
      <c r="HP222" s="49"/>
      <c r="HQ222" s="49"/>
      <c r="HR222" s="49"/>
      <c r="HS222" s="49"/>
      <c r="HT222" s="49"/>
      <c r="HU222" s="49"/>
      <c r="HV222" s="49"/>
      <c r="HW222" s="49"/>
      <c r="HX222" s="49"/>
      <c r="HY222" s="49"/>
      <c r="HZ222" s="49"/>
      <c r="IA222" s="49"/>
      <c r="IB222" s="49"/>
      <c r="IC222" s="49"/>
      <c r="ID222" s="49"/>
      <c r="IE222" s="49"/>
      <c r="IF222" s="49"/>
      <c r="IG222" s="49"/>
      <c r="IH222" s="49"/>
      <c r="II222" s="49"/>
      <c r="IJ222" s="49"/>
      <c r="IK222" s="49"/>
      <c r="IL222" s="49"/>
      <c r="IM222" s="49"/>
      <c r="IN222" s="49"/>
      <c r="IO222" s="49"/>
      <c r="IP222" s="49"/>
      <c r="IQ222" s="49"/>
      <c r="IR222" s="49"/>
      <c r="IS222" s="49"/>
      <c r="IT222" s="49"/>
      <c r="IU222" s="49"/>
      <c r="IV222" s="49"/>
    </row>
    <row r="223" spans="1:256" s="198" customFormat="1" ht="12" customHeight="1">
      <c r="A223" s="1252"/>
      <c r="B223" s="200"/>
      <c r="C223" s="486"/>
      <c r="D223" s="201"/>
      <c r="E223" s="202"/>
      <c r="F223" s="203"/>
      <c r="G223" s="197"/>
      <c r="H223" s="197"/>
      <c r="I223" s="197"/>
      <c r="J223" s="197"/>
      <c r="K223" s="175"/>
      <c r="L223" s="197"/>
      <c r="M223" s="197"/>
      <c r="N223" s="197"/>
      <c r="O223" s="197"/>
      <c r="P223" s="197"/>
      <c r="Q223" s="1198"/>
      <c r="R223" s="202"/>
      <c r="S223" s="202"/>
      <c r="T223" s="1186"/>
      <c r="U223" s="233"/>
      <c r="V223" s="49"/>
      <c r="W223" s="218"/>
      <c r="X223" s="218"/>
      <c r="Y223" s="216"/>
      <c r="Z223" s="216"/>
      <c r="AA223" s="215"/>
      <c r="AB223" s="216"/>
      <c r="AC223" s="216"/>
      <c r="AD223" s="239"/>
      <c r="AE223" s="216"/>
      <c r="AF223" s="216"/>
      <c r="AG223" s="216"/>
      <c r="AH223" s="216"/>
      <c r="AI223" s="216"/>
      <c r="AJ223" s="216"/>
      <c r="AK223" s="239"/>
      <c r="AL223" s="216"/>
      <c r="AM223" s="216"/>
      <c r="AN223" s="216"/>
      <c r="AO223" s="216"/>
      <c r="AP223" s="216"/>
      <c r="AQ223" s="216"/>
      <c r="AR223" s="216"/>
      <c r="AS223" s="216"/>
      <c r="AT223" s="216"/>
      <c r="AU223" s="216"/>
      <c r="AV223" s="217"/>
      <c r="AW223" s="355"/>
      <c r="AX223" s="217"/>
      <c r="AY223" s="1559"/>
      <c r="AZ223" s="249"/>
      <c r="BA223" s="221"/>
      <c r="BB223" s="300"/>
      <c r="BC223" s="217"/>
      <c r="BD223" s="392"/>
      <c r="BE223" s="1244"/>
      <c r="BF223" s="249"/>
      <c r="BG223" s="252"/>
      <c r="BH223" s="1469"/>
      <c r="BI223" s="216"/>
      <c r="BJ223" s="1469"/>
      <c r="BK223" s="1459"/>
      <c r="BL223" s="260"/>
      <c r="BM223" s="214"/>
      <c r="BN223" s="293"/>
      <c r="BO223" s="217"/>
      <c r="BP223" s="355"/>
      <c r="BQ223" s="217"/>
      <c r="BR223" s="1193"/>
      <c r="BS223" s="249"/>
      <c r="BT223" s="216"/>
      <c r="BU223" s="1195"/>
      <c r="BV223" s="249"/>
      <c r="BW223" s="216"/>
      <c r="BX223" s="1195"/>
      <c r="BY223" s="249"/>
      <c r="BZ223" s="216"/>
      <c r="CA223" s="1195"/>
      <c r="CB223" s="249"/>
      <c r="CC223" s="216"/>
      <c r="CD223" s="1195"/>
      <c r="CE223" s="249"/>
      <c r="CF223" s="216"/>
      <c r="CG223" s="1195"/>
      <c r="CH223" s="249"/>
      <c r="CI223" s="216"/>
      <c r="CJ223" s="1195"/>
      <c r="CK223" s="249"/>
      <c r="CL223" s="216"/>
      <c r="CM223" s="1194"/>
      <c r="CN223" s="1524"/>
      <c r="CO223" s="217"/>
      <c r="CP223" s="1193"/>
      <c r="CQ223" s="293"/>
      <c r="CR223" s="217"/>
      <c r="CS223" s="305"/>
      <c r="CT223" s="249"/>
      <c r="CU223" s="216"/>
      <c r="CV223" s="1193"/>
      <c r="CW223" s="249"/>
      <c r="CX223" s="216"/>
      <c r="CY223" s="305"/>
      <c r="CZ223" s="249"/>
      <c r="DA223" s="216"/>
      <c r="DB223" s="307"/>
      <c r="DC223" s="328"/>
      <c r="DD223" s="322"/>
      <c r="DE223" s="305"/>
      <c r="DF223" s="249"/>
      <c r="DG223" s="216"/>
      <c r="DH223" s="305"/>
      <c r="DI223" s="249"/>
      <c r="DJ223" s="216"/>
      <c r="DK223" s="309"/>
      <c r="DL223" s="293"/>
      <c r="DM223" s="326"/>
      <c r="DN223" s="1256"/>
      <c r="DO223" s="214"/>
      <c r="DP223" s="1257"/>
      <c r="DQ223" s="1258"/>
      <c r="DR223" s="305"/>
      <c r="DS223" s="249"/>
      <c r="DT223" s="216"/>
      <c r="DU223" s="305"/>
      <c r="DV223" s="2520"/>
      <c r="DW223" s="2521"/>
      <c r="DX223" s="305"/>
      <c r="DY223" s="249"/>
      <c r="DZ223" s="221"/>
      <c r="EA223" s="388"/>
      <c r="EB223" s="249"/>
      <c r="EC223" s="216"/>
      <c r="ED223" s="1461"/>
      <c r="EE223" s="249"/>
      <c r="EF223" s="216"/>
      <c r="EG223" s="355"/>
      <c r="EH223" s="1425"/>
      <c r="EI223" s="1470"/>
      <c r="EJ223" s="249"/>
      <c r="EK223" s="221"/>
      <c r="EL223" s="313"/>
      <c r="EM223" s="249"/>
      <c r="EN223" s="221"/>
      <c r="EO223" s="313"/>
      <c r="EP223" s="249"/>
      <c r="EQ223" s="216"/>
      <c r="ER223" s="313"/>
      <c r="ES223" s="249"/>
      <c r="ET223" s="216"/>
      <c r="EU223" s="313"/>
      <c r="EV223" s="249"/>
      <c r="EW223" s="216"/>
      <c r="EX223" s="2505"/>
      <c r="EY223" s="249"/>
      <c r="EZ223" s="221"/>
      <c r="FA223" s="313"/>
      <c r="FB223" s="249"/>
      <c r="FC223" s="221"/>
      <c r="FD223" s="313"/>
      <c r="FE223" s="249"/>
      <c r="FF223" s="221"/>
      <c r="FG223" s="313"/>
      <c r="FH223" s="249"/>
      <c r="FI223" s="216"/>
      <c r="FJ223" s="1435"/>
      <c r="FK223" s="216"/>
      <c r="FL223" s="1268"/>
      <c r="FM223" s="1655"/>
      <c r="FN223" s="1268"/>
      <c r="FO223" s="1655"/>
      <c r="FP223" s="1268"/>
      <c r="FQ223" s="1656"/>
      <c r="FR223" s="249"/>
      <c r="FS223" s="216"/>
      <c r="FT223" s="1657"/>
      <c r="FU223" s="1658"/>
      <c r="FV223" s="242"/>
      <c r="FW223" s="343"/>
      <c r="FX223" s="222"/>
      <c r="FY223" s="336"/>
      <c r="FZ223" s="223"/>
      <c r="GA223" s="338"/>
      <c r="GB223" s="204"/>
      <c r="GC223" s="339"/>
      <c r="GD223" s="342"/>
      <c r="GE223" s="199"/>
      <c r="GF223" s="199"/>
      <c r="GG223" s="199"/>
      <c r="GH223" s="199"/>
      <c r="GI223" s="199"/>
      <c r="GJ223" s="199"/>
      <c r="GK223" s="199"/>
      <c r="GL223" s="49"/>
      <c r="GM223" s="28"/>
      <c r="GN223" s="28"/>
      <c r="GO223" s="322"/>
      <c r="GP223" s="1190"/>
      <c r="GQ223" s="1190"/>
      <c r="GR223" s="49"/>
      <c r="GS223" s="2879"/>
      <c r="GT223" s="2880"/>
      <c r="GU223" s="2881"/>
      <c r="GV223" s="49"/>
      <c r="GW223" s="49"/>
      <c r="GX223" s="49"/>
      <c r="GY223" s="49"/>
      <c r="GZ223" s="49"/>
      <c r="HA223" s="49"/>
      <c r="HB223" s="49"/>
      <c r="HC223" s="49"/>
      <c r="HD223" s="49"/>
      <c r="HE223" s="49"/>
      <c r="HF223" s="49"/>
      <c r="HG223" s="49"/>
      <c r="HH223" s="49"/>
      <c r="HI223" s="49"/>
      <c r="HJ223" s="49"/>
      <c r="HK223" s="49"/>
      <c r="HL223" s="49"/>
      <c r="HM223" s="49"/>
      <c r="HN223" s="49"/>
      <c r="HO223" s="49"/>
      <c r="HP223" s="49"/>
      <c r="HQ223" s="49"/>
      <c r="HR223" s="49"/>
      <c r="HS223" s="49"/>
      <c r="HT223" s="49"/>
      <c r="HU223" s="49"/>
      <c r="HV223" s="49"/>
      <c r="HW223" s="49"/>
      <c r="HX223" s="49"/>
      <c r="HY223" s="49"/>
      <c r="HZ223" s="49"/>
      <c r="IA223" s="49"/>
      <c r="IB223" s="49"/>
      <c r="IC223" s="49"/>
      <c r="ID223" s="49"/>
      <c r="IE223" s="49"/>
      <c r="IF223" s="49"/>
      <c r="IG223" s="49"/>
      <c r="IH223" s="49"/>
      <c r="II223" s="49"/>
      <c r="IJ223" s="49"/>
      <c r="IK223" s="49"/>
      <c r="IL223" s="49"/>
      <c r="IM223" s="49"/>
      <c r="IN223" s="49"/>
      <c r="IO223" s="49"/>
      <c r="IP223" s="49"/>
      <c r="IQ223" s="49"/>
      <c r="IR223" s="49"/>
      <c r="IS223" s="49"/>
      <c r="IT223" s="49"/>
      <c r="IU223" s="49"/>
      <c r="IV223" s="49"/>
    </row>
    <row r="224" spans="1:256" s="198" customFormat="1" ht="12" customHeight="1">
      <c r="A224" s="1252"/>
      <c r="B224" s="200"/>
      <c r="C224" s="486"/>
      <c r="D224" s="201"/>
      <c r="E224" s="202"/>
      <c r="F224" s="203"/>
      <c r="G224" s="197"/>
      <c r="H224" s="197"/>
      <c r="I224" s="197"/>
      <c r="J224" s="197"/>
      <c r="K224" s="175"/>
      <c r="L224" s="197"/>
      <c r="M224" s="197"/>
      <c r="N224" s="197"/>
      <c r="O224" s="197"/>
      <c r="P224" s="197"/>
      <c r="Q224" s="1198"/>
      <c r="R224" s="202"/>
      <c r="S224" s="202"/>
      <c r="T224" s="1186"/>
      <c r="U224" s="233"/>
      <c r="V224" s="49"/>
      <c r="W224" s="218"/>
      <c r="X224" s="218"/>
      <c r="Y224" s="216"/>
      <c r="Z224" s="216"/>
      <c r="AA224" s="215"/>
      <c r="AB224" s="216"/>
      <c r="AC224" s="216"/>
      <c r="AD224" s="239"/>
      <c r="AE224" s="216"/>
      <c r="AF224" s="216"/>
      <c r="AG224" s="216"/>
      <c r="AH224" s="216"/>
      <c r="AI224" s="216"/>
      <c r="AJ224" s="216"/>
      <c r="AK224" s="239"/>
      <c r="AL224" s="216"/>
      <c r="AM224" s="216"/>
      <c r="AN224" s="216"/>
      <c r="AO224" s="216"/>
      <c r="AP224" s="216"/>
      <c r="AQ224" s="216"/>
      <c r="AR224" s="216"/>
      <c r="AS224" s="216"/>
      <c r="AT224" s="216"/>
      <c r="AU224" s="216"/>
      <c r="AV224" s="217"/>
      <c r="AW224" s="355"/>
      <c r="AX224" s="217"/>
      <c r="AY224" s="1559"/>
      <c r="AZ224" s="249"/>
      <c r="BA224" s="221"/>
      <c r="BB224" s="300"/>
      <c r="BC224" s="217"/>
      <c r="BD224" s="392"/>
      <c r="BE224" s="1244"/>
      <c r="BF224" s="249"/>
      <c r="BG224" s="252"/>
      <c r="BH224" s="1469"/>
      <c r="BI224" s="216"/>
      <c r="BJ224" s="1469"/>
      <c r="BK224" s="1459"/>
      <c r="BL224" s="260"/>
      <c r="BM224" s="214"/>
      <c r="BN224" s="293"/>
      <c r="BO224" s="217"/>
      <c r="BP224" s="355"/>
      <c r="BQ224" s="217"/>
      <c r="BR224" s="1193"/>
      <c r="BS224" s="249"/>
      <c r="BT224" s="216"/>
      <c r="BU224" s="1195"/>
      <c r="BV224" s="249"/>
      <c r="BW224" s="216"/>
      <c r="BX224" s="1195"/>
      <c r="BY224" s="249"/>
      <c r="BZ224" s="216"/>
      <c r="CA224" s="1195"/>
      <c r="CB224" s="249"/>
      <c r="CC224" s="216"/>
      <c r="CD224" s="1195"/>
      <c r="CE224" s="249"/>
      <c r="CF224" s="216"/>
      <c r="CG224" s="1195"/>
      <c r="CH224" s="249"/>
      <c r="CI224" s="216"/>
      <c r="CJ224" s="1195"/>
      <c r="CK224" s="249"/>
      <c r="CL224" s="216"/>
      <c r="CM224" s="1194"/>
      <c r="CN224" s="1524"/>
      <c r="CO224" s="217"/>
      <c r="CP224" s="1193"/>
      <c r="CQ224" s="293"/>
      <c r="CR224" s="217"/>
      <c r="CS224" s="305"/>
      <c r="CT224" s="249"/>
      <c r="CU224" s="216"/>
      <c r="CV224" s="1193"/>
      <c r="CW224" s="249"/>
      <c r="CX224" s="216"/>
      <c r="CY224" s="305"/>
      <c r="CZ224" s="249"/>
      <c r="DA224" s="216"/>
      <c r="DB224" s="307"/>
      <c r="DC224" s="328"/>
      <c r="DD224" s="322"/>
      <c r="DE224" s="305"/>
      <c r="DF224" s="249"/>
      <c r="DG224" s="216"/>
      <c r="DH224" s="305"/>
      <c r="DI224" s="249"/>
      <c r="DJ224" s="216"/>
      <c r="DK224" s="309"/>
      <c r="DL224" s="293"/>
      <c r="DM224" s="326"/>
      <c r="DN224" s="1256"/>
      <c r="DO224" s="214"/>
      <c r="DP224" s="1257"/>
      <c r="DQ224" s="1258"/>
      <c r="DR224" s="305"/>
      <c r="DS224" s="249"/>
      <c r="DT224" s="216"/>
      <c r="DU224" s="305"/>
      <c r="DV224" s="2520"/>
      <c r="DW224" s="2521"/>
      <c r="DX224" s="305"/>
      <c r="DY224" s="249"/>
      <c r="DZ224" s="221"/>
      <c r="EA224" s="388"/>
      <c r="EB224" s="249"/>
      <c r="EC224" s="216"/>
      <c r="ED224" s="1461"/>
      <c r="EE224" s="249"/>
      <c r="EF224" s="216"/>
      <c r="EG224" s="355"/>
      <c r="EH224" s="1425"/>
      <c r="EI224" s="1470"/>
      <c r="EJ224" s="249"/>
      <c r="EK224" s="221"/>
      <c r="EL224" s="313"/>
      <c r="EM224" s="249"/>
      <c r="EN224" s="221"/>
      <c r="EO224" s="313"/>
      <c r="EP224" s="249"/>
      <c r="EQ224" s="216"/>
      <c r="ER224" s="313"/>
      <c r="ES224" s="249"/>
      <c r="ET224" s="216"/>
      <c r="EU224" s="313"/>
      <c r="EV224" s="249"/>
      <c r="EW224" s="216"/>
      <c r="EX224" s="2505"/>
      <c r="EY224" s="249"/>
      <c r="EZ224" s="221"/>
      <c r="FA224" s="313"/>
      <c r="FB224" s="249"/>
      <c r="FC224" s="221"/>
      <c r="FD224" s="313"/>
      <c r="FE224" s="249"/>
      <c r="FF224" s="221"/>
      <c r="FG224" s="313"/>
      <c r="FH224" s="249"/>
      <c r="FI224" s="216"/>
      <c r="FJ224" s="1435"/>
      <c r="FK224" s="216"/>
      <c r="FL224" s="1268"/>
      <c r="FM224" s="1655"/>
      <c r="FN224" s="1268"/>
      <c r="FO224" s="1655"/>
      <c r="FP224" s="1268"/>
      <c r="FQ224" s="1656"/>
      <c r="FR224" s="249"/>
      <c r="FS224" s="216"/>
      <c r="FT224" s="1657"/>
      <c r="FU224" s="1658"/>
      <c r="FV224" s="242"/>
      <c r="FW224" s="343"/>
      <c r="FX224" s="222"/>
      <c r="FY224" s="336"/>
      <c r="FZ224" s="223"/>
      <c r="GA224" s="338"/>
      <c r="GB224" s="204"/>
      <c r="GC224" s="339"/>
      <c r="GD224" s="342"/>
      <c r="GE224" s="199"/>
      <c r="GF224" s="199"/>
      <c r="GG224" s="199"/>
      <c r="GH224" s="199"/>
      <c r="GI224" s="199"/>
      <c r="GJ224" s="199"/>
      <c r="GK224" s="199"/>
      <c r="GL224" s="49"/>
      <c r="GM224" s="28"/>
      <c r="GN224" s="28"/>
      <c r="GO224" s="322"/>
      <c r="GP224" s="1190"/>
      <c r="GQ224" s="1190"/>
      <c r="GR224" s="49"/>
      <c r="GS224" s="2879"/>
      <c r="GT224" s="2880"/>
      <c r="GU224" s="2881"/>
      <c r="GV224" s="49"/>
      <c r="GW224" s="49"/>
      <c r="GX224" s="49"/>
      <c r="GY224" s="49"/>
      <c r="GZ224" s="49"/>
      <c r="HA224" s="49"/>
      <c r="HB224" s="49"/>
      <c r="HC224" s="49"/>
      <c r="HD224" s="49"/>
      <c r="HE224" s="49"/>
      <c r="HF224" s="49"/>
      <c r="HG224" s="49"/>
      <c r="HH224" s="49"/>
      <c r="HI224" s="49"/>
      <c r="HJ224" s="49"/>
      <c r="HK224" s="49"/>
      <c r="HL224" s="49"/>
      <c r="HM224" s="49"/>
      <c r="HN224" s="49"/>
      <c r="HO224" s="49"/>
      <c r="HP224" s="49"/>
      <c r="HQ224" s="49"/>
      <c r="HR224" s="49"/>
      <c r="HS224" s="49"/>
      <c r="HT224" s="49"/>
      <c r="HU224" s="49"/>
      <c r="HV224" s="49"/>
      <c r="HW224" s="49"/>
      <c r="HX224" s="49"/>
      <c r="HY224" s="49"/>
      <c r="HZ224" s="49"/>
      <c r="IA224" s="49"/>
      <c r="IB224" s="49"/>
      <c r="IC224" s="49"/>
      <c r="ID224" s="49"/>
      <c r="IE224" s="49"/>
      <c r="IF224" s="49"/>
      <c r="IG224" s="49"/>
      <c r="IH224" s="49"/>
      <c r="II224" s="49"/>
      <c r="IJ224" s="49"/>
      <c r="IK224" s="49"/>
      <c r="IL224" s="49"/>
      <c r="IM224" s="49"/>
      <c r="IN224" s="49"/>
      <c r="IO224" s="49"/>
      <c r="IP224" s="49"/>
      <c r="IQ224" s="49"/>
      <c r="IR224" s="49"/>
      <c r="IS224" s="49"/>
      <c r="IT224" s="49"/>
      <c r="IU224" s="49"/>
      <c r="IV224" s="49"/>
    </row>
    <row r="225" spans="1:256" s="198" customFormat="1" ht="12" customHeight="1">
      <c r="A225" s="1252"/>
      <c r="B225" s="200"/>
      <c r="C225" s="486"/>
      <c r="D225" s="201"/>
      <c r="E225" s="202"/>
      <c r="F225" s="203"/>
      <c r="G225" s="197"/>
      <c r="H225" s="197"/>
      <c r="I225" s="197"/>
      <c r="J225" s="197"/>
      <c r="K225" s="175"/>
      <c r="L225" s="197"/>
      <c r="M225" s="197"/>
      <c r="N225" s="197"/>
      <c r="O225" s="197"/>
      <c r="P225" s="197"/>
      <c r="Q225" s="1198"/>
      <c r="R225" s="202"/>
      <c r="S225" s="202"/>
      <c r="T225" s="1186"/>
      <c r="U225" s="233"/>
      <c r="V225" s="49"/>
      <c r="W225" s="218"/>
      <c r="X225" s="218"/>
      <c r="Y225" s="216"/>
      <c r="Z225" s="216"/>
      <c r="AA225" s="215"/>
      <c r="AB225" s="216"/>
      <c r="AC225" s="216"/>
      <c r="AD225" s="239"/>
      <c r="AE225" s="216"/>
      <c r="AF225" s="216"/>
      <c r="AG225" s="216"/>
      <c r="AH225" s="216"/>
      <c r="AI225" s="216"/>
      <c r="AJ225" s="216"/>
      <c r="AK225" s="239"/>
      <c r="AL225" s="216"/>
      <c r="AM225" s="216"/>
      <c r="AN225" s="216"/>
      <c r="AO225" s="216"/>
      <c r="AP225" s="216"/>
      <c r="AQ225" s="216"/>
      <c r="AR225" s="216"/>
      <c r="AS225" s="216"/>
      <c r="AT225" s="216"/>
      <c r="AU225" s="216"/>
      <c r="AV225" s="217"/>
      <c r="AW225" s="355"/>
      <c r="AX225" s="217"/>
      <c r="AY225" s="1559"/>
      <c r="AZ225" s="249"/>
      <c r="BA225" s="221"/>
      <c r="BB225" s="300"/>
      <c r="BC225" s="217"/>
      <c r="BD225" s="392"/>
      <c r="BE225" s="1244"/>
      <c r="BF225" s="249"/>
      <c r="BG225" s="252"/>
      <c r="BH225" s="1469"/>
      <c r="BI225" s="216"/>
      <c r="BJ225" s="1469"/>
      <c r="BK225" s="1459"/>
      <c r="BL225" s="260"/>
      <c r="BM225" s="214"/>
      <c r="BN225" s="293"/>
      <c r="BO225" s="217"/>
      <c r="BP225" s="355"/>
      <c r="BQ225" s="217"/>
      <c r="BR225" s="1193"/>
      <c r="BS225" s="249"/>
      <c r="BT225" s="216"/>
      <c r="BU225" s="1195"/>
      <c r="BV225" s="249"/>
      <c r="BW225" s="216"/>
      <c r="BX225" s="1195"/>
      <c r="BY225" s="249"/>
      <c r="BZ225" s="216"/>
      <c r="CA225" s="1195"/>
      <c r="CB225" s="249"/>
      <c r="CC225" s="216"/>
      <c r="CD225" s="1195"/>
      <c r="CE225" s="249"/>
      <c r="CF225" s="216"/>
      <c r="CG225" s="1195"/>
      <c r="CH225" s="249"/>
      <c r="CI225" s="216"/>
      <c r="CJ225" s="1195"/>
      <c r="CK225" s="249"/>
      <c r="CL225" s="216"/>
      <c r="CM225" s="1194"/>
      <c r="CN225" s="1524"/>
      <c r="CO225" s="217"/>
      <c r="CP225" s="1193"/>
      <c r="CQ225" s="293"/>
      <c r="CR225" s="217"/>
      <c r="CS225" s="305"/>
      <c r="CT225" s="249"/>
      <c r="CU225" s="216"/>
      <c r="CV225" s="1193"/>
      <c r="CW225" s="249"/>
      <c r="CX225" s="216"/>
      <c r="CY225" s="305"/>
      <c r="CZ225" s="249"/>
      <c r="DA225" s="216"/>
      <c r="DB225" s="307"/>
      <c r="DC225" s="328"/>
      <c r="DD225" s="322"/>
      <c r="DE225" s="305"/>
      <c r="DF225" s="249"/>
      <c r="DG225" s="216"/>
      <c r="DH225" s="305"/>
      <c r="DI225" s="249"/>
      <c r="DJ225" s="216"/>
      <c r="DK225" s="309"/>
      <c r="DL225" s="293"/>
      <c r="DM225" s="326"/>
      <c r="DN225" s="1256"/>
      <c r="DO225" s="214"/>
      <c r="DP225" s="1257"/>
      <c r="DQ225" s="1258"/>
      <c r="DR225" s="305"/>
      <c r="DS225" s="249"/>
      <c r="DT225" s="216"/>
      <c r="DU225" s="305"/>
      <c r="DV225" s="2520"/>
      <c r="DW225" s="2521"/>
      <c r="DX225" s="305"/>
      <c r="DY225" s="249"/>
      <c r="DZ225" s="221"/>
      <c r="EA225" s="388"/>
      <c r="EB225" s="249"/>
      <c r="EC225" s="216"/>
      <c r="ED225" s="1461"/>
      <c r="EE225" s="249"/>
      <c r="EF225" s="216"/>
      <c r="EG225" s="355"/>
      <c r="EH225" s="1425"/>
      <c r="EI225" s="1470"/>
      <c r="EJ225" s="249"/>
      <c r="EK225" s="221"/>
      <c r="EL225" s="313"/>
      <c r="EM225" s="249"/>
      <c r="EN225" s="221"/>
      <c r="EO225" s="313"/>
      <c r="EP225" s="249"/>
      <c r="EQ225" s="216"/>
      <c r="ER225" s="313"/>
      <c r="ES225" s="249"/>
      <c r="ET225" s="216"/>
      <c r="EU225" s="313"/>
      <c r="EV225" s="249"/>
      <c r="EW225" s="216"/>
      <c r="EX225" s="2505"/>
      <c r="EY225" s="249"/>
      <c r="EZ225" s="221"/>
      <c r="FA225" s="313"/>
      <c r="FB225" s="249"/>
      <c r="FC225" s="221"/>
      <c r="FD225" s="313"/>
      <c r="FE225" s="249"/>
      <c r="FF225" s="221"/>
      <c r="FG225" s="313"/>
      <c r="FH225" s="249"/>
      <c r="FI225" s="216"/>
      <c r="FJ225" s="1435"/>
      <c r="FK225" s="216"/>
      <c r="FL225" s="1268"/>
      <c r="FM225" s="1655"/>
      <c r="FN225" s="1268"/>
      <c r="FO225" s="1655"/>
      <c r="FP225" s="1268"/>
      <c r="FQ225" s="1656"/>
      <c r="FR225" s="249"/>
      <c r="FS225" s="216"/>
      <c r="FT225" s="1657"/>
      <c r="FU225" s="1658"/>
      <c r="FV225" s="242"/>
      <c r="FW225" s="343"/>
      <c r="FX225" s="222"/>
      <c r="FY225" s="336"/>
      <c r="FZ225" s="223"/>
      <c r="GA225" s="338"/>
      <c r="GB225" s="204"/>
      <c r="GC225" s="339"/>
      <c r="GD225" s="342"/>
      <c r="GE225" s="199"/>
      <c r="GF225" s="199"/>
      <c r="GG225" s="199"/>
      <c r="GH225" s="199"/>
      <c r="GI225" s="199"/>
      <c r="GJ225" s="199"/>
      <c r="GK225" s="199"/>
      <c r="GL225" s="49"/>
      <c r="GM225" s="28"/>
      <c r="GN225" s="28"/>
      <c r="GO225" s="322"/>
      <c r="GP225" s="1190"/>
      <c r="GQ225" s="1190"/>
      <c r="GR225" s="49"/>
      <c r="GS225" s="2879"/>
      <c r="GT225" s="2880"/>
      <c r="GU225" s="2881"/>
      <c r="GV225" s="49"/>
      <c r="GW225" s="49"/>
      <c r="GX225" s="49"/>
      <c r="GY225" s="49"/>
      <c r="GZ225" s="49"/>
      <c r="HA225" s="49"/>
      <c r="HB225" s="49"/>
      <c r="HC225" s="49"/>
      <c r="HD225" s="49"/>
      <c r="HE225" s="49"/>
      <c r="HF225" s="49"/>
      <c r="HG225" s="49"/>
      <c r="HH225" s="49"/>
      <c r="HI225" s="49"/>
      <c r="HJ225" s="49"/>
      <c r="HK225" s="49"/>
      <c r="HL225" s="49"/>
      <c r="HM225" s="49"/>
      <c r="HN225" s="49"/>
      <c r="HO225" s="49"/>
      <c r="HP225" s="49"/>
      <c r="HQ225" s="49"/>
      <c r="HR225" s="49"/>
      <c r="HS225" s="49"/>
      <c r="HT225" s="49"/>
      <c r="HU225" s="49"/>
      <c r="HV225" s="49"/>
      <c r="HW225" s="49"/>
      <c r="HX225" s="49"/>
      <c r="HY225" s="49"/>
      <c r="HZ225" s="49"/>
      <c r="IA225" s="49"/>
      <c r="IB225" s="49"/>
      <c r="IC225" s="49"/>
      <c r="ID225" s="49"/>
      <c r="IE225" s="49"/>
      <c r="IF225" s="49"/>
      <c r="IG225" s="49"/>
      <c r="IH225" s="49"/>
      <c r="II225" s="49"/>
      <c r="IJ225" s="49"/>
      <c r="IK225" s="49"/>
      <c r="IL225" s="49"/>
      <c r="IM225" s="49"/>
      <c r="IN225" s="49"/>
      <c r="IO225" s="49"/>
      <c r="IP225" s="49"/>
      <c r="IQ225" s="49"/>
      <c r="IR225" s="49"/>
      <c r="IS225" s="49"/>
      <c r="IT225" s="49"/>
      <c r="IU225" s="49"/>
      <c r="IV225" s="49"/>
    </row>
    <row r="226" spans="1:256" s="198" customFormat="1" ht="12" customHeight="1">
      <c r="A226" s="1252"/>
      <c r="B226" s="200"/>
      <c r="C226" s="486"/>
      <c r="D226" s="201"/>
      <c r="E226" s="202"/>
      <c r="F226" s="203"/>
      <c r="G226" s="197"/>
      <c r="H226" s="197"/>
      <c r="I226" s="197"/>
      <c r="J226" s="197"/>
      <c r="K226" s="175"/>
      <c r="L226" s="197"/>
      <c r="M226" s="197"/>
      <c r="N226" s="197"/>
      <c r="O226" s="197"/>
      <c r="P226" s="197"/>
      <c r="Q226" s="1198"/>
      <c r="R226" s="202"/>
      <c r="S226" s="202"/>
      <c r="T226" s="1186"/>
      <c r="U226" s="233"/>
      <c r="V226" s="49"/>
      <c r="W226" s="218"/>
      <c r="X226" s="218"/>
      <c r="Y226" s="216"/>
      <c r="Z226" s="216"/>
      <c r="AA226" s="215"/>
      <c r="AB226" s="216"/>
      <c r="AC226" s="216"/>
      <c r="AD226" s="239"/>
      <c r="AE226" s="216"/>
      <c r="AF226" s="216"/>
      <c r="AG226" s="216"/>
      <c r="AH226" s="216"/>
      <c r="AI226" s="216"/>
      <c r="AJ226" s="216"/>
      <c r="AK226" s="239"/>
      <c r="AL226" s="216"/>
      <c r="AM226" s="216"/>
      <c r="AN226" s="216"/>
      <c r="AO226" s="216"/>
      <c r="AP226" s="216"/>
      <c r="AQ226" s="216"/>
      <c r="AR226" s="216"/>
      <c r="AS226" s="216"/>
      <c r="AT226" s="216"/>
      <c r="AU226" s="216"/>
      <c r="AV226" s="217"/>
      <c r="AW226" s="355"/>
      <c r="AX226" s="217"/>
      <c r="AY226" s="1559"/>
      <c r="AZ226" s="249"/>
      <c r="BA226" s="221"/>
      <c r="BB226" s="300"/>
      <c r="BC226" s="217"/>
      <c r="BD226" s="392"/>
      <c r="BE226" s="1244"/>
      <c r="BF226" s="249"/>
      <c r="BG226" s="252"/>
      <c r="BH226" s="1469"/>
      <c r="BI226" s="216"/>
      <c r="BJ226" s="1469"/>
      <c r="BK226" s="1459"/>
      <c r="BL226" s="260"/>
      <c r="BM226" s="214"/>
      <c r="BN226" s="293"/>
      <c r="BO226" s="217"/>
      <c r="BP226" s="355"/>
      <c r="BQ226" s="217"/>
      <c r="BR226" s="1193"/>
      <c r="BS226" s="249"/>
      <c r="BT226" s="216"/>
      <c r="BU226" s="1195"/>
      <c r="BV226" s="249"/>
      <c r="BW226" s="216"/>
      <c r="BX226" s="1195"/>
      <c r="BY226" s="249"/>
      <c r="BZ226" s="216"/>
      <c r="CA226" s="1195"/>
      <c r="CB226" s="249"/>
      <c r="CC226" s="216"/>
      <c r="CD226" s="1195"/>
      <c r="CE226" s="249"/>
      <c r="CF226" s="216"/>
      <c r="CG226" s="1195"/>
      <c r="CH226" s="249"/>
      <c r="CI226" s="216"/>
      <c r="CJ226" s="1195"/>
      <c r="CK226" s="249"/>
      <c r="CL226" s="216"/>
      <c r="CM226" s="1194"/>
      <c r="CN226" s="1524"/>
      <c r="CO226" s="217"/>
      <c r="CP226" s="1193"/>
      <c r="CQ226" s="293"/>
      <c r="CR226" s="217"/>
      <c r="CS226" s="305"/>
      <c r="CT226" s="249"/>
      <c r="CU226" s="216"/>
      <c r="CV226" s="1193"/>
      <c r="CW226" s="249"/>
      <c r="CX226" s="216"/>
      <c r="CY226" s="305"/>
      <c r="CZ226" s="249"/>
      <c r="DA226" s="216"/>
      <c r="DB226" s="307"/>
      <c r="DC226" s="328"/>
      <c r="DD226" s="322"/>
      <c r="DE226" s="305"/>
      <c r="DF226" s="249"/>
      <c r="DG226" s="216"/>
      <c r="DH226" s="305"/>
      <c r="DI226" s="249"/>
      <c r="DJ226" s="216"/>
      <c r="DK226" s="309"/>
      <c r="DL226" s="293"/>
      <c r="DM226" s="326"/>
      <c r="DN226" s="1256"/>
      <c r="DO226" s="214"/>
      <c r="DP226" s="1257"/>
      <c r="DQ226" s="1258"/>
      <c r="DR226" s="305"/>
      <c r="DS226" s="249"/>
      <c r="DT226" s="216"/>
      <c r="DU226" s="305"/>
      <c r="DV226" s="2520"/>
      <c r="DW226" s="2521"/>
      <c r="DX226" s="305"/>
      <c r="DY226" s="249"/>
      <c r="DZ226" s="221"/>
      <c r="EA226" s="388"/>
      <c r="EB226" s="249"/>
      <c r="EC226" s="216"/>
      <c r="ED226" s="1461"/>
      <c r="EE226" s="249"/>
      <c r="EF226" s="216"/>
      <c r="EG226" s="355"/>
      <c r="EH226" s="1425"/>
      <c r="EI226" s="1470"/>
      <c r="EJ226" s="249"/>
      <c r="EK226" s="221"/>
      <c r="EL226" s="313"/>
      <c r="EM226" s="249"/>
      <c r="EN226" s="221"/>
      <c r="EO226" s="313"/>
      <c r="EP226" s="249"/>
      <c r="EQ226" s="216"/>
      <c r="ER226" s="313"/>
      <c r="ES226" s="249"/>
      <c r="ET226" s="216"/>
      <c r="EU226" s="313"/>
      <c r="EV226" s="249"/>
      <c r="EW226" s="216"/>
      <c r="EX226" s="2505"/>
      <c r="EY226" s="249"/>
      <c r="EZ226" s="221"/>
      <c r="FA226" s="313"/>
      <c r="FB226" s="249"/>
      <c r="FC226" s="221"/>
      <c r="FD226" s="313"/>
      <c r="FE226" s="249"/>
      <c r="FF226" s="221"/>
      <c r="FG226" s="313"/>
      <c r="FH226" s="249"/>
      <c r="FI226" s="216"/>
      <c r="FJ226" s="1435"/>
      <c r="FK226" s="216"/>
      <c r="FL226" s="1268"/>
      <c r="FM226" s="1655"/>
      <c r="FN226" s="1268"/>
      <c r="FO226" s="1655"/>
      <c r="FP226" s="1268"/>
      <c r="FQ226" s="1656"/>
      <c r="FR226" s="249"/>
      <c r="FS226" s="216"/>
      <c r="FT226" s="1657"/>
      <c r="FU226" s="1658"/>
      <c r="FV226" s="242"/>
      <c r="FW226" s="343"/>
      <c r="FX226" s="222"/>
      <c r="FY226" s="336"/>
      <c r="FZ226" s="223"/>
      <c r="GA226" s="338"/>
      <c r="GB226" s="204"/>
      <c r="GC226" s="339"/>
      <c r="GD226" s="342"/>
      <c r="GE226" s="199"/>
      <c r="GF226" s="199"/>
      <c r="GG226" s="199"/>
      <c r="GH226" s="199"/>
      <c r="GI226" s="199"/>
      <c r="GJ226" s="199"/>
      <c r="GK226" s="199"/>
      <c r="GL226" s="49"/>
      <c r="GM226" s="28"/>
      <c r="GN226" s="28"/>
      <c r="GO226" s="322"/>
      <c r="GP226" s="1190"/>
      <c r="GQ226" s="1190"/>
      <c r="GR226" s="49"/>
      <c r="GS226" s="2879"/>
      <c r="GT226" s="2880"/>
      <c r="GU226" s="2881"/>
      <c r="GV226" s="49"/>
      <c r="GW226" s="49"/>
      <c r="GX226" s="49"/>
      <c r="GY226" s="49"/>
      <c r="GZ226" s="49"/>
      <c r="HA226" s="49"/>
      <c r="HB226" s="49"/>
      <c r="HC226" s="49"/>
      <c r="HD226" s="49"/>
      <c r="HE226" s="49"/>
      <c r="HF226" s="49"/>
      <c r="HG226" s="49"/>
      <c r="HH226" s="49"/>
      <c r="HI226" s="49"/>
      <c r="HJ226" s="49"/>
      <c r="HK226" s="49"/>
      <c r="HL226" s="49"/>
      <c r="HM226" s="49"/>
      <c r="HN226" s="49"/>
      <c r="HO226" s="49"/>
      <c r="HP226" s="49"/>
      <c r="HQ226" s="49"/>
      <c r="HR226" s="49"/>
      <c r="HS226" s="49"/>
      <c r="HT226" s="49"/>
      <c r="HU226" s="49"/>
      <c r="HV226" s="49"/>
      <c r="HW226" s="49"/>
      <c r="HX226" s="49"/>
      <c r="HY226" s="49"/>
      <c r="HZ226" s="49"/>
      <c r="IA226" s="49"/>
      <c r="IB226" s="49"/>
      <c r="IC226" s="49"/>
      <c r="ID226" s="49"/>
      <c r="IE226" s="49"/>
      <c r="IF226" s="49"/>
      <c r="IG226" s="49"/>
      <c r="IH226" s="49"/>
      <c r="II226" s="49"/>
      <c r="IJ226" s="49"/>
      <c r="IK226" s="49"/>
      <c r="IL226" s="49"/>
      <c r="IM226" s="49"/>
      <c r="IN226" s="49"/>
      <c r="IO226" s="49"/>
      <c r="IP226" s="49"/>
      <c r="IQ226" s="49"/>
      <c r="IR226" s="49"/>
      <c r="IS226" s="49"/>
      <c r="IT226" s="49"/>
      <c r="IU226" s="49"/>
      <c r="IV226" s="49"/>
    </row>
    <row r="227" spans="1:256" s="198" customFormat="1" ht="12" customHeight="1">
      <c r="A227" s="1252"/>
      <c r="B227" s="200"/>
      <c r="C227" s="486"/>
      <c r="D227" s="201"/>
      <c r="E227" s="202"/>
      <c r="F227" s="203"/>
      <c r="G227" s="197"/>
      <c r="H227" s="197"/>
      <c r="I227" s="197"/>
      <c r="J227" s="197"/>
      <c r="K227" s="175"/>
      <c r="L227" s="197"/>
      <c r="M227" s="197"/>
      <c r="N227" s="197"/>
      <c r="O227" s="197"/>
      <c r="P227" s="197"/>
      <c r="Q227" s="1198"/>
      <c r="R227" s="202"/>
      <c r="S227" s="202"/>
      <c r="T227" s="1186"/>
      <c r="U227" s="233"/>
      <c r="V227" s="49"/>
      <c r="W227" s="218"/>
      <c r="X227" s="218"/>
      <c r="Y227" s="216"/>
      <c r="Z227" s="216"/>
      <c r="AA227" s="215"/>
      <c r="AB227" s="216"/>
      <c r="AC227" s="216"/>
      <c r="AD227" s="239"/>
      <c r="AE227" s="216"/>
      <c r="AF227" s="216"/>
      <c r="AG227" s="216"/>
      <c r="AH227" s="216"/>
      <c r="AI227" s="216"/>
      <c r="AJ227" s="216"/>
      <c r="AK227" s="239"/>
      <c r="AL227" s="216"/>
      <c r="AM227" s="216"/>
      <c r="AN227" s="216"/>
      <c r="AO227" s="216"/>
      <c r="AP227" s="216"/>
      <c r="AQ227" s="216"/>
      <c r="AR227" s="216"/>
      <c r="AS227" s="216"/>
      <c r="AT227" s="216"/>
      <c r="AU227" s="216"/>
      <c r="AV227" s="217"/>
      <c r="AW227" s="355"/>
      <c r="AX227" s="217"/>
      <c r="AY227" s="1559"/>
      <c r="AZ227" s="249"/>
      <c r="BA227" s="221"/>
      <c r="BB227" s="300"/>
      <c r="BC227" s="217"/>
      <c r="BD227" s="392"/>
      <c r="BE227" s="1244"/>
      <c r="BF227" s="249"/>
      <c r="BG227" s="252"/>
      <c r="BH227" s="1469"/>
      <c r="BI227" s="216"/>
      <c r="BJ227" s="1469"/>
      <c r="BK227" s="1459"/>
      <c r="BL227" s="260"/>
      <c r="BM227" s="214"/>
      <c r="BN227" s="293"/>
      <c r="BO227" s="217"/>
      <c r="BP227" s="355"/>
      <c r="BQ227" s="217"/>
      <c r="BR227" s="1193"/>
      <c r="BS227" s="249"/>
      <c r="BT227" s="216"/>
      <c r="BU227" s="1195"/>
      <c r="BV227" s="249"/>
      <c r="BW227" s="216"/>
      <c r="BX227" s="1195"/>
      <c r="BY227" s="249"/>
      <c r="BZ227" s="216"/>
      <c r="CA227" s="1195"/>
      <c r="CB227" s="249"/>
      <c r="CC227" s="216"/>
      <c r="CD227" s="1195"/>
      <c r="CE227" s="249"/>
      <c r="CF227" s="216"/>
      <c r="CG227" s="1195"/>
      <c r="CH227" s="249"/>
      <c r="CI227" s="216"/>
      <c r="CJ227" s="1195"/>
      <c r="CK227" s="249"/>
      <c r="CL227" s="216"/>
      <c r="CM227" s="1194"/>
      <c r="CN227" s="1524"/>
      <c r="CO227" s="217"/>
      <c r="CP227" s="1193"/>
      <c r="CQ227" s="293"/>
      <c r="CR227" s="217"/>
      <c r="CS227" s="305"/>
      <c r="CT227" s="249"/>
      <c r="CU227" s="216"/>
      <c r="CV227" s="1193"/>
      <c r="CW227" s="249"/>
      <c r="CX227" s="216"/>
      <c r="CY227" s="305"/>
      <c r="CZ227" s="249"/>
      <c r="DA227" s="216"/>
      <c r="DB227" s="307"/>
      <c r="DC227" s="328"/>
      <c r="DD227" s="322"/>
      <c r="DE227" s="305"/>
      <c r="DF227" s="249"/>
      <c r="DG227" s="216"/>
      <c r="DH227" s="305"/>
      <c r="DI227" s="249"/>
      <c r="DJ227" s="216"/>
      <c r="DK227" s="309"/>
      <c r="DL227" s="293"/>
      <c r="DM227" s="326"/>
      <c r="DN227" s="1256"/>
      <c r="DO227" s="214"/>
      <c r="DP227" s="1257"/>
      <c r="DQ227" s="1258"/>
      <c r="DR227" s="305"/>
      <c r="DS227" s="249"/>
      <c r="DT227" s="216"/>
      <c r="DU227" s="305"/>
      <c r="DV227" s="2520"/>
      <c r="DW227" s="2521"/>
      <c r="DX227" s="305"/>
      <c r="DY227" s="249"/>
      <c r="DZ227" s="221"/>
      <c r="EA227" s="388"/>
      <c r="EB227" s="249"/>
      <c r="EC227" s="216"/>
      <c r="ED227" s="1461"/>
      <c r="EE227" s="249"/>
      <c r="EF227" s="216"/>
      <c r="EG227" s="355"/>
      <c r="EH227" s="1425"/>
      <c r="EI227" s="1470"/>
      <c r="EJ227" s="249"/>
      <c r="EK227" s="221"/>
      <c r="EL227" s="313"/>
      <c r="EM227" s="249"/>
      <c r="EN227" s="221"/>
      <c r="EO227" s="313"/>
      <c r="EP227" s="249"/>
      <c r="EQ227" s="216"/>
      <c r="ER227" s="313"/>
      <c r="ES227" s="249"/>
      <c r="ET227" s="216"/>
      <c r="EU227" s="313"/>
      <c r="EV227" s="249"/>
      <c r="EW227" s="216"/>
      <c r="EX227" s="2505"/>
      <c r="EY227" s="249"/>
      <c r="EZ227" s="221"/>
      <c r="FA227" s="313"/>
      <c r="FB227" s="249"/>
      <c r="FC227" s="221"/>
      <c r="FD227" s="313"/>
      <c r="FE227" s="249"/>
      <c r="FF227" s="221"/>
      <c r="FG227" s="313"/>
      <c r="FH227" s="249"/>
      <c r="FI227" s="216"/>
      <c r="FJ227" s="1435"/>
      <c r="FK227" s="216"/>
      <c r="FL227" s="1268"/>
      <c r="FM227" s="1655"/>
      <c r="FN227" s="1268"/>
      <c r="FO227" s="1655"/>
      <c r="FP227" s="1268"/>
      <c r="FQ227" s="1656"/>
      <c r="FR227" s="249"/>
      <c r="FS227" s="216"/>
      <c r="FT227" s="1657"/>
      <c r="FU227" s="1658"/>
      <c r="FV227" s="242"/>
      <c r="FW227" s="343"/>
      <c r="FX227" s="222"/>
      <c r="FY227" s="336"/>
      <c r="FZ227" s="223"/>
      <c r="GA227" s="338"/>
      <c r="GB227" s="204"/>
      <c r="GC227" s="339"/>
      <c r="GD227" s="342"/>
      <c r="GE227" s="199"/>
      <c r="GF227" s="199"/>
      <c r="GG227" s="199"/>
      <c r="GH227" s="199"/>
      <c r="GI227" s="199"/>
      <c r="GJ227" s="199"/>
      <c r="GK227" s="199"/>
      <c r="GL227" s="49"/>
      <c r="GM227" s="28"/>
      <c r="GN227" s="28"/>
      <c r="GO227" s="322"/>
      <c r="GP227" s="1190"/>
      <c r="GQ227" s="1190"/>
      <c r="GR227" s="49"/>
      <c r="GS227" s="2879"/>
      <c r="GT227" s="2880"/>
      <c r="GU227" s="2881"/>
      <c r="GV227" s="49"/>
      <c r="GW227" s="49"/>
      <c r="GX227" s="49"/>
      <c r="GY227" s="49"/>
      <c r="GZ227" s="49"/>
      <c r="HA227" s="49"/>
      <c r="HB227" s="49"/>
      <c r="HC227" s="49"/>
      <c r="HD227" s="49"/>
      <c r="HE227" s="49"/>
      <c r="HF227" s="49"/>
      <c r="HG227" s="49"/>
      <c r="HH227" s="49"/>
      <c r="HI227" s="49"/>
      <c r="HJ227" s="49"/>
      <c r="HK227" s="49"/>
      <c r="HL227" s="49"/>
      <c r="HM227" s="49"/>
      <c r="HN227" s="49"/>
      <c r="HO227" s="49"/>
      <c r="HP227" s="49"/>
      <c r="HQ227" s="49"/>
      <c r="HR227" s="49"/>
      <c r="HS227" s="49"/>
      <c r="HT227" s="49"/>
      <c r="HU227" s="49"/>
      <c r="HV227" s="49"/>
      <c r="HW227" s="49"/>
      <c r="HX227" s="49"/>
      <c r="HY227" s="49"/>
      <c r="HZ227" s="49"/>
      <c r="IA227" s="49"/>
      <c r="IB227" s="49"/>
      <c r="IC227" s="49"/>
      <c r="ID227" s="49"/>
      <c r="IE227" s="49"/>
      <c r="IF227" s="49"/>
      <c r="IG227" s="49"/>
      <c r="IH227" s="49"/>
      <c r="II227" s="49"/>
      <c r="IJ227" s="49"/>
      <c r="IK227" s="49"/>
      <c r="IL227" s="49"/>
      <c r="IM227" s="49"/>
      <c r="IN227" s="49"/>
      <c r="IO227" s="49"/>
      <c r="IP227" s="49"/>
      <c r="IQ227" s="49"/>
      <c r="IR227" s="49"/>
      <c r="IS227" s="49"/>
      <c r="IT227" s="49"/>
      <c r="IU227" s="49"/>
      <c r="IV227" s="49"/>
    </row>
    <row r="228" spans="1:256" s="198" customFormat="1" ht="12" customHeight="1">
      <c r="A228" s="1252"/>
      <c r="B228" s="200"/>
      <c r="C228" s="486"/>
      <c r="D228" s="201"/>
      <c r="E228" s="202"/>
      <c r="F228" s="203"/>
      <c r="G228" s="197"/>
      <c r="H228" s="197"/>
      <c r="I228" s="197"/>
      <c r="J228" s="197"/>
      <c r="K228" s="175"/>
      <c r="L228" s="197"/>
      <c r="M228" s="197"/>
      <c r="N228" s="197"/>
      <c r="O228" s="197"/>
      <c r="P228" s="197"/>
      <c r="Q228" s="1198"/>
      <c r="R228" s="202"/>
      <c r="S228" s="202"/>
      <c r="T228" s="1186"/>
      <c r="U228" s="233"/>
      <c r="V228" s="49"/>
      <c r="W228" s="218"/>
      <c r="X228" s="218"/>
      <c r="Y228" s="216"/>
      <c r="Z228" s="216"/>
      <c r="AA228" s="215"/>
      <c r="AB228" s="216"/>
      <c r="AC228" s="216"/>
      <c r="AD228" s="239"/>
      <c r="AE228" s="216"/>
      <c r="AF228" s="216"/>
      <c r="AG228" s="216"/>
      <c r="AH228" s="216"/>
      <c r="AI228" s="216"/>
      <c r="AJ228" s="216"/>
      <c r="AK228" s="239"/>
      <c r="AL228" s="216"/>
      <c r="AM228" s="216"/>
      <c r="AN228" s="216"/>
      <c r="AO228" s="216"/>
      <c r="AP228" s="216"/>
      <c r="AQ228" s="216"/>
      <c r="AR228" s="216"/>
      <c r="AS228" s="216"/>
      <c r="AT228" s="216"/>
      <c r="AU228" s="216"/>
      <c r="AV228" s="217"/>
      <c r="AW228" s="355"/>
      <c r="AX228" s="217"/>
      <c r="AY228" s="1559"/>
      <c r="AZ228" s="249"/>
      <c r="BA228" s="221"/>
      <c r="BB228" s="300"/>
      <c r="BC228" s="217"/>
      <c r="BD228" s="392"/>
      <c r="BE228" s="1244"/>
      <c r="BF228" s="249"/>
      <c r="BG228" s="252"/>
      <c r="BH228" s="1469"/>
      <c r="BI228" s="216"/>
      <c r="BJ228" s="1469"/>
      <c r="BK228" s="1459"/>
      <c r="BL228" s="260"/>
      <c r="BM228" s="214"/>
      <c r="BN228" s="293"/>
      <c r="BO228" s="217"/>
      <c r="BP228" s="355"/>
      <c r="BQ228" s="217"/>
      <c r="BR228" s="1193"/>
      <c r="BS228" s="249"/>
      <c r="BT228" s="216"/>
      <c r="BU228" s="1195"/>
      <c r="BV228" s="249"/>
      <c r="BW228" s="216"/>
      <c r="BX228" s="1195"/>
      <c r="BY228" s="249"/>
      <c r="BZ228" s="216"/>
      <c r="CA228" s="1195"/>
      <c r="CB228" s="249"/>
      <c r="CC228" s="216"/>
      <c r="CD228" s="1195"/>
      <c r="CE228" s="249"/>
      <c r="CF228" s="216"/>
      <c r="CG228" s="1195"/>
      <c r="CH228" s="249"/>
      <c r="CI228" s="216"/>
      <c r="CJ228" s="1195"/>
      <c r="CK228" s="249"/>
      <c r="CL228" s="216"/>
      <c r="CM228" s="1194"/>
      <c r="CN228" s="1524"/>
      <c r="CO228" s="217"/>
      <c r="CP228" s="1193"/>
      <c r="CQ228" s="293"/>
      <c r="CR228" s="217"/>
      <c r="CS228" s="305"/>
      <c r="CT228" s="249"/>
      <c r="CU228" s="216"/>
      <c r="CV228" s="1193"/>
      <c r="CW228" s="249"/>
      <c r="CX228" s="216"/>
      <c r="CY228" s="305"/>
      <c r="CZ228" s="249"/>
      <c r="DA228" s="216"/>
      <c r="DB228" s="307"/>
      <c r="DC228" s="328"/>
      <c r="DD228" s="322"/>
      <c r="DE228" s="305"/>
      <c r="DF228" s="249"/>
      <c r="DG228" s="216"/>
      <c r="DH228" s="305"/>
      <c r="DI228" s="249"/>
      <c r="DJ228" s="216"/>
      <c r="DK228" s="309"/>
      <c r="DL228" s="293"/>
      <c r="DM228" s="326"/>
      <c r="DN228" s="1256"/>
      <c r="DO228" s="214"/>
      <c r="DP228" s="1257"/>
      <c r="DQ228" s="1258"/>
      <c r="DR228" s="305"/>
      <c r="DS228" s="249"/>
      <c r="DT228" s="216"/>
      <c r="DU228" s="305"/>
      <c r="DV228" s="2520"/>
      <c r="DW228" s="2521"/>
      <c r="DX228" s="305"/>
      <c r="DY228" s="249"/>
      <c r="DZ228" s="221"/>
      <c r="EA228" s="388"/>
      <c r="EB228" s="249"/>
      <c r="EC228" s="216"/>
      <c r="ED228" s="1461"/>
      <c r="EE228" s="249"/>
      <c r="EF228" s="216"/>
      <c r="EG228" s="355"/>
      <c r="EH228" s="1425"/>
      <c r="EI228" s="1470"/>
      <c r="EJ228" s="249"/>
      <c r="EK228" s="221"/>
      <c r="EL228" s="313"/>
      <c r="EM228" s="249"/>
      <c r="EN228" s="221"/>
      <c r="EO228" s="313"/>
      <c r="EP228" s="249"/>
      <c r="EQ228" s="216"/>
      <c r="ER228" s="313"/>
      <c r="ES228" s="249"/>
      <c r="ET228" s="216"/>
      <c r="EU228" s="313"/>
      <c r="EV228" s="249"/>
      <c r="EW228" s="216"/>
      <c r="EX228" s="2505"/>
      <c r="EY228" s="249"/>
      <c r="EZ228" s="221"/>
      <c r="FA228" s="313"/>
      <c r="FB228" s="249"/>
      <c r="FC228" s="221"/>
      <c r="FD228" s="313"/>
      <c r="FE228" s="249"/>
      <c r="FF228" s="221"/>
      <c r="FG228" s="313"/>
      <c r="FH228" s="249"/>
      <c r="FI228" s="216"/>
      <c r="FJ228" s="1435"/>
      <c r="FK228" s="216"/>
      <c r="FL228" s="1268"/>
      <c r="FM228" s="1655"/>
      <c r="FN228" s="1268"/>
      <c r="FO228" s="1655"/>
      <c r="FP228" s="1268"/>
      <c r="FQ228" s="1656"/>
      <c r="FR228" s="249"/>
      <c r="FS228" s="216"/>
      <c r="FT228" s="1657"/>
      <c r="FU228" s="1658"/>
      <c r="FV228" s="242"/>
      <c r="FW228" s="343"/>
      <c r="FX228" s="222"/>
      <c r="FY228" s="336"/>
      <c r="FZ228" s="223"/>
      <c r="GA228" s="338"/>
      <c r="GB228" s="204"/>
      <c r="GC228" s="339"/>
      <c r="GD228" s="342"/>
      <c r="GE228" s="199"/>
      <c r="GF228" s="199"/>
      <c r="GG228" s="199"/>
      <c r="GH228" s="199"/>
      <c r="GI228" s="199"/>
      <c r="GJ228" s="199"/>
      <c r="GK228" s="199"/>
      <c r="GL228" s="49"/>
      <c r="GM228" s="28"/>
      <c r="GN228" s="28"/>
      <c r="GO228" s="322"/>
      <c r="GP228" s="1190"/>
      <c r="GQ228" s="1190"/>
      <c r="GR228" s="49"/>
      <c r="GS228" s="2879"/>
      <c r="GT228" s="2880"/>
      <c r="GU228" s="2881"/>
      <c r="GV228" s="49"/>
      <c r="GW228" s="49"/>
      <c r="GX228" s="49"/>
      <c r="GY228" s="49"/>
      <c r="GZ228" s="49"/>
      <c r="HA228" s="49"/>
      <c r="HB228" s="49"/>
      <c r="HC228" s="49"/>
      <c r="HD228" s="49"/>
      <c r="HE228" s="49"/>
      <c r="HF228" s="49"/>
      <c r="HG228" s="49"/>
      <c r="HH228" s="49"/>
      <c r="HI228" s="49"/>
      <c r="HJ228" s="49"/>
      <c r="HK228" s="49"/>
      <c r="HL228" s="49"/>
      <c r="HM228" s="49"/>
      <c r="HN228" s="49"/>
      <c r="HO228" s="49"/>
      <c r="HP228" s="49"/>
      <c r="HQ228" s="49"/>
      <c r="HR228" s="49"/>
      <c r="HS228" s="49"/>
      <c r="HT228" s="49"/>
      <c r="HU228" s="49"/>
      <c r="HV228" s="49"/>
      <c r="HW228" s="49"/>
      <c r="HX228" s="49"/>
      <c r="HY228" s="49"/>
      <c r="HZ228" s="49"/>
      <c r="IA228" s="49"/>
      <c r="IB228" s="49"/>
      <c r="IC228" s="49"/>
      <c r="ID228" s="49"/>
      <c r="IE228" s="49"/>
      <c r="IF228" s="49"/>
      <c r="IG228" s="49"/>
      <c r="IH228" s="49"/>
      <c r="II228" s="49"/>
      <c r="IJ228" s="49"/>
      <c r="IK228" s="49"/>
      <c r="IL228" s="49"/>
      <c r="IM228" s="49"/>
      <c r="IN228" s="49"/>
      <c r="IO228" s="49"/>
      <c r="IP228" s="49"/>
      <c r="IQ228" s="49"/>
      <c r="IR228" s="49"/>
      <c r="IS228" s="49"/>
      <c r="IT228" s="49"/>
      <c r="IU228" s="49"/>
      <c r="IV228" s="49"/>
    </row>
    <row r="229" spans="1:256" s="198" customFormat="1" ht="12" customHeight="1">
      <c r="A229" s="1252"/>
      <c r="B229" s="200"/>
      <c r="C229" s="486"/>
      <c r="D229" s="201"/>
      <c r="E229" s="202"/>
      <c r="F229" s="203"/>
      <c r="G229" s="197"/>
      <c r="H229" s="197"/>
      <c r="I229" s="197"/>
      <c r="J229" s="197"/>
      <c r="K229" s="175"/>
      <c r="L229" s="197"/>
      <c r="M229" s="197"/>
      <c r="N229" s="197"/>
      <c r="O229" s="197"/>
      <c r="P229" s="197"/>
      <c r="Q229" s="1198"/>
      <c r="R229" s="202"/>
      <c r="S229" s="202"/>
      <c r="T229" s="1186"/>
      <c r="U229" s="233"/>
      <c r="V229" s="49"/>
      <c r="W229" s="218"/>
      <c r="X229" s="218"/>
      <c r="Y229" s="216"/>
      <c r="Z229" s="216"/>
      <c r="AA229" s="215"/>
      <c r="AB229" s="216"/>
      <c r="AC229" s="216"/>
      <c r="AD229" s="239"/>
      <c r="AE229" s="216"/>
      <c r="AF229" s="216"/>
      <c r="AG229" s="216"/>
      <c r="AH229" s="216"/>
      <c r="AI229" s="216"/>
      <c r="AJ229" s="216"/>
      <c r="AK229" s="239"/>
      <c r="AL229" s="216"/>
      <c r="AM229" s="216"/>
      <c r="AN229" s="216"/>
      <c r="AO229" s="216"/>
      <c r="AP229" s="216"/>
      <c r="AQ229" s="216"/>
      <c r="AR229" s="216"/>
      <c r="AS229" s="216"/>
      <c r="AT229" s="216"/>
      <c r="AU229" s="216"/>
      <c r="AV229" s="217"/>
      <c r="AW229" s="355"/>
      <c r="AX229" s="217"/>
      <c r="AY229" s="1559"/>
      <c r="AZ229" s="249"/>
      <c r="BA229" s="221"/>
      <c r="BB229" s="300"/>
      <c r="BC229" s="217"/>
      <c r="BD229" s="392"/>
      <c r="BE229" s="1244"/>
      <c r="BF229" s="249"/>
      <c r="BG229" s="252"/>
      <c r="BH229" s="1469"/>
      <c r="BI229" s="216"/>
      <c r="BJ229" s="1469"/>
      <c r="BK229" s="1459"/>
      <c r="BL229" s="260"/>
      <c r="BM229" s="214"/>
      <c r="BN229" s="293"/>
      <c r="BO229" s="217"/>
      <c r="BP229" s="355"/>
      <c r="BQ229" s="217"/>
      <c r="BR229" s="1193"/>
      <c r="BS229" s="249"/>
      <c r="BT229" s="216"/>
      <c r="BU229" s="1195"/>
      <c r="BV229" s="249"/>
      <c r="BW229" s="216"/>
      <c r="BX229" s="1195"/>
      <c r="BY229" s="249"/>
      <c r="BZ229" s="216"/>
      <c r="CA229" s="1195"/>
      <c r="CB229" s="249"/>
      <c r="CC229" s="216"/>
      <c r="CD229" s="1195"/>
      <c r="CE229" s="249"/>
      <c r="CF229" s="216"/>
      <c r="CG229" s="1195"/>
      <c r="CH229" s="249"/>
      <c r="CI229" s="216"/>
      <c r="CJ229" s="1195"/>
      <c r="CK229" s="249"/>
      <c r="CL229" s="216"/>
      <c r="CM229" s="1194"/>
      <c r="CN229" s="1524"/>
      <c r="CO229" s="217"/>
      <c r="CP229" s="1193"/>
      <c r="CQ229" s="293"/>
      <c r="CR229" s="217"/>
      <c r="CS229" s="305"/>
      <c r="CT229" s="249"/>
      <c r="CU229" s="216"/>
      <c r="CV229" s="1193"/>
      <c r="CW229" s="249"/>
      <c r="CX229" s="216"/>
      <c r="CY229" s="305"/>
      <c r="CZ229" s="249"/>
      <c r="DA229" s="216"/>
      <c r="DB229" s="307"/>
      <c r="DC229" s="328"/>
      <c r="DD229" s="322"/>
      <c r="DE229" s="305"/>
      <c r="DF229" s="249"/>
      <c r="DG229" s="216"/>
      <c r="DH229" s="305"/>
      <c r="DI229" s="249"/>
      <c r="DJ229" s="216"/>
      <c r="DK229" s="309"/>
      <c r="DL229" s="293"/>
      <c r="DM229" s="326"/>
      <c r="DN229" s="1256"/>
      <c r="DO229" s="214"/>
      <c r="DP229" s="1257"/>
      <c r="DQ229" s="1258"/>
      <c r="DR229" s="305"/>
      <c r="DS229" s="249"/>
      <c r="DT229" s="216"/>
      <c r="DU229" s="305"/>
      <c r="DV229" s="2520"/>
      <c r="DW229" s="2521"/>
      <c r="DX229" s="305"/>
      <c r="DY229" s="249"/>
      <c r="DZ229" s="221"/>
      <c r="EA229" s="388"/>
      <c r="EB229" s="249"/>
      <c r="EC229" s="216"/>
      <c r="ED229" s="1461"/>
      <c r="EE229" s="249"/>
      <c r="EF229" s="216"/>
      <c r="EG229" s="355"/>
      <c r="EH229" s="1425"/>
      <c r="EI229" s="1470"/>
      <c r="EJ229" s="249"/>
      <c r="EK229" s="221"/>
      <c r="EL229" s="313"/>
      <c r="EM229" s="249"/>
      <c r="EN229" s="221"/>
      <c r="EO229" s="313"/>
      <c r="EP229" s="249"/>
      <c r="EQ229" s="216"/>
      <c r="ER229" s="313"/>
      <c r="ES229" s="249"/>
      <c r="ET229" s="216"/>
      <c r="EU229" s="313"/>
      <c r="EV229" s="249"/>
      <c r="EW229" s="216"/>
      <c r="EX229" s="2505"/>
      <c r="EY229" s="249"/>
      <c r="EZ229" s="221"/>
      <c r="FA229" s="313"/>
      <c r="FB229" s="249"/>
      <c r="FC229" s="221"/>
      <c r="FD229" s="313"/>
      <c r="FE229" s="249"/>
      <c r="FF229" s="221"/>
      <c r="FG229" s="313"/>
      <c r="FH229" s="249"/>
      <c r="FI229" s="216"/>
      <c r="FJ229" s="1435"/>
      <c r="FK229" s="216"/>
      <c r="FL229" s="1268"/>
      <c r="FM229" s="1655"/>
      <c r="FN229" s="1268"/>
      <c r="FO229" s="1655"/>
      <c r="FP229" s="1268"/>
      <c r="FQ229" s="1656"/>
      <c r="FR229" s="249"/>
      <c r="FS229" s="216"/>
      <c r="FT229" s="1657"/>
      <c r="FU229" s="1658"/>
      <c r="FV229" s="242"/>
      <c r="FW229" s="343"/>
      <c r="FX229" s="222"/>
      <c r="FY229" s="336"/>
      <c r="FZ229" s="223"/>
      <c r="GA229" s="338"/>
      <c r="GB229" s="204"/>
      <c r="GC229" s="339"/>
      <c r="GD229" s="342"/>
      <c r="GE229" s="199"/>
      <c r="GF229" s="199"/>
      <c r="GG229" s="199"/>
      <c r="GH229" s="199"/>
      <c r="GI229" s="199"/>
      <c r="GJ229" s="199"/>
      <c r="GK229" s="199"/>
      <c r="GL229" s="49"/>
      <c r="GM229" s="28"/>
      <c r="GN229" s="28"/>
      <c r="GO229" s="322"/>
      <c r="GP229" s="1190"/>
      <c r="GQ229" s="1190"/>
      <c r="GR229" s="49"/>
      <c r="GS229" s="2879"/>
      <c r="GT229" s="2880"/>
      <c r="GU229" s="2881"/>
      <c r="GV229" s="49"/>
      <c r="GW229" s="49"/>
      <c r="GX229" s="49"/>
      <c r="GY229" s="49"/>
      <c r="GZ229" s="49"/>
      <c r="HA229" s="49"/>
      <c r="HB229" s="49"/>
      <c r="HC229" s="49"/>
      <c r="HD229" s="49"/>
      <c r="HE229" s="49"/>
      <c r="HF229" s="49"/>
      <c r="HG229" s="49"/>
      <c r="HH229" s="49"/>
      <c r="HI229" s="49"/>
      <c r="HJ229" s="49"/>
      <c r="HK229" s="49"/>
      <c r="HL229" s="49"/>
      <c r="HM229" s="49"/>
      <c r="HN229" s="49"/>
      <c r="HO229" s="49"/>
      <c r="HP229" s="49"/>
      <c r="HQ229" s="49"/>
      <c r="HR229" s="49"/>
      <c r="HS229" s="49"/>
      <c r="HT229" s="49"/>
      <c r="HU229" s="49"/>
      <c r="HV229" s="49"/>
      <c r="HW229" s="49"/>
      <c r="HX229" s="49"/>
      <c r="HY229" s="49"/>
      <c r="HZ229" s="49"/>
      <c r="IA229" s="49"/>
      <c r="IB229" s="49"/>
      <c r="IC229" s="49"/>
      <c r="ID229" s="49"/>
      <c r="IE229" s="49"/>
      <c r="IF229" s="49"/>
      <c r="IG229" s="49"/>
      <c r="IH229" s="49"/>
      <c r="II229" s="49"/>
      <c r="IJ229" s="49"/>
      <c r="IK229" s="49"/>
      <c r="IL229" s="49"/>
      <c r="IM229" s="49"/>
      <c r="IN229" s="49"/>
      <c r="IO229" s="49"/>
      <c r="IP229" s="49"/>
      <c r="IQ229" s="49"/>
      <c r="IR229" s="49"/>
      <c r="IS229" s="49"/>
      <c r="IT229" s="49"/>
      <c r="IU229" s="49"/>
      <c r="IV229" s="49"/>
    </row>
    <row r="230" spans="1:256" s="198" customFormat="1" ht="12" customHeight="1">
      <c r="A230" s="1252"/>
      <c r="B230" s="200"/>
      <c r="C230" s="486"/>
      <c r="D230" s="201"/>
      <c r="E230" s="202"/>
      <c r="F230" s="203"/>
      <c r="G230" s="197"/>
      <c r="H230" s="197"/>
      <c r="I230" s="197"/>
      <c r="J230" s="197"/>
      <c r="K230" s="175"/>
      <c r="L230" s="197"/>
      <c r="M230" s="197"/>
      <c r="N230" s="197"/>
      <c r="O230" s="197"/>
      <c r="P230" s="197"/>
      <c r="Q230" s="1198"/>
      <c r="R230" s="202"/>
      <c r="S230" s="202"/>
      <c r="T230" s="1186"/>
      <c r="U230" s="233"/>
      <c r="V230" s="49"/>
      <c r="W230" s="218"/>
      <c r="X230" s="218"/>
      <c r="Y230" s="216"/>
      <c r="Z230" s="216"/>
      <c r="AA230" s="215"/>
      <c r="AB230" s="216"/>
      <c r="AC230" s="216"/>
      <c r="AD230" s="239"/>
      <c r="AE230" s="216"/>
      <c r="AF230" s="216"/>
      <c r="AG230" s="216"/>
      <c r="AH230" s="216"/>
      <c r="AI230" s="216"/>
      <c r="AJ230" s="216"/>
      <c r="AK230" s="239"/>
      <c r="AL230" s="216"/>
      <c r="AM230" s="216"/>
      <c r="AN230" s="216"/>
      <c r="AO230" s="216"/>
      <c r="AP230" s="216"/>
      <c r="AQ230" s="216"/>
      <c r="AR230" s="216"/>
      <c r="AS230" s="216"/>
      <c r="AT230" s="216"/>
      <c r="AU230" s="216"/>
      <c r="AV230" s="217"/>
      <c r="AW230" s="355"/>
      <c r="AX230" s="217"/>
      <c r="AY230" s="1559"/>
      <c r="AZ230" s="249"/>
      <c r="BA230" s="221"/>
      <c r="BB230" s="300"/>
      <c r="BC230" s="217"/>
      <c r="BD230" s="392"/>
      <c r="BE230" s="1244"/>
      <c r="BF230" s="249"/>
      <c r="BG230" s="252"/>
      <c r="BH230" s="1469"/>
      <c r="BI230" s="216"/>
      <c r="BJ230" s="1469"/>
      <c r="BK230" s="1459"/>
      <c r="BL230" s="260"/>
      <c r="BM230" s="214"/>
      <c r="BN230" s="293"/>
      <c r="BO230" s="217"/>
      <c r="BP230" s="355"/>
      <c r="BQ230" s="217"/>
      <c r="BR230" s="1193"/>
      <c r="BS230" s="249"/>
      <c r="BT230" s="216"/>
      <c r="BU230" s="1195"/>
      <c r="BV230" s="249"/>
      <c r="BW230" s="216"/>
      <c r="BX230" s="1195"/>
      <c r="BY230" s="249"/>
      <c r="BZ230" s="216"/>
      <c r="CA230" s="1195"/>
      <c r="CB230" s="249"/>
      <c r="CC230" s="216"/>
      <c r="CD230" s="1195"/>
      <c r="CE230" s="249"/>
      <c r="CF230" s="216"/>
      <c r="CG230" s="1195"/>
      <c r="CH230" s="249"/>
      <c r="CI230" s="216"/>
      <c r="CJ230" s="1195"/>
      <c r="CK230" s="249"/>
      <c r="CL230" s="216"/>
      <c r="CM230" s="1194"/>
      <c r="CN230" s="1524"/>
      <c r="CO230" s="217"/>
      <c r="CP230" s="1193"/>
      <c r="CQ230" s="293"/>
      <c r="CR230" s="217"/>
      <c r="CS230" s="305"/>
      <c r="CT230" s="249"/>
      <c r="CU230" s="216"/>
      <c r="CV230" s="1193"/>
      <c r="CW230" s="249"/>
      <c r="CX230" s="216"/>
      <c r="CY230" s="305"/>
      <c r="CZ230" s="249"/>
      <c r="DA230" s="216"/>
      <c r="DB230" s="307"/>
      <c r="DC230" s="328"/>
      <c r="DD230" s="322"/>
      <c r="DE230" s="305"/>
      <c r="DF230" s="249"/>
      <c r="DG230" s="216"/>
      <c r="DH230" s="305"/>
      <c r="DI230" s="249"/>
      <c r="DJ230" s="216"/>
      <c r="DK230" s="309"/>
      <c r="DL230" s="293"/>
      <c r="DM230" s="326"/>
      <c r="DN230" s="1256"/>
      <c r="DO230" s="214"/>
      <c r="DP230" s="1257"/>
      <c r="DQ230" s="1258"/>
      <c r="DR230" s="305"/>
      <c r="DS230" s="249"/>
      <c r="DT230" s="216"/>
      <c r="DU230" s="305"/>
      <c r="DV230" s="2520"/>
      <c r="DW230" s="2521"/>
      <c r="DX230" s="305"/>
      <c r="DY230" s="249"/>
      <c r="DZ230" s="221"/>
      <c r="EA230" s="388"/>
      <c r="EB230" s="249"/>
      <c r="EC230" s="216"/>
      <c r="ED230" s="1461"/>
      <c r="EE230" s="249"/>
      <c r="EF230" s="216"/>
      <c r="EG230" s="355"/>
      <c r="EH230" s="1425"/>
      <c r="EI230" s="1470"/>
      <c r="EJ230" s="249"/>
      <c r="EK230" s="221"/>
      <c r="EL230" s="313"/>
      <c r="EM230" s="249"/>
      <c r="EN230" s="221"/>
      <c r="EO230" s="313"/>
      <c r="EP230" s="249"/>
      <c r="EQ230" s="216"/>
      <c r="ER230" s="313"/>
      <c r="ES230" s="249"/>
      <c r="ET230" s="216"/>
      <c r="EU230" s="313"/>
      <c r="EV230" s="249"/>
      <c r="EW230" s="216"/>
      <c r="EX230" s="2505"/>
      <c r="EY230" s="249"/>
      <c r="EZ230" s="221"/>
      <c r="FA230" s="313"/>
      <c r="FB230" s="249"/>
      <c r="FC230" s="221"/>
      <c r="FD230" s="313"/>
      <c r="FE230" s="249"/>
      <c r="FF230" s="221"/>
      <c r="FG230" s="313"/>
      <c r="FH230" s="249"/>
      <c r="FI230" s="216"/>
      <c r="FJ230" s="1435"/>
      <c r="FK230" s="216"/>
      <c r="FL230" s="1268"/>
      <c r="FM230" s="1655"/>
      <c r="FN230" s="1268"/>
      <c r="FO230" s="1655"/>
      <c r="FP230" s="1268"/>
      <c r="FQ230" s="1656"/>
      <c r="FR230" s="249"/>
      <c r="FS230" s="216"/>
      <c r="FT230" s="1657"/>
      <c r="FU230" s="1658"/>
      <c r="FV230" s="242"/>
      <c r="FW230" s="343"/>
      <c r="FX230" s="222"/>
      <c r="FY230" s="336"/>
      <c r="FZ230" s="223"/>
      <c r="GA230" s="338"/>
      <c r="GB230" s="204"/>
      <c r="GC230" s="339"/>
      <c r="GD230" s="342"/>
      <c r="GE230" s="199"/>
      <c r="GF230" s="199"/>
      <c r="GG230" s="199"/>
      <c r="GH230" s="199"/>
      <c r="GI230" s="199"/>
      <c r="GJ230" s="199"/>
      <c r="GK230" s="199"/>
      <c r="GL230" s="49"/>
      <c r="GM230" s="28"/>
      <c r="GN230" s="28"/>
      <c r="GO230" s="322"/>
      <c r="GP230" s="1190"/>
      <c r="GQ230" s="1190"/>
      <c r="GR230" s="49"/>
      <c r="GS230" s="2879"/>
      <c r="GT230" s="2880"/>
      <c r="GU230" s="2881"/>
      <c r="GV230" s="49"/>
      <c r="GW230" s="49"/>
      <c r="GX230" s="49"/>
      <c r="GY230" s="49"/>
      <c r="GZ230" s="49"/>
      <c r="HA230" s="49"/>
      <c r="HB230" s="49"/>
      <c r="HC230" s="49"/>
      <c r="HD230" s="49"/>
      <c r="HE230" s="49"/>
      <c r="HF230" s="49"/>
      <c r="HG230" s="49"/>
      <c r="HH230" s="49"/>
      <c r="HI230" s="49"/>
      <c r="HJ230" s="49"/>
      <c r="HK230" s="49"/>
      <c r="HL230" s="49"/>
      <c r="HM230" s="49"/>
      <c r="HN230" s="49"/>
      <c r="HO230" s="49"/>
      <c r="HP230" s="49"/>
      <c r="HQ230" s="49"/>
      <c r="HR230" s="49"/>
      <c r="HS230" s="49"/>
      <c r="HT230" s="49"/>
      <c r="HU230" s="49"/>
      <c r="HV230" s="49"/>
      <c r="HW230" s="49"/>
      <c r="HX230" s="49"/>
      <c r="HY230" s="49"/>
      <c r="HZ230" s="49"/>
      <c r="IA230" s="49"/>
      <c r="IB230" s="49"/>
      <c r="IC230" s="49"/>
      <c r="ID230" s="49"/>
      <c r="IE230" s="49"/>
      <c r="IF230" s="49"/>
      <c r="IG230" s="49"/>
      <c r="IH230" s="49"/>
      <c r="II230" s="49"/>
      <c r="IJ230" s="49"/>
      <c r="IK230" s="49"/>
      <c r="IL230" s="49"/>
      <c r="IM230" s="49"/>
      <c r="IN230" s="49"/>
      <c r="IO230" s="49"/>
      <c r="IP230" s="49"/>
      <c r="IQ230" s="49"/>
      <c r="IR230" s="49"/>
      <c r="IS230" s="49"/>
      <c r="IT230" s="49"/>
      <c r="IU230" s="49"/>
      <c r="IV230" s="49"/>
    </row>
    <row r="231" spans="1:256" s="198" customFormat="1" ht="12" customHeight="1">
      <c r="A231" s="1252"/>
      <c r="B231" s="200"/>
      <c r="C231" s="486"/>
      <c r="D231" s="201"/>
      <c r="E231" s="202"/>
      <c r="F231" s="203"/>
      <c r="G231" s="197"/>
      <c r="H231" s="197"/>
      <c r="I231" s="197"/>
      <c r="J231" s="197"/>
      <c r="K231" s="175"/>
      <c r="L231" s="197"/>
      <c r="M231" s="197"/>
      <c r="N231" s="197"/>
      <c r="O231" s="197"/>
      <c r="P231" s="197"/>
      <c r="Q231" s="1198"/>
      <c r="R231" s="202"/>
      <c r="S231" s="202"/>
      <c r="T231" s="1186"/>
      <c r="U231" s="233"/>
      <c r="V231" s="49"/>
      <c r="W231" s="218"/>
      <c r="X231" s="218"/>
      <c r="Y231" s="216"/>
      <c r="Z231" s="216"/>
      <c r="AA231" s="215"/>
      <c r="AB231" s="216"/>
      <c r="AC231" s="216"/>
      <c r="AD231" s="239"/>
      <c r="AE231" s="216"/>
      <c r="AF231" s="216"/>
      <c r="AG231" s="216"/>
      <c r="AH231" s="216"/>
      <c r="AI231" s="216"/>
      <c r="AJ231" s="216"/>
      <c r="AK231" s="239"/>
      <c r="AL231" s="216"/>
      <c r="AM231" s="216"/>
      <c r="AN231" s="216"/>
      <c r="AO231" s="216"/>
      <c r="AP231" s="216"/>
      <c r="AQ231" s="216"/>
      <c r="AR231" s="216"/>
      <c r="AS231" s="216"/>
      <c r="AT231" s="216"/>
      <c r="AU231" s="216"/>
      <c r="AV231" s="217"/>
      <c r="AW231" s="355"/>
      <c r="AX231" s="217"/>
      <c r="AY231" s="1559"/>
      <c r="AZ231" s="249"/>
      <c r="BA231" s="221"/>
      <c r="BB231" s="300"/>
      <c r="BC231" s="217"/>
      <c r="BD231" s="392"/>
      <c r="BE231" s="1244"/>
      <c r="BF231" s="249"/>
      <c r="BG231" s="252"/>
      <c r="BH231" s="1469"/>
      <c r="BI231" s="216"/>
      <c r="BJ231" s="1469"/>
      <c r="BK231" s="1459"/>
      <c r="BL231" s="260"/>
      <c r="BM231" s="214"/>
      <c r="BN231" s="293"/>
      <c r="BO231" s="217"/>
      <c r="BP231" s="355"/>
      <c r="BQ231" s="217"/>
      <c r="BR231" s="1193"/>
      <c r="BS231" s="249"/>
      <c r="BT231" s="216"/>
      <c r="BU231" s="1195"/>
      <c r="BV231" s="249"/>
      <c r="BW231" s="216"/>
      <c r="BX231" s="1195"/>
      <c r="BY231" s="249"/>
      <c r="BZ231" s="216"/>
      <c r="CA231" s="1195"/>
      <c r="CB231" s="249"/>
      <c r="CC231" s="216"/>
      <c r="CD231" s="1195"/>
      <c r="CE231" s="249"/>
      <c r="CF231" s="216"/>
      <c r="CG231" s="1195"/>
      <c r="CH231" s="249"/>
      <c r="CI231" s="216"/>
      <c r="CJ231" s="1195"/>
      <c r="CK231" s="249"/>
      <c r="CL231" s="216"/>
      <c r="CM231" s="1194"/>
      <c r="CN231" s="1524"/>
      <c r="CO231" s="217"/>
      <c r="CP231" s="1193"/>
      <c r="CQ231" s="293"/>
      <c r="CR231" s="217"/>
      <c r="CS231" s="305"/>
      <c r="CT231" s="249"/>
      <c r="CU231" s="216"/>
      <c r="CV231" s="1193"/>
      <c r="CW231" s="249"/>
      <c r="CX231" s="216"/>
      <c r="CY231" s="305"/>
      <c r="CZ231" s="249"/>
      <c r="DA231" s="216"/>
      <c r="DB231" s="307"/>
      <c r="DC231" s="328"/>
      <c r="DD231" s="322"/>
      <c r="DE231" s="305"/>
      <c r="DF231" s="249"/>
      <c r="DG231" s="216"/>
      <c r="DH231" s="305"/>
      <c r="DI231" s="249"/>
      <c r="DJ231" s="216"/>
      <c r="DK231" s="309"/>
      <c r="DL231" s="293"/>
      <c r="DM231" s="326"/>
      <c r="DN231" s="1256"/>
      <c r="DO231" s="214"/>
      <c r="DP231" s="1257"/>
      <c r="DQ231" s="1258"/>
      <c r="DR231" s="305"/>
      <c r="DS231" s="249"/>
      <c r="DT231" s="216"/>
      <c r="DU231" s="305"/>
      <c r="DV231" s="2520"/>
      <c r="DW231" s="2521"/>
      <c r="DX231" s="305"/>
      <c r="DY231" s="249"/>
      <c r="DZ231" s="221"/>
      <c r="EA231" s="388"/>
      <c r="EB231" s="249"/>
      <c r="EC231" s="216"/>
      <c r="ED231" s="1461"/>
      <c r="EE231" s="249"/>
      <c r="EF231" s="216"/>
      <c r="EG231" s="355"/>
      <c r="EH231" s="1425"/>
      <c r="EI231" s="1470"/>
      <c r="EJ231" s="249"/>
      <c r="EK231" s="221"/>
      <c r="EL231" s="313"/>
      <c r="EM231" s="249"/>
      <c r="EN231" s="221"/>
      <c r="EO231" s="313"/>
      <c r="EP231" s="249"/>
      <c r="EQ231" s="216"/>
      <c r="ER231" s="313"/>
      <c r="ES231" s="249"/>
      <c r="ET231" s="216"/>
      <c r="EU231" s="313"/>
      <c r="EV231" s="249"/>
      <c r="EW231" s="216"/>
      <c r="EX231" s="2505"/>
      <c r="EY231" s="249"/>
      <c r="EZ231" s="221"/>
      <c r="FA231" s="313"/>
      <c r="FB231" s="249"/>
      <c r="FC231" s="221"/>
      <c r="FD231" s="313"/>
      <c r="FE231" s="249"/>
      <c r="FF231" s="221"/>
      <c r="FG231" s="313"/>
      <c r="FH231" s="249"/>
      <c r="FI231" s="216"/>
      <c r="FJ231" s="1435"/>
      <c r="FK231" s="216"/>
      <c r="FL231" s="1268"/>
      <c r="FM231" s="1655"/>
      <c r="FN231" s="1268"/>
      <c r="FO231" s="1655"/>
      <c r="FP231" s="1268"/>
      <c r="FQ231" s="1656"/>
      <c r="FR231" s="249"/>
      <c r="FS231" s="216"/>
      <c r="FT231" s="1657"/>
      <c r="FU231" s="1658"/>
      <c r="FV231" s="242"/>
      <c r="FW231" s="343"/>
      <c r="FX231" s="222"/>
      <c r="FY231" s="336"/>
      <c r="FZ231" s="223"/>
      <c r="GA231" s="338"/>
      <c r="GB231" s="204"/>
      <c r="GC231" s="339"/>
      <c r="GD231" s="342"/>
      <c r="GE231" s="199"/>
      <c r="GF231" s="199"/>
      <c r="GG231" s="199"/>
      <c r="GH231" s="199"/>
      <c r="GI231" s="199"/>
      <c r="GJ231" s="199"/>
      <c r="GK231" s="199"/>
      <c r="GL231" s="49"/>
      <c r="GM231" s="28"/>
      <c r="GN231" s="28"/>
      <c r="GO231" s="322"/>
      <c r="GP231" s="1190"/>
      <c r="GQ231" s="1190"/>
      <c r="GR231" s="49"/>
      <c r="GS231" s="2879"/>
      <c r="GT231" s="2880"/>
      <c r="GU231" s="2881"/>
      <c r="GV231" s="49"/>
      <c r="GW231" s="49"/>
      <c r="GX231" s="49"/>
      <c r="GY231" s="49"/>
      <c r="GZ231" s="49"/>
      <c r="HA231" s="49"/>
      <c r="HB231" s="49"/>
      <c r="HC231" s="49"/>
      <c r="HD231" s="49"/>
      <c r="HE231" s="49"/>
      <c r="HF231" s="49"/>
      <c r="HG231" s="49"/>
      <c r="HH231" s="49"/>
      <c r="HI231" s="49"/>
      <c r="HJ231" s="49"/>
      <c r="HK231" s="49"/>
      <c r="HL231" s="49"/>
      <c r="HM231" s="49"/>
      <c r="HN231" s="49"/>
      <c r="HO231" s="49"/>
      <c r="HP231" s="49"/>
      <c r="HQ231" s="49"/>
      <c r="HR231" s="49"/>
      <c r="HS231" s="49"/>
      <c r="HT231" s="49"/>
      <c r="HU231" s="49"/>
      <c r="HV231" s="49"/>
      <c r="HW231" s="49"/>
      <c r="HX231" s="49"/>
      <c r="HY231" s="49"/>
      <c r="HZ231" s="49"/>
      <c r="IA231" s="49"/>
      <c r="IB231" s="49"/>
      <c r="IC231" s="49"/>
      <c r="ID231" s="49"/>
      <c r="IE231" s="49"/>
      <c r="IF231" s="49"/>
      <c r="IG231" s="49"/>
      <c r="IH231" s="49"/>
      <c r="II231" s="49"/>
      <c r="IJ231" s="49"/>
      <c r="IK231" s="49"/>
      <c r="IL231" s="49"/>
      <c r="IM231" s="49"/>
      <c r="IN231" s="49"/>
      <c r="IO231" s="49"/>
      <c r="IP231" s="49"/>
      <c r="IQ231" s="49"/>
      <c r="IR231" s="49"/>
      <c r="IS231" s="49"/>
      <c r="IT231" s="49"/>
      <c r="IU231" s="49"/>
      <c r="IV231" s="49"/>
    </row>
    <row r="232" spans="1:256" s="198" customFormat="1" ht="12" customHeight="1">
      <c r="A232" s="1252"/>
      <c r="B232" s="200"/>
      <c r="C232" s="486"/>
      <c r="D232" s="201"/>
      <c r="E232" s="202"/>
      <c r="F232" s="203"/>
      <c r="G232" s="197"/>
      <c r="H232" s="197"/>
      <c r="I232" s="197"/>
      <c r="J232" s="197"/>
      <c r="K232" s="175"/>
      <c r="L232" s="197"/>
      <c r="M232" s="197"/>
      <c r="N232" s="197"/>
      <c r="O232" s="197"/>
      <c r="P232" s="197"/>
      <c r="Q232" s="1198"/>
      <c r="R232" s="202"/>
      <c r="S232" s="202"/>
      <c r="T232" s="1186"/>
      <c r="U232" s="233"/>
      <c r="V232" s="49"/>
      <c r="W232" s="218"/>
      <c r="X232" s="218"/>
      <c r="Y232" s="216"/>
      <c r="Z232" s="216"/>
      <c r="AA232" s="215"/>
      <c r="AB232" s="216"/>
      <c r="AC232" s="216"/>
      <c r="AD232" s="239"/>
      <c r="AE232" s="216"/>
      <c r="AF232" s="216"/>
      <c r="AG232" s="216"/>
      <c r="AH232" s="216"/>
      <c r="AI232" s="216"/>
      <c r="AJ232" s="216"/>
      <c r="AK232" s="239"/>
      <c r="AL232" s="216"/>
      <c r="AM232" s="216"/>
      <c r="AN232" s="216"/>
      <c r="AO232" s="216"/>
      <c r="AP232" s="216"/>
      <c r="AQ232" s="216"/>
      <c r="AR232" s="216"/>
      <c r="AS232" s="216"/>
      <c r="AT232" s="216"/>
      <c r="AU232" s="216"/>
      <c r="AV232" s="217"/>
      <c r="AW232" s="355"/>
      <c r="AX232" s="217"/>
      <c r="AY232" s="1559"/>
      <c r="AZ232" s="249"/>
      <c r="BA232" s="221"/>
      <c r="BB232" s="300"/>
      <c r="BC232" s="217"/>
      <c r="BD232" s="392"/>
      <c r="BE232" s="1244"/>
      <c r="BF232" s="249"/>
      <c r="BG232" s="252"/>
      <c r="BH232" s="1469"/>
      <c r="BI232" s="216"/>
      <c r="BJ232" s="1469"/>
      <c r="BK232" s="1459"/>
      <c r="BL232" s="260"/>
      <c r="BM232" s="214"/>
      <c r="BN232" s="293"/>
      <c r="BO232" s="217"/>
      <c r="BP232" s="355"/>
      <c r="BQ232" s="217"/>
      <c r="BR232" s="1193"/>
      <c r="BS232" s="249"/>
      <c r="BT232" s="216"/>
      <c r="BU232" s="1195"/>
      <c r="BV232" s="249"/>
      <c r="BW232" s="216"/>
      <c r="BX232" s="1195"/>
      <c r="BY232" s="249"/>
      <c r="BZ232" s="216"/>
      <c r="CA232" s="1195"/>
      <c r="CB232" s="249"/>
      <c r="CC232" s="216"/>
      <c r="CD232" s="1195"/>
      <c r="CE232" s="249"/>
      <c r="CF232" s="216"/>
      <c r="CG232" s="1195"/>
      <c r="CH232" s="249"/>
      <c r="CI232" s="216"/>
      <c r="CJ232" s="1195"/>
      <c r="CK232" s="249"/>
      <c r="CL232" s="216"/>
      <c r="CM232" s="1194"/>
      <c r="CN232" s="1524"/>
      <c r="CO232" s="217"/>
      <c r="CP232" s="1193"/>
      <c r="CQ232" s="293"/>
      <c r="CR232" s="217"/>
      <c r="CS232" s="305"/>
      <c r="CT232" s="249"/>
      <c r="CU232" s="216"/>
      <c r="CV232" s="1193"/>
      <c r="CW232" s="249"/>
      <c r="CX232" s="216"/>
      <c r="CY232" s="305"/>
      <c r="CZ232" s="249"/>
      <c r="DA232" s="216"/>
      <c r="DB232" s="307"/>
      <c r="DC232" s="328"/>
      <c r="DD232" s="322"/>
      <c r="DE232" s="305"/>
      <c r="DF232" s="249"/>
      <c r="DG232" s="216"/>
      <c r="DH232" s="305"/>
      <c r="DI232" s="249"/>
      <c r="DJ232" s="216"/>
      <c r="DK232" s="309"/>
      <c r="DL232" s="293"/>
      <c r="DM232" s="326"/>
      <c r="DN232" s="1256"/>
      <c r="DO232" s="214"/>
      <c r="DP232" s="1257"/>
      <c r="DQ232" s="1258"/>
      <c r="DR232" s="305"/>
      <c r="DS232" s="249"/>
      <c r="DT232" s="216"/>
      <c r="DU232" s="305"/>
      <c r="DV232" s="2520"/>
      <c r="DW232" s="2521"/>
      <c r="DX232" s="305"/>
      <c r="DY232" s="249"/>
      <c r="DZ232" s="221"/>
      <c r="EA232" s="388"/>
      <c r="EB232" s="249"/>
      <c r="EC232" s="216"/>
      <c r="ED232" s="1461"/>
      <c r="EE232" s="249"/>
      <c r="EF232" s="216"/>
      <c r="EG232" s="355"/>
      <c r="EH232" s="1425"/>
      <c r="EI232" s="1470"/>
      <c r="EJ232" s="249"/>
      <c r="EK232" s="221"/>
      <c r="EL232" s="313"/>
      <c r="EM232" s="249"/>
      <c r="EN232" s="221"/>
      <c r="EO232" s="313"/>
      <c r="EP232" s="249"/>
      <c r="EQ232" s="216"/>
      <c r="ER232" s="313"/>
      <c r="ES232" s="249"/>
      <c r="ET232" s="216"/>
      <c r="EU232" s="313"/>
      <c r="EV232" s="249"/>
      <c r="EW232" s="216"/>
      <c r="EX232" s="2505"/>
      <c r="EY232" s="249"/>
      <c r="EZ232" s="221"/>
      <c r="FA232" s="313"/>
      <c r="FB232" s="249"/>
      <c r="FC232" s="221"/>
      <c r="FD232" s="313"/>
      <c r="FE232" s="249"/>
      <c r="FF232" s="221"/>
      <c r="FG232" s="313"/>
      <c r="FH232" s="249"/>
      <c r="FI232" s="216"/>
      <c r="FJ232" s="1435"/>
      <c r="FK232" s="216"/>
      <c r="FL232" s="1268"/>
      <c r="FM232" s="1655"/>
      <c r="FN232" s="1268"/>
      <c r="FO232" s="1655"/>
      <c r="FP232" s="1268"/>
      <c r="FQ232" s="1656"/>
      <c r="FR232" s="249"/>
      <c r="FS232" s="216"/>
      <c r="FT232" s="1657"/>
      <c r="FU232" s="1658"/>
      <c r="FV232" s="242"/>
      <c r="FW232" s="343"/>
      <c r="FX232" s="222"/>
      <c r="FY232" s="336"/>
      <c r="FZ232" s="223"/>
      <c r="GA232" s="338"/>
      <c r="GB232" s="204"/>
      <c r="GC232" s="339"/>
      <c r="GD232" s="342"/>
      <c r="GE232" s="199"/>
      <c r="GF232" s="199"/>
      <c r="GG232" s="199"/>
      <c r="GH232" s="199"/>
      <c r="GI232" s="199"/>
      <c r="GJ232" s="199"/>
      <c r="GK232" s="199"/>
      <c r="GL232" s="49"/>
      <c r="GM232" s="28"/>
      <c r="GN232" s="28"/>
      <c r="GO232" s="322"/>
      <c r="GP232" s="1190"/>
      <c r="GQ232" s="1190"/>
      <c r="GR232" s="49"/>
      <c r="GS232" s="2879"/>
      <c r="GT232" s="2880"/>
      <c r="GU232" s="2881"/>
      <c r="GV232" s="49"/>
      <c r="GW232" s="49"/>
      <c r="GX232" s="49"/>
      <c r="GY232" s="49"/>
      <c r="GZ232" s="49"/>
      <c r="HA232" s="49"/>
      <c r="HB232" s="49"/>
      <c r="HC232" s="49"/>
      <c r="HD232" s="49"/>
      <c r="HE232" s="49"/>
      <c r="HF232" s="49"/>
      <c r="HG232" s="49"/>
      <c r="HH232" s="49"/>
      <c r="HI232" s="49"/>
      <c r="HJ232" s="49"/>
      <c r="HK232" s="49"/>
      <c r="HL232" s="49"/>
      <c r="HM232" s="49"/>
      <c r="HN232" s="49"/>
      <c r="HO232" s="49"/>
      <c r="HP232" s="49"/>
      <c r="HQ232" s="49"/>
      <c r="HR232" s="49"/>
      <c r="HS232" s="49"/>
      <c r="HT232" s="49"/>
      <c r="HU232" s="49"/>
      <c r="HV232" s="49"/>
      <c r="HW232" s="49"/>
      <c r="HX232" s="49"/>
      <c r="HY232" s="49"/>
      <c r="HZ232" s="49"/>
      <c r="IA232" s="49"/>
      <c r="IB232" s="49"/>
      <c r="IC232" s="49"/>
      <c r="ID232" s="49"/>
      <c r="IE232" s="49"/>
      <c r="IF232" s="49"/>
      <c r="IG232" s="49"/>
      <c r="IH232" s="49"/>
      <c r="II232" s="49"/>
      <c r="IJ232" s="49"/>
      <c r="IK232" s="49"/>
      <c r="IL232" s="49"/>
      <c r="IM232" s="49"/>
      <c r="IN232" s="49"/>
      <c r="IO232" s="49"/>
      <c r="IP232" s="49"/>
      <c r="IQ232" s="49"/>
      <c r="IR232" s="49"/>
      <c r="IS232" s="49"/>
      <c r="IT232" s="49"/>
      <c r="IU232" s="49"/>
      <c r="IV232" s="49"/>
    </row>
    <row r="233" spans="1:256" s="198" customFormat="1" ht="12" customHeight="1">
      <c r="A233" s="1252"/>
      <c r="B233" s="200"/>
      <c r="C233" s="486"/>
      <c r="D233" s="201"/>
      <c r="E233" s="202"/>
      <c r="F233" s="203"/>
      <c r="G233" s="197"/>
      <c r="H233" s="197"/>
      <c r="I233" s="197"/>
      <c r="J233" s="197"/>
      <c r="K233" s="175"/>
      <c r="L233" s="197"/>
      <c r="M233" s="197"/>
      <c r="N233" s="197"/>
      <c r="O233" s="197"/>
      <c r="P233" s="197"/>
      <c r="Q233" s="1198"/>
      <c r="R233" s="202"/>
      <c r="S233" s="202"/>
      <c r="T233" s="1186"/>
      <c r="U233" s="233"/>
      <c r="V233" s="49"/>
      <c r="W233" s="218"/>
      <c r="X233" s="218"/>
      <c r="Y233" s="216"/>
      <c r="Z233" s="216"/>
      <c r="AA233" s="215"/>
      <c r="AB233" s="216"/>
      <c r="AC233" s="216"/>
      <c r="AD233" s="239"/>
      <c r="AE233" s="216"/>
      <c r="AF233" s="216"/>
      <c r="AG233" s="216"/>
      <c r="AH233" s="216"/>
      <c r="AI233" s="216"/>
      <c r="AJ233" s="216"/>
      <c r="AK233" s="239"/>
      <c r="AL233" s="216"/>
      <c r="AM233" s="216"/>
      <c r="AN233" s="216"/>
      <c r="AO233" s="216"/>
      <c r="AP233" s="216"/>
      <c r="AQ233" s="216"/>
      <c r="AR233" s="216"/>
      <c r="AS233" s="216"/>
      <c r="AT233" s="216"/>
      <c r="AU233" s="216"/>
      <c r="AV233" s="217"/>
      <c r="AW233" s="355"/>
      <c r="AX233" s="217"/>
      <c r="AY233" s="1559"/>
      <c r="AZ233" s="249"/>
      <c r="BA233" s="221"/>
      <c r="BB233" s="300"/>
      <c r="BC233" s="217"/>
      <c r="BD233" s="392"/>
      <c r="BE233" s="1244"/>
      <c r="BF233" s="249"/>
      <c r="BG233" s="252"/>
      <c r="BH233" s="1469"/>
      <c r="BI233" s="216"/>
      <c r="BJ233" s="1469"/>
      <c r="BK233" s="1459"/>
      <c r="BL233" s="260"/>
      <c r="BM233" s="214"/>
      <c r="BN233" s="293"/>
      <c r="BO233" s="217"/>
      <c r="BP233" s="355"/>
      <c r="BQ233" s="217"/>
      <c r="BR233" s="1193"/>
      <c r="BS233" s="249"/>
      <c r="BT233" s="216"/>
      <c r="BU233" s="1195"/>
      <c r="BV233" s="249"/>
      <c r="BW233" s="216"/>
      <c r="BX233" s="1195"/>
      <c r="BY233" s="249"/>
      <c r="BZ233" s="216"/>
      <c r="CA233" s="1195"/>
      <c r="CB233" s="249"/>
      <c r="CC233" s="216"/>
      <c r="CD233" s="1195"/>
      <c r="CE233" s="249"/>
      <c r="CF233" s="216"/>
      <c r="CG233" s="1195"/>
      <c r="CH233" s="249"/>
      <c r="CI233" s="216"/>
      <c r="CJ233" s="1195"/>
      <c r="CK233" s="249"/>
      <c r="CL233" s="216"/>
      <c r="CM233" s="1194"/>
      <c r="CN233" s="1524"/>
      <c r="CO233" s="217"/>
      <c r="CP233" s="1193"/>
      <c r="CQ233" s="293"/>
      <c r="CR233" s="217"/>
      <c r="CS233" s="305"/>
      <c r="CT233" s="249"/>
      <c r="CU233" s="216"/>
      <c r="CV233" s="1193"/>
      <c r="CW233" s="249"/>
      <c r="CX233" s="216"/>
      <c r="CY233" s="305"/>
      <c r="CZ233" s="249"/>
      <c r="DA233" s="216"/>
      <c r="DB233" s="307"/>
      <c r="DC233" s="328"/>
      <c r="DD233" s="322"/>
      <c r="DE233" s="305"/>
      <c r="DF233" s="249"/>
      <c r="DG233" s="216"/>
      <c r="DH233" s="305"/>
      <c r="DI233" s="249"/>
      <c r="DJ233" s="216"/>
      <c r="DK233" s="309"/>
      <c r="DL233" s="293"/>
      <c r="DM233" s="326"/>
      <c r="DN233" s="1256"/>
      <c r="DO233" s="214"/>
      <c r="DP233" s="1257"/>
      <c r="DQ233" s="1258"/>
      <c r="DR233" s="305"/>
      <c r="DS233" s="249"/>
      <c r="DT233" s="216"/>
      <c r="DU233" s="305"/>
      <c r="DV233" s="2520"/>
      <c r="DW233" s="2521"/>
      <c r="DX233" s="305"/>
      <c r="DY233" s="249"/>
      <c r="DZ233" s="221"/>
      <c r="EA233" s="388"/>
      <c r="EB233" s="249"/>
      <c r="EC233" s="216"/>
      <c r="ED233" s="1461"/>
      <c r="EE233" s="249"/>
      <c r="EF233" s="216"/>
      <c r="EG233" s="355"/>
      <c r="EH233" s="1425"/>
      <c r="EI233" s="1470"/>
      <c r="EJ233" s="249"/>
      <c r="EK233" s="221"/>
      <c r="EL233" s="313"/>
      <c r="EM233" s="249"/>
      <c r="EN233" s="221"/>
      <c r="EO233" s="313"/>
      <c r="EP233" s="249"/>
      <c r="EQ233" s="216"/>
      <c r="ER233" s="313"/>
      <c r="ES233" s="249"/>
      <c r="ET233" s="216"/>
      <c r="EU233" s="313"/>
      <c r="EV233" s="249"/>
      <c r="EW233" s="216"/>
      <c r="EX233" s="2505"/>
      <c r="EY233" s="249"/>
      <c r="EZ233" s="221"/>
      <c r="FA233" s="313"/>
      <c r="FB233" s="249"/>
      <c r="FC233" s="221"/>
      <c r="FD233" s="313"/>
      <c r="FE233" s="249"/>
      <c r="FF233" s="221"/>
      <c r="FG233" s="313"/>
      <c r="FH233" s="249"/>
      <c r="FI233" s="216"/>
      <c r="FJ233" s="1435"/>
      <c r="FK233" s="216"/>
      <c r="FL233" s="1268"/>
      <c r="FM233" s="1655"/>
      <c r="FN233" s="1268"/>
      <c r="FO233" s="1655"/>
      <c r="FP233" s="1268"/>
      <c r="FQ233" s="1656"/>
      <c r="FR233" s="249"/>
      <c r="FS233" s="216"/>
      <c r="FT233" s="1657"/>
      <c r="FU233" s="1658"/>
      <c r="FV233" s="242"/>
      <c r="FW233" s="343"/>
      <c r="FX233" s="222"/>
      <c r="FY233" s="336"/>
      <c r="FZ233" s="223"/>
      <c r="GA233" s="338"/>
      <c r="GB233" s="204"/>
      <c r="GC233" s="339"/>
      <c r="GD233" s="342"/>
      <c r="GE233" s="199"/>
      <c r="GF233" s="199"/>
      <c r="GG233" s="199"/>
      <c r="GH233" s="199"/>
      <c r="GI233" s="199"/>
      <c r="GJ233" s="199"/>
      <c r="GK233" s="199"/>
      <c r="GL233" s="49"/>
      <c r="GM233" s="28"/>
      <c r="GN233" s="28"/>
      <c r="GO233" s="322"/>
      <c r="GP233" s="1190"/>
      <c r="GQ233" s="1190"/>
      <c r="GR233" s="49"/>
      <c r="GS233" s="2879"/>
      <c r="GT233" s="2880"/>
      <c r="GU233" s="2881"/>
      <c r="GV233" s="49"/>
      <c r="GW233" s="49"/>
      <c r="GX233" s="49"/>
      <c r="GY233" s="49"/>
      <c r="GZ233" s="49"/>
      <c r="HA233" s="49"/>
      <c r="HB233" s="49"/>
      <c r="HC233" s="49"/>
      <c r="HD233" s="49"/>
      <c r="HE233" s="49"/>
      <c r="HF233" s="49"/>
      <c r="HG233" s="49"/>
      <c r="HH233" s="49"/>
      <c r="HI233" s="49"/>
      <c r="HJ233" s="49"/>
      <c r="HK233" s="49"/>
      <c r="HL233" s="49"/>
      <c r="HM233" s="49"/>
      <c r="HN233" s="49"/>
      <c r="HO233" s="49"/>
      <c r="HP233" s="49"/>
      <c r="HQ233" s="49"/>
      <c r="HR233" s="49"/>
      <c r="HS233" s="49"/>
      <c r="HT233" s="49"/>
      <c r="HU233" s="49"/>
      <c r="HV233" s="49"/>
      <c r="HW233" s="49"/>
      <c r="HX233" s="49"/>
      <c r="HY233" s="49"/>
      <c r="HZ233" s="49"/>
      <c r="IA233" s="49"/>
      <c r="IB233" s="49"/>
      <c r="IC233" s="49"/>
      <c r="ID233" s="49"/>
      <c r="IE233" s="49"/>
      <c r="IF233" s="49"/>
      <c r="IG233" s="49"/>
      <c r="IH233" s="49"/>
      <c r="II233" s="49"/>
      <c r="IJ233" s="49"/>
      <c r="IK233" s="49"/>
      <c r="IL233" s="49"/>
      <c r="IM233" s="49"/>
      <c r="IN233" s="49"/>
      <c r="IO233" s="49"/>
      <c r="IP233" s="49"/>
      <c r="IQ233" s="49"/>
      <c r="IR233" s="49"/>
      <c r="IS233" s="49"/>
      <c r="IT233" s="49"/>
      <c r="IU233" s="49"/>
      <c r="IV233" s="49"/>
    </row>
    <row r="234" spans="1:256" s="198" customFormat="1" ht="12" customHeight="1">
      <c r="A234" s="1252"/>
      <c r="B234" s="200"/>
      <c r="C234" s="486"/>
      <c r="D234" s="201"/>
      <c r="E234" s="202"/>
      <c r="F234" s="203"/>
      <c r="G234" s="197"/>
      <c r="H234" s="197"/>
      <c r="I234" s="197"/>
      <c r="J234" s="197"/>
      <c r="K234" s="175"/>
      <c r="L234" s="197"/>
      <c r="M234" s="197"/>
      <c r="N234" s="197"/>
      <c r="O234" s="197"/>
      <c r="P234" s="197"/>
      <c r="Q234" s="1198"/>
      <c r="R234" s="202"/>
      <c r="S234" s="202"/>
      <c r="T234" s="1186"/>
      <c r="U234" s="233"/>
      <c r="V234" s="49"/>
      <c r="W234" s="218"/>
      <c r="X234" s="218"/>
      <c r="Y234" s="216"/>
      <c r="Z234" s="216"/>
      <c r="AA234" s="215"/>
      <c r="AB234" s="216"/>
      <c r="AC234" s="216"/>
      <c r="AD234" s="239"/>
      <c r="AE234" s="216"/>
      <c r="AF234" s="216"/>
      <c r="AG234" s="216"/>
      <c r="AH234" s="216"/>
      <c r="AI234" s="216"/>
      <c r="AJ234" s="216"/>
      <c r="AK234" s="239"/>
      <c r="AL234" s="216"/>
      <c r="AM234" s="216"/>
      <c r="AN234" s="216"/>
      <c r="AO234" s="216"/>
      <c r="AP234" s="216"/>
      <c r="AQ234" s="216"/>
      <c r="AR234" s="216"/>
      <c r="AS234" s="216"/>
      <c r="AT234" s="216"/>
      <c r="AU234" s="216"/>
      <c r="AV234" s="217"/>
      <c r="AW234" s="355"/>
      <c r="AX234" s="217"/>
      <c r="AY234" s="1559"/>
      <c r="AZ234" s="249"/>
      <c r="BA234" s="221"/>
      <c r="BB234" s="300"/>
      <c r="BC234" s="217"/>
      <c r="BD234" s="392"/>
      <c r="BE234" s="1244"/>
      <c r="BF234" s="249"/>
      <c r="BG234" s="252"/>
      <c r="BH234" s="1469"/>
      <c r="BI234" s="216"/>
      <c r="BJ234" s="1469"/>
      <c r="BK234" s="1459"/>
      <c r="BL234" s="260"/>
      <c r="BM234" s="214"/>
      <c r="BN234" s="293"/>
      <c r="BO234" s="217"/>
      <c r="BP234" s="355"/>
      <c r="BQ234" s="217"/>
      <c r="BR234" s="1193"/>
      <c r="BS234" s="249"/>
      <c r="BT234" s="216"/>
      <c r="BU234" s="1195"/>
      <c r="BV234" s="249"/>
      <c r="BW234" s="216"/>
      <c r="BX234" s="1195"/>
      <c r="BY234" s="249"/>
      <c r="BZ234" s="216"/>
      <c r="CA234" s="1195"/>
      <c r="CB234" s="249"/>
      <c r="CC234" s="216"/>
      <c r="CD234" s="1195"/>
      <c r="CE234" s="249"/>
      <c r="CF234" s="216"/>
      <c r="CG234" s="1195"/>
      <c r="CH234" s="249"/>
      <c r="CI234" s="216"/>
      <c r="CJ234" s="1195"/>
      <c r="CK234" s="249"/>
      <c r="CL234" s="216"/>
      <c r="CM234" s="1194"/>
      <c r="CN234" s="1524"/>
      <c r="CO234" s="217"/>
      <c r="CP234" s="1193"/>
      <c r="CQ234" s="293"/>
      <c r="CR234" s="217"/>
      <c r="CS234" s="305"/>
      <c r="CT234" s="249"/>
      <c r="CU234" s="216"/>
      <c r="CV234" s="1193"/>
      <c r="CW234" s="249"/>
      <c r="CX234" s="216"/>
      <c r="CY234" s="305"/>
      <c r="CZ234" s="249"/>
      <c r="DA234" s="216"/>
      <c r="DB234" s="307"/>
      <c r="DC234" s="328"/>
      <c r="DD234" s="322"/>
      <c r="DE234" s="305"/>
      <c r="DF234" s="249"/>
      <c r="DG234" s="216"/>
      <c r="DH234" s="305"/>
      <c r="DI234" s="249"/>
      <c r="DJ234" s="216"/>
      <c r="DK234" s="309"/>
      <c r="DL234" s="293"/>
      <c r="DM234" s="326"/>
      <c r="DN234" s="1256"/>
      <c r="DO234" s="214"/>
      <c r="DP234" s="1257"/>
      <c r="DQ234" s="1258"/>
      <c r="DR234" s="305"/>
      <c r="DS234" s="249"/>
      <c r="DT234" s="216"/>
      <c r="DU234" s="305"/>
      <c r="DV234" s="2520"/>
      <c r="DW234" s="2521"/>
      <c r="DX234" s="305"/>
      <c r="DY234" s="249"/>
      <c r="DZ234" s="221"/>
      <c r="EA234" s="388"/>
      <c r="EB234" s="249"/>
      <c r="EC234" s="216"/>
      <c r="ED234" s="1461"/>
      <c r="EE234" s="249"/>
      <c r="EF234" s="216"/>
      <c r="EG234" s="355"/>
      <c r="EH234" s="1425"/>
      <c r="EI234" s="1470"/>
      <c r="EJ234" s="249"/>
      <c r="EK234" s="221"/>
      <c r="EL234" s="313"/>
      <c r="EM234" s="249"/>
      <c r="EN234" s="221"/>
      <c r="EO234" s="313"/>
      <c r="EP234" s="249"/>
      <c r="EQ234" s="216"/>
      <c r="ER234" s="313"/>
      <c r="ES234" s="249"/>
      <c r="ET234" s="216"/>
      <c r="EU234" s="313"/>
      <c r="EV234" s="249"/>
      <c r="EW234" s="216"/>
      <c r="EX234" s="2505"/>
      <c r="EY234" s="249"/>
      <c r="EZ234" s="221"/>
      <c r="FA234" s="313"/>
      <c r="FB234" s="249"/>
      <c r="FC234" s="221"/>
      <c r="FD234" s="313"/>
      <c r="FE234" s="249"/>
      <c r="FF234" s="221"/>
      <c r="FG234" s="313"/>
      <c r="FH234" s="249"/>
      <c r="FI234" s="216"/>
      <c r="FJ234" s="1435"/>
      <c r="FK234" s="216"/>
      <c r="FL234" s="1268"/>
      <c r="FM234" s="1655"/>
      <c r="FN234" s="1268"/>
      <c r="FO234" s="1655"/>
      <c r="FP234" s="1268"/>
      <c r="FQ234" s="1656"/>
      <c r="FR234" s="249"/>
      <c r="FS234" s="216"/>
      <c r="FT234" s="1657"/>
      <c r="FU234" s="1658"/>
      <c r="FV234" s="242"/>
      <c r="FW234" s="343"/>
      <c r="FX234" s="222"/>
      <c r="FY234" s="336"/>
      <c r="FZ234" s="223"/>
      <c r="GA234" s="338"/>
      <c r="GB234" s="204"/>
      <c r="GC234" s="339"/>
      <c r="GD234" s="342"/>
      <c r="GE234" s="199"/>
      <c r="GF234" s="199"/>
      <c r="GG234" s="199"/>
      <c r="GH234" s="199"/>
      <c r="GI234" s="199"/>
      <c r="GJ234" s="199"/>
      <c r="GK234" s="199"/>
      <c r="GL234" s="49"/>
      <c r="GM234" s="28"/>
      <c r="GN234" s="28"/>
      <c r="GO234" s="322"/>
      <c r="GP234" s="1190"/>
      <c r="GQ234" s="1190"/>
      <c r="GR234" s="49"/>
      <c r="GS234" s="2879"/>
      <c r="GT234" s="2880"/>
      <c r="GU234" s="2881"/>
      <c r="GV234" s="49"/>
      <c r="GW234" s="49"/>
      <c r="GX234" s="49"/>
      <c r="GY234" s="49"/>
      <c r="GZ234" s="49"/>
      <c r="HA234" s="49"/>
      <c r="HB234" s="49"/>
      <c r="HC234" s="49"/>
      <c r="HD234" s="49"/>
      <c r="HE234" s="49"/>
      <c r="HF234" s="49"/>
      <c r="HG234" s="49"/>
      <c r="HH234" s="49"/>
      <c r="HI234" s="49"/>
      <c r="HJ234" s="49"/>
      <c r="HK234" s="49"/>
      <c r="HL234" s="49"/>
      <c r="HM234" s="49"/>
      <c r="HN234" s="49"/>
      <c r="HO234" s="49"/>
      <c r="HP234" s="49"/>
      <c r="HQ234" s="49"/>
      <c r="HR234" s="49"/>
      <c r="HS234" s="49"/>
      <c r="HT234" s="49"/>
      <c r="HU234" s="49"/>
      <c r="HV234" s="49"/>
      <c r="HW234" s="49"/>
      <c r="HX234" s="49"/>
      <c r="HY234" s="49"/>
      <c r="HZ234" s="49"/>
      <c r="IA234" s="49"/>
      <c r="IB234" s="49"/>
      <c r="IC234" s="49"/>
      <c r="ID234" s="49"/>
      <c r="IE234" s="49"/>
      <c r="IF234" s="49"/>
      <c r="IG234" s="49"/>
      <c r="IH234" s="49"/>
      <c r="II234" s="49"/>
      <c r="IJ234" s="49"/>
      <c r="IK234" s="49"/>
      <c r="IL234" s="49"/>
      <c r="IM234" s="49"/>
      <c r="IN234" s="49"/>
      <c r="IO234" s="49"/>
      <c r="IP234" s="49"/>
      <c r="IQ234" s="49"/>
      <c r="IR234" s="49"/>
      <c r="IS234" s="49"/>
      <c r="IT234" s="49"/>
      <c r="IU234" s="49"/>
      <c r="IV234" s="49"/>
    </row>
    <row r="235" spans="1:256" s="198" customFormat="1" ht="12" customHeight="1">
      <c r="A235" s="1252"/>
      <c r="B235" s="200"/>
      <c r="C235" s="486"/>
      <c r="D235" s="201"/>
      <c r="E235" s="202"/>
      <c r="F235" s="203"/>
      <c r="G235" s="197"/>
      <c r="H235" s="197"/>
      <c r="I235" s="197"/>
      <c r="J235" s="197"/>
      <c r="K235" s="175"/>
      <c r="L235" s="197"/>
      <c r="M235" s="197"/>
      <c r="N235" s="197"/>
      <c r="O235" s="197"/>
      <c r="P235" s="197"/>
      <c r="Q235" s="1198"/>
      <c r="R235" s="202"/>
      <c r="S235" s="202"/>
      <c r="T235" s="1186"/>
      <c r="U235" s="233"/>
      <c r="V235" s="49"/>
      <c r="W235" s="218"/>
      <c r="X235" s="218"/>
      <c r="Y235" s="216"/>
      <c r="Z235" s="216"/>
      <c r="AA235" s="215"/>
      <c r="AB235" s="216"/>
      <c r="AC235" s="216"/>
      <c r="AD235" s="239"/>
      <c r="AE235" s="216"/>
      <c r="AF235" s="216"/>
      <c r="AG235" s="216"/>
      <c r="AH235" s="216"/>
      <c r="AI235" s="216"/>
      <c r="AJ235" s="216"/>
      <c r="AK235" s="239"/>
      <c r="AL235" s="216"/>
      <c r="AM235" s="216"/>
      <c r="AN235" s="216"/>
      <c r="AO235" s="216"/>
      <c r="AP235" s="216"/>
      <c r="AQ235" s="216"/>
      <c r="AR235" s="216"/>
      <c r="AS235" s="216"/>
      <c r="AT235" s="216"/>
      <c r="AU235" s="216"/>
      <c r="AV235" s="217"/>
      <c r="AW235" s="355"/>
      <c r="AX235" s="217"/>
      <c r="AY235" s="1559"/>
      <c r="AZ235" s="249"/>
      <c r="BA235" s="221"/>
      <c r="BB235" s="300"/>
      <c r="BC235" s="217"/>
      <c r="BD235" s="392"/>
      <c r="BE235" s="1244"/>
      <c r="BF235" s="249"/>
      <c r="BG235" s="252"/>
      <c r="BH235" s="1469"/>
      <c r="BI235" s="216"/>
      <c r="BJ235" s="1469"/>
      <c r="BK235" s="1459"/>
      <c r="BL235" s="260"/>
      <c r="BM235" s="214"/>
      <c r="BN235" s="293"/>
      <c r="BO235" s="217"/>
      <c r="BP235" s="355"/>
      <c r="BQ235" s="217"/>
      <c r="BR235" s="1193"/>
      <c r="BS235" s="249"/>
      <c r="BT235" s="216"/>
      <c r="BU235" s="1195"/>
      <c r="BV235" s="249"/>
      <c r="BW235" s="216"/>
      <c r="BX235" s="1195"/>
      <c r="BY235" s="249"/>
      <c r="BZ235" s="216"/>
      <c r="CA235" s="1195"/>
      <c r="CB235" s="249"/>
      <c r="CC235" s="216"/>
      <c r="CD235" s="1195"/>
      <c r="CE235" s="249"/>
      <c r="CF235" s="216"/>
      <c r="CG235" s="1195"/>
      <c r="CH235" s="249"/>
      <c r="CI235" s="216"/>
      <c r="CJ235" s="1195"/>
      <c r="CK235" s="249"/>
      <c r="CL235" s="216"/>
      <c r="CM235" s="1194"/>
      <c r="CN235" s="1524"/>
      <c r="CO235" s="217"/>
      <c r="CP235" s="1193"/>
      <c r="CQ235" s="293"/>
      <c r="CR235" s="217"/>
      <c r="CS235" s="305"/>
      <c r="CT235" s="249"/>
      <c r="CU235" s="216"/>
      <c r="CV235" s="1193"/>
      <c r="CW235" s="249"/>
      <c r="CX235" s="216"/>
      <c r="CY235" s="305"/>
      <c r="CZ235" s="249"/>
      <c r="DA235" s="216"/>
      <c r="DB235" s="307"/>
      <c r="DC235" s="328"/>
      <c r="DD235" s="322"/>
      <c r="DE235" s="305"/>
      <c r="DF235" s="249"/>
      <c r="DG235" s="216"/>
      <c r="DH235" s="305"/>
      <c r="DI235" s="249"/>
      <c r="DJ235" s="216"/>
      <c r="DK235" s="309"/>
      <c r="DL235" s="293"/>
      <c r="DM235" s="326"/>
      <c r="DN235" s="1256"/>
      <c r="DO235" s="214"/>
      <c r="DP235" s="1257"/>
      <c r="DQ235" s="1258"/>
      <c r="DR235" s="305"/>
      <c r="DS235" s="249"/>
      <c r="DT235" s="216"/>
      <c r="DU235" s="305"/>
      <c r="DV235" s="2520"/>
      <c r="DW235" s="2521"/>
      <c r="DX235" s="305"/>
      <c r="DY235" s="249"/>
      <c r="DZ235" s="221"/>
      <c r="EA235" s="388"/>
      <c r="EB235" s="249"/>
      <c r="EC235" s="216"/>
      <c r="ED235" s="1461"/>
      <c r="EE235" s="249"/>
      <c r="EF235" s="216"/>
      <c r="EG235" s="355"/>
      <c r="EH235" s="1425"/>
      <c r="EI235" s="1470"/>
      <c r="EJ235" s="249"/>
      <c r="EK235" s="221"/>
      <c r="EL235" s="313"/>
      <c r="EM235" s="249"/>
      <c r="EN235" s="221"/>
      <c r="EO235" s="313"/>
      <c r="EP235" s="249"/>
      <c r="EQ235" s="216"/>
      <c r="ER235" s="313"/>
      <c r="ES235" s="249"/>
      <c r="ET235" s="216"/>
      <c r="EU235" s="313"/>
      <c r="EV235" s="249"/>
      <c r="EW235" s="216"/>
      <c r="EX235" s="2505"/>
      <c r="EY235" s="249"/>
      <c r="EZ235" s="221"/>
      <c r="FA235" s="313"/>
      <c r="FB235" s="249"/>
      <c r="FC235" s="221"/>
      <c r="FD235" s="313"/>
      <c r="FE235" s="249"/>
      <c r="FF235" s="221"/>
      <c r="FG235" s="313"/>
      <c r="FH235" s="249"/>
      <c r="FI235" s="216"/>
      <c r="FJ235" s="1435"/>
      <c r="FK235" s="216"/>
      <c r="FL235" s="1268"/>
      <c r="FM235" s="1655"/>
      <c r="FN235" s="1268"/>
      <c r="FO235" s="1655"/>
      <c r="FP235" s="1268"/>
      <c r="FQ235" s="1656"/>
      <c r="FR235" s="249"/>
      <c r="FS235" s="216"/>
      <c r="FT235" s="1657"/>
      <c r="FU235" s="1658"/>
      <c r="FV235" s="242"/>
      <c r="FW235" s="343"/>
      <c r="FX235" s="222"/>
      <c r="FY235" s="336"/>
      <c r="FZ235" s="223"/>
      <c r="GA235" s="338"/>
      <c r="GB235" s="204"/>
      <c r="GC235" s="339"/>
      <c r="GD235" s="342"/>
      <c r="GE235" s="199"/>
      <c r="GF235" s="199"/>
      <c r="GG235" s="199"/>
      <c r="GH235" s="199"/>
      <c r="GI235" s="199"/>
      <c r="GJ235" s="199"/>
      <c r="GK235" s="199"/>
      <c r="GL235" s="49"/>
      <c r="GM235" s="28"/>
      <c r="GN235" s="28"/>
      <c r="GO235" s="322"/>
      <c r="GP235" s="1190"/>
      <c r="GQ235" s="1190"/>
      <c r="GR235" s="49"/>
      <c r="GS235" s="2879"/>
      <c r="GT235" s="2880"/>
      <c r="GU235" s="2881"/>
      <c r="GV235" s="49"/>
      <c r="GW235" s="49"/>
      <c r="GX235" s="49"/>
      <c r="GY235" s="49"/>
      <c r="GZ235" s="49"/>
      <c r="HA235" s="49"/>
      <c r="HB235" s="49"/>
      <c r="HC235" s="49"/>
      <c r="HD235" s="49"/>
      <c r="HE235" s="49"/>
      <c r="HF235" s="49"/>
      <c r="HG235" s="49"/>
      <c r="HH235" s="49"/>
      <c r="HI235" s="49"/>
      <c r="HJ235" s="49"/>
      <c r="HK235" s="49"/>
      <c r="HL235" s="49"/>
      <c r="HM235" s="49"/>
      <c r="HN235" s="49"/>
      <c r="HO235" s="49"/>
      <c r="HP235" s="49"/>
      <c r="HQ235" s="49"/>
      <c r="HR235" s="49"/>
      <c r="HS235" s="49"/>
      <c r="HT235" s="49"/>
      <c r="HU235" s="49"/>
      <c r="HV235" s="49"/>
      <c r="HW235" s="49"/>
      <c r="HX235" s="49"/>
      <c r="HY235" s="49"/>
      <c r="HZ235" s="49"/>
      <c r="IA235" s="49"/>
      <c r="IB235" s="49"/>
      <c r="IC235" s="49"/>
      <c r="ID235" s="49"/>
      <c r="IE235" s="49"/>
      <c r="IF235" s="49"/>
      <c r="IG235" s="49"/>
      <c r="IH235" s="49"/>
      <c r="II235" s="49"/>
      <c r="IJ235" s="49"/>
      <c r="IK235" s="49"/>
      <c r="IL235" s="49"/>
      <c r="IM235" s="49"/>
      <c r="IN235" s="49"/>
      <c r="IO235" s="49"/>
      <c r="IP235" s="49"/>
      <c r="IQ235" s="49"/>
      <c r="IR235" s="49"/>
      <c r="IS235" s="49"/>
      <c r="IT235" s="49"/>
      <c r="IU235" s="49"/>
      <c r="IV235" s="49"/>
    </row>
    <row r="236" spans="1:256" s="198" customFormat="1" ht="12" customHeight="1">
      <c r="A236" s="1252"/>
      <c r="B236" s="200"/>
      <c r="C236" s="486"/>
      <c r="D236" s="201"/>
      <c r="E236" s="202"/>
      <c r="F236" s="203"/>
      <c r="G236" s="197"/>
      <c r="H236" s="197"/>
      <c r="I236" s="197"/>
      <c r="J236" s="197"/>
      <c r="K236" s="175"/>
      <c r="L236" s="197"/>
      <c r="M236" s="197"/>
      <c r="N236" s="197"/>
      <c r="O236" s="197"/>
      <c r="P236" s="197"/>
      <c r="Q236" s="1198"/>
      <c r="R236" s="202"/>
      <c r="S236" s="202"/>
      <c r="T236" s="1186"/>
      <c r="U236" s="233"/>
      <c r="V236" s="49"/>
      <c r="W236" s="218"/>
      <c r="X236" s="218"/>
      <c r="Y236" s="216"/>
      <c r="Z236" s="216"/>
      <c r="AA236" s="215"/>
      <c r="AB236" s="216"/>
      <c r="AC236" s="216"/>
      <c r="AD236" s="239"/>
      <c r="AE236" s="216"/>
      <c r="AF236" s="216"/>
      <c r="AG236" s="216"/>
      <c r="AH236" s="216"/>
      <c r="AI236" s="216"/>
      <c r="AJ236" s="216"/>
      <c r="AK236" s="239"/>
      <c r="AL236" s="216"/>
      <c r="AM236" s="216"/>
      <c r="AN236" s="216"/>
      <c r="AO236" s="216"/>
      <c r="AP236" s="216"/>
      <c r="AQ236" s="216"/>
      <c r="AR236" s="216"/>
      <c r="AS236" s="216"/>
      <c r="AT236" s="216"/>
      <c r="AU236" s="216"/>
      <c r="AV236" s="217"/>
      <c r="AW236" s="355"/>
      <c r="AX236" s="217"/>
      <c r="AY236" s="1559"/>
      <c r="AZ236" s="249"/>
      <c r="BA236" s="221"/>
      <c r="BB236" s="300"/>
      <c r="BC236" s="217"/>
      <c r="BD236" s="392"/>
      <c r="BE236" s="1244"/>
      <c r="BF236" s="249"/>
      <c r="BG236" s="252"/>
      <c r="BH236" s="1469"/>
      <c r="BI236" s="216"/>
      <c r="BJ236" s="1469"/>
      <c r="BK236" s="1459"/>
      <c r="BL236" s="260"/>
      <c r="BM236" s="214"/>
      <c r="BN236" s="293"/>
      <c r="BO236" s="217"/>
      <c r="BP236" s="355"/>
      <c r="BQ236" s="217"/>
      <c r="BR236" s="1193"/>
      <c r="BS236" s="249"/>
      <c r="BT236" s="216"/>
      <c r="BU236" s="1195"/>
      <c r="BV236" s="249"/>
      <c r="BW236" s="216"/>
      <c r="BX236" s="1195"/>
      <c r="BY236" s="249"/>
      <c r="BZ236" s="216"/>
      <c r="CA236" s="1195"/>
      <c r="CB236" s="249"/>
      <c r="CC236" s="216"/>
      <c r="CD236" s="1195"/>
      <c r="CE236" s="249"/>
      <c r="CF236" s="216"/>
      <c r="CG236" s="1195"/>
      <c r="CH236" s="249"/>
      <c r="CI236" s="216"/>
      <c r="CJ236" s="1195"/>
      <c r="CK236" s="249"/>
      <c r="CL236" s="216"/>
      <c r="CM236" s="1194"/>
      <c r="CN236" s="1524"/>
      <c r="CO236" s="217"/>
      <c r="CP236" s="1193"/>
      <c r="CQ236" s="293"/>
      <c r="CR236" s="217"/>
      <c r="CS236" s="305"/>
      <c r="CT236" s="249"/>
      <c r="CU236" s="216"/>
      <c r="CV236" s="1193"/>
      <c r="CW236" s="249"/>
      <c r="CX236" s="216"/>
      <c r="CY236" s="305"/>
      <c r="CZ236" s="249"/>
      <c r="DA236" s="216"/>
      <c r="DB236" s="307"/>
      <c r="DC236" s="328"/>
      <c r="DD236" s="322"/>
      <c r="DE236" s="305"/>
      <c r="DF236" s="249"/>
      <c r="DG236" s="216"/>
      <c r="DH236" s="305"/>
      <c r="DI236" s="249"/>
      <c r="DJ236" s="216"/>
      <c r="DK236" s="309"/>
      <c r="DL236" s="293"/>
      <c r="DM236" s="326"/>
      <c r="DN236" s="1256"/>
      <c r="DO236" s="214"/>
      <c r="DP236" s="1257"/>
      <c r="DQ236" s="1258"/>
      <c r="DR236" s="305"/>
      <c r="DS236" s="249"/>
      <c r="DT236" s="216"/>
      <c r="DU236" s="305"/>
      <c r="DV236" s="2520"/>
      <c r="DW236" s="2521"/>
      <c r="DX236" s="305"/>
      <c r="DY236" s="249"/>
      <c r="DZ236" s="221"/>
      <c r="EA236" s="388"/>
      <c r="EB236" s="249"/>
      <c r="EC236" s="216"/>
      <c r="ED236" s="1461"/>
      <c r="EE236" s="249"/>
      <c r="EF236" s="216"/>
      <c r="EG236" s="355"/>
      <c r="EH236" s="1425"/>
      <c r="EI236" s="1470"/>
      <c r="EJ236" s="249"/>
      <c r="EK236" s="221"/>
      <c r="EL236" s="313"/>
      <c r="EM236" s="249"/>
      <c r="EN236" s="221"/>
      <c r="EO236" s="313"/>
      <c r="EP236" s="249"/>
      <c r="EQ236" s="216"/>
      <c r="ER236" s="313"/>
      <c r="ES236" s="249"/>
      <c r="ET236" s="216"/>
      <c r="EU236" s="313"/>
      <c r="EV236" s="249"/>
      <c r="EW236" s="216"/>
      <c r="EX236" s="2505"/>
      <c r="EY236" s="249"/>
      <c r="EZ236" s="221"/>
      <c r="FA236" s="313"/>
      <c r="FB236" s="249"/>
      <c r="FC236" s="221"/>
      <c r="FD236" s="313"/>
      <c r="FE236" s="249"/>
      <c r="FF236" s="221"/>
      <c r="FG236" s="313"/>
      <c r="FH236" s="249"/>
      <c r="FI236" s="216"/>
      <c r="FJ236" s="1435"/>
      <c r="FK236" s="216"/>
      <c r="FL236" s="1268"/>
      <c r="FM236" s="1655"/>
      <c r="FN236" s="1268"/>
      <c r="FO236" s="1655"/>
      <c r="FP236" s="1268"/>
      <c r="FQ236" s="1656"/>
      <c r="FR236" s="249"/>
      <c r="FS236" s="216"/>
      <c r="FT236" s="1657"/>
      <c r="FU236" s="1658"/>
      <c r="FV236" s="242"/>
      <c r="FW236" s="343"/>
      <c r="FX236" s="222"/>
      <c r="FY236" s="336"/>
      <c r="FZ236" s="223"/>
      <c r="GA236" s="338"/>
      <c r="GB236" s="204"/>
      <c r="GC236" s="339"/>
      <c r="GD236" s="342"/>
      <c r="GE236" s="199"/>
      <c r="GF236" s="199"/>
      <c r="GG236" s="199"/>
      <c r="GH236" s="199"/>
      <c r="GI236" s="199"/>
      <c r="GJ236" s="199"/>
      <c r="GK236" s="199"/>
      <c r="GL236" s="49"/>
      <c r="GM236" s="28"/>
      <c r="GN236" s="28"/>
      <c r="GO236" s="322"/>
      <c r="GP236" s="1190"/>
      <c r="GQ236" s="1190"/>
      <c r="GR236" s="49"/>
      <c r="GS236" s="2879"/>
      <c r="GT236" s="2880"/>
      <c r="GU236" s="2881"/>
      <c r="GV236" s="49"/>
      <c r="GW236" s="49"/>
      <c r="GX236" s="49"/>
      <c r="GY236" s="49"/>
      <c r="GZ236" s="49"/>
      <c r="HA236" s="49"/>
      <c r="HB236" s="49"/>
      <c r="HC236" s="49"/>
      <c r="HD236" s="49"/>
      <c r="HE236" s="49"/>
      <c r="HF236" s="49"/>
      <c r="HG236" s="49"/>
      <c r="HH236" s="49"/>
      <c r="HI236" s="49"/>
      <c r="HJ236" s="49"/>
      <c r="HK236" s="49"/>
      <c r="HL236" s="49"/>
      <c r="HM236" s="49"/>
      <c r="HN236" s="49"/>
      <c r="HO236" s="49"/>
      <c r="HP236" s="49"/>
      <c r="HQ236" s="49"/>
      <c r="HR236" s="49"/>
      <c r="HS236" s="49"/>
      <c r="HT236" s="49"/>
      <c r="HU236" s="49"/>
      <c r="HV236" s="49"/>
      <c r="HW236" s="49"/>
      <c r="HX236" s="49"/>
      <c r="HY236" s="49"/>
      <c r="HZ236" s="49"/>
      <c r="IA236" s="49"/>
      <c r="IB236" s="49"/>
      <c r="IC236" s="49"/>
      <c r="ID236" s="49"/>
      <c r="IE236" s="49"/>
      <c r="IF236" s="49"/>
      <c r="IG236" s="49"/>
      <c r="IH236" s="49"/>
      <c r="II236" s="49"/>
      <c r="IJ236" s="49"/>
      <c r="IK236" s="49"/>
      <c r="IL236" s="49"/>
      <c r="IM236" s="49"/>
      <c r="IN236" s="49"/>
      <c r="IO236" s="49"/>
      <c r="IP236" s="49"/>
      <c r="IQ236" s="49"/>
      <c r="IR236" s="49"/>
      <c r="IS236" s="49"/>
      <c r="IT236" s="49"/>
      <c r="IU236" s="49"/>
      <c r="IV236" s="49"/>
    </row>
    <row r="237" spans="1:256" s="198" customFormat="1" ht="12" customHeight="1">
      <c r="A237" s="1252"/>
      <c r="B237" s="200"/>
      <c r="C237" s="486"/>
      <c r="D237" s="201"/>
      <c r="E237" s="202"/>
      <c r="F237" s="203"/>
      <c r="G237" s="197"/>
      <c r="H237" s="197"/>
      <c r="I237" s="197"/>
      <c r="J237" s="197"/>
      <c r="K237" s="175"/>
      <c r="L237" s="197"/>
      <c r="M237" s="197"/>
      <c r="N237" s="197"/>
      <c r="O237" s="197"/>
      <c r="P237" s="197"/>
      <c r="Q237" s="1198"/>
      <c r="R237" s="202"/>
      <c r="S237" s="202"/>
      <c r="T237" s="1186"/>
      <c r="U237" s="233"/>
      <c r="V237" s="49"/>
      <c r="W237" s="218"/>
      <c r="X237" s="218"/>
      <c r="Y237" s="216"/>
      <c r="Z237" s="216"/>
      <c r="AA237" s="215"/>
      <c r="AB237" s="216"/>
      <c r="AC237" s="216"/>
      <c r="AD237" s="239"/>
      <c r="AE237" s="216"/>
      <c r="AF237" s="216"/>
      <c r="AG237" s="216"/>
      <c r="AH237" s="216"/>
      <c r="AI237" s="216"/>
      <c r="AJ237" s="216"/>
      <c r="AK237" s="239"/>
      <c r="AL237" s="216"/>
      <c r="AM237" s="216"/>
      <c r="AN237" s="216"/>
      <c r="AO237" s="216"/>
      <c r="AP237" s="216"/>
      <c r="AQ237" s="216"/>
      <c r="AR237" s="216"/>
      <c r="AS237" s="216"/>
      <c r="AT237" s="216"/>
      <c r="AU237" s="216"/>
      <c r="AV237" s="217"/>
      <c r="AW237" s="355"/>
      <c r="AX237" s="217"/>
      <c r="AY237" s="1559"/>
      <c r="AZ237" s="249"/>
      <c r="BA237" s="221"/>
      <c r="BB237" s="300"/>
      <c r="BC237" s="217"/>
      <c r="BD237" s="392"/>
      <c r="BE237" s="1244"/>
      <c r="BF237" s="249"/>
      <c r="BG237" s="252"/>
      <c r="BH237" s="1469"/>
      <c r="BI237" s="216"/>
      <c r="BJ237" s="1469"/>
      <c r="BK237" s="1459"/>
      <c r="BL237" s="260"/>
      <c r="BM237" s="214"/>
      <c r="BN237" s="293"/>
      <c r="BO237" s="217"/>
      <c r="BP237" s="355"/>
      <c r="BQ237" s="217"/>
      <c r="BR237" s="1193"/>
      <c r="BS237" s="249"/>
      <c r="BT237" s="216"/>
      <c r="BU237" s="1195"/>
      <c r="BV237" s="249"/>
      <c r="BW237" s="216"/>
      <c r="BX237" s="1195"/>
      <c r="BY237" s="249"/>
      <c r="BZ237" s="216"/>
      <c r="CA237" s="1195"/>
      <c r="CB237" s="249"/>
      <c r="CC237" s="216"/>
      <c r="CD237" s="1195"/>
      <c r="CE237" s="249"/>
      <c r="CF237" s="216"/>
      <c r="CG237" s="1195"/>
      <c r="CH237" s="249"/>
      <c r="CI237" s="216"/>
      <c r="CJ237" s="1195"/>
      <c r="CK237" s="249"/>
      <c r="CL237" s="216"/>
      <c r="CM237" s="1194"/>
      <c r="CN237" s="1524"/>
      <c r="CO237" s="217"/>
      <c r="CP237" s="1193"/>
      <c r="CQ237" s="293"/>
      <c r="CR237" s="217"/>
      <c r="CS237" s="305"/>
      <c r="CT237" s="249"/>
      <c r="CU237" s="216"/>
      <c r="CV237" s="1193"/>
      <c r="CW237" s="249"/>
      <c r="CX237" s="216"/>
      <c r="CY237" s="305"/>
      <c r="CZ237" s="249"/>
      <c r="DA237" s="216"/>
      <c r="DB237" s="307"/>
      <c r="DC237" s="328"/>
      <c r="DD237" s="322"/>
      <c r="DE237" s="305"/>
      <c r="DF237" s="249"/>
      <c r="DG237" s="216"/>
      <c r="DH237" s="305"/>
      <c r="DI237" s="249"/>
      <c r="DJ237" s="216"/>
      <c r="DK237" s="309"/>
      <c r="DL237" s="293"/>
      <c r="DM237" s="326"/>
      <c r="DN237" s="1256"/>
      <c r="DO237" s="214"/>
      <c r="DP237" s="1257"/>
      <c r="DQ237" s="1258"/>
      <c r="DR237" s="305"/>
      <c r="DS237" s="249"/>
      <c r="DT237" s="216"/>
      <c r="DU237" s="305"/>
      <c r="DV237" s="2520"/>
      <c r="DW237" s="2521"/>
      <c r="DX237" s="305"/>
      <c r="DY237" s="249"/>
      <c r="DZ237" s="221"/>
      <c r="EA237" s="388"/>
      <c r="EB237" s="249"/>
      <c r="EC237" s="216"/>
      <c r="ED237" s="1461"/>
      <c r="EE237" s="249"/>
      <c r="EF237" s="216"/>
      <c r="EG237" s="355"/>
      <c r="EH237" s="1425"/>
      <c r="EI237" s="1470"/>
      <c r="EJ237" s="249"/>
      <c r="EK237" s="221"/>
      <c r="EL237" s="313"/>
      <c r="EM237" s="249"/>
      <c r="EN237" s="221"/>
      <c r="EO237" s="313"/>
      <c r="EP237" s="249"/>
      <c r="EQ237" s="216"/>
      <c r="ER237" s="313"/>
      <c r="ES237" s="249"/>
      <c r="ET237" s="216"/>
      <c r="EU237" s="313"/>
      <c r="EV237" s="249"/>
      <c r="EW237" s="216"/>
      <c r="EX237" s="2505"/>
      <c r="EY237" s="249"/>
      <c r="EZ237" s="221"/>
      <c r="FA237" s="313"/>
      <c r="FB237" s="249"/>
      <c r="FC237" s="221"/>
      <c r="FD237" s="313"/>
      <c r="FE237" s="249"/>
      <c r="FF237" s="221"/>
      <c r="FG237" s="313"/>
      <c r="FH237" s="249"/>
      <c r="FI237" s="216"/>
      <c r="FJ237" s="1435"/>
      <c r="FK237" s="216"/>
      <c r="FL237" s="1268"/>
      <c r="FM237" s="1655"/>
      <c r="FN237" s="1268"/>
      <c r="FO237" s="1655"/>
      <c r="FP237" s="1268"/>
      <c r="FQ237" s="1656"/>
      <c r="FR237" s="249"/>
      <c r="FS237" s="216"/>
      <c r="FT237" s="1657"/>
      <c r="FU237" s="1658"/>
      <c r="FV237" s="242"/>
      <c r="FW237" s="343"/>
      <c r="FX237" s="222"/>
      <c r="FY237" s="336"/>
      <c r="FZ237" s="223"/>
      <c r="GA237" s="338"/>
      <c r="GB237" s="204"/>
      <c r="GC237" s="339"/>
      <c r="GD237" s="342"/>
      <c r="GE237" s="199"/>
      <c r="GF237" s="199"/>
      <c r="GG237" s="199"/>
      <c r="GH237" s="199"/>
      <c r="GI237" s="199"/>
      <c r="GJ237" s="199"/>
      <c r="GK237" s="199"/>
      <c r="GL237" s="49"/>
      <c r="GM237" s="28"/>
      <c r="GN237" s="28"/>
      <c r="GO237" s="322"/>
      <c r="GP237" s="1190"/>
      <c r="GQ237" s="1190"/>
      <c r="GR237" s="49"/>
      <c r="GS237" s="2879"/>
      <c r="GT237" s="2880"/>
      <c r="GU237" s="2881"/>
      <c r="GV237" s="49"/>
      <c r="GW237" s="49"/>
      <c r="GX237" s="49"/>
      <c r="GY237" s="49"/>
      <c r="GZ237" s="49"/>
      <c r="HA237" s="49"/>
      <c r="HB237" s="49"/>
      <c r="HC237" s="49"/>
      <c r="HD237" s="49"/>
      <c r="HE237" s="49"/>
      <c r="HF237" s="49"/>
      <c r="HG237" s="49"/>
      <c r="HH237" s="49"/>
      <c r="HI237" s="49"/>
      <c r="HJ237" s="49"/>
      <c r="HK237" s="49"/>
      <c r="HL237" s="49"/>
      <c r="HM237" s="49"/>
      <c r="HN237" s="49"/>
      <c r="HO237" s="49"/>
      <c r="HP237" s="49"/>
      <c r="HQ237" s="49"/>
      <c r="HR237" s="49"/>
      <c r="HS237" s="49"/>
      <c r="HT237" s="49"/>
      <c r="HU237" s="49"/>
      <c r="HV237" s="49"/>
      <c r="HW237" s="49"/>
      <c r="HX237" s="49"/>
      <c r="HY237" s="49"/>
      <c r="HZ237" s="49"/>
      <c r="IA237" s="49"/>
      <c r="IB237" s="49"/>
      <c r="IC237" s="49"/>
      <c r="ID237" s="49"/>
      <c r="IE237" s="49"/>
      <c r="IF237" s="49"/>
      <c r="IG237" s="49"/>
      <c r="IH237" s="49"/>
      <c r="II237" s="49"/>
      <c r="IJ237" s="49"/>
      <c r="IK237" s="49"/>
      <c r="IL237" s="49"/>
      <c r="IM237" s="49"/>
      <c r="IN237" s="49"/>
      <c r="IO237" s="49"/>
      <c r="IP237" s="49"/>
      <c r="IQ237" s="49"/>
      <c r="IR237" s="49"/>
      <c r="IS237" s="49"/>
      <c r="IT237" s="49"/>
      <c r="IU237" s="49"/>
      <c r="IV237" s="49"/>
    </row>
    <row r="238" spans="1:256" s="198" customFormat="1" ht="12" customHeight="1">
      <c r="A238" s="1252"/>
      <c r="B238" s="200"/>
      <c r="C238" s="486"/>
      <c r="D238" s="201"/>
      <c r="E238" s="202"/>
      <c r="F238" s="203"/>
      <c r="G238" s="197"/>
      <c r="H238" s="197"/>
      <c r="I238" s="197"/>
      <c r="J238" s="197"/>
      <c r="K238" s="175"/>
      <c r="L238" s="197"/>
      <c r="M238" s="197"/>
      <c r="N238" s="197"/>
      <c r="O238" s="197"/>
      <c r="P238" s="197"/>
      <c r="Q238" s="1198"/>
      <c r="R238" s="202"/>
      <c r="S238" s="202"/>
      <c r="T238" s="1186"/>
      <c r="U238" s="233"/>
      <c r="V238" s="49"/>
      <c r="W238" s="218"/>
      <c r="X238" s="218"/>
      <c r="Y238" s="216"/>
      <c r="Z238" s="216"/>
      <c r="AA238" s="215"/>
      <c r="AB238" s="216"/>
      <c r="AC238" s="216"/>
      <c r="AD238" s="239"/>
      <c r="AE238" s="216"/>
      <c r="AF238" s="216"/>
      <c r="AG238" s="216"/>
      <c r="AH238" s="216"/>
      <c r="AI238" s="216"/>
      <c r="AJ238" s="216"/>
      <c r="AK238" s="239"/>
      <c r="AL238" s="216"/>
      <c r="AM238" s="216"/>
      <c r="AN238" s="216"/>
      <c r="AO238" s="216"/>
      <c r="AP238" s="216"/>
      <c r="AQ238" s="216"/>
      <c r="AR238" s="216"/>
      <c r="AS238" s="216"/>
      <c r="AT238" s="216"/>
      <c r="AU238" s="216"/>
      <c r="AV238" s="217"/>
      <c r="AW238" s="355"/>
      <c r="AX238" s="217"/>
      <c r="AY238" s="1559"/>
      <c r="AZ238" s="249"/>
      <c r="BA238" s="221"/>
      <c r="BB238" s="300"/>
      <c r="BC238" s="217"/>
      <c r="BD238" s="392"/>
      <c r="BE238" s="1244"/>
      <c r="BF238" s="249"/>
      <c r="BG238" s="252"/>
      <c r="BH238" s="1469"/>
      <c r="BI238" s="216"/>
      <c r="BJ238" s="1469"/>
      <c r="BK238" s="1459"/>
      <c r="BL238" s="260"/>
      <c r="BM238" s="214"/>
      <c r="BN238" s="293"/>
      <c r="BO238" s="217"/>
      <c r="BP238" s="355"/>
      <c r="BQ238" s="217"/>
      <c r="BR238" s="1193"/>
      <c r="BS238" s="249"/>
      <c r="BT238" s="216"/>
      <c r="BU238" s="1195"/>
      <c r="BV238" s="249"/>
      <c r="BW238" s="216"/>
      <c r="BX238" s="1195"/>
      <c r="BY238" s="249"/>
      <c r="BZ238" s="216"/>
      <c r="CA238" s="1195"/>
      <c r="CB238" s="249"/>
      <c r="CC238" s="216"/>
      <c r="CD238" s="1195"/>
      <c r="CE238" s="249"/>
      <c r="CF238" s="216"/>
      <c r="CG238" s="1195"/>
      <c r="CH238" s="249"/>
      <c r="CI238" s="216"/>
      <c r="CJ238" s="1195"/>
      <c r="CK238" s="249"/>
      <c r="CL238" s="216"/>
      <c r="CM238" s="1194"/>
      <c r="CN238" s="1524"/>
      <c r="CO238" s="217"/>
      <c r="CP238" s="1193"/>
      <c r="CQ238" s="293"/>
      <c r="CR238" s="217"/>
      <c r="CS238" s="305"/>
      <c r="CT238" s="249"/>
      <c r="CU238" s="216"/>
      <c r="CV238" s="1193"/>
      <c r="CW238" s="249"/>
      <c r="CX238" s="216"/>
      <c r="CY238" s="305"/>
      <c r="CZ238" s="249"/>
      <c r="DA238" s="216"/>
      <c r="DB238" s="307"/>
      <c r="DC238" s="328"/>
      <c r="DD238" s="322"/>
      <c r="DE238" s="305"/>
      <c r="DF238" s="249"/>
      <c r="DG238" s="216"/>
      <c r="DH238" s="305"/>
      <c r="DI238" s="249"/>
      <c r="DJ238" s="216"/>
      <c r="DK238" s="309"/>
      <c r="DL238" s="293"/>
      <c r="DM238" s="326"/>
      <c r="DN238" s="1256"/>
      <c r="DO238" s="214"/>
      <c r="DP238" s="1257"/>
      <c r="DQ238" s="1258"/>
      <c r="DR238" s="305"/>
      <c r="DS238" s="249"/>
      <c r="DT238" s="216"/>
      <c r="DU238" s="305"/>
      <c r="DV238" s="2520"/>
      <c r="DW238" s="2521"/>
      <c r="DX238" s="305"/>
      <c r="DY238" s="249"/>
      <c r="DZ238" s="221"/>
      <c r="EA238" s="388"/>
      <c r="EB238" s="249"/>
      <c r="EC238" s="216"/>
      <c r="ED238" s="1461"/>
      <c r="EE238" s="249"/>
      <c r="EF238" s="216"/>
      <c r="EG238" s="355"/>
      <c r="EH238" s="1425"/>
      <c r="EI238" s="1470"/>
      <c r="EJ238" s="249"/>
      <c r="EK238" s="221"/>
      <c r="EL238" s="313"/>
      <c r="EM238" s="249"/>
      <c r="EN238" s="221"/>
      <c r="EO238" s="313"/>
      <c r="EP238" s="249"/>
      <c r="EQ238" s="216"/>
      <c r="ER238" s="313"/>
      <c r="ES238" s="249"/>
      <c r="ET238" s="216"/>
      <c r="EU238" s="313"/>
      <c r="EV238" s="249"/>
      <c r="EW238" s="216"/>
      <c r="EX238" s="2505"/>
      <c r="EY238" s="249"/>
      <c r="EZ238" s="221"/>
      <c r="FA238" s="313"/>
      <c r="FB238" s="249"/>
      <c r="FC238" s="221"/>
      <c r="FD238" s="313"/>
      <c r="FE238" s="249"/>
      <c r="FF238" s="221"/>
      <c r="FG238" s="313"/>
      <c r="FH238" s="249"/>
      <c r="FI238" s="216"/>
      <c r="FJ238" s="1435"/>
      <c r="FK238" s="216"/>
      <c r="FL238" s="1268"/>
      <c r="FM238" s="1655"/>
      <c r="FN238" s="1268"/>
      <c r="FO238" s="1655"/>
      <c r="FP238" s="1268"/>
      <c r="FQ238" s="1656"/>
      <c r="FR238" s="249"/>
      <c r="FS238" s="216"/>
      <c r="FT238" s="1657"/>
      <c r="FU238" s="1658"/>
      <c r="FV238" s="242"/>
      <c r="FW238" s="343"/>
      <c r="FX238" s="222"/>
      <c r="FY238" s="336"/>
      <c r="FZ238" s="223"/>
      <c r="GA238" s="338"/>
      <c r="GB238" s="204"/>
      <c r="GC238" s="339"/>
      <c r="GD238" s="342"/>
      <c r="GE238" s="199"/>
      <c r="GF238" s="199"/>
      <c r="GG238" s="199"/>
      <c r="GH238" s="199"/>
      <c r="GI238" s="199"/>
      <c r="GJ238" s="199"/>
      <c r="GK238" s="199"/>
      <c r="GL238" s="49"/>
      <c r="GM238" s="28"/>
      <c r="GN238" s="28"/>
      <c r="GO238" s="322"/>
      <c r="GP238" s="1190"/>
      <c r="GQ238" s="1190"/>
      <c r="GR238" s="49"/>
      <c r="GS238" s="2879"/>
      <c r="GT238" s="2880"/>
      <c r="GU238" s="2881"/>
      <c r="GV238" s="49"/>
      <c r="GW238" s="49"/>
      <c r="GX238" s="49"/>
      <c r="GY238" s="49"/>
      <c r="GZ238" s="49"/>
      <c r="HA238" s="49"/>
      <c r="HB238" s="49"/>
      <c r="HC238" s="49"/>
      <c r="HD238" s="49"/>
      <c r="HE238" s="49"/>
      <c r="HF238" s="49"/>
      <c r="HG238" s="49"/>
      <c r="HH238" s="49"/>
      <c r="HI238" s="49"/>
      <c r="HJ238" s="49"/>
      <c r="HK238" s="49"/>
      <c r="HL238" s="49"/>
      <c r="HM238" s="49"/>
      <c r="HN238" s="49"/>
      <c r="HO238" s="49"/>
      <c r="HP238" s="49"/>
      <c r="HQ238" s="49"/>
      <c r="HR238" s="49"/>
      <c r="HS238" s="49"/>
      <c r="HT238" s="49"/>
      <c r="HU238" s="49"/>
      <c r="HV238" s="49"/>
      <c r="HW238" s="49"/>
      <c r="HX238" s="49"/>
      <c r="HY238" s="49"/>
      <c r="HZ238" s="49"/>
      <c r="IA238" s="49"/>
      <c r="IB238" s="49"/>
      <c r="IC238" s="49"/>
      <c r="ID238" s="49"/>
      <c r="IE238" s="49"/>
      <c r="IF238" s="49"/>
      <c r="IG238" s="49"/>
      <c r="IH238" s="49"/>
      <c r="II238" s="49"/>
      <c r="IJ238" s="49"/>
      <c r="IK238" s="49"/>
      <c r="IL238" s="49"/>
      <c r="IM238" s="49"/>
      <c r="IN238" s="49"/>
      <c r="IO238" s="49"/>
      <c r="IP238" s="49"/>
      <c r="IQ238" s="49"/>
      <c r="IR238" s="49"/>
      <c r="IS238" s="49"/>
      <c r="IT238" s="49"/>
      <c r="IU238" s="49"/>
      <c r="IV238" s="49"/>
    </row>
    <row r="239" spans="1:256" s="198" customFormat="1" ht="12" customHeight="1">
      <c r="A239" s="1252"/>
      <c r="B239" s="200"/>
      <c r="C239" s="486"/>
      <c r="D239" s="201"/>
      <c r="E239" s="202"/>
      <c r="F239" s="203"/>
      <c r="G239" s="197"/>
      <c r="H239" s="197"/>
      <c r="I239" s="197"/>
      <c r="J239" s="197"/>
      <c r="K239" s="175"/>
      <c r="L239" s="197"/>
      <c r="M239" s="197"/>
      <c r="N239" s="197"/>
      <c r="O239" s="197"/>
      <c r="P239" s="197"/>
      <c r="Q239" s="1198"/>
      <c r="R239" s="202"/>
      <c r="S239" s="202"/>
      <c r="T239" s="1186"/>
      <c r="U239" s="233"/>
      <c r="V239" s="49"/>
      <c r="W239" s="218"/>
      <c r="X239" s="218"/>
      <c r="Y239" s="216"/>
      <c r="Z239" s="216"/>
      <c r="AA239" s="215"/>
      <c r="AB239" s="216"/>
      <c r="AC239" s="216"/>
      <c r="AD239" s="239"/>
      <c r="AE239" s="216"/>
      <c r="AF239" s="216"/>
      <c r="AG239" s="216"/>
      <c r="AH239" s="216"/>
      <c r="AI239" s="216"/>
      <c r="AJ239" s="216"/>
      <c r="AK239" s="239"/>
      <c r="AL239" s="216"/>
      <c r="AM239" s="216"/>
      <c r="AN239" s="216"/>
      <c r="AO239" s="216"/>
      <c r="AP239" s="216"/>
      <c r="AQ239" s="216"/>
      <c r="AR239" s="216"/>
      <c r="AS239" s="216"/>
      <c r="AT239" s="216"/>
      <c r="AU239" s="216"/>
      <c r="AV239" s="217"/>
      <c r="AW239" s="355"/>
      <c r="AX239" s="217"/>
      <c r="AY239" s="1559"/>
      <c r="AZ239" s="249"/>
      <c r="BA239" s="221"/>
      <c r="BB239" s="300"/>
      <c r="BC239" s="217"/>
      <c r="BD239" s="392"/>
      <c r="BE239" s="1244"/>
      <c r="BF239" s="249"/>
      <c r="BG239" s="252"/>
      <c r="BH239" s="1469"/>
      <c r="BI239" s="216"/>
      <c r="BJ239" s="1469"/>
      <c r="BK239" s="1459"/>
      <c r="BL239" s="260"/>
      <c r="BM239" s="214"/>
      <c r="BN239" s="293"/>
      <c r="BO239" s="217"/>
      <c r="BP239" s="355"/>
      <c r="BQ239" s="217"/>
      <c r="BR239" s="1193"/>
      <c r="BS239" s="249"/>
      <c r="BT239" s="216"/>
      <c r="BU239" s="1195"/>
      <c r="BV239" s="249"/>
      <c r="BW239" s="216"/>
      <c r="BX239" s="1195"/>
      <c r="BY239" s="249"/>
      <c r="BZ239" s="216"/>
      <c r="CA239" s="1195"/>
      <c r="CB239" s="249"/>
      <c r="CC239" s="216"/>
      <c r="CD239" s="1195"/>
      <c r="CE239" s="249"/>
      <c r="CF239" s="216"/>
      <c r="CG239" s="1195"/>
      <c r="CH239" s="249"/>
      <c r="CI239" s="216"/>
      <c r="CJ239" s="1195"/>
      <c r="CK239" s="249"/>
      <c r="CL239" s="216"/>
      <c r="CM239" s="1194"/>
      <c r="CN239" s="1524"/>
      <c r="CO239" s="217"/>
      <c r="CP239" s="1193"/>
      <c r="CQ239" s="293"/>
      <c r="CR239" s="217"/>
      <c r="CS239" s="305"/>
      <c r="CT239" s="249"/>
      <c r="CU239" s="216"/>
      <c r="CV239" s="1193"/>
      <c r="CW239" s="249"/>
      <c r="CX239" s="216"/>
      <c r="CY239" s="305"/>
      <c r="CZ239" s="249"/>
      <c r="DA239" s="216"/>
      <c r="DB239" s="307"/>
      <c r="DC239" s="328"/>
      <c r="DD239" s="322"/>
      <c r="DE239" s="305"/>
      <c r="DF239" s="249"/>
      <c r="DG239" s="216"/>
      <c r="DH239" s="305"/>
      <c r="DI239" s="249"/>
      <c r="DJ239" s="216"/>
      <c r="DK239" s="309"/>
      <c r="DL239" s="293"/>
      <c r="DM239" s="326"/>
      <c r="DN239" s="1256"/>
      <c r="DO239" s="214"/>
      <c r="DP239" s="1257"/>
      <c r="DQ239" s="1258"/>
      <c r="DR239" s="305"/>
      <c r="DS239" s="249"/>
      <c r="DT239" s="216"/>
      <c r="DU239" s="305"/>
      <c r="DV239" s="2520"/>
      <c r="DW239" s="2521"/>
      <c r="DX239" s="305"/>
      <c r="DY239" s="249"/>
      <c r="DZ239" s="221"/>
      <c r="EA239" s="388"/>
      <c r="EB239" s="249"/>
      <c r="EC239" s="216"/>
      <c r="ED239" s="1461"/>
      <c r="EE239" s="249"/>
      <c r="EF239" s="216"/>
      <c r="EG239" s="355"/>
      <c r="EH239" s="1425"/>
      <c r="EI239" s="1470"/>
      <c r="EJ239" s="249"/>
      <c r="EK239" s="221"/>
      <c r="EL239" s="313"/>
      <c r="EM239" s="249"/>
      <c r="EN239" s="221"/>
      <c r="EO239" s="313"/>
      <c r="EP239" s="249"/>
      <c r="EQ239" s="216"/>
      <c r="ER239" s="313"/>
      <c r="ES239" s="249"/>
      <c r="ET239" s="216"/>
      <c r="EU239" s="313"/>
      <c r="EV239" s="249"/>
      <c r="EW239" s="216"/>
      <c r="EX239" s="2505"/>
      <c r="EY239" s="249"/>
      <c r="EZ239" s="221"/>
      <c r="FA239" s="313"/>
      <c r="FB239" s="249"/>
      <c r="FC239" s="221"/>
      <c r="FD239" s="313"/>
      <c r="FE239" s="249"/>
      <c r="FF239" s="221"/>
      <c r="FG239" s="313"/>
      <c r="FH239" s="249"/>
      <c r="FI239" s="216"/>
      <c r="FJ239" s="1435"/>
      <c r="FK239" s="216"/>
      <c r="FL239" s="1268"/>
      <c r="FM239" s="1655"/>
      <c r="FN239" s="1268"/>
      <c r="FO239" s="1655"/>
      <c r="FP239" s="1268"/>
      <c r="FQ239" s="1656"/>
      <c r="FR239" s="249"/>
      <c r="FS239" s="216"/>
      <c r="FT239" s="1657"/>
      <c r="FU239" s="1658"/>
      <c r="FV239" s="242"/>
      <c r="FW239" s="343"/>
      <c r="FX239" s="222"/>
      <c r="FY239" s="336"/>
      <c r="FZ239" s="223"/>
      <c r="GA239" s="338"/>
      <c r="GB239" s="204"/>
      <c r="GC239" s="339"/>
      <c r="GD239" s="342"/>
      <c r="GE239" s="199"/>
      <c r="GF239" s="199"/>
      <c r="GG239" s="199"/>
      <c r="GH239" s="199"/>
      <c r="GI239" s="199"/>
      <c r="GJ239" s="199"/>
      <c r="GK239" s="199"/>
      <c r="GL239" s="49"/>
      <c r="GM239" s="28"/>
      <c r="GN239" s="28"/>
      <c r="GO239" s="322"/>
      <c r="GP239" s="1190"/>
      <c r="GQ239" s="1190"/>
      <c r="GR239" s="49"/>
      <c r="GS239" s="2879"/>
      <c r="GT239" s="2880"/>
      <c r="GU239" s="2881"/>
      <c r="GV239" s="49"/>
      <c r="GW239" s="49"/>
      <c r="GX239" s="49"/>
      <c r="GY239" s="49"/>
      <c r="GZ239" s="49"/>
      <c r="HA239" s="49"/>
      <c r="HB239" s="49"/>
      <c r="HC239" s="49"/>
      <c r="HD239" s="49"/>
      <c r="HE239" s="49"/>
      <c r="HF239" s="49"/>
      <c r="HG239" s="49"/>
      <c r="HH239" s="49"/>
      <c r="HI239" s="49"/>
      <c r="HJ239" s="49"/>
      <c r="HK239" s="49"/>
      <c r="HL239" s="49"/>
      <c r="HM239" s="49"/>
      <c r="HN239" s="49"/>
      <c r="HO239" s="49"/>
      <c r="HP239" s="49"/>
      <c r="HQ239" s="49"/>
      <c r="HR239" s="49"/>
      <c r="HS239" s="49"/>
      <c r="HT239" s="49"/>
      <c r="HU239" s="49"/>
      <c r="HV239" s="49"/>
      <c r="HW239" s="49"/>
      <c r="HX239" s="49"/>
      <c r="HY239" s="49"/>
      <c r="HZ239" s="49"/>
      <c r="IA239" s="49"/>
      <c r="IB239" s="49"/>
      <c r="IC239" s="49"/>
      <c r="ID239" s="49"/>
      <c r="IE239" s="49"/>
      <c r="IF239" s="49"/>
      <c r="IG239" s="49"/>
      <c r="IH239" s="49"/>
      <c r="II239" s="49"/>
      <c r="IJ239" s="49"/>
      <c r="IK239" s="49"/>
      <c r="IL239" s="49"/>
      <c r="IM239" s="49"/>
      <c r="IN239" s="49"/>
      <c r="IO239" s="49"/>
      <c r="IP239" s="49"/>
      <c r="IQ239" s="49"/>
      <c r="IR239" s="49"/>
      <c r="IS239" s="49"/>
      <c r="IT239" s="49"/>
      <c r="IU239" s="49"/>
      <c r="IV239" s="49"/>
    </row>
    <row r="240" spans="1:256" s="198" customFormat="1" ht="12" customHeight="1">
      <c r="A240" s="1252"/>
      <c r="B240" s="200"/>
      <c r="C240" s="486"/>
      <c r="D240" s="201"/>
      <c r="E240" s="202"/>
      <c r="F240" s="203"/>
      <c r="G240" s="197"/>
      <c r="H240" s="197"/>
      <c r="I240" s="197"/>
      <c r="J240" s="197"/>
      <c r="K240" s="175"/>
      <c r="L240" s="197"/>
      <c r="M240" s="197"/>
      <c r="N240" s="197"/>
      <c r="O240" s="197"/>
      <c r="P240" s="197"/>
      <c r="Q240" s="1198"/>
      <c r="R240" s="202"/>
      <c r="S240" s="202"/>
      <c r="T240" s="1186"/>
      <c r="U240" s="233"/>
      <c r="V240" s="49"/>
      <c r="W240" s="218"/>
      <c r="X240" s="218"/>
      <c r="Y240" s="216"/>
      <c r="Z240" s="216"/>
      <c r="AA240" s="215"/>
      <c r="AB240" s="216"/>
      <c r="AC240" s="216"/>
      <c r="AD240" s="239"/>
      <c r="AE240" s="216"/>
      <c r="AF240" s="216"/>
      <c r="AG240" s="216"/>
      <c r="AH240" s="216"/>
      <c r="AI240" s="216"/>
      <c r="AJ240" s="216"/>
      <c r="AK240" s="239"/>
      <c r="AL240" s="216"/>
      <c r="AM240" s="216"/>
      <c r="AN240" s="216"/>
      <c r="AO240" s="216"/>
      <c r="AP240" s="216"/>
      <c r="AQ240" s="216"/>
      <c r="AR240" s="216"/>
      <c r="AS240" s="216"/>
      <c r="AT240" s="216"/>
      <c r="AU240" s="216"/>
      <c r="AV240" s="217"/>
      <c r="AW240" s="355"/>
      <c r="AX240" s="217"/>
      <c r="AY240" s="1559"/>
      <c r="AZ240" s="249"/>
      <c r="BA240" s="221"/>
      <c r="BB240" s="300"/>
      <c r="BC240" s="217"/>
      <c r="BD240" s="392"/>
      <c r="BE240" s="1244"/>
      <c r="BF240" s="249"/>
      <c r="BG240" s="252"/>
      <c r="BH240" s="1469"/>
      <c r="BI240" s="216"/>
      <c r="BJ240" s="1469"/>
      <c r="BK240" s="1459"/>
      <c r="BL240" s="260"/>
      <c r="BM240" s="214"/>
      <c r="BN240" s="293"/>
      <c r="BO240" s="217"/>
      <c r="BP240" s="355"/>
      <c r="BQ240" s="217"/>
      <c r="BR240" s="1193"/>
      <c r="BS240" s="249"/>
      <c r="BT240" s="216"/>
      <c r="BU240" s="1195"/>
      <c r="BV240" s="249"/>
      <c r="BW240" s="216"/>
      <c r="BX240" s="1195"/>
      <c r="BY240" s="249"/>
      <c r="BZ240" s="216"/>
      <c r="CA240" s="1195"/>
      <c r="CB240" s="249"/>
      <c r="CC240" s="216"/>
      <c r="CD240" s="1195"/>
      <c r="CE240" s="249"/>
      <c r="CF240" s="216"/>
      <c r="CG240" s="1195"/>
      <c r="CH240" s="249"/>
      <c r="CI240" s="216"/>
      <c r="CJ240" s="1195"/>
      <c r="CK240" s="249"/>
      <c r="CL240" s="216"/>
      <c r="CM240" s="1194"/>
      <c r="CN240" s="1524"/>
      <c r="CO240" s="217"/>
      <c r="CP240" s="1193"/>
      <c r="CQ240" s="293"/>
      <c r="CR240" s="217"/>
      <c r="CS240" s="305"/>
      <c r="CT240" s="249"/>
      <c r="CU240" s="216"/>
      <c r="CV240" s="1193"/>
      <c r="CW240" s="249"/>
      <c r="CX240" s="216"/>
      <c r="CY240" s="305"/>
      <c r="CZ240" s="249"/>
      <c r="DA240" s="216"/>
      <c r="DB240" s="307"/>
      <c r="DC240" s="328"/>
      <c r="DD240" s="322"/>
      <c r="DE240" s="305"/>
      <c r="DF240" s="249"/>
      <c r="DG240" s="216"/>
      <c r="DH240" s="305"/>
      <c r="DI240" s="249"/>
      <c r="DJ240" s="216"/>
      <c r="DK240" s="309"/>
      <c r="DL240" s="293"/>
      <c r="DM240" s="326"/>
      <c r="DN240" s="1256"/>
      <c r="DO240" s="214"/>
      <c r="DP240" s="1257"/>
      <c r="DQ240" s="1258"/>
      <c r="DR240" s="305"/>
      <c r="DS240" s="249"/>
      <c r="DT240" s="216"/>
      <c r="DU240" s="305"/>
      <c r="DV240" s="2520"/>
      <c r="DW240" s="2521"/>
      <c r="DX240" s="305"/>
      <c r="DY240" s="249"/>
      <c r="DZ240" s="221"/>
      <c r="EA240" s="388"/>
      <c r="EB240" s="249"/>
      <c r="EC240" s="216"/>
      <c r="ED240" s="1461"/>
      <c r="EE240" s="249"/>
      <c r="EF240" s="216"/>
      <c r="EG240" s="355"/>
      <c r="EH240" s="1425"/>
      <c r="EI240" s="1470"/>
      <c r="EJ240" s="249"/>
      <c r="EK240" s="221"/>
      <c r="EL240" s="313"/>
      <c r="EM240" s="249"/>
      <c r="EN240" s="221"/>
      <c r="EO240" s="313"/>
      <c r="EP240" s="249"/>
      <c r="EQ240" s="216"/>
      <c r="ER240" s="313"/>
      <c r="ES240" s="249"/>
      <c r="ET240" s="216"/>
      <c r="EU240" s="313"/>
      <c r="EV240" s="249"/>
      <c r="EW240" s="216"/>
      <c r="EX240" s="2505"/>
      <c r="EY240" s="249"/>
      <c r="EZ240" s="221"/>
      <c r="FA240" s="313"/>
      <c r="FB240" s="249"/>
      <c r="FC240" s="221"/>
      <c r="FD240" s="313"/>
      <c r="FE240" s="249"/>
      <c r="FF240" s="221"/>
      <c r="FG240" s="313"/>
      <c r="FH240" s="249"/>
      <c r="FI240" s="216"/>
      <c r="FJ240" s="1435"/>
      <c r="FK240" s="216"/>
      <c r="FL240" s="1268"/>
      <c r="FM240" s="1655"/>
      <c r="FN240" s="1268"/>
      <c r="FO240" s="1655"/>
      <c r="FP240" s="1268"/>
      <c r="FQ240" s="1656"/>
      <c r="FR240" s="249"/>
      <c r="FS240" s="216"/>
      <c r="FT240" s="1657"/>
      <c r="FU240" s="1658"/>
      <c r="FV240" s="242"/>
      <c r="FW240" s="343"/>
      <c r="FX240" s="222"/>
      <c r="FY240" s="336"/>
      <c r="FZ240" s="223"/>
      <c r="GA240" s="338"/>
      <c r="GB240" s="204"/>
      <c r="GC240" s="339"/>
      <c r="GD240" s="342"/>
      <c r="GE240" s="199"/>
      <c r="GF240" s="199"/>
      <c r="GG240" s="199"/>
      <c r="GH240" s="199"/>
      <c r="GI240" s="199"/>
      <c r="GJ240" s="199"/>
      <c r="GK240" s="199"/>
      <c r="GL240" s="49"/>
      <c r="GM240" s="28"/>
      <c r="GN240" s="28"/>
      <c r="GO240" s="322"/>
      <c r="GP240" s="1190"/>
      <c r="GQ240" s="1190"/>
      <c r="GR240" s="49"/>
      <c r="GS240" s="2879"/>
      <c r="GT240" s="2880"/>
      <c r="GU240" s="2881"/>
      <c r="GV240" s="49"/>
      <c r="GW240" s="49"/>
      <c r="GX240" s="49"/>
      <c r="GY240" s="49"/>
      <c r="GZ240" s="49"/>
      <c r="HA240" s="49"/>
      <c r="HB240" s="49"/>
      <c r="HC240" s="49"/>
      <c r="HD240" s="49"/>
      <c r="HE240" s="49"/>
      <c r="HF240" s="49"/>
      <c r="HG240" s="49"/>
      <c r="HH240" s="49"/>
      <c r="HI240" s="49"/>
      <c r="HJ240" s="49"/>
      <c r="HK240" s="49"/>
      <c r="HL240" s="49"/>
      <c r="HM240" s="49"/>
      <c r="HN240" s="49"/>
      <c r="HO240" s="49"/>
      <c r="HP240" s="49"/>
      <c r="HQ240" s="49"/>
      <c r="HR240" s="49"/>
      <c r="HS240" s="49"/>
      <c r="HT240" s="49"/>
      <c r="HU240" s="49"/>
      <c r="HV240" s="49"/>
      <c r="HW240" s="49"/>
      <c r="HX240" s="49"/>
      <c r="HY240" s="49"/>
      <c r="HZ240" s="49"/>
      <c r="IA240" s="49"/>
      <c r="IB240" s="49"/>
      <c r="IC240" s="49"/>
      <c r="ID240" s="49"/>
      <c r="IE240" s="49"/>
      <c r="IF240" s="49"/>
      <c r="IG240" s="49"/>
      <c r="IH240" s="49"/>
      <c r="II240" s="49"/>
      <c r="IJ240" s="49"/>
      <c r="IK240" s="49"/>
      <c r="IL240" s="49"/>
      <c r="IM240" s="49"/>
      <c r="IN240" s="49"/>
      <c r="IO240" s="49"/>
      <c r="IP240" s="49"/>
      <c r="IQ240" s="49"/>
      <c r="IR240" s="49"/>
      <c r="IS240" s="49"/>
      <c r="IT240" s="49"/>
      <c r="IU240" s="49"/>
      <c r="IV240" s="49"/>
    </row>
    <row r="241" spans="1:256" s="198" customFormat="1" ht="12" customHeight="1">
      <c r="A241" s="1252"/>
      <c r="B241" s="200"/>
      <c r="C241" s="486"/>
      <c r="D241" s="201"/>
      <c r="E241" s="202"/>
      <c r="F241" s="203"/>
      <c r="G241" s="197"/>
      <c r="H241" s="197"/>
      <c r="I241" s="197"/>
      <c r="J241" s="197"/>
      <c r="K241" s="175"/>
      <c r="L241" s="197"/>
      <c r="M241" s="197"/>
      <c r="N241" s="197"/>
      <c r="O241" s="197"/>
      <c r="P241" s="197"/>
      <c r="Q241" s="1198"/>
      <c r="R241" s="202"/>
      <c r="S241" s="202"/>
      <c r="T241" s="1186"/>
      <c r="U241" s="233"/>
      <c r="V241" s="49"/>
      <c r="W241" s="218"/>
      <c r="X241" s="218"/>
      <c r="Y241" s="216"/>
      <c r="Z241" s="216"/>
      <c r="AA241" s="215"/>
      <c r="AB241" s="216"/>
      <c r="AC241" s="216"/>
      <c r="AD241" s="239"/>
      <c r="AE241" s="216"/>
      <c r="AF241" s="216"/>
      <c r="AG241" s="216"/>
      <c r="AH241" s="216"/>
      <c r="AI241" s="216"/>
      <c r="AJ241" s="216"/>
      <c r="AK241" s="239"/>
      <c r="AL241" s="216"/>
      <c r="AM241" s="216"/>
      <c r="AN241" s="216"/>
      <c r="AO241" s="216"/>
      <c r="AP241" s="216"/>
      <c r="AQ241" s="216"/>
      <c r="AR241" s="216"/>
      <c r="AS241" s="216"/>
      <c r="AT241" s="216"/>
      <c r="AU241" s="216"/>
      <c r="AV241" s="217"/>
      <c r="AW241" s="355"/>
      <c r="AX241" s="217"/>
      <c r="AY241" s="1559"/>
      <c r="AZ241" s="249"/>
      <c r="BA241" s="221"/>
      <c r="BB241" s="300"/>
      <c r="BC241" s="217"/>
      <c r="BD241" s="392"/>
      <c r="BE241" s="1244"/>
      <c r="BF241" s="249"/>
      <c r="BG241" s="252"/>
      <c r="BH241" s="1469"/>
      <c r="BI241" s="216"/>
      <c r="BJ241" s="1469"/>
      <c r="BK241" s="1459"/>
      <c r="BL241" s="260"/>
      <c r="BM241" s="214"/>
      <c r="BN241" s="293"/>
      <c r="BO241" s="217"/>
      <c r="BP241" s="355"/>
      <c r="BQ241" s="217"/>
      <c r="BR241" s="1193"/>
      <c r="BS241" s="249"/>
      <c r="BT241" s="216"/>
      <c r="BU241" s="1195"/>
      <c r="BV241" s="249"/>
      <c r="BW241" s="216"/>
      <c r="BX241" s="1195"/>
      <c r="BY241" s="249"/>
      <c r="BZ241" s="216"/>
      <c r="CA241" s="1195"/>
      <c r="CB241" s="249"/>
      <c r="CC241" s="216"/>
      <c r="CD241" s="1195"/>
      <c r="CE241" s="249"/>
      <c r="CF241" s="216"/>
      <c r="CG241" s="1195"/>
      <c r="CH241" s="249"/>
      <c r="CI241" s="216"/>
      <c r="CJ241" s="1195"/>
      <c r="CK241" s="249"/>
      <c r="CL241" s="216"/>
      <c r="CM241" s="1194"/>
      <c r="CN241" s="1524"/>
      <c r="CO241" s="217"/>
      <c r="CP241" s="1193"/>
      <c r="CQ241" s="293"/>
      <c r="CR241" s="217"/>
      <c r="CS241" s="305"/>
      <c r="CT241" s="249"/>
      <c r="CU241" s="216"/>
      <c r="CV241" s="1193"/>
      <c r="CW241" s="249"/>
      <c r="CX241" s="216"/>
      <c r="CY241" s="305"/>
      <c r="CZ241" s="249"/>
      <c r="DA241" s="216"/>
      <c r="DB241" s="307"/>
      <c r="DC241" s="328"/>
      <c r="DD241" s="322"/>
      <c r="DE241" s="305"/>
      <c r="DF241" s="249"/>
      <c r="DG241" s="216"/>
      <c r="DH241" s="305"/>
      <c r="DI241" s="249"/>
      <c r="DJ241" s="216"/>
      <c r="DK241" s="309"/>
      <c r="DL241" s="293"/>
      <c r="DM241" s="326"/>
      <c r="DN241" s="1256"/>
      <c r="DO241" s="214"/>
      <c r="DP241" s="1257"/>
      <c r="DQ241" s="1258"/>
      <c r="DR241" s="305"/>
      <c r="DS241" s="249"/>
      <c r="DT241" s="216"/>
      <c r="DU241" s="305"/>
      <c r="DV241" s="2520"/>
      <c r="DW241" s="2521"/>
      <c r="DX241" s="305"/>
      <c r="DY241" s="249"/>
      <c r="DZ241" s="221"/>
      <c r="EA241" s="388"/>
      <c r="EB241" s="249"/>
      <c r="EC241" s="216"/>
      <c r="ED241" s="1461"/>
      <c r="EE241" s="249"/>
      <c r="EF241" s="216"/>
      <c r="EG241" s="355"/>
      <c r="EH241" s="1425"/>
      <c r="EI241" s="1470"/>
      <c r="EJ241" s="249"/>
      <c r="EK241" s="221"/>
      <c r="EL241" s="313"/>
      <c r="EM241" s="249"/>
      <c r="EN241" s="221"/>
      <c r="EO241" s="313"/>
      <c r="EP241" s="249"/>
      <c r="EQ241" s="216"/>
      <c r="ER241" s="313"/>
      <c r="ES241" s="249"/>
      <c r="ET241" s="216"/>
      <c r="EU241" s="313"/>
      <c r="EV241" s="249"/>
      <c r="EW241" s="216"/>
      <c r="EX241" s="2505"/>
      <c r="EY241" s="249"/>
      <c r="EZ241" s="221"/>
      <c r="FA241" s="313"/>
      <c r="FB241" s="249"/>
      <c r="FC241" s="221"/>
      <c r="FD241" s="313"/>
      <c r="FE241" s="249"/>
      <c r="FF241" s="221"/>
      <c r="FG241" s="313"/>
      <c r="FH241" s="249"/>
      <c r="FI241" s="216"/>
      <c r="FJ241" s="1435"/>
      <c r="FK241" s="216"/>
      <c r="FL241" s="1268"/>
      <c r="FM241" s="1655"/>
      <c r="FN241" s="1268"/>
      <c r="FO241" s="1655"/>
      <c r="FP241" s="1268"/>
      <c r="FQ241" s="1656"/>
      <c r="FR241" s="249"/>
      <c r="FS241" s="216"/>
      <c r="FT241" s="1657"/>
      <c r="FU241" s="1658"/>
      <c r="FV241" s="242"/>
      <c r="FW241" s="343"/>
      <c r="FX241" s="222"/>
      <c r="FY241" s="336"/>
      <c r="FZ241" s="223"/>
      <c r="GA241" s="338"/>
      <c r="GB241" s="204"/>
      <c r="GC241" s="339"/>
      <c r="GD241" s="342"/>
      <c r="GE241" s="199"/>
      <c r="GF241" s="199"/>
      <c r="GG241" s="199"/>
      <c r="GH241" s="199"/>
      <c r="GI241" s="199"/>
      <c r="GJ241" s="199"/>
      <c r="GK241" s="199"/>
      <c r="GL241" s="49"/>
      <c r="GM241" s="28"/>
      <c r="GN241" s="28"/>
      <c r="GO241" s="322"/>
      <c r="GP241" s="1190"/>
      <c r="GQ241" s="1190"/>
      <c r="GR241" s="49"/>
      <c r="GS241" s="2879"/>
      <c r="GT241" s="2880"/>
      <c r="GU241" s="2881"/>
      <c r="GV241" s="49"/>
      <c r="GW241" s="49"/>
      <c r="GX241" s="49"/>
      <c r="GY241" s="49"/>
      <c r="GZ241" s="49"/>
      <c r="HA241" s="49"/>
      <c r="HB241" s="49"/>
      <c r="HC241" s="49"/>
      <c r="HD241" s="49"/>
      <c r="HE241" s="49"/>
      <c r="HF241" s="49"/>
      <c r="HG241" s="49"/>
      <c r="HH241" s="49"/>
      <c r="HI241" s="49"/>
      <c r="HJ241" s="49"/>
      <c r="HK241" s="49"/>
      <c r="HL241" s="49"/>
      <c r="HM241" s="49"/>
      <c r="HN241" s="49"/>
      <c r="HO241" s="49"/>
      <c r="HP241" s="49"/>
      <c r="HQ241" s="49"/>
      <c r="HR241" s="49"/>
      <c r="HS241" s="49"/>
      <c r="HT241" s="49"/>
      <c r="HU241" s="49"/>
      <c r="HV241" s="49"/>
      <c r="HW241" s="49"/>
      <c r="HX241" s="49"/>
      <c r="HY241" s="49"/>
      <c r="HZ241" s="49"/>
      <c r="IA241" s="49"/>
      <c r="IB241" s="49"/>
      <c r="IC241" s="49"/>
      <c r="ID241" s="49"/>
      <c r="IE241" s="49"/>
      <c r="IF241" s="49"/>
      <c r="IG241" s="49"/>
      <c r="IH241" s="49"/>
      <c r="II241" s="49"/>
      <c r="IJ241" s="49"/>
      <c r="IK241" s="49"/>
      <c r="IL241" s="49"/>
      <c r="IM241" s="49"/>
      <c r="IN241" s="49"/>
      <c r="IO241" s="49"/>
      <c r="IP241" s="49"/>
      <c r="IQ241" s="49"/>
      <c r="IR241" s="49"/>
      <c r="IS241" s="49"/>
      <c r="IT241" s="49"/>
      <c r="IU241" s="49"/>
      <c r="IV241" s="49"/>
    </row>
    <row r="242" spans="1:256" s="198" customFormat="1" ht="12" customHeight="1">
      <c r="A242" s="1252"/>
      <c r="B242" s="200"/>
      <c r="C242" s="486"/>
      <c r="D242" s="201"/>
      <c r="E242" s="202"/>
      <c r="F242" s="203"/>
      <c r="G242" s="197"/>
      <c r="H242" s="197"/>
      <c r="I242" s="197"/>
      <c r="J242" s="197"/>
      <c r="K242" s="175"/>
      <c r="L242" s="197"/>
      <c r="M242" s="197"/>
      <c r="N242" s="197"/>
      <c r="O242" s="197"/>
      <c r="P242" s="197"/>
      <c r="Q242" s="1198"/>
      <c r="R242" s="202"/>
      <c r="S242" s="202"/>
      <c r="T242" s="1186"/>
      <c r="U242" s="233"/>
      <c r="V242" s="49"/>
      <c r="W242" s="218"/>
      <c r="X242" s="218"/>
      <c r="Y242" s="216"/>
      <c r="Z242" s="216"/>
      <c r="AA242" s="215"/>
      <c r="AB242" s="216"/>
      <c r="AC242" s="216"/>
      <c r="AD242" s="239"/>
      <c r="AE242" s="216"/>
      <c r="AF242" s="216"/>
      <c r="AG242" s="216"/>
      <c r="AH242" s="216"/>
      <c r="AI242" s="216"/>
      <c r="AJ242" s="216"/>
      <c r="AK242" s="239"/>
      <c r="AL242" s="216"/>
      <c r="AM242" s="216"/>
      <c r="AN242" s="216"/>
      <c r="AO242" s="216"/>
      <c r="AP242" s="216"/>
      <c r="AQ242" s="216"/>
      <c r="AR242" s="216"/>
      <c r="AS242" s="216"/>
      <c r="AT242" s="216"/>
      <c r="AU242" s="216"/>
      <c r="AV242" s="217"/>
      <c r="AW242" s="355"/>
      <c r="AX242" s="217"/>
      <c r="AY242" s="1559"/>
      <c r="AZ242" s="249"/>
      <c r="BA242" s="221"/>
      <c r="BB242" s="300"/>
      <c r="BC242" s="217"/>
      <c r="BD242" s="392"/>
      <c r="BE242" s="1244"/>
      <c r="BF242" s="249"/>
      <c r="BG242" s="252"/>
      <c r="BH242" s="1469"/>
      <c r="BI242" s="216"/>
      <c r="BJ242" s="1469"/>
      <c r="BK242" s="1459"/>
      <c r="BL242" s="260"/>
      <c r="BM242" s="214"/>
      <c r="BN242" s="293"/>
      <c r="BO242" s="217"/>
      <c r="BP242" s="355"/>
      <c r="BQ242" s="217"/>
      <c r="BR242" s="1193"/>
      <c r="BS242" s="249"/>
      <c r="BT242" s="216"/>
      <c r="BU242" s="1195"/>
      <c r="BV242" s="249"/>
      <c r="BW242" s="216"/>
      <c r="BX242" s="1195"/>
      <c r="BY242" s="249"/>
      <c r="BZ242" s="216"/>
      <c r="CA242" s="1195"/>
      <c r="CB242" s="249"/>
      <c r="CC242" s="216"/>
      <c r="CD242" s="1195"/>
      <c r="CE242" s="249"/>
      <c r="CF242" s="216"/>
      <c r="CG242" s="1195"/>
      <c r="CH242" s="249"/>
      <c r="CI242" s="216"/>
      <c r="CJ242" s="1195"/>
      <c r="CK242" s="249"/>
      <c r="CL242" s="216"/>
      <c r="CM242" s="1194"/>
      <c r="CN242" s="1524"/>
      <c r="CO242" s="217"/>
      <c r="CP242" s="1193"/>
      <c r="CQ242" s="293"/>
      <c r="CR242" s="217"/>
      <c r="CS242" s="305"/>
      <c r="CT242" s="249"/>
      <c r="CU242" s="216"/>
      <c r="CV242" s="1193"/>
      <c r="CW242" s="249"/>
      <c r="CX242" s="216"/>
      <c r="CY242" s="305"/>
      <c r="CZ242" s="249"/>
      <c r="DA242" s="216"/>
      <c r="DB242" s="307"/>
      <c r="DC242" s="328"/>
      <c r="DD242" s="322"/>
      <c r="DE242" s="305"/>
      <c r="DF242" s="249"/>
      <c r="DG242" s="216"/>
      <c r="DH242" s="305"/>
      <c r="DI242" s="249"/>
      <c r="DJ242" s="216"/>
      <c r="DK242" s="309"/>
      <c r="DL242" s="293"/>
      <c r="DM242" s="326"/>
      <c r="DN242" s="1256"/>
      <c r="DO242" s="214"/>
      <c r="DP242" s="1257"/>
      <c r="DQ242" s="1258"/>
      <c r="DR242" s="305"/>
      <c r="DS242" s="249"/>
      <c r="DT242" s="216"/>
      <c r="DU242" s="305"/>
      <c r="DV242" s="2520"/>
      <c r="DW242" s="2521"/>
      <c r="DX242" s="305"/>
      <c r="DY242" s="249"/>
      <c r="DZ242" s="221"/>
      <c r="EA242" s="388"/>
      <c r="EB242" s="249"/>
      <c r="EC242" s="216"/>
      <c r="ED242" s="1461"/>
      <c r="EE242" s="249"/>
      <c r="EF242" s="216"/>
      <c r="EG242" s="355"/>
      <c r="EH242" s="1425"/>
      <c r="EI242" s="1470"/>
      <c r="EJ242" s="249"/>
      <c r="EK242" s="221"/>
      <c r="EL242" s="313"/>
      <c r="EM242" s="249"/>
      <c r="EN242" s="221"/>
      <c r="EO242" s="313"/>
      <c r="EP242" s="249"/>
      <c r="EQ242" s="216"/>
      <c r="ER242" s="313"/>
      <c r="ES242" s="249"/>
      <c r="ET242" s="216"/>
      <c r="EU242" s="313"/>
      <c r="EV242" s="249"/>
      <c r="EW242" s="216"/>
      <c r="EX242" s="2505"/>
      <c r="EY242" s="249"/>
      <c r="EZ242" s="221"/>
      <c r="FA242" s="313"/>
      <c r="FB242" s="249"/>
      <c r="FC242" s="221"/>
      <c r="FD242" s="313"/>
      <c r="FE242" s="249"/>
      <c r="FF242" s="221"/>
      <c r="FG242" s="313"/>
      <c r="FH242" s="249"/>
      <c r="FI242" s="216"/>
      <c r="FJ242" s="1435"/>
      <c r="FK242" s="216"/>
      <c r="FL242" s="1268"/>
      <c r="FM242" s="1655"/>
      <c r="FN242" s="1268"/>
      <c r="FO242" s="1655"/>
      <c r="FP242" s="1268"/>
      <c r="FQ242" s="1656"/>
      <c r="FR242" s="249"/>
      <c r="FS242" s="216"/>
      <c r="FT242" s="1657"/>
      <c r="FU242" s="1658"/>
      <c r="FV242" s="242"/>
      <c r="FW242" s="343"/>
      <c r="FX242" s="222"/>
      <c r="FY242" s="336"/>
      <c r="FZ242" s="223"/>
      <c r="GA242" s="338"/>
      <c r="GB242" s="204"/>
      <c r="GC242" s="339"/>
      <c r="GD242" s="342"/>
      <c r="GE242" s="199"/>
      <c r="GF242" s="199"/>
      <c r="GG242" s="199"/>
      <c r="GH242" s="199"/>
      <c r="GI242" s="199"/>
      <c r="GJ242" s="199"/>
      <c r="GK242" s="199"/>
      <c r="GL242" s="49"/>
      <c r="GM242" s="28"/>
      <c r="GN242" s="28"/>
      <c r="GO242" s="322"/>
      <c r="GP242" s="1190"/>
      <c r="GQ242" s="1190"/>
      <c r="GR242" s="49"/>
      <c r="GS242" s="2879"/>
      <c r="GT242" s="2880"/>
      <c r="GU242" s="2881"/>
      <c r="GV242" s="49"/>
      <c r="GW242" s="49"/>
      <c r="GX242" s="49"/>
      <c r="GY242" s="49"/>
      <c r="GZ242" s="49"/>
      <c r="HA242" s="49"/>
      <c r="HB242" s="49"/>
      <c r="HC242" s="49"/>
      <c r="HD242" s="49"/>
      <c r="HE242" s="49"/>
      <c r="HF242" s="49"/>
      <c r="HG242" s="49"/>
      <c r="HH242" s="49"/>
      <c r="HI242" s="49"/>
      <c r="HJ242" s="49"/>
      <c r="HK242" s="49"/>
      <c r="HL242" s="49"/>
      <c r="HM242" s="49"/>
      <c r="HN242" s="49"/>
      <c r="HO242" s="49"/>
      <c r="HP242" s="49"/>
      <c r="HQ242" s="49"/>
      <c r="HR242" s="49"/>
      <c r="HS242" s="49"/>
      <c r="HT242" s="49"/>
      <c r="HU242" s="49"/>
      <c r="HV242" s="49"/>
      <c r="HW242" s="49"/>
      <c r="HX242" s="49"/>
      <c r="HY242" s="49"/>
      <c r="HZ242" s="49"/>
      <c r="IA242" s="49"/>
      <c r="IB242" s="49"/>
      <c r="IC242" s="49"/>
      <c r="ID242" s="49"/>
      <c r="IE242" s="49"/>
      <c r="IF242" s="49"/>
      <c r="IG242" s="49"/>
      <c r="IH242" s="49"/>
      <c r="II242" s="49"/>
      <c r="IJ242" s="49"/>
      <c r="IK242" s="49"/>
      <c r="IL242" s="49"/>
      <c r="IM242" s="49"/>
      <c r="IN242" s="49"/>
      <c r="IO242" s="49"/>
      <c r="IP242" s="49"/>
      <c r="IQ242" s="49"/>
      <c r="IR242" s="49"/>
      <c r="IS242" s="49"/>
      <c r="IT242" s="49"/>
      <c r="IU242" s="49"/>
      <c r="IV242" s="49"/>
    </row>
    <row r="243" spans="1:256" s="198" customFormat="1" ht="12" customHeight="1">
      <c r="A243" s="1252"/>
      <c r="B243" s="200"/>
      <c r="C243" s="486"/>
      <c r="D243" s="201"/>
      <c r="E243" s="202"/>
      <c r="F243" s="203"/>
      <c r="G243" s="197"/>
      <c r="H243" s="197"/>
      <c r="I243" s="197"/>
      <c r="J243" s="197"/>
      <c r="K243" s="175"/>
      <c r="L243" s="197"/>
      <c r="M243" s="197"/>
      <c r="N243" s="197"/>
      <c r="O243" s="197"/>
      <c r="P243" s="197"/>
      <c r="Q243" s="1198"/>
      <c r="R243" s="202"/>
      <c r="S243" s="202"/>
      <c r="T243" s="1186"/>
      <c r="U243" s="233"/>
      <c r="V243" s="49"/>
      <c r="W243" s="218"/>
      <c r="X243" s="218"/>
      <c r="Y243" s="216"/>
      <c r="Z243" s="216"/>
      <c r="AA243" s="215"/>
      <c r="AB243" s="216"/>
      <c r="AC243" s="216"/>
      <c r="AD243" s="239"/>
      <c r="AE243" s="216"/>
      <c r="AF243" s="216"/>
      <c r="AG243" s="216"/>
      <c r="AH243" s="216"/>
      <c r="AI243" s="216"/>
      <c r="AJ243" s="216"/>
      <c r="AK243" s="239"/>
      <c r="AL243" s="216"/>
      <c r="AM243" s="216"/>
      <c r="AN243" s="216"/>
      <c r="AO243" s="216"/>
      <c r="AP243" s="216"/>
      <c r="AQ243" s="216"/>
      <c r="AR243" s="216"/>
      <c r="AS243" s="216"/>
      <c r="AT243" s="216"/>
      <c r="AU243" s="216"/>
      <c r="AV243" s="217"/>
      <c r="AW243" s="355"/>
      <c r="AX243" s="217"/>
      <c r="AY243" s="1559"/>
      <c r="AZ243" s="249"/>
      <c r="BA243" s="221"/>
      <c r="BB243" s="300"/>
      <c r="BC243" s="217"/>
      <c r="BD243" s="392"/>
      <c r="BE243" s="1244"/>
      <c r="BF243" s="249"/>
      <c r="BG243" s="252"/>
      <c r="BH243" s="1469"/>
      <c r="BI243" s="216"/>
      <c r="BJ243" s="1469"/>
      <c r="BK243" s="1459"/>
      <c r="BL243" s="260"/>
      <c r="BM243" s="214"/>
      <c r="BN243" s="293"/>
      <c r="BO243" s="217"/>
      <c r="BP243" s="355"/>
      <c r="BQ243" s="217"/>
      <c r="BR243" s="1193"/>
      <c r="BS243" s="249"/>
      <c r="BT243" s="216"/>
      <c r="BU243" s="1195"/>
      <c r="BV243" s="249"/>
      <c r="BW243" s="216"/>
      <c r="BX243" s="1195"/>
      <c r="BY243" s="249"/>
      <c r="BZ243" s="216"/>
      <c r="CA243" s="1195"/>
      <c r="CB243" s="249"/>
      <c r="CC243" s="216"/>
      <c r="CD243" s="1195"/>
      <c r="CE243" s="249"/>
      <c r="CF243" s="216"/>
      <c r="CG243" s="1195"/>
      <c r="CH243" s="249"/>
      <c r="CI243" s="216"/>
      <c r="CJ243" s="1195"/>
      <c r="CK243" s="249"/>
      <c r="CL243" s="216"/>
      <c r="CM243" s="1194"/>
      <c r="CN243" s="1524"/>
      <c r="CO243" s="217"/>
      <c r="CP243" s="1193"/>
      <c r="CQ243" s="293"/>
      <c r="CR243" s="217"/>
      <c r="CS243" s="305"/>
      <c r="CT243" s="249"/>
      <c r="CU243" s="216"/>
      <c r="CV243" s="1193"/>
      <c r="CW243" s="249"/>
      <c r="CX243" s="216"/>
      <c r="CY243" s="305"/>
      <c r="CZ243" s="249"/>
      <c r="DA243" s="216"/>
      <c r="DB243" s="307"/>
      <c r="DC243" s="328"/>
      <c r="DD243" s="322"/>
      <c r="DE243" s="305"/>
      <c r="DF243" s="249"/>
      <c r="DG243" s="216"/>
      <c r="DH243" s="305"/>
      <c r="DI243" s="249"/>
      <c r="DJ243" s="216"/>
      <c r="DK243" s="309"/>
      <c r="DL243" s="293"/>
      <c r="DM243" s="326"/>
      <c r="DN243" s="1256"/>
      <c r="DO243" s="214"/>
      <c r="DP243" s="1257"/>
      <c r="DQ243" s="1258"/>
      <c r="DR243" s="305"/>
      <c r="DS243" s="249"/>
      <c r="DT243" s="216"/>
      <c r="DU243" s="305"/>
      <c r="DV243" s="2520"/>
      <c r="DW243" s="2521"/>
      <c r="DX243" s="305"/>
      <c r="DY243" s="249"/>
      <c r="DZ243" s="221"/>
      <c r="EA243" s="388"/>
      <c r="EB243" s="249"/>
      <c r="EC243" s="216"/>
      <c r="ED243" s="1461"/>
      <c r="EE243" s="249"/>
      <c r="EF243" s="216"/>
      <c r="EG243" s="355"/>
      <c r="EH243" s="1425"/>
      <c r="EI243" s="1470"/>
      <c r="EJ243" s="249"/>
      <c r="EK243" s="221"/>
      <c r="EL243" s="313"/>
      <c r="EM243" s="249"/>
      <c r="EN243" s="221"/>
      <c r="EO243" s="313"/>
      <c r="EP243" s="249"/>
      <c r="EQ243" s="216"/>
      <c r="ER243" s="313"/>
      <c r="ES243" s="249"/>
      <c r="ET243" s="216"/>
      <c r="EU243" s="313"/>
      <c r="EV243" s="249"/>
      <c r="EW243" s="216"/>
      <c r="EX243" s="2505"/>
      <c r="EY243" s="249"/>
      <c r="EZ243" s="221"/>
      <c r="FA243" s="313"/>
      <c r="FB243" s="249"/>
      <c r="FC243" s="221"/>
      <c r="FD243" s="313"/>
      <c r="FE243" s="249"/>
      <c r="FF243" s="221"/>
      <c r="FG243" s="313"/>
      <c r="FH243" s="249"/>
      <c r="FI243" s="216"/>
      <c r="FJ243" s="1435"/>
      <c r="FK243" s="216"/>
      <c r="FL243" s="1268"/>
      <c r="FM243" s="1655"/>
      <c r="FN243" s="1268"/>
      <c r="FO243" s="1655"/>
      <c r="FP243" s="1268"/>
      <c r="FQ243" s="1656"/>
      <c r="FR243" s="249"/>
      <c r="FS243" s="216"/>
      <c r="FT243" s="1657"/>
      <c r="FU243" s="1658"/>
      <c r="FV243" s="242"/>
      <c r="FW243" s="343"/>
      <c r="FX243" s="222"/>
      <c r="FY243" s="336"/>
      <c r="FZ243" s="223"/>
      <c r="GA243" s="338"/>
      <c r="GB243" s="204"/>
      <c r="GC243" s="339"/>
      <c r="GD243" s="342"/>
      <c r="GE243" s="199"/>
      <c r="GF243" s="199"/>
      <c r="GG243" s="199"/>
      <c r="GH243" s="199"/>
      <c r="GI243" s="199"/>
      <c r="GJ243" s="199"/>
      <c r="GK243" s="199"/>
      <c r="GL243" s="49"/>
      <c r="GM243" s="28"/>
      <c r="GN243" s="28"/>
      <c r="GO243" s="322"/>
      <c r="GP243" s="1190"/>
      <c r="GQ243" s="1190"/>
      <c r="GR243" s="49"/>
      <c r="GS243" s="2879"/>
      <c r="GT243" s="2880"/>
      <c r="GU243" s="2881"/>
      <c r="GV243" s="49"/>
      <c r="GW243" s="49"/>
      <c r="GX243" s="49"/>
      <c r="GY243" s="49"/>
      <c r="GZ243" s="49"/>
      <c r="HA243" s="49"/>
      <c r="HB243" s="49"/>
      <c r="HC243" s="49"/>
      <c r="HD243" s="49"/>
      <c r="HE243" s="49"/>
      <c r="HF243" s="49"/>
      <c r="HG243" s="49"/>
      <c r="HH243" s="49"/>
      <c r="HI243" s="49"/>
      <c r="HJ243" s="49"/>
      <c r="HK243" s="49"/>
      <c r="HL243" s="49"/>
      <c r="HM243" s="49"/>
      <c r="HN243" s="49"/>
      <c r="HO243" s="49"/>
      <c r="HP243" s="49"/>
      <c r="HQ243" s="49"/>
      <c r="HR243" s="49"/>
      <c r="HS243" s="49"/>
      <c r="HT243" s="49"/>
      <c r="HU243" s="49"/>
      <c r="HV243" s="49"/>
      <c r="HW243" s="49"/>
      <c r="HX243" s="49"/>
      <c r="HY243" s="49"/>
      <c r="HZ243" s="49"/>
      <c r="IA243" s="49"/>
      <c r="IB243" s="49"/>
      <c r="IC243" s="49"/>
      <c r="ID243" s="49"/>
      <c r="IE243" s="49"/>
      <c r="IF243" s="49"/>
      <c r="IG243" s="49"/>
      <c r="IH243" s="49"/>
      <c r="II243" s="49"/>
      <c r="IJ243" s="49"/>
      <c r="IK243" s="49"/>
      <c r="IL243" s="49"/>
      <c r="IM243" s="49"/>
      <c r="IN243" s="49"/>
      <c r="IO243" s="49"/>
      <c r="IP243" s="49"/>
      <c r="IQ243" s="49"/>
      <c r="IR243" s="49"/>
      <c r="IS243" s="49"/>
      <c r="IT243" s="49"/>
      <c r="IU243" s="49"/>
      <c r="IV243" s="49"/>
    </row>
    <row r="244" spans="1:256" s="198" customFormat="1" ht="12" customHeight="1">
      <c r="A244" s="1252"/>
      <c r="B244" s="200"/>
      <c r="C244" s="486"/>
      <c r="D244" s="201"/>
      <c r="E244" s="202"/>
      <c r="F244" s="203"/>
      <c r="G244" s="197"/>
      <c r="H244" s="197"/>
      <c r="I244" s="197"/>
      <c r="J244" s="197"/>
      <c r="K244" s="175"/>
      <c r="L244" s="197"/>
      <c r="M244" s="197"/>
      <c r="N244" s="197"/>
      <c r="O244" s="197"/>
      <c r="P244" s="197"/>
      <c r="Q244" s="1198"/>
      <c r="R244" s="202"/>
      <c r="S244" s="202"/>
      <c r="T244" s="1186"/>
      <c r="U244" s="233"/>
      <c r="V244" s="49"/>
      <c r="W244" s="218"/>
      <c r="X244" s="218"/>
      <c r="Y244" s="216"/>
      <c r="Z244" s="216"/>
      <c r="AA244" s="215"/>
      <c r="AB244" s="216"/>
      <c r="AC244" s="216"/>
      <c r="AD244" s="239"/>
      <c r="AE244" s="216"/>
      <c r="AF244" s="216"/>
      <c r="AG244" s="216"/>
      <c r="AH244" s="216"/>
      <c r="AI244" s="216"/>
      <c r="AJ244" s="216"/>
      <c r="AK244" s="239"/>
      <c r="AL244" s="216"/>
      <c r="AM244" s="216"/>
      <c r="AN244" s="216"/>
      <c r="AO244" s="216"/>
      <c r="AP244" s="216"/>
      <c r="AQ244" s="216"/>
      <c r="AR244" s="216"/>
      <c r="AS244" s="216"/>
      <c r="AT244" s="216"/>
      <c r="AU244" s="216"/>
      <c r="AV244" s="217"/>
      <c r="AW244" s="355"/>
      <c r="AX244" s="217"/>
      <c r="AY244" s="1559"/>
      <c r="AZ244" s="249"/>
      <c r="BA244" s="221"/>
      <c r="BB244" s="300"/>
      <c r="BC244" s="217"/>
      <c r="BD244" s="392"/>
      <c r="BE244" s="1244"/>
      <c r="BF244" s="249"/>
      <c r="BG244" s="252"/>
      <c r="BH244" s="1469"/>
      <c r="BI244" s="216"/>
      <c r="BJ244" s="1469"/>
      <c r="BK244" s="1459"/>
      <c r="BL244" s="260"/>
      <c r="BM244" s="214"/>
      <c r="BN244" s="293"/>
      <c r="BO244" s="217"/>
      <c r="BP244" s="355"/>
      <c r="BQ244" s="217"/>
      <c r="BR244" s="1193"/>
      <c r="BS244" s="249"/>
      <c r="BT244" s="216"/>
      <c r="BU244" s="1195"/>
      <c r="BV244" s="249"/>
      <c r="BW244" s="216"/>
      <c r="BX244" s="1195"/>
      <c r="BY244" s="249"/>
      <c r="BZ244" s="216"/>
      <c r="CA244" s="1195"/>
      <c r="CB244" s="249"/>
      <c r="CC244" s="216"/>
      <c r="CD244" s="1195"/>
      <c r="CE244" s="249"/>
      <c r="CF244" s="216"/>
      <c r="CG244" s="1195"/>
      <c r="CH244" s="249"/>
      <c r="CI244" s="216"/>
      <c r="CJ244" s="1195"/>
      <c r="CK244" s="249"/>
      <c r="CL244" s="216"/>
      <c r="CM244" s="1194"/>
      <c r="CN244" s="1524"/>
      <c r="CO244" s="217"/>
      <c r="CP244" s="1193"/>
      <c r="CQ244" s="293"/>
      <c r="CR244" s="217"/>
      <c r="CS244" s="305"/>
      <c r="CT244" s="249"/>
      <c r="CU244" s="216"/>
      <c r="CV244" s="1193"/>
      <c r="CW244" s="249"/>
      <c r="CX244" s="216"/>
      <c r="CY244" s="305"/>
      <c r="CZ244" s="249"/>
      <c r="DA244" s="216"/>
      <c r="DB244" s="307"/>
      <c r="DC244" s="328"/>
      <c r="DD244" s="322"/>
      <c r="DE244" s="305"/>
      <c r="DF244" s="249"/>
      <c r="DG244" s="216"/>
      <c r="DH244" s="305"/>
      <c r="DI244" s="249"/>
      <c r="DJ244" s="216"/>
      <c r="DK244" s="309"/>
      <c r="DL244" s="293"/>
      <c r="DM244" s="326"/>
      <c r="DN244" s="1256"/>
      <c r="DO244" s="214"/>
      <c r="DP244" s="1257"/>
      <c r="DQ244" s="1258"/>
      <c r="DR244" s="305"/>
      <c r="DS244" s="249"/>
      <c r="DT244" s="216"/>
      <c r="DU244" s="305"/>
      <c r="DV244" s="2520"/>
      <c r="DW244" s="2521"/>
      <c r="DX244" s="305"/>
      <c r="DY244" s="249"/>
      <c r="DZ244" s="221"/>
      <c r="EA244" s="388"/>
      <c r="EB244" s="249"/>
      <c r="EC244" s="216"/>
      <c r="ED244" s="1461"/>
      <c r="EE244" s="249"/>
      <c r="EF244" s="216"/>
      <c r="EG244" s="355"/>
      <c r="EH244" s="1425"/>
      <c r="EI244" s="1470"/>
      <c r="EJ244" s="249"/>
      <c r="EK244" s="221"/>
      <c r="EL244" s="313"/>
      <c r="EM244" s="249"/>
      <c r="EN244" s="221"/>
      <c r="EO244" s="313"/>
      <c r="EP244" s="249"/>
      <c r="EQ244" s="216"/>
      <c r="ER244" s="313"/>
      <c r="ES244" s="249"/>
      <c r="ET244" s="216"/>
      <c r="EU244" s="313"/>
      <c r="EV244" s="249"/>
      <c r="EW244" s="216"/>
      <c r="EX244" s="2505"/>
      <c r="EY244" s="249"/>
      <c r="EZ244" s="221"/>
      <c r="FA244" s="313"/>
      <c r="FB244" s="249"/>
      <c r="FC244" s="221"/>
      <c r="FD244" s="313"/>
      <c r="FE244" s="249"/>
      <c r="FF244" s="221"/>
      <c r="FG244" s="313"/>
      <c r="FH244" s="249"/>
      <c r="FI244" s="216"/>
      <c r="FJ244" s="1435"/>
      <c r="FK244" s="216"/>
      <c r="FL244" s="1268"/>
      <c r="FM244" s="1655"/>
      <c r="FN244" s="1268"/>
      <c r="FO244" s="1655"/>
      <c r="FP244" s="1268"/>
      <c r="FQ244" s="1656"/>
      <c r="FR244" s="249"/>
      <c r="FS244" s="216"/>
      <c r="FT244" s="1657"/>
      <c r="FU244" s="1658"/>
      <c r="FV244" s="242"/>
      <c r="FW244" s="343"/>
      <c r="FX244" s="222"/>
      <c r="FY244" s="336"/>
      <c r="FZ244" s="223"/>
      <c r="GA244" s="338"/>
      <c r="GB244" s="204"/>
      <c r="GC244" s="339"/>
      <c r="GD244" s="342"/>
      <c r="GE244" s="199"/>
      <c r="GF244" s="199"/>
      <c r="GG244" s="199"/>
      <c r="GH244" s="199"/>
      <c r="GI244" s="199"/>
      <c r="GJ244" s="199"/>
      <c r="GK244" s="199"/>
      <c r="GL244" s="49"/>
      <c r="GM244" s="28"/>
      <c r="GN244" s="28"/>
      <c r="GO244" s="322"/>
      <c r="GP244" s="1190"/>
      <c r="GQ244" s="1190"/>
      <c r="GR244" s="49"/>
      <c r="GS244" s="2879"/>
      <c r="GT244" s="2880"/>
      <c r="GU244" s="2881"/>
      <c r="GV244" s="49"/>
      <c r="GW244" s="49"/>
      <c r="GX244" s="49"/>
      <c r="GY244" s="49"/>
      <c r="GZ244" s="49"/>
      <c r="HA244" s="49"/>
      <c r="HB244" s="49"/>
      <c r="HC244" s="49"/>
      <c r="HD244" s="49"/>
      <c r="HE244" s="49"/>
      <c r="HF244" s="49"/>
      <c r="HG244" s="49"/>
      <c r="HH244" s="49"/>
      <c r="HI244" s="49"/>
      <c r="HJ244" s="49"/>
      <c r="HK244" s="49"/>
      <c r="HL244" s="49"/>
      <c r="HM244" s="49"/>
      <c r="HN244" s="49"/>
      <c r="HO244" s="49"/>
      <c r="HP244" s="49"/>
      <c r="HQ244" s="49"/>
      <c r="HR244" s="49"/>
      <c r="HS244" s="49"/>
      <c r="HT244" s="49"/>
      <c r="HU244" s="49"/>
      <c r="HV244" s="49"/>
      <c r="HW244" s="49"/>
      <c r="HX244" s="49"/>
      <c r="HY244" s="49"/>
      <c r="HZ244" s="49"/>
      <c r="IA244" s="49"/>
      <c r="IB244" s="49"/>
      <c r="IC244" s="49"/>
      <c r="ID244" s="49"/>
      <c r="IE244" s="49"/>
      <c r="IF244" s="49"/>
      <c r="IG244" s="49"/>
      <c r="IH244" s="49"/>
      <c r="II244" s="49"/>
      <c r="IJ244" s="49"/>
      <c r="IK244" s="49"/>
      <c r="IL244" s="49"/>
      <c r="IM244" s="49"/>
      <c r="IN244" s="49"/>
      <c r="IO244" s="49"/>
      <c r="IP244" s="49"/>
      <c r="IQ244" s="49"/>
      <c r="IR244" s="49"/>
      <c r="IS244" s="49"/>
      <c r="IT244" s="49"/>
      <c r="IU244" s="49"/>
      <c r="IV244" s="49"/>
    </row>
    <row r="245" spans="1:256" s="198" customFormat="1" ht="12" customHeight="1">
      <c r="A245" s="1252"/>
      <c r="B245" s="200"/>
      <c r="C245" s="486"/>
      <c r="D245" s="201"/>
      <c r="E245" s="202"/>
      <c r="F245" s="203"/>
      <c r="G245" s="197"/>
      <c r="H245" s="197"/>
      <c r="I245" s="197"/>
      <c r="J245" s="197"/>
      <c r="K245" s="175"/>
      <c r="L245" s="197"/>
      <c r="M245" s="197"/>
      <c r="N245" s="197"/>
      <c r="O245" s="197"/>
      <c r="P245" s="197"/>
      <c r="Q245" s="1198"/>
      <c r="R245" s="202"/>
      <c r="S245" s="202"/>
      <c r="T245" s="1186"/>
      <c r="U245" s="233"/>
      <c r="V245" s="49"/>
      <c r="W245" s="218"/>
      <c r="X245" s="218"/>
      <c r="Y245" s="216"/>
      <c r="Z245" s="216"/>
      <c r="AA245" s="215"/>
      <c r="AB245" s="216"/>
      <c r="AC245" s="216"/>
      <c r="AD245" s="239"/>
      <c r="AE245" s="216"/>
      <c r="AF245" s="216"/>
      <c r="AG245" s="216"/>
      <c r="AH245" s="216"/>
      <c r="AI245" s="216"/>
      <c r="AJ245" s="216"/>
      <c r="AK245" s="239"/>
      <c r="AL245" s="216"/>
      <c r="AM245" s="216"/>
      <c r="AN245" s="216"/>
      <c r="AO245" s="216"/>
      <c r="AP245" s="216"/>
      <c r="AQ245" s="216"/>
      <c r="AR245" s="216"/>
      <c r="AS245" s="216"/>
      <c r="AT245" s="216"/>
      <c r="AU245" s="216"/>
      <c r="AV245" s="217"/>
      <c r="AW245" s="355"/>
      <c r="AX245" s="217"/>
      <c r="AY245" s="1559"/>
      <c r="AZ245" s="249"/>
      <c r="BA245" s="221"/>
      <c r="BB245" s="300"/>
      <c r="BC245" s="217"/>
      <c r="BD245" s="392"/>
      <c r="BE245" s="1244"/>
      <c r="BF245" s="249"/>
      <c r="BG245" s="252"/>
      <c r="BH245" s="1469"/>
      <c r="BI245" s="216"/>
      <c r="BJ245" s="1469"/>
      <c r="BK245" s="1459"/>
      <c r="BL245" s="260"/>
      <c r="BM245" s="214"/>
      <c r="BN245" s="293"/>
      <c r="BO245" s="217"/>
      <c r="BP245" s="355"/>
      <c r="BQ245" s="217"/>
      <c r="BR245" s="1193"/>
      <c r="BS245" s="249"/>
      <c r="BT245" s="216"/>
      <c r="BU245" s="1195"/>
      <c r="BV245" s="249"/>
      <c r="BW245" s="216"/>
      <c r="BX245" s="1195"/>
      <c r="BY245" s="249"/>
      <c r="BZ245" s="216"/>
      <c r="CA245" s="1195"/>
      <c r="CB245" s="249"/>
      <c r="CC245" s="216"/>
      <c r="CD245" s="1195"/>
      <c r="CE245" s="249"/>
      <c r="CF245" s="216"/>
      <c r="CG245" s="1195"/>
      <c r="CH245" s="249"/>
      <c r="CI245" s="216"/>
      <c r="CJ245" s="1195"/>
      <c r="CK245" s="249"/>
      <c r="CL245" s="216"/>
      <c r="CM245" s="1194"/>
      <c r="CN245" s="1524"/>
      <c r="CO245" s="217"/>
      <c r="CP245" s="1193"/>
      <c r="CQ245" s="293"/>
      <c r="CR245" s="217"/>
      <c r="CS245" s="305"/>
      <c r="CT245" s="249"/>
      <c r="CU245" s="216"/>
      <c r="CV245" s="1193"/>
      <c r="CW245" s="249"/>
      <c r="CX245" s="216"/>
      <c r="CY245" s="305"/>
      <c r="CZ245" s="249"/>
      <c r="DA245" s="216"/>
      <c r="DB245" s="307"/>
      <c r="DC245" s="328"/>
      <c r="DD245" s="322"/>
      <c r="DE245" s="305"/>
      <c r="DF245" s="249"/>
      <c r="DG245" s="216"/>
      <c r="DH245" s="305"/>
      <c r="DI245" s="249"/>
      <c r="DJ245" s="216"/>
      <c r="DK245" s="309"/>
      <c r="DL245" s="293"/>
      <c r="DM245" s="326"/>
      <c r="DN245" s="1256"/>
      <c r="DO245" s="214"/>
      <c r="DP245" s="1257"/>
      <c r="DQ245" s="1258"/>
      <c r="DR245" s="305"/>
      <c r="DS245" s="249"/>
      <c r="DT245" s="216"/>
      <c r="DU245" s="305"/>
      <c r="DV245" s="2520"/>
      <c r="DW245" s="2521"/>
      <c r="DX245" s="305"/>
      <c r="DY245" s="249"/>
      <c r="DZ245" s="221"/>
      <c r="EA245" s="388"/>
      <c r="EB245" s="249"/>
      <c r="EC245" s="216"/>
      <c r="ED245" s="1461"/>
      <c r="EE245" s="249"/>
      <c r="EF245" s="216"/>
      <c r="EG245" s="355"/>
      <c r="EH245" s="1425"/>
      <c r="EI245" s="1470"/>
      <c r="EJ245" s="249"/>
      <c r="EK245" s="221"/>
      <c r="EL245" s="313"/>
      <c r="EM245" s="249"/>
      <c r="EN245" s="221"/>
      <c r="EO245" s="313"/>
      <c r="EP245" s="249"/>
      <c r="EQ245" s="216"/>
      <c r="ER245" s="313"/>
      <c r="ES245" s="249"/>
      <c r="ET245" s="216"/>
      <c r="EU245" s="313"/>
      <c r="EV245" s="249"/>
      <c r="EW245" s="216"/>
      <c r="EX245" s="2505"/>
      <c r="EY245" s="249"/>
      <c r="EZ245" s="221"/>
      <c r="FA245" s="313"/>
      <c r="FB245" s="249"/>
      <c r="FC245" s="221"/>
      <c r="FD245" s="313"/>
      <c r="FE245" s="249"/>
      <c r="FF245" s="221"/>
      <c r="FG245" s="313"/>
      <c r="FH245" s="249"/>
      <c r="FI245" s="216"/>
      <c r="FJ245" s="1435"/>
      <c r="FK245" s="216"/>
      <c r="FL245" s="1268"/>
      <c r="FM245" s="1655"/>
      <c r="FN245" s="1268"/>
      <c r="FO245" s="1655"/>
      <c r="FP245" s="1268"/>
      <c r="FQ245" s="1656"/>
      <c r="FR245" s="249"/>
      <c r="FS245" s="216"/>
      <c r="FT245" s="1657"/>
      <c r="FU245" s="1658"/>
      <c r="FV245" s="242"/>
      <c r="FW245" s="343"/>
      <c r="FX245" s="222"/>
      <c r="FY245" s="336"/>
      <c r="FZ245" s="223"/>
      <c r="GA245" s="338"/>
      <c r="GB245" s="204"/>
      <c r="GC245" s="339"/>
      <c r="GD245" s="342"/>
      <c r="GE245" s="199"/>
      <c r="GF245" s="199"/>
      <c r="GG245" s="199"/>
      <c r="GH245" s="199"/>
      <c r="GI245" s="199"/>
      <c r="GJ245" s="199"/>
      <c r="GK245" s="199"/>
      <c r="GL245" s="49"/>
      <c r="GM245" s="28"/>
      <c r="GN245" s="28"/>
      <c r="GO245" s="322"/>
      <c r="GP245" s="1190"/>
      <c r="GQ245" s="1190"/>
      <c r="GR245" s="49"/>
      <c r="GS245" s="2879"/>
      <c r="GT245" s="2880"/>
      <c r="GU245" s="2881"/>
      <c r="GV245" s="49"/>
      <c r="GW245" s="49"/>
      <c r="GX245" s="49"/>
      <c r="GY245" s="49"/>
      <c r="GZ245" s="49"/>
      <c r="HA245" s="49"/>
      <c r="HB245" s="49"/>
      <c r="HC245" s="49"/>
      <c r="HD245" s="49"/>
      <c r="HE245" s="49"/>
      <c r="HF245" s="49"/>
      <c r="HG245" s="49"/>
      <c r="HH245" s="49"/>
      <c r="HI245" s="49"/>
      <c r="HJ245" s="49"/>
      <c r="HK245" s="49"/>
      <c r="HL245" s="49"/>
      <c r="HM245" s="49"/>
      <c r="HN245" s="49"/>
      <c r="HO245" s="49"/>
      <c r="HP245" s="49"/>
      <c r="HQ245" s="49"/>
      <c r="HR245" s="49"/>
      <c r="HS245" s="49"/>
      <c r="HT245" s="49"/>
      <c r="HU245" s="49"/>
      <c r="HV245" s="49"/>
      <c r="HW245" s="49"/>
      <c r="HX245" s="49"/>
      <c r="HY245" s="49"/>
      <c r="HZ245" s="49"/>
      <c r="IA245" s="49"/>
      <c r="IB245" s="49"/>
      <c r="IC245" s="49"/>
      <c r="ID245" s="49"/>
      <c r="IE245" s="49"/>
      <c r="IF245" s="49"/>
      <c r="IG245" s="49"/>
      <c r="IH245" s="49"/>
      <c r="II245" s="49"/>
      <c r="IJ245" s="49"/>
      <c r="IK245" s="49"/>
      <c r="IL245" s="49"/>
      <c r="IM245" s="49"/>
      <c r="IN245" s="49"/>
      <c r="IO245" s="49"/>
      <c r="IP245" s="49"/>
      <c r="IQ245" s="49"/>
      <c r="IR245" s="49"/>
      <c r="IS245" s="49"/>
      <c r="IT245" s="49"/>
      <c r="IU245" s="49"/>
      <c r="IV245" s="49"/>
    </row>
    <row r="246" spans="1:256" s="198" customFormat="1" ht="12" customHeight="1">
      <c r="A246" s="1252"/>
      <c r="B246" s="200"/>
      <c r="C246" s="486"/>
      <c r="D246" s="201"/>
      <c r="E246" s="202"/>
      <c r="F246" s="203"/>
      <c r="G246" s="197"/>
      <c r="H246" s="197"/>
      <c r="I246" s="197"/>
      <c r="J246" s="197"/>
      <c r="K246" s="175"/>
      <c r="L246" s="197"/>
      <c r="M246" s="197"/>
      <c r="N246" s="197"/>
      <c r="O246" s="197"/>
      <c r="P246" s="197"/>
      <c r="Q246" s="1198"/>
      <c r="R246" s="202"/>
      <c r="S246" s="202"/>
      <c r="T246" s="1186"/>
      <c r="U246" s="233"/>
      <c r="V246" s="49"/>
      <c r="W246" s="218"/>
      <c r="X246" s="218"/>
      <c r="Y246" s="216"/>
      <c r="Z246" s="216"/>
      <c r="AA246" s="215"/>
      <c r="AB246" s="216"/>
      <c r="AC246" s="216"/>
      <c r="AD246" s="239"/>
      <c r="AE246" s="216"/>
      <c r="AF246" s="216"/>
      <c r="AG246" s="216"/>
      <c r="AH246" s="216"/>
      <c r="AI246" s="216"/>
      <c r="AJ246" s="216"/>
      <c r="AK246" s="239"/>
      <c r="AL246" s="216"/>
      <c r="AM246" s="216"/>
      <c r="AN246" s="216"/>
      <c r="AO246" s="216"/>
      <c r="AP246" s="216"/>
      <c r="AQ246" s="216"/>
      <c r="AR246" s="216"/>
      <c r="AS246" s="216"/>
      <c r="AT246" s="216"/>
      <c r="AU246" s="216"/>
      <c r="AV246" s="217"/>
      <c r="AW246" s="355"/>
      <c r="AX246" s="217"/>
      <c r="AY246" s="1559"/>
      <c r="AZ246" s="249"/>
      <c r="BA246" s="221"/>
      <c r="BB246" s="300"/>
      <c r="BC246" s="217"/>
      <c r="BD246" s="392"/>
      <c r="BE246" s="1244"/>
      <c r="BF246" s="249"/>
      <c r="BG246" s="252"/>
      <c r="BH246" s="1469"/>
      <c r="BI246" s="216"/>
      <c r="BJ246" s="1469"/>
      <c r="BK246" s="1459"/>
      <c r="BL246" s="260"/>
      <c r="BM246" s="214"/>
      <c r="BN246" s="293"/>
      <c r="BO246" s="217"/>
      <c r="BP246" s="355"/>
      <c r="BQ246" s="217"/>
      <c r="BR246" s="1193"/>
      <c r="BS246" s="249"/>
      <c r="BT246" s="216"/>
      <c r="BU246" s="1195"/>
      <c r="BV246" s="249"/>
      <c r="BW246" s="216"/>
      <c r="BX246" s="1195"/>
      <c r="BY246" s="249"/>
      <c r="BZ246" s="216"/>
      <c r="CA246" s="1195"/>
      <c r="CB246" s="249"/>
      <c r="CC246" s="216"/>
      <c r="CD246" s="1195"/>
      <c r="CE246" s="249"/>
      <c r="CF246" s="216"/>
      <c r="CG246" s="1195"/>
      <c r="CH246" s="249"/>
      <c r="CI246" s="216"/>
      <c r="CJ246" s="1195"/>
      <c r="CK246" s="249"/>
      <c r="CL246" s="216"/>
      <c r="CM246" s="1194"/>
      <c r="CN246" s="1524"/>
      <c r="CO246" s="217"/>
      <c r="CP246" s="1193"/>
      <c r="CQ246" s="293"/>
      <c r="CR246" s="217"/>
      <c r="CS246" s="305"/>
      <c r="CT246" s="249"/>
      <c r="CU246" s="216"/>
      <c r="CV246" s="1193"/>
      <c r="CW246" s="249"/>
      <c r="CX246" s="216"/>
      <c r="CY246" s="305"/>
      <c r="CZ246" s="249"/>
      <c r="DA246" s="216"/>
      <c r="DB246" s="307"/>
      <c r="DC246" s="328"/>
      <c r="DD246" s="322"/>
      <c r="DE246" s="305"/>
      <c r="DF246" s="249"/>
      <c r="DG246" s="216"/>
      <c r="DH246" s="305"/>
      <c r="DI246" s="249"/>
      <c r="DJ246" s="216"/>
      <c r="DK246" s="309"/>
      <c r="DL246" s="293"/>
      <c r="DM246" s="326"/>
      <c r="DN246" s="1256"/>
      <c r="DO246" s="214"/>
      <c r="DP246" s="1257"/>
      <c r="DQ246" s="1258"/>
      <c r="DR246" s="305"/>
      <c r="DS246" s="249"/>
      <c r="DT246" s="216"/>
      <c r="DU246" s="305"/>
      <c r="DV246" s="2520"/>
      <c r="DW246" s="2521"/>
      <c r="DX246" s="305"/>
      <c r="DY246" s="249"/>
      <c r="DZ246" s="221"/>
      <c r="EA246" s="388"/>
      <c r="EB246" s="249"/>
      <c r="EC246" s="216"/>
      <c r="ED246" s="1461"/>
      <c r="EE246" s="249"/>
      <c r="EF246" s="216"/>
      <c r="EG246" s="355"/>
      <c r="EH246" s="1425"/>
      <c r="EI246" s="1470"/>
      <c r="EJ246" s="249"/>
      <c r="EK246" s="221"/>
      <c r="EL246" s="313"/>
      <c r="EM246" s="249"/>
      <c r="EN246" s="221"/>
      <c r="EO246" s="313"/>
      <c r="EP246" s="249"/>
      <c r="EQ246" s="216"/>
      <c r="ER246" s="313"/>
      <c r="ES246" s="249"/>
      <c r="ET246" s="216"/>
      <c r="EU246" s="313"/>
      <c r="EV246" s="249"/>
      <c r="EW246" s="216"/>
      <c r="EX246" s="2505"/>
      <c r="EY246" s="249"/>
      <c r="EZ246" s="221"/>
      <c r="FA246" s="313"/>
      <c r="FB246" s="249"/>
      <c r="FC246" s="221"/>
      <c r="FD246" s="313"/>
      <c r="FE246" s="249"/>
      <c r="FF246" s="221"/>
      <c r="FG246" s="313"/>
      <c r="FH246" s="249"/>
      <c r="FI246" s="216"/>
      <c r="FJ246" s="1435"/>
      <c r="FK246" s="216"/>
      <c r="FL246" s="1268"/>
      <c r="FM246" s="1655"/>
      <c r="FN246" s="1268"/>
      <c r="FO246" s="1655"/>
      <c r="FP246" s="1268"/>
      <c r="FQ246" s="1656"/>
      <c r="FR246" s="249"/>
      <c r="FS246" s="216"/>
      <c r="FT246" s="1657"/>
      <c r="FU246" s="1658"/>
      <c r="FV246" s="242"/>
      <c r="FW246" s="343"/>
      <c r="FX246" s="222"/>
      <c r="FY246" s="336"/>
      <c r="FZ246" s="223"/>
      <c r="GA246" s="338"/>
      <c r="GB246" s="204"/>
      <c r="GC246" s="339"/>
      <c r="GD246" s="342"/>
      <c r="GE246" s="199"/>
      <c r="GF246" s="199"/>
      <c r="GG246" s="199"/>
      <c r="GH246" s="199"/>
      <c r="GI246" s="199"/>
      <c r="GJ246" s="199"/>
      <c r="GK246" s="199"/>
      <c r="GL246" s="49"/>
      <c r="GM246" s="28"/>
      <c r="GN246" s="28"/>
      <c r="GO246" s="322"/>
      <c r="GP246" s="1190"/>
      <c r="GQ246" s="1190"/>
      <c r="GR246" s="49"/>
      <c r="GS246" s="2879"/>
      <c r="GT246" s="2880"/>
      <c r="GU246" s="2881"/>
      <c r="GV246" s="49"/>
      <c r="GW246" s="49"/>
      <c r="GX246" s="49"/>
      <c r="GY246" s="49"/>
      <c r="GZ246" s="49"/>
      <c r="HA246" s="49"/>
      <c r="HB246" s="49"/>
      <c r="HC246" s="49"/>
      <c r="HD246" s="49"/>
      <c r="HE246" s="49"/>
      <c r="HF246" s="49"/>
      <c r="HG246" s="49"/>
      <c r="HH246" s="49"/>
      <c r="HI246" s="49"/>
      <c r="HJ246" s="49"/>
      <c r="HK246" s="49"/>
      <c r="HL246" s="49"/>
      <c r="HM246" s="49"/>
      <c r="HN246" s="49"/>
      <c r="HO246" s="49"/>
      <c r="HP246" s="49"/>
      <c r="HQ246" s="49"/>
      <c r="HR246" s="49"/>
      <c r="HS246" s="49"/>
      <c r="HT246" s="49"/>
      <c r="HU246" s="49"/>
      <c r="HV246" s="49"/>
      <c r="HW246" s="49"/>
      <c r="HX246" s="49"/>
      <c r="HY246" s="49"/>
      <c r="HZ246" s="49"/>
      <c r="IA246" s="49"/>
      <c r="IB246" s="49"/>
      <c r="IC246" s="49"/>
      <c r="ID246" s="49"/>
      <c r="IE246" s="49"/>
      <c r="IF246" s="49"/>
      <c r="IG246" s="49"/>
      <c r="IH246" s="49"/>
      <c r="II246" s="49"/>
      <c r="IJ246" s="49"/>
      <c r="IK246" s="49"/>
      <c r="IL246" s="49"/>
      <c r="IM246" s="49"/>
      <c r="IN246" s="49"/>
      <c r="IO246" s="49"/>
      <c r="IP246" s="49"/>
      <c r="IQ246" s="49"/>
      <c r="IR246" s="49"/>
      <c r="IS246" s="49"/>
      <c r="IT246" s="49"/>
      <c r="IU246" s="49"/>
      <c r="IV246" s="49"/>
    </row>
    <row r="247" spans="1:256" s="198" customFormat="1" ht="12" customHeight="1">
      <c r="A247" s="1252"/>
      <c r="B247" s="200"/>
      <c r="C247" s="486"/>
      <c r="D247" s="201"/>
      <c r="E247" s="202"/>
      <c r="F247" s="203"/>
      <c r="G247" s="197"/>
      <c r="H247" s="197"/>
      <c r="I247" s="197"/>
      <c r="J247" s="197"/>
      <c r="K247" s="175"/>
      <c r="L247" s="197"/>
      <c r="M247" s="197"/>
      <c r="N247" s="197"/>
      <c r="O247" s="197"/>
      <c r="P247" s="197"/>
      <c r="Q247" s="1198"/>
      <c r="R247" s="202"/>
      <c r="S247" s="202"/>
      <c r="T247" s="1186"/>
      <c r="U247" s="233"/>
      <c r="V247" s="49"/>
      <c r="W247" s="218"/>
      <c r="X247" s="218"/>
      <c r="Y247" s="216"/>
      <c r="Z247" s="216"/>
      <c r="AA247" s="215"/>
      <c r="AB247" s="216"/>
      <c r="AC247" s="216"/>
      <c r="AD247" s="239"/>
      <c r="AE247" s="216"/>
      <c r="AF247" s="216"/>
      <c r="AG247" s="216"/>
      <c r="AH247" s="216"/>
      <c r="AI247" s="216"/>
      <c r="AJ247" s="216"/>
      <c r="AK247" s="239"/>
      <c r="AL247" s="216"/>
      <c r="AM247" s="216"/>
      <c r="AN247" s="216"/>
      <c r="AO247" s="216"/>
      <c r="AP247" s="216"/>
      <c r="AQ247" s="216"/>
      <c r="AR247" s="216"/>
      <c r="AS247" s="216"/>
      <c r="AT247" s="216"/>
      <c r="AU247" s="216"/>
      <c r="AV247" s="217"/>
      <c r="AW247" s="355"/>
      <c r="AX247" s="217"/>
      <c r="AY247" s="1559"/>
      <c r="AZ247" s="249"/>
      <c r="BA247" s="221"/>
      <c r="BB247" s="300"/>
      <c r="BC247" s="217"/>
      <c r="BD247" s="392"/>
      <c r="BE247" s="1244"/>
      <c r="BF247" s="249"/>
      <c r="BG247" s="252"/>
      <c r="BH247" s="1469"/>
      <c r="BI247" s="216"/>
      <c r="BJ247" s="1469"/>
      <c r="BK247" s="1459"/>
      <c r="BL247" s="260"/>
      <c r="BM247" s="214"/>
      <c r="BN247" s="293"/>
      <c r="BO247" s="217"/>
      <c r="BP247" s="355"/>
      <c r="BQ247" s="217"/>
      <c r="BR247" s="1193"/>
      <c r="BS247" s="249"/>
      <c r="BT247" s="216"/>
      <c r="BU247" s="1195"/>
      <c r="BV247" s="249"/>
      <c r="BW247" s="216"/>
      <c r="BX247" s="1195"/>
      <c r="BY247" s="249"/>
      <c r="BZ247" s="216"/>
      <c r="CA247" s="1195"/>
      <c r="CB247" s="249"/>
      <c r="CC247" s="216"/>
      <c r="CD247" s="1195"/>
      <c r="CE247" s="249"/>
      <c r="CF247" s="216"/>
      <c r="CG247" s="1195"/>
      <c r="CH247" s="249"/>
      <c r="CI247" s="216"/>
      <c r="CJ247" s="1195"/>
      <c r="CK247" s="249"/>
      <c r="CL247" s="216"/>
      <c r="CM247" s="1194"/>
      <c r="CN247" s="1524"/>
      <c r="CO247" s="217"/>
      <c r="CP247" s="1193"/>
      <c r="CQ247" s="293"/>
      <c r="CR247" s="217"/>
      <c r="CS247" s="305"/>
      <c r="CT247" s="249"/>
      <c r="CU247" s="216"/>
      <c r="CV247" s="1193"/>
      <c r="CW247" s="249"/>
      <c r="CX247" s="216"/>
      <c r="CY247" s="305"/>
      <c r="CZ247" s="249"/>
      <c r="DA247" s="216"/>
      <c r="DB247" s="307"/>
      <c r="DC247" s="328"/>
      <c r="DD247" s="322"/>
      <c r="DE247" s="305"/>
      <c r="DF247" s="249"/>
      <c r="DG247" s="216"/>
      <c r="DH247" s="305"/>
      <c r="DI247" s="249"/>
      <c r="DJ247" s="216"/>
      <c r="DK247" s="309"/>
      <c r="DL247" s="293"/>
      <c r="DM247" s="326"/>
      <c r="DN247" s="1256"/>
      <c r="DO247" s="214"/>
      <c r="DP247" s="1257"/>
      <c r="DQ247" s="1258"/>
      <c r="DR247" s="305"/>
      <c r="DS247" s="249"/>
      <c r="DT247" s="216"/>
      <c r="DU247" s="305"/>
      <c r="DV247" s="2520"/>
      <c r="DW247" s="2521"/>
      <c r="DX247" s="305"/>
      <c r="DY247" s="249"/>
      <c r="DZ247" s="221"/>
      <c r="EA247" s="388"/>
      <c r="EB247" s="249"/>
      <c r="EC247" s="216"/>
      <c r="ED247" s="1461"/>
      <c r="EE247" s="249"/>
      <c r="EF247" s="216"/>
      <c r="EG247" s="355"/>
      <c r="EH247" s="1425"/>
      <c r="EI247" s="1470"/>
      <c r="EJ247" s="249"/>
      <c r="EK247" s="221"/>
      <c r="EL247" s="313"/>
      <c r="EM247" s="249"/>
      <c r="EN247" s="221"/>
      <c r="EO247" s="313"/>
      <c r="EP247" s="249"/>
      <c r="EQ247" s="216"/>
      <c r="ER247" s="313"/>
      <c r="ES247" s="249"/>
      <c r="ET247" s="216"/>
      <c r="EU247" s="313"/>
      <c r="EV247" s="249"/>
      <c r="EW247" s="216"/>
      <c r="EX247" s="2505"/>
      <c r="EY247" s="249"/>
      <c r="EZ247" s="221"/>
      <c r="FA247" s="313"/>
      <c r="FB247" s="249"/>
      <c r="FC247" s="221"/>
      <c r="FD247" s="313"/>
      <c r="FE247" s="249"/>
      <c r="FF247" s="221"/>
      <c r="FG247" s="313"/>
      <c r="FH247" s="249"/>
      <c r="FI247" s="216"/>
      <c r="FJ247" s="1435"/>
      <c r="FK247" s="216"/>
      <c r="FL247" s="1268"/>
      <c r="FM247" s="1655"/>
      <c r="FN247" s="1268"/>
      <c r="FO247" s="1655"/>
      <c r="FP247" s="1268"/>
      <c r="FQ247" s="1656"/>
      <c r="FR247" s="249"/>
      <c r="FS247" s="216"/>
      <c r="FT247" s="1657"/>
      <c r="FU247" s="1658"/>
      <c r="FV247" s="242"/>
      <c r="FW247" s="343"/>
      <c r="FX247" s="222"/>
      <c r="FY247" s="336"/>
      <c r="FZ247" s="223"/>
      <c r="GA247" s="338"/>
      <c r="GB247" s="204"/>
      <c r="GC247" s="339"/>
      <c r="GD247" s="342"/>
      <c r="GE247" s="199"/>
      <c r="GF247" s="199"/>
      <c r="GG247" s="199"/>
      <c r="GH247" s="199"/>
      <c r="GI247" s="199"/>
      <c r="GJ247" s="199"/>
      <c r="GK247" s="199"/>
      <c r="GL247" s="49"/>
      <c r="GM247" s="28"/>
      <c r="GN247" s="28"/>
      <c r="GO247" s="322"/>
      <c r="GP247" s="1190"/>
      <c r="GQ247" s="1190"/>
      <c r="GR247" s="49"/>
      <c r="GS247" s="2879"/>
      <c r="GT247" s="2880"/>
      <c r="GU247" s="2881"/>
      <c r="GV247" s="49"/>
      <c r="GW247" s="49"/>
      <c r="GX247" s="49"/>
      <c r="GY247" s="49"/>
      <c r="GZ247" s="49"/>
      <c r="HA247" s="49"/>
      <c r="HB247" s="49"/>
      <c r="HC247" s="49"/>
      <c r="HD247" s="49"/>
      <c r="HE247" s="49"/>
      <c r="HF247" s="49"/>
      <c r="HG247" s="49"/>
      <c r="HH247" s="49"/>
      <c r="HI247" s="49"/>
      <c r="HJ247" s="49"/>
      <c r="HK247" s="49"/>
      <c r="HL247" s="49"/>
      <c r="HM247" s="49"/>
      <c r="HN247" s="49"/>
      <c r="HO247" s="49"/>
      <c r="HP247" s="49"/>
      <c r="HQ247" s="49"/>
      <c r="HR247" s="49"/>
      <c r="HS247" s="49"/>
      <c r="HT247" s="49"/>
      <c r="HU247" s="49"/>
      <c r="HV247" s="49"/>
      <c r="HW247" s="49"/>
      <c r="HX247" s="49"/>
      <c r="HY247" s="49"/>
      <c r="HZ247" s="49"/>
      <c r="IA247" s="49"/>
      <c r="IB247" s="49"/>
      <c r="IC247" s="49"/>
      <c r="ID247" s="49"/>
      <c r="IE247" s="49"/>
      <c r="IF247" s="49"/>
      <c r="IG247" s="49"/>
      <c r="IH247" s="49"/>
      <c r="II247" s="49"/>
      <c r="IJ247" s="49"/>
      <c r="IK247" s="49"/>
      <c r="IL247" s="49"/>
      <c r="IM247" s="49"/>
      <c r="IN247" s="49"/>
      <c r="IO247" s="49"/>
      <c r="IP247" s="49"/>
      <c r="IQ247" s="49"/>
      <c r="IR247" s="49"/>
      <c r="IS247" s="49"/>
      <c r="IT247" s="49"/>
      <c r="IU247" s="49"/>
      <c r="IV247" s="49"/>
    </row>
    <row r="248" spans="1:256" s="198" customFormat="1" ht="12" customHeight="1">
      <c r="A248" s="1252"/>
      <c r="B248" s="200"/>
      <c r="C248" s="486"/>
      <c r="D248" s="201"/>
      <c r="E248" s="202"/>
      <c r="F248" s="203"/>
      <c r="G248" s="197"/>
      <c r="H248" s="197"/>
      <c r="I248" s="197"/>
      <c r="J248" s="197"/>
      <c r="K248" s="175"/>
      <c r="L248" s="197"/>
      <c r="M248" s="197"/>
      <c r="N248" s="197"/>
      <c r="O248" s="197"/>
      <c r="P248" s="197"/>
      <c r="Q248" s="1198"/>
      <c r="R248" s="202"/>
      <c r="S248" s="202"/>
      <c r="T248" s="1186"/>
      <c r="U248" s="233"/>
      <c r="V248" s="49"/>
      <c r="W248" s="218"/>
      <c r="X248" s="218"/>
      <c r="Y248" s="216"/>
      <c r="Z248" s="216"/>
      <c r="AA248" s="215"/>
      <c r="AB248" s="216"/>
      <c r="AC248" s="216"/>
      <c r="AD248" s="239"/>
      <c r="AE248" s="216"/>
      <c r="AF248" s="216"/>
      <c r="AG248" s="216"/>
      <c r="AH248" s="216"/>
      <c r="AI248" s="216"/>
      <c r="AJ248" s="216"/>
      <c r="AK248" s="239"/>
      <c r="AL248" s="216"/>
      <c r="AM248" s="216"/>
      <c r="AN248" s="216"/>
      <c r="AO248" s="216"/>
      <c r="AP248" s="216"/>
      <c r="AQ248" s="216"/>
      <c r="AR248" s="216"/>
      <c r="AS248" s="216"/>
      <c r="AT248" s="216"/>
      <c r="AU248" s="216"/>
      <c r="AV248" s="217"/>
      <c r="AW248" s="355"/>
      <c r="AX248" s="217"/>
      <c r="AY248" s="1559"/>
      <c r="AZ248" s="249"/>
      <c r="BA248" s="221"/>
      <c r="BB248" s="300"/>
      <c r="BC248" s="217"/>
      <c r="BD248" s="392"/>
      <c r="BE248" s="1244"/>
      <c r="BF248" s="249"/>
      <c r="BG248" s="252"/>
      <c r="BH248" s="1469"/>
      <c r="BI248" s="216"/>
      <c r="BJ248" s="1469"/>
      <c r="BK248" s="1459"/>
      <c r="BL248" s="260"/>
      <c r="BM248" s="214"/>
      <c r="BN248" s="293"/>
      <c r="BO248" s="217"/>
      <c r="BP248" s="355"/>
      <c r="BQ248" s="217"/>
      <c r="BR248" s="1193"/>
      <c r="BS248" s="249"/>
      <c r="BT248" s="216"/>
      <c r="BU248" s="1195"/>
      <c r="BV248" s="249"/>
      <c r="BW248" s="216"/>
      <c r="BX248" s="1195"/>
      <c r="BY248" s="249"/>
      <c r="BZ248" s="216"/>
      <c r="CA248" s="1195"/>
      <c r="CB248" s="249"/>
      <c r="CC248" s="216"/>
      <c r="CD248" s="1195"/>
      <c r="CE248" s="249"/>
      <c r="CF248" s="216"/>
      <c r="CG248" s="1195"/>
      <c r="CH248" s="249"/>
      <c r="CI248" s="216"/>
      <c r="CJ248" s="1195"/>
      <c r="CK248" s="249"/>
      <c r="CL248" s="216"/>
      <c r="CM248" s="1194"/>
      <c r="CN248" s="1524"/>
      <c r="CO248" s="217"/>
      <c r="CP248" s="1193"/>
      <c r="CQ248" s="293"/>
      <c r="CR248" s="217"/>
      <c r="CS248" s="305"/>
      <c r="CT248" s="249"/>
      <c r="CU248" s="216"/>
      <c r="CV248" s="1193"/>
      <c r="CW248" s="249"/>
      <c r="CX248" s="216"/>
      <c r="CY248" s="305"/>
      <c r="CZ248" s="249"/>
      <c r="DA248" s="216"/>
      <c r="DB248" s="307"/>
      <c r="DC248" s="328"/>
      <c r="DD248" s="322"/>
      <c r="DE248" s="305"/>
      <c r="DF248" s="249"/>
      <c r="DG248" s="216"/>
      <c r="DH248" s="305"/>
      <c r="DI248" s="249"/>
      <c r="DJ248" s="216"/>
      <c r="DK248" s="309"/>
      <c r="DL248" s="293"/>
      <c r="DM248" s="326"/>
      <c r="DN248" s="1256"/>
      <c r="DO248" s="214"/>
      <c r="DP248" s="1257"/>
      <c r="DQ248" s="1258"/>
      <c r="DR248" s="305"/>
      <c r="DS248" s="249"/>
      <c r="DT248" s="216"/>
      <c r="DU248" s="305"/>
      <c r="DV248" s="2520"/>
      <c r="DW248" s="2521"/>
      <c r="DX248" s="305"/>
      <c r="DY248" s="249"/>
      <c r="DZ248" s="221"/>
      <c r="EA248" s="388"/>
      <c r="EB248" s="249"/>
      <c r="EC248" s="216"/>
      <c r="ED248" s="1461"/>
      <c r="EE248" s="249"/>
      <c r="EF248" s="216"/>
      <c r="EG248" s="355"/>
      <c r="EH248" s="1425"/>
      <c r="EI248" s="1470"/>
      <c r="EJ248" s="249"/>
      <c r="EK248" s="221"/>
      <c r="EL248" s="313"/>
      <c r="EM248" s="249"/>
      <c r="EN248" s="221"/>
      <c r="EO248" s="313"/>
      <c r="EP248" s="249"/>
      <c r="EQ248" s="216"/>
      <c r="ER248" s="313"/>
      <c r="ES248" s="249"/>
      <c r="ET248" s="216"/>
      <c r="EU248" s="313"/>
      <c r="EV248" s="249"/>
      <c r="EW248" s="216"/>
      <c r="EX248" s="2505"/>
      <c r="EY248" s="249"/>
      <c r="EZ248" s="221"/>
      <c r="FA248" s="313"/>
      <c r="FB248" s="249"/>
      <c r="FC248" s="221"/>
      <c r="FD248" s="313"/>
      <c r="FE248" s="249"/>
      <c r="FF248" s="221"/>
      <c r="FG248" s="313"/>
      <c r="FH248" s="249"/>
      <c r="FI248" s="216"/>
      <c r="FJ248" s="1435"/>
      <c r="FK248" s="216"/>
      <c r="FL248" s="1268"/>
      <c r="FM248" s="1655"/>
      <c r="FN248" s="1268"/>
      <c r="FO248" s="1655"/>
      <c r="FP248" s="1268"/>
      <c r="FQ248" s="1656"/>
      <c r="FR248" s="249"/>
      <c r="FS248" s="216"/>
      <c r="FT248" s="1657"/>
      <c r="FU248" s="1658"/>
      <c r="FV248" s="242"/>
      <c r="FW248" s="343"/>
      <c r="FX248" s="222"/>
      <c r="FY248" s="336"/>
      <c r="FZ248" s="223"/>
      <c r="GA248" s="338"/>
      <c r="GB248" s="204"/>
      <c r="GC248" s="339"/>
      <c r="GD248" s="342"/>
      <c r="GE248" s="199"/>
      <c r="GF248" s="199"/>
      <c r="GG248" s="199"/>
      <c r="GH248" s="199"/>
      <c r="GI248" s="199"/>
      <c r="GJ248" s="199"/>
      <c r="GK248" s="199"/>
      <c r="GL248" s="49"/>
      <c r="GM248" s="28"/>
      <c r="GN248" s="28"/>
      <c r="GO248" s="322"/>
      <c r="GP248" s="1190"/>
      <c r="GQ248" s="1190"/>
      <c r="GR248" s="49"/>
      <c r="GS248" s="2879"/>
      <c r="GT248" s="2880"/>
      <c r="GU248" s="2881"/>
      <c r="GV248" s="49"/>
      <c r="GW248" s="49"/>
      <c r="GX248" s="49"/>
      <c r="GY248" s="49"/>
      <c r="GZ248" s="49"/>
      <c r="HA248" s="49"/>
      <c r="HB248" s="49"/>
      <c r="HC248" s="49"/>
      <c r="HD248" s="49"/>
      <c r="HE248" s="49"/>
      <c r="HF248" s="49"/>
      <c r="HG248" s="49"/>
      <c r="HH248" s="49"/>
      <c r="HI248" s="49"/>
      <c r="HJ248" s="49"/>
      <c r="HK248" s="49"/>
      <c r="HL248" s="49"/>
      <c r="HM248" s="49"/>
      <c r="HN248" s="49"/>
      <c r="HO248" s="49"/>
      <c r="HP248" s="49"/>
      <c r="HQ248" s="49"/>
      <c r="HR248" s="49"/>
      <c r="HS248" s="49"/>
      <c r="HT248" s="49"/>
      <c r="HU248" s="49"/>
      <c r="HV248" s="49"/>
      <c r="HW248" s="49"/>
      <c r="HX248" s="49"/>
      <c r="HY248" s="49"/>
      <c r="HZ248" s="49"/>
      <c r="IA248" s="49"/>
      <c r="IB248" s="49"/>
      <c r="IC248" s="49"/>
      <c r="ID248" s="49"/>
      <c r="IE248" s="49"/>
      <c r="IF248" s="49"/>
      <c r="IG248" s="49"/>
      <c r="IH248" s="49"/>
      <c r="II248" s="49"/>
      <c r="IJ248" s="49"/>
      <c r="IK248" s="49"/>
      <c r="IL248" s="49"/>
      <c r="IM248" s="49"/>
      <c r="IN248" s="49"/>
      <c r="IO248" s="49"/>
      <c r="IP248" s="49"/>
      <c r="IQ248" s="49"/>
      <c r="IR248" s="49"/>
      <c r="IS248" s="49"/>
      <c r="IT248" s="49"/>
      <c r="IU248" s="49"/>
      <c r="IV248" s="49"/>
    </row>
    <row r="249" spans="1:256" s="198" customFormat="1" ht="12" customHeight="1">
      <c r="A249" s="1252"/>
      <c r="B249" s="200"/>
      <c r="C249" s="486"/>
      <c r="D249" s="201"/>
      <c r="E249" s="202"/>
      <c r="F249" s="203"/>
      <c r="G249" s="197"/>
      <c r="H249" s="197"/>
      <c r="I249" s="197"/>
      <c r="J249" s="197"/>
      <c r="K249" s="175"/>
      <c r="L249" s="197"/>
      <c r="M249" s="197"/>
      <c r="N249" s="197"/>
      <c r="O249" s="197"/>
      <c r="P249" s="197"/>
      <c r="Q249" s="1198"/>
      <c r="R249" s="202"/>
      <c r="S249" s="202"/>
      <c r="T249" s="1186"/>
      <c r="U249" s="233"/>
      <c r="V249" s="49"/>
      <c r="W249" s="218"/>
      <c r="X249" s="218"/>
      <c r="Y249" s="216"/>
      <c r="Z249" s="216"/>
      <c r="AA249" s="215"/>
      <c r="AB249" s="216"/>
      <c r="AC249" s="216"/>
      <c r="AD249" s="239"/>
      <c r="AE249" s="216"/>
      <c r="AF249" s="216"/>
      <c r="AG249" s="216"/>
      <c r="AH249" s="216"/>
      <c r="AI249" s="216"/>
      <c r="AJ249" s="216"/>
      <c r="AK249" s="239"/>
      <c r="AL249" s="216"/>
      <c r="AM249" s="216"/>
      <c r="AN249" s="216"/>
      <c r="AO249" s="216"/>
      <c r="AP249" s="216"/>
      <c r="AQ249" s="216"/>
      <c r="AR249" s="216"/>
      <c r="AS249" s="216"/>
      <c r="AT249" s="216"/>
      <c r="AU249" s="216"/>
      <c r="AV249" s="217"/>
      <c r="AW249" s="355"/>
      <c r="AX249" s="217"/>
      <c r="AY249" s="1559"/>
      <c r="AZ249" s="249"/>
      <c r="BA249" s="221"/>
      <c r="BB249" s="300"/>
      <c r="BC249" s="217"/>
      <c r="BD249" s="392"/>
      <c r="BE249" s="1244"/>
      <c r="BF249" s="249"/>
      <c r="BG249" s="252"/>
      <c r="BH249" s="1469"/>
      <c r="BI249" s="216"/>
      <c r="BJ249" s="1469"/>
      <c r="BK249" s="1459"/>
      <c r="BL249" s="260"/>
      <c r="BM249" s="214"/>
      <c r="BN249" s="293"/>
      <c r="BO249" s="217"/>
      <c r="BP249" s="355"/>
      <c r="BQ249" s="217"/>
      <c r="BR249" s="1193"/>
      <c r="BS249" s="249"/>
      <c r="BT249" s="216"/>
      <c r="BU249" s="1195"/>
      <c r="BV249" s="249"/>
      <c r="BW249" s="216"/>
      <c r="BX249" s="1195"/>
      <c r="BY249" s="249"/>
      <c r="BZ249" s="216"/>
      <c r="CA249" s="1195"/>
      <c r="CB249" s="249"/>
      <c r="CC249" s="216"/>
      <c r="CD249" s="1195"/>
      <c r="CE249" s="249"/>
      <c r="CF249" s="216"/>
      <c r="CG249" s="1195"/>
      <c r="CH249" s="249"/>
      <c r="CI249" s="216"/>
      <c r="CJ249" s="1195"/>
      <c r="CK249" s="249"/>
      <c r="CL249" s="216"/>
      <c r="CM249" s="1194"/>
      <c r="CN249" s="1524"/>
      <c r="CO249" s="217"/>
      <c r="CP249" s="1193"/>
      <c r="CQ249" s="293"/>
      <c r="CR249" s="217"/>
      <c r="CS249" s="305"/>
      <c r="CT249" s="249"/>
      <c r="CU249" s="216"/>
      <c r="CV249" s="1193"/>
      <c r="CW249" s="249"/>
      <c r="CX249" s="216"/>
      <c r="CY249" s="305"/>
      <c r="CZ249" s="249"/>
      <c r="DA249" s="216"/>
      <c r="DB249" s="307"/>
      <c r="DC249" s="328"/>
      <c r="DD249" s="322"/>
      <c r="DE249" s="305"/>
      <c r="DF249" s="249"/>
      <c r="DG249" s="216"/>
      <c r="DH249" s="305"/>
      <c r="DI249" s="249"/>
      <c r="DJ249" s="216"/>
      <c r="DK249" s="309"/>
      <c r="DL249" s="293"/>
      <c r="DM249" s="326"/>
      <c r="DN249" s="1256"/>
      <c r="DO249" s="214"/>
      <c r="DP249" s="1257"/>
      <c r="DQ249" s="1258"/>
      <c r="DR249" s="305"/>
      <c r="DS249" s="249"/>
      <c r="DT249" s="216"/>
      <c r="DU249" s="305"/>
      <c r="DV249" s="2520"/>
      <c r="DW249" s="2521"/>
      <c r="DX249" s="305"/>
      <c r="DY249" s="249"/>
      <c r="DZ249" s="221"/>
      <c r="EA249" s="388"/>
      <c r="EB249" s="249"/>
      <c r="EC249" s="216"/>
      <c r="ED249" s="1461"/>
      <c r="EE249" s="249"/>
      <c r="EF249" s="216"/>
      <c r="EG249" s="355"/>
      <c r="EH249" s="1425"/>
      <c r="EI249" s="1470"/>
      <c r="EJ249" s="249"/>
      <c r="EK249" s="221"/>
      <c r="EL249" s="313"/>
      <c r="EM249" s="249"/>
      <c r="EN249" s="221"/>
      <c r="EO249" s="313"/>
      <c r="EP249" s="249"/>
      <c r="EQ249" s="216"/>
      <c r="ER249" s="313"/>
      <c r="ES249" s="249"/>
      <c r="ET249" s="216"/>
      <c r="EU249" s="313"/>
      <c r="EV249" s="249"/>
      <c r="EW249" s="216"/>
      <c r="EX249" s="2505"/>
      <c r="EY249" s="249"/>
      <c r="EZ249" s="221"/>
      <c r="FA249" s="313"/>
      <c r="FB249" s="249"/>
      <c r="FC249" s="221"/>
      <c r="FD249" s="313"/>
      <c r="FE249" s="249"/>
      <c r="FF249" s="221"/>
      <c r="FG249" s="313"/>
      <c r="FH249" s="249"/>
      <c r="FI249" s="216"/>
      <c r="FJ249" s="1435"/>
      <c r="FK249" s="216"/>
      <c r="FL249" s="1268"/>
      <c r="FM249" s="1655"/>
      <c r="FN249" s="1268"/>
      <c r="FO249" s="1655"/>
      <c r="FP249" s="1268"/>
      <c r="FQ249" s="1656"/>
      <c r="FR249" s="249"/>
      <c r="FS249" s="216"/>
      <c r="FT249" s="1657"/>
      <c r="FU249" s="1658"/>
      <c r="FV249" s="242"/>
      <c r="FW249" s="343"/>
      <c r="FX249" s="222"/>
      <c r="FY249" s="336"/>
      <c r="FZ249" s="223"/>
      <c r="GA249" s="338"/>
      <c r="GB249" s="204"/>
      <c r="GC249" s="339"/>
      <c r="GD249" s="342"/>
      <c r="GE249" s="199"/>
      <c r="GF249" s="199"/>
      <c r="GG249" s="199"/>
      <c r="GH249" s="199"/>
      <c r="GI249" s="199"/>
      <c r="GJ249" s="199"/>
      <c r="GK249" s="199"/>
      <c r="GL249" s="49"/>
      <c r="GM249" s="28"/>
      <c r="GN249" s="28"/>
      <c r="GO249" s="322"/>
      <c r="GP249" s="1190"/>
      <c r="GQ249" s="1190"/>
      <c r="GR249" s="49"/>
      <c r="GS249" s="2879"/>
      <c r="GT249" s="2880"/>
      <c r="GU249" s="2881"/>
      <c r="GV249" s="49"/>
      <c r="GW249" s="49"/>
      <c r="GX249" s="49"/>
      <c r="GY249" s="49"/>
      <c r="GZ249" s="49"/>
      <c r="HA249" s="49"/>
      <c r="HB249" s="49"/>
      <c r="HC249" s="49"/>
      <c r="HD249" s="49"/>
      <c r="HE249" s="49"/>
      <c r="HF249" s="49"/>
      <c r="HG249" s="49"/>
      <c r="HH249" s="49"/>
      <c r="HI249" s="49"/>
      <c r="HJ249" s="49"/>
      <c r="HK249" s="49"/>
      <c r="HL249" s="49"/>
      <c r="HM249" s="49"/>
      <c r="HN249" s="49"/>
      <c r="HO249" s="49"/>
      <c r="HP249" s="49"/>
      <c r="HQ249" s="49"/>
      <c r="HR249" s="49"/>
      <c r="HS249" s="49"/>
      <c r="HT249" s="49"/>
      <c r="HU249" s="49"/>
      <c r="HV249" s="49"/>
      <c r="HW249" s="49"/>
      <c r="HX249" s="49"/>
      <c r="HY249" s="49"/>
      <c r="HZ249" s="49"/>
      <c r="IA249" s="49"/>
      <c r="IB249" s="49"/>
      <c r="IC249" s="49"/>
      <c r="ID249" s="49"/>
      <c r="IE249" s="49"/>
      <c r="IF249" s="49"/>
      <c r="IG249" s="49"/>
      <c r="IH249" s="49"/>
      <c r="II249" s="49"/>
      <c r="IJ249" s="49"/>
      <c r="IK249" s="49"/>
      <c r="IL249" s="49"/>
      <c r="IM249" s="49"/>
      <c r="IN249" s="49"/>
      <c r="IO249" s="49"/>
      <c r="IP249" s="49"/>
      <c r="IQ249" s="49"/>
      <c r="IR249" s="49"/>
      <c r="IS249" s="49"/>
      <c r="IT249" s="49"/>
      <c r="IU249" s="49"/>
      <c r="IV249" s="49"/>
    </row>
    <row r="250" spans="1:256" s="198" customFormat="1" ht="12" customHeight="1">
      <c r="A250" s="1252"/>
      <c r="B250" s="200"/>
      <c r="C250" s="486"/>
      <c r="D250" s="201"/>
      <c r="E250" s="202"/>
      <c r="F250" s="203"/>
      <c r="G250" s="197"/>
      <c r="H250" s="197"/>
      <c r="I250" s="197"/>
      <c r="J250" s="197"/>
      <c r="K250" s="175"/>
      <c r="L250" s="197"/>
      <c r="M250" s="197"/>
      <c r="N250" s="197"/>
      <c r="O250" s="197"/>
      <c r="P250" s="197"/>
      <c r="Q250" s="1198"/>
      <c r="R250" s="202"/>
      <c r="S250" s="202"/>
      <c r="T250" s="1186"/>
      <c r="U250" s="233"/>
      <c r="V250" s="49"/>
      <c r="W250" s="218"/>
      <c r="X250" s="218"/>
      <c r="Y250" s="216"/>
      <c r="Z250" s="216"/>
      <c r="AA250" s="215"/>
      <c r="AB250" s="216"/>
      <c r="AC250" s="216"/>
      <c r="AD250" s="239"/>
      <c r="AE250" s="216"/>
      <c r="AF250" s="216"/>
      <c r="AG250" s="216"/>
      <c r="AH250" s="216"/>
      <c r="AI250" s="216"/>
      <c r="AJ250" s="216"/>
      <c r="AK250" s="239"/>
      <c r="AL250" s="216"/>
      <c r="AM250" s="216"/>
      <c r="AN250" s="216"/>
      <c r="AO250" s="216"/>
      <c r="AP250" s="216"/>
      <c r="AQ250" s="216"/>
      <c r="AR250" s="216"/>
      <c r="AS250" s="216"/>
      <c r="AT250" s="216"/>
      <c r="AU250" s="216"/>
      <c r="AV250" s="217"/>
      <c r="AW250" s="355"/>
      <c r="AX250" s="217"/>
      <c r="AY250" s="1559"/>
      <c r="AZ250" s="249"/>
      <c r="BA250" s="221"/>
      <c r="BB250" s="300"/>
      <c r="BC250" s="217"/>
      <c r="BD250" s="392"/>
      <c r="BE250" s="1244"/>
      <c r="BF250" s="249"/>
      <c r="BG250" s="252"/>
      <c r="BH250" s="1469"/>
      <c r="BI250" s="216"/>
      <c r="BJ250" s="1469"/>
      <c r="BK250" s="1459"/>
      <c r="BL250" s="260"/>
      <c r="BM250" s="214"/>
      <c r="BN250" s="293"/>
      <c r="BO250" s="217"/>
      <c r="BP250" s="355"/>
      <c r="BQ250" s="217"/>
      <c r="BR250" s="1193"/>
      <c r="BS250" s="249"/>
      <c r="BT250" s="216"/>
      <c r="BU250" s="1195"/>
      <c r="BV250" s="249"/>
      <c r="BW250" s="216"/>
      <c r="BX250" s="1195"/>
      <c r="BY250" s="249"/>
      <c r="BZ250" s="216"/>
      <c r="CA250" s="1195"/>
      <c r="CB250" s="249"/>
      <c r="CC250" s="216"/>
      <c r="CD250" s="1195"/>
      <c r="CE250" s="249"/>
      <c r="CF250" s="216"/>
      <c r="CG250" s="1195"/>
      <c r="CH250" s="249"/>
      <c r="CI250" s="216"/>
      <c r="CJ250" s="1195"/>
      <c r="CK250" s="249"/>
      <c r="CL250" s="216"/>
      <c r="CM250" s="1194"/>
      <c r="CN250" s="1524"/>
      <c r="CO250" s="217"/>
      <c r="CP250" s="1193"/>
      <c r="CQ250" s="293"/>
      <c r="CR250" s="217"/>
      <c r="CS250" s="305"/>
      <c r="CT250" s="249"/>
      <c r="CU250" s="216"/>
      <c r="CV250" s="1193"/>
      <c r="CW250" s="249"/>
      <c r="CX250" s="216"/>
      <c r="CY250" s="305"/>
      <c r="CZ250" s="249"/>
      <c r="DA250" s="216"/>
      <c r="DB250" s="307"/>
      <c r="DC250" s="328"/>
      <c r="DD250" s="322"/>
      <c r="DE250" s="305"/>
      <c r="DF250" s="249"/>
      <c r="DG250" s="216"/>
      <c r="DH250" s="305"/>
      <c r="DI250" s="249"/>
      <c r="DJ250" s="216"/>
      <c r="DK250" s="309"/>
      <c r="DL250" s="293"/>
      <c r="DM250" s="326"/>
      <c r="DN250" s="1256"/>
      <c r="DO250" s="214"/>
      <c r="DP250" s="1257"/>
      <c r="DQ250" s="1258"/>
      <c r="DR250" s="305"/>
      <c r="DS250" s="249"/>
      <c r="DT250" s="216"/>
      <c r="DU250" s="305"/>
      <c r="DV250" s="2520"/>
      <c r="DW250" s="2521"/>
      <c r="DX250" s="305"/>
      <c r="DY250" s="249"/>
      <c r="DZ250" s="221"/>
      <c r="EA250" s="388"/>
      <c r="EB250" s="249"/>
      <c r="EC250" s="216"/>
      <c r="ED250" s="1461"/>
      <c r="EE250" s="249"/>
      <c r="EF250" s="216"/>
      <c r="EG250" s="355"/>
      <c r="EH250" s="1425"/>
      <c r="EI250" s="1470"/>
      <c r="EJ250" s="249"/>
      <c r="EK250" s="221"/>
      <c r="EL250" s="313"/>
      <c r="EM250" s="249"/>
      <c r="EN250" s="221"/>
      <c r="EO250" s="313"/>
      <c r="EP250" s="249"/>
      <c r="EQ250" s="216"/>
      <c r="ER250" s="313"/>
      <c r="ES250" s="249"/>
      <c r="ET250" s="216"/>
      <c r="EU250" s="313"/>
      <c r="EV250" s="249"/>
      <c r="EW250" s="216"/>
      <c r="EX250" s="2505"/>
      <c r="EY250" s="249"/>
      <c r="EZ250" s="221"/>
      <c r="FA250" s="313"/>
      <c r="FB250" s="249"/>
      <c r="FC250" s="221"/>
      <c r="FD250" s="313"/>
      <c r="FE250" s="249"/>
      <c r="FF250" s="221"/>
      <c r="FG250" s="313"/>
      <c r="FH250" s="249"/>
      <c r="FI250" s="216"/>
      <c r="FJ250" s="1435"/>
      <c r="FK250" s="216"/>
      <c r="FL250" s="1268"/>
      <c r="FM250" s="1655"/>
      <c r="FN250" s="1268"/>
      <c r="FO250" s="1655"/>
      <c r="FP250" s="1268"/>
      <c r="FQ250" s="1656"/>
      <c r="FR250" s="249"/>
      <c r="FS250" s="216"/>
      <c r="FT250" s="1657"/>
      <c r="FU250" s="1658"/>
      <c r="FV250" s="242"/>
      <c r="FW250" s="343"/>
      <c r="FX250" s="222"/>
      <c r="FY250" s="336"/>
      <c r="FZ250" s="223"/>
      <c r="GA250" s="338"/>
      <c r="GB250" s="204"/>
      <c r="GC250" s="339"/>
      <c r="GD250" s="342"/>
      <c r="GE250" s="199"/>
      <c r="GF250" s="199"/>
      <c r="GG250" s="199"/>
      <c r="GH250" s="199"/>
      <c r="GI250" s="199"/>
      <c r="GJ250" s="199"/>
      <c r="GK250" s="199"/>
      <c r="GL250" s="49"/>
      <c r="GM250" s="28"/>
      <c r="GN250" s="28"/>
      <c r="GO250" s="322"/>
      <c r="GP250" s="1190"/>
      <c r="GQ250" s="1190"/>
      <c r="GR250" s="49"/>
      <c r="GS250" s="2879"/>
      <c r="GT250" s="2880"/>
      <c r="GU250" s="2881"/>
      <c r="GV250" s="49"/>
      <c r="GW250" s="49"/>
      <c r="GX250" s="49"/>
      <c r="GY250" s="49"/>
      <c r="GZ250" s="49"/>
      <c r="HA250" s="49"/>
      <c r="HB250" s="49"/>
      <c r="HC250" s="49"/>
      <c r="HD250" s="49"/>
      <c r="HE250" s="49"/>
      <c r="HF250" s="49"/>
      <c r="HG250" s="49"/>
      <c r="HH250" s="49"/>
      <c r="HI250" s="49"/>
      <c r="HJ250" s="49"/>
      <c r="HK250" s="49"/>
      <c r="HL250" s="49"/>
      <c r="HM250" s="49"/>
      <c r="HN250" s="49"/>
      <c r="HO250" s="49"/>
      <c r="HP250" s="49"/>
      <c r="HQ250" s="49"/>
      <c r="HR250" s="49"/>
      <c r="HS250" s="49"/>
      <c r="HT250" s="49"/>
      <c r="HU250" s="49"/>
      <c r="HV250" s="49"/>
      <c r="HW250" s="49"/>
      <c r="HX250" s="49"/>
      <c r="HY250" s="49"/>
      <c r="HZ250" s="49"/>
      <c r="IA250" s="49"/>
      <c r="IB250" s="49"/>
      <c r="IC250" s="49"/>
      <c r="ID250" s="49"/>
      <c r="IE250" s="49"/>
      <c r="IF250" s="49"/>
      <c r="IG250" s="49"/>
      <c r="IH250" s="49"/>
      <c r="II250" s="49"/>
      <c r="IJ250" s="49"/>
      <c r="IK250" s="49"/>
      <c r="IL250" s="49"/>
      <c r="IM250" s="49"/>
      <c r="IN250" s="49"/>
      <c r="IO250" s="49"/>
      <c r="IP250" s="49"/>
      <c r="IQ250" s="49"/>
      <c r="IR250" s="49"/>
      <c r="IS250" s="49"/>
      <c r="IT250" s="49"/>
      <c r="IU250" s="49"/>
      <c r="IV250" s="49"/>
    </row>
    <row r="251" spans="1:256" s="198" customFormat="1" ht="12" customHeight="1">
      <c r="A251" s="1252"/>
      <c r="B251" s="200"/>
      <c r="C251" s="486"/>
      <c r="D251" s="201"/>
      <c r="E251" s="202"/>
      <c r="F251" s="203"/>
      <c r="G251" s="197"/>
      <c r="H251" s="197"/>
      <c r="I251" s="197"/>
      <c r="J251" s="197"/>
      <c r="K251" s="175"/>
      <c r="L251" s="197"/>
      <c r="M251" s="197"/>
      <c r="N251" s="197"/>
      <c r="O251" s="197"/>
      <c r="P251" s="197"/>
      <c r="Q251" s="1198"/>
      <c r="R251" s="202"/>
      <c r="S251" s="202"/>
      <c r="T251" s="1186"/>
      <c r="U251" s="233"/>
      <c r="V251" s="49"/>
      <c r="W251" s="218"/>
      <c r="X251" s="218"/>
      <c r="Y251" s="216"/>
      <c r="Z251" s="216"/>
      <c r="AA251" s="215"/>
      <c r="AB251" s="216"/>
      <c r="AC251" s="216"/>
      <c r="AD251" s="239"/>
      <c r="AE251" s="216"/>
      <c r="AF251" s="216"/>
      <c r="AG251" s="216"/>
      <c r="AH251" s="216"/>
      <c r="AI251" s="216"/>
      <c r="AJ251" s="216"/>
      <c r="AK251" s="239"/>
      <c r="AL251" s="216"/>
      <c r="AM251" s="216"/>
      <c r="AN251" s="216"/>
      <c r="AO251" s="216"/>
      <c r="AP251" s="216"/>
      <c r="AQ251" s="216"/>
      <c r="AR251" s="216"/>
      <c r="AS251" s="216"/>
      <c r="AT251" s="216"/>
      <c r="AU251" s="216"/>
      <c r="AV251" s="217"/>
      <c r="AW251" s="355"/>
      <c r="AX251" s="217"/>
      <c r="AY251" s="1559"/>
      <c r="AZ251" s="249"/>
      <c r="BA251" s="221"/>
      <c r="BB251" s="300"/>
      <c r="BC251" s="217"/>
      <c r="BD251" s="392"/>
      <c r="BE251" s="1244"/>
      <c r="BF251" s="249"/>
      <c r="BG251" s="252"/>
      <c r="BH251" s="1469"/>
      <c r="BI251" s="216"/>
      <c r="BJ251" s="1469"/>
      <c r="BK251" s="1459"/>
      <c r="BL251" s="260"/>
      <c r="BM251" s="214"/>
      <c r="BN251" s="293"/>
      <c r="BO251" s="217"/>
      <c r="BP251" s="355"/>
      <c r="BQ251" s="217"/>
      <c r="BR251" s="1193"/>
      <c r="BS251" s="249"/>
      <c r="BT251" s="216"/>
      <c r="BU251" s="1195"/>
      <c r="BV251" s="249"/>
      <c r="BW251" s="216"/>
      <c r="BX251" s="1195"/>
      <c r="BY251" s="249"/>
      <c r="BZ251" s="216"/>
      <c r="CA251" s="1195"/>
      <c r="CB251" s="249"/>
      <c r="CC251" s="216"/>
      <c r="CD251" s="1195"/>
      <c r="CE251" s="249"/>
      <c r="CF251" s="216"/>
      <c r="CG251" s="1195"/>
      <c r="CH251" s="249"/>
      <c r="CI251" s="216"/>
      <c r="CJ251" s="1195"/>
      <c r="CK251" s="249"/>
      <c r="CL251" s="216"/>
      <c r="CM251" s="1194"/>
      <c r="CN251" s="1524"/>
      <c r="CO251" s="217"/>
      <c r="CP251" s="1193"/>
      <c r="CQ251" s="293"/>
      <c r="CR251" s="217"/>
      <c r="CS251" s="305"/>
      <c r="CT251" s="249"/>
      <c r="CU251" s="216"/>
      <c r="CV251" s="1193"/>
      <c r="CW251" s="249"/>
      <c r="CX251" s="216"/>
      <c r="CY251" s="305"/>
      <c r="CZ251" s="249"/>
      <c r="DA251" s="216"/>
      <c r="DB251" s="307"/>
      <c r="DC251" s="328"/>
      <c r="DD251" s="322"/>
      <c r="DE251" s="305"/>
      <c r="DF251" s="249"/>
      <c r="DG251" s="216"/>
      <c r="DH251" s="305"/>
      <c r="DI251" s="249"/>
      <c r="DJ251" s="216"/>
      <c r="DK251" s="309"/>
      <c r="DL251" s="293"/>
      <c r="DM251" s="326"/>
      <c r="DN251" s="1256"/>
      <c r="DO251" s="214"/>
      <c r="DP251" s="1257"/>
      <c r="DQ251" s="1258"/>
      <c r="DR251" s="305"/>
      <c r="DS251" s="249"/>
      <c r="DT251" s="216"/>
      <c r="DU251" s="305"/>
      <c r="DV251" s="2520"/>
      <c r="DW251" s="2521"/>
      <c r="DX251" s="305"/>
      <c r="DY251" s="249"/>
      <c r="DZ251" s="221"/>
      <c r="EA251" s="388"/>
      <c r="EB251" s="249"/>
      <c r="EC251" s="216"/>
      <c r="ED251" s="1461"/>
      <c r="EE251" s="249"/>
      <c r="EF251" s="216"/>
      <c r="EG251" s="355"/>
      <c r="EH251" s="1425"/>
      <c r="EI251" s="1470"/>
      <c r="EJ251" s="249"/>
      <c r="EK251" s="221"/>
      <c r="EL251" s="313"/>
      <c r="EM251" s="249"/>
      <c r="EN251" s="221"/>
      <c r="EO251" s="313"/>
      <c r="EP251" s="249"/>
      <c r="EQ251" s="216"/>
      <c r="ER251" s="313"/>
      <c r="ES251" s="249"/>
      <c r="ET251" s="216"/>
      <c r="EU251" s="313"/>
      <c r="EV251" s="249"/>
      <c r="EW251" s="216"/>
      <c r="EX251" s="2505"/>
      <c r="EY251" s="249"/>
      <c r="EZ251" s="221"/>
      <c r="FA251" s="313"/>
      <c r="FB251" s="249"/>
      <c r="FC251" s="221"/>
      <c r="FD251" s="313"/>
      <c r="FE251" s="249"/>
      <c r="FF251" s="221"/>
      <c r="FG251" s="313"/>
      <c r="FH251" s="249"/>
      <c r="FI251" s="216"/>
      <c r="FJ251" s="1435"/>
      <c r="FK251" s="216"/>
      <c r="FL251" s="1268"/>
      <c r="FM251" s="1655"/>
      <c r="FN251" s="1268"/>
      <c r="FO251" s="1655"/>
      <c r="FP251" s="1268"/>
      <c r="FQ251" s="1656"/>
      <c r="FR251" s="249"/>
      <c r="FS251" s="216"/>
      <c r="FT251" s="1657"/>
      <c r="FU251" s="1658"/>
      <c r="FV251" s="242"/>
      <c r="FW251" s="343"/>
      <c r="FX251" s="222"/>
      <c r="FY251" s="336"/>
      <c r="FZ251" s="223"/>
      <c r="GA251" s="338"/>
      <c r="GB251" s="204"/>
      <c r="GC251" s="339"/>
      <c r="GD251" s="342"/>
      <c r="GE251" s="199"/>
      <c r="GF251" s="199"/>
      <c r="GG251" s="199"/>
      <c r="GH251" s="199"/>
      <c r="GI251" s="199"/>
      <c r="GJ251" s="199"/>
      <c r="GK251" s="199"/>
      <c r="GL251" s="49"/>
      <c r="GM251" s="28"/>
      <c r="GN251" s="28"/>
      <c r="GO251" s="322"/>
      <c r="GP251" s="1190"/>
      <c r="GQ251" s="1190"/>
      <c r="GR251" s="49"/>
      <c r="GS251" s="2879"/>
      <c r="GT251" s="2880"/>
      <c r="GU251" s="2881"/>
      <c r="GV251" s="49"/>
      <c r="GW251" s="49"/>
      <c r="GX251" s="49"/>
      <c r="GY251" s="49"/>
      <c r="GZ251" s="49"/>
      <c r="HA251" s="49"/>
      <c r="HB251" s="49"/>
      <c r="HC251" s="49"/>
      <c r="HD251" s="49"/>
      <c r="HE251" s="49"/>
      <c r="HF251" s="49"/>
      <c r="HG251" s="49"/>
      <c r="HH251" s="49"/>
      <c r="HI251" s="49"/>
      <c r="HJ251" s="49"/>
      <c r="HK251" s="49"/>
      <c r="HL251" s="49"/>
      <c r="HM251" s="49"/>
      <c r="HN251" s="49"/>
      <c r="HO251" s="49"/>
      <c r="HP251" s="49"/>
      <c r="HQ251" s="49"/>
      <c r="HR251" s="49"/>
      <c r="HS251" s="49"/>
      <c r="HT251" s="49"/>
      <c r="HU251" s="49"/>
      <c r="HV251" s="49"/>
      <c r="HW251" s="49"/>
      <c r="HX251" s="49"/>
      <c r="HY251" s="49"/>
      <c r="HZ251" s="49"/>
      <c r="IA251" s="49"/>
      <c r="IB251" s="49"/>
      <c r="IC251" s="49"/>
      <c r="ID251" s="49"/>
      <c r="IE251" s="49"/>
      <c r="IF251" s="49"/>
      <c r="IG251" s="49"/>
      <c r="IH251" s="49"/>
      <c r="II251" s="49"/>
      <c r="IJ251" s="49"/>
      <c r="IK251" s="49"/>
      <c r="IL251" s="49"/>
      <c r="IM251" s="49"/>
      <c r="IN251" s="49"/>
      <c r="IO251" s="49"/>
      <c r="IP251" s="49"/>
      <c r="IQ251" s="49"/>
      <c r="IR251" s="49"/>
      <c r="IS251" s="49"/>
      <c r="IT251" s="49"/>
      <c r="IU251" s="49"/>
      <c r="IV251" s="49"/>
    </row>
    <row r="252" spans="1:256" s="198" customFormat="1" ht="12" customHeight="1">
      <c r="A252" s="1252"/>
      <c r="B252" s="200"/>
      <c r="C252" s="486"/>
      <c r="D252" s="201"/>
      <c r="E252" s="202"/>
      <c r="F252" s="203"/>
      <c r="G252" s="197"/>
      <c r="H252" s="197"/>
      <c r="I252" s="197"/>
      <c r="J252" s="197"/>
      <c r="K252" s="175"/>
      <c r="L252" s="197"/>
      <c r="M252" s="197"/>
      <c r="N252" s="197"/>
      <c r="O252" s="197"/>
      <c r="P252" s="197"/>
      <c r="Q252" s="1198"/>
      <c r="R252" s="202"/>
      <c r="S252" s="202"/>
      <c r="T252" s="1186"/>
      <c r="U252" s="233"/>
      <c r="V252" s="49"/>
      <c r="W252" s="218"/>
      <c r="X252" s="218"/>
      <c r="Y252" s="216"/>
      <c r="Z252" s="216"/>
      <c r="AA252" s="215"/>
      <c r="AB252" s="216"/>
      <c r="AC252" s="216"/>
      <c r="AD252" s="239"/>
      <c r="AE252" s="216"/>
      <c r="AF252" s="216"/>
      <c r="AG252" s="216"/>
      <c r="AH252" s="216"/>
      <c r="AI252" s="216"/>
      <c r="AJ252" s="216"/>
      <c r="AK252" s="239"/>
      <c r="AL252" s="216"/>
      <c r="AM252" s="216"/>
      <c r="AN252" s="216"/>
      <c r="AO252" s="216"/>
      <c r="AP252" s="216"/>
      <c r="AQ252" s="216"/>
      <c r="AR252" s="216"/>
      <c r="AS252" s="216"/>
      <c r="AT252" s="216"/>
      <c r="AU252" s="216"/>
      <c r="AV252" s="217"/>
      <c r="AW252" s="355"/>
      <c r="AX252" s="217"/>
      <c r="AY252" s="1559"/>
      <c r="AZ252" s="249"/>
      <c r="BA252" s="221"/>
      <c r="BB252" s="300"/>
      <c r="BC252" s="217"/>
      <c r="BD252" s="392"/>
      <c r="BE252" s="1244"/>
      <c r="BF252" s="249"/>
      <c r="BG252" s="252"/>
      <c r="BH252" s="1469"/>
      <c r="BI252" s="216"/>
      <c r="BJ252" s="1469"/>
      <c r="BK252" s="1459"/>
      <c r="BL252" s="260"/>
      <c r="BM252" s="214"/>
      <c r="BN252" s="293"/>
      <c r="BO252" s="217"/>
      <c r="BP252" s="355"/>
      <c r="BQ252" s="217"/>
      <c r="BR252" s="1193"/>
      <c r="BS252" s="249"/>
      <c r="BT252" s="216"/>
      <c r="BU252" s="1195"/>
      <c r="BV252" s="249"/>
      <c r="BW252" s="216"/>
      <c r="BX252" s="1195"/>
      <c r="BY252" s="249"/>
      <c r="BZ252" s="216"/>
      <c r="CA252" s="1195"/>
      <c r="CB252" s="249"/>
      <c r="CC252" s="216"/>
      <c r="CD252" s="1195"/>
      <c r="CE252" s="249"/>
      <c r="CF252" s="216"/>
      <c r="CG252" s="1195"/>
      <c r="CH252" s="249"/>
      <c r="CI252" s="216"/>
      <c r="CJ252" s="1195"/>
      <c r="CK252" s="249"/>
      <c r="CL252" s="216"/>
      <c r="CM252" s="1194"/>
      <c r="CN252" s="1524"/>
      <c r="CO252" s="217"/>
      <c r="CP252" s="1193"/>
      <c r="CQ252" s="293"/>
      <c r="CR252" s="217"/>
      <c r="CS252" s="305"/>
      <c r="CT252" s="249"/>
      <c r="CU252" s="216"/>
      <c r="CV252" s="1193"/>
      <c r="CW252" s="249"/>
      <c r="CX252" s="216"/>
      <c r="CY252" s="305"/>
      <c r="CZ252" s="249"/>
      <c r="DA252" s="216"/>
      <c r="DB252" s="307"/>
      <c r="DC252" s="328"/>
      <c r="DD252" s="322"/>
      <c r="DE252" s="305"/>
      <c r="DF252" s="249"/>
      <c r="DG252" s="216"/>
      <c r="DH252" s="305"/>
      <c r="DI252" s="249"/>
      <c r="DJ252" s="216"/>
      <c r="DK252" s="309"/>
      <c r="DL252" s="293"/>
      <c r="DM252" s="326"/>
      <c r="DN252" s="1256"/>
      <c r="DO252" s="214"/>
      <c r="DP252" s="1257"/>
      <c r="DQ252" s="1258"/>
      <c r="DR252" s="305"/>
      <c r="DS252" s="249"/>
      <c r="DT252" s="216"/>
      <c r="DU252" s="305"/>
      <c r="DV252" s="2520"/>
      <c r="DW252" s="2521"/>
      <c r="DX252" s="305"/>
      <c r="DY252" s="249"/>
      <c r="DZ252" s="221"/>
      <c r="EA252" s="388"/>
      <c r="EB252" s="249"/>
      <c r="EC252" s="216"/>
      <c r="ED252" s="1461"/>
      <c r="EE252" s="249"/>
      <c r="EF252" s="216"/>
      <c r="EG252" s="355"/>
      <c r="EH252" s="1425"/>
      <c r="EI252" s="1470"/>
      <c r="EJ252" s="249"/>
      <c r="EK252" s="221"/>
      <c r="EL252" s="313"/>
      <c r="EM252" s="249"/>
      <c r="EN252" s="221"/>
      <c r="EO252" s="313"/>
      <c r="EP252" s="249"/>
      <c r="EQ252" s="216"/>
      <c r="ER252" s="313"/>
      <c r="ES252" s="249"/>
      <c r="ET252" s="216"/>
      <c r="EU252" s="313"/>
      <c r="EV252" s="249"/>
      <c r="EW252" s="216"/>
      <c r="EX252" s="2505"/>
      <c r="EY252" s="249"/>
      <c r="EZ252" s="221"/>
      <c r="FA252" s="313"/>
      <c r="FB252" s="249"/>
      <c r="FC252" s="221"/>
      <c r="FD252" s="313"/>
      <c r="FE252" s="249"/>
      <c r="FF252" s="221"/>
      <c r="FG252" s="313"/>
      <c r="FH252" s="249"/>
      <c r="FI252" s="216"/>
      <c r="FJ252" s="1435"/>
      <c r="FK252" s="216"/>
      <c r="FL252" s="1268"/>
      <c r="FM252" s="1655"/>
      <c r="FN252" s="1268"/>
      <c r="FO252" s="1655"/>
      <c r="FP252" s="1268"/>
      <c r="FQ252" s="1656"/>
      <c r="FR252" s="249"/>
      <c r="FS252" s="216"/>
      <c r="FT252" s="1657"/>
      <c r="FU252" s="1658"/>
      <c r="FV252" s="242"/>
      <c r="FW252" s="343"/>
      <c r="FX252" s="222"/>
      <c r="FY252" s="336"/>
      <c r="FZ252" s="223"/>
      <c r="GA252" s="338"/>
      <c r="GB252" s="204"/>
      <c r="GC252" s="339"/>
      <c r="GD252" s="342"/>
      <c r="GE252" s="199"/>
      <c r="GF252" s="199"/>
      <c r="GG252" s="199"/>
      <c r="GH252" s="199"/>
      <c r="GI252" s="199"/>
      <c r="GJ252" s="199"/>
      <c r="GK252" s="199"/>
      <c r="GL252" s="49"/>
      <c r="GM252" s="28"/>
      <c r="GN252" s="28"/>
      <c r="GO252" s="322"/>
      <c r="GP252" s="1190"/>
      <c r="GQ252" s="1190"/>
      <c r="GR252" s="49"/>
      <c r="GS252" s="2879"/>
      <c r="GT252" s="2880"/>
      <c r="GU252" s="2881"/>
      <c r="GV252" s="49"/>
      <c r="GW252" s="49"/>
      <c r="GX252" s="49"/>
      <c r="GY252" s="49"/>
      <c r="GZ252" s="49"/>
      <c r="HA252" s="49"/>
      <c r="HB252" s="49"/>
      <c r="HC252" s="49"/>
      <c r="HD252" s="49"/>
      <c r="HE252" s="49"/>
      <c r="HF252" s="49"/>
      <c r="HG252" s="49"/>
      <c r="HH252" s="49"/>
      <c r="HI252" s="49"/>
      <c r="HJ252" s="49"/>
      <c r="HK252" s="49"/>
      <c r="HL252" s="49"/>
      <c r="HM252" s="49"/>
      <c r="HN252" s="49"/>
      <c r="HO252" s="49"/>
      <c r="HP252" s="49"/>
      <c r="HQ252" s="49"/>
      <c r="HR252" s="49"/>
      <c r="HS252" s="49"/>
      <c r="HT252" s="49"/>
      <c r="HU252" s="49"/>
      <c r="HV252" s="49"/>
      <c r="HW252" s="49"/>
      <c r="HX252" s="49"/>
      <c r="HY252" s="49"/>
      <c r="HZ252" s="49"/>
      <c r="IA252" s="49"/>
      <c r="IB252" s="49"/>
      <c r="IC252" s="49"/>
      <c r="ID252" s="49"/>
      <c r="IE252" s="49"/>
      <c r="IF252" s="49"/>
      <c r="IG252" s="49"/>
      <c r="IH252" s="49"/>
      <c r="II252" s="49"/>
      <c r="IJ252" s="49"/>
      <c r="IK252" s="49"/>
      <c r="IL252" s="49"/>
      <c r="IM252" s="49"/>
      <c r="IN252" s="49"/>
      <c r="IO252" s="49"/>
      <c r="IP252" s="49"/>
      <c r="IQ252" s="49"/>
      <c r="IR252" s="49"/>
      <c r="IS252" s="49"/>
      <c r="IT252" s="49"/>
      <c r="IU252" s="49"/>
      <c r="IV252" s="49"/>
    </row>
    <row r="253" spans="1:256" s="198" customFormat="1" ht="12" customHeight="1">
      <c r="A253" s="1252"/>
      <c r="B253" s="200"/>
      <c r="C253" s="486"/>
      <c r="D253" s="201"/>
      <c r="E253" s="202"/>
      <c r="F253" s="203"/>
      <c r="G253" s="197"/>
      <c r="H253" s="197"/>
      <c r="I253" s="197"/>
      <c r="J253" s="197"/>
      <c r="K253" s="175"/>
      <c r="L253" s="197"/>
      <c r="M253" s="197"/>
      <c r="N253" s="197"/>
      <c r="O253" s="197"/>
      <c r="P253" s="197"/>
      <c r="Q253" s="1198"/>
      <c r="R253" s="202"/>
      <c r="S253" s="202"/>
      <c r="T253" s="1186"/>
      <c r="U253" s="233"/>
      <c r="V253" s="49"/>
      <c r="W253" s="218"/>
      <c r="X253" s="218"/>
      <c r="Y253" s="216"/>
      <c r="Z253" s="216"/>
      <c r="AA253" s="215"/>
      <c r="AB253" s="216"/>
      <c r="AC253" s="216"/>
      <c r="AD253" s="239"/>
      <c r="AE253" s="216"/>
      <c r="AF253" s="216"/>
      <c r="AG253" s="216"/>
      <c r="AH253" s="216"/>
      <c r="AI253" s="216"/>
      <c r="AJ253" s="216"/>
      <c r="AK253" s="239"/>
      <c r="AL253" s="216"/>
      <c r="AM253" s="216"/>
      <c r="AN253" s="216"/>
      <c r="AO253" s="216"/>
      <c r="AP253" s="216"/>
      <c r="AQ253" s="216"/>
      <c r="AR253" s="216"/>
      <c r="AS253" s="216"/>
      <c r="AT253" s="216"/>
      <c r="AU253" s="216"/>
      <c r="AV253" s="217"/>
      <c r="AW253" s="355"/>
      <c r="AX253" s="217"/>
      <c r="AY253" s="1559"/>
      <c r="AZ253" s="249"/>
      <c r="BA253" s="221"/>
      <c r="BB253" s="300"/>
      <c r="BC253" s="217"/>
      <c r="BD253" s="392"/>
      <c r="BE253" s="1244"/>
      <c r="BF253" s="249"/>
      <c r="BG253" s="252"/>
      <c r="BH253" s="1469"/>
      <c r="BI253" s="216"/>
      <c r="BJ253" s="1469"/>
      <c r="BK253" s="1459"/>
      <c r="BL253" s="260"/>
      <c r="BM253" s="214"/>
      <c r="BN253" s="293"/>
      <c r="BO253" s="217"/>
      <c r="BP253" s="355"/>
      <c r="BQ253" s="217"/>
      <c r="BR253" s="1193"/>
      <c r="BS253" s="249"/>
      <c r="BT253" s="216"/>
      <c r="BU253" s="1195"/>
      <c r="BV253" s="249"/>
      <c r="BW253" s="216"/>
      <c r="BX253" s="1195"/>
      <c r="BY253" s="249"/>
      <c r="BZ253" s="216"/>
      <c r="CA253" s="1195"/>
      <c r="CB253" s="249"/>
      <c r="CC253" s="216"/>
      <c r="CD253" s="1195"/>
      <c r="CE253" s="249"/>
      <c r="CF253" s="216"/>
      <c r="CG253" s="1195"/>
      <c r="CH253" s="249"/>
      <c r="CI253" s="216"/>
      <c r="CJ253" s="1195"/>
      <c r="CK253" s="249"/>
      <c r="CL253" s="216"/>
      <c r="CM253" s="1194"/>
      <c r="CN253" s="1524"/>
      <c r="CO253" s="217"/>
      <c r="CP253" s="1193"/>
      <c r="CQ253" s="293"/>
      <c r="CR253" s="217"/>
      <c r="CS253" s="305"/>
      <c r="CT253" s="249"/>
      <c r="CU253" s="216"/>
      <c r="CV253" s="1193"/>
      <c r="CW253" s="249"/>
      <c r="CX253" s="216"/>
      <c r="CY253" s="305"/>
      <c r="CZ253" s="249"/>
      <c r="DA253" s="216"/>
      <c r="DB253" s="307"/>
      <c r="DC253" s="328"/>
      <c r="DD253" s="322"/>
      <c r="DE253" s="305"/>
      <c r="DF253" s="249"/>
      <c r="DG253" s="216"/>
      <c r="DH253" s="305"/>
      <c r="DI253" s="249"/>
      <c r="DJ253" s="216"/>
      <c r="DK253" s="309"/>
      <c r="DL253" s="293"/>
      <c r="DM253" s="326"/>
      <c r="DN253" s="1256"/>
      <c r="DO253" s="214"/>
      <c r="DP253" s="1257"/>
      <c r="DQ253" s="1258"/>
      <c r="DR253" s="305"/>
      <c r="DS253" s="249"/>
      <c r="DT253" s="216"/>
      <c r="DU253" s="305"/>
      <c r="DV253" s="2520"/>
      <c r="DW253" s="2521"/>
      <c r="DX253" s="305"/>
      <c r="DY253" s="249"/>
      <c r="DZ253" s="221"/>
      <c r="EA253" s="388"/>
      <c r="EB253" s="249"/>
      <c r="EC253" s="216"/>
      <c r="ED253" s="1461"/>
      <c r="EE253" s="249"/>
      <c r="EF253" s="216"/>
      <c r="EG253" s="355"/>
      <c r="EH253" s="1425"/>
      <c r="EI253" s="1470"/>
      <c r="EJ253" s="249"/>
      <c r="EK253" s="221"/>
      <c r="EL253" s="313"/>
      <c r="EM253" s="249"/>
      <c r="EN253" s="221"/>
      <c r="EO253" s="313"/>
      <c r="EP253" s="249"/>
      <c r="EQ253" s="216"/>
      <c r="ER253" s="313"/>
      <c r="ES253" s="249"/>
      <c r="ET253" s="216"/>
      <c r="EU253" s="313"/>
      <c r="EV253" s="249"/>
      <c r="EW253" s="216"/>
      <c r="EX253" s="2505"/>
      <c r="EY253" s="249"/>
      <c r="EZ253" s="221"/>
      <c r="FA253" s="313"/>
      <c r="FB253" s="249"/>
      <c r="FC253" s="221"/>
      <c r="FD253" s="313"/>
      <c r="FE253" s="249"/>
      <c r="FF253" s="221"/>
      <c r="FG253" s="313"/>
      <c r="FH253" s="249"/>
      <c r="FI253" s="216"/>
      <c r="FJ253" s="1435"/>
      <c r="FK253" s="216"/>
      <c r="FL253" s="1268"/>
      <c r="FM253" s="1655"/>
      <c r="FN253" s="1268"/>
      <c r="FO253" s="1655"/>
      <c r="FP253" s="1268"/>
      <c r="FQ253" s="1656"/>
      <c r="FR253" s="249"/>
      <c r="FS253" s="216"/>
      <c r="FT253" s="1657"/>
      <c r="FU253" s="1658"/>
      <c r="FV253" s="242"/>
      <c r="FW253" s="343"/>
      <c r="FX253" s="222"/>
      <c r="FY253" s="336"/>
      <c r="FZ253" s="223"/>
      <c r="GA253" s="338"/>
      <c r="GB253" s="204"/>
      <c r="GC253" s="339"/>
      <c r="GD253" s="342"/>
      <c r="GE253" s="199"/>
      <c r="GF253" s="199"/>
      <c r="GG253" s="199"/>
      <c r="GH253" s="199"/>
      <c r="GI253" s="199"/>
      <c r="GJ253" s="199"/>
      <c r="GK253" s="199"/>
      <c r="GL253" s="49"/>
      <c r="GM253" s="28"/>
      <c r="GN253" s="28"/>
      <c r="GO253" s="322"/>
      <c r="GP253" s="1190"/>
      <c r="GQ253" s="1190"/>
      <c r="GR253" s="49"/>
      <c r="GS253" s="2879"/>
      <c r="GT253" s="2880"/>
      <c r="GU253" s="2881"/>
      <c r="GV253" s="49"/>
      <c r="GW253" s="49"/>
      <c r="GX253" s="49"/>
      <c r="GY253" s="49"/>
      <c r="GZ253" s="49"/>
      <c r="HA253" s="49"/>
      <c r="HB253" s="49"/>
      <c r="HC253" s="49"/>
      <c r="HD253" s="49"/>
      <c r="HE253" s="49"/>
      <c r="HF253" s="49"/>
      <c r="HG253" s="49"/>
      <c r="HH253" s="49"/>
      <c r="HI253" s="49"/>
      <c r="HJ253" s="49"/>
      <c r="HK253" s="49"/>
      <c r="HL253" s="49"/>
      <c r="HM253" s="49"/>
      <c r="HN253" s="49"/>
      <c r="HO253" s="49"/>
      <c r="HP253" s="49"/>
      <c r="HQ253" s="49"/>
      <c r="HR253" s="49"/>
      <c r="HS253" s="49"/>
      <c r="HT253" s="49"/>
      <c r="HU253" s="49"/>
      <c r="HV253" s="49"/>
      <c r="HW253" s="49"/>
      <c r="HX253" s="49"/>
      <c r="HY253" s="49"/>
      <c r="HZ253" s="49"/>
      <c r="IA253" s="49"/>
      <c r="IB253" s="49"/>
      <c r="IC253" s="49"/>
      <c r="ID253" s="49"/>
      <c r="IE253" s="49"/>
      <c r="IF253" s="49"/>
      <c r="IG253" s="49"/>
      <c r="IH253" s="49"/>
      <c r="II253" s="49"/>
      <c r="IJ253" s="49"/>
      <c r="IK253" s="49"/>
      <c r="IL253" s="49"/>
      <c r="IM253" s="49"/>
      <c r="IN253" s="49"/>
      <c r="IO253" s="49"/>
      <c r="IP253" s="49"/>
      <c r="IQ253" s="49"/>
      <c r="IR253" s="49"/>
      <c r="IS253" s="49"/>
      <c r="IT253" s="49"/>
      <c r="IU253" s="49"/>
      <c r="IV253" s="49"/>
    </row>
    <row r="254" spans="1:256" s="198" customFormat="1" ht="12" customHeight="1">
      <c r="A254" s="1252"/>
      <c r="B254" s="200"/>
      <c r="C254" s="486"/>
      <c r="D254" s="201"/>
      <c r="E254" s="202"/>
      <c r="F254" s="203"/>
      <c r="G254" s="197"/>
      <c r="H254" s="197"/>
      <c r="I254" s="197"/>
      <c r="J254" s="197"/>
      <c r="K254" s="175"/>
      <c r="L254" s="197"/>
      <c r="M254" s="197"/>
      <c r="N254" s="197"/>
      <c r="O254" s="197"/>
      <c r="P254" s="197"/>
      <c r="Q254" s="1198"/>
      <c r="R254" s="202"/>
      <c r="S254" s="202"/>
      <c r="T254" s="1186"/>
      <c r="U254" s="233"/>
      <c r="V254" s="49"/>
      <c r="W254" s="218"/>
      <c r="X254" s="218"/>
      <c r="Y254" s="216"/>
      <c r="Z254" s="216"/>
      <c r="AA254" s="215"/>
      <c r="AB254" s="216"/>
      <c r="AC254" s="216"/>
      <c r="AD254" s="239"/>
      <c r="AE254" s="216"/>
      <c r="AF254" s="216"/>
      <c r="AG254" s="216"/>
      <c r="AH254" s="216"/>
      <c r="AI254" s="216"/>
      <c r="AJ254" s="216"/>
      <c r="AK254" s="239"/>
      <c r="AL254" s="216"/>
      <c r="AM254" s="216"/>
      <c r="AN254" s="216"/>
      <c r="AO254" s="216"/>
      <c r="AP254" s="216"/>
      <c r="AQ254" s="216"/>
      <c r="AR254" s="216"/>
      <c r="AS254" s="216"/>
      <c r="AT254" s="216"/>
      <c r="AU254" s="216"/>
      <c r="AV254" s="217"/>
      <c r="AW254" s="355"/>
      <c r="AX254" s="217"/>
      <c r="AY254" s="1559"/>
      <c r="AZ254" s="249"/>
      <c r="BA254" s="221"/>
      <c r="BB254" s="300"/>
      <c r="BC254" s="217"/>
      <c r="BD254" s="392"/>
      <c r="BE254" s="1244"/>
      <c r="BF254" s="249"/>
      <c r="BG254" s="252"/>
      <c r="BH254" s="1469"/>
      <c r="BI254" s="216"/>
      <c r="BJ254" s="1469"/>
      <c r="BK254" s="1459"/>
      <c r="BL254" s="260"/>
      <c r="BM254" s="214"/>
      <c r="BN254" s="293"/>
      <c r="BO254" s="217"/>
      <c r="BP254" s="355"/>
      <c r="BQ254" s="217"/>
      <c r="BR254" s="1193"/>
      <c r="BS254" s="249"/>
      <c r="BT254" s="216"/>
      <c r="BU254" s="1195"/>
      <c r="BV254" s="249"/>
      <c r="BW254" s="216"/>
      <c r="BX254" s="1195"/>
      <c r="BY254" s="249"/>
      <c r="BZ254" s="216"/>
      <c r="CA254" s="1195"/>
      <c r="CB254" s="249"/>
      <c r="CC254" s="216"/>
      <c r="CD254" s="1195"/>
      <c r="CE254" s="249"/>
      <c r="CF254" s="216"/>
      <c r="CG254" s="1195"/>
      <c r="CH254" s="249"/>
      <c r="CI254" s="216"/>
      <c r="CJ254" s="1195"/>
      <c r="CK254" s="249"/>
      <c r="CL254" s="216"/>
      <c r="CM254" s="1194"/>
      <c r="CN254" s="1524"/>
      <c r="CO254" s="217"/>
      <c r="CP254" s="1193"/>
      <c r="CQ254" s="293"/>
      <c r="CR254" s="217"/>
      <c r="CS254" s="305"/>
      <c r="CT254" s="249"/>
      <c r="CU254" s="216"/>
      <c r="CV254" s="1193"/>
      <c r="CW254" s="249"/>
      <c r="CX254" s="216"/>
      <c r="CY254" s="305"/>
      <c r="CZ254" s="249"/>
      <c r="DA254" s="216"/>
      <c r="DB254" s="307"/>
      <c r="DC254" s="328"/>
      <c r="DD254" s="322"/>
      <c r="DE254" s="305"/>
      <c r="DF254" s="249"/>
      <c r="DG254" s="216"/>
      <c r="DH254" s="305"/>
      <c r="DI254" s="249"/>
      <c r="DJ254" s="216"/>
      <c r="DK254" s="309"/>
      <c r="DL254" s="293"/>
      <c r="DM254" s="326"/>
      <c r="DN254" s="1256"/>
      <c r="DO254" s="214"/>
      <c r="DP254" s="1257"/>
      <c r="DQ254" s="1258"/>
      <c r="DR254" s="305"/>
      <c r="DS254" s="249"/>
      <c r="DT254" s="216"/>
      <c r="DU254" s="305"/>
      <c r="DV254" s="2520"/>
      <c r="DW254" s="2521"/>
      <c r="DX254" s="305"/>
      <c r="DY254" s="249"/>
      <c r="DZ254" s="221"/>
      <c r="EA254" s="388"/>
      <c r="EB254" s="249"/>
      <c r="EC254" s="216"/>
      <c r="ED254" s="1461"/>
      <c r="EE254" s="249"/>
      <c r="EF254" s="216"/>
      <c r="EG254" s="355"/>
      <c r="EH254" s="1425"/>
      <c r="EI254" s="1470"/>
      <c r="EJ254" s="249"/>
      <c r="EK254" s="221"/>
      <c r="EL254" s="313"/>
      <c r="EM254" s="249"/>
      <c r="EN254" s="221"/>
      <c r="EO254" s="313"/>
      <c r="EP254" s="249"/>
      <c r="EQ254" s="216"/>
      <c r="ER254" s="313"/>
      <c r="ES254" s="249"/>
      <c r="ET254" s="216"/>
      <c r="EU254" s="313"/>
      <c r="EV254" s="249"/>
      <c r="EW254" s="216"/>
      <c r="EX254" s="2505"/>
      <c r="EY254" s="249"/>
      <c r="EZ254" s="221"/>
      <c r="FA254" s="313"/>
      <c r="FB254" s="249"/>
      <c r="FC254" s="221"/>
      <c r="FD254" s="313"/>
      <c r="FE254" s="249"/>
      <c r="FF254" s="221"/>
      <c r="FG254" s="313"/>
      <c r="FH254" s="249"/>
      <c r="FI254" s="216"/>
      <c r="FJ254" s="1435"/>
      <c r="FK254" s="216"/>
      <c r="FL254" s="1268"/>
      <c r="FM254" s="1655"/>
      <c r="FN254" s="1268"/>
      <c r="FO254" s="1655"/>
      <c r="FP254" s="1268"/>
      <c r="FQ254" s="1656"/>
      <c r="FR254" s="249"/>
      <c r="FS254" s="216"/>
      <c r="FT254" s="1657"/>
      <c r="FU254" s="1658"/>
      <c r="FV254" s="242"/>
      <c r="FW254" s="343"/>
      <c r="FX254" s="222"/>
      <c r="FY254" s="336"/>
      <c r="FZ254" s="223"/>
      <c r="GA254" s="338"/>
      <c r="GB254" s="204"/>
      <c r="GC254" s="339"/>
      <c r="GD254" s="342"/>
      <c r="GE254" s="199"/>
      <c r="GF254" s="199"/>
      <c r="GG254" s="199"/>
      <c r="GH254" s="199"/>
      <c r="GI254" s="199"/>
      <c r="GJ254" s="199"/>
      <c r="GK254" s="199"/>
      <c r="GL254" s="49"/>
      <c r="GM254" s="28"/>
      <c r="GN254" s="28"/>
      <c r="GO254" s="322"/>
      <c r="GP254" s="1190"/>
      <c r="GQ254" s="1190"/>
      <c r="GR254" s="49"/>
      <c r="GS254" s="2879"/>
      <c r="GT254" s="2880"/>
      <c r="GU254" s="2881"/>
      <c r="GV254" s="49"/>
      <c r="GW254" s="49"/>
      <c r="GX254" s="49"/>
      <c r="GY254" s="49"/>
      <c r="GZ254" s="49"/>
      <c r="HA254" s="49"/>
      <c r="HB254" s="49"/>
      <c r="HC254" s="49"/>
      <c r="HD254" s="49"/>
      <c r="HE254" s="49"/>
      <c r="HF254" s="49"/>
      <c r="HG254" s="49"/>
      <c r="HH254" s="49"/>
      <c r="HI254" s="49"/>
      <c r="HJ254" s="49"/>
      <c r="HK254" s="49"/>
      <c r="HL254" s="49"/>
      <c r="HM254" s="49"/>
      <c r="HN254" s="49"/>
      <c r="HO254" s="49"/>
      <c r="HP254" s="49"/>
      <c r="HQ254" s="49"/>
      <c r="HR254" s="49"/>
      <c r="HS254" s="49"/>
      <c r="HT254" s="49"/>
      <c r="HU254" s="49"/>
      <c r="HV254" s="49"/>
      <c r="HW254" s="49"/>
      <c r="HX254" s="49"/>
      <c r="HY254" s="49"/>
      <c r="HZ254" s="49"/>
      <c r="IA254" s="49"/>
      <c r="IB254" s="49"/>
      <c r="IC254" s="49"/>
      <c r="ID254" s="49"/>
      <c r="IE254" s="49"/>
      <c r="IF254" s="49"/>
      <c r="IG254" s="49"/>
      <c r="IH254" s="49"/>
      <c r="II254" s="49"/>
      <c r="IJ254" s="49"/>
      <c r="IK254" s="49"/>
      <c r="IL254" s="49"/>
      <c r="IM254" s="49"/>
      <c r="IN254" s="49"/>
      <c r="IO254" s="49"/>
      <c r="IP254" s="49"/>
      <c r="IQ254" s="49"/>
      <c r="IR254" s="49"/>
      <c r="IS254" s="49"/>
      <c r="IT254" s="49"/>
      <c r="IU254" s="49"/>
      <c r="IV254" s="49"/>
    </row>
    <row r="255" spans="1:256" s="198" customFormat="1" ht="12" customHeight="1">
      <c r="A255" s="1252"/>
      <c r="B255" s="200"/>
      <c r="C255" s="486"/>
      <c r="D255" s="201"/>
      <c r="E255" s="202"/>
      <c r="F255" s="203"/>
      <c r="G255" s="197"/>
      <c r="H255" s="197"/>
      <c r="I255" s="197"/>
      <c r="J255" s="197"/>
      <c r="K255" s="175"/>
      <c r="L255" s="197"/>
      <c r="M255" s="197"/>
      <c r="N255" s="197"/>
      <c r="O255" s="197"/>
      <c r="P255" s="197"/>
      <c r="Q255" s="1198"/>
      <c r="R255" s="202"/>
      <c r="S255" s="202"/>
      <c r="T255" s="1186"/>
      <c r="U255" s="233"/>
      <c r="V255" s="49"/>
      <c r="W255" s="218"/>
      <c r="X255" s="218"/>
      <c r="Y255" s="216"/>
      <c r="Z255" s="216"/>
      <c r="AA255" s="215"/>
      <c r="AB255" s="216"/>
      <c r="AC255" s="216"/>
      <c r="AD255" s="239"/>
      <c r="AE255" s="216"/>
      <c r="AF255" s="216"/>
      <c r="AG255" s="216"/>
      <c r="AH255" s="216"/>
      <c r="AI255" s="216"/>
      <c r="AJ255" s="216"/>
      <c r="AK255" s="239"/>
      <c r="AL255" s="216"/>
      <c r="AM255" s="216"/>
      <c r="AN255" s="216"/>
      <c r="AO255" s="216"/>
      <c r="AP255" s="216"/>
      <c r="AQ255" s="216"/>
      <c r="AR255" s="216"/>
      <c r="AS255" s="216"/>
      <c r="AT255" s="216"/>
      <c r="AU255" s="216"/>
      <c r="AV255" s="217"/>
      <c r="AW255" s="355"/>
      <c r="AX255" s="217"/>
      <c r="AY255" s="1559"/>
      <c r="AZ255" s="249"/>
      <c r="BA255" s="221"/>
      <c r="BB255" s="300"/>
      <c r="BC255" s="217"/>
      <c r="BD255" s="392"/>
      <c r="BE255" s="1244"/>
      <c r="BF255" s="249"/>
      <c r="BG255" s="252"/>
      <c r="BH255" s="1469"/>
      <c r="BI255" s="216"/>
      <c r="BJ255" s="1469"/>
      <c r="BK255" s="1459"/>
      <c r="BL255" s="260"/>
      <c r="BM255" s="214"/>
      <c r="BN255" s="293"/>
      <c r="BO255" s="217"/>
      <c r="BP255" s="355"/>
      <c r="BQ255" s="217"/>
      <c r="BR255" s="1193"/>
      <c r="BS255" s="249"/>
      <c r="BT255" s="216"/>
      <c r="BU255" s="1195"/>
      <c r="BV255" s="249"/>
      <c r="BW255" s="216"/>
      <c r="BX255" s="1195"/>
      <c r="BY255" s="249"/>
      <c r="BZ255" s="216"/>
      <c r="CA255" s="1195"/>
      <c r="CB255" s="249"/>
      <c r="CC255" s="216"/>
      <c r="CD255" s="1195"/>
      <c r="CE255" s="249"/>
      <c r="CF255" s="216"/>
      <c r="CG255" s="1195"/>
      <c r="CH255" s="249"/>
      <c r="CI255" s="216"/>
      <c r="CJ255" s="1195"/>
      <c r="CK255" s="249"/>
      <c r="CL255" s="216"/>
      <c r="CM255" s="1194"/>
      <c r="CN255" s="1524"/>
      <c r="CO255" s="217"/>
      <c r="CP255" s="1193"/>
      <c r="CQ255" s="293"/>
      <c r="CR255" s="217"/>
      <c r="CS255" s="305"/>
      <c r="CT255" s="249"/>
      <c r="CU255" s="216"/>
      <c r="CV255" s="1193"/>
      <c r="CW255" s="249"/>
      <c r="CX255" s="216"/>
      <c r="CY255" s="305"/>
      <c r="CZ255" s="249"/>
      <c r="DA255" s="216"/>
      <c r="DB255" s="307"/>
      <c r="DC255" s="328"/>
      <c r="DD255" s="322"/>
      <c r="DE255" s="305"/>
      <c r="DF255" s="249"/>
      <c r="DG255" s="216"/>
      <c r="DH255" s="305"/>
      <c r="DI255" s="249"/>
      <c r="DJ255" s="216"/>
      <c r="DK255" s="309"/>
      <c r="DL255" s="293"/>
      <c r="DM255" s="326"/>
      <c r="DN255" s="1256"/>
      <c r="DO255" s="214"/>
      <c r="DP255" s="1257"/>
      <c r="DQ255" s="1258"/>
      <c r="DR255" s="305"/>
      <c r="DS255" s="249"/>
      <c r="DT255" s="216"/>
      <c r="DU255" s="305"/>
      <c r="DV255" s="2520"/>
      <c r="DW255" s="2521"/>
      <c r="DX255" s="305"/>
      <c r="DY255" s="249"/>
      <c r="DZ255" s="221"/>
      <c r="EA255" s="388"/>
      <c r="EB255" s="249"/>
      <c r="EC255" s="216"/>
      <c r="ED255" s="1461"/>
      <c r="EE255" s="249"/>
      <c r="EF255" s="216"/>
      <c r="EG255" s="355"/>
      <c r="EH255" s="1425"/>
      <c r="EI255" s="1470"/>
      <c r="EJ255" s="249"/>
      <c r="EK255" s="221"/>
      <c r="EL255" s="313"/>
      <c r="EM255" s="249"/>
      <c r="EN255" s="221"/>
      <c r="EO255" s="313"/>
      <c r="EP255" s="249"/>
      <c r="EQ255" s="216"/>
      <c r="ER255" s="313"/>
      <c r="ES255" s="249"/>
      <c r="ET255" s="216"/>
      <c r="EU255" s="313"/>
      <c r="EV255" s="249"/>
      <c r="EW255" s="216"/>
      <c r="EX255" s="2505"/>
      <c r="EY255" s="249"/>
      <c r="EZ255" s="221"/>
      <c r="FA255" s="313"/>
      <c r="FB255" s="249"/>
      <c r="FC255" s="221"/>
      <c r="FD255" s="313"/>
      <c r="FE255" s="249"/>
      <c r="FF255" s="221"/>
      <c r="FG255" s="313"/>
      <c r="FH255" s="249"/>
      <c r="FI255" s="216"/>
      <c r="FJ255" s="1435"/>
      <c r="FK255" s="216"/>
      <c r="FL255" s="1268"/>
      <c r="FM255" s="1655"/>
      <c r="FN255" s="1268"/>
      <c r="FO255" s="1655"/>
      <c r="FP255" s="1268"/>
      <c r="FQ255" s="1656"/>
      <c r="FR255" s="249"/>
      <c r="FS255" s="216"/>
      <c r="FT255" s="1657"/>
      <c r="FU255" s="1658"/>
      <c r="FV255" s="242"/>
      <c r="FW255" s="343"/>
      <c r="FX255" s="222"/>
      <c r="FY255" s="336"/>
      <c r="FZ255" s="223"/>
      <c r="GA255" s="338"/>
      <c r="GB255" s="204"/>
      <c r="GC255" s="339"/>
      <c r="GD255" s="342"/>
      <c r="GE255" s="199"/>
      <c r="GF255" s="199"/>
      <c r="GG255" s="199"/>
      <c r="GH255" s="199"/>
      <c r="GI255" s="199"/>
      <c r="GJ255" s="199"/>
      <c r="GK255" s="199"/>
      <c r="GL255" s="49"/>
      <c r="GM255" s="28"/>
      <c r="GN255" s="28"/>
      <c r="GO255" s="322"/>
      <c r="GP255" s="1190"/>
      <c r="GQ255" s="1190"/>
      <c r="GR255" s="49"/>
      <c r="GS255" s="2879"/>
      <c r="GT255" s="2880"/>
      <c r="GU255" s="2881"/>
      <c r="GV255" s="49"/>
      <c r="GW255" s="49"/>
      <c r="GX255" s="49"/>
      <c r="GY255" s="49"/>
      <c r="GZ255" s="49"/>
      <c r="HA255" s="49"/>
      <c r="HB255" s="49"/>
      <c r="HC255" s="49"/>
      <c r="HD255" s="49"/>
      <c r="HE255" s="49"/>
      <c r="HF255" s="49"/>
      <c r="HG255" s="49"/>
      <c r="HH255" s="49"/>
      <c r="HI255" s="49"/>
      <c r="HJ255" s="49"/>
      <c r="HK255" s="49"/>
      <c r="HL255" s="49"/>
      <c r="HM255" s="49"/>
      <c r="HN255" s="49"/>
      <c r="HO255" s="49"/>
      <c r="HP255" s="49"/>
      <c r="HQ255" s="49"/>
      <c r="HR255" s="49"/>
      <c r="HS255" s="49"/>
      <c r="HT255" s="49"/>
      <c r="HU255" s="49"/>
      <c r="HV255" s="49"/>
      <c r="HW255" s="49"/>
      <c r="HX255" s="49"/>
      <c r="HY255" s="49"/>
      <c r="HZ255" s="49"/>
      <c r="IA255" s="49"/>
      <c r="IB255" s="49"/>
      <c r="IC255" s="49"/>
      <c r="ID255" s="49"/>
      <c r="IE255" s="49"/>
      <c r="IF255" s="49"/>
      <c r="IG255" s="49"/>
      <c r="IH255" s="49"/>
      <c r="II255" s="49"/>
      <c r="IJ255" s="49"/>
      <c r="IK255" s="49"/>
      <c r="IL255" s="49"/>
      <c r="IM255" s="49"/>
      <c r="IN255" s="49"/>
      <c r="IO255" s="49"/>
      <c r="IP255" s="49"/>
      <c r="IQ255" s="49"/>
      <c r="IR255" s="49"/>
      <c r="IS255" s="49"/>
      <c r="IT255" s="49"/>
      <c r="IU255" s="49"/>
      <c r="IV255" s="49"/>
    </row>
    <row r="256" spans="1:256" s="198" customFormat="1" ht="12" customHeight="1">
      <c r="A256" s="1252"/>
      <c r="B256" s="200"/>
      <c r="C256" s="486"/>
      <c r="D256" s="201"/>
      <c r="E256" s="202"/>
      <c r="F256" s="203"/>
      <c r="G256" s="197"/>
      <c r="H256" s="197"/>
      <c r="I256" s="197"/>
      <c r="J256" s="197"/>
      <c r="K256" s="175"/>
      <c r="L256" s="197"/>
      <c r="M256" s="197"/>
      <c r="N256" s="197"/>
      <c r="O256" s="197"/>
      <c r="P256" s="197"/>
      <c r="Q256" s="1198"/>
      <c r="R256" s="202"/>
      <c r="S256" s="202"/>
      <c r="T256" s="1186"/>
      <c r="U256" s="233"/>
      <c r="V256" s="49"/>
      <c r="W256" s="218"/>
      <c r="X256" s="218"/>
      <c r="Y256" s="216"/>
      <c r="Z256" s="216"/>
      <c r="AA256" s="215"/>
      <c r="AB256" s="216"/>
      <c r="AC256" s="216"/>
      <c r="AD256" s="239"/>
      <c r="AE256" s="216"/>
      <c r="AF256" s="216"/>
      <c r="AG256" s="216"/>
      <c r="AH256" s="216"/>
      <c r="AI256" s="216"/>
      <c r="AJ256" s="216"/>
      <c r="AK256" s="239"/>
      <c r="AL256" s="216"/>
      <c r="AM256" s="216"/>
      <c r="AN256" s="216"/>
      <c r="AO256" s="216"/>
      <c r="AP256" s="216"/>
      <c r="AQ256" s="216"/>
      <c r="AR256" s="216"/>
      <c r="AS256" s="216"/>
      <c r="AT256" s="216"/>
      <c r="AU256" s="216"/>
      <c r="AV256" s="217"/>
      <c r="AW256" s="355"/>
      <c r="AX256" s="217"/>
      <c r="AY256" s="1559"/>
      <c r="AZ256" s="249"/>
      <c r="BA256" s="221"/>
      <c r="BB256" s="300"/>
      <c r="BC256" s="217"/>
      <c r="BD256" s="392"/>
      <c r="BE256" s="1244"/>
      <c r="BF256" s="249"/>
      <c r="BG256" s="252"/>
      <c r="BH256" s="1469"/>
      <c r="BI256" s="216"/>
      <c r="BJ256" s="1469"/>
      <c r="BK256" s="1459"/>
      <c r="BL256" s="260"/>
      <c r="BM256" s="214"/>
      <c r="BN256" s="293"/>
      <c r="BO256" s="217"/>
      <c r="BP256" s="355"/>
      <c r="BQ256" s="217"/>
      <c r="BR256" s="1193"/>
      <c r="BS256" s="249"/>
      <c r="BT256" s="216"/>
      <c r="BU256" s="1195"/>
      <c r="BV256" s="249"/>
      <c r="BW256" s="216"/>
      <c r="BX256" s="1195"/>
      <c r="BY256" s="249"/>
      <c r="BZ256" s="216"/>
      <c r="CA256" s="1195"/>
      <c r="CB256" s="249"/>
      <c r="CC256" s="216"/>
      <c r="CD256" s="1195"/>
      <c r="CE256" s="249"/>
      <c r="CF256" s="216"/>
      <c r="CG256" s="1195"/>
      <c r="CH256" s="249"/>
      <c r="CI256" s="216"/>
      <c r="CJ256" s="1195"/>
      <c r="CK256" s="249"/>
      <c r="CL256" s="216"/>
      <c r="CM256" s="1194"/>
      <c r="CN256" s="1524"/>
      <c r="CO256" s="217"/>
      <c r="CP256" s="1193"/>
      <c r="CQ256" s="293"/>
      <c r="CR256" s="217"/>
      <c r="CS256" s="305"/>
      <c r="CT256" s="249"/>
      <c r="CU256" s="216"/>
      <c r="CV256" s="1193"/>
      <c r="CW256" s="249"/>
      <c r="CX256" s="216"/>
      <c r="CY256" s="305"/>
      <c r="CZ256" s="249"/>
      <c r="DA256" s="216"/>
      <c r="DB256" s="307"/>
      <c r="DC256" s="328"/>
      <c r="DD256" s="322"/>
      <c r="DE256" s="305"/>
      <c r="DF256" s="249"/>
      <c r="DG256" s="216"/>
      <c r="DH256" s="305"/>
      <c r="DI256" s="249"/>
      <c r="DJ256" s="216"/>
      <c r="DK256" s="309"/>
      <c r="DL256" s="293"/>
      <c r="DM256" s="326"/>
      <c r="DN256" s="1256"/>
      <c r="DO256" s="214"/>
      <c r="DP256" s="1257"/>
      <c r="DQ256" s="1258"/>
      <c r="DR256" s="305"/>
      <c r="DS256" s="249"/>
      <c r="DT256" s="216"/>
      <c r="DU256" s="305"/>
      <c r="DV256" s="2520"/>
      <c r="DW256" s="2521"/>
      <c r="DX256" s="305"/>
      <c r="DY256" s="249"/>
      <c r="DZ256" s="221"/>
      <c r="EA256" s="388"/>
      <c r="EB256" s="249"/>
      <c r="EC256" s="216"/>
      <c r="ED256" s="1461"/>
      <c r="EE256" s="249"/>
      <c r="EF256" s="216"/>
      <c r="EG256" s="355"/>
      <c r="EH256" s="1425"/>
      <c r="EI256" s="1470"/>
      <c r="EJ256" s="249"/>
      <c r="EK256" s="221"/>
      <c r="EL256" s="313"/>
      <c r="EM256" s="249"/>
      <c r="EN256" s="221"/>
      <c r="EO256" s="313"/>
      <c r="EP256" s="249"/>
      <c r="EQ256" s="216"/>
      <c r="ER256" s="313"/>
      <c r="ES256" s="249"/>
      <c r="ET256" s="216"/>
      <c r="EU256" s="313"/>
      <c r="EV256" s="249"/>
      <c r="EW256" s="216"/>
      <c r="EX256" s="2505"/>
      <c r="EY256" s="249"/>
      <c r="EZ256" s="221"/>
      <c r="FA256" s="313"/>
      <c r="FB256" s="249"/>
      <c r="FC256" s="221"/>
      <c r="FD256" s="313"/>
      <c r="FE256" s="249"/>
      <c r="FF256" s="221"/>
      <c r="FG256" s="313"/>
      <c r="FH256" s="249"/>
      <c r="FI256" s="216"/>
      <c r="FJ256" s="1435"/>
      <c r="FK256" s="216"/>
      <c r="FL256" s="1268"/>
      <c r="FM256" s="1655"/>
      <c r="FN256" s="1268"/>
      <c r="FO256" s="1655"/>
      <c r="FP256" s="1268"/>
      <c r="FQ256" s="1656"/>
      <c r="FR256" s="249"/>
      <c r="FS256" s="216"/>
      <c r="FT256" s="1657"/>
      <c r="FU256" s="1658"/>
      <c r="FV256" s="242"/>
      <c r="FW256" s="343"/>
      <c r="FX256" s="222"/>
      <c r="FY256" s="336"/>
      <c r="FZ256" s="223"/>
      <c r="GA256" s="338"/>
      <c r="GB256" s="204"/>
      <c r="GC256" s="339"/>
      <c r="GD256" s="342"/>
      <c r="GE256" s="199"/>
      <c r="GF256" s="199"/>
      <c r="GG256" s="199"/>
      <c r="GH256" s="199"/>
      <c r="GI256" s="199"/>
      <c r="GJ256" s="199"/>
      <c r="GK256" s="199"/>
      <c r="GL256" s="49"/>
      <c r="GM256" s="28"/>
      <c r="GN256" s="28"/>
      <c r="GO256" s="322"/>
      <c r="GP256" s="1190"/>
      <c r="GQ256" s="1190"/>
      <c r="GR256" s="49"/>
      <c r="GS256" s="2879"/>
      <c r="GT256" s="2880"/>
      <c r="GU256" s="2881"/>
      <c r="GV256" s="49"/>
      <c r="GW256" s="49"/>
      <c r="GX256" s="49"/>
      <c r="GY256" s="49"/>
      <c r="GZ256" s="49"/>
      <c r="HA256" s="49"/>
      <c r="HB256" s="49"/>
      <c r="HC256" s="49"/>
      <c r="HD256" s="49"/>
      <c r="HE256" s="49"/>
      <c r="HF256" s="49"/>
      <c r="HG256" s="49"/>
      <c r="HH256" s="49"/>
      <c r="HI256" s="49"/>
      <c r="HJ256" s="49"/>
      <c r="HK256" s="49"/>
      <c r="HL256" s="49"/>
      <c r="HM256" s="49"/>
      <c r="HN256" s="49"/>
      <c r="HO256" s="49"/>
      <c r="HP256" s="49"/>
      <c r="HQ256" s="49"/>
      <c r="HR256" s="49"/>
      <c r="HS256" s="49"/>
      <c r="HT256" s="49"/>
      <c r="HU256" s="49"/>
      <c r="HV256" s="49"/>
      <c r="HW256" s="49"/>
      <c r="HX256" s="49"/>
      <c r="HY256" s="49"/>
      <c r="HZ256" s="49"/>
      <c r="IA256" s="49"/>
      <c r="IB256" s="49"/>
      <c r="IC256" s="49"/>
      <c r="ID256" s="49"/>
      <c r="IE256" s="49"/>
      <c r="IF256" s="49"/>
      <c r="IG256" s="49"/>
      <c r="IH256" s="49"/>
      <c r="II256" s="49"/>
      <c r="IJ256" s="49"/>
      <c r="IK256" s="49"/>
      <c r="IL256" s="49"/>
      <c r="IM256" s="49"/>
      <c r="IN256" s="49"/>
      <c r="IO256" s="49"/>
      <c r="IP256" s="49"/>
      <c r="IQ256" s="49"/>
      <c r="IR256" s="49"/>
      <c r="IS256" s="49"/>
      <c r="IT256" s="49"/>
      <c r="IU256" s="49"/>
      <c r="IV256" s="49"/>
    </row>
    <row r="257" spans="1:256" s="198" customFormat="1" ht="12" customHeight="1">
      <c r="A257" s="1252"/>
      <c r="B257" s="200"/>
      <c r="C257" s="486"/>
      <c r="D257" s="201"/>
      <c r="E257" s="202"/>
      <c r="F257" s="203"/>
      <c r="G257" s="197"/>
      <c r="H257" s="197"/>
      <c r="I257" s="197"/>
      <c r="J257" s="197"/>
      <c r="K257" s="175"/>
      <c r="L257" s="197"/>
      <c r="M257" s="197"/>
      <c r="N257" s="197"/>
      <c r="O257" s="197"/>
      <c r="P257" s="197"/>
      <c r="Q257" s="1198"/>
      <c r="R257" s="202"/>
      <c r="S257" s="202"/>
      <c r="T257" s="1186"/>
      <c r="U257" s="233"/>
      <c r="V257" s="49"/>
      <c r="W257" s="218"/>
      <c r="X257" s="218"/>
      <c r="Y257" s="216"/>
      <c r="Z257" s="216"/>
      <c r="AA257" s="215"/>
      <c r="AB257" s="216"/>
      <c r="AC257" s="216"/>
      <c r="AD257" s="239"/>
      <c r="AE257" s="216"/>
      <c r="AF257" s="216"/>
      <c r="AG257" s="216"/>
      <c r="AH257" s="216"/>
      <c r="AI257" s="216"/>
      <c r="AJ257" s="216"/>
      <c r="AK257" s="239"/>
      <c r="AL257" s="216"/>
      <c r="AM257" s="216"/>
      <c r="AN257" s="216"/>
      <c r="AO257" s="216"/>
      <c r="AP257" s="216"/>
      <c r="AQ257" s="216"/>
      <c r="AR257" s="216"/>
      <c r="AS257" s="216"/>
      <c r="AT257" s="216"/>
      <c r="AU257" s="216"/>
      <c r="AV257" s="217"/>
      <c r="AW257" s="355"/>
      <c r="AX257" s="217"/>
      <c r="AY257" s="1559"/>
      <c r="AZ257" s="249"/>
      <c r="BA257" s="221"/>
      <c r="BB257" s="300"/>
      <c r="BC257" s="217"/>
      <c r="BD257" s="392"/>
      <c r="BE257" s="1244"/>
      <c r="BF257" s="249"/>
      <c r="BG257" s="252"/>
      <c r="BH257" s="1469"/>
      <c r="BI257" s="216"/>
      <c r="BJ257" s="1469"/>
      <c r="BK257" s="1459"/>
      <c r="BL257" s="260"/>
      <c r="BM257" s="214"/>
      <c r="BN257" s="293"/>
      <c r="BO257" s="217"/>
      <c r="BP257" s="355"/>
      <c r="BQ257" s="217"/>
      <c r="BR257" s="1193"/>
      <c r="BS257" s="249"/>
      <c r="BT257" s="216"/>
      <c r="BU257" s="1195"/>
      <c r="BV257" s="249"/>
      <c r="BW257" s="216"/>
      <c r="BX257" s="1195"/>
      <c r="BY257" s="249"/>
      <c r="BZ257" s="216"/>
      <c r="CA257" s="1195"/>
      <c r="CB257" s="249"/>
      <c r="CC257" s="216"/>
      <c r="CD257" s="1195"/>
      <c r="CE257" s="249"/>
      <c r="CF257" s="216"/>
      <c r="CG257" s="1195"/>
      <c r="CH257" s="249"/>
      <c r="CI257" s="216"/>
      <c r="CJ257" s="1195"/>
      <c r="CK257" s="249"/>
      <c r="CL257" s="216"/>
      <c r="CM257" s="1194"/>
      <c r="CN257" s="1524"/>
      <c r="CO257" s="217"/>
      <c r="CP257" s="1193"/>
      <c r="CQ257" s="293"/>
      <c r="CR257" s="217"/>
      <c r="CS257" s="305"/>
      <c r="CT257" s="249"/>
      <c r="CU257" s="216"/>
      <c r="CV257" s="1193"/>
      <c r="CW257" s="249"/>
      <c r="CX257" s="216"/>
      <c r="CY257" s="305"/>
      <c r="CZ257" s="249"/>
      <c r="DA257" s="216"/>
      <c r="DB257" s="307"/>
      <c r="DC257" s="328"/>
      <c r="DD257" s="322"/>
      <c r="DE257" s="305"/>
      <c r="DF257" s="249"/>
      <c r="DG257" s="216"/>
      <c r="DH257" s="305"/>
      <c r="DI257" s="249"/>
      <c r="DJ257" s="216"/>
      <c r="DK257" s="309"/>
      <c r="DL257" s="293"/>
      <c r="DM257" s="326"/>
      <c r="DN257" s="1256"/>
      <c r="DO257" s="214"/>
      <c r="DP257" s="1257"/>
      <c r="DQ257" s="1258"/>
      <c r="DR257" s="305"/>
      <c r="DS257" s="249"/>
      <c r="DT257" s="216"/>
      <c r="DU257" s="305"/>
      <c r="DV257" s="2520"/>
      <c r="DW257" s="2521"/>
      <c r="DX257" s="305"/>
      <c r="DY257" s="249"/>
      <c r="DZ257" s="221"/>
      <c r="EA257" s="388"/>
      <c r="EB257" s="249"/>
      <c r="EC257" s="216"/>
      <c r="ED257" s="1461"/>
      <c r="EE257" s="249"/>
      <c r="EF257" s="216"/>
      <c r="EG257" s="355"/>
      <c r="EH257" s="1425"/>
      <c r="EI257" s="1470"/>
      <c r="EJ257" s="249"/>
      <c r="EK257" s="221"/>
      <c r="EL257" s="313"/>
      <c r="EM257" s="249"/>
      <c r="EN257" s="221"/>
      <c r="EO257" s="313"/>
      <c r="EP257" s="249"/>
      <c r="EQ257" s="216"/>
      <c r="ER257" s="313"/>
      <c r="ES257" s="249"/>
      <c r="ET257" s="216"/>
      <c r="EU257" s="313"/>
      <c r="EV257" s="249"/>
      <c r="EW257" s="216"/>
      <c r="EX257" s="2505"/>
      <c r="EY257" s="249"/>
      <c r="EZ257" s="221"/>
      <c r="FA257" s="313"/>
      <c r="FB257" s="249"/>
      <c r="FC257" s="221"/>
      <c r="FD257" s="313"/>
      <c r="FE257" s="249"/>
      <c r="FF257" s="221"/>
      <c r="FG257" s="313"/>
      <c r="FH257" s="249"/>
      <c r="FI257" s="216"/>
      <c r="FJ257" s="1435"/>
      <c r="FK257" s="216"/>
      <c r="FL257" s="1268"/>
      <c r="FM257" s="1655"/>
      <c r="FN257" s="1268"/>
      <c r="FO257" s="1655"/>
      <c r="FP257" s="1268"/>
      <c r="FQ257" s="1656"/>
      <c r="FR257" s="249"/>
      <c r="FS257" s="216"/>
      <c r="FT257" s="1657"/>
      <c r="FU257" s="1658"/>
      <c r="FV257" s="242"/>
      <c r="FW257" s="343"/>
      <c r="FX257" s="222"/>
      <c r="FY257" s="336"/>
      <c r="FZ257" s="223"/>
      <c r="GA257" s="338"/>
      <c r="GB257" s="204"/>
      <c r="GC257" s="339"/>
      <c r="GD257" s="342"/>
      <c r="GE257" s="199"/>
      <c r="GF257" s="199"/>
      <c r="GG257" s="199"/>
      <c r="GH257" s="199"/>
      <c r="GI257" s="199"/>
      <c r="GJ257" s="199"/>
      <c r="GK257" s="199"/>
      <c r="GL257" s="49"/>
      <c r="GM257" s="28"/>
      <c r="GN257" s="28"/>
      <c r="GO257" s="322"/>
      <c r="GP257" s="1190"/>
      <c r="GQ257" s="1190"/>
      <c r="GR257" s="49"/>
      <c r="GS257" s="2879"/>
      <c r="GT257" s="2880"/>
      <c r="GU257" s="2881"/>
      <c r="GV257" s="49"/>
      <c r="GW257" s="49"/>
      <c r="GX257" s="49"/>
      <c r="GY257" s="49"/>
      <c r="GZ257" s="49"/>
      <c r="HA257" s="49"/>
      <c r="HB257" s="49"/>
      <c r="HC257" s="49"/>
      <c r="HD257" s="49"/>
      <c r="HE257" s="49"/>
      <c r="HF257" s="49"/>
      <c r="HG257" s="49"/>
      <c r="HH257" s="49"/>
      <c r="HI257" s="49"/>
      <c r="HJ257" s="49"/>
      <c r="HK257" s="49"/>
      <c r="HL257" s="49"/>
      <c r="HM257" s="49"/>
      <c r="HN257" s="49"/>
      <c r="HO257" s="49"/>
      <c r="HP257" s="49"/>
      <c r="HQ257" s="49"/>
      <c r="HR257" s="49"/>
      <c r="HS257" s="49"/>
      <c r="HT257" s="49"/>
      <c r="HU257" s="49"/>
      <c r="HV257" s="49"/>
      <c r="HW257" s="49"/>
      <c r="HX257" s="49"/>
      <c r="HY257" s="49"/>
      <c r="HZ257" s="49"/>
      <c r="IA257" s="49"/>
      <c r="IB257" s="49"/>
      <c r="IC257" s="49"/>
      <c r="ID257" s="49"/>
      <c r="IE257" s="49"/>
      <c r="IF257" s="49"/>
      <c r="IG257" s="49"/>
      <c r="IH257" s="49"/>
      <c r="II257" s="49"/>
      <c r="IJ257" s="49"/>
      <c r="IK257" s="49"/>
      <c r="IL257" s="49"/>
      <c r="IM257" s="49"/>
      <c r="IN257" s="49"/>
      <c r="IO257" s="49"/>
      <c r="IP257" s="49"/>
      <c r="IQ257" s="49"/>
      <c r="IR257" s="49"/>
      <c r="IS257" s="49"/>
      <c r="IT257" s="49"/>
      <c r="IU257" s="49"/>
      <c r="IV257" s="49"/>
    </row>
    <row r="258" spans="1:256" s="198" customFormat="1" ht="12" customHeight="1">
      <c r="A258" s="1252"/>
      <c r="B258" s="200"/>
      <c r="C258" s="486"/>
      <c r="D258" s="201"/>
      <c r="E258" s="202"/>
      <c r="F258" s="203"/>
      <c r="G258" s="197"/>
      <c r="H258" s="197"/>
      <c r="I258" s="197"/>
      <c r="J258" s="197"/>
      <c r="K258" s="175"/>
      <c r="L258" s="197"/>
      <c r="M258" s="197"/>
      <c r="N258" s="197"/>
      <c r="O258" s="197"/>
      <c r="P258" s="197"/>
      <c r="Q258" s="1198"/>
      <c r="R258" s="202"/>
      <c r="S258" s="202"/>
      <c r="T258" s="1186"/>
      <c r="U258" s="233"/>
      <c r="V258" s="49"/>
      <c r="W258" s="218"/>
      <c r="X258" s="218"/>
      <c r="Y258" s="216"/>
      <c r="Z258" s="216"/>
      <c r="AA258" s="215"/>
      <c r="AB258" s="216"/>
      <c r="AC258" s="216"/>
      <c r="AD258" s="239"/>
      <c r="AE258" s="216"/>
      <c r="AF258" s="216"/>
      <c r="AG258" s="216"/>
      <c r="AH258" s="216"/>
      <c r="AI258" s="216"/>
      <c r="AJ258" s="216"/>
      <c r="AK258" s="239"/>
      <c r="AL258" s="216"/>
      <c r="AM258" s="216"/>
      <c r="AN258" s="216"/>
      <c r="AO258" s="216"/>
      <c r="AP258" s="216"/>
      <c r="AQ258" s="216"/>
      <c r="AR258" s="216"/>
      <c r="AS258" s="216"/>
      <c r="AT258" s="216"/>
      <c r="AU258" s="216"/>
      <c r="AV258" s="217"/>
      <c r="AW258" s="355"/>
      <c r="AX258" s="217"/>
      <c r="AY258" s="1559"/>
      <c r="AZ258" s="249"/>
      <c r="BA258" s="221"/>
      <c r="BB258" s="300"/>
      <c r="BC258" s="217"/>
      <c r="BD258" s="392"/>
      <c r="BE258" s="1244"/>
      <c r="BF258" s="249"/>
      <c r="BG258" s="252"/>
      <c r="BH258" s="1469"/>
      <c r="BI258" s="216"/>
      <c r="BJ258" s="1469"/>
      <c r="BK258" s="1459"/>
      <c r="BL258" s="260"/>
      <c r="BM258" s="214"/>
      <c r="BN258" s="293"/>
      <c r="BO258" s="217"/>
      <c r="BP258" s="355"/>
      <c r="BQ258" s="217"/>
      <c r="BR258" s="1193"/>
      <c r="BS258" s="249"/>
      <c r="BT258" s="216"/>
      <c r="BU258" s="1195"/>
      <c r="BV258" s="249"/>
      <c r="BW258" s="216"/>
      <c r="BX258" s="1195"/>
      <c r="BY258" s="249"/>
      <c r="BZ258" s="216"/>
      <c r="CA258" s="1195"/>
      <c r="CB258" s="249"/>
      <c r="CC258" s="216"/>
      <c r="CD258" s="1195"/>
      <c r="CE258" s="249"/>
      <c r="CF258" s="216"/>
      <c r="CG258" s="1195"/>
      <c r="CH258" s="249"/>
      <c r="CI258" s="216"/>
      <c r="CJ258" s="1195"/>
      <c r="CK258" s="249"/>
      <c r="CL258" s="216"/>
      <c r="CM258" s="1194"/>
      <c r="CN258" s="1524"/>
      <c r="CO258" s="217"/>
      <c r="CP258" s="1193"/>
      <c r="CQ258" s="293"/>
      <c r="CR258" s="217"/>
      <c r="CS258" s="305"/>
      <c r="CT258" s="249"/>
      <c r="CU258" s="216"/>
      <c r="CV258" s="1193"/>
      <c r="CW258" s="249"/>
      <c r="CX258" s="216"/>
      <c r="CY258" s="305"/>
      <c r="CZ258" s="249"/>
      <c r="DA258" s="216"/>
      <c r="DB258" s="307"/>
      <c r="DC258" s="328"/>
      <c r="DD258" s="322"/>
      <c r="DE258" s="305"/>
      <c r="DF258" s="249"/>
      <c r="DG258" s="216"/>
      <c r="DH258" s="305"/>
      <c r="DI258" s="249"/>
      <c r="DJ258" s="216"/>
      <c r="DK258" s="309"/>
      <c r="DL258" s="293"/>
      <c r="DM258" s="326"/>
      <c r="DN258" s="1256"/>
      <c r="DO258" s="214"/>
      <c r="DP258" s="1257"/>
      <c r="DQ258" s="1258"/>
      <c r="DR258" s="305"/>
      <c r="DS258" s="249"/>
      <c r="DT258" s="216"/>
      <c r="DU258" s="305"/>
      <c r="DV258" s="2520"/>
      <c r="DW258" s="2521"/>
      <c r="DX258" s="305"/>
      <c r="DY258" s="249"/>
      <c r="DZ258" s="221"/>
      <c r="EA258" s="388"/>
      <c r="EB258" s="249"/>
      <c r="EC258" s="216"/>
      <c r="ED258" s="1461"/>
      <c r="EE258" s="249"/>
      <c r="EF258" s="216"/>
      <c r="EG258" s="355"/>
      <c r="EH258" s="1425"/>
      <c r="EI258" s="1470"/>
      <c r="EJ258" s="249"/>
      <c r="EK258" s="221"/>
      <c r="EL258" s="313"/>
      <c r="EM258" s="249"/>
      <c r="EN258" s="221"/>
      <c r="EO258" s="313"/>
      <c r="EP258" s="249"/>
      <c r="EQ258" s="216"/>
      <c r="ER258" s="313"/>
      <c r="ES258" s="249"/>
      <c r="ET258" s="216"/>
      <c r="EU258" s="313"/>
      <c r="EV258" s="249"/>
      <c r="EW258" s="216"/>
      <c r="EX258" s="2505"/>
      <c r="EY258" s="249"/>
      <c r="EZ258" s="221"/>
      <c r="FA258" s="313"/>
      <c r="FB258" s="249"/>
      <c r="FC258" s="221"/>
      <c r="FD258" s="313"/>
      <c r="FE258" s="249"/>
      <c r="FF258" s="221"/>
      <c r="FG258" s="313"/>
      <c r="FH258" s="249"/>
      <c r="FI258" s="216"/>
      <c r="FJ258" s="1435"/>
      <c r="FK258" s="216"/>
      <c r="FL258" s="1268"/>
      <c r="FM258" s="1655"/>
      <c r="FN258" s="1268"/>
      <c r="FO258" s="1655"/>
      <c r="FP258" s="1268"/>
      <c r="FQ258" s="1656"/>
      <c r="FR258" s="249"/>
      <c r="FS258" s="216"/>
      <c r="FT258" s="1657"/>
      <c r="FU258" s="1658"/>
      <c r="FV258" s="242"/>
      <c r="FW258" s="343"/>
      <c r="FX258" s="222"/>
      <c r="FY258" s="336"/>
      <c r="FZ258" s="223"/>
      <c r="GA258" s="338"/>
      <c r="GB258" s="204"/>
      <c r="GC258" s="339"/>
      <c r="GD258" s="342"/>
      <c r="GE258" s="199"/>
      <c r="GF258" s="199"/>
      <c r="GG258" s="199"/>
      <c r="GH258" s="199"/>
      <c r="GI258" s="199"/>
      <c r="GJ258" s="199"/>
      <c r="GK258" s="199"/>
      <c r="GL258" s="49"/>
      <c r="GM258" s="28"/>
      <c r="GN258" s="28"/>
      <c r="GO258" s="322"/>
      <c r="GP258" s="1190"/>
      <c r="GQ258" s="1190"/>
      <c r="GR258" s="49"/>
      <c r="GS258" s="2879"/>
      <c r="GT258" s="2880"/>
      <c r="GU258" s="2881"/>
      <c r="GV258" s="49"/>
      <c r="GW258" s="49"/>
      <c r="GX258" s="49"/>
      <c r="GY258" s="49"/>
      <c r="GZ258" s="49"/>
      <c r="HA258" s="49"/>
      <c r="HB258" s="49"/>
      <c r="HC258" s="49"/>
      <c r="HD258" s="49"/>
      <c r="HE258" s="49"/>
      <c r="HF258" s="49"/>
      <c r="HG258" s="49"/>
      <c r="HH258" s="49"/>
      <c r="HI258" s="49"/>
      <c r="HJ258" s="49"/>
      <c r="HK258" s="49"/>
      <c r="HL258" s="49"/>
      <c r="HM258" s="49"/>
      <c r="HN258" s="49"/>
      <c r="HO258" s="49"/>
      <c r="HP258" s="49"/>
      <c r="HQ258" s="49"/>
      <c r="HR258" s="49"/>
      <c r="HS258" s="49"/>
      <c r="HT258" s="49"/>
      <c r="HU258" s="49"/>
      <c r="HV258" s="49"/>
      <c r="HW258" s="49"/>
      <c r="HX258" s="49"/>
      <c r="HY258" s="49"/>
      <c r="HZ258" s="49"/>
      <c r="IA258" s="49"/>
      <c r="IB258" s="49"/>
      <c r="IC258" s="49"/>
      <c r="ID258" s="49"/>
      <c r="IE258" s="49"/>
      <c r="IF258" s="49"/>
      <c r="IG258" s="49"/>
      <c r="IH258" s="49"/>
      <c r="II258" s="49"/>
      <c r="IJ258" s="49"/>
      <c r="IK258" s="49"/>
      <c r="IL258" s="49"/>
      <c r="IM258" s="49"/>
      <c r="IN258" s="49"/>
      <c r="IO258" s="49"/>
      <c r="IP258" s="49"/>
      <c r="IQ258" s="49"/>
      <c r="IR258" s="49"/>
      <c r="IS258" s="49"/>
      <c r="IT258" s="49"/>
      <c r="IU258" s="49"/>
      <c r="IV258" s="49"/>
    </row>
    <row r="259" spans="1:256" s="198" customFormat="1" ht="12" customHeight="1">
      <c r="A259" s="1252"/>
      <c r="B259" s="200"/>
      <c r="C259" s="486"/>
      <c r="D259" s="201"/>
      <c r="E259" s="202"/>
      <c r="F259" s="203"/>
      <c r="G259" s="197"/>
      <c r="H259" s="197"/>
      <c r="I259" s="197"/>
      <c r="J259" s="197"/>
      <c r="K259" s="175"/>
      <c r="L259" s="197"/>
      <c r="M259" s="197"/>
      <c r="N259" s="197"/>
      <c r="O259" s="197"/>
      <c r="P259" s="197"/>
      <c r="Q259" s="1198"/>
      <c r="R259" s="202"/>
      <c r="S259" s="202"/>
      <c r="T259" s="1186"/>
      <c r="U259" s="233"/>
      <c r="V259" s="49"/>
      <c r="W259" s="218"/>
      <c r="X259" s="218"/>
      <c r="Y259" s="216"/>
      <c r="Z259" s="216"/>
      <c r="AA259" s="215"/>
      <c r="AB259" s="216"/>
      <c r="AC259" s="216"/>
      <c r="AD259" s="239"/>
      <c r="AE259" s="216"/>
      <c r="AF259" s="216"/>
      <c r="AG259" s="216"/>
      <c r="AH259" s="216"/>
      <c r="AI259" s="216"/>
      <c r="AJ259" s="216"/>
      <c r="AK259" s="239"/>
      <c r="AL259" s="216"/>
      <c r="AM259" s="216"/>
      <c r="AN259" s="216"/>
      <c r="AO259" s="216"/>
      <c r="AP259" s="216"/>
      <c r="AQ259" s="216"/>
      <c r="AR259" s="216"/>
      <c r="AS259" s="216"/>
      <c r="AT259" s="216"/>
      <c r="AU259" s="216"/>
      <c r="AV259" s="217"/>
      <c r="AW259" s="355"/>
      <c r="AX259" s="217"/>
      <c r="AY259" s="1559"/>
      <c r="AZ259" s="249"/>
      <c r="BA259" s="221"/>
      <c r="BB259" s="300"/>
      <c r="BC259" s="217"/>
      <c r="BD259" s="392"/>
      <c r="BE259" s="1244"/>
      <c r="BF259" s="249"/>
      <c r="BG259" s="252"/>
      <c r="BH259" s="1469"/>
      <c r="BI259" s="216"/>
      <c r="BJ259" s="1469"/>
      <c r="BK259" s="1459"/>
      <c r="BL259" s="260"/>
      <c r="BM259" s="214"/>
      <c r="BN259" s="293"/>
      <c r="BO259" s="217"/>
      <c r="BP259" s="355"/>
      <c r="BQ259" s="217"/>
      <c r="BR259" s="1193"/>
      <c r="BS259" s="249"/>
      <c r="BT259" s="216"/>
      <c r="BU259" s="1195"/>
      <c r="BV259" s="249"/>
      <c r="BW259" s="216"/>
      <c r="BX259" s="1195"/>
      <c r="BY259" s="249"/>
      <c r="BZ259" s="216"/>
      <c r="CA259" s="1195"/>
      <c r="CB259" s="249"/>
      <c r="CC259" s="216"/>
      <c r="CD259" s="1195"/>
      <c r="CE259" s="249"/>
      <c r="CF259" s="216"/>
      <c r="CG259" s="1195"/>
      <c r="CH259" s="249"/>
      <c r="CI259" s="216"/>
      <c r="CJ259" s="1195"/>
      <c r="CK259" s="249"/>
      <c r="CL259" s="216"/>
      <c r="CM259" s="1194"/>
      <c r="CN259" s="1524"/>
      <c r="CO259" s="217"/>
      <c r="CP259" s="1193"/>
      <c r="CQ259" s="293"/>
      <c r="CR259" s="217"/>
      <c r="CS259" s="305"/>
      <c r="CT259" s="249"/>
      <c r="CU259" s="216"/>
      <c r="CV259" s="1193"/>
      <c r="CW259" s="249"/>
      <c r="CX259" s="216"/>
      <c r="CY259" s="305"/>
      <c r="CZ259" s="249"/>
      <c r="DA259" s="216"/>
      <c r="DB259" s="307"/>
      <c r="DC259" s="328"/>
      <c r="DD259" s="322"/>
      <c r="DE259" s="305"/>
      <c r="DF259" s="249"/>
      <c r="DG259" s="216"/>
      <c r="DH259" s="305"/>
      <c r="DI259" s="249"/>
      <c r="DJ259" s="216"/>
      <c r="DK259" s="309"/>
      <c r="DL259" s="293"/>
      <c r="DM259" s="326"/>
      <c r="DN259" s="1256"/>
      <c r="DO259" s="214"/>
      <c r="DP259" s="1257"/>
      <c r="DQ259" s="1258"/>
      <c r="DR259" s="305"/>
      <c r="DS259" s="249"/>
      <c r="DT259" s="216"/>
      <c r="DU259" s="305"/>
      <c r="DV259" s="2520"/>
      <c r="DW259" s="2521"/>
      <c r="DX259" s="305"/>
      <c r="DY259" s="249"/>
      <c r="DZ259" s="221"/>
      <c r="EA259" s="388"/>
      <c r="EB259" s="249"/>
      <c r="EC259" s="216"/>
      <c r="ED259" s="1461"/>
      <c r="EE259" s="249"/>
      <c r="EF259" s="216"/>
      <c r="EG259" s="355"/>
      <c r="EH259" s="1425"/>
      <c r="EI259" s="1470"/>
      <c r="EJ259" s="249"/>
      <c r="EK259" s="221"/>
      <c r="EL259" s="313"/>
      <c r="EM259" s="249"/>
      <c r="EN259" s="221"/>
      <c r="EO259" s="313"/>
      <c r="EP259" s="249"/>
      <c r="EQ259" s="216"/>
      <c r="ER259" s="313"/>
      <c r="ES259" s="249"/>
      <c r="ET259" s="216"/>
      <c r="EU259" s="313"/>
      <c r="EV259" s="249"/>
      <c r="EW259" s="216"/>
      <c r="EX259" s="2505"/>
      <c r="EY259" s="249"/>
      <c r="EZ259" s="221"/>
      <c r="FA259" s="313"/>
      <c r="FB259" s="249"/>
      <c r="FC259" s="221"/>
      <c r="FD259" s="313"/>
      <c r="FE259" s="249"/>
      <c r="FF259" s="221"/>
      <c r="FG259" s="313"/>
      <c r="FH259" s="249"/>
      <c r="FI259" s="216"/>
      <c r="FJ259" s="1435"/>
      <c r="FK259" s="216"/>
      <c r="FL259" s="1268"/>
      <c r="FM259" s="1655"/>
      <c r="FN259" s="1268"/>
      <c r="FO259" s="1655"/>
      <c r="FP259" s="1268"/>
      <c r="FQ259" s="1656"/>
      <c r="FR259" s="249"/>
      <c r="FS259" s="216"/>
      <c r="FT259" s="1657"/>
      <c r="FU259" s="1658"/>
      <c r="FV259" s="242"/>
      <c r="FW259" s="343"/>
      <c r="FX259" s="222"/>
      <c r="FY259" s="336"/>
      <c r="FZ259" s="223"/>
      <c r="GA259" s="338"/>
      <c r="GB259" s="204"/>
      <c r="GC259" s="339"/>
      <c r="GD259" s="342"/>
      <c r="GE259" s="199"/>
      <c r="GF259" s="199"/>
      <c r="GG259" s="199"/>
      <c r="GH259" s="199"/>
      <c r="GI259" s="199"/>
      <c r="GJ259" s="199"/>
      <c r="GK259" s="199"/>
      <c r="GL259" s="49"/>
      <c r="GM259" s="28"/>
      <c r="GN259" s="28"/>
      <c r="GO259" s="322"/>
      <c r="GP259" s="1190"/>
      <c r="GQ259" s="1190"/>
      <c r="GR259" s="49"/>
      <c r="GS259" s="2879"/>
      <c r="GT259" s="2880"/>
      <c r="GU259" s="2881"/>
      <c r="GV259" s="49"/>
      <c r="GW259" s="49"/>
      <c r="GX259" s="49"/>
      <c r="GY259" s="49"/>
      <c r="GZ259" s="49"/>
      <c r="HA259" s="49"/>
      <c r="HB259" s="49"/>
      <c r="HC259" s="49"/>
      <c r="HD259" s="49"/>
      <c r="HE259" s="49"/>
      <c r="HF259" s="49"/>
      <c r="HG259" s="49"/>
      <c r="HH259" s="49"/>
      <c r="HI259" s="49"/>
      <c r="HJ259" s="49"/>
      <c r="HK259" s="49"/>
      <c r="HL259" s="49"/>
      <c r="HM259" s="49"/>
      <c r="HN259" s="49"/>
      <c r="HO259" s="49"/>
      <c r="HP259" s="49"/>
      <c r="HQ259" s="49"/>
      <c r="HR259" s="49"/>
      <c r="HS259" s="49"/>
      <c r="HT259" s="49"/>
      <c r="HU259" s="49"/>
      <c r="HV259" s="49"/>
      <c r="HW259" s="49"/>
      <c r="HX259" s="49"/>
      <c r="HY259" s="49"/>
      <c r="HZ259" s="49"/>
      <c r="IA259" s="49"/>
      <c r="IB259" s="49"/>
      <c r="IC259" s="49"/>
      <c r="ID259" s="49"/>
      <c r="IE259" s="49"/>
      <c r="IF259" s="49"/>
      <c r="IG259" s="49"/>
      <c r="IH259" s="49"/>
      <c r="II259" s="49"/>
      <c r="IJ259" s="49"/>
      <c r="IK259" s="49"/>
      <c r="IL259" s="49"/>
      <c r="IM259" s="49"/>
      <c r="IN259" s="49"/>
      <c r="IO259" s="49"/>
      <c r="IP259" s="49"/>
      <c r="IQ259" s="49"/>
      <c r="IR259" s="49"/>
      <c r="IS259" s="49"/>
      <c r="IT259" s="49"/>
      <c r="IU259" s="49"/>
      <c r="IV259" s="49"/>
    </row>
    <row r="260" spans="1:256" s="198" customFormat="1" ht="12" customHeight="1">
      <c r="A260" s="1252"/>
      <c r="B260" s="200"/>
      <c r="C260" s="486"/>
      <c r="D260" s="201"/>
      <c r="E260" s="202"/>
      <c r="F260" s="203"/>
      <c r="G260" s="197"/>
      <c r="H260" s="197"/>
      <c r="I260" s="197"/>
      <c r="J260" s="197"/>
      <c r="K260" s="175"/>
      <c r="L260" s="197"/>
      <c r="M260" s="197"/>
      <c r="N260" s="197"/>
      <c r="O260" s="197"/>
      <c r="P260" s="197"/>
      <c r="Q260" s="1198"/>
      <c r="R260" s="202"/>
      <c r="S260" s="202"/>
      <c r="T260" s="1186"/>
      <c r="U260" s="233"/>
      <c r="V260" s="49"/>
      <c r="W260" s="218"/>
      <c r="X260" s="218"/>
      <c r="Y260" s="216"/>
      <c r="Z260" s="216"/>
      <c r="AA260" s="215"/>
      <c r="AB260" s="216"/>
      <c r="AC260" s="216"/>
      <c r="AD260" s="239"/>
      <c r="AE260" s="216"/>
      <c r="AF260" s="216"/>
      <c r="AG260" s="216"/>
      <c r="AH260" s="216"/>
      <c r="AI260" s="216"/>
      <c r="AJ260" s="216"/>
      <c r="AK260" s="239"/>
      <c r="AL260" s="216"/>
      <c r="AM260" s="216"/>
      <c r="AN260" s="216"/>
      <c r="AO260" s="216"/>
      <c r="AP260" s="216"/>
      <c r="AQ260" s="216"/>
      <c r="AR260" s="216"/>
      <c r="AS260" s="216"/>
      <c r="AT260" s="216"/>
      <c r="AU260" s="216"/>
      <c r="AV260" s="217"/>
      <c r="AW260" s="355"/>
      <c r="AX260" s="217"/>
      <c r="AY260" s="1559"/>
      <c r="AZ260" s="249"/>
      <c r="BA260" s="221"/>
      <c r="BB260" s="300"/>
      <c r="BC260" s="217"/>
      <c r="BD260" s="392"/>
      <c r="BE260" s="1244"/>
      <c r="BF260" s="249"/>
      <c r="BG260" s="252"/>
      <c r="BH260" s="1469"/>
      <c r="BI260" s="216"/>
      <c r="BJ260" s="1469"/>
      <c r="BK260" s="1459"/>
      <c r="BL260" s="260"/>
      <c r="BM260" s="214"/>
      <c r="BN260" s="293"/>
      <c r="BO260" s="217"/>
      <c r="BP260" s="355"/>
      <c r="BQ260" s="217"/>
      <c r="BR260" s="1193"/>
      <c r="BS260" s="249"/>
      <c r="BT260" s="216"/>
      <c r="BU260" s="1195"/>
      <c r="BV260" s="249"/>
      <c r="BW260" s="216"/>
      <c r="BX260" s="1195"/>
      <c r="BY260" s="249"/>
      <c r="BZ260" s="216"/>
      <c r="CA260" s="1195"/>
      <c r="CB260" s="249"/>
      <c r="CC260" s="216"/>
      <c r="CD260" s="1195"/>
      <c r="CE260" s="249"/>
      <c r="CF260" s="216"/>
      <c r="CG260" s="1195"/>
      <c r="CH260" s="249"/>
      <c r="CI260" s="216"/>
      <c r="CJ260" s="1195"/>
      <c r="CK260" s="249"/>
      <c r="CL260" s="216"/>
      <c r="CM260" s="1194"/>
      <c r="CN260" s="1524"/>
      <c r="CO260" s="217"/>
      <c r="CP260" s="1193"/>
      <c r="CQ260" s="293"/>
      <c r="CR260" s="217"/>
      <c r="CS260" s="305"/>
      <c r="CT260" s="249"/>
      <c r="CU260" s="216"/>
      <c r="CV260" s="1193"/>
      <c r="CW260" s="249"/>
      <c r="CX260" s="216"/>
      <c r="CY260" s="305"/>
      <c r="CZ260" s="249"/>
      <c r="DA260" s="216"/>
      <c r="DB260" s="307"/>
      <c r="DC260" s="328"/>
      <c r="DD260" s="322"/>
      <c r="DE260" s="305"/>
      <c r="DF260" s="249"/>
      <c r="DG260" s="216"/>
      <c r="DH260" s="305"/>
      <c r="DI260" s="249"/>
      <c r="DJ260" s="216"/>
      <c r="DK260" s="309"/>
      <c r="DL260" s="293"/>
      <c r="DM260" s="326"/>
      <c r="DN260" s="1256"/>
      <c r="DO260" s="214"/>
      <c r="DP260" s="1257"/>
      <c r="DQ260" s="1258"/>
      <c r="DR260" s="305"/>
      <c r="DS260" s="249"/>
      <c r="DT260" s="216"/>
      <c r="DU260" s="305"/>
      <c r="DV260" s="2520"/>
      <c r="DW260" s="2521"/>
      <c r="DX260" s="305"/>
      <c r="DY260" s="249"/>
      <c r="DZ260" s="221"/>
      <c r="EA260" s="388"/>
      <c r="EB260" s="249"/>
      <c r="EC260" s="216"/>
      <c r="ED260" s="1461"/>
      <c r="EE260" s="249"/>
      <c r="EF260" s="216"/>
      <c r="EG260" s="355"/>
      <c r="EH260" s="1425"/>
      <c r="EI260" s="1470"/>
      <c r="EJ260" s="249"/>
      <c r="EK260" s="221"/>
      <c r="EL260" s="313"/>
      <c r="EM260" s="249"/>
      <c r="EN260" s="221"/>
      <c r="EO260" s="313"/>
      <c r="EP260" s="249"/>
      <c r="EQ260" s="216"/>
      <c r="ER260" s="313"/>
      <c r="ES260" s="249"/>
      <c r="ET260" s="216"/>
      <c r="EU260" s="313"/>
      <c r="EV260" s="249"/>
      <c r="EW260" s="216"/>
      <c r="EX260" s="2505"/>
      <c r="EY260" s="249"/>
      <c r="EZ260" s="221"/>
      <c r="FA260" s="313"/>
      <c r="FB260" s="249"/>
      <c r="FC260" s="221"/>
      <c r="FD260" s="313"/>
      <c r="FE260" s="249"/>
      <c r="FF260" s="221"/>
      <c r="FG260" s="313"/>
      <c r="FH260" s="249"/>
      <c r="FI260" s="216"/>
      <c r="FJ260" s="1435"/>
      <c r="FK260" s="216"/>
      <c r="FL260" s="1268"/>
      <c r="FM260" s="1655"/>
      <c r="FN260" s="1268"/>
      <c r="FO260" s="1655"/>
      <c r="FP260" s="1268"/>
      <c r="FQ260" s="1656"/>
      <c r="FR260" s="249"/>
      <c r="FS260" s="216"/>
      <c r="FT260" s="1657"/>
      <c r="FU260" s="1658"/>
      <c r="FV260" s="242"/>
      <c r="FW260" s="343"/>
      <c r="FX260" s="222"/>
      <c r="FY260" s="336"/>
      <c r="FZ260" s="223"/>
      <c r="GA260" s="338"/>
      <c r="GB260" s="204"/>
      <c r="GC260" s="339"/>
      <c r="GD260" s="342"/>
      <c r="GE260" s="199"/>
      <c r="GF260" s="199"/>
      <c r="GG260" s="199"/>
      <c r="GH260" s="199"/>
      <c r="GI260" s="199"/>
      <c r="GJ260" s="199"/>
      <c r="GK260" s="199"/>
      <c r="GL260" s="49"/>
      <c r="GM260" s="28"/>
      <c r="GN260" s="28"/>
      <c r="GO260" s="322"/>
      <c r="GP260" s="1190"/>
      <c r="GQ260" s="1190"/>
      <c r="GR260" s="49"/>
      <c r="GS260" s="2879"/>
      <c r="GT260" s="2880"/>
      <c r="GU260" s="2881"/>
      <c r="GV260" s="49"/>
      <c r="GW260" s="49"/>
      <c r="GX260" s="49"/>
      <c r="GY260" s="49"/>
      <c r="GZ260" s="49"/>
      <c r="HA260" s="49"/>
      <c r="HB260" s="49"/>
      <c r="HC260" s="49"/>
      <c r="HD260" s="49"/>
      <c r="HE260" s="49"/>
      <c r="HF260" s="49"/>
      <c r="HG260" s="49"/>
      <c r="HH260" s="49"/>
      <c r="HI260" s="49"/>
      <c r="HJ260" s="49"/>
      <c r="HK260" s="49"/>
      <c r="HL260" s="49"/>
      <c r="HM260" s="49"/>
      <c r="HN260" s="49"/>
      <c r="HO260" s="49"/>
      <c r="HP260" s="49"/>
      <c r="HQ260" s="49"/>
      <c r="HR260" s="49"/>
      <c r="HS260" s="49"/>
      <c r="HT260" s="49"/>
      <c r="HU260" s="49"/>
      <c r="HV260" s="49"/>
      <c r="HW260" s="49"/>
      <c r="HX260" s="49"/>
      <c r="HY260" s="49"/>
      <c r="HZ260" s="49"/>
      <c r="IA260" s="49"/>
      <c r="IB260" s="49"/>
      <c r="IC260" s="49"/>
      <c r="ID260" s="49"/>
      <c r="IE260" s="49"/>
      <c r="IF260" s="49"/>
      <c r="IG260" s="49"/>
      <c r="IH260" s="49"/>
      <c r="II260" s="49"/>
      <c r="IJ260" s="49"/>
      <c r="IK260" s="49"/>
      <c r="IL260" s="49"/>
      <c r="IM260" s="49"/>
      <c r="IN260" s="49"/>
      <c r="IO260" s="49"/>
      <c r="IP260" s="49"/>
      <c r="IQ260" s="49"/>
      <c r="IR260" s="49"/>
      <c r="IS260" s="49"/>
      <c r="IT260" s="49"/>
      <c r="IU260" s="49"/>
      <c r="IV260" s="49"/>
    </row>
    <row r="261" spans="1:256" s="198" customFormat="1" ht="12" customHeight="1">
      <c r="A261" s="1252"/>
      <c r="B261" s="200"/>
      <c r="C261" s="486"/>
      <c r="D261" s="201"/>
      <c r="E261" s="202"/>
      <c r="F261" s="203"/>
      <c r="G261" s="197"/>
      <c r="H261" s="197"/>
      <c r="I261" s="197"/>
      <c r="J261" s="197"/>
      <c r="K261" s="175"/>
      <c r="L261" s="197"/>
      <c r="M261" s="197"/>
      <c r="N261" s="197"/>
      <c r="O261" s="197"/>
      <c r="P261" s="197"/>
      <c r="Q261" s="1198"/>
      <c r="R261" s="202"/>
      <c r="S261" s="202"/>
      <c r="T261" s="1186"/>
      <c r="U261" s="233"/>
      <c r="V261" s="49"/>
      <c r="W261" s="218"/>
      <c r="X261" s="218"/>
      <c r="Y261" s="216"/>
      <c r="Z261" s="216"/>
      <c r="AA261" s="215"/>
      <c r="AB261" s="216"/>
      <c r="AC261" s="216"/>
      <c r="AD261" s="239"/>
      <c r="AE261" s="216"/>
      <c r="AF261" s="216"/>
      <c r="AG261" s="216"/>
      <c r="AH261" s="216"/>
      <c r="AI261" s="216"/>
      <c r="AJ261" s="216"/>
      <c r="AK261" s="239"/>
      <c r="AL261" s="216"/>
      <c r="AM261" s="216"/>
      <c r="AN261" s="216"/>
      <c r="AO261" s="216"/>
      <c r="AP261" s="216"/>
      <c r="AQ261" s="216"/>
      <c r="AR261" s="216"/>
      <c r="AS261" s="216"/>
      <c r="AT261" s="216"/>
      <c r="AU261" s="216"/>
      <c r="AV261" s="217"/>
      <c r="AW261" s="355"/>
      <c r="AX261" s="217"/>
      <c r="AY261" s="1559"/>
      <c r="AZ261" s="249"/>
      <c r="BA261" s="221"/>
      <c r="BB261" s="300"/>
      <c r="BC261" s="217"/>
      <c r="BD261" s="392"/>
      <c r="BE261" s="1244"/>
      <c r="BF261" s="249"/>
      <c r="BG261" s="252"/>
      <c r="BH261" s="1469"/>
      <c r="BI261" s="216"/>
      <c r="BJ261" s="1469"/>
      <c r="BK261" s="1459"/>
      <c r="BL261" s="260"/>
      <c r="BM261" s="214"/>
      <c r="BN261" s="293"/>
      <c r="BO261" s="217"/>
      <c r="BP261" s="355"/>
      <c r="BQ261" s="217"/>
      <c r="BR261" s="1193"/>
      <c r="BS261" s="249"/>
      <c r="BT261" s="216"/>
      <c r="BU261" s="1195"/>
      <c r="BV261" s="249"/>
      <c r="BW261" s="216"/>
      <c r="BX261" s="1195"/>
      <c r="BY261" s="249"/>
      <c r="BZ261" s="216"/>
      <c r="CA261" s="1195"/>
      <c r="CB261" s="249"/>
      <c r="CC261" s="216"/>
      <c r="CD261" s="1195"/>
      <c r="CE261" s="249"/>
      <c r="CF261" s="216"/>
      <c r="CG261" s="1195"/>
      <c r="CH261" s="249"/>
      <c r="CI261" s="216"/>
      <c r="CJ261" s="1195"/>
      <c r="CK261" s="249"/>
      <c r="CL261" s="216"/>
      <c r="CM261" s="1194"/>
      <c r="CN261" s="1524"/>
      <c r="CO261" s="217"/>
      <c r="CP261" s="1193"/>
      <c r="CQ261" s="293"/>
      <c r="CR261" s="217"/>
      <c r="CS261" s="305"/>
      <c r="CT261" s="249"/>
      <c r="CU261" s="216"/>
      <c r="CV261" s="1193"/>
      <c r="CW261" s="249"/>
      <c r="CX261" s="216"/>
      <c r="CY261" s="305"/>
      <c r="CZ261" s="249"/>
      <c r="DA261" s="216"/>
      <c r="DB261" s="307"/>
      <c r="DC261" s="328"/>
      <c r="DD261" s="322"/>
      <c r="DE261" s="305"/>
      <c r="DF261" s="249"/>
      <c r="DG261" s="216"/>
      <c r="DH261" s="305"/>
      <c r="DI261" s="249"/>
      <c r="DJ261" s="216"/>
      <c r="DK261" s="309"/>
      <c r="DL261" s="293"/>
      <c r="DM261" s="326"/>
      <c r="DN261" s="1256"/>
      <c r="DO261" s="214"/>
      <c r="DP261" s="1257"/>
      <c r="DQ261" s="1258"/>
      <c r="DR261" s="305"/>
      <c r="DS261" s="249"/>
      <c r="DT261" s="216"/>
      <c r="DU261" s="305"/>
      <c r="DV261" s="2520"/>
      <c r="DW261" s="2521"/>
      <c r="DX261" s="305"/>
      <c r="DY261" s="249"/>
      <c r="DZ261" s="221"/>
      <c r="EA261" s="388"/>
      <c r="EB261" s="249"/>
      <c r="EC261" s="216"/>
      <c r="ED261" s="1461"/>
      <c r="EE261" s="249"/>
      <c r="EF261" s="216"/>
      <c r="EG261" s="355"/>
      <c r="EH261" s="1425"/>
      <c r="EI261" s="1470"/>
      <c r="EJ261" s="249"/>
      <c r="EK261" s="221"/>
      <c r="EL261" s="313"/>
      <c r="EM261" s="249"/>
      <c r="EN261" s="221"/>
      <c r="EO261" s="313"/>
      <c r="EP261" s="249"/>
      <c r="EQ261" s="216"/>
      <c r="ER261" s="313"/>
      <c r="ES261" s="249"/>
      <c r="ET261" s="216"/>
      <c r="EU261" s="313"/>
      <c r="EV261" s="249"/>
      <c r="EW261" s="216"/>
      <c r="EX261" s="2505"/>
      <c r="EY261" s="249"/>
      <c r="EZ261" s="221"/>
      <c r="FA261" s="313"/>
      <c r="FB261" s="249"/>
      <c r="FC261" s="221"/>
      <c r="FD261" s="313"/>
      <c r="FE261" s="249"/>
      <c r="FF261" s="221"/>
      <c r="FG261" s="313"/>
      <c r="FH261" s="249"/>
      <c r="FI261" s="216"/>
      <c r="FJ261" s="1435"/>
      <c r="FK261" s="216"/>
      <c r="FL261" s="1268"/>
      <c r="FM261" s="1655"/>
      <c r="FN261" s="1268"/>
      <c r="FO261" s="1655"/>
      <c r="FP261" s="1268"/>
      <c r="FQ261" s="1656"/>
      <c r="FR261" s="249"/>
      <c r="FS261" s="216"/>
      <c r="FT261" s="1657"/>
      <c r="FU261" s="1658"/>
      <c r="FV261" s="242"/>
      <c r="FW261" s="343"/>
      <c r="FX261" s="222"/>
      <c r="FY261" s="336"/>
      <c r="FZ261" s="223"/>
      <c r="GA261" s="338"/>
      <c r="GB261" s="204"/>
      <c r="GC261" s="339"/>
      <c r="GD261" s="342"/>
      <c r="GE261" s="199"/>
      <c r="GF261" s="199"/>
      <c r="GG261" s="199"/>
      <c r="GH261" s="199"/>
      <c r="GI261" s="199"/>
      <c r="GJ261" s="199"/>
      <c r="GK261" s="199"/>
      <c r="GL261" s="49"/>
      <c r="GM261" s="28"/>
      <c r="GN261" s="28"/>
      <c r="GO261" s="322"/>
      <c r="GP261" s="1190"/>
      <c r="GQ261" s="1190"/>
      <c r="GR261" s="49"/>
      <c r="GS261" s="2879"/>
      <c r="GT261" s="2880"/>
      <c r="GU261" s="2881"/>
      <c r="GV261" s="49"/>
      <c r="GW261" s="49"/>
      <c r="GX261" s="49"/>
      <c r="GY261" s="49"/>
      <c r="GZ261" s="49"/>
      <c r="HA261" s="49"/>
      <c r="HB261" s="49"/>
      <c r="HC261" s="49"/>
      <c r="HD261" s="49"/>
      <c r="HE261" s="49"/>
      <c r="HF261" s="49"/>
      <c r="HG261" s="49"/>
      <c r="HH261" s="49"/>
      <c r="HI261" s="49"/>
      <c r="HJ261" s="49"/>
      <c r="HK261" s="49"/>
      <c r="HL261" s="49"/>
      <c r="HM261" s="49"/>
      <c r="HN261" s="49"/>
      <c r="HO261" s="49"/>
      <c r="HP261" s="49"/>
      <c r="HQ261" s="49"/>
      <c r="HR261" s="49"/>
      <c r="HS261" s="49"/>
      <c r="HT261" s="49"/>
      <c r="HU261" s="49"/>
      <c r="HV261" s="49"/>
      <c r="HW261" s="49"/>
      <c r="HX261" s="49"/>
      <c r="HY261" s="49"/>
      <c r="HZ261" s="49"/>
      <c r="IA261" s="49"/>
      <c r="IB261" s="49"/>
      <c r="IC261" s="49"/>
      <c r="ID261" s="49"/>
      <c r="IE261" s="49"/>
      <c r="IF261" s="49"/>
      <c r="IG261" s="49"/>
      <c r="IH261" s="49"/>
      <c r="II261" s="49"/>
      <c r="IJ261" s="49"/>
      <c r="IK261" s="49"/>
      <c r="IL261" s="49"/>
      <c r="IM261" s="49"/>
      <c r="IN261" s="49"/>
      <c r="IO261" s="49"/>
      <c r="IP261" s="49"/>
      <c r="IQ261" s="49"/>
      <c r="IR261" s="49"/>
      <c r="IS261" s="49"/>
      <c r="IT261" s="49"/>
      <c r="IU261" s="49"/>
      <c r="IV261" s="49"/>
    </row>
    <row r="262" spans="1:256" s="198" customFormat="1" ht="12" customHeight="1">
      <c r="A262" s="1252"/>
      <c r="B262" s="200"/>
      <c r="C262" s="486"/>
      <c r="D262" s="201"/>
      <c r="E262" s="202"/>
      <c r="F262" s="203"/>
      <c r="G262" s="197"/>
      <c r="H262" s="197"/>
      <c r="I262" s="197"/>
      <c r="J262" s="197"/>
      <c r="K262" s="175"/>
      <c r="L262" s="197"/>
      <c r="M262" s="197"/>
      <c r="N262" s="197"/>
      <c r="O262" s="197"/>
      <c r="P262" s="197"/>
      <c r="Q262" s="1198"/>
      <c r="R262" s="202"/>
      <c r="S262" s="202"/>
      <c r="T262" s="1186"/>
      <c r="U262" s="233"/>
      <c r="V262" s="49"/>
      <c r="W262" s="218"/>
      <c r="X262" s="218"/>
      <c r="Y262" s="216"/>
      <c r="Z262" s="216"/>
      <c r="AA262" s="215"/>
      <c r="AB262" s="216"/>
      <c r="AC262" s="216"/>
      <c r="AD262" s="239"/>
      <c r="AE262" s="216"/>
      <c r="AF262" s="216"/>
      <c r="AG262" s="216"/>
      <c r="AH262" s="216"/>
      <c r="AI262" s="216"/>
      <c r="AJ262" s="216"/>
      <c r="AK262" s="239"/>
      <c r="AL262" s="216"/>
      <c r="AM262" s="216"/>
      <c r="AN262" s="216"/>
      <c r="AO262" s="216"/>
      <c r="AP262" s="216"/>
      <c r="AQ262" s="216"/>
      <c r="AR262" s="216"/>
      <c r="AS262" s="216"/>
      <c r="AT262" s="216"/>
      <c r="AU262" s="216"/>
      <c r="AV262" s="217"/>
      <c r="AW262" s="355"/>
      <c r="AX262" s="217"/>
      <c r="AY262" s="1559"/>
      <c r="AZ262" s="249"/>
      <c r="BA262" s="221"/>
      <c r="BB262" s="300"/>
      <c r="BC262" s="217"/>
      <c r="BD262" s="392"/>
      <c r="BE262" s="1244"/>
      <c r="BF262" s="249"/>
      <c r="BG262" s="252"/>
      <c r="BH262" s="1469"/>
      <c r="BI262" s="216"/>
      <c r="BJ262" s="1469"/>
      <c r="BK262" s="1459"/>
      <c r="BL262" s="260"/>
      <c r="BM262" s="214"/>
      <c r="BN262" s="293"/>
      <c r="BO262" s="217"/>
      <c r="BP262" s="355"/>
      <c r="BQ262" s="217"/>
      <c r="BR262" s="1193"/>
      <c r="BS262" s="249"/>
      <c r="BT262" s="216"/>
      <c r="BU262" s="1195"/>
      <c r="BV262" s="249"/>
      <c r="BW262" s="216"/>
      <c r="BX262" s="1195"/>
      <c r="BY262" s="249"/>
      <c r="BZ262" s="216"/>
      <c r="CA262" s="1195"/>
      <c r="CB262" s="249"/>
      <c r="CC262" s="216"/>
      <c r="CD262" s="1195"/>
      <c r="CE262" s="249"/>
      <c r="CF262" s="216"/>
      <c r="CG262" s="1195"/>
      <c r="CH262" s="249"/>
      <c r="CI262" s="216"/>
      <c r="CJ262" s="1195"/>
      <c r="CK262" s="249"/>
      <c r="CL262" s="216"/>
      <c r="CM262" s="1194"/>
      <c r="CN262" s="1524"/>
      <c r="CO262" s="217"/>
      <c r="CP262" s="1193"/>
      <c r="CQ262" s="293"/>
      <c r="CR262" s="217"/>
      <c r="CS262" s="305"/>
      <c r="CT262" s="249"/>
      <c r="CU262" s="216"/>
      <c r="CV262" s="1193"/>
      <c r="CW262" s="249"/>
      <c r="CX262" s="216"/>
      <c r="CY262" s="305"/>
      <c r="CZ262" s="249"/>
      <c r="DA262" s="216"/>
      <c r="DB262" s="307"/>
      <c r="DC262" s="328"/>
      <c r="DD262" s="322"/>
      <c r="DE262" s="305"/>
      <c r="DF262" s="249"/>
      <c r="DG262" s="216"/>
      <c r="DH262" s="305"/>
      <c r="DI262" s="249"/>
      <c r="DJ262" s="216"/>
      <c r="DK262" s="309"/>
      <c r="DL262" s="293"/>
      <c r="DM262" s="326"/>
      <c r="DN262" s="1256"/>
      <c r="DO262" s="214"/>
      <c r="DP262" s="1257"/>
      <c r="DQ262" s="1258"/>
      <c r="DR262" s="305"/>
      <c r="DS262" s="249"/>
      <c r="DT262" s="216"/>
      <c r="DU262" s="305"/>
      <c r="DV262" s="2520"/>
      <c r="DW262" s="2521"/>
      <c r="DX262" s="305"/>
      <c r="DY262" s="249"/>
      <c r="DZ262" s="221"/>
      <c r="EA262" s="388"/>
      <c r="EB262" s="249"/>
      <c r="EC262" s="216"/>
      <c r="ED262" s="1461"/>
      <c r="EE262" s="249"/>
      <c r="EF262" s="216"/>
      <c r="EG262" s="355"/>
      <c r="EH262" s="1425"/>
      <c r="EI262" s="1470"/>
      <c r="EJ262" s="249"/>
      <c r="EK262" s="221"/>
      <c r="EL262" s="313"/>
      <c r="EM262" s="249"/>
      <c r="EN262" s="221"/>
      <c r="EO262" s="313"/>
      <c r="EP262" s="249"/>
      <c r="EQ262" s="216"/>
      <c r="ER262" s="313"/>
      <c r="ES262" s="249"/>
      <c r="ET262" s="216"/>
      <c r="EU262" s="313"/>
      <c r="EV262" s="249"/>
      <c r="EW262" s="216"/>
      <c r="EX262" s="2505"/>
      <c r="EY262" s="249"/>
      <c r="EZ262" s="221"/>
      <c r="FA262" s="313"/>
      <c r="FB262" s="249"/>
      <c r="FC262" s="221"/>
      <c r="FD262" s="313"/>
      <c r="FE262" s="249"/>
      <c r="FF262" s="221"/>
      <c r="FG262" s="313"/>
      <c r="FH262" s="249"/>
      <c r="FI262" s="216"/>
      <c r="FJ262" s="1435"/>
      <c r="FK262" s="216"/>
      <c r="FL262" s="1268"/>
      <c r="FM262" s="1655"/>
      <c r="FN262" s="1268"/>
      <c r="FO262" s="1655"/>
      <c r="FP262" s="1268"/>
      <c r="FQ262" s="1656"/>
      <c r="FR262" s="249"/>
      <c r="FS262" s="216"/>
      <c r="FT262" s="1657"/>
      <c r="FU262" s="1658"/>
      <c r="FV262" s="242"/>
      <c r="FW262" s="343"/>
      <c r="FX262" s="222"/>
      <c r="FY262" s="336"/>
      <c r="FZ262" s="223"/>
      <c r="GA262" s="338"/>
      <c r="GB262" s="204"/>
      <c r="GC262" s="339"/>
      <c r="GD262" s="342"/>
      <c r="GE262" s="199"/>
      <c r="GF262" s="199"/>
      <c r="GG262" s="199"/>
      <c r="GH262" s="199"/>
      <c r="GI262" s="199"/>
      <c r="GJ262" s="199"/>
      <c r="GK262" s="199"/>
      <c r="GL262" s="49"/>
      <c r="GM262" s="28"/>
      <c r="GN262" s="28"/>
      <c r="GO262" s="322"/>
      <c r="GP262" s="1190"/>
      <c r="GQ262" s="1190"/>
      <c r="GR262" s="49"/>
      <c r="GS262" s="2879"/>
      <c r="GT262" s="2880"/>
      <c r="GU262" s="2881"/>
      <c r="GV262" s="49"/>
      <c r="GW262" s="49"/>
      <c r="GX262" s="49"/>
      <c r="GY262" s="49"/>
      <c r="GZ262" s="49"/>
      <c r="HA262" s="49"/>
      <c r="HB262" s="49"/>
      <c r="HC262" s="49"/>
      <c r="HD262" s="49"/>
      <c r="HE262" s="49"/>
      <c r="HF262" s="49"/>
      <c r="HG262" s="49"/>
      <c r="HH262" s="49"/>
      <c r="HI262" s="49"/>
      <c r="HJ262" s="49"/>
      <c r="HK262" s="49"/>
      <c r="HL262" s="49"/>
      <c r="HM262" s="49"/>
      <c r="HN262" s="49"/>
      <c r="HO262" s="49"/>
      <c r="HP262" s="49"/>
      <c r="HQ262" s="49"/>
      <c r="HR262" s="49"/>
      <c r="HS262" s="49"/>
      <c r="HT262" s="49"/>
      <c r="HU262" s="49"/>
      <c r="HV262" s="49"/>
      <c r="HW262" s="49"/>
      <c r="HX262" s="49"/>
      <c r="HY262" s="49"/>
      <c r="HZ262" s="49"/>
      <c r="IA262" s="49"/>
      <c r="IB262" s="49"/>
      <c r="IC262" s="49"/>
      <c r="ID262" s="49"/>
      <c r="IE262" s="49"/>
      <c r="IF262" s="49"/>
      <c r="IG262" s="49"/>
      <c r="IH262" s="49"/>
      <c r="II262" s="49"/>
      <c r="IJ262" s="49"/>
      <c r="IK262" s="49"/>
      <c r="IL262" s="49"/>
      <c r="IM262" s="49"/>
      <c r="IN262" s="49"/>
      <c r="IO262" s="49"/>
      <c r="IP262" s="49"/>
      <c r="IQ262" s="49"/>
      <c r="IR262" s="49"/>
      <c r="IS262" s="49"/>
      <c r="IT262" s="49"/>
      <c r="IU262" s="49"/>
      <c r="IV262" s="49"/>
    </row>
    <row r="263" spans="1:256" s="198" customFormat="1" ht="12" customHeight="1">
      <c r="A263" s="1252"/>
      <c r="B263" s="200"/>
      <c r="C263" s="486"/>
      <c r="D263" s="201"/>
      <c r="E263" s="202"/>
      <c r="F263" s="203"/>
      <c r="G263" s="197"/>
      <c r="H263" s="197"/>
      <c r="I263" s="197"/>
      <c r="J263" s="197"/>
      <c r="K263" s="175"/>
      <c r="L263" s="197"/>
      <c r="M263" s="197"/>
      <c r="N263" s="197"/>
      <c r="O263" s="197"/>
      <c r="P263" s="197"/>
      <c r="Q263" s="1198"/>
      <c r="R263" s="202"/>
      <c r="S263" s="202"/>
      <c r="T263" s="1186"/>
      <c r="U263" s="233"/>
      <c r="V263" s="49"/>
      <c r="W263" s="218"/>
      <c r="X263" s="218"/>
      <c r="Y263" s="216"/>
      <c r="Z263" s="216"/>
      <c r="AA263" s="215"/>
      <c r="AB263" s="216"/>
      <c r="AC263" s="216"/>
      <c r="AD263" s="239"/>
      <c r="AE263" s="216"/>
      <c r="AF263" s="216"/>
      <c r="AG263" s="216"/>
      <c r="AH263" s="216"/>
      <c r="AI263" s="216"/>
      <c r="AJ263" s="216"/>
      <c r="AK263" s="239"/>
      <c r="AL263" s="216"/>
      <c r="AM263" s="216"/>
      <c r="AN263" s="216"/>
      <c r="AO263" s="216"/>
      <c r="AP263" s="216"/>
      <c r="AQ263" s="216"/>
      <c r="AR263" s="216"/>
      <c r="AS263" s="216"/>
      <c r="AT263" s="216"/>
      <c r="AU263" s="216"/>
      <c r="AV263" s="217"/>
      <c r="AW263" s="355"/>
      <c r="AX263" s="217"/>
      <c r="AY263" s="1559"/>
      <c r="AZ263" s="249"/>
      <c r="BA263" s="221"/>
      <c r="BB263" s="300"/>
      <c r="BC263" s="217"/>
      <c r="BD263" s="392"/>
      <c r="BE263" s="1244"/>
      <c r="BF263" s="249"/>
      <c r="BG263" s="252"/>
      <c r="BH263" s="1469"/>
      <c r="BI263" s="216"/>
      <c r="BJ263" s="1469"/>
      <c r="BK263" s="1459"/>
      <c r="BL263" s="260"/>
      <c r="BM263" s="214"/>
      <c r="BN263" s="293"/>
      <c r="BO263" s="217"/>
      <c r="BP263" s="355"/>
      <c r="BQ263" s="217"/>
      <c r="BR263" s="1193"/>
      <c r="BS263" s="249"/>
      <c r="BT263" s="216"/>
      <c r="BU263" s="1195"/>
      <c r="BV263" s="249"/>
      <c r="BW263" s="216"/>
      <c r="BX263" s="1195"/>
      <c r="BY263" s="249"/>
      <c r="BZ263" s="216"/>
      <c r="CA263" s="1195"/>
      <c r="CB263" s="249"/>
      <c r="CC263" s="216"/>
      <c r="CD263" s="1195"/>
      <c r="CE263" s="249"/>
      <c r="CF263" s="216"/>
      <c r="CG263" s="1195"/>
      <c r="CH263" s="249"/>
      <c r="CI263" s="216"/>
      <c r="CJ263" s="1195"/>
      <c r="CK263" s="249"/>
      <c r="CL263" s="216"/>
      <c r="CM263" s="1194"/>
      <c r="CN263" s="1524"/>
      <c r="CO263" s="217"/>
      <c r="CP263" s="1193"/>
      <c r="CQ263" s="293"/>
      <c r="CR263" s="217"/>
      <c r="CS263" s="305"/>
      <c r="CT263" s="249"/>
      <c r="CU263" s="216"/>
      <c r="CV263" s="1193"/>
      <c r="CW263" s="249"/>
      <c r="CX263" s="216"/>
      <c r="CY263" s="305"/>
      <c r="CZ263" s="249"/>
      <c r="DA263" s="216"/>
      <c r="DB263" s="307"/>
      <c r="DC263" s="328"/>
      <c r="DD263" s="322"/>
      <c r="DE263" s="305"/>
      <c r="DF263" s="249"/>
      <c r="DG263" s="216"/>
      <c r="DH263" s="305"/>
      <c r="DI263" s="249"/>
      <c r="DJ263" s="216"/>
      <c r="DK263" s="309"/>
      <c r="DL263" s="293"/>
      <c r="DM263" s="326"/>
      <c r="DN263" s="1256"/>
      <c r="DO263" s="214"/>
      <c r="DP263" s="1257"/>
      <c r="DQ263" s="1258"/>
      <c r="DR263" s="305"/>
      <c r="DS263" s="249"/>
      <c r="DT263" s="216"/>
      <c r="DU263" s="305"/>
      <c r="DV263" s="2520"/>
      <c r="DW263" s="2521"/>
      <c r="DX263" s="305"/>
      <c r="DY263" s="249"/>
      <c r="DZ263" s="221"/>
      <c r="EA263" s="388"/>
      <c r="EB263" s="249"/>
      <c r="EC263" s="216"/>
      <c r="ED263" s="1461"/>
      <c r="EE263" s="249"/>
      <c r="EF263" s="216"/>
      <c r="EG263" s="355"/>
      <c r="EH263" s="1425"/>
      <c r="EI263" s="1470"/>
      <c r="EJ263" s="249"/>
      <c r="EK263" s="221"/>
      <c r="EL263" s="313"/>
      <c r="EM263" s="249"/>
      <c r="EN263" s="221"/>
      <c r="EO263" s="313"/>
      <c r="EP263" s="249"/>
      <c r="EQ263" s="216"/>
      <c r="ER263" s="313"/>
      <c r="ES263" s="249"/>
      <c r="ET263" s="216"/>
      <c r="EU263" s="313"/>
      <c r="EV263" s="249"/>
      <c r="EW263" s="216"/>
      <c r="EX263" s="2505"/>
      <c r="EY263" s="249"/>
      <c r="EZ263" s="221"/>
      <c r="FA263" s="313"/>
      <c r="FB263" s="249"/>
      <c r="FC263" s="221"/>
      <c r="FD263" s="313"/>
      <c r="FE263" s="249"/>
      <c r="FF263" s="221"/>
      <c r="FG263" s="313"/>
      <c r="FH263" s="249"/>
      <c r="FI263" s="216"/>
      <c r="FJ263" s="1435"/>
      <c r="FK263" s="216"/>
      <c r="FL263" s="1268"/>
      <c r="FM263" s="1655"/>
      <c r="FN263" s="1268"/>
      <c r="FO263" s="1655"/>
      <c r="FP263" s="1268"/>
      <c r="FQ263" s="1656"/>
      <c r="FR263" s="249"/>
      <c r="FS263" s="216"/>
      <c r="FT263" s="1657"/>
      <c r="FU263" s="1658"/>
      <c r="FV263" s="242"/>
      <c r="FW263" s="343"/>
      <c r="FX263" s="222"/>
      <c r="FY263" s="336"/>
      <c r="FZ263" s="223"/>
      <c r="GA263" s="338"/>
      <c r="GB263" s="204"/>
      <c r="GC263" s="339"/>
      <c r="GD263" s="342"/>
      <c r="GE263" s="199"/>
      <c r="GF263" s="199"/>
      <c r="GG263" s="199"/>
      <c r="GH263" s="199"/>
      <c r="GI263" s="199"/>
      <c r="GJ263" s="199"/>
      <c r="GK263" s="199"/>
      <c r="GL263" s="49"/>
      <c r="GM263" s="28"/>
      <c r="GN263" s="28"/>
      <c r="GO263" s="322"/>
      <c r="GP263" s="1190"/>
      <c r="GQ263" s="1190"/>
      <c r="GR263" s="49"/>
      <c r="GS263" s="2879"/>
      <c r="GT263" s="2880"/>
      <c r="GU263" s="2881"/>
      <c r="GV263" s="49"/>
      <c r="GW263" s="49"/>
      <c r="GX263" s="49"/>
      <c r="GY263" s="49"/>
      <c r="GZ263" s="49"/>
      <c r="HA263" s="49"/>
      <c r="HB263" s="49"/>
      <c r="HC263" s="49"/>
      <c r="HD263" s="49"/>
      <c r="HE263" s="49"/>
      <c r="HF263" s="49"/>
      <c r="HG263" s="49"/>
      <c r="HH263" s="49"/>
      <c r="HI263" s="49"/>
      <c r="HJ263" s="49"/>
      <c r="HK263" s="49"/>
      <c r="HL263" s="49"/>
      <c r="HM263" s="49"/>
      <c r="HN263" s="49"/>
      <c r="HO263" s="49"/>
      <c r="HP263" s="49"/>
      <c r="HQ263" s="49"/>
      <c r="HR263" s="49"/>
      <c r="HS263" s="49"/>
      <c r="HT263" s="49"/>
      <c r="HU263" s="49"/>
      <c r="HV263" s="49"/>
      <c r="HW263" s="49"/>
      <c r="HX263" s="49"/>
      <c r="HY263" s="49"/>
      <c r="HZ263" s="49"/>
      <c r="IA263" s="49"/>
      <c r="IB263" s="49"/>
      <c r="IC263" s="49"/>
      <c r="ID263" s="49"/>
      <c r="IE263" s="49"/>
      <c r="IF263" s="49"/>
      <c r="IG263" s="49"/>
      <c r="IH263" s="49"/>
      <c r="II263" s="49"/>
      <c r="IJ263" s="49"/>
      <c r="IK263" s="49"/>
      <c r="IL263" s="49"/>
      <c r="IM263" s="49"/>
      <c r="IN263" s="49"/>
      <c r="IO263" s="49"/>
      <c r="IP263" s="49"/>
      <c r="IQ263" s="49"/>
      <c r="IR263" s="49"/>
      <c r="IS263" s="49"/>
      <c r="IT263" s="49"/>
      <c r="IU263" s="49"/>
      <c r="IV263" s="49"/>
    </row>
    <row r="264" spans="1:256" s="198" customFormat="1" ht="12" customHeight="1">
      <c r="A264" s="1252"/>
      <c r="B264" s="200"/>
      <c r="C264" s="486"/>
      <c r="D264" s="201"/>
      <c r="E264" s="202"/>
      <c r="F264" s="203"/>
      <c r="G264" s="197"/>
      <c r="H264" s="197"/>
      <c r="I264" s="197"/>
      <c r="J264" s="197"/>
      <c r="K264" s="175"/>
      <c r="L264" s="197"/>
      <c r="M264" s="197"/>
      <c r="N264" s="197"/>
      <c r="O264" s="197"/>
      <c r="P264" s="197"/>
      <c r="Q264" s="1198"/>
      <c r="R264" s="202"/>
      <c r="S264" s="202"/>
      <c r="T264" s="1186"/>
      <c r="U264" s="233"/>
      <c r="V264" s="49"/>
      <c r="W264" s="218"/>
      <c r="X264" s="218"/>
      <c r="Y264" s="216"/>
      <c r="Z264" s="216"/>
      <c r="AA264" s="215"/>
      <c r="AB264" s="216"/>
      <c r="AC264" s="216"/>
      <c r="AD264" s="239"/>
      <c r="AE264" s="216"/>
      <c r="AF264" s="216"/>
      <c r="AG264" s="216"/>
      <c r="AH264" s="216"/>
      <c r="AI264" s="216"/>
      <c r="AJ264" s="216"/>
      <c r="AK264" s="239"/>
      <c r="AL264" s="216"/>
      <c r="AM264" s="216"/>
      <c r="AN264" s="216"/>
      <c r="AO264" s="216"/>
      <c r="AP264" s="216"/>
      <c r="AQ264" s="216"/>
      <c r="AR264" s="216"/>
      <c r="AS264" s="216"/>
      <c r="AT264" s="216"/>
      <c r="AU264" s="216"/>
      <c r="AV264" s="217"/>
      <c r="AW264" s="355"/>
      <c r="AX264" s="217"/>
      <c r="AY264" s="1559"/>
      <c r="AZ264" s="249"/>
      <c r="BA264" s="221"/>
      <c r="BB264" s="300"/>
      <c r="BC264" s="217"/>
      <c r="BD264" s="392"/>
      <c r="BE264" s="1244"/>
      <c r="BF264" s="249"/>
      <c r="BG264" s="252"/>
      <c r="BH264" s="1469"/>
      <c r="BI264" s="216"/>
      <c r="BJ264" s="1469"/>
      <c r="BK264" s="1459"/>
      <c r="BL264" s="260"/>
      <c r="BM264" s="214"/>
      <c r="BN264" s="293"/>
      <c r="BO264" s="217"/>
      <c r="BP264" s="355"/>
      <c r="BQ264" s="217"/>
      <c r="BR264" s="1193"/>
      <c r="BS264" s="249"/>
      <c r="BT264" s="216"/>
      <c r="BU264" s="1195"/>
      <c r="BV264" s="249"/>
      <c r="BW264" s="216"/>
      <c r="BX264" s="1195"/>
      <c r="BY264" s="249"/>
      <c r="BZ264" s="216"/>
      <c r="CA264" s="1195"/>
      <c r="CB264" s="249"/>
      <c r="CC264" s="216"/>
      <c r="CD264" s="1195"/>
      <c r="CE264" s="249"/>
      <c r="CF264" s="216"/>
      <c r="CG264" s="1195"/>
      <c r="CH264" s="249"/>
      <c r="CI264" s="216"/>
      <c r="CJ264" s="1195"/>
      <c r="CK264" s="249"/>
      <c r="CL264" s="216"/>
      <c r="CM264" s="1194"/>
      <c r="CN264" s="1524"/>
      <c r="CO264" s="217"/>
      <c r="CP264" s="1193"/>
      <c r="CQ264" s="293"/>
      <c r="CR264" s="217"/>
      <c r="CS264" s="305"/>
      <c r="CT264" s="249"/>
      <c r="CU264" s="216"/>
      <c r="CV264" s="1193"/>
      <c r="CW264" s="249"/>
      <c r="CX264" s="216"/>
      <c r="CY264" s="305"/>
      <c r="CZ264" s="249"/>
      <c r="DA264" s="216"/>
      <c r="DB264" s="307"/>
      <c r="DC264" s="328"/>
      <c r="DD264" s="322"/>
      <c r="DE264" s="305"/>
      <c r="DF264" s="249"/>
      <c r="DG264" s="216"/>
      <c r="DH264" s="305"/>
      <c r="DI264" s="249"/>
      <c r="DJ264" s="216"/>
      <c r="DK264" s="309"/>
      <c r="DL264" s="293"/>
      <c r="DM264" s="326"/>
      <c r="DN264" s="1256"/>
      <c r="DO264" s="214"/>
      <c r="DP264" s="1257"/>
      <c r="DQ264" s="1258"/>
      <c r="DR264" s="305"/>
      <c r="DS264" s="249"/>
      <c r="DT264" s="216"/>
      <c r="DU264" s="305"/>
      <c r="DV264" s="2520"/>
      <c r="DW264" s="2521"/>
      <c r="DX264" s="305"/>
      <c r="DY264" s="249"/>
      <c r="DZ264" s="221"/>
      <c r="EA264" s="388"/>
      <c r="EB264" s="249"/>
      <c r="EC264" s="216"/>
      <c r="ED264" s="1461"/>
      <c r="EE264" s="249"/>
      <c r="EF264" s="216"/>
      <c r="EG264" s="355"/>
      <c r="EH264" s="1425"/>
      <c r="EI264" s="1470"/>
      <c r="EJ264" s="249"/>
      <c r="EK264" s="221"/>
      <c r="EL264" s="313"/>
      <c r="EM264" s="249"/>
      <c r="EN264" s="221"/>
      <c r="EO264" s="313"/>
      <c r="EP264" s="249"/>
      <c r="EQ264" s="216"/>
      <c r="ER264" s="313"/>
      <c r="ES264" s="249"/>
      <c r="ET264" s="216"/>
      <c r="EU264" s="313"/>
      <c r="EV264" s="249"/>
      <c r="EW264" s="216"/>
      <c r="EX264" s="2505"/>
      <c r="EY264" s="249"/>
      <c r="EZ264" s="221"/>
      <c r="FA264" s="313"/>
      <c r="FB264" s="249"/>
      <c r="FC264" s="221"/>
      <c r="FD264" s="313"/>
      <c r="FE264" s="249"/>
      <c r="FF264" s="221"/>
      <c r="FG264" s="313"/>
      <c r="FH264" s="249"/>
      <c r="FI264" s="216"/>
      <c r="FJ264" s="1435"/>
      <c r="FK264" s="216"/>
      <c r="FL264" s="1268"/>
      <c r="FM264" s="1655"/>
      <c r="FN264" s="1268"/>
      <c r="FO264" s="1655"/>
      <c r="FP264" s="1268"/>
      <c r="FQ264" s="1656"/>
      <c r="FR264" s="249"/>
      <c r="FS264" s="216"/>
      <c r="FT264" s="1657"/>
      <c r="FU264" s="1658"/>
      <c r="FV264" s="242"/>
      <c r="FW264" s="343"/>
      <c r="FX264" s="222"/>
      <c r="FY264" s="336"/>
      <c r="FZ264" s="223"/>
      <c r="GA264" s="338"/>
      <c r="GB264" s="204"/>
      <c r="GC264" s="339"/>
      <c r="GD264" s="342"/>
      <c r="GE264" s="199"/>
      <c r="GF264" s="199"/>
      <c r="GG264" s="199"/>
      <c r="GH264" s="199"/>
      <c r="GI264" s="199"/>
      <c r="GJ264" s="199"/>
      <c r="GK264" s="199"/>
      <c r="GL264" s="49"/>
      <c r="GM264" s="28"/>
      <c r="GN264" s="28"/>
      <c r="GO264" s="322"/>
      <c r="GP264" s="1190"/>
      <c r="GQ264" s="1190"/>
      <c r="GR264" s="49"/>
      <c r="GS264" s="2879"/>
      <c r="GT264" s="2880"/>
      <c r="GU264" s="2881"/>
      <c r="GV264" s="49"/>
      <c r="GW264" s="49"/>
      <c r="GX264" s="49"/>
      <c r="GY264" s="49"/>
      <c r="GZ264" s="49"/>
      <c r="HA264" s="49"/>
      <c r="HB264" s="49"/>
      <c r="HC264" s="49"/>
      <c r="HD264" s="49"/>
      <c r="HE264" s="49"/>
      <c r="HF264" s="49"/>
      <c r="HG264" s="49"/>
      <c r="HH264" s="49"/>
      <c r="HI264" s="49"/>
      <c r="HJ264" s="49"/>
      <c r="HK264" s="49"/>
      <c r="HL264" s="49"/>
      <c r="HM264" s="49"/>
      <c r="HN264" s="49"/>
      <c r="HO264" s="49"/>
      <c r="HP264" s="49"/>
      <c r="HQ264" s="49"/>
      <c r="HR264" s="49"/>
      <c r="HS264" s="49"/>
      <c r="HT264" s="49"/>
      <c r="HU264" s="49"/>
      <c r="HV264" s="49"/>
      <c r="HW264" s="49"/>
      <c r="HX264" s="49"/>
      <c r="HY264" s="49"/>
      <c r="HZ264" s="49"/>
      <c r="IA264" s="49"/>
      <c r="IB264" s="49"/>
      <c r="IC264" s="49"/>
      <c r="ID264" s="49"/>
      <c r="IE264" s="49"/>
      <c r="IF264" s="49"/>
      <c r="IG264" s="49"/>
      <c r="IH264" s="49"/>
      <c r="II264" s="49"/>
      <c r="IJ264" s="49"/>
      <c r="IK264" s="49"/>
      <c r="IL264" s="49"/>
      <c r="IM264" s="49"/>
      <c r="IN264" s="49"/>
      <c r="IO264" s="49"/>
      <c r="IP264" s="49"/>
      <c r="IQ264" s="49"/>
      <c r="IR264" s="49"/>
      <c r="IS264" s="49"/>
      <c r="IT264" s="49"/>
      <c r="IU264" s="49"/>
      <c r="IV264" s="49"/>
    </row>
    <row r="265" spans="1:256" s="198" customFormat="1" ht="12" customHeight="1">
      <c r="A265" s="1252"/>
      <c r="B265" s="200"/>
      <c r="C265" s="486"/>
      <c r="D265" s="201"/>
      <c r="E265" s="202"/>
      <c r="F265" s="203"/>
      <c r="G265" s="197"/>
      <c r="H265" s="197"/>
      <c r="I265" s="197"/>
      <c r="J265" s="197"/>
      <c r="K265" s="175"/>
      <c r="L265" s="197"/>
      <c r="M265" s="197"/>
      <c r="N265" s="197"/>
      <c r="O265" s="197"/>
      <c r="P265" s="197"/>
      <c r="Q265" s="1198"/>
      <c r="R265" s="202"/>
      <c r="S265" s="202"/>
      <c r="T265" s="1186"/>
      <c r="U265" s="233"/>
      <c r="V265" s="49"/>
      <c r="W265" s="218"/>
      <c r="X265" s="218"/>
      <c r="Y265" s="216"/>
      <c r="Z265" s="216"/>
      <c r="AA265" s="215"/>
      <c r="AB265" s="216"/>
      <c r="AC265" s="216"/>
      <c r="AD265" s="239"/>
      <c r="AE265" s="216"/>
      <c r="AF265" s="216"/>
      <c r="AG265" s="216"/>
      <c r="AH265" s="216"/>
      <c r="AI265" s="216"/>
      <c r="AJ265" s="216"/>
      <c r="AK265" s="239"/>
      <c r="AL265" s="216"/>
      <c r="AM265" s="216"/>
      <c r="AN265" s="216"/>
      <c r="AO265" s="216"/>
      <c r="AP265" s="216"/>
      <c r="AQ265" s="216"/>
      <c r="AR265" s="216"/>
      <c r="AS265" s="216"/>
      <c r="AT265" s="216"/>
      <c r="AU265" s="216"/>
      <c r="AV265" s="217"/>
      <c r="AW265" s="355"/>
      <c r="AX265" s="217"/>
      <c r="AY265" s="1559"/>
      <c r="AZ265" s="249"/>
      <c r="BA265" s="221"/>
      <c r="BB265" s="300"/>
      <c r="BC265" s="217"/>
      <c r="BD265" s="392"/>
      <c r="BE265" s="1244"/>
      <c r="BF265" s="249"/>
      <c r="BG265" s="252"/>
      <c r="BH265" s="1469"/>
      <c r="BI265" s="216"/>
      <c r="BJ265" s="1469"/>
      <c r="BK265" s="1459"/>
      <c r="BL265" s="260"/>
      <c r="BM265" s="214"/>
      <c r="BN265" s="293"/>
      <c r="BO265" s="217"/>
      <c r="BP265" s="355"/>
      <c r="BQ265" s="217"/>
      <c r="BR265" s="1193"/>
      <c r="BS265" s="249"/>
      <c r="BT265" s="216"/>
      <c r="BU265" s="1195"/>
      <c r="BV265" s="249"/>
      <c r="BW265" s="216"/>
      <c r="BX265" s="1195"/>
      <c r="BY265" s="249"/>
      <c r="BZ265" s="216"/>
      <c r="CA265" s="1195"/>
      <c r="CB265" s="249"/>
      <c r="CC265" s="216"/>
      <c r="CD265" s="1195"/>
      <c r="CE265" s="249"/>
      <c r="CF265" s="216"/>
      <c r="CG265" s="1195"/>
      <c r="CH265" s="249"/>
      <c r="CI265" s="216"/>
      <c r="CJ265" s="1195"/>
      <c r="CK265" s="249"/>
      <c r="CL265" s="216"/>
      <c r="CM265" s="1194"/>
      <c r="CN265" s="1524"/>
      <c r="CO265" s="217"/>
      <c r="CP265" s="1193"/>
      <c r="CQ265" s="293"/>
      <c r="CR265" s="217"/>
      <c r="CS265" s="305"/>
      <c r="CT265" s="249"/>
      <c r="CU265" s="216"/>
      <c r="CV265" s="1193"/>
      <c r="CW265" s="249"/>
      <c r="CX265" s="216"/>
      <c r="CY265" s="305"/>
      <c r="CZ265" s="249"/>
      <c r="DA265" s="216"/>
      <c r="DB265" s="307"/>
      <c r="DC265" s="328"/>
      <c r="DD265" s="322"/>
      <c r="DE265" s="305"/>
      <c r="DF265" s="249"/>
      <c r="DG265" s="216"/>
      <c r="DH265" s="305"/>
      <c r="DI265" s="249"/>
      <c r="DJ265" s="216"/>
      <c r="DK265" s="309"/>
      <c r="DL265" s="293"/>
      <c r="DM265" s="326"/>
      <c r="DN265" s="1256"/>
      <c r="DO265" s="214"/>
      <c r="DP265" s="1257"/>
      <c r="DQ265" s="1258"/>
      <c r="DR265" s="305"/>
      <c r="DS265" s="249"/>
      <c r="DT265" s="216"/>
      <c r="DU265" s="305"/>
      <c r="DV265" s="2520"/>
      <c r="DW265" s="2521"/>
      <c r="DX265" s="305"/>
      <c r="DY265" s="249"/>
      <c r="DZ265" s="221"/>
      <c r="EA265" s="388"/>
      <c r="EB265" s="249"/>
      <c r="EC265" s="216"/>
      <c r="ED265" s="1461"/>
      <c r="EE265" s="249"/>
      <c r="EF265" s="216"/>
      <c r="EG265" s="355"/>
      <c r="EH265" s="1425"/>
      <c r="EI265" s="1470"/>
      <c r="EJ265" s="249"/>
      <c r="EK265" s="221"/>
      <c r="EL265" s="313"/>
      <c r="EM265" s="249"/>
      <c r="EN265" s="221"/>
      <c r="EO265" s="313"/>
      <c r="EP265" s="249"/>
      <c r="EQ265" s="216"/>
      <c r="ER265" s="313"/>
      <c r="ES265" s="249"/>
      <c r="ET265" s="216"/>
      <c r="EU265" s="313"/>
      <c r="EV265" s="249"/>
      <c r="EW265" s="216"/>
      <c r="EX265" s="2505"/>
      <c r="EY265" s="249"/>
      <c r="EZ265" s="221"/>
      <c r="FA265" s="313"/>
      <c r="FB265" s="249"/>
      <c r="FC265" s="221"/>
      <c r="FD265" s="313"/>
      <c r="FE265" s="249"/>
      <c r="FF265" s="221"/>
      <c r="FG265" s="313"/>
      <c r="FH265" s="249"/>
      <c r="FI265" s="216"/>
      <c r="FJ265" s="1435"/>
      <c r="FK265" s="216"/>
      <c r="FL265" s="1268"/>
      <c r="FM265" s="1655"/>
      <c r="FN265" s="1268"/>
      <c r="FO265" s="1655"/>
      <c r="FP265" s="1268"/>
      <c r="FQ265" s="1656"/>
      <c r="FR265" s="249"/>
      <c r="FS265" s="216"/>
      <c r="FT265" s="1657"/>
      <c r="FU265" s="1658"/>
      <c r="FV265" s="242"/>
      <c r="FW265" s="343"/>
      <c r="FX265" s="222"/>
      <c r="FY265" s="336"/>
      <c r="FZ265" s="223"/>
      <c r="GA265" s="338"/>
      <c r="GB265" s="204"/>
      <c r="GC265" s="339"/>
      <c r="GD265" s="342"/>
      <c r="GE265" s="199"/>
      <c r="GF265" s="199"/>
      <c r="GG265" s="199"/>
      <c r="GH265" s="199"/>
      <c r="GI265" s="199"/>
      <c r="GJ265" s="199"/>
      <c r="GK265" s="199"/>
      <c r="GL265" s="49"/>
      <c r="GM265" s="28"/>
      <c r="GN265" s="28"/>
      <c r="GO265" s="322"/>
      <c r="GP265" s="1190"/>
      <c r="GQ265" s="1190"/>
      <c r="GR265" s="49"/>
      <c r="GS265" s="2879"/>
      <c r="GT265" s="2880"/>
      <c r="GU265" s="2881"/>
      <c r="GV265" s="49"/>
      <c r="GW265" s="49"/>
      <c r="GX265" s="49"/>
      <c r="GY265" s="49"/>
      <c r="GZ265" s="49"/>
      <c r="HA265" s="49"/>
      <c r="HB265" s="49"/>
      <c r="HC265" s="49"/>
      <c r="HD265" s="49"/>
      <c r="HE265" s="49"/>
      <c r="HF265" s="49"/>
      <c r="HG265" s="49"/>
      <c r="HH265" s="49"/>
      <c r="HI265" s="49"/>
      <c r="HJ265" s="49"/>
      <c r="HK265" s="49"/>
      <c r="HL265" s="49"/>
      <c r="HM265" s="49"/>
      <c r="HN265" s="49"/>
      <c r="HO265" s="49"/>
      <c r="HP265" s="49"/>
      <c r="HQ265" s="49"/>
      <c r="HR265" s="49"/>
      <c r="HS265" s="49"/>
      <c r="HT265" s="49"/>
      <c r="HU265" s="49"/>
      <c r="HV265" s="49"/>
      <c r="HW265" s="49"/>
      <c r="HX265" s="49"/>
      <c r="HY265" s="49"/>
      <c r="HZ265" s="49"/>
      <c r="IA265" s="49"/>
      <c r="IB265" s="49"/>
      <c r="IC265" s="49"/>
      <c r="ID265" s="49"/>
      <c r="IE265" s="49"/>
      <c r="IF265" s="49"/>
      <c r="IG265" s="49"/>
      <c r="IH265" s="49"/>
      <c r="II265" s="49"/>
      <c r="IJ265" s="49"/>
      <c r="IK265" s="49"/>
      <c r="IL265" s="49"/>
      <c r="IM265" s="49"/>
      <c r="IN265" s="49"/>
      <c r="IO265" s="49"/>
      <c r="IP265" s="49"/>
      <c r="IQ265" s="49"/>
      <c r="IR265" s="49"/>
      <c r="IS265" s="49"/>
      <c r="IT265" s="49"/>
      <c r="IU265" s="49"/>
      <c r="IV265" s="49"/>
    </row>
    <row r="266" spans="1:256" s="198" customFormat="1" ht="12" customHeight="1">
      <c r="A266" s="1252"/>
      <c r="B266" s="200"/>
      <c r="C266" s="486"/>
      <c r="D266" s="201"/>
      <c r="E266" s="202"/>
      <c r="F266" s="203"/>
      <c r="G266" s="197"/>
      <c r="H266" s="197"/>
      <c r="I266" s="197"/>
      <c r="J266" s="197"/>
      <c r="K266" s="175"/>
      <c r="L266" s="197"/>
      <c r="M266" s="197"/>
      <c r="N266" s="197"/>
      <c r="O266" s="197"/>
      <c r="P266" s="197"/>
      <c r="Q266" s="1198"/>
      <c r="R266" s="202"/>
      <c r="S266" s="202"/>
      <c r="T266" s="1186"/>
      <c r="U266" s="233"/>
      <c r="V266" s="49"/>
      <c r="W266" s="218"/>
      <c r="X266" s="218"/>
      <c r="Y266" s="216"/>
      <c r="Z266" s="216"/>
      <c r="AA266" s="215"/>
      <c r="AB266" s="216"/>
      <c r="AC266" s="216"/>
      <c r="AD266" s="239"/>
      <c r="AE266" s="216"/>
      <c r="AF266" s="216"/>
      <c r="AG266" s="216"/>
      <c r="AH266" s="216"/>
      <c r="AI266" s="216"/>
      <c r="AJ266" s="216"/>
      <c r="AK266" s="239"/>
      <c r="AL266" s="216"/>
      <c r="AM266" s="216"/>
      <c r="AN266" s="216"/>
      <c r="AO266" s="216"/>
      <c r="AP266" s="216"/>
      <c r="AQ266" s="216"/>
      <c r="AR266" s="216"/>
      <c r="AS266" s="216"/>
      <c r="AT266" s="216"/>
      <c r="AU266" s="216"/>
      <c r="AV266" s="217"/>
      <c r="AW266" s="355"/>
      <c r="AX266" s="217"/>
      <c r="AY266" s="1559"/>
      <c r="AZ266" s="249"/>
      <c r="BA266" s="221"/>
      <c r="BB266" s="300"/>
      <c r="BC266" s="217"/>
      <c r="BD266" s="392"/>
      <c r="BE266" s="1244"/>
      <c r="BF266" s="249"/>
      <c r="BG266" s="252"/>
      <c r="BH266" s="1469"/>
      <c r="BI266" s="216"/>
      <c r="BJ266" s="1469"/>
      <c r="BK266" s="1459"/>
      <c r="BL266" s="260"/>
      <c r="BM266" s="214"/>
      <c r="BN266" s="293"/>
      <c r="BO266" s="217"/>
      <c r="BP266" s="355"/>
      <c r="BQ266" s="217"/>
      <c r="BR266" s="1193"/>
      <c r="BS266" s="249"/>
      <c r="BT266" s="216"/>
      <c r="BU266" s="1195"/>
      <c r="BV266" s="249"/>
      <c r="BW266" s="216"/>
      <c r="BX266" s="1195"/>
      <c r="BY266" s="249"/>
      <c r="BZ266" s="216"/>
      <c r="CA266" s="1195"/>
      <c r="CB266" s="249"/>
      <c r="CC266" s="216"/>
      <c r="CD266" s="1195"/>
      <c r="CE266" s="249"/>
      <c r="CF266" s="216"/>
      <c r="CG266" s="1195"/>
      <c r="CH266" s="249"/>
      <c r="CI266" s="216"/>
      <c r="CJ266" s="1195"/>
      <c r="CK266" s="249"/>
      <c r="CL266" s="216"/>
      <c r="CM266" s="1194"/>
      <c r="CN266" s="1524"/>
      <c r="CO266" s="217"/>
      <c r="CP266" s="1193"/>
      <c r="CQ266" s="293"/>
      <c r="CR266" s="217"/>
      <c r="CS266" s="305"/>
      <c r="CT266" s="249"/>
      <c r="CU266" s="216"/>
      <c r="CV266" s="1193"/>
      <c r="CW266" s="249"/>
      <c r="CX266" s="216"/>
      <c r="CY266" s="305"/>
      <c r="CZ266" s="249"/>
      <c r="DA266" s="216"/>
      <c r="DB266" s="307"/>
      <c r="DC266" s="328"/>
      <c r="DD266" s="322"/>
      <c r="DE266" s="305"/>
      <c r="DF266" s="249"/>
      <c r="DG266" s="216"/>
      <c r="DH266" s="305"/>
      <c r="DI266" s="249"/>
      <c r="DJ266" s="216"/>
      <c r="DK266" s="309"/>
      <c r="DL266" s="293"/>
      <c r="DM266" s="326"/>
      <c r="DN266" s="1256"/>
      <c r="DO266" s="214"/>
      <c r="DP266" s="1257"/>
      <c r="DQ266" s="1258"/>
      <c r="DR266" s="305"/>
      <c r="DS266" s="249"/>
      <c r="DT266" s="216"/>
      <c r="DU266" s="305"/>
      <c r="DV266" s="2520"/>
      <c r="DW266" s="2521"/>
      <c r="DX266" s="305"/>
      <c r="DY266" s="249"/>
      <c r="DZ266" s="221"/>
      <c r="EA266" s="388"/>
      <c r="EB266" s="249"/>
      <c r="EC266" s="216"/>
      <c r="ED266" s="1461"/>
      <c r="EE266" s="249"/>
      <c r="EF266" s="216"/>
      <c r="EG266" s="355"/>
      <c r="EH266" s="1425"/>
      <c r="EI266" s="1470"/>
      <c r="EJ266" s="249"/>
      <c r="EK266" s="221"/>
      <c r="EL266" s="313"/>
      <c r="EM266" s="249"/>
      <c r="EN266" s="221"/>
      <c r="EO266" s="313"/>
      <c r="EP266" s="249"/>
      <c r="EQ266" s="216"/>
      <c r="ER266" s="313"/>
      <c r="ES266" s="249"/>
      <c r="ET266" s="216"/>
      <c r="EU266" s="313"/>
      <c r="EV266" s="249"/>
      <c r="EW266" s="216"/>
      <c r="EX266" s="2505"/>
      <c r="EY266" s="249"/>
      <c r="EZ266" s="221"/>
      <c r="FA266" s="313"/>
      <c r="FB266" s="249"/>
      <c r="FC266" s="221"/>
      <c r="FD266" s="313"/>
      <c r="FE266" s="249"/>
      <c r="FF266" s="221"/>
      <c r="FG266" s="313"/>
      <c r="FH266" s="249"/>
      <c r="FI266" s="216"/>
      <c r="FJ266" s="1435"/>
      <c r="FK266" s="216"/>
      <c r="FL266" s="1268"/>
      <c r="FM266" s="1655"/>
      <c r="FN266" s="1268"/>
      <c r="FO266" s="1655"/>
      <c r="FP266" s="1268"/>
      <c r="FQ266" s="1656"/>
      <c r="FR266" s="249"/>
      <c r="FS266" s="216"/>
      <c r="FT266" s="1657"/>
      <c r="FU266" s="1658"/>
      <c r="FV266" s="242"/>
      <c r="FW266" s="343"/>
      <c r="FX266" s="222"/>
      <c r="FY266" s="336"/>
      <c r="FZ266" s="223"/>
      <c r="GA266" s="338"/>
      <c r="GB266" s="204"/>
      <c r="GC266" s="339"/>
      <c r="GD266" s="342"/>
      <c r="GE266" s="199"/>
      <c r="GF266" s="199"/>
      <c r="GG266" s="199"/>
      <c r="GH266" s="199"/>
      <c r="GI266" s="199"/>
      <c r="GJ266" s="199"/>
      <c r="GK266" s="199"/>
      <c r="GL266" s="49"/>
      <c r="GM266" s="28"/>
      <c r="GN266" s="28"/>
      <c r="GO266" s="322"/>
      <c r="GP266" s="1190"/>
      <c r="GQ266" s="1190"/>
      <c r="GR266" s="49"/>
      <c r="GS266" s="2879"/>
      <c r="GT266" s="2880"/>
      <c r="GU266" s="2881"/>
      <c r="GV266" s="49"/>
      <c r="GW266" s="49"/>
      <c r="GX266" s="49"/>
      <c r="GY266" s="49"/>
      <c r="GZ266" s="49"/>
      <c r="HA266" s="49"/>
      <c r="HB266" s="49"/>
      <c r="HC266" s="49"/>
      <c r="HD266" s="49"/>
      <c r="HE266" s="49"/>
      <c r="HF266" s="49"/>
      <c r="HG266" s="49"/>
      <c r="HH266" s="49"/>
      <c r="HI266" s="49"/>
      <c r="HJ266" s="49"/>
      <c r="HK266" s="49"/>
      <c r="HL266" s="49"/>
      <c r="HM266" s="49"/>
      <c r="HN266" s="49"/>
      <c r="HO266" s="49"/>
      <c r="HP266" s="49"/>
      <c r="HQ266" s="49"/>
      <c r="HR266" s="49"/>
      <c r="HS266" s="49"/>
      <c r="HT266" s="49"/>
      <c r="HU266" s="49"/>
      <c r="HV266" s="49"/>
      <c r="HW266" s="49"/>
      <c r="HX266" s="49"/>
      <c r="HY266" s="49"/>
      <c r="HZ266" s="49"/>
      <c r="IA266" s="49"/>
      <c r="IB266" s="49"/>
      <c r="IC266" s="49"/>
      <c r="ID266" s="49"/>
      <c r="IE266" s="49"/>
      <c r="IF266" s="49"/>
      <c r="IG266" s="49"/>
      <c r="IH266" s="49"/>
      <c r="II266" s="49"/>
      <c r="IJ266" s="49"/>
      <c r="IK266" s="49"/>
      <c r="IL266" s="49"/>
      <c r="IM266" s="49"/>
      <c r="IN266" s="49"/>
      <c r="IO266" s="49"/>
      <c r="IP266" s="49"/>
      <c r="IQ266" s="49"/>
      <c r="IR266" s="49"/>
      <c r="IS266" s="49"/>
      <c r="IT266" s="49"/>
      <c r="IU266" s="49"/>
      <c r="IV266" s="49"/>
    </row>
    <row r="267" spans="1:256" s="198" customFormat="1" ht="12" customHeight="1">
      <c r="A267" s="1252"/>
      <c r="B267" s="200"/>
      <c r="C267" s="486"/>
      <c r="D267" s="201"/>
      <c r="E267" s="202"/>
      <c r="F267" s="203"/>
      <c r="G267" s="197"/>
      <c r="H267" s="197"/>
      <c r="I267" s="197"/>
      <c r="J267" s="197"/>
      <c r="K267" s="175"/>
      <c r="L267" s="197"/>
      <c r="M267" s="197"/>
      <c r="N267" s="197"/>
      <c r="O267" s="197"/>
      <c r="P267" s="197"/>
      <c r="Q267" s="1198"/>
      <c r="R267" s="202"/>
      <c r="S267" s="202"/>
      <c r="T267" s="1186"/>
      <c r="U267" s="233"/>
      <c r="V267" s="49"/>
      <c r="W267" s="218"/>
      <c r="X267" s="218"/>
      <c r="Y267" s="216"/>
      <c r="Z267" s="216"/>
      <c r="AA267" s="215"/>
      <c r="AB267" s="216"/>
      <c r="AC267" s="216"/>
      <c r="AD267" s="239"/>
      <c r="AE267" s="216"/>
      <c r="AF267" s="216"/>
      <c r="AG267" s="216"/>
      <c r="AH267" s="216"/>
      <c r="AI267" s="216"/>
      <c r="AJ267" s="216"/>
      <c r="AK267" s="239"/>
      <c r="AL267" s="216"/>
      <c r="AM267" s="216"/>
      <c r="AN267" s="216"/>
      <c r="AO267" s="216"/>
      <c r="AP267" s="216"/>
      <c r="AQ267" s="216"/>
      <c r="AR267" s="216"/>
      <c r="AS267" s="216"/>
      <c r="AT267" s="216"/>
      <c r="AU267" s="216"/>
      <c r="AV267" s="217"/>
      <c r="AW267" s="355"/>
      <c r="AX267" s="217"/>
      <c r="AY267" s="1559"/>
      <c r="AZ267" s="249"/>
      <c r="BA267" s="221"/>
      <c r="BB267" s="300"/>
      <c r="BC267" s="217"/>
      <c r="BD267" s="392"/>
      <c r="BE267" s="1244"/>
      <c r="BF267" s="249"/>
      <c r="BG267" s="252"/>
      <c r="BH267" s="1469"/>
      <c r="BI267" s="216"/>
      <c r="BJ267" s="1469"/>
      <c r="BK267" s="1459"/>
      <c r="BL267" s="260"/>
      <c r="BM267" s="214"/>
      <c r="BN267" s="293"/>
      <c r="BO267" s="217"/>
      <c r="BP267" s="355"/>
      <c r="BQ267" s="217"/>
      <c r="BR267" s="1193"/>
      <c r="BS267" s="249"/>
      <c r="BT267" s="216"/>
      <c r="BU267" s="1195"/>
      <c r="BV267" s="249"/>
      <c r="BW267" s="216"/>
      <c r="BX267" s="1195"/>
      <c r="BY267" s="249"/>
      <c r="BZ267" s="216"/>
      <c r="CA267" s="1195"/>
      <c r="CB267" s="249"/>
      <c r="CC267" s="216"/>
      <c r="CD267" s="1195"/>
      <c r="CE267" s="249"/>
      <c r="CF267" s="216"/>
      <c r="CG267" s="1195"/>
      <c r="CH267" s="249"/>
      <c r="CI267" s="216"/>
      <c r="CJ267" s="1195"/>
      <c r="CK267" s="249"/>
      <c r="CL267" s="216"/>
      <c r="CM267" s="1194"/>
      <c r="CN267" s="1524"/>
      <c r="CO267" s="217"/>
      <c r="CP267" s="1193"/>
      <c r="CQ267" s="293"/>
      <c r="CR267" s="217"/>
      <c r="CS267" s="305"/>
      <c r="CT267" s="249"/>
      <c r="CU267" s="216"/>
      <c r="CV267" s="1193"/>
      <c r="CW267" s="249"/>
      <c r="CX267" s="216"/>
      <c r="CY267" s="305"/>
      <c r="CZ267" s="249"/>
      <c r="DA267" s="216"/>
      <c r="DB267" s="307"/>
      <c r="DC267" s="328"/>
      <c r="DD267" s="322"/>
      <c r="DE267" s="305"/>
      <c r="DF267" s="249"/>
      <c r="DG267" s="216"/>
      <c r="DH267" s="305"/>
      <c r="DI267" s="249"/>
      <c r="DJ267" s="216"/>
      <c r="DK267" s="309"/>
      <c r="DL267" s="293"/>
      <c r="DM267" s="326"/>
      <c r="DN267" s="1256"/>
      <c r="DO267" s="214"/>
      <c r="DP267" s="1257"/>
      <c r="DQ267" s="1258"/>
      <c r="DR267" s="305"/>
      <c r="DS267" s="249"/>
      <c r="DT267" s="216"/>
      <c r="DU267" s="305"/>
      <c r="DV267" s="2520"/>
      <c r="DW267" s="2521"/>
      <c r="DX267" s="305"/>
      <c r="DY267" s="249"/>
      <c r="DZ267" s="221"/>
      <c r="EA267" s="388"/>
      <c r="EB267" s="249"/>
      <c r="EC267" s="216"/>
      <c r="ED267" s="1461"/>
      <c r="EE267" s="249"/>
      <c r="EF267" s="216"/>
      <c r="EG267" s="355"/>
      <c r="EH267" s="1425"/>
      <c r="EI267" s="1470"/>
      <c r="EJ267" s="249"/>
      <c r="EK267" s="221"/>
      <c r="EL267" s="313"/>
      <c r="EM267" s="249"/>
      <c r="EN267" s="221"/>
      <c r="EO267" s="313"/>
      <c r="EP267" s="249"/>
      <c r="EQ267" s="216"/>
      <c r="ER267" s="313"/>
      <c r="ES267" s="249"/>
      <c r="ET267" s="216"/>
      <c r="EU267" s="313"/>
      <c r="EV267" s="249"/>
      <c r="EW267" s="216"/>
      <c r="EX267" s="2505"/>
      <c r="EY267" s="249"/>
      <c r="EZ267" s="221"/>
      <c r="FA267" s="313"/>
      <c r="FB267" s="249"/>
      <c r="FC267" s="221"/>
      <c r="FD267" s="313"/>
      <c r="FE267" s="249"/>
      <c r="FF267" s="221"/>
      <c r="FG267" s="313"/>
      <c r="FH267" s="249"/>
      <c r="FI267" s="216"/>
      <c r="FJ267" s="1435"/>
      <c r="FK267" s="216"/>
      <c r="FL267" s="1268"/>
      <c r="FM267" s="1655"/>
      <c r="FN267" s="1268"/>
      <c r="FO267" s="1655"/>
      <c r="FP267" s="1268"/>
      <c r="FQ267" s="1656"/>
      <c r="FR267" s="249"/>
      <c r="FS267" s="216"/>
      <c r="FT267" s="1657"/>
      <c r="FU267" s="1658"/>
      <c r="FV267" s="242"/>
      <c r="FW267" s="343"/>
      <c r="FX267" s="222"/>
      <c r="FY267" s="336"/>
      <c r="FZ267" s="223"/>
      <c r="GA267" s="338"/>
      <c r="GB267" s="204"/>
      <c r="GC267" s="339"/>
      <c r="GD267" s="342"/>
      <c r="GE267" s="199"/>
      <c r="GF267" s="199"/>
      <c r="GG267" s="199"/>
      <c r="GH267" s="199"/>
      <c r="GI267" s="199"/>
      <c r="GJ267" s="199"/>
      <c r="GK267" s="199"/>
      <c r="GL267" s="49"/>
      <c r="GM267" s="28"/>
      <c r="GN267" s="28"/>
      <c r="GO267" s="322"/>
      <c r="GP267" s="1190"/>
      <c r="GQ267" s="1190"/>
      <c r="GR267" s="49"/>
      <c r="GS267" s="2879"/>
      <c r="GT267" s="2880"/>
      <c r="GU267" s="2881"/>
      <c r="GV267" s="49"/>
      <c r="GW267" s="49"/>
      <c r="GX267" s="49"/>
      <c r="GY267" s="49"/>
      <c r="GZ267" s="49"/>
      <c r="HA267" s="49"/>
      <c r="HB267" s="49"/>
      <c r="HC267" s="49"/>
      <c r="HD267" s="49"/>
      <c r="HE267" s="49"/>
      <c r="HF267" s="49"/>
      <c r="HG267" s="49"/>
      <c r="HH267" s="49"/>
      <c r="HI267" s="49"/>
      <c r="HJ267" s="49"/>
      <c r="HK267" s="49"/>
      <c r="HL267" s="49"/>
      <c r="HM267" s="49"/>
      <c r="HN267" s="49"/>
      <c r="HO267" s="49"/>
      <c r="HP267" s="49"/>
      <c r="HQ267" s="49"/>
      <c r="HR267" s="49"/>
      <c r="HS267" s="49"/>
      <c r="HT267" s="49"/>
      <c r="HU267" s="49"/>
      <c r="HV267" s="49"/>
      <c r="HW267" s="49"/>
      <c r="HX267" s="49"/>
      <c r="HY267" s="49"/>
      <c r="HZ267" s="49"/>
      <c r="IA267" s="49"/>
      <c r="IB267" s="49"/>
      <c r="IC267" s="49"/>
      <c r="ID267" s="49"/>
      <c r="IE267" s="49"/>
      <c r="IF267" s="49"/>
      <c r="IG267" s="49"/>
      <c r="IH267" s="49"/>
      <c r="II267" s="49"/>
      <c r="IJ267" s="49"/>
      <c r="IK267" s="49"/>
      <c r="IL267" s="49"/>
      <c r="IM267" s="49"/>
      <c r="IN267" s="49"/>
      <c r="IO267" s="49"/>
      <c r="IP267" s="49"/>
      <c r="IQ267" s="49"/>
      <c r="IR267" s="49"/>
      <c r="IS267" s="49"/>
      <c r="IT267" s="49"/>
      <c r="IU267" s="49"/>
      <c r="IV267" s="49"/>
    </row>
    <row r="268" spans="1:256" s="198" customFormat="1" ht="12" customHeight="1">
      <c r="A268" s="1252"/>
      <c r="B268" s="200"/>
      <c r="C268" s="486"/>
      <c r="D268" s="201"/>
      <c r="E268" s="202"/>
      <c r="F268" s="203"/>
      <c r="G268" s="197"/>
      <c r="H268" s="197"/>
      <c r="I268" s="197"/>
      <c r="J268" s="197"/>
      <c r="K268" s="175"/>
      <c r="L268" s="197"/>
      <c r="M268" s="197"/>
      <c r="N268" s="197"/>
      <c r="O268" s="197"/>
      <c r="P268" s="197"/>
      <c r="Q268" s="1198"/>
      <c r="R268" s="202"/>
      <c r="S268" s="202"/>
      <c r="T268" s="1186"/>
      <c r="U268" s="233"/>
      <c r="V268" s="49"/>
      <c r="W268" s="218"/>
      <c r="X268" s="218"/>
      <c r="Y268" s="216"/>
      <c r="Z268" s="216"/>
      <c r="AA268" s="215"/>
      <c r="AB268" s="216"/>
      <c r="AC268" s="216"/>
      <c r="AD268" s="239"/>
      <c r="AE268" s="216"/>
      <c r="AF268" s="216"/>
      <c r="AG268" s="216"/>
      <c r="AH268" s="216"/>
      <c r="AI268" s="216"/>
      <c r="AJ268" s="216"/>
      <c r="AK268" s="239"/>
      <c r="AL268" s="216"/>
      <c r="AM268" s="216"/>
      <c r="AN268" s="216"/>
      <c r="AO268" s="216"/>
      <c r="AP268" s="216"/>
      <c r="AQ268" s="216"/>
      <c r="AR268" s="216"/>
      <c r="AS268" s="216"/>
      <c r="AT268" s="216"/>
      <c r="AU268" s="216"/>
      <c r="AV268" s="217"/>
      <c r="AW268" s="355"/>
      <c r="AX268" s="217"/>
      <c r="AY268" s="1559"/>
      <c r="AZ268" s="249"/>
      <c r="BA268" s="221"/>
      <c r="BB268" s="300"/>
      <c r="BC268" s="217"/>
      <c r="BD268" s="392"/>
      <c r="BE268" s="1244"/>
      <c r="BF268" s="249"/>
      <c r="BG268" s="252"/>
      <c r="BH268" s="1469"/>
      <c r="BI268" s="216"/>
      <c r="BJ268" s="1469"/>
      <c r="BK268" s="1459"/>
      <c r="BL268" s="260"/>
      <c r="BM268" s="214"/>
      <c r="BN268" s="293"/>
      <c r="BO268" s="217"/>
      <c r="BP268" s="355"/>
      <c r="BQ268" s="217"/>
      <c r="BR268" s="1193"/>
      <c r="BS268" s="249"/>
      <c r="BT268" s="216"/>
      <c r="BU268" s="1195"/>
      <c r="BV268" s="249"/>
      <c r="BW268" s="216"/>
      <c r="BX268" s="1195"/>
      <c r="BY268" s="249"/>
      <c r="BZ268" s="216"/>
      <c r="CA268" s="1195"/>
      <c r="CB268" s="249"/>
      <c r="CC268" s="216"/>
      <c r="CD268" s="1195"/>
      <c r="CE268" s="249"/>
      <c r="CF268" s="216"/>
      <c r="CG268" s="1195"/>
      <c r="CH268" s="249"/>
      <c r="CI268" s="216"/>
      <c r="CJ268" s="1195"/>
      <c r="CK268" s="249"/>
      <c r="CL268" s="216"/>
      <c r="CM268" s="1194"/>
      <c r="CN268" s="1524"/>
      <c r="CO268" s="217"/>
      <c r="CP268" s="1193"/>
      <c r="CQ268" s="293"/>
      <c r="CR268" s="217"/>
      <c r="CS268" s="305"/>
      <c r="CT268" s="249"/>
      <c r="CU268" s="216"/>
      <c r="CV268" s="1193"/>
      <c r="CW268" s="249"/>
      <c r="CX268" s="216"/>
      <c r="CY268" s="305"/>
      <c r="CZ268" s="249"/>
      <c r="DA268" s="216"/>
      <c r="DB268" s="307"/>
      <c r="DC268" s="328"/>
      <c r="DD268" s="322"/>
      <c r="DE268" s="305"/>
      <c r="DF268" s="249"/>
      <c r="DG268" s="216"/>
      <c r="DH268" s="305"/>
      <c r="DI268" s="249"/>
      <c r="DJ268" s="216"/>
      <c r="DK268" s="309"/>
      <c r="DL268" s="293"/>
      <c r="DM268" s="326"/>
      <c r="DN268" s="1256"/>
      <c r="DO268" s="214"/>
      <c r="DP268" s="1257"/>
      <c r="DQ268" s="1258"/>
      <c r="DR268" s="305"/>
      <c r="DS268" s="249"/>
      <c r="DT268" s="216"/>
      <c r="DU268" s="305"/>
      <c r="DV268" s="2520"/>
      <c r="DW268" s="2521"/>
      <c r="DX268" s="305"/>
      <c r="DY268" s="249"/>
      <c r="DZ268" s="221"/>
      <c r="EA268" s="388"/>
      <c r="EB268" s="249"/>
      <c r="EC268" s="216"/>
      <c r="ED268" s="1461"/>
      <c r="EE268" s="249"/>
      <c r="EF268" s="216"/>
      <c r="EG268" s="355"/>
      <c r="EH268" s="1425"/>
      <c r="EI268" s="1470"/>
      <c r="EJ268" s="249"/>
      <c r="EK268" s="221"/>
      <c r="EL268" s="313"/>
      <c r="EM268" s="249"/>
      <c r="EN268" s="221"/>
      <c r="EO268" s="313"/>
      <c r="EP268" s="249"/>
      <c r="EQ268" s="216"/>
      <c r="ER268" s="313"/>
      <c r="ES268" s="249"/>
      <c r="ET268" s="216"/>
      <c r="EU268" s="313"/>
      <c r="EV268" s="249"/>
      <c r="EW268" s="216"/>
      <c r="EX268" s="2505"/>
      <c r="EY268" s="249"/>
      <c r="EZ268" s="221"/>
      <c r="FA268" s="313"/>
      <c r="FB268" s="249"/>
      <c r="FC268" s="221"/>
      <c r="FD268" s="313"/>
      <c r="FE268" s="249"/>
      <c r="FF268" s="221"/>
      <c r="FG268" s="313"/>
      <c r="FH268" s="249"/>
      <c r="FI268" s="216"/>
      <c r="FJ268" s="1435"/>
      <c r="FK268" s="216"/>
      <c r="FL268" s="1268"/>
      <c r="FM268" s="1655"/>
      <c r="FN268" s="1268"/>
      <c r="FO268" s="1655"/>
      <c r="FP268" s="1268"/>
      <c r="FQ268" s="1656"/>
      <c r="FR268" s="249"/>
      <c r="FS268" s="216"/>
      <c r="FT268" s="1657"/>
      <c r="FU268" s="1658"/>
      <c r="FV268" s="242"/>
      <c r="FW268" s="343"/>
      <c r="FX268" s="222"/>
      <c r="FY268" s="336"/>
      <c r="FZ268" s="223"/>
      <c r="GA268" s="338"/>
      <c r="GB268" s="204"/>
      <c r="GC268" s="339"/>
      <c r="GD268" s="342"/>
      <c r="GE268" s="199"/>
      <c r="GF268" s="199"/>
      <c r="GG268" s="199"/>
      <c r="GH268" s="199"/>
      <c r="GI268" s="199"/>
      <c r="GJ268" s="199"/>
      <c r="GK268" s="199"/>
      <c r="GL268" s="49"/>
      <c r="GM268" s="28"/>
      <c r="GN268" s="28"/>
      <c r="GO268" s="322"/>
      <c r="GP268" s="1190"/>
      <c r="GQ268" s="1190"/>
      <c r="GR268" s="49"/>
      <c r="GS268" s="2879"/>
      <c r="GT268" s="2880"/>
      <c r="GU268" s="2881"/>
      <c r="GV268" s="49"/>
      <c r="GW268" s="49"/>
      <c r="GX268" s="49"/>
      <c r="GY268" s="49"/>
      <c r="GZ268" s="49"/>
      <c r="HA268" s="49"/>
      <c r="HB268" s="49"/>
      <c r="HC268" s="49"/>
      <c r="HD268" s="49"/>
      <c r="HE268" s="49"/>
      <c r="HF268" s="49"/>
      <c r="HG268" s="49"/>
      <c r="HH268" s="49"/>
      <c r="HI268" s="49"/>
      <c r="HJ268" s="49"/>
      <c r="HK268" s="49"/>
      <c r="HL268" s="49"/>
      <c r="HM268" s="49"/>
      <c r="HN268" s="49"/>
      <c r="HO268" s="49"/>
      <c r="HP268" s="49"/>
      <c r="HQ268" s="49"/>
      <c r="HR268" s="49"/>
      <c r="HS268" s="49"/>
      <c r="HT268" s="49"/>
      <c r="HU268" s="49"/>
      <c r="HV268" s="49"/>
      <c r="HW268" s="49"/>
      <c r="HX268" s="49"/>
      <c r="HY268" s="49"/>
      <c r="HZ268" s="49"/>
      <c r="IA268" s="49"/>
      <c r="IB268" s="49"/>
      <c r="IC268" s="49"/>
      <c r="ID268" s="49"/>
      <c r="IE268" s="49"/>
      <c r="IF268" s="49"/>
      <c r="IG268" s="49"/>
      <c r="IH268" s="49"/>
      <c r="II268" s="49"/>
      <c r="IJ268" s="49"/>
      <c r="IK268" s="49"/>
      <c r="IL268" s="49"/>
      <c r="IM268" s="49"/>
      <c r="IN268" s="49"/>
      <c r="IO268" s="49"/>
      <c r="IP268" s="49"/>
      <c r="IQ268" s="49"/>
      <c r="IR268" s="49"/>
      <c r="IS268" s="49"/>
      <c r="IT268" s="49"/>
      <c r="IU268" s="49"/>
      <c r="IV268" s="49"/>
    </row>
    <row r="269" spans="1:256" s="198" customFormat="1" ht="12" customHeight="1">
      <c r="A269" s="1252"/>
      <c r="B269" s="200"/>
      <c r="C269" s="486"/>
      <c r="D269" s="201"/>
      <c r="E269" s="202"/>
      <c r="F269" s="203"/>
      <c r="G269" s="197"/>
      <c r="H269" s="197"/>
      <c r="I269" s="197"/>
      <c r="J269" s="197"/>
      <c r="K269" s="175"/>
      <c r="L269" s="197"/>
      <c r="M269" s="197"/>
      <c r="N269" s="197"/>
      <c r="O269" s="197"/>
      <c r="P269" s="197"/>
      <c r="Q269" s="1198"/>
      <c r="R269" s="202"/>
      <c r="S269" s="202"/>
      <c r="T269" s="1186"/>
      <c r="U269" s="233"/>
      <c r="V269" s="49"/>
      <c r="W269" s="218"/>
      <c r="X269" s="218"/>
      <c r="Y269" s="216"/>
      <c r="Z269" s="216"/>
      <c r="AA269" s="215"/>
      <c r="AB269" s="216"/>
      <c r="AC269" s="216"/>
      <c r="AD269" s="239"/>
      <c r="AE269" s="216"/>
      <c r="AF269" s="216"/>
      <c r="AG269" s="216"/>
      <c r="AH269" s="216"/>
      <c r="AI269" s="216"/>
      <c r="AJ269" s="216"/>
      <c r="AK269" s="239"/>
      <c r="AL269" s="216"/>
      <c r="AM269" s="216"/>
      <c r="AN269" s="216"/>
      <c r="AO269" s="216"/>
      <c r="AP269" s="216"/>
      <c r="AQ269" s="216"/>
      <c r="AR269" s="216"/>
      <c r="AS269" s="216"/>
      <c r="AT269" s="216"/>
      <c r="AU269" s="216"/>
      <c r="AV269" s="217"/>
      <c r="AW269" s="355"/>
      <c r="AX269" s="217"/>
      <c r="AY269" s="1559"/>
      <c r="AZ269" s="249"/>
      <c r="BA269" s="221"/>
      <c r="BB269" s="300"/>
      <c r="BC269" s="217"/>
      <c r="BD269" s="392"/>
      <c r="BE269" s="1244"/>
      <c r="BF269" s="249"/>
      <c r="BG269" s="252"/>
      <c r="BH269" s="1469"/>
      <c r="BI269" s="216"/>
      <c r="BJ269" s="1469"/>
      <c r="BK269" s="1459"/>
      <c r="BL269" s="260"/>
      <c r="BM269" s="214"/>
      <c r="BN269" s="293"/>
      <c r="BO269" s="217"/>
      <c r="BP269" s="355"/>
      <c r="BQ269" s="217"/>
      <c r="BR269" s="1193"/>
      <c r="BS269" s="249"/>
      <c r="BT269" s="216"/>
      <c r="BU269" s="1195"/>
      <c r="BV269" s="249"/>
      <c r="BW269" s="216"/>
      <c r="BX269" s="1195"/>
      <c r="BY269" s="249"/>
      <c r="BZ269" s="216"/>
      <c r="CA269" s="1195"/>
      <c r="CB269" s="249"/>
      <c r="CC269" s="216"/>
      <c r="CD269" s="1195"/>
      <c r="CE269" s="249"/>
      <c r="CF269" s="216"/>
      <c r="CG269" s="1195"/>
      <c r="CH269" s="249"/>
      <c r="CI269" s="216"/>
      <c r="CJ269" s="1195"/>
      <c r="CK269" s="249"/>
      <c r="CL269" s="216"/>
      <c r="CM269" s="1194"/>
      <c r="CN269" s="1524"/>
      <c r="CO269" s="217"/>
      <c r="CP269" s="1193"/>
      <c r="CQ269" s="293"/>
      <c r="CR269" s="217"/>
      <c r="CS269" s="305"/>
      <c r="CT269" s="249"/>
      <c r="CU269" s="216"/>
      <c r="CV269" s="1193"/>
      <c r="CW269" s="249"/>
      <c r="CX269" s="216"/>
      <c r="CY269" s="305"/>
      <c r="CZ269" s="249"/>
      <c r="DA269" s="216"/>
      <c r="DB269" s="307"/>
      <c r="DC269" s="328"/>
      <c r="DD269" s="322"/>
      <c r="DE269" s="305"/>
      <c r="DF269" s="249"/>
      <c r="DG269" s="216"/>
      <c r="DH269" s="305"/>
      <c r="DI269" s="249"/>
      <c r="DJ269" s="216"/>
      <c r="DK269" s="309"/>
      <c r="DL269" s="293"/>
      <c r="DM269" s="326"/>
      <c r="DN269" s="1256"/>
      <c r="DO269" s="214"/>
      <c r="DP269" s="1257"/>
      <c r="DQ269" s="1258"/>
      <c r="DR269" s="305"/>
      <c r="DS269" s="249"/>
      <c r="DT269" s="216"/>
      <c r="DU269" s="305"/>
      <c r="DV269" s="2520"/>
      <c r="DW269" s="2521"/>
      <c r="DX269" s="305"/>
      <c r="DY269" s="249"/>
      <c r="DZ269" s="221"/>
      <c r="EA269" s="388"/>
      <c r="EB269" s="249"/>
      <c r="EC269" s="216"/>
      <c r="ED269" s="1461"/>
      <c r="EE269" s="249"/>
      <c r="EF269" s="216"/>
      <c r="EG269" s="355"/>
      <c r="EH269" s="1425"/>
      <c r="EI269" s="1470"/>
      <c r="EJ269" s="249"/>
      <c r="EK269" s="221"/>
      <c r="EL269" s="313"/>
      <c r="EM269" s="249"/>
      <c r="EN269" s="221"/>
      <c r="EO269" s="313"/>
      <c r="EP269" s="249"/>
      <c r="EQ269" s="216"/>
      <c r="ER269" s="313"/>
      <c r="ES269" s="249"/>
      <c r="ET269" s="216"/>
      <c r="EU269" s="313"/>
      <c r="EV269" s="249"/>
      <c r="EW269" s="216"/>
      <c r="EX269" s="2505"/>
      <c r="EY269" s="249"/>
      <c r="EZ269" s="221"/>
      <c r="FA269" s="313"/>
      <c r="FB269" s="249"/>
      <c r="FC269" s="221"/>
      <c r="FD269" s="313"/>
      <c r="FE269" s="249"/>
      <c r="FF269" s="221"/>
      <c r="FG269" s="313"/>
      <c r="FH269" s="249"/>
      <c r="FI269" s="216"/>
      <c r="FJ269" s="1435"/>
      <c r="FK269" s="216"/>
      <c r="FL269" s="1268"/>
      <c r="FM269" s="1655"/>
      <c r="FN269" s="1268"/>
      <c r="FO269" s="1655"/>
      <c r="FP269" s="1268"/>
      <c r="FQ269" s="1656"/>
      <c r="FR269" s="249"/>
      <c r="FS269" s="216"/>
      <c r="FT269" s="1657"/>
      <c r="FU269" s="1658"/>
      <c r="FV269" s="242"/>
      <c r="FW269" s="343"/>
      <c r="FX269" s="222"/>
      <c r="FY269" s="336"/>
      <c r="FZ269" s="223"/>
      <c r="GA269" s="338"/>
      <c r="GB269" s="204"/>
      <c r="GC269" s="339"/>
      <c r="GD269" s="342"/>
      <c r="GE269" s="199"/>
      <c r="GF269" s="199"/>
      <c r="GG269" s="199"/>
      <c r="GH269" s="199"/>
      <c r="GI269" s="199"/>
      <c r="GJ269" s="199"/>
      <c r="GK269" s="199"/>
      <c r="GL269" s="49"/>
      <c r="GM269" s="28"/>
      <c r="GN269" s="28"/>
      <c r="GO269" s="322"/>
      <c r="GP269" s="1190"/>
      <c r="GQ269" s="1190"/>
      <c r="GR269" s="49"/>
      <c r="GS269" s="2879"/>
      <c r="GT269" s="2880"/>
      <c r="GU269" s="2881"/>
      <c r="GV269" s="49"/>
      <c r="GW269" s="49"/>
      <c r="GX269" s="49"/>
      <c r="GY269" s="49"/>
      <c r="GZ269" s="49"/>
      <c r="HA269" s="49"/>
      <c r="HB269" s="49"/>
      <c r="HC269" s="49"/>
      <c r="HD269" s="49"/>
      <c r="HE269" s="49"/>
      <c r="HF269" s="49"/>
      <c r="HG269" s="49"/>
      <c r="HH269" s="49"/>
      <c r="HI269" s="49"/>
      <c r="HJ269" s="49"/>
      <c r="HK269" s="49"/>
      <c r="HL269" s="49"/>
      <c r="HM269" s="49"/>
      <c r="HN269" s="49"/>
      <c r="HO269" s="49"/>
      <c r="HP269" s="49"/>
      <c r="HQ269" s="49"/>
      <c r="HR269" s="49"/>
      <c r="HS269" s="49"/>
      <c r="HT269" s="49"/>
      <c r="HU269" s="49"/>
      <c r="HV269" s="49"/>
      <c r="HW269" s="49"/>
      <c r="HX269" s="49"/>
      <c r="HY269" s="49"/>
      <c r="HZ269" s="49"/>
      <c r="IA269" s="49"/>
      <c r="IB269" s="49"/>
      <c r="IC269" s="49"/>
      <c r="ID269" s="49"/>
      <c r="IE269" s="49"/>
      <c r="IF269" s="49"/>
      <c r="IG269" s="49"/>
      <c r="IH269" s="49"/>
      <c r="II269" s="49"/>
      <c r="IJ269" s="49"/>
      <c r="IK269" s="49"/>
      <c r="IL269" s="49"/>
      <c r="IM269" s="49"/>
      <c r="IN269" s="49"/>
      <c r="IO269" s="49"/>
      <c r="IP269" s="49"/>
      <c r="IQ269" s="49"/>
      <c r="IR269" s="49"/>
      <c r="IS269" s="49"/>
      <c r="IT269" s="49"/>
      <c r="IU269" s="49"/>
      <c r="IV269" s="49"/>
    </row>
    <row r="270" spans="1:256" s="198" customFormat="1" ht="12" customHeight="1">
      <c r="A270" s="1252"/>
      <c r="B270" s="200"/>
      <c r="C270" s="486"/>
      <c r="D270" s="201"/>
      <c r="E270" s="202"/>
      <c r="F270" s="203"/>
      <c r="G270" s="197"/>
      <c r="H270" s="197"/>
      <c r="I270" s="197"/>
      <c r="J270" s="197"/>
      <c r="K270" s="175"/>
      <c r="L270" s="197"/>
      <c r="M270" s="197"/>
      <c r="N270" s="197"/>
      <c r="O270" s="197"/>
      <c r="P270" s="197"/>
      <c r="Q270" s="1198"/>
      <c r="R270" s="202"/>
      <c r="S270" s="202"/>
      <c r="T270" s="1186"/>
      <c r="U270" s="233"/>
      <c r="V270" s="49"/>
      <c r="W270" s="218"/>
      <c r="X270" s="218"/>
      <c r="Y270" s="216"/>
      <c r="Z270" s="216"/>
      <c r="AA270" s="215"/>
      <c r="AB270" s="216"/>
      <c r="AC270" s="216"/>
      <c r="AD270" s="239"/>
      <c r="AE270" s="216"/>
      <c r="AF270" s="216"/>
      <c r="AG270" s="216"/>
      <c r="AH270" s="216"/>
      <c r="AI270" s="216"/>
      <c r="AJ270" s="216"/>
      <c r="AK270" s="239"/>
      <c r="AL270" s="216"/>
      <c r="AM270" s="216"/>
      <c r="AN270" s="216"/>
      <c r="AO270" s="216"/>
      <c r="AP270" s="216"/>
      <c r="AQ270" s="216"/>
      <c r="AR270" s="216"/>
      <c r="AS270" s="216"/>
      <c r="AT270" s="216"/>
      <c r="AU270" s="216"/>
      <c r="AV270" s="217"/>
      <c r="AW270" s="355"/>
      <c r="AX270" s="217"/>
      <c r="AY270" s="1559"/>
      <c r="AZ270" s="249"/>
      <c r="BA270" s="221"/>
      <c r="BB270" s="300"/>
      <c r="BC270" s="217"/>
      <c r="BD270" s="392"/>
      <c r="BE270" s="1244"/>
      <c r="BF270" s="249"/>
      <c r="BG270" s="252"/>
      <c r="BH270" s="1469"/>
      <c r="BI270" s="216"/>
      <c r="BJ270" s="1469"/>
      <c r="BK270" s="1459"/>
      <c r="BL270" s="260"/>
      <c r="BM270" s="214"/>
      <c r="BN270" s="293"/>
      <c r="BO270" s="217"/>
      <c r="BP270" s="355"/>
      <c r="BQ270" s="217"/>
      <c r="BR270" s="1193"/>
      <c r="BS270" s="249"/>
      <c r="BT270" s="216"/>
      <c r="BU270" s="1195"/>
      <c r="BV270" s="249"/>
      <c r="BW270" s="216"/>
      <c r="BX270" s="1195"/>
      <c r="BY270" s="249"/>
      <c r="BZ270" s="216"/>
      <c r="CA270" s="1195"/>
      <c r="CB270" s="249"/>
      <c r="CC270" s="216"/>
      <c r="CD270" s="1195"/>
      <c r="CE270" s="249"/>
      <c r="CF270" s="216"/>
      <c r="CG270" s="1195"/>
      <c r="CH270" s="249"/>
      <c r="CI270" s="216"/>
      <c r="CJ270" s="1195"/>
      <c r="CK270" s="249"/>
      <c r="CL270" s="216"/>
      <c r="CM270" s="1194"/>
      <c r="CN270" s="1524"/>
      <c r="CO270" s="217"/>
      <c r="CP270" s="1193"/>
      <c r="CQ270" s="293"/>
      <c r="CR270" s="217"/>
      <c r="CS270" s="305"/>
      <c r="CT270" s="249"/>
      <c r="CU270" s="216"/>
      <c r="CV270" s="1193"/>
      <c r="CW270" s="249"/>
      <c r="CX270" s="216"/>
      <c r="CY270" s="305"/>
      <c r="CZ270" s="249"/>
      <c r="DA270" s="216"/>
      <c r="DB270" s="307"/>
      <c r="DC270" s="328"/>
      <c r="DD270" s="322"/>
      <c r="DE270" s="305"/>
      <c r="DF270" s="249"/>
      <c r="DG270" s="216"/>
      <c r="DH270" s="305"/>
      <c r="DI270" s="249"/>
      <c r="DJ270" s="216"/>
      <c r="DK270" s="309"/>
      <c r="DL270" s="293"/>
      <c r="DM270" s="326"/>
      <c r="DN270" s="1256"/>
      <c r="DO270" s="214"/>
      <c r="DP270" s="1257"/>
      <c r="DQ270" s="1258"/>
      <c r="DR270" s="305"/>
      <c r="DS270" s="249"/>
      <c r="DT270" s="216"/>
      <c r="DU270" s="305"/>
      <c r="DV270" s="2520"/>
      <c r="DW270" s="2521"/>
      <c r="DX270" s="305"/>
      <c r="DY270" s="249"/>
      <c r="DZ270" s="221"/>
      <c r="EA270" s="388"/>
      <c r="EB270" s="249"/>
      <c r="EC270" s="216"/>
      <c r="ED270" s="1461"/>
      <c r="EE270" s="249"/>
      <c r="EF270" s="216"/>
      <c r="EG270" s="355"/>
      <c r="EH270" s="1425"/>
      <c r="EI270" s="1470"/>
      <c r="EJ270" s="249"/>
      <c r="EK270" s="221"/>
      <c r="EL270" s="313"/>
      <c r="EM270" s="249"/>
      <c r="EN270" s="221"/>
      <c r="EO270" s="313"/>
      <c r="EP270" s="249"/>
      <c r="EQ270" s="216"/>
      <c r="ER270" s="313"/>
      <c r="ES270" s="249"/>
      <c r="ET270" s="216"/>
      <c r="EU270" s="313"/>
      <c r="EV270" s="249"/>
      <c r="EW270" s="216"/>
      <c r="EX270" s="2505"/>
      <c r="EY270" s="249"/>
      <c r="EZ270" s="221"/>
      <c r="FA270" s="313"/>
      <c r="FB270" s="249"/>
      <c r="FC270" s="221"/>
      <c r="FD270" s="313"/>
      <c r="FE270" s="249"/>
      <c r="FF270" s="221"/>
      <c r="FG270" s="313"/>
      <c r="FH270" s="249"/>
      <c r="FI270" s="216"/>
      <c r="FJ270" s="1435"/>
      <c r="FK270" s="216"/>
      <c r="FL270" s="1268"/>
      <c r="FM270" s="1655"/>
      <c r="FN270" s="1268"/>
      <c r="FO270" s="1655"/>
      <c r="FP270" s="1268"/>
      <c r="FQ270" s="1656"/>
      <c r="FR270" s="249"/>
      <c r="FS270" s="216"/>
      <c r="FT270" s="1657"/>
      <c r="FU270" s="1658"/>
      <c r="FV270" s="242"/>
      <c r="FW270" s="343"/>
      <c r="FX270" s="222"/>
      <c r="FY270" s="336"/>
      <c r="FZ270" s="223"/>
      <c r="GA270" s="338"/>
      <c r="GB270" s="204"/>
      <c r="GC270" s="339"/>
      <c r="GD270" s="342"/>
      <c r="GE270" s="199"/>
      <c r="GF270" s="199"/>
      <c r="GG270" s="199"/>
      <c r="GH270" s="199"/>
      <c r="GI270" s="199"/>
      <c r="GJ270" s="199"/>
      <c r="GK270" s="199"/>
      <c r="GL270" s="49"/>
      <c r="GM270" s="28"/>
      <c r="GN270" s="28"/>
      <c r="GO270" s="322"/>
      <c r="GP270" s="1190"/>
      <c r="GQ270" s="1190"/>
      <c r="GR270" s="49"/>
      <c r="GS270" s="2879"/>
      <c r="GT270" s="2880"/>
      <c r="GU270" s="2881"/>
      <c r="GV270" s="49"/>
      <c r="GW270" s="49"/>
      <c r="GX270" s="49"/>
      <c r="GY270" s="49"/>
      <c r="GZ270" s="49"/>
      <c r="HA270" s="49"/>
      <c r="HB270" s="49"/>
      <c r="HC270" s="49"/>
      <c r="HD270" s="49"/>
      <c r="HE270" s="49"/>
      <c r="HF270" s="49"/>
      <c r="HG270" s="49"/>
      <c r="HH270" s="49"/>
      <c r="HI270" s="49"/>
      <c r="HJ270" s="49"/>
      <c r="HK270" s="49"/>
      <c r="HL270" s="49"/>
      <c r="HM270" s="49"/>
      <c r="HN270" s="49"/>
      <c r="HO270" s="49"/>
      <c r="HP270" s="49"/>
      <c r="HQ270" s="49"/>
      <c r="HR270" s="49"/>
      <c r="HS270" s="49"/>
      <c r="HT270" s="49"/>
      <c r="HU270" s="49"/>
      <c r="HV270" s="49"/>
      <c r="HW270" s="49"/>
      <c r="HX270" s="49"/>
      <c r="HY270" s="49"/>
      <c r="HZ270" s="49"/>
      <c r="IA270" s="49"/>
      <c r="IB270" s="49"/>
      <c r="IC270" s="49"/>
      <c r="ID270" s="49"/>
      <c r="IE270" s="49"/>
      <c r="IF270" s="49"/>
      <c r="IG270" s="49"/>
      <c r="IH270" s="49"/>
      <c r="II270" s="49"/>
      <c r="IJ270" s="49"/>
      <c r="IK270" s="49"/>
      <c r="IL270" s="49"/>
      <c r="IM270" s="49"/>
      <c r="IN270" s="49"/>
      <c r="IO270" s="49"/>
      <c r="IP270" s="49"/>
      <c r="IQ270" s="49"/>
      <c r="IR270" s="49"/>
      <c r="IS270" s="49"/>
      <c r="IT270" s="49"/>
      <c r="IU270" s="49"/>
      <c r="IV270" s="49"/>
    </row>
    <row r="271" spans="1:256" s="198" customFormat="1" ht="12" customHeight="1">
      <c r="A271" s="1252"/>
      <c r="B271" s="200"/>
      <c r="C271" s="486"/>
      <c r="D271" s="201"/>
      <c r="E271" s="202"/>
      <c r="F271" s="203"/>
      <c r="G271" s="197"/>
      <c r="H271" s="197"/>
      <c r="I271" s="197"/>
      <c r="J271" s="197"/>
      <c r="K271" s="175"/>
      <c r="L271" s="197"/>
      <c r="M271" s="197"/>
      <c r="N271" s="197"/>
      <c r="O271" s="197"/>
      <c r="P271" s="197"/>
      <c r="Q271" s="1198"/>
      <c r="R271" s="202"/>
      <c r="S271" s="202"/>
      <c r="T271" s="1186"/>
      <c r="U271" s="233"/>
      <c r="V271" s="49"/>
      <c r="W271" s="218"/>
      <c r="X271" s="218"/>
      <c r="Y271" s="216"/>
      <c r="Z271" s="216"/>
      <c r="AA271" s="215"/>
      <c r="AB271" s="216"/>
      <c r="AC271" s="216"/>
      <c r="AD271" s="239"/>
      <c r="AE271" s="216"/>
      <c r="AF271" s="216"/>
      <c r="AG271" s="216"/>
      <c r="AH271" s="216"/>
      <c r="AI271" s="216"/>
      <c r="AJ271" s="216"/>
      <c r="AK271" s="239"/>
      <c r="AL271" s="216"/>
      <c r="AM271" s="216"/>
      <c r="AN271" s="216"/>
      <c r="AO271" s="216"/>
      <c r="AP271" s="216"/>
      <c r="AQ271" s="216"/>
      <c r="AR271" s="216"/>
      <c r="AS271" s="216"/>
      <c r="AT271" s="216"/>
      <c r="AU271" s="216"/>
      <c r="AV271" s="217"/>
      <c r="AW271" s="355"/>
      <c r="AX271" s="217"/>
      <c r="AY271" s="1559"/>
      <c r="AZ271" s="249"/>
      <c r="BA271" s="221"/>
      <c r="BB271" s="300"/>
      <c r="BC271" s="217"/>
      <c r="BD271" s="392"/>
      <c r="BE271" s="1244"/>
      <c r="BF271" s="249"/>
      <c r="BG271" s="252"/>
      <c r="BH271" s="1469"/>
      <c r="BI271" s="216"/>
      <c r="BJ271" s="1469"/>
      <c r="BK271" s="1459"/>
      <c r="BL271" s="260"/>
      <c r="BM271" s="214"/>
      <c r="BN271" s="293"/>
      <c r="BO271" s="217"/>
      <c r="BP271" s="355"/>
      <c r="BQ271" s="217"/>
      <c r="BR271" s="1193"/>
      <c r="BS271" s="249"/>
      <c r="BT271" s="216"/>
      <c r="BU271" s="1195"/>
      <c r="BV271" s="249"/>
      <c r="BW271" s="216"/>
      <c r="BX271" s="1195"/>
      <c r="BY271" s="249"/>
      <c r="BZ271" s="216"/>
      <c r="CA271" s="1195"/>
      <c r="CB271" s="249"/>
      <c r="CC271" s="216"/>
      <c r="CD271" s="1195"/>
      <c r="CE271" s="249"/>
      <c r="CF271" s="216"/>
      <c r="CG271" s="1195"/>
      <c r="CH271" s="249"/>
      <c r="CI271" s="216"/>
      <c r="CJ271" s="1195"/>
      <c r="CK271" s="249"/>
      <c r="CL271" s="216"/>
      <c r="CM271" s="1194"/>
      <c r="CN271" s="1524"/>
      <c r="CO271" s="217"/>
      <c r="CP271" s="1193"/>
      <c r="CQ271" s="293"/>
      <c r="CR271" s="217"/>
      <c r="CS271" s="305"/>
      <c r="CT271" s="249"/>
      <c r="CU271" s="216"/>
      <c r="CV271" s="1193"/>
      <c r="CW271" s="249"/>
      <c r="CX271" s="216"/>
      <c r="CY271" s="305"/>
      <c r="CZ271" s="249"/>
      <c r="DA271" s="216"/>
      <c r="DB271" s="307"/>
      <c r="DC271" s="328"/>
      <c r="DD271" s="322"/>
      <c r="DE271" s="305"/>
      <c r="DF271" s="249"/>
      <c r="DG271" s="216"/>
      <c r="DH271" s="305"/>
      <c r="DI271" s="249"/>
      <c r="DJ271" s="216"/>
      <c r="DK271" s="309"/>
      <c r="DL271" s="293"/>
      <c r="DM271" s="326"/>
      <c r="DN271" s="1256"/>
      <c r="DO271" s="214"/>
      <c r="DP271" s="1257"/>
      <c r="DQ271" s="1258"/>
      <c r="DR271" s="305"/>
      <c r="DS271" s="249"/>
      <c r="DT271" s="216"/>
      <c r="DU271" s="305"/>
      <c r="DV271" s="2520"/>
      <c r="DW271" s="2521"/>
      <c r="DX271" s="305"/>
      <c r="DY271" s="249"/>
      <c r="DZ271" s="221"/>
      <c r="EA271" s="388"/>
      <c r="EB271" s="249"/>
      <c r="EC271" s="216"/>
      <c r="ED271" s="1461"/>
      <c r="EE271" s="249"/>
      <c r="EF271" s="216"/>
      <c r="EG271" s="355"/>
      <c r="EH271" s="1425"/>
      <c r="EI271" s="1470"/>
      <c r="EJ271" s="249"/>
      <c r="EK271" s="221"/>
      <c r="EL271" s="313"/>
      <c r="EM271" s="249"/>
      <c r="EN271" s="221"/>
      <c r="EO271" s="313"/>
      <c r="EP271" s="249"/>
      <c r="EQ271" s="216"/>
      <c r="ER271" s="313"/>
      <c r="ES271" s="249"/>
      <c r="ET271" s="216"/>
      <c r="EU271" s="313"/>
      <c r="EV271" s="249"/>
      <c r="EW271" s="216"/>
      <c r="EX271" s="2505"/>
      <c r="EY271" s="249"/>
      <c r="EZ271" s="221"/>
      <c r="FA271" s="313"/>
      <c r="FB271" s="249"/>
      <c r="FC271" s="221"/>
      <c r="FD271" s="313"/>
      <c r="FE271" s="249"/>
      <c r="FF271" s="221"/>
      <c r="FG271" s="313"/>
      <c r="FH271" s="249"/>
      <c r="FI271" s="216"/>
      <c r="FJ271" s="1435"/>
      <c r="FK271" s="216"/>
      <c r="FL271" s="1268"/>
      <c r="FM271" s="1655"/>
      <c r="FN271" s="1268"/>
      <c r="FO271" s="1655"/>
      <c r="FP271" s="1268"/>
      <c r="FQ271" s="1656"/>
      <c r="FR271" s="249"/>
      <c r="FS271" s="216"/>
      <c r="FT271" s="1657"/>
      <c r="FU271" s="1658"/>
      <c r="FV271" s="242"/>
      <c r="FW271" s="343"/>
      <c r="FX271" s="222"/>
      <c r="FY271" s="336"/>
      <c r="FZ271" s="223"/>
      <c r="GA271" s="338"/>
      <c r="GB271" s="204"/>
      <c r="GC271" s="339"/>
      <c r="GD271" s="342"/>
      <c r="GE271" s="199"/>
      <c r="GF271" s="199"/>
      <c r="GG271" s="199"/>
      <c r="GH271" s="199"/>
      <c r="GI271" s="199"/>
      <c r="GJ271" s="199"/>
      <c r="GK271" s="199"/>
      <c r="GL271" s="49"/>
      <c r="GM271" s="28"/>
      <c r="GN271" s="28"/>
      <c r="GO271" s="322"/>
      <c r="GP271" s="1190"/>
      <c r="GQ271" s="1190"/>
      <c r="GR271" s="49"/>
      <c r="GS271" s="2879"/>
      <c r="GT271" s="2880"/>
      <c r="GU271" s="2881"/>
      <c r="GV271" s="49"/>
      <c r="GW271" s="49"/>
      <c r="GX271" s="49"/>
      <c r="GY271" s="49"/>
      <c r="GZ271" s="49"/>
      <c r="HA271" s="49"/>
      <c r="HB271" s="49"/>
      <c r="HC271" s="49"/>
      <c r="HD271" s="49"/>
      <c r="HE271" s="49"/>
      <c r="HF271" s="49"/>
      <c r="HG271" s="49"/>
      <c r="HH271" s="49"/>
      <c r="HI271" s="49"/>
      <c r="HJ271" s="49"/>
      <c r="HK271" s="49"/>
      <c r="HL271" s="49"/>
      <c r="HM271" s="49"/>
      <c r="HN271" s="49"/>
      <c r="HO271" s="49"/>
      <c r="HP271" s="49"/>
      <c r="HQ271" s="49"/>
      <c r="HR271" s="49"/>
      <c r="HS271" s="49"/>
      <c r="HT271" s="49"/>
      <c r="HU271" s="49"/>
      <c r="HV271" s="49"/>
      <c r="HW271" s="49"/>
      <c r="HX271" s="49"/>
      <c r="HY271" s="49"/>
      <c r="HZ271" s="49"/>
      <c r="IA271" s="49"/>
      <c r="IB271" s="49"/>
      <c r="IC271" s="49"/>
      <c r="ID271" s="49"/>
      <c r="IE271" s="49"/>
      <c r="IF271" s="49"/>
      <c r="IG271" s="49"/>
      <c r="IH271" s="49"/>
      <c r="II271" s="49"/>
      <c r="IJ271" s="49"/>
      <c r="IK271" s="49"/>
      <c r="IL271" s="49"/>
      <c r="IM271" s="49"/>
      <c r="IN271" s="49"/>
      <c r="IO271" s="49"/>
      <c r="IP271" s="49"/>
      <c r="IQ271" s="49"/>
      <c r="IR271" s="49"/>
      <c r="IS271" s="49"/>
      <c r="IT271" s="49"/>
      <c r="IU271" s="49"/>
      <c r="IV271" s="49"/>
    </row>
    <row r="272" spans="1:256" s="198" customFormat="1" ht="12" customHeight="1">
      <c r="A272" s="1252"/>
      <c r="B272" s="200"/>
      <c r="C272" s="486"/>
      <c r="D272" s="201"/>
      <c r="E272" s="202"/>
      <c r="F272" s="203"/>
      <c r="G272" s="197"/>
      <c r="H272" s="197"/>
      <c r="I272" s="197"/>
      <c r="J272" s="197"/>
      <c r="K272" s="175"/>
      <c r="L272" s="197"/>
      <c r="M272" s="197"/>
      <c r="N272" s="197"/>
      <c r="O272" s="197"/>
      <c r="P272" s="197"/>
      <c r="Q272" s="1198"/>
      <c r="R272" s="202"/>
      <c r="S272" s="202"/>
      <c r="T272" s="1186"/>
      <c r="U272" s="233"/>
      <c r="V272" s="49"/>
      <c r="W272" s="218"/>
      <c r="X272" s="218"/>
      <c r="Y272" s="216"/>
      <c r="Z272" s="216"/>
      <c r="AA272" s="215"/>
      <c r="AB272" s="216"/>
      <c r="AC272" s="216"/>
      <c r="AD272" s="239"/>
      <c r="AE272" s="216"/>
      <c r="AF272" s="216"/>
      <c r="AG272" s="216"/>
      <c r="AH272" s="216"/>
      <c r="AI272" s="216"/>
      <c r="AJ272" s="216"/>
      <c r="AK272" s="239"/>
      <c r="AL272" s="216"/>
      <c r="AM272" s="216"/>
      <c r="AN272" s="216"/>
      <c r="AO272" s="216"/>
      <c r="AP272" s="216"/>
      <c r="AQ272" s="216"/>
      <c r="AR272" s="216"/>
      <c r="AS272" s="216"/>
      <c r="AT272" s="216"/>
      <c r="AU272" s="216"/>
      <c r="AV272" s="217"/>
      <c r="AW272" s="355"/>
      <c r="AX272" s="217"/>
      <c r="AY272" s="1559"/>
      <c r="AZ272" s="249"/>
      <c r="BA272" s="221"/>
      <c r="BB272" s="300"/>
      <c r="BC272" s="217"/>
      <c r="BD272" s="392"/>
      <c r="BE272" s="1244"/>
      <c r="BF272" s="249"/>
      <c r="BG272" s="252"/>
      <c r="BH272" s="1469"/>
      <c r="BI272" s="216"/>
      <c r="BJ272" s="1469"/>
      <c r="BK272" s="1459"/>
      <c r="BL272" s="260"/>
      <c r="BM272" s="214"/>
      <c r="BN272" s="293"/>
      <c r="BO272" s="217"/>
      <c r="BP272" s="355"/>
      <c r="BQ272" s="217"/>
      <c r="BR272" s="1193"/>
      <c r="BS272" s="249"/>
      <c r="BT272" s="216"/>
      <c r="BU272" s="1195"/>
      <c r="BV272" s="249"/>
      <c r="BW272" s="216"/>
      <c r="BX272" s="1195"/>
      <c r="BY272" s="249"/>
      <c r="BZ272" s="216"/>
      <c r="CA272" s="1195"/>
      <c r="CB272" s="249"/>
      <c r="CC272" s="216"/>
      <c r="CD272" s="1195"/>
      <c r="CE272" s="249"/>
      <c r="CF272" s="216"/>
      <c r="CG272" s="1195"/>
      <c r="CH272" s="249"/>
      <c r="CI272" s="216"/>
      <c r="CJ272" s="1195"/>
      <c r="CK272" s="249"/>
      <c r="CL272" s="216"/>
      <c r="CM272" s="1194"/>
      <c r="CN272" s="1524"/>
      <c r="CO272" s="217"/>
      <c r="CP272" s="1193"/>
      <c r="CQ272" s="293"/>
      <c r="CR272" s="217"/>
      <c r="CS272" s="305"/>
      <c r="CT272" s="249"/>
      <c r="CU272" s="216"/>
      <c r="CV272" s="1193"/>
      <c r="CW272" s="249"/>
      <c r="CX272" s="216"/>
      <c r="CY272" s="305"/>
      <c r="CZ272" s="249"/>
      <c r="DA272" s="216"/>
      <c r="DB272" s="307"/>
      <c r="DC272" s="328"/>
      <c r="DD272" s="322"/>
      <c r="DE272" s="305"/>
      <c r="DF272" s="249"/>
      <c r="DG272" s="216"/>
      <c r="DH272" s="305"/>
      <c r="DI272" s="249"/>
      <c r="DJ272" s="216"/>
      <c r="DK272" s="309"/>
      <c r="DL272" s="293"/>
      <c r="DM272" s="326"/>
      <c r="DN272" s="1256"/>
      <c r="DO272" s="214"/>
      <c r="DP272" s="1257"/>
      <c r="DQ272" s="1258"/>
      <c r="DR272" s="305"/>
      <c r="DS272" s="249"/>
      <c r="DT272" s="216"/>
      <c r="DU272" s="305"/>
      <c r="DV272" s="2520"/>
      <c r="DW272" s="2521"/>
      <c r="DX272" s="305"/>
      <c r="DY272" s="249"/>
      <c r="DZ272" s="221"/>
      <c r="EA272" s="388"/>
      <c r="EB272" s="249"/>
      <c r="EC272" s="216"/>
      <c r="ED272" s="1461"/>
      <c r="EE272" s="249"/>
      <c r="EF272" s="216"/>
      <c r="EG272" s="355"/>
      <c r="EH272" s="1425"/>
      <c r="EI272" s="1470"/>
      <c r="EJ272" s="249"/>
      <c r="EK272" s="221"/>
      <c r="EL272" s="313"/>
      <c r="EM272" s="249"/>
      <c r="EN272" s="221"/>
      <c r="EO272" s="313"/>
      <c r="EP272" s="249"/>
      <c r="EQ272" s="216"/>
      <c r="ER272" s="313"/>
      <c r="ES272" s="249"/>
      <c r="ET272" s="216"/>
      <c r="EU272" s="313"/>
      <c r="EV272" s="249"/>
      <c r="EW272" s="216"/>
      <c r="EX272" s="2505"/>
      <c r="EY272" s="249"/>
      <c r="EZ272" s="221"/>
      <c r="FA272" s="313"/>
      <c r="FB272" s="249"/>
      <c r="FC272" s="221"/>
      <c r="FD272" s="313"/>
      <c r="FE272" s="249"/>
      <c r="FF272" s="221"/>
      <c r="FG272" s="313"/>
      <c r="FH272" s="249"/>
      <c r="FI272" s="216"/>
      <c r="FJ272" s="1435"/>
      <c r="FK272" s="216"/>
      <c r="FL272" s="1268"/>
      <c r="FM272" s="1655"/>
      <c r="FN272" s="1268"/>
      <c r="FO272" s="1655"/>
      <c r="FP272" s="1268"/>
      <c r="FQ272" s="1656"/>
      <c r="FR272" s="249"/>
      <c r="FS272" s="216"/>
      <c r="FT272" s="1657"/>
      <c r="FU272" s="1658"/>
      <c r="FV272" s="242"/>
      <c r="FW272" s="343"/>
      <c r="FX272" s="222"/>
      <c r="FY272" s="336"/>
      <c r="FZ272" s="223"/>
      <c r="GA272" s="338"/>
      <c r="GB272" s="204"/>
      <c r="GC272" s="339"/>
      <c r="GD272" s="342"/>
      <c r="GE272" s="199"/>
      <c r="GF272" s="199"/>
      <c r="GG272" s="199"/>
      <c r="GH272" s="199"/>
      <c r="GI272" s="199"/>
      <c r="GJ272" s="199"/>
      <c r="GK272" s="199"/>
      <c r="GL272" s="49"/>
      <c r="GM272" s="28"/>
      <c r="GN272" s="28"/>
      <c r="GO272" s="322"/>
      <c r="GP272" s="1190"/>
      <c r="GQ272" s="1190"/>
      <c r="GR272" s="49"/>
      <c r="GS272" s="2879"/>
      <c r="GT272" s="2880"/>
      <c r="GU272" s="2881"/>
      <c r="GV272" s="49"/>
      <c r="GW272" s="49"/>
      <c r="GX272" s="49"/>
      <c r="GY272" s="49"/>
      <c r="GZ272" s="49"/>
      <c r="HA272" s="49"/>
      <c r="HB272" s="49"/>
      <c r="HC272" s="49"/>
      <c r="HD272" s="49"/>
      <c r="HE272" s="49"/>
      <c r="HF272" s="49"/>
      <c r="HG272" s="49"/>
      <c r="HH272" s="49"/>
      <c r="HI272" s="49"/>
      <c r="HJ272" s="49"/>
      <c r="HK272" s="49"/>
      <c r="HL272" s="49"/>
      <c r="HM272" s="49"/>
      <c r="HN272" s="49"/>
      <c r="HO272" s="49"/>
      <c r="HP272" s="49"/>
      <c r="HQ272" s="49"/>
      <c r="HR272" s="49"/>
      <c r="HS272" s="49"/>
      <c r="HT272" s="49"/>
      <c r="HU272" s="49"/>
      <c r="HV272" s="49"/>
      <c r="HW272" s="49"/>
      <c r="HX272" s="49"/>
      <c r="HY272" s="49"/>
      <c r="HZ272" s="49"/>
      <c r="IA272" s="49"/>
      <c r="IB272" s="49"/>
      <c r="IC272" s="49"/>
      <c r="ID272" s="49"/>
      <c r="IE272" s="49"/>
      <c r="IF272" s="49"/>
      <c r="IG272" s="49"/>
      <c r="IH272" s="49"/>
      <c r="II272" s="49"/>
      <c r="IJ272" s="49"/>
      <c r="IK272" s="49"/>
      <c r="IL272" s="49"/>
      <c r="IM272" s="49"/>
      <c r="IN272" s="49"/>
      <c r="IO272" s="49"/>
      <c r="IP272" s="49"/>
      <c r="IQ272" s="49"/>
      <c r="IR272" s="49"/>
      <c r="IS272" s="49"/>
      <c r="IT272" s="49"/>
      <c r="IU272" s="49"/>
      <c r="IV272" s="49"/>
    </row>
    <row r="273" spans="1:256" s="198" customFormat="1" ht="12" customHeight="1">
      <c r="A273" s="1252"/>
      <c r="B273" s="200"/>
      <c r="C273" s="486"/>
      <c r="D273" s="201"/>
      <c r="E273" s="202"/>
      <c r="F273" s="203"/>
      <c r="G273" s="197"/>
      <c r="H273" s="197"/>
      <c r="I273" s="197"/>
      <c r="J273" s="197"/>
      <c r="K273" s="175"/>
      <c r="L273" s="197"/>
      <c r="M273" s="197"/>
      <c r="N273" s="197"/>
      <c r="O273" s="197"/>
      <c r="P273" s="197"/>
      <c r="Q273" s="1198"/>
      <c r="R273" s="202"/>
      <c r="S273" s="202"/>
      <c r="T273" s="1186"/>
      <c r="U273" s="233"/>
      <c r="V273" s="49"/>
      <c r="W273" s="218"/>
      <c r="X273" s="218"/>
      <c r="Y273" s="216"/>
      <c r="Z273" s="216"/>
      <c r="AA273" s="215"/>
      <c r="AB273" s="216"/>
      <c r="AC273" s="216"/>
      <c r="AD273" s="239"/>
      <c r="AE273" s="216"/>
      <c r="AF273" s="216"/>
      <c r="AG273" s="216"/>
      <c r="AH273" s="216"/>
      <c r="AI273" s="216"/>
      <c r="AJ273" s="216"/>
      <c r="AK273" s="239"/>
      <c r="AL273" s="216"/>
      <c r="AM273" s="216"/>
      <c r="AN273" s="216"/>
      <c r="AO273" s="216"/>
      <c r="AP273" s="216"/>
      <c r="AQ273" s="216"/>
      <c r="AR273" s="216"/>
      <c r="AS273" s="216"/>
      <c r="AT273" s="216"/>
      <c r="AU273" s="216"/>
      <c r="AV273" s="217"/>
      <c r="AW273" s="355"/>
      <c r="AX273" s="217"/>
      <c r="AY273" s="1559"/>
      <c r="AZ273" s="249"/>
      <c r="BA273" s="221"/>
      <c r="BB273" s="300"/>
      <c r="BC273" s="217"/>
      <c r="BD273" s="392"/>
      <c r="BE273" s="1244"/>
      <c r="BF273" s="249"/>
      <c r="BG273" s="252"/>
      <c r="BH273" s="1469"/>
      <c r="BI273" s="216"/>
      <c r="BJ273" s="1469"/>
      <c r="BK273" s="1459"/>
      <c r="BL273" s="260"/>
      <c r="BM273" s="214"/>
      <c r="BN273" s="293"/>
      <c r="BO273" s="217"/>
      <c r="BP273" s="355"/>
      <c r="BQ273" s="217"/>
      <c r="BR273" s="1193"/>
      <c r="BS273" s="249"/>
      <c r="BT273" s="216"/>
      <c r="BU273" s="1195"/>
      <c r="BV273" s="249"/>
      <c r="BW273" s="216"/>
      <c r="BX273" s="1195"/>
      <c r="BY273" s="249"/>
      <c r="BZ273" s="216"/>
      <c r="CA273" s="1195"/>
      <c r="CB273" s="249"/>
      <c r="CC273" s="216"/>
      <c r="CD273" s="1195"/>
      <c r="CE273" s="249"/>
      <c r="CF273" s="216"/>
      <c r="CG273" s="1195"/>
      <c r="CH273" s="249"/>
      <c r="CI273" s="216"/>
      <c r="CJ273" s="1195"/>
      <c r="CK273" s="249"/>
      <c r="CL273" s="216"/>
      <c r="CM273" s="1194"/>
      <c r="CN273" s="1524"/>
      <c r="CO273" s="217"/>
      <c r="CP273" s="1193"/>
      <c r="CQ273" s="293"/>
      <c r="CR273" s="217"/>
      <c r="CS273" s="305"/>
      <c r="CT273" s="249"/>
      <c r="CU273" s="216"/>
      <c r="CV273" s="1193"/>
      <c r="CW273" s="249"/>
      <c r="CX273" s="216"/>
      <c r="CY273" s="305"/>
      <c r="CZ273" s="249"/>
      <c r="DA273" s="216"/>
      <c r="DB273" s="307"/>
      <c r="DC273" s="328"/>
      <c r="DD273" s="322"/>
      <c r="DE273" s="305"/>
      <c r="DF273" s="249"/>
      <c r="DG273" s="216"/>
      <c r="DH273" s="305"/>
      <c r="DI273" s="249"/>
      <c r="DJ273" s="216"/>
      <c r="DK273" s="309"/>
      <c r="DL273" s="293"/>
      <c r="DM273" s="326"/>
      <c r="DN273" s="1256"/>
      <c r="DO273" s="214"/>
      <c r="DP273" s="1257"/>
      <c r="DQ273" s="1258"/>
      <c r="DR273" s="305"/>
      <c r="DS273" s="249"/>
      <c r="DT273" s="216"/>
      <c r="DU273" s="305"/>
      <c r="DV273" s="2520"/>
      <c r="DW273" s="2521"/>
      <c r="DX273" s="305"/>
      <c r="DY273" s="249"/>
      <c r="DZ273" s="221"/>
      <c r="EA273" s="388"/>
      <c r="EB273" s="249"/>
      <c r="EC273" s="216"/>
      <c r="ED273" s="1461"/>
      <c r="EE273" s="249"/>
      <c r="EF273" s="216"/>
      <c r="EG273" s="355"/>
      <c r="EH273" s="1425"/>
      <c r="EI273" s="1470"/>
      <c r="EJ273" s="249"/>
      <c r="EK273" s="221"/>
      <c r="EL273" s="313"/>
      <c r="EM273" s="249"/>
      <c r="EN273" s="221"/>
      <c r="EO273" s="313"/>
      <c r="EP273" s="249"/>
      <c r="EQ273" s="216"/>
      <c r="ER273" s="313"/>
      <c r="ES273" s="249"/>
      <c r="ET273" s="216"/>
      <c r="EU273" s="313"/>
      <c r="EV273" s="249"/>
      <c r="EW273" s="216"/>
      <c r="EX273" s="2505"/>
      <c r="EY273" s="249"/>
      <c r="EZ273" s="221"/>
      <c r="FA273" s="313"/>
      <c r="FB273" s="249"/>
      <c r="FC273" s="221"/>
      <c r="FD273" s="313"/>
      <c r="FE273" s="249"/>
      <c r="FF273" s="221"/>
      <c r="FG273" s="313"/>
      <c r="FH273" s="249"/>
      <c r="FI273" s="216"/>
      <c r="FJ273" s="1435"/>
      <c r="FK273" s="216"/>
      <c r="FL273" s="1268"/>
      <c r="FM273" s="1655"/>
      <c r="FN273" s="1268"/>
      <c r="FO273" s="1655"/>
      <c r="FP273" s="1268"/>
      <c r="FQ273" s="1656"/>
      <c r="FR273" s="249"/>
      <c r="FS273" s="216"/>
      <c r="FT273" s="1657"/>
      <c r="FU273" s="1658"/>
      <c r="FV273" s="242"/>
      <c r="FW273" s="343"/>
      <c r="FX273" s="222"/>
      <c r="FY273" s="336"/>
      <c r="FZ273" s="223"/>
      <c r="GA273" s="338"/>
      <c r="GB273" s="204"/>
      <c r="GC273" s="339"/>
      <c r="GD273" s="342"/>
      <c r="GE273" s="199"/>
      <c r="GF273" s="199"/>
      <c r="GG273" s="199"/>
      <c r="GH273" s="199"/>
      <c r="GI273" s="199"/>
      <c r="GJ273" s="199"/>
      <c r="GK273" s="199"/>
      <c r="GL273" s="49"/>
      <c r="GM273" s="28"/>
      <c r="GN273" s="28"/>
      <c r="GO273" s="322"/>
      <c r="GP273" s="1190"/>
      <c r="GQ273" s="1190"/>
      <c r="GR273" s="49"/>
      <c r="GS273" s="2879"/>
      <c r="GT273" s="2880"/>
      <c r="GU273" s="2881"/>
      <c r="GV273" s="49"/>
      <c r="GW273" s="49"/>
      <c r="GX273" s="49"/>
      <c r="GY273" s="49"/>
      <c r="GZ273" s="49"/>
      <c r="HA273" s="49"/>
      <c r="HB273" s="49"/>
      <c r="HC273" s="49"/>
      <c r="HD273" s="49"/>
      <c r="HE273" s="49"/>
      <c r="HF273" s="49"/>
      <c r="HG273" s="49"/>
      <c r="HH273" s="49"/>
      <c r="HI273" s="49"/>
      <c r="HJ273" s="49"/>
      <c r="HK273" s="49"/>
      <c r="HL273" s="49"/>
      <c r="HM273" s="49"/>
      <c r="HN273" s="49"/>
      <c r="HO273" s="49"/>
      <c r="HP273" s="49"/>
      <c r="HQ273" s="49"/>
      <c r="HR273" s="49"/>
      <c r="HS273" s="49"/>
      <c r="HT273" s="49"/>
      <c r="HU273" s="49"/>
      <c r="HV273" s="49"/>
      <c r="HW273" s="49"/>
      <c r="HX273" s="49"/>
      <c r="HY273" s="49"/>
      <c r="HZ273" s="49"/>
      <c r="IA273" s="49"/>
      <c r="IB273" s="49"/>
      <c r="IC273" s="49"/>
      <c r="ID273" s="49"/>
      <c r="IE273" s="49"/>
      <c r="IF273" s="49"/>
      <c r="IG273" s="49"/>
      <c r="IH273" s="49"/>
      <c r="II273" s="49"/>
      <c r="IJ273" s="49"/>
      <c r="IK273" s="49"/>
      <c r="IL273" s="49"/>
      <c r="IM273" s="49"/>
      <c r="IN273" s="49"/>
      <c r="IO273" s="49"/>
      <c r="IP273" s="49"/>
      <c r="IQ273" s="49"/>
      <c r="IR273" s="49"/>
      <c r="IS273" s="49"/>
      <c r="IT273" s="49"/>
      <c r="IU273" s="49"/>
      <c r="IV273" s="49"/>
    </row>
    <row r="274" spans="1:256" s="198" customFormat="1" ht="12" customHeight="1">
      <c r="A274" s="1252"/>
      <c r="B274" s="200"/>
      <c r="C274" s="486"/>
      <c r="D274" s="201"/>
      <c r="E274" s="202"/>
      <c r="F274" s="203"/>
      <c r="G274" s="197"/>
      <c r="H274" s="197"/>
      <c r="I274" s="197"/>
      <c r="J274" s="197"/>
      <c r="K274" s="175"/>
      <c r="L274" s="197"/>
      <c r="M274" s="197"/>
      <c r="N274" s="197"/>
      <c r="O274" s="197"/>
      <c r="P274" s="197"/>
      <c r="Q274" s="1198"/>
      <c r="R274" s="202"/>
      <c r="S274" s="202"/>
      <c r="T274" s="1186"/>
      <c r="U274" s="233"/>
      <c r="V274" s="49"/>
      <c r="W274" s="218"/>
      <c r="X274" s="218"/>
      <c r="Y274" s="216"/>
      <c r="Z274" s="216"/>
      <c r="AA274" s="215"/>
      <c r="AB274" s="216"/>
      <c r="AC274" s="216"/>
      <c r="AD274" s="239"/>
      <c r="AE274" s="216"/>
      <c r="AF274" s="216"/>
      <c r="AG274" s="216"/>
      <c r="AH274" s="216"/>
      <c r="AI274" s="216"/>
      <c r="AJ274" s="216"/>
      <c r="AK274" s="239"/>
      <c r="AL274" s="216"/>
      <c r="AM274" s="216"/>
      <c r="AN274" s="216"/>
      <c r="AO274" s="216"/>
      <c r="AP274" s="216"/>
      <c r="AQ274" s="216"/>
      <c r="AR274" s="216"/>
      <c r="AS274" s="216"/>
      <c r="AT274" s="216"/>
      <c r="AU274" s="216"/>
      <c r="AV274" s="217"/>
      <c r="AW274" s="355"/>
      <c r="AX274" s="217"/>
      <c r="AY274" s="1559"/>
      <c r="AZ274" s="249"/>
      <c r="BA274" s="221"/>
      <c r="BB274" s="300"/>
      <c r="BC274" s="217"/>
      <c r="BD274" s="392"/>
      <c r="BE274" s="1244"/>
      <c r="BF274" s="249"/>
      <c r="BG274" s="252"/>
      <c r="BH274" s="1469"/>
      <c r="BI274" s="216"/>
      <c r="BJ274" s="1469"/>
      <c r="BK274" s="1459"/>
      <c r="BL274" s="260"/>
      <c r="BM274" s="214"/>
      <c r="BN274" s="293"/>
      <c r="BO274" s="217"/>
      <c r="BP274" s="355"/>
      <c r="BQ274" s="217"/>
      <c r="BR274" s="1193"/>
      <c r="BS274" s="249"/>
      <c r="BT274" s="216"/>
      <c r="BU274" s="1195"/>
      <c r="BV274" s="249"/>
      <c r="BW274" s="216"/>
      <c r="BX274" s="1195"/>
      <c r="BY274" s="249"/>
      <c r="BZ274" s="216"/>
      <c r="CA274" s="1195"/>
      <c r="CB274" s="249"/>
      <c r="CC274" s="216"/>
      <c r="CD274" s="1195"/>
      <c r="CE274" s="249"/>
      <c r="CF274" s="216"/>
      <c r="CG274" s="1195"/>
      <c r="CH274" s="249"/>
      <c r="CI274" s="216"/>
      <c r="CJ274" s="1195"/>
      <c r="CK274" s="249"/>
      <c r="CL274" s="216"/>
      <c r="CM274" s="1194"/>
      <c r="CN274" s="1524"/>
      <c r="CO274" s="217"/>
      <c r="CP274" s="1193"/>
      <c r="CQ274" s="293"/>
      <c r="CR274" s="217"/>
      <c r="CS274" s="305"/>
      <c r="CT274" s="249"/>
      <c r="CU274" s="216"/>
      <c r="CV274" s="1193"/>
      <c r="CW274" s="249"/>
      <c r="CX274" s="216"/>
      <c r="CY274" s="305"/>
      <c r="CZ274" s="249"/>
      <c r="DA274" s="216"/>
      <c r="DB274" s="307"/>
      <c r="DC274" s="328"/>
      <c r="DD274" s="322"/>
      <c r="DE274" s="305"/>
      <c r="DF274" s="249"/>
      <c r="DG274" s="216"/>
      <c r="DH274" s="305"/>
      <c r="DI274" s="249"/>
      <c r="DJ274" s="216"/>
      <c r="DK274" s="309"/>
      <c r="DL274" s="293"/>
      <c r="DM274" s="326"/>
      <c r="DN274" s="1256"/>
      <c r="DO274" s="214"/>
      <c r="DP274" s="1257"/>
      <c r="DQ274" s="1258"/>
      <c r="DR274" s="305"/>
      <c r="DS274" s="249"/>
      <c r="DT274" s="216"/>
      <c r="DU274" s="305"/>
      <c r="DV274" s="2520"/>
      <c r="DW274" s="2521"/>
      <c r="DX274" s="305"/>
      <c r="DY274" s="249"/>
      <c r="DZ274" s="221"/>
      <c r="EA274" s="388"/>
      <c r="EB274" s="249"/>
      <c r="EC274" s="216"/>
      <c r="ED274" s="1461"/>
      <c r="EE274" s="249"/>
      <c r="EF274" s="216"/>
      <c r="EG274" s="355"/>
      <c r="EH274" s="1425"/>
      <c r="EI274" s="1470"/>
      <c r="EJ274" s="249"/>
      <c r="EK274" s="221"/>
      <c r="EL274" s="313"/>
      <c r="EM274" s="249"/>
      <c r="EN274" s="221"/>
      <c r="EO274" s="313"/>
      <c r="EP274" s="249"/>
      <c r="EQ274" s="216"/>
      <c r="ER274" s="313"/>
      <c r="ES274" s="249"/>
      <c r="ET274" s="216"/>
      <c r="EU274" s="313"/>
      <c r="EV274" s="249"/>
      <c r="EW274" s="216"/>
      <c r="EX274" s="2505"/>
      <c r="EY274" s="249"/>
      <c r="EZ274" s="221"/>
      <c r="FA274" s="313"/>
      <c r="FB274" s="249"/>
      <c r="FC274" s="221"/>
      <c r="FD274" s="313"/>
      <c r="FE274" s="249"/>
      <c r="FF274" s="221"/>
      <c r="FG274" s="313"/>
      <c r="FH274" s="249"/>
      <c r="FI274" s="216"/>
      <c r="FJ274" s="1435"/>
      <c r="FK274" s="216"/>
      <c r="FL274" s="1268"/>
      <c r="FM274" s="1655"/>
      <c r="FN274" s="1268"/>
      <c r="FO274" s="1655"/>
      <c r="FP274" s="1268"/>
      <c r="FQ274" s="1656"/>
      <c r="FR274" s="249"/>
      <c r="FS274" s="216"/>
      <c r="FT274" s="1657"/>
      <c r="FU274" s="1658"/>
      <c r="FV274" s="242"/>
      <c r="FW274" s="343"/>
      <c r="FX274" s="222"/>
      <c r="FY274" s="336"/>
      <c r="FZ274" s="223"/>
      <c r="GA274" s="338"/>
      <c r="GB274" s="204"/>
      <c r="GC274" s="339"/>
      <c r="GD274" s="342"/>
      <c r="GE274" s="199"/>
      <c r="GF274" s="199"/>
      <c r="GG274" s="199"/>
      <c r="GH274" s="199"/>
      <c r="GI274" s="199"/>
      <c r="GJ274" s="199"/>
      <c r="GK274" s="199"/>
      <c r="GL274" s="49"/>
      <c r="GM274" s="28"/>
      <c r="GN274" s="28"/>
      <c r="GO274" s="322"/>
      <c r="GP274" s="1190"/>
      <c r="GQ274" s="1190"/>
      <c r="GR274" s="49"/>
      <c r="GS274" s="2879"/>
      <c r="GT274" s="2880"/>
      <c r="GU274" s="2881"/>
      <c r="GV274" s="49"/>
      <c r="GW274" s="49"/>
      <c r="GX274" s="49"/>
      <c r="GY274" s="49"/>
      <c r="GZ274" s="49"/>
      <c r="HA274" s="49"/>
      <c r="HB274" s="49"/>
      <c r="HC274" s="49"/>
      <c r="HD274" s="49"/>
      <c r="HE274" s="49"/>
      <c r="HF274" s="49"/>
      <c r="HG274" s="49"/>
      <c r="HH274" s="49"/>
      <c r="HI274" s="49"/>
      <c r="HJ274" s="49"/>
      <c r="HK274" s="49"/>
      <c r="HL274" s="49"/>
      <c r="HM274" s="49"/>
      <c r="HN274" s="49"/>
      <c r="HO274" s="49"/>
      <c r="HP274" s="49"/>
      <c r="HQ274" s="49"/>
      <c r="HR274" s="49"/>
      <c r="HS274" s="49"/>
      <c r="HT274" s="49"/>
      <c r="HU274" s="49"/>
      <c r="HV274" s="49"/>
      <c r="HW274" s="49"/>
      <c r="HX274" s="49"/>
      <c r="HY274" s="49"/>
      <c r="HZ274" s="49"/>
      <c r="IA274" s="49"/>
      <c r="IB274" s="49"/>
      <c r="IC274" s="49"/>
      <c r="ID274" s="49"/>
      <c r="IE274" s="49"/>
      <c r="IF274" s="49"/>
      <c r="IG274" s="49"/>
      <c r="IH274" s="49"/>
      <c r="II274" s="49"/>
      <c r="IJ274" s="49"/>
      <c r="IK274" s="49"/>
      <c r="IL274" s="49"/>
      <c r="IM274" s="49"/>
      <c r="IN274" s="49"/>
      <c r="IO274" s="49"/>
      <c r="IP274" s="49"/>
      <c r="IQ274" s="49"/>
      <c r="IR274" s="49"/>
      <c r="IS274" s="49"/>
      <c r="IT274" s="49"/>
      <c r="IU274" s="49"/>
      <c r="IV274" s="49"/>
    </row>
    <row r="275" spans="1:256" s="198" customFormat="1" ht="12" customHeight="1">
      <c r="A275" s="1252"/>
      <c r="B275" s="200"/>
      <c r="C275" s="486"/>
      <c r="D275" s="201"/>
      <c r="E275" s="202"/>
      <c r="F275" s="203"/>
      <c r="G275" s="197"/>
      <c r="H275" s="197"/>
      <c r="I275" s="197"/>
      <c r="J275" s="197"/>
      <c r="K275" s="175"/>
      <c r="L275" s="197"/>
      <c r="M275" s="197"/>
      <c r="N275" s="197"/>
      <c r="O275" s="197"/>
      <c r="P275" s="197"/>
      <c r="Q275" s="1198"/>
      <c r="R275" s="202"/>
      <c r="S275" s="202"/>
      <c r="T275" s="1186"/>
      <c r="U275" s="233"/>
      <c r="V275" s="49"/>
      <c r="W275" s="218"/>
      <c r="X275" s="218"/>
      <c r="Y275" s="216"/>
      <c r="Z275" s="216"/>
      <c r="AA275" s="215"/>
      <c r="AB275" s="216"/>
      <c r="AC275" s="216"/>
      <c r="AD275" s="239"/>
      <c r="AE275" s="216"/>
      <c r="AF275" s="216"/>
      <c r="AG275" s="216"/>
      <c r="AH275" s="216"/>
      <c r="AI275" s="216"/>
      <c r="AJ275" s="216"/>
      <c r="AK275" s="239"/>
      <c r="AL275" s="216"/>
      <c r="AM275" s="216"/>
      <c r="AN275" s="216"/>
      <c r="AO275" s="216"/>
      <c r="AP275" s="216"/>
      <c r="AQ275" s="216"/>
      <c r="AR275" s="216"/>
      <c r="AS275" s="216"/>
      <c r="AT275" s="216"/>
      <c r="AU275" s="216"/>
      <c r="AV275" s="217"/>
      <c r="AW275" s="355"/>
      <c r="AX275" s="217"/>
      <c r="AY275" s="1559"/>
      <c r="AZ275" s="249"/>
      <c r="BA275" s="221"/>
      <c r="BB275" s="300"/>
      <c r="BC275" s="217"/>
      <c r="BD275" s="392"/>
      <c r="BE275" s="1244"/>
      <c r="BF275" s="249"/>
      <c r="BG275" s="252"/>
      <c r="BH275" s="1469"/>
      <c r="BI275" s="216"/>
      <c r="BJ275" s="1469"/>
      <c r="BK275" s="1459"/>
      <c r="BL275" s="260"/>
      <c r="BM275" s="214"/>
      <c r="BN275" s="293"/>
      <c r="BO275" s="217"/>
      <c r="BP275" s="355"/>
      <c r="BQ275" s="217"/>
      <c r="BR275" s="1193"/>
      <c r="BS275" s="249"/>
      <c r="BT275" s="216"/>
      <c r="BU275" s="1195"/>
      <c r="BV275" s="249"/>
      <c r="BW275" s="216"/>
      <c r="BX275" s="1195"/>
      <c r="BY275" s="249"/>
      <c r="BZ275" s="216"/>
      <c r="CA275" s="1195"/>
      <c r="CB275" s="249"/>
      <c r="CC275" s="216"/>
      <c r="CD275" s="1195"/>
      <c r="CE275" s="249"/>
      <c r="CF275" s="216"/>
      <c r="CG275" s="1195"/>
      <c r="CH275" s="249"/>
      <c r="CI275" s="216"/>
      <c r="CJ275" s="1195"/>
      <c r="CK275" s="249"/>
      <c r="CL275" s="216"/>
      <c r="CM275" s="1194"/>
      <c r="CN275" s="1524"/>
      <c r="CO275" s="217"/>
      <c r="CP275" s="1193"/>
      <c r="CQ275" s="293"/>
      <c r="CR275" s="217"/>
      <c r="CS275" s="305"/>
      <c r="CT275" s="249"/>
      <c r="CU275" s="216"/>
      <c r="CV275" s="1193"/>
      <c r="CW275" s="249"/>
      <c r="CX275" s="216"/>
      <c r="CY275" s="305"/>
      <c r="CZ275" s="249"/>
      <c r="DA275" s="216"/>
      <c r="DB275" s="307"/>
      <c r="DC275" s="328"/>
      <c r="DD275" s="322"/>
      <c r="DE275" s="305"/>
      <c r="DF275" s="249"/>
      <c r="DG275" s="216"/>
      <c r="DH275" s="305"/>
      <c r="DI275" s="249"/>
      <c r="DJ275" s="216"/>
      <c r="DK275" s="309"/>
      <c r="DL275" s="293"/>
      <c r="DM275" s="326"/>
      <c r="DN275" s="1256"/>
      <c r="DO275" s="214"/>
      <c r="DP275" s="1257"/>
      <c r="DQ275" s="1258"/>
      <c r="DR275" s="305"/>
      <c r="DS275" s="249"/>
      <c r="DT275" s="216"/>
      <c r="DU275" s="305"/>
      <c r="DV275" s="2520"/>
      <c r="DW275" s="2521"/>
      <c r="DX275" s="305"/>
      <c r="DY275" s="249"/>
      <c r="DZ275" s="221"/>
      <c r="EA275" s="388"/>
      <c r="EB275" s="249"/>
      <c r="EC275" s="216"/>
      <c r="ED275" s="1461"/>
      <c r="EE275" s="249"/>
      <c r="EF275" s="216"/>
      <c r="EG275" s="355"/>
      <c r="EH275" s="1425"/>
      <c r="EI275" s="1470"/>
      <c r="EJ275" s="249"/>
      <c r="EK275" s="221"/>
      <c r="EL275" s="313"/>
      <c r="EM275" s="249"/>
      <c r="EN275" s="221"/>
      <c r="EO275" s="313"/>
      <c r="EP275" s="249"/>
      <c r="EQ275" s="216"/>
      <c r="ER275" s="313"/>
      <c r="ES275" s="249"/>
      <c r="ET275" s="216"/>
      <c r="EU275" s="313"/>
      <c r="EV275" s="249"/>
      <c r="EW275" s="216"/>
      <c r="EX275" s="2505"/>
      <c r="EY275" s="249"/>
      <c r="EZ275" s="221"/>
      <c r="FA275" s="313"/>
      <c r="FB275" s="249"/>
      <c r="FC275" s="221"/>
      <c r="FD275" s="313"/>
      <c r="FE275" s="249"/>
      <c r="FF275" s="221"/>
      <c r="FG275" s="313"/>
      <c r="FH275" s="249"/>
      <c r="FI275" s="216"/>
      <c r="FJ275" s="1435"/>
      <c r="FK275" s="216"/>
      <c r="FL275" s="1268"/>
      <c r="FM275" s="1655"/>
      <c r="FN275" s="1268"/>
      <c r="FO275" s="1655"/>
      <c r="FP275" s="1268"/>
      <c r="FQ275" s="1656"/>
      <c r="FR275" s="249"/>
      <c r="FS275" s="216"/>
      <c r="FT275" s="1657"/>
      <c r="FU275" s="1658"/>
      <c r="FV275" s="242"/>
      <c r="FW275" s="343"/>
      <c r="FX275" s="222"/>
      <c r="FY275" s="336"/>
      <c r="FZ275" s="223"/>
      <c r="GA275" s="338"/>
      <c r="GB275" s="204"/>
      <c r="GC275" s="339"/>
      <c r="GD275" s="342"/>
      <c r="GE275" s="199"/>
      <c r="GF275" s="199"/>
      <c r="GG275" s="199"/>
      <c r="GH275" s="199"/>
      <c r="GI275" s="199"/>
      <c r="GJ275" s="199"/>
      <c r="GK275" s="199"/>
      <c r="GL275" s="49"/>
      <c r="GM275" s="28"/>
      <c r="GN275" s="28"/>
      <c r="GO275" s="322"/>
      <c r="GP275" s="1190"/>
      <c r="GQ275" s="1190"/>
      <c r="GR275" s="49"/>
      <c r="GS275" s="2879"/>
      <c r="GT275" s="2880"/>
      <c r="GU275" s="2881"/>
      <c r="GV275" s="49"/>
      <c r="GW275" s="49"/>
      <c r="GX275" s="49"/>
      <c r="GY275" s="49"/>
      <c r="GZ275" s="49"/>
      <c r="HA275" s="49"/>
      <c r="HB275" s="49"/>
      <c r="HC275" s="49"/>
      <c r="HD275" s="49"/>
      <c r="HE275" s="49"/>
      <c r="HF275" s="49"/>
      <c r="HG275" s="49"/>
      <c r="HH275" s="49"/>
      <c r="HI275" s="49"/>
      <c r="HJ275" s="49"/>
      <c r="HK275" s="49"/>
      <c r="HL275" s="49"/>
      <c r="HM275" s="49"/>
      <c r="HN275" s="49"/>
      <c r="HO275" s="49"/>
      <c r="HP275" s="49"/>
      <c r="HQ275" s="49"/>
      <c r="HR275" s="49"/>
      <c r="HS275" s="49"/>
      <c r="HT275" s="49"/>
      <c r="HU275" s="49"/>
      <c r="HV275" s="49"/>
      <c r="HW275" s="49"/>
      <c r="HX275" s="49"/>
      <c r="HY275" s="49"/>
      <c r="HZ275" s="49"/>
      <c r="IA275" s="49"/>
      <c r="IB275" s="49"/>
      <c r="IC275" s="49"/>
      <c r="ID275" s="49"/>
      <c r="IE275" s="49"/>
      <c r="IF275" s="49"/>
      <c r="IG275" s="49"/>
      <c r="IH275" s="49"/>
      <c r="II275" s="49"/>
      <c r="IJ275" s="49"/>
      <c r="IK275" s="49"/>
      <c r="IL275" s="49"/>
      <c r="IM275" s="49"/>
      <c r="IN275" s="49"/>
      <c r="IO275" s="49"/>
      <c r="IP275" s="49"/>
      <c r="IQ275" s="49"/>
      <c r="IR275" s="49"/>
      <c r="IS275" s="49"/>
      <c r="IT275" s="49"/>
      <c r="IU275" s="49"/>
      <c r="IV275" s="49"/>
    </row>
    <row r="276" spans="1:256" s="198" customFormat="1" ht="12" customHeight="1">
      <c r="A276" s="1252"/>
      <c r="B276" s="200"/>
      <c r="C276" s="486"/>
      <c r="D276" s="201"/>
      <c r="E276" s="202"/>
      <c r="F276" s="203"/>
      <c r="G276" s="197"/>
      <c r="H276" s="197"/>
      <c r="I276" s="197"/>
      <c r="J276" s="197"/>
      <c r="K276" s="175"/>
      <c r="L276" s="197"/>
      <c r="M276" s="197"/>
      <c r="N276" s="197"/>
      <c r="O276" s="197"/>
      <c r="P276" s="197"/>
      <c r="Q276" s="1198"/>
      <c r="R276" s="202"/>
      <c r="S276" s="202"/>
      <c r="T276" s="1186"/>
      <c r="U276" s="233"/>
      <c r="V276" s="49"/>
      <c r="W276" s="218"/>
      <c r="X276" s="218"/>
      <c r="Y276" s="216"/>
      <c r="Z276" s="216"/>
      <c r="AA276" s="215"/>
      <c r="AB276" s="216"/>
      <c r="AC276" s="216"/>
      <c r="AD276" s="239"/>
      <c r="AE276" s="216"/>
      <c r="AF276" s="216"/>
      <c r="AG276" s="216"/>
      <c r="AH276" s="216"/>
      <c r="AI276" s="216"/>
      <c r="AJ276" s="216"/>
      <c r="AK276" s="239"/>
      <c r="AL276" s="216"/>
      <c r="AM276" s="216"/>
      <c r="AN276" s="216"/>
      <c r="AO276" s="216"/>
      <c r="AP276" s="216"/>
      <c r="AQ276" s="216"/>
      <c r="AR276" s="216"/>
      <c r="AS276" s="216"/>
      <c r="AT276" s="216"/>
      <c r="AU276" s="216"/>
      <c r="AV276" s="217"/>
      <c r="AW276" s="355"/>
      <c r="AX276" s="217"/>
      <c r="AY276" s="1559"/>
      <c r="AZ276" s="249"/>
      <c r="BA276" s="221"/>
      <c r="BB276" s="300"/>
      <c r="BC276" s="217"/>
      <c r="BD276" s="392"/>
      <c r="BE276" s="1244"/>
      <c r="BF276" s="249"/>
      <c r="BG276" s="252"/>
      <c r="BH276" s="1469"/>
      <c r="BI276" s="216"/>
      <c r="BJ276" s="1469"/>
      <c r="BK276" s="1459"/>
      <c r="BL276" s="260"/>
      <c r="BM276" s="214"/>
      <c r="BN276" s="293"/>
      <c r="BO276" s="217"/>
      <c r="BP276" s="355"/>
      <c r="BQ276" s="217"/>
      <c r="BR276" s="1193"/>
      <c r="BS276" s="249"/>
      <c r="BT276" s="216"/>
      <c r="BU276" s="1195"/>
      <c r="BV276" s="249"/>
      <c r="BW276" s="216"/>
      <c r="BX276" s="1195"/>
      <c r="BY276" s="249"/>
      <c r="BZ276" s="216"/>
      <c r="CA276" s="1195"/>
      <c r="CB276" s="249"/>
      <c r="CC276" s="216"/>
      <c r="CD276" s="1195"/>
      <c r="CE276" s="249"/>
      <c r="CF276" s="216"/>
      <c r="CG276" s="1195"/>
      <c r="CH276" s="249"/>
      <c r="CI276" s="216"/>
      <c r="CJ276" s="1195"/>
      <c r="CK276" s="249"/>
      <c r="CL276" s="216"/>
      <c r="CM276" s="1194"/>
      <c r="CN276" s="1524"/>
      <c r="CO276" s="217"/>
      <c r="CP276" s="1193"/>
      <c r="CQ276" s="293"/>
      <c r="CR276" s="217"/>
      <c r="CS276" s="305"/>
      <c r="CT276" s="249"/>
      <c r="CU276" s="216"/>
      <c r="CV276" s="1193"/>
      <c r="CW276" s="249"/>
      <c r="CX276" s="216"/>
      <c r="CY276" s="305"/>
      <c r="CZ276" s="249"/>
      <c r="DA276" s="216"/>
      <c r="DB276" s="307"/>
      <c r="DC276" s="328"/>
      <c r="DD276" s="322"/>
      <c r="DE276" s="305"/>
      <c r="DF276" s="249"/>
      <c r="DG276" s="216"/>
      <c r="DH276" s="305"/>
      <c r="DI276" s="249"/>
      <c r="DJ276" s="216"/>
      <c r="DK276" s="309"/>
      <c r="DL276" s="293"/>
      <c r="DM276" s="326"/>
      <c r="DN276" s="1256"/>
      <c r="DO276" s="214"/>
      <c r="DP276" s="1257"/>
      <c r="DQ276" s="1258"/>
      <c r="DR276" s="305"/>
      <c r="DS276" s="249"/>
      <c r="DT276" s="216"/>
      <c r="DU276" s="305"/>
      <c r="DV276" s="2520"/>
      <c r="DW276" s="2521"/>
      <c r="DX276" s="305"/>
      <c r="DY276" s="249"/>
      <c r="DZ276" s="221"/>
      <c r="EA276" s="388"/>
      <c r="EB276" s="249"/>
      <c r="EC276" s="216"/>
      <c r="ED276" s="1461"/>
      <c r="EE276" s="249"/>
      <c r="EF276" s="216"/>
      <c r="EG276" s="355"/>
      <c r="EH276" s="1425"/>
      <c r="EI276" s="1470"/>
      <c r="EJ276" s="249"/>
      <c r="EK276" s="221"/>
      <c r="EL276" s="313"/>
      <c r="EM276" s="249"/>
      <c r="EN276" s="221"/>
      <c r="EO276" s="313"/>
      <c r="EP276" s="249"/>
      <c r="EQ276" s="216"/>
      <c r="ER276" s="313"/>
      <c r="ES276" s="249"/>
      <c r="ET276" s="216"/>
      <c r="EU276" s="313"/>
      <c r="EV276" s="249"/>
      <c r="EW276" s="216"/>
      <c r="EX276" s="2505"/>
      <c r="EY276" s="249"/>
      <c r="EZ276" s="221"/>
      <c r="FA276" s="313"/>
      <c r="FB276" s="249"/>
      <c r="FC276" s="221"/>
      <c r="FD276" s="313"/>
      <c r="FE276" s="249"/>
      <c r="FF276" s="221"/>
      <c r="FG276" s="313"/>
      <c r="FH276" s="249"/>
      <c r="FI276" s="216"/>
      <c r="FJ276" s="1435"/>
      <c r="FK276" s="216"/>
      <c r="FL276" s="1268"/>
      <c r="FM276" s="1655"/>
      <c r="FN276" s="1268"/>
      <c r="FO276" s="1655"/>
      <c r="FP276" s="1268"/>
      <c r="FQ276" s="1656"/>
      <c r="FR276" s="249"/>
      <c r="FS276" s="216"/>
      <c r="FT276" s="1657"/>
      <c r="FU276" s="1658"/>
      <c r="FV276" s="242"/>
      <c r="FW276" s="343"/>
      <c r="FX276" s="222"/>
      <c r="FY276" s="336"/>
      <c r="FZ276" s="223"/>
      <c r="GA276" s="338"/>
      <c r="GB276" s="204"/>
      <c r="GC276" s="339"/>
      <c r="GD276" s="342"/>
      <c r="GE276" s="199"/>
      <c r="GF276" s="199"/>
      <c r="GG276" s="199"/>
      <c r="GH276" s="199"/>
      <c r="GI276" s="199"/>
      <c r="GJ276" s="199"/>
      <c r="GK276" s="199"/>
      <c r="GL276" s="49"/>
      <c r="GM276" s="28"/>
      <c r="GN276" s="28"/>
      <c r="GO276" s="322"/>
      <c r="GP276" s="1190"/>
      <c r="GQ276" s="1190"/>
      <c r="GR276" s="49"/>
      <c r="GS276" s="2879"/>
      <c r="GT276" s="2880"/>
      <c r="GU276" s="2881"/>
      <c r="GV276" s="49"/>
      <c r="GW276" s="49"/>
      <c r="GX276" s="49"/>
      <c r="GY276" s="49"/>
      <c r="GZ276" s="49"/>
      <c r="HA276" s="49"/>
      <c r="HB276" s="49"/>
      <c r="HC276" s="49"/>
      <c r="HD276" s="49"/>
      <c r="HE276" s="49"/>
      <c r="HF276" s="49"/>
      <c r="HG276" s="49"/>
      <c r="HH276" s="49"/>
      <c r="HI276" s="49"/>
      <c r="HJ276" s="49"/>
      <c r="HK276" s="49"/>
      <c r="HL276" s="49"/>
      <c r="HM276" s="49"/>
      <c r="HN276" s="49"/>
      <c r="HO276" s="49"/>
      <c r="HP276" s="49"/>
      <c r="HQ276" s="49"/>
      <c r="HR276" s="49"/>
      <c r="HS276" s="49"/>
      <c r="HT276" s="49"/>
      <c r="HU276" s="49"/>
      <c r="HV276" s="49"/>
      <c r="HW276" s="49"/>
      <c r="HX276" s="49"/>
      <c r="HY276" s="49"/>
      <c r="HZ276" s="49"/>
      <c r="IA276" s="49"/>
      <c r="IB276" s="49"/>
      <c r="IC276" s="49"/>
      <c r="ID276" s="49"/>
      <c r="IE276" s="49"/>
      <c r="IF276" s="49"/>
      <c r="IG276" s="49"/>
      <c r="IH276" s="49"/>
      <c r="II276" s="49"/>
      <c r="IJ276" s="49"/>
      <c r="IK276" s="49"/>
      <c r="IL276" s="49"/>
      <c r="IM276" s="49"/>
      <c r="IN276" s="49"/>
      <c r="IO276" s="49"/>
      <c r="IP276" s="49"/>
      <c r="IQ276" s="49"/>
      <c r="IR276" s="49"/>
      <c r="IS276" s="49"/>
      <c r="IT276" s="49"/>
      <c r="IU276" s="49"/>
      <c r="IV276" s="49"/>
    </row>
    <row r="277" spans="1:256" s="198" customFormat="1" ht="12" customHeight="1">
      <c r="A277" s="1252"/>
      <c r="B277" s="200"/>
      <c r="C277" s="486"/>
      <c r="D277" s="201"/>
      <c r="E277" s="202"/>
      <c r="F277" s="203"/>
      <c r="G277" s="197"/>
      <c r="H277" s="197"/>
      <c r="I277" s="197"/>
      <c r="J277" s="197"/>
      <c r="K277" s="175"/>
      <c r="L277" s="197"/>
      <c r="M277" s="197"/>
      <c r="N277" s="197"/>
      <c r="O277" s="197"/>
      <c r="P277" s="197"/>
      <c r="Q277" s="1198"/>
      <c r="R277" s="202"/>
      <c r="S277" s="202"/>
      <c r="T277" s="1186"/>
      <c r="U277" s="233"/>
      <c r="V277" s="49"/>
      <c r="W277" s="218"/>
      <c r="X277" s="218"/>
      <c r="Y277" s="216"/>
      <c r="Z277" s="216"/>
      <c r="AA277" s="215"/>
      <c r="AB277" s="216"/>
      <c r="AC277" s="216"/>
      <c r="AD277" s="239"/>
      <c r="AE277" s="216"/>
      <c r="AF277" s="216"/>
      <c r="AG277" s="216"/>
      <c r="AH277" s="216"/>
      <c r="AI277" s="216"/>
      <c r="AJ277" s="216"/>
      <c r="AK277" s="239"/>
      <c r="AL277" s="216"/>
      <c r="AM277" s="216"/>
      <c r="AN277" s="216"/>
      <c r="AO277" s="216"/>
      <c r="AP277" s="216"/>
      <c r="AQ277" s="216"/>
      <c r="AR277" s="216"/>
      <c r="AS277" s="216"/>
      <c r="AT277" s="216"/>
      <c r="AU277" s="216"/>
      <c r="AV277" s="217"/>
      <c r="AW277" s="355"/>
      <c r="AX277" s="217"/>
      <c r="AY277" s="1559"/>
      <c r="AZ277" s="249"/>
      <c r="BA277" s="221"/>
      <c r="BB277" s="300"/>
      <c r="BC277" s="217"/>
      <c r="BD277" s="392"/>
      <c r="BE277" s="1244"/>
      <c r="BF277" s="249"/>
      <c r="BG277" s="252"/>
      <c r="BH277" s="1469"/>
      <c r="BI277" s="216"/>
      <c r="BJ277" s="1469"/>
      <c r="BK277" s="1459"/>
      <c r="BL277" s="260"/>
      <c r="BM277" s="214"/>
      <c r="BN277" s="293"/>
      <c r="BO277" s="217"/>
      <c r="BP277" s="355"/>
      <c r="BQ277" s="217"/>
      <c r="BR277" s="1193"/>
      <c r="BS277" s="249"/>
      <c r="BT277" s="216"/>
      <c r="BU277" s="1195"/>
      <c r="BV277" s="249"/>
      <c r="BW277" s="216"/>
      <c r="BX277" s="1195"/>
      <c r="BY277" s="249"/>
      <c r="BZ277" s="216"/>
      <c r="CA277" s="1195"/>
      <c r="CB277" s="249"/>
      <c r="CC277" s="216"/>
      <c r="CD277" s="1195"/>
      <c r="CE277" s="249"/>
      <c r="CF277" s="216"/>
      <c r="CG277" s="1195"/>
      <c r="CH277" s="249"/>
      <c r="CI277" s="216"/>
      <c r="CJ277" s="1195"/>
      <c r="CK277" s="249"/>
      <c r="CL277" s="216"/>
      <c r="CM277" s="1194"/>
      <c r="CN277" s="1524"/>
      <c r="CO277" s="217"/>
      <c r="CP277" s="1193"/>
      <c r="CQ277" s="293"/>
      <c r="CR277" s="217"/>
      <c r="CS277" s="305"/>
      <c r="CT277" s="249"/>
      <c r="CU277" s="216"/>
      <c r="CV277" s="1193"/>
      <c r="CW277" s="249"/>
      <c r="CX277" s="216"/>
      <c r="CY277" s="305"/>
      <c r="CZ277" s="249"/>
      <c r="DA277" s="216"/>
      <c r="DB277" s="307"/>
      <c r="DC277" s="328"/>
      <c r="DD277" s="322"/>
      <c r="DE277" s="305"/>
      <c r="DF277" s="249"/>
      <c r="DG277" s="216"/>
      <c r="DH277" s="305"/>
      <c r="DI277" s="249"/>
      <c r="DJ277" s="216"/>
      <c r="DK277" s="309"/>
      <c r="DL277" s="293"/>
      <c r="DM277" s="326"/>
      <c r="DN277" s="1256"/>
      <c r="DO277" s="214"/>
      <c r="DP277" s="1257"/>
      <c r="DQ277" s="1258"/>
      <c r="DR277" s="305"/>
      <c r="DS277" s="249"/>
      <c r="DT277" s="216"/>
      <c r="DU277" s="305"/>
      <c r="DV277" s="2520"/>
      <c r="DW277" s="2521"/>
      <c r="DX277" s="305"/>
      <c r="DY277" s="249"/>
      <c r="DZ277" s="221"/>
      <c r="EA277" s="388"/>
      <c r="EB277" s="249"/>
      <c r="EC277" s="216"/>
      <c r="ED277" s="1461"/>
      <c r="EE277" s="249"/>
      <c r="EF277" s="216"/>
      <c r="EG277" s="355"/>
      <c r="EH277" s="1425"/>
      <c r="EI277" s="1470"/>
      <c r="EJ277" s="249"/>
      <c r="EK277" s="221"/>
      <c r="EL277" s="313"/>
      <c r="EM277" s="249"/>
      <c r="EN277" s="221"/>
      <c r="EO277" s="313"/>
      <c r="EP277" s="249"/>
      <c r="EQ277" s="216"/>
      <c r="ER277" s="313"/>
      <c r="ES277" s="249"/>
      <c r="ET277" s="216"/>
      <c r="EU277" s="313"/>
      <c r="EV277" s="249"/>
      <c r="EW277" s="216"/>
      <c r="EX277" s="2505"/>
      <c r="EY277" s="249"/>
      <c r="EZ277" s="221"/>
      <c r="FA277" s="313"/>
      <c r="FB277" s="249"/>
      <c r="FC277" s="221"/>
      <c r="FD277" s="313"/>
      <c r="FE277" s="249"/>
      <c r="FF277" s="221"/>
      <c r="FG277" s="313"/>
      <c r="FH277" s="249"/>
      <c r="FI277" s="216"/>
      <c r="FJ277" s="1435"/>
      <c r="FK277" s="216"/>
      <c r="FL277" s="1268"/>
      <c r="FM277" s="1655"/>
      <c r="FN277" s="1268"/>
      <c r="FO277" s="1655"/>
      <c r="FP277" s="1268"/>
      <c r="FQ277" s="1656"/>
      <c r="FR277" s="249"/>
      <c r="FS277" s="216"/>
      <c r="FT277" s="1657"/>
      <c r="FU277" s="1658"/>
      <c r="FV277" s="242"/>
      <c r="FW277" s="343"/>
      <c r="FX277" s="222"/>
      <c r="FY277" s="336"/>
      <c r="FZ277" s="223"/>
      <c r="GA277" s="338"/>
      <c r="GB277" s="204"/>
      <c r="GC277" s="339"/>
      <c r="GD277" s="342"/>
      <c r="GE277" s="199"/>
      <c r="GF277" s="199"/>
      <c r="GG277" s="199"/>
      <c r="GH277" s="199"/>
      <c r="GI277" s="199"/>
      <c r="GJ277" s="199"/>
      <c r="GK277" s="199"/>
      <c r="GL277" s="49"/>
      <c r="GM277" s="28"/>
      <c r="GN277" s="28"/>
      <c r="GO277" s="322"/>
      <c r="GP277" s="1190"/>
      <c r="GQ277" s="1190"/>
      <c r="GR277" s="49"/>
      <c r="GS277" s="2879"/>
      <c r="GT277" s="2880"/>
      <c r="GU277" s="2881"/>
      <c r="GV277" s="49"/>
      <c r="GW277" s="49"/>
      <c r="GX277" s="49"/>
      <c r="GY277" s="49"/>
      <c r="GZ277" s="49"/>
      <c r="HA277" s="49"/>
      <c r="HB277" s="49"/>
      <c r="HC277" s="49"/>
      <c r="HD277" s="49"/>
      <c r="HE277" s="49"/>
      <c r="HF277" s="49"/>
      <c r="HG277" s="49"/>
      <c r="HH277" s="49"/>
      <c r="HI277" s="49"/>
      <c r="HJ277" s="49"/>
      <c r="HK277" s="49"/>
      <c r="HL277" s="49"/>
      <c r="HM277" s="49"/>
      <c r="HN277" s="49"/>
      <c r="HO277" s="49"/>
      <c r="HP277" s="49"/>
      <c r="HQ277" s="49"/>
      <c r="HR277" s="49"/>
      <c r="HS277" s="49"/>
      <c r="HT277" s="49"/>
      <c r="HU277" s="49"/>
      <c r="HV277" s="49"/>
      <c r="HW277" s="49"/>
      <c r="HX277" s="49"/>
      <c r="HY277" s="49"/>
      <c r="HZ277" s="49"/>
      <c r="IA277" s="49"/>
      <c r="IB277" s="49"/>
      <c r="IC277" s="49"/>
      <c r="ID277" s="49"/>
      <c r="IE277" s="49"/>
      <c r="IF277" s="49"/>
      <c r="IG277" s="49"/>
      <c r="IH277" s="49"/>
      <c r="II277" s="49"/>
      <c r="IJ277" s="49"/>
      <c r="IK277" s="49"/>
      <c r="IL277" s="49"/>
      <c r="IM277" s="49"/>
      <c r="IN277" s="49"/>
      <c r="IO277" s="49"/>
      <c r="IP277" s="49"/>
      <c r="IQ277" s="49"/>
      <c r="IR277" s="49"/>
      <c r="IS277" s="49"/>
      <c r="IT277" s="49"/>
      <c r="IU277" s="49"/>
      <c r="IV277" s="49"/>
    </row>
    <row r="278" spans="1:256" s="198" customFormat="1" ht="12" customHeight="1">
      <c r="A278" s="1252"/>
      <c r="B278" s="200"/>
      <c r="C278" s="486"/>
      <c r="D278" s="201"/>
      <c r="E278" s="202"/>
      <c r="F278" s="203"/>
      <c r="G278" s="197"/>
      <c r="H278" s="197"/>
      <c r="I278" s="197"/>
      <c r="J278" s="197"/>
      <c r="K278" s="175"/>
      <c r="L278" s="197"/>
      <c r="M278" s="197"/>
      <c r="N278" s="197"/>
      <c r="O278" s="197"/>
      <c r="P278" s="197"/>
      <c r="Q278" s="1198"/>
      <c r="R278" s="202"/>
      <c r="S278" s="202"/>
      <c r="T278" s="1186"/>
      <c r="U278" s="233"/>
      <c r="V278" s="49"/>
      <c r="W278" s="218"/>
      <c r="X278" s="218"/>
      <c r="Y278" s="216"/>
      <c r="Z278" s="216"/>
      <c r="AA278" s="215"/>
      <c r="AB278" s="216"/>
      <c r="AC278" s="216"/>
      <c r="AD278" s="239"/>
      <c r="AE278" s="216"/>
      <c r="AF278" s="216"/>
      <c r="AG278" s="216"/>
      <c r="AH278" s="216"/>
      <c r="AI278" s="216"/>
      <c r="AJ278" s="216"/>
      <c r="AK278" s="239"/>
      <c r="AL278" s="216"/>
      <c r="AM278" s="216"/>
      <c r="AN278" s="216"/>
      <c r="AO278" s="216"/>
      <c r="AP278" s="216"/>
      <c r="AQ278" s="216"/>
      <c r="AR278" s="216"/>
      <c r="AS278" s="216"/>
      <c r="AT278" s="216"/>
      <c r="AU278" s="216"/>
      <c r="AV278" s="217"/>
      <c r="AW278" s="355"/>
      <c r="AX278" s="217"/>
      <c r="AY278" s="1559"/>
      <c r="AZ278" s="249"/>
      <c r="BA278" s="221"/>
      <c r="BB278" s="300"/>
      <c r="BC278" s="217"/>
      <c r="BD278" s="392"/>
      <c r="BE278" s="1244"/>
      <c r="BF278" s="249"/>
      <c r="BG278" s="252"/>
      <c r="BH278" s="1469"/>
      <c r="BI278" s="216"/>
      <c r="BJ278" s="1469"/>
      <c r="BK278" s="1459"/>
      <c r="BL278" s="260"/>
      <c r="BM278" s="214"/>
      <c r="BN278" s="293"/>
      <c r="BO278" s="217"/>
      <c r="BP278" s="355"/>
      <c r="BQ278" s="217"/>
      <c r="BR278" s="1193"/>
      <c r="BS278" s="249"/>
      <c r="BT278" s="216"/>
      <c r="BU278" s="1195"/>
      <c r="BV278" s="249"/>
      <c r="BW278" s="216"/>
      <c r="BX278" s="1195"/>
      <c r="BY278" s="249"/>
      <c r="BZ278" s="216"/>
      <c r="CA278" s="1195"/>
      <c r="CB278" s="249"/>
      <c r="CC278" s="216"/>
      <c r="CD278" s="1195"/>
      <c r="CE278" s="249"/>
      <c r="CF278" s="216"/>
      <c r="CG278" s="1195"/>
      <c r="CH278" s="249"/>
      <c r="CI278" s="216"/>
      <c r="CJ278" s="1195"/>
      <c r="CK278" s="249"/>
      <c r="CL278" s="216"/>
      <c r="CM278" s="1194"/>
      <c r="CN278" s="1524"/>
      <c r="CO278" s="217"/>
      <c r="CP278" s="1193"/>
      <c r="CQ278" s="293"/>
      <c r="CR278" s="217"/>
      <c r="CS278" s="305"/>
      <c r="CT278" s="249"/>
      <c r="CU278" s="216"/>
      <c r="CV278" s="1193"/>
      <c r="CW278" s="249"/>
      <c r="CX278" s="216"/>
      <c r="CY278" s="305"/>
      <c r="CZ278" s="249"/>
      <c r="DA278" s="216"/>
      <c r="DB278" s="307"/>
      <c r="DC278" s="328"/>
      <c r="DD278" s="322"/>
      <c r="DE278" s="305"/>
      <c r="DF278" s="249"/>
      <c r="DG278" s="216"/>
      <c r="DH278" s="305"/>
      <c r="DI278" s="249"/>
      <c r="DJ278" s="216"/>
      <c r="DK278" s="309"/>
      <c r="DL278" s="293"/>
      <c r="DM278" s="326"/>
      <c r="DN278" s="1256"/>
      <c r="DO278" s="214"/>
      <c r="DP278" s="1257"/>
      <c r="DQ278" s="1258"/>
      <c r="DR278" s="305"/>
      <c r="DS278" s="249"/>
      <c r="DT278" s="216"/>
      <c r="DU278" s="305"/>
      <c r="DV278" s="2520"/>
      <c r="DW278" s="2521"/>
      <c r="DX278" s="305"/>
      <c r="DY278" s="249"/>
      <c r="DZ278" s="221"/>
      <c r="EA278" s="388"/>
      <c r="EB278" s="249"/>
      <c r="EC278" s="216"/>
      <c r="ED278" s="1461"/>
      <c r="EE278" s="249"/>
      <c r="EF278" s="216"/>
      <c r="EG278" s="355"/>
      <c r="EH278" s="1425"/>
      <c r="EI278" s="1470"/>
      <c r="EJ278" s="249"/>
      <c r="EK278" s="221"/>
      <c r="EL278" s="313"/>
      <c r="EM278" s="249"/>
      <c r="EN278" s="221"/>
      <c r="EO278" s="313"/>
      <c r="EP278" s="249"/>
      <c r="EQ278" s="216"/>
      <c r="ER278" s="313"/>
      <c r="ES278" s="249"/>
      <c r="ET278" s="216"/>
      <c r="EU278" s="313"/>
      <c r="EV278" s="249"/>
      <c r="EW278" s="216"/>
      <c r="EX278" s="2505"/>
      <c r="EY278" s="249"/>
      <c r="EZ278" s="221"/>
      <c r="FA278" s="313"/>
      <c r="FB278" s="249"/>
      <c r="FC278" s="221"/>
      <c r="FD278" s="313"/>
      <c r="FE278" s="249"/>
      <c r="FF278" s="221"/>
      <c r="FG278" s="313"/>
      <c r="FH278" s="249"/>
      <c r="FI278" s="216"/>
      <c r="FJ278" s="1435"/>
      <c r="FK278" s="216"/>
      <c r="FL278" s="1268"/>
      <c r="FM278" s="1655"/>
      <c r="FN278" s="1268"/>
      <c r="FO278" s="1655"/>
      <c r="FP278" s="1268"/>
      <c r="FQ278" s="1656"/>
      <c r="FR278" s="249"/>
      <c r="FS278" s="216"/>
      <c r="FT278" s="1657"/>
      <c r="FU278" s="1658"/>
      <c r="FV278" s="242"/>
      <c r="FW278" s="343"/>
      <c r="FX278" s="222"/>
      <c r="FY278" s="336"/>
      <c r="FZ278" s="223"/>
      <c r="GA278" s="338"/>
      <c r="GB278" s="204"/>
      <c r="GC278" s="339"/>
      <c r="GD278" s="342"/>
      <c r="GE278" s="199"/>
      <c r="GF278" s="199"/>
      <c r="GG278" s="199"/>
      <c r="GH278" s="199"/>
      <c r="GI278" s="199"/>
      <c r="GJ278" s="199"/>
      <c r="GK278" s="199"/>
      <c r="GL278" s="49"/>
      <c r="GM278" s="28"/>
      <c r="GN278" s="28"/>
      <c r="GO278" s="322"/>
      <c r="GP278" s="1190"/>
      <c r="GQ278" s="1190"/>
      <c r="GR278" s="49"/>
      <c r="GS278" s="2879"/>
      <c r="GT278" s="2880"/>
      <c r="GU278" s="2881"/>
      <c r="GV278" s="49"/>
      <c r="GW278" s="49"/>
      <c r="GX278" s="49"/>
      <c r="GY278" s="49"/>
      <c r="GZ278" s="49"/>
      <c r="HA278" s="49"/>
      <c r="HB278" s="49"/>
      <c r="HC278" s="49"/>
      <c r="HD278" s="49"/>
      <c r="HE278" s="49"/>
      <c r="HF278" s="49"/>
      <c r="HG278" s="49"/>
      <c r="HH278" s="49"/>
      <c r="HI278" s="49"/>
      <c r="HJ278" s="49"/>
      <c r="HK278" s="49"/>
      <c r="HL278" s="49"/>
      <c r="HM278" s="49"/>
      <c r="HN278" s="49"/>
      <c r="HO278" s="49"/>
      <c r="HP278" s="49"/>
      <c r="HQ278" s="49"/>
      <c r="HR278" s="49"/>
      <c r="HS278" s="49"/>
      <c r="HT278" s="49"/>
      <c r="HU278" s="49"/>
      <c r="HV278" s="49"/>
      <c r="HW278" s="49"/>
      <c r="HX278" s="49"/>
      <c r="HY278" s="49"/>
      <c r="HZ278" s="49"/>
      <c r="IA278" s="49"/>
      <c r="IB278" s="49"/>
      <c r="IC278" s="49"/>
      <c r="ID278" s="49"/>
      <c r="IE278" s="49"/>
      <c r="IF278" s="49"/>
      <c r="IG278" s="49"/>
      <c r="IH278" s="49"/>
      <c r="II278" s="49"/>
      <c r="IJ278" s="49"/>
      <c r="IK278" s="49"/>
      <c r="IL278" s="49"/>
      <c r="IM278" s="49"/>
      <c r="IN278" s="49"/>
      <c r="IO278" s="49"/>
      <c r="IP278" s="49"/>
      <c r="IQ278" s="49"/>
      <c r="IR278" s="49"/>
      <c r="IS278" s="49"/>
      <c r="IT278" s="49"/>
      <c r="IU278" s="49"/>
      <c r="IV278" s="49"/>
    </row>
    <row r="279" spans="1:256" s="198" customFormat="1" ht="12" customHeight="1">
      <c r="A279" s="1252"/>
      <c r="B279" s="200"/>
      <c r="C279" s="486"/>
      <c r="D279" s="201"/>
      <c r="E279" s="202"/>
      <c r="F279" s="203"/>
      <c r="G279" s="197"/>
      <c r="H279" s="197"/>
      <c r="I279" s="197"/>
      <c r="J279" s="197"/>
      <c r="K279" s="175"/>
      <c r="L279" s="197"/>
      <c r="M279" s="197"/>
      <c r="N279" s="197"/>
      <c r="O279" s="197"/>
      <c r="P279" s="197"/>
      <c r="Q279" s="1198"/>
      <c r="R279" s="202"/>
      <c r="S279" s="202"/>
      <c r="T279" s="1186"/>
      <c r="U279" s="233"/>
      <c r="V279" s="49"/>
      <c r="W279" s="218"/>
      <c r="X279" s="218"/>
      <c r="Y279" s="216"/>
      <c r="Z279" s="216"/>
      <c r="AA279" s="215"/>
      <c r="AB279" s="216"/>
      <c r="AC279" s="216"/>
      <c r="AD279" s="239"/>
      <c r="AE279" s="216"/>
      <c r="AF279" s="216"/>
      <c r="AG279" s="216"/>
      <c r="AH279" s="216"/>
      <c r="AI279" s="216"/>
      <c r="AJ279" s="216"/>
      <c r="AK279" s="239"/>
      <c r="AL279" s="216"/>
      <c r="AM279" s="216"/>
      <c r="AN279" s="216"/>
      <c r="AO279" s="216"/>
      <c r="AP279" s="216"/>
      <c r="AQ279" s="216"/>
      <c r="AR279" s="216"/>
      <c r="AS279" s="216"/>
      <c r="AT279" s="216"/>
      <c r="AU279" s="216"/>
      <c r="AV279" s="217"/>
      <c r="AW279" s="355"/>
      <c r="AX279" s="217"/>
      <c r="AY279" s="1559"/>
      <c r="AZ279" s="249"/>
      <c r="BA279" s="221"/>
      <c r="BB279" s="300"/>
      <c r="BC279" s="217"/>
      <c r="BD279" s="392"/>
      <c r="BE279" s="1244"/>
      <c r="BF279" s="249"/>
      <c r="BG279" s="252"/>
      <c r="BH279" s="1469"/>
      <c r="BI279" s="216"/>
      <c r="BJ279" s="1469"/>
      <c r="BK279" s="1459"/>
      <c r="BL279" s="260"/>
      <c r="BM279" s="214"/>
      <c r="BN279" s="293"/>
      <c r="BO279" s="217"/>
      <c r="BP279" s="355"/>
      <c r="BQ279" s="217"/>
      <c r="BR279" s="1193"/>
      <c r="BS279" s="249"/>
      <c r="BT279" s="216"/>
      <c r="BU279" s="1195"/>
      <c r="BV279" s="249"/>
      <c r="BW279" s="216"/>
      <c r="BX279" s="1195"/>
      <c r="BY279" s="249"/>
      <c r="BZ279" s="216"/>
      <c r="CA279" s="1195"/>
      <c r="CB279" s="249"/>
      <c r="CC279" s="216"/>
      <c r="CD279" s="1195"/>
      <c r="CE279" s="249"/>
      <c r="CF279" s="216"/>
      <c r="CG279" s="1195"/>
      <c r="CH279" s="249"/>
      <c r="CI279" s="216"/>
      <c r="CJ279" s="1195"/>
      <c r="CK279" s="249"/>
      <c r="CL279" s="216"/>
      <c r="CM279" s="1194"/>
      <c r="CN279" s="1524"/>
      <c r="CO279" s="217"/>
      <c r="CP279" s="1193"/>
      <c r="CQ279" s="293"/>
      <c r="CR279" s="217"/>
      <c r="CS279" s="305"/>
      <c r="CT279" s="249"/>
      <c r="CU279" s="216"/>
      <c r="CV279" s="1193"/>
      <c r="CW279" s="249"/>
      <c r="CX279" s="216"/>
      <c r="CY279" s="305"/>
      <c r="CZ279" s="249"/>
      <c r="DA279" s="216"/>
      <c r="DB279" s="307"/>
      <c r="DC279" s="328"/>
      <c r="DD279" s="322"/>
      <c r="DE279" s="305"/>
      <c r="DF279" s="249"/>
      <c r="DG279" s="216"/>
      <c r="DH279" s="305"/>
      <c r="DI279" s="249"/>
      <c r="DJ279" s="216"/>
      <c r="DK279" s="309"/>
      <c r="DL279" s="293"/>
      <c r="DM279" s="326"/>
      <c r="DN279" s="1256"/>
      <c r="DO279" s="214"/>
      <c r="DP279" s="1257"/>
      <c r="DQ279" s="1258"/>
      <c r="DR279" s="305"/>
      <c r="DS279" s="249"/>
      <c r="DT279" s="216"/>
      <c r="DU279" s="305"/>
      <c r="DV279" s="2520"/>
      <c r="DW279" s="2521"/>
      <c r="DX279" s="305"/>
      <c r="DY279" s="249"/>
      <c r="DZ279" s="221"/>
      <c r="EA279" s="388"/>
      <c r="EB279" s="249"/>
      <c r="EC279" s="216"/>
      <c r="ED279" s="1461"/>
      <c r="EE279" s="249"/>
      <c r="EF279" s="216"/>
      <c r="EG279" s="355"/>
      <c r="EH279" s="1425"/>
      <c r="EI279" s="1470"/>
      <c r="EJ279" s="249"/>
      <c r="EK279" s="221"/>
      <c r="EL279" s="313"/>
      <c r="EM279" s="249"/>
      <c r="EN279" s="221"/>
      <c r="EO279" s="313"/>
      <c r="EP279" s="249"/>
      <c r="EQ279" s="216"/>
      <c r="ER279" s="313"/>
      <c r="ES279" s="249"/>
      <c r="ET279" s="216"/>
      <c r="EU279" s="313"/>
      <c r="EV279" s="249"/>
      <c r="EW279" s="216"/>
      <c r="EX279" s="2505"/>
      <c r="EY279" s="249"/>
      <c r="EZ279" s="221"/>
      <c r="FA279" s="313"/>
      <c r="FB279" s="249"/>
      <c r="FC279" s="221"/>
      <c r="FD279" s="313"/>
      <c r="FE279" s="249"/>
      <c r="FF279" s="221"/>
      <c r="FG279" s="313"/>
      <c r="FH279" s="249"/>
      <c r="FI279" s="216"/>
      <c r="FJ279" s="1435"/>
      <c r="FK279" s="216"/>
      <c r="FL279" s="1268"/>
      <c r="FM279" s="1655"/>
      <c r="FN279" s="1268"/>
      <c r="FO279" s="1655"/>
      <c r="FP279" s="1268"/>
      <c r="FQ279" s="1656"/>
      <c r="FR279" s="249"/>
      <c r="FS279" s="216"/>
      <c r="FT279" s="1657"/>
      <c r="FU279" s="1658"/>
      <c r="FV279" s="242"/>
      <c r="FW279" s="343"/>
      <c r="FX279" s="222"/>
      <c r="FY279" s="336"/>
      <c r="FZ279" s="223"/>
      <c r="GA279" s="338"/>
      <c r="GB279" s="204"/>
      <c r="GC279" s="339"/>
      <c r="GD279" s="342"/>
      <c r="GE279" s="199"/>
      <c r="GF279" s="199"/>
      <c r="GG279" s="199"/>
      <c r="GH279" s="199"/>
      <c r="GI279" s="199"/>
      <c r="GJ279" s="199"/>
      <c r="GK279" s="199"/>
      <c r="GL279" s="49"/>
      <c r="GM279" s="28"/>
      <c r="GN279" s="28"/>
      <c r="GO279" s="322"/>
      <c r="GP279" s="1190"/>
      <c r="GQ279" s="1190"/>
      <c r="GR279" s="49"/>
      <c r="GS279" s="2879"/>
      <c r="GT279" s="2880"/>
      <c r="GU279" s="2881"/>
      <c r="GV279" s="49"/>
      <c r="GW279" s="49"/>
      <c r="GX279" s="49"/>
      <c r="GY279" s="49"/>
      <c r="GZ279" s="49"/>
      <c r="HA279" s="49"/>
      <c r="HB279" s="49"/>
      <c r="HC279" s="49"/>
      <c r="HD279" s="49"/>
      <c r="HE279" s="49"/>
      <c r="HF279" s="49"/>
      <c r="HG279" s="49"/>
      <c r="HH279" s="49"/>
      <c r="HI279" s="49"/>
      <c r="HJ279" s="49"/>
      <c r="HK279" s="49"/>
      <c r="HL279" s="49"/>
      <c r="HM279" s="49"/>
      <c r="HN279" s="49"/>
      <c r="HO279" s="49"/>
      <c r="HP279" s="49"/>
      <c r="HQ279" s="49"/>
      <c r="HR279" s="49"/>
      <c r="HS279" s="49"/>
      <c r="HT279" s="49"/>
      <c r="HU279" s="49"/>
      <c r="HV279" s="49"/>
      <c r="HW279" s="49"/>
      <c r="HX279" s="49"/>
      <c r="HY279" s="49"/>
      <c r="HZ279" s="49"/>
      <c r="IA279" s="49"/>
      <c r="IB279" s="49"/>
      <c r="IC279" s="49"/>
      <c r="ID279" s="49"/>
      <c r="IE279" s="49"/>
      <c r="IF279" s="49"/>
      <c r="IG279" s="49"/>
      <c r="IH279" s="49"/>
      <c r="II279" s="49"/>
      <c r="IJ279" s="49"/>
      <c r="IK279" s="49"/>
      <c r="IL279" s="49"/>
      <c r="IM279" s="49"/>
      <c r="IN279" s="49"/>
      <c r="IO279" s="49"/>
      <c r="IP279" s="49"/>
      <c r="IQ279" s="49"/>
      <c r="IR279" s="49"/>
      <c r="IS279" s="49"/>
      <c r="IT279" s="49"/>
      <c r="IU279" s="49"/>
      <c r="IV279" s="49"/>
    </row>
    <row r="280" spans="1:256" s="198" customFormat="1" ht="12" customHeight="1">
      <c r="A280" s="1252"/>
      <c r="B280" s="200"/>
      <c r="C280" s="486"/>
      <c r="D280" s="201"/>
      <c r="E280" s="202"/>
      <c r="F280" s="203"/>
      <c r="G280" s="197"/>
      <c r="H280" s="197"/>
      <c r="I280" s="197"/>
      <c r="J280" s="197"/>
      <c r="K280" s="175"/>
      <c r="L280" s="197"/>
      <c r="M280" s="197"/>
      <c r="N280" s="197"/>
      <c r="O280" s="197"/>
      <c r="P280" s="197"/>
      <c r="Q280" s="1198"/>
      <c r="R280" s="202"/>
      <c r="S280" s="202"/>
      <c r="T280" s="1186"/>
      <c r="U280" s="233"/>
      <c r="V280" s="49"/>
      <c r="W280" s="218"/>
      <c r="X280" s="218"/>
      <c r="Y280" s="216"/>
      <c r="Z280" s="216"/>
      <c r="AA280" s="215"/>
      <c r="AB280" s="216"/>
      <c r="AC280" s="216"/>
      <c r="AD280" s="239"/>
      <c r="AE280" s="216"/>
      <c r="AF280" s="216"/>
      <c r="AG280" s="216"/>
      <c r="AH280" s="216"/>
      <c r="AI280" s="216"/>
      <c r="AJ280" s="216"/>
      <c r="AK280" s="239"/>
      <c r="AL280" s="216"/>
      <c r="AM280" s="216"/>
      <c r="AN280" s="216"/>
      <c r="AO280" s="216"/>
      <c r="AP280" s="216"/>
      <c r="AQ280" s="216"/>
      <c r="AR280" s="216"/>
      <c r="AS280" s="216"/>
      <c r="AT280" s="216"/>
      <c r="AU280" s="216"/>
      <c r="AV280" s="217"/>
      <c r="AW280" s="355"/>
      <c r="AX280" s="217"/>
      <c r="AY280" s="1559"/>
      <c r="AZ280" s="249"/>
      <c r="BA280" s="221"/>
      <c r="BB280" s="300"/>
      <c r="BC280" s="217"/>
      <c r="BD280" s="392"/>
      <c r="BE280" s="1244"/>
      <c r="BF280" s="249"/>
      <c r="BG280" s="252"/>
      <c r="BH280" s="1469"/>
      <c r="BI280" s="216"/>
      <c r="BJ280" s="1469"/>
      <c r="BK280" s="1459"/>
      <c r="BL280" s="260"/>
      <c r="BM280" s="214"/>
      <c r="BN280" s="293"/>
      <c r="BO280" s="217"/>
      <c r="BP280" s="355"/>
      <c r="BQ280" s="217"/>
      <c r="BR280" s="1193"/>
      <c r="BS280" s="249"/>
      <c r="BT280" s="216"/>
      <c r="BU280" s="1195"/>
      <c r="BV280" s="249"/>
      <c r="BW280" s="216"/>
      <c r="BX280" s="1195"/>
      <c r="BY280" s="249"/>
      <c r="BZ280" s="216"/>
      <c r="CA280" s="1195"/>
      <c r="CB280" s="249"/>
      <c r="CC280" s="216"/>
      <c r="CD280" s="1195"/>
      <c r="CE280" s="249"/>
      <c r="CF280" s="216"/>
      <c r="CG280" s="1195"/>
      <c r="CH280" s="249"/>
      <c r="CI280" s="216"/>
      <c r="CJ280" s="1195"/>
      <c r="CK280" s="249"/>
      <c r="CL280" s="216"/>
      <c r="CM280" s="1194"/>
      <c r="CN280" s="1524"/>
      <c r="CO280" s="217"/>
      <c r="CP280" s="1193"/>
      <c r="CQ280" s="293"/>
      <c r="CR280" s="217"/>
      <c r="CS280" s="305"/>
      <c r="CT280" s="249"/>
      <c r="CU280" s="216"/>
      <c r="CV280" s="1193"/>
      <c r="CW280" s="249"/>
      <c r="CX280" s="216"/>
      <c r="CY280" s="305"/>
      <c r="CZ280" s="249"/>
      <c r="DA280" s="216"/>
      <c r="DB280" s="307"/>
      <c r="DC280" s="328"/>
      <c r="DD280" s="322"/>
      <c r="DE280" s="305"/>
      <c r="DF280" s="249"/>
      <c r="DG280" s="216"/>
      <c r="DH280" s="305"/>
      <c r="DI280" s="249"/>
      <c r="DJ280" s="216"/>
      <c r="DK280" s="309"/>
      <c r="DL280" s="293"/>
      <c r="DM280" s="326"/>
      <c r="DN280" s="1256"/>
      <c r="DO280" s="214"/>
      <c r="DP280" s="1257"/>
      <c r="DQ280" s="1258"/>
      <c r="DR280" s="305"/>
      <c r="DS280" s="249"/>
      <c r="DT280" s="216"/>
      <c r="DU280" s="305"/>
      <c r="DV280" s="2520"/>
      <c r="DW280" s="2521"/>
      <c r="DX280" s="305"/>
      <c r="DY280" s="249"/>
      <c r="DZ280" s="221"/>
      <c r="EA280" s="388"/>
      <c r="EB280" s="249"/>
      <c r="EC280" s="216"/>
      <c r="ED280" s="1461"/>
      <c r="EE280" s="249"/>
      <c r="EF280" s="216"/>
      <c r="EG280" s="355"/>
      <c r="EH280" s="1425"/>
      <c r="EI280" s="1470"/>
      <c r="EJ280" s="249"/>
      <c r="EK280" s="221"/>
      <c r="EL280" s="313"/>
      <c r="EM280" s="249"/>
      <c r="EN280" s="221"/>
      <c r="EO280" s="313"/>
      <c r="EP280" s="249"/>
      <c r="EQ280" s="216"/>
      <c r="ER280" s="313"/>
      <c r="ES280" s="249"/>
      <c r="ET280" s="216"/>
      <c r="EU280" s="313"/>
      <c r="EV280" s="249"/>
      <c r="EW280" s="216"/>
      <c r="EX280" s="2505"/>
      <c r="EY280" s="249"/>
      <c r="EZ280" s="221"/>
      <c r="FA280" s="313"/>
      <c r="FB280" s="249"/>
      <c r="FC280" s="221"/>
      <c r="FD280" s="313"/>
      <c r="FE280" s="249"/>
      <c r="FF280" s="221"/>
      <c r="FG280" s="313"/>
      <c r="FH280" s="249"/>
      <c r="FI280" s="216"/>
      <c r="FJ280" s="1435"/>
      <c r="FK280" s="216"/>
      <c r="FL280" s="1268"/>
      <c r="FM280" s="1655"/>
      <c r="FN280" s="1268"/>
      <c r="FO280" s="1655"/>
      <c r="FP280" s="1268"/>
      <c r="FQ280" s="1656"/>
      <c r="FR280" s="249"/>
      <c r="FS280" s="216"/>
      <c r="FT280" s="1657"/>
      <c r="FU280" s="1658"/>
      <c r="FV280" s="242"/>
      <c r="FW280" s="343"/>
      <c r="FX280" s="222"/>
      <c r="FY280" s="336"/>
      <c r="FZ280" s="223"/>
      <c r="GA280" s="338"/>
      <c r="GB280" s="204"/>
      <c r="GC280" s="339"/>
      <c r="GD280" s="342"/>
      <c r="GE280" s="199"/>
      <c r="GF280" s="199"/>
      <c r="GG280" s="199"/>
      <c r="GH280" s="199"/>
      <c r="GI280" s="199"/>
      <c r="GJ280" s="199"/>
      <c r="GK280" s="199"/>
      <c r="GL280" s="49"/>
      <c r="GM280" s="28"/>
      <c r="GN280" s="28"/>
      <c r="GO280" s="322"/>
      <c r="GP280" s="1190"/>
      <c r="GQ280" s="1190"/>
      <c r="GR280" s="49"/>
      <c r="GS280" s="2879"/>
      <c r="GT280" s="2880"/>
      <c r="GU280" s="2881"/>
      <c r="GV280" s="49"/>
      <c r="GW280" s="49"/>
      <c r="GX280" s="49"/>
      <c r="GY280" s="49"/>
      <c r="GZ280" s="49"/>
      <c r="HA280" s="49"/>
      <c r="HB280" s="49"/>
      <c r="HC280" s="49"/>
      <c r="HD280" s="49"/>
      <c r="HE280" s="49"/>
      <c r="HF280" s="49"/>
      <c r="HG280" s="49"/>
      <c r="HH280" s="49"/>
      <c r="HI280" s="49"/>
      <c r="HJ280" s="49"/>
      <c r="HK280" s="49"/>
      <c r="HL280" s="49"/>
      <c r="HM280" s="49"/>
      <c r="HN280" s="49"/>
      <c r="HO280" s="49"/>
      <c r="HP280" s="49"/>
      <c r="HQ280" s="49"/>
      <c r="HR280" s="49"/>
      <c r="HS280" s="49"/>
      <c r="HT280" s="49"/>
      <c r="HU280" s="49"/>
      <c r="HV280" s="49"/>
      <c r="HW280" s="49"/>
      <c r="HX280" s="49"/>
      <c r="HY280" s="49"/>
      <c r="HZ280" s="49"/>
      <c r="IA280" s="49"/>
      <c r="IB280" s="49"/>
      <c r="IC280" s="49"/>
      <c r="ID280" s="49"/>
      <c r="IE280" s="49"/>
      <c r="IF280" s="49"/>
      <c r="IG280" s="49"/>
      <c r="IH280" s="49"/>
      <c r="II280" s="49"/>
      <c r="IJ280" s="49"/>
      <c r="IK280" s="49"/>
      <c r="IL280" s="49"/>
      <c r="IM280" s="49"/>
      <c r="IN280" s="49"/>
      <c r="IO280" s="49"/>
      <c r="IP280" s="49"/>
      <c r="IQ280" s="49"/>
      <c r="IR280" s="49"/>
      <c r="IS280" s="49"/>
      <c r="IT280" s="49"/>
      <c r="IU280" s="49"/>
      <c r="IV280" s="49"/>
    </row>
    <row r="281" spans="1:256" s="198" customFormat="1" ht="12" customHeight="1">
      <c r="A281" s="1252"/>
      <c r="B281" s="200"/>
      <c r="C281" s="486"/>
      <c r="D281" s="201"/>
      <c r="E281" s="202"/>
      <c r="F281" s="203"/>
      <c r="G281" s="197"/>
      <c r="H281" s="197"/>
      <c r="I281" s="197"/>
      <c r="J281" s="197"/>
      <c r="K281" s="175"/>
      <c r="L281" s="197"/>
      <c r="M281" s="197"/>
      <c r="N281" s="197"/>
      <c r="O281" s="197"/>
      <c r="P281" s="197"/>
      <c r="Q281" s="1198"/>
      <c r="R281" s="202"/>
      <c r="S281" s="202"/>
      <c r="T281" s="1186"/>
      <c r="U281" s="233"/>
      <c r="V281" s="49"/>
      <c r="W281" s="218"/>
      <c r="X281" s="218"/>
      <c r="Y281" s="216"/>
      <c r="Z281" s="216"/>
      <c r="AA281" s="215"/>
      <c r="AB281" s="216"/>
      <c r="AC281" s="216"/>
      <c r="AD281" s="239"/>
      <c r="AE281" s="216"/>
      <c r="AF281" s="216"/>
      <c r="AG281" s="216"/>
      <c r="AH281" s="216"/>
      <c r="AI281" s="216"/>
      <c r="AJ281" s="216"/>
      <c r="AK281" s="239"/>
      <c r="AL281" s="216"/>
      <c r="AM281" s="216"/>
      <c r="AN281" s="216"/>
      <c r="AO281" s="216"/>
      <c r="AP281" s="216"/>
      <c r="AQ281" s="216"/>
      <c r="AR281" s="216"/>
      <c r="AS281" s="216"/>
      <c r="AT281" s="216"/>
      <c r="AU281" s="216"/>
      <c r="AV281" s="217"/>
      <c r="AW281" s="355"/>
      <c r="AX281" s="217"/>
      <c r="AY281" s="1559"/>
      <c r="AZ281" s="249"/>
      <c r="BA281" s="221"/>
      <c r="BB281" s="300"/>
      <c r="BC281" s="217"/>
      <c r="BD281" s="392"/>
      <c r="BE281" s="1244"/>
      <c r="BF281" s="249"/>
      <c r="BG281" s="252"/>
      <c r="BH281" s="1469"/>
      <c r="BI281" s="216"/>
      <c r="BJ281" s="1469"/>
      <c r="BK281" s="1459"/>
      <c r="BL281" s="260"/>
      <c r="BM281" s="214"/>
      <c r="BN281" s="293"/>
      <c r="BO281" s="217"/>
      <c r="BP281" s="355"/>
      <c r="BQ281" s="217"/>
      <c r="BR281" s="1193"/>
      <c r="BS281" s="249"/>
      <c r="BT281" s="216"/>
      <c r="BU281" s="1195"/>
      <c r="BV281" s="249"/>
      <c r="BW281" s="216"/>
      <c r="BX281" s="1195"/>
      <c r="BY281" s="249"/>
      <c r="BZ281" s="216"/>
      <c r="CA281" s="1195"/>
      <c r="CB281" s="249"/>
      <c r="CC281" s="216"/>
      <c r="CD281" s="1195"/>
      <c r="CE281" s="249"/>
      <c r="CF281" s="216"/>
      <c r="CG281" s="1195"/>
      <c r="CH281" s="249"/>
      <c r="CI281" s="216"/>
      <c r="CJ281" s="1195"/>
      <c r="CK281" s="249"/>
      <c r="CL281" s="216"/>
      <c r="CM281" s="1194"/>
      <c r="CN281" s="1524"/>
      <c r="CO281" s="217"/>
      <c r="CP281" s="1193"/>
      <c r="CQ281" s="293"/>
      <c r="CR281" s="217"/>
      <c r="CS281" s="305"/>
      <c r="CT281" s="249"/>
      <c r="CU281" s="216"/>
      <c r="CV281" s="1193"/>
      <c r="CW281" s="249"/>
      <c r="CX281" s="216"/>
      <c r="CY281" s="305"/>
      <c r="CZ281" s="249"/>
      <c r="DA281" s="216"/>
      <c r="DB281" s="307"/>
      <c r="DC281" s="328"/>
      <c r="DD281" s="322"/>
      <c r="DE281" s="305"/>
      <c r="DF281" s="249"/>
      <c r="DG281" s="216"/>
      <c r="DH281" s="305"/>
      <c r="DI281" s="249"/>
      <c r="DJ281" s="216"/>
      <c r="DK281" s="309"/>
      <c r="DL281" s="293"/>
      <c r="DM281" s="326"/>
      <c r="DN281" s="1256"/>
      <c r="DO281" s="214"/>
      <c r="DP281" s="1257"/>
      <c r="DQ281" s="1258"/>
      <c r="DR281" s="305"/>
      <c r="DS281" s="249"/>
      <c r="DT281" s="216"/>
      <c r="DU281" s="305"/>
      <c r="DV281" s="2520"/>
      <c r="DW281" s="2521"/>
      <c r="DX281" s="305"/>
      <c r="DY281" s="249"/>
      <c r="DZ281" s="221"/>
      <c r="EA281" s="388"/>
      <c r="EB281" s="249"/>
      <c r="EC281" s="216"/>
      <c r="ED281" s="1461"/>
      <c r="EE281" s="249"/>
      <c r="EF281" s="216"/>
      <c r="EG281" s="355"/>
      <c r="EH281" s="1425"/>
      <c r="EI281" s="1470"/>
      <c r="EJ281" s="249"/>
      <c r="EK281" s="221"/>
      <c r="EL281" s="313"/>
      <c r="EM281" s="249"/>
      <c r="EN281" s="221"/>
      <c r="EO281" s="313"/>
      <c r="EP281" s="249"/>
      <c r="EQ281" s="216"/>
      <c r="ER281" s="313"/>
      <c r="ES281" s="249"/>
      <c r="ET281" s="216"/>
      <c r="EU281" s="313"/>
      <c r="EV281" s="249"/>
      <c r="EW281" s="216"/>
      <c r="EX281" s="2505"/>
      <c r="EY281" s="249"/>
      <c r="EZ281" s="221"/>
      <c r="FA281" s="313"/>
      <c r="FB281" s="249"/>
      <c r="FC281" s="221"/>
      <c r="FD281" s="313"/>
      <c r="FE281" s="249"/>
      <c r="FF281" s="221"/>
      <c r="FG281" s="313"/>
      <c r="FH281" s="249"/>
      <c r="FI281" s="216"/>
      <c r="FJ281" s="1435"/>
      <c r="FK281" s="216"/>
      <c r="FL281" s="1268"/>
      <c r="FM281" s="1655"/>
      <c r="FN281" s="1268"/>
      <c r="FO281" s="1655"/>
      <c r="FP281" s="1268"/>
      <c r="FQ281" s="1656"/>
      <c r="FR281" s="249"/>
      <c r="FS281" s="216"/>
      <c r="FT281" s="1657"/>
      <c r="FU281" s="1658"/>
      <c r="FV281" s="242"/>
      <c r="FW281" s="343"/>
      <c r="FX281" s="222"/>
      <c r="FY281" s="336"/>
      <c r="FZ281" s="223"/>
      <c r="GA281" s="338"/>
      <c r="GB281" s="204"/>
      <c r="GC281" s="339"/>
      <c r="GD281" s="342"/>
      <c r="GE281" s="199"/>
      <c r="GF281" s="199"/>
      <c r="GG281" s="199"/>
      <c r="GH281" s="199"/>
      <c r="GI281" s="199"/>
      <c r="GJ281" s="199"/>
      <c r="GK281" s="199"/>
      <c r="GL281" s="49"/>
      <c r="GM281" s="28"/>
      <c r="GN281" s="28"/>
      <c r="GO281" s="322"/>
      <c r="GP281" s="1190"/>
      <c r="GQ281" s="1190"/>
      <c r="GR281" s="49"/>
      <c r="GS281" s="2879"/>
      <c r="GT281" s="2880"/>
      <c r="GU281" s="2881"/>
      <c r="GV281" s="49"/>
      <c r="GW281" s="49"/>
      <c r="GX281" s="49"/>
      <c r="GY281" s="49"/>
      <c r="GZ281" s="49"/>
      <c r="HA281" s="49"/>
      <c r="HB281" s="49"/>
      <c r="HC281" s="49"/>
      <c r="HD281" s="49"/>
      <c r="HE281" s="49"/>
      <c r="HF281" s="49"/>
      <c r="HG281" s="49"/>
      <c r="HH281" s="49"/>
      <c r="HI281" s="49"/>
      <c r="HJ281" s="49"/>
      <c r="HK281" s="49"/>
      <c r="HL281" s="49"/>
      <c r="HM281" s="49"/>
      <c r="HN281" s="49"/>
      <c r="HO281" s="49"/>
      <c r="HP281" s="49"/>
      <c r="HQ281" s="49"/>
      <c r="HR281" s="49"/>
      <c r="HS281" s="49"/>
      <c r="HT281" s="49"/>
      <c r="HU281" s="49"/>
      <c r="HV281" s="49"/>
      <c r="HW281" s="49"/>
      <c r="HX281" s="49"/>
      <c r="HY281" s="49"/>
      <c r="HZ281" s="49"/>
      <c r="IA281" s="49"/>
      <c r="IB281" s="49"/>
      <c r="IC281" s="49"/>
      <c r="ID281" s="49"/>
      <c r="IE281" s="49"/>
      <c r="IF281" s="49"/>
      <c r="IG281" s="49"/>
      <c r="IH281" s="49"/>
      <c r="II281" s="49"/>
      <c r="IJ281" s="49"/>
      <c r="IK281" s="49"/>
      <c r="IL281" s="49"/>
      <c r="IM281" s="49"/>
      <c r="IN281" s="49"/>
      <c r="IO281" s="49"/>
      <c r="IP281" s="49"/>
      <c r="IQ281" s="49"/>
      <c r="IR281" s="49"/>
      <c r="IS281" s="49"/>
      <c r="IT281" s="49"/>
      <c r="IU281" s="49"/>
      <c r="IV281" s="49"/>
    </row>
    <row r="282" spans="1:256" s="198" customFormat="1" ht="12" customHeight="1">
      <c r="A282" s="1252"/>
      <c r="B282" s="200"/>
      <c r="C282" s="486"/>
      <c r="D282" s="201"/>
      <c r="E282" s="202"/>
      <c r="F282" s="203"/>
      <c r="G282" s="197"/>
      <c r="H282" s="197"/>
      <c r="I282" s="197"/>
      <c r="J282" s="197"/>
      <c r="K282" s="175"/>
      <c r="L282" s="197"/>
      <c r="M282" s="197"/>
      <c r="N282" s="197"/>
      <c r="O282" s="197"/>
      <c r="P282" s="197"/>
      <c r="Q282" s="1198"/>
      <c r="R282" s="202"/>
      <c r="S282" s="202"/>
      <c r="T282" s="1186"/>
      <c r="U282" s="233"/>
      <c r="V282" s="49"/>
      <c r="W282" s="218"/>
      <c r="X282" s="218"/>
      <c r="Y282" s="216"/>
      <c r="Z282" s="216"/>
      <c r="AA282" s="215"/>
      <c r="AB282" s="216"/>
      <c r="AC282" s="216"/>
      <c r="AD282" s="239"/>
      <c r="AE282" s="216"/>
      <c r="AF282" s="216"/>
      <c r="AG282" s="216"/>
      <c r="AH282" s="216"/>
      <c r="AI282" s="216"/>
      <c r="AJ282" s="216"/>
      <c r="AK282" s="239"/>
      <c r="AL282" s="216"/>
      <c r="AM282" s="216"/>
      <c r="AN282" s="216"/>
      <c r="AO282" s="216"/>
      <c r="AP282" s="216"/>
      <c r="AQ282" s="216"/>
      <c r="AR282" s="216"/>
      <c r="AS282" s="216"/>
      <c r="AT282" s="216"/>
      <c r="AU282" s="216"/>
      <c r="AV282" s="217"/>
      <c r="AW282" s="355"/>
      <c r="AX282" s="217"/>
      <c r="AY282" s="1559"/>
      <c r="AZ282" s="249"/>
      <c r="BA282" s="221"/>
      <c r="BB282" s="300"/>
      <c r="BC282" s="217"/>
      <c r="BD282" s="392"/>
      <c r="BE282" s="1244"/>
      <c r="BF282" s="249"/>
      <c r="BG282" s="252"/>
      <c r="BH282" s="1469"/>
      <c r="BI282" s="216"/>
      <c r="BJ282" s="1469"/>
      <c r="BK282" s="1459"/>
      <c r="BL282" s="260"/>
      <c r="BM282" s="214"/>
      <c r="BN282" s="293"/>
      <c r="BO282" s="217"/>
      <c r="BP282" s="355"/>
      <c r="BQ282" s="217"/>
      <c r="BR282" s="1193"/>
      <c r="BS282" s="249"/>
      <c r="BT282" s="216"/>
      <c r="BU282" s="1195"/>
      <c r="BV282" s="249"/>
      <c r="BW282" s="216"/>
      <c r="BX282" s="1195"/>
      <c r="BY282" s="249"/>
      <c r="BZ282" s="216"/>
      <c r="CA282" s="1195"/>
      <c r="CB282" s="249"/>
      <c r="CC282" s="216"/>
      <c r="CD282" s="1195"/>
      <c r="CE282" s="249"/>
      <c r="CF282" s="216"/>
      <c r="CG282" s="1195"/>
      <c r="CH282" s="249"/>
      <c r="CI282" s="216"/>
      <c r="CJ282" s="1195"/>
      <c r="CK282" s="249"/>
      <c r="CL282" s="216"/>
      <c r="CM282" s="1194"/>
      <c r="CN282" s="1524"/>
      <c r="CO282" s="217"/>
      <c r="CP282" s="1193"/>
      <c r="CQ282" s="293"/>
      <c r="CR282" s="217"/>
      <c r="CS282" s="305"/>
      <c r="CT282" s="249"/>
      <c r="CU282" s="216"/>
      <c r="CV282" s="1193"/>
      <c r="CW282" s="249"/>
      <c r="CX282" s="216"/>
      <c r="CY282" s="305"/>
      <c r="CZ282" s="249"/>
      <c r="DA282" s="216"/>
      <c r="DB282" s="307"/>
      <c r="DC282" s="328"/>
      <c r="DD282" s="322"/>
      <c r="DE282" s="305"/>
      <c r="DF282" s="249"/>
      <c r="DG282" s="216"/>
      <c r="DH282" s="305"/>
      <c r="DI282" s="249"/>
      <c r="DJ282" s="216"/>
      <c r="DK282" s="309"/>
      <c r="DL282" s="293"/>
      <c r="DM282" s="326"/>
      <c r="DN282" s="1256"/>
      <c r="DO282" s="214"/>
      <c r="DP282" s="1257"/>
      <c r="DQ282" s="1258"/>
      <c r="DR282" s="305"/>
      <c r="DS282" s="249"/>
      <c r="DT282" s="216"/>
      <c r="DU282" s="305"/>
      <c r="DV282" s="2520"/>
      <c r="DW282" s="2521"/>
      <c r="DX282" s="305"/>
      <c r="DY282" s="249"/>
      <c r="DZ282" s="221"/>
      <c r="EA282" s="388"/>
      <c r="EB282" s="249"/>
      <c r="EC282" s="216"/>
      <c r="ED282" s="1461"/>
      <c r="EE282" s="249"/>
      <c r="EF282" s="216"/>
      <c r="EG282" s="355"/>
      <c r="EH282" s="1425"/>
      <c r="EI282" s="1470"/>
      <c r="EJ282" s="249"/>
      <c r="EK282" s="221"/>
      <c r="EL282" s="313"/>
      <c r="EM282" s="249"/>
      <c r="EN282" s="221"/>
      <c r="EO282" s="313"/>
      <c r="EP282" s="249"/>
      <c r="EQ282" s="216"/>
      <c r="ER282" s="313"/>
      <c r="ES282" s="249"/>
      <c r="ET282" s="216"/>
      <c r="EU282" s="313"/>
      <c r="EV282" s="249"/>
      <c r="EW282" s="216"/>
      <c r="EX282" s="2505"/>
      <c r="EY282" s="249"/>
      <c r="EZ282" s="221"/>
      <c r="FA282" s="313"/>
      <c r="FB282" s="249"/>
      <c r="FC282" s="221"/>
      <c r="FD282" s="313"/>
      <c r="FE282" s="249"/>
      <c r="FF282" s="221"/>
      <c r="FG282" s="313"/>
      <c r="FH282" s="249"/>
      <c r="FI282" s="216"/>
      <c r="FJ282" s="1435"/>
      <c r="FK282" s="216"/>
      <c r="FL282" s="1268"/>
      <c r="FM282" s="1655"/>
      <c r="FN282" s="1268"/>
      <c r="FO282" s="1655"/>
      <c r="FP282" s="1268"/>
      <c r="FQ282" s="1656"/>
      <c r="FR282" s="249"/>
      <c r="FS282" s="216"/>
      <c r="FT282" s="1657"/>
      <c r="FU282" s="1658"/>
      <c r="FV282" s="242"/>
      <c r="FW282" s="343"/>
      <c r="FX282" s="222"/>
      <c r="FY282" s="336"/>
      <c r="FZ282" s="223"/>
      <c r="GA282" s="338"/>
      <c r="GB282" s="204"/>
      <c r="GC282" s="339"/>
      <c r="GD282" s="342"/>
      <c r="GE282" s="199"/>
      <c r="GF282" s="199"/>
      <c r="GG282" s="199"/>
      <c r="GH282" s="199"/>
      <c r="GI282" s="199"/>
      <c r="GJ282" s="199"/>
      <c r="GK282" s="199"/>
      <c r="GL282" s="49"/>
      <c r="GM282" s="28"/>
      <c r="GN282" s="28"/>
      <c r="GO282" s="322"/>
      <c r="GP282" s="1190"/>
      <c r="GQ282" s="1190"/>
      <c r="GR282" s="49"/>
      <c r="GS282" s="2879"/>
      <c r="GT282" s="2880"/>
      <c r="GU282" s="2881"/>
      <c r="GV282" s="49"/>
      <c r="GW282" s="49"/>
      <c r="GX282" s="49"/>
      <c r="GY282" s="49"/>
      <c r="GZ282" s="49"/>
      <c r="HA282" s="49"/>
      <c r="HB282" s="49"/>
      <c r="HC282" s="49"/>
      <c r="HD282" s="49"/>
      <c r="HE282" s="49"/>
      <c r="HF282" s="49"/>
      <c r="HG282" s="49"/>
      <c r="HH282" s="49"/>
      <c r="HI282" s="49"/>
      <c r="HJ282" s="49"/>
      <c r="HK282" s="49"/>
      <c r="HL282" s="49"/>
      <c r="HM282" s="49"/>
      <c r="HN282" s="49"/>
      <c r="HO282" s="49"/>
      <c r="HP282" s="49"/>
      <c r="HQ282" s="49"/>
      <c r="HR282" s="49"/>
      <c r="HS282" s="49"/>
      <c r="HT282" s="49"/>
      <c r="HU282" s="49"/>
      <c r="HV282" s="49"/>
      <c r="HW282" s="49"/>
      <c r="HX282" s="49"/>
      <c r="HY282" s="49"/>
      <c r="HZ282" s="49"/>
      <c r="IA282" s="49"/>
      <c r="IB282" s="49"/>
      <c r="IC282" s="49"/>
      <c r="ID282" s="49"/>
      <c r="IE282" s="49"/>
      <c r="IF282" s="49"/>
      <c r="IG282" s="49"/>
      <c r="IH282" s="49"/>
      <c r="II282" s="49"/>
      <c r="IJ282" s="49"/>
      <c r="IK282" s="49"/>
      <c r="IL282" s="49"/>
      <c r="IM282" s="49"/>
      <c r="IN282" s="49"/>
      <c r="IO282" s="49"/>
      <c r="IP282" s="49"/>
      <c r="IQ282" s="49"/>
      <c r="IR282" s="49"/>
      <c r="IS282" s="49"/>
      <c r="IT282" s="49"/>
      <c r="IU282" s="49"/>
      <c r="IV282" s="49"/>
    </row>
    <row r="283" spans="1:256" s="198" customFormat="1" ht="12" customHeight="1">
      <c r="A283" s="1252"/>
      <c r="B283" s="200"/>
      <c r="C283" s="486"/>
      <c r="D283" s="201"/>
      <c r="E283" s="202"/>
      <c r="F283" s="203"/>
      <c r="G283" s="197"/>
      <c r="H283" s="197"/>
      <c r="I283" s="197"/>
      <c r="J283" s="197"/>
      <c r="K283" s="175"/>
      <c r="L283" s="197"/>
      <c r="M283" s="197"/>
      <c r="N283" s="197"/>
      <c r="O283" s="197"/>
      <c r="P283" s="197"/>
      <c r="Q283" s="1198"/>
      <c r="R283" s="202"/>
      <c r="S283" s="202"/>
      <c r="T283" s="1186"/>
      <c r="U283" s="233"/>
      <c r="V283" s="49"/>
      <c r="W283" s="218"/>
      <c r="X283" s="218"/>
      <c r="Y283" s="216"/>
      <c r="Z283" s="216"/>
      <c r="AA283" s="215"/>
      <c r="AB283" s="216"/>
      <c r="AC283" s="216"/>
      <c r="AD283" s="239"/>
      <c r="AE283" s="216"/>
      <c r="AF283" s="216"/>
      <c r="AG283" s="216"/>
      <c r="AH283" s="216"/>
      <c r="AI283" s="216"/>
      <c r="AJ283" s="216"/>
      <c r="AK283" s="239"/>
      <c r="AL283" s="216"/>
      <c r="AM283" s="216"/>
      <c r="AN283" s="216"/>
      <c r="AO283" s="216"/>
      <c r="AP283" s="216"/>
      <c r="AQ283" s="216"/>
      <c r="AR283" s="216"/>
      <c r="AS283" s="216"/>
      <c r="AT283" s="216"/>
      <c r="AU283" s="216"/>
      <c r="AV283" s="217"/>
      <c r="AW283" s="355"/>
      <c r="AX283" s="217"/>
      <c r="AY283" s="1559"/>
      <c r="AZ283" s="249"/>
      <c r="BA283" s="221"/>
      <c r="BB283" s="300"/>
      <c r="BC283" s="217"/>
      <c r="BD283" s="392"/>
      <c r="BE283" s="1244"/>
      <c r="BF283" s="249"/>
      <c r="BG283" s="252"/>
      <c r="BH283" s="1469"/>
      <c r="BI283" s="216"/>
      <c r="BJ283" s="1469"/>
      <c r="BK283" s="1459"/>
      <c r="BL283" s="260"/>
      <c r="BM283" s="214"/>
      <c r="BN283" s="293"/>
      <c r="BO283" s="217"/>
      <c r="BP283" s="355"/>
      <c r="BQ283" s="217"/>
      <c r="BR283" s="1193"/>
      <c r="BS283" s="249"/>
      <c r="BT283" s="216"/>
      <c r="BU283" s="1195"/>
      <c r="BV283" s="249"/>
      <c r="BW283" s="216"/>
      <c r="BX283" s="1195"/>
      <c r="BY283" s="249"/>
      <c r="BZ283" s="216"/>
      <c r="CA283" s="1195"/>
      <c r="CB283" s="249"/>
      <c r="CC283" s="216"/>
      <c r="CD283" s="1195"/>
      <c r="CE283" s="249"/>
      <c r="CF283" s="216"/>
      <c r="CG283" s="1195"/>
      <c r="CH283" s="249"/>
      <c r="CI283" s="216"/>
      <c r="CJ283" s="1195"/>
      <c r="CK283" s="249"/>
      <c r="CL283" s="216"/>
      <c r="CM283" s="1194"/>
      <c r="CN283" s="1524"/>
      <c r="CO283" s="217"/>
      <c r="CP283" s="1193"/>
      <c r="CQ283" s="293"/>
      <c r="CR283" s="217"/>
      <c r="CS283" s="305"/>
      <c r="CT283" s="249"/>
      <c r="CU283" s="216"/>
      <c r="CV283" s="1193"/>
      <c r="CW283" s="249"/>
      <c r="CX283" s="216"/>
      <c r="CY283" s="305"/>
      <c r="CZ283" s="249"/>
      <c r="DA283" s="216"/>
      <c r="DB283" s="307"/>
      <c r="DC283" s="328"/>
      <c r="DD283" s="322"/>
      <c r="DE283" s="305"/>
      <c r="DF283" s="249"/>
      <c r="DG283" s="216"/>
      <c r="DH283" s="305"/>
      <c r="DI283" s="249"/>
      <c r="DJ283" s="216"/>
      <c r="DK283" s="309"/>
      <c r="DL283" s="293"/>
      <c r="DM283" s="326"/>
      <c r="DN283" s="1256"/>
      <c r="DO283" s="214"/>
      <c r="DP283" s="1257"/>
      <c r="DQ283" s="1258"/>
      <c r="DR283" s="305"/>
      <c r="DS283" s="249"/>
      <c r="DT283" s="216"/>
      <c r="DU283" s="305"/>
      <c r="DV283" s="2520"/>
      <c r="DW283" s="2521"/>
      <c r="DX283" s="305"/>
      <c r="DY283" s="249"/>
      <c r="DZ283" s="221"/>
      <c r="EA283" s="388"/>
      <c r="EB283" s="249"/>
      <c r="EC283" s="216"/>
      <c r="ED283" s="1461"/>
      <c r="EE283" s="249"/>
      <c r="EF283" s="216"/>
      <c r="EG283" s="355"/>
      <c r="EH283" s="1425"/>
      <c r="EI283" s="1470"/>
      <c r="EJ283" s="249"/>
      <c r="EK283" s="221"/>
      <c r="EL283" s="313"/>
      <c r="EM283" s="249"/>
      <c r="EN283" s="221"/>
      <c r="EO283" s="313"/>
      <c r="EP283" s="249"/>
      <c r="EQ283" s="216"/>
      <c r="ER283" s="313"/>
      <c r="ES283" s="249"/>
      <c r="ET283" s="216"/>
      <c r="EU283" s="313"/>
      <c r="EV283" s="249"/>
      <c r="EW283" s="216"/>
      <c r="EX283" s="2505"/>
      <c r="EY283" s="249"/>
      <c r="EZ283" s="221"/>
      <c r="FA283" s="313"/>
      <c r="FB283" s="249"/>
      <c r="FC283" s="221"/>
      <c r="FD283" s="313"/>
      <c r="FE283" s="249"/>
      <c r="FF283" s="221"/>
      <c r="FG283" s="313"/>
      <c r="FH283" s="249"/>
      <c r="FI283" s="216"/>
      <c r="FJ283" s="1435"/>
      <c r="FK283" s="216"/>
      <c r="FL283" s="1268"/>
      <c r="FM283" s="1655"/>
      <c r="FN283" s="1268"/>
      <c r="FO283" s="1655"/>
      <c r="FP283" s="1268"/>
      <c r="FQ283" s="1656"/>
      <c r="FR283" s="249"/>
      <c r="FS283" s="216"/>
      <c r="FT283" s="1657"/>
      <c r="FU283" s="1658"/>
      <c r="FV283" s="242"/>
      <c r="FW283" s="343"/>
      <c r="FX283" s="222"/>
      <c r="FY283" s="336"/>
      <c r="FZ283" s="223"/>
      <c r="GA283" s="338"/>
      <c r="GB283" s="204"/>
      <c r="GC283" s="339"/>
      <c r="GD283" s="342"/>
      <c r="GE283" s="199"/>
      <c r="GF283" s="199"/>
      <c r="GG283" s="199"/>
      <c r="GH283" s="199"/>
      <c r="GI283" s="199"/>
      <c r="GJ283" s="199"/>
      <c r="GK283" s="199"/>
      <c r="GL283" s="49"/>
      <c r="GM283" s="28"/>
      <c r="GN283" s="28"/>
      <c r="GO283" s="322"/>
      <c r="GP283" s="1190"/>
      <c r="GQ283" s="1190"/>
      <c r="GR283" s="49"/>
      <c r="GS283" s="2879"/>
      <c r="GT283" s="2880"/>
      <c r="GU283" s="2881"/>
      <c r="GV283" s="49"/>
      <c r="GW283" s="49"/>
      <c r="GX283" s="49"/>
      <c r="GY283" s="49"/>
      <c r="GZ283" s="49"/>
      <c r="HA283" s="49"/>
      <c r="HB283" s="49"/>
      <c r="HC283" s="49"/>
      <c r="HD283" s="49"/>
      <c r="HE283" s="49"/>
      <c r="HF283" s="49"/>
      <c r="HG283" s="49"/>
      <c r="HH283" s="49"/>
      <c r="HI283" s="49"/>
      <c r="HJ283" s="49"/>
      <c r="HK283" s="49"/>
      <c r="HL283" s="49"/>
      <c r="HM283" s="49"/>
      <c r="HN283" s="49"/>
      <c r="HO283" s="49"/>
      <c r="HP283" s="49"/>
      <c r="HQ283" s="49"/>
      <c r="HR283" s="49"/>
      <c r="HS283" s="49"/>
      <c r="HT283" s="49"/>
      <c r="HU283" s="49"/>
      <c r="HV283" s="49"/>
      <c r="HW283" s="49"/>
      <c r="HX283" s="49"/>
      <c r="HY283" s="49"/>
      <c r="HZ283" s="49"/>
      <c r="IA283" s="49"/>
      <c r="IB283" s="49"/>
      <c r="IC283" s="49"/>
      <c r="ID283" s="49"/>
      <c r="IE283" s="49"/>
      <c r="IF283" s="49"/>
      <c r="IG283" s="49"/>
      <c r="IH283" s="49"/>
      <c r="II283" s="49"/>
      <c r="IJ283" s="49"/>
      <c r="IK283" s="49"/>
      <c r="IL283" s="49"/>
      <c r="IM283" s="49"/>
      <c r="IN283" s="49"/>
      <c r="IO283" s="49"/>
      <c r="IP283" s="49"/>
      <c r="IQ283" s="49"/>
      <c r="IR283" s="49"/>
      <c r="IS283" s="49"/>
      <c r="IT283" s="49"/>
      <c r="IU283" s="49"/>
      <c r="IV283" s="49"/>
    </row>
    <row r="284" spans="1:256" s="198" customFormat="1" ht="12" customHeight="1">
      <c r="A284" s="1252"/>
      <c r="B284" s="200"/>
      <c r="C284" s="486"/>
      <c r="D284" s="201"/>
      <c r="E284" s="202"/>
      <c r="F284" s="203"/>
      <c r="G284" s="197"/>
      <c r="H284" s="197"/>
      <c r="I284" s="197"/>
      <c r="J284" s="197"/>
      <c r="K284" s="175"/>
      <c r="L284" s="197"/>
      <c r="M284" s="197"/>
      <c r="N284" s="197"/>
      <c r="O284" s="197"/>
      <c r="P284" s="197"/>
      <c r="Q284" s="1198"/>
      <c r="R284" s="202"/>
      <c r="S284" s="202"/>
      <c r="T284" s="1186"/>
      <c r="U284" s="233"/>
      <c r="V284" s="49"/>
      <c r="W284" s="218"/>
      <c r="X284" s="218"/>
      <c r="Y284" s="216"/>
      <c r="Z284" s="216"/>
      <c r="AA284" s="215"/>
      <c r="AB284" s="216"/>
      <c r="AC284" s="216"/>
      <c r="AD284" s="239"/>
      <c r="AE284" s="216"/>
      <c r="AF284" s="216"/>
      <c r="AG284" s="216"/>
      <c r="AH284" s="216"/>
      <c r="AI284" s="216"/>
      <c r="AJ284" s="216"/>
      <c r="AK284" s="239"/>
      <c r="AL284" s="216"/>
      <c r="AM284" s="216"/>
      <c r="AN284" s="216"/>
      <c r="AO284" s="216"/>
      <c r="AP284" s="216"/>
      <c r="AQ284" s="216"/>
      <c r="AR284" s="216"/>
      <c r="AS284" s="216"/>
      <c r="AT284" s="216"/>
      <c r="AU284" s="216"/>
      <c r="AV284" s="217"/>
      <c r="AW284" s="355"/>
      <c r="AX284" s="217"/>
      <c r="AY284" s="1559"/>
      <c r="AZ284" s="249"/>
      <c r="BA284" s="221"/>
      <c r="BB284" s="300"/>
      <c r="BC284" s="217"/>
      <c r="BD284" s="392"/>
      <c r="BE284" s="1244"/>
      <c r="BF284" s="249"/>
      <c r="BG284" s="252"/>
      <c r="BH284" s="1469"/>
      <c r="BI284" s="216"/>
      <c r="BJ284" s="1469"/>
      <c r="BK284" s="1459"/>
      <c r="BL284" s="260"/>
      <c r="BM284" s="214"/>
      <c r="BN284" s="293"/>
      <c r="BO284" s="217"/>
      <c r="BP284" s="355"/>
      <c r="BQ284" s="217"/>
      <c r="BR284" s="1193"/>
      <c r="BS284" s="249"/>
      <c r="BT284" s="216"/>
      <c r="BU284" s="1195"/>
      <c r="BV284" s="249"/>
      <c r="BW284" s="216"/>
      <c r="BX284" s="1195"/>
      <c r="BY284" s="249"/>
      <c r="BZ284" s="216"/>
      <c r="CA284" s="1195"/>
      <c r="CB284" s="249"/>
      <c r="CC284" s="216"/>
      <c r="CD284" s="1195"/>
      <c r="CE284" s="249"/>
      <c r="CF284" s="216"/>
      <c r="CG284" s="1195"/>
      <c r="CH284" s="249"/>
      <c r="CI284" s="216"/>
      <c r="CJ284" s="1195"/>
      <c r="CK284" s="249"/>
      <c r="CL284" s="216"/>
      <c r="CM284" s="1194"/>
      <c r="CN284" s="1524"/>
      <c r="CO284" s="217"/>
      <c r="CP284" s="1193"/>
      <c r="CQ284" s="293"/>
      <c r="CR284" s="217"/>
      <c r="CS284" s="305"/>
      <c r="CT284" s="249"/>
      <c r="CU284" s="216"/>
      <c r="CV284" s="1193"/>
      <c r="CW284" s="249"/>
      <c r="CX284" s="216"/>
      <c r="CY284" s="305"/>
      <c r="CZ284" s="249"/>
      <c r="DA284" s="216"/>
      <c r="DB284" s="307"/>
      <c r="DC284" s="328"/>
      <c r="DD284" s="322"/>
      <c r="DE284" s="305"/>
      <c r="DF284" s="249"/>
      <c r="DG284" s="216"/>
      <c r="DH284" s="305"/>
      <c r="DI284" s="249"/>
      <c r="DJ284" s="216"/>
      <c r="DK284" s="309"/>
      <c r="DL284" s="293"/>
      <c r="DM284" s="326"/>
      <c r="DN284" s="1256"/>
      <c r="DO284" s="214"/>
      <c r="DP284" s="1257"/>
      <c r="DQ284" s="1258"/>
      <c r="DR284" s="305"/>
      <c r="DS284" s="249"/>
      <c r="DT284" s="216"/>
      <c r="DU284" s="305"/>
      <c r="DV284" s="2520"/>
      <c r="DW284" s="2521"/>
      <c r="DX284" s="305"/>
      <c r="DY284" s="249"/>
      <c r="DZ284" s="221"/>
      <c r="EA284" s="388"/>
      <c r="EB284" s="249"/>
      <c r="EC284" s="216"/>
      <c r="ED284" s="1461"/>
      <c r="EE284" s="249"/>
      <c r="EF284" s="216"/>
      <c r="EG284" s="355"/>
      <c r="EH284" s="1425"/>
      <c r="EI284" s="1470"/>
      <c r="EJ284" s="249"/>
      <c r="EK284" s="221"/>
      <c r="EL284" s="313"/>
      <c r="EM284" s="249"/>
      <c r="EN284" s="221"/>
      <c r="EO284" s="313"/>
      <c r="EP284" s="249"/>
      <c r="EQ284" s="216"/>
      <c r="ER284" s="313"/>
      <c r="ES284" s="249"/>
      <c r="ET284" s="216"/>
      <c r="EU284" s="313"/>
      <c r="EV284" s="249"/>
      <c r="EW284" s="216"/>
      <c r="EX284" s="2505"/>
      <c r="EY284" s="249"/>
      <c r="EZ284" s="221"/>
      <c r="FA284" s="313"/>
      <c r="FB284" s="249"/>
      <c r="FC284" s="221"/>
      <c r="FD284" s="313"/>
      <c r="FE284" s="249"/>
      <c r="FF284" s="221"/>
      <c r="FG284" s="313"/>
      <c r="FH284" s="249"/>
      <c r="FI284" s="216"/>
      <c r="FJ284" s="1435"/>
      <c r="FK284" s="216"/>
      <c r="FL284" s="1268"/>
      <c r="FM284" s="1655"/>
      <c r="FN284" s="1268"/>
      <c r="FO284" s="1655"/>
      <c r="FP284" s="1268"/>
      <c r="FQ284" s="1656"/>
      <c r="FR284" s="249"/>
      <c r="FS284" s="216"/>
      <c r="FT284" s="1657"/>
      <c r="FU284" s="1658"/>
      <c r="FV284" s="242"/>
      <c r="FW284" s="343"/>
      <c r="FX284" s="222"/>
      <c r="FY284" s="336"/>
      <c r="FZ284" s="223"/>
      <c r="GA284" s="338"/>
      <c r="GB284" s="204"/>
      <c r="GC284" s="339"/>
      <c r="GD284" s="342"/>
      <c r="GE284" s="199"/>
      <c r="GF284" s="199"/>
      <c r="GG284" s="199"/>
      <c r="GH284" s="199"/>
      <c r="GI284" s="199"/>
      <c r="GJ284" s="199"/>
      <c r="GK284" s="199"/>
      <c r="GL284" s="49"/>
      <c r="GM284" s="28"/>
      <c r="GN284" s="28"/>
      <c r="GO284" s="322"/>
      <c r="GP284" s="1190"/>
      <c r="GQ284" s="1190"/>
      <c r="GR284" s="49"/>
      <c r="GS284" s="2879"/>
      <c r="GT284" s="2880"/>
      <c r="GU284" s="2881"/>
      <c r="GV284" s="49"/>
      <c r="GW284" s="49"/>
      <c r="GX284" s="49"/>
      <c r="GY284" s="49"/>
      <c r="GZ284" s="49"/>
      <c r="HA284" s="49"/>
      <c r="HB284" s="49"/>
      <c r="HC284" s="49"/>
      <c r="HD284" s="49"/>
      <c r="HE284" s="49"/>
      <c r="HF284" s="49"/>
      <c r="HG284" s="49"/>
      <c r="HH284" s="49"/>
      <c r="HI284" s="49"/>
      <c r="HJ284" s="49"/>
      <c r="HK284" s="49"/>
      <c r="HL284" s="49"/>
      <c r="HM284" s="49"/>
      <c r="HN284" s="49"/>
      <c r="HO284" s="49"/>
      <c r="HP284" s="49"/>
      <c r="HQ284" s="49"/>
      <c r="HR284" s="49"/>
      <c r="HS284" s="49"/>
      <c r="HT284" s="49"/>
      <c r="HU284" s="49"/>
      <c r="HV284" s="49"/>
      <c r="HW284" s="49"/>
      <c r="HX284" s="49"/>
      <c r="HY284" s="49"/>
      <c r="HZ284" s="49"/>
      <c r="IA284" s="49"/>
      <c r="IB284" s="49"/>
      <c r="IC284" s="49"/>
      <c r="ID284" s="49"/>
      <c r="IE284" s="49"/>
      <c r="IF284" s="49"/>
      <c r="IG284" s="49"/>
      <c r="IH284" s="49"/>
      <c r="II284" s="49"/>
      <c r="IJ284" s="49"/>
      <c r="IK284" s="49"/>
      <c r="IL284" s="49"/>
      <c r="IM284" s="49"/>
      <c r="IN284" s="49"/>
      <c r="IO284" s="49"/>
      <c r="IP284" s="49"/>
      <c r="IQ284" s="49"/>
      <c r="IR284" s="49"/>
      <c r="IS284" s="49"/>
      <c r="IT284" s="49"/>
      <c r="IU284" s="49"/>
      <c r="IV284" s="49"/>
    </row>
    <row r="285" spans="1:256" s="198" customFormat="1" ht="12" customHeight="1">
      <c r="A285" s="1252"/>
      <c r="B285" s="200"/>
      <c r="C285" s="486"/>
      <c r="D285" s="201"/>
      <c r="E285" s="202"/>
      <c r="F285" s="203"/>
      <c r="G285" s="197"/>
      <c r="H285" s="197"/>
      <c r="I285" s="197"/>
      <c r="J285" s="197"/>
      <c r="K285" s="175"/>
      <c r="L285" s="197"/>
      <c r="M285" s="197"/>
      <c r="N285" s="197"/>
      <c r="O285" s="197"/>
      <c r="P285" s="197"/>
      <c r="Q285" s="1198"/>
      <c r="R285" s="202"/>
      <c r="S285" s="202"/>
      <c r="T285" s="1186"/>
      <c r="U285" s="233"/>
      <c r="V285" s="49"/>
      <c r="W285" s="218"/>
      <c r="X285" s="218"/>
      <c r="Y285" s="216"/>
      <c r="Z285" s="216"/>
      <c r="AA285" s="215"/>
      <c r="AB285" s="216"/>
      <c r="AC285" s="216"/>
      <c r="AD285" s="239"/>
      <c r="AE285" s="216"/>
      <c r="AF285" s="216"/>
      <c r="AG285" s="216"/>
      <c r="AH285" s="216"/>
      <c r="AI285" s="216"/>
      <c r="AJ285" s="216"/>
      <c r="AK285" s="239"/>
      <c r="AL285" s="216"/>
      <c r="AM285" s="216"/>
      <c r="AN285" s="216"/>
      <c r="AO285" s="216"/>
      <c r="AP285" s="216"/>
      <c r="AQ285" s="216"/>
      <c r="AR285" s="216"/>
      <c r="AS285" s="216"/>
      <c r="AT285" s="216"/>
      <c r="AU285" s="216"/>
      <c r="AV285" s="217"/>
      <c r="AW285" s="355"/>
      <c r="AX285" s="217"/>
      <c r="AY285" s="1559"/>
      <c r="AZ285" s="249"/>
      <c r="BA285" s="221"/>
      <c r="BB285" s="300"/>
      <c r="BC285" s="217"/>
      <c r="BD285" s="392"/>
      <c r="BE285" s="1244"/>
      <c r="BF285" s="249"/>
      <c r="BG285" s="252"/>
      <c r="BH285" s="1469"/>
      <c r="BI285" s="216"/>
      <c r="BJ285" s="1469"/>
      <c r="BK285" s="1459"/>
      <c r="BL285" s="260"/>
      <c r="BM285" s="214"/>
      <c r="BN285" s="293"/>
      <c r="BO285" s="217"/>
      <c r="BP285" s="355"/>
      <c r="BQ285" s="217"/>
      <c r="BR285" s="1193"/>
      <c r="BS285" s="249"/>
      <c r="BT285" s="216"/>
      <c r="BU285" s="1195"/>
      <c r="BV285" s="249"/>
      <c r="BW285" s="216"/>
      <c r="BX285" s="1195"/>
      <c r="BY285" s="249"/>
      <c r="BZ285" s="216"/>
      <c r="CA285" s="1195"/>
      <c r="CB285" s="249"/>
      <c r="CC285" s="216"/>
      <c r="CD285" s="1195"/>
      <c r="CE285" s="249"/>
      <c r="CF285" s="216"/>
      <c r="CG285" s="1195"/>
      <c r="CH285" s="249"/>
      <c r="CI285" s="216"/>
      <c r="CJ285" s="1195"/>
      <c r="CK285" s="249"/>
      <c r="CL285" s="216"/>
      <c r="CM285" s="1194"/>
      <c r="CN285" s="1524"/>
      <c r="CO285" s="217"/>
      <c r="CP285" s="1193"/>
      <c r="CQ285" s="293"/>
      <c r="CR285" s="217"/>
      <c r="CS285" s="305"/>
      <c r="CT285" s="249"/>
      <c r="CU285" s="216"/>
      <c r="CV285" s="1193"/>
      <c r="CW285" s="249"/>
      <c r="CX285" s="216"/>
      <c r="CY285" s="305"/>
      <c r="CZ285" s="249"/>
      <c r="DA285" s="216"/>
      <c r="DB285" s="307"/>
      <c r="DC285" s="328"/>
      <c r="DD285" s="322"/>
      <c r="DE285" s="305"/>
      <c r="DF285" s="249"/>
      <c r="DG285" s="216"/>
      <c r="DH285" s="305"/>
      <c r="DI285" s="249"/>
      <c r="DJ285" s="216"/>
      <c r="DK285" s="309"/>
      <c r="DL285" s="293"/>
      <c r="DM285" s="326"/>
      <c r="DN285" s="1256"/>
      <c r="DO285" s="214"/>
      <c r="DP285" s="1257"/>
      <c r="DQ285" s="1258"/>
      <c r="DR285" s="305"/>
      <c r="DS285" s="249"/>
      <c r="DT285" s="216"/>
      <c r="DU285" s="305"/>
      <c r="DV285" s="2520"/>
      <c r="DW285" s="2521"/>
      <c r="DX285" s="305"/>
      <c r="DY285" s="249"/>
      <c r="DZ285" s="221"/>
      <c r="EA285" s="388"/>
      <c r="EB285" s="249"/>
      <c r="EC285" s="216"/>
      <c r="ED285" s="1461"/>
      <c r="EE285" s="249"/>
      <c r="EF285" s="216"/>
      <c r="EG285" s="355"/>
      <c r="EH285" s="1425"/>
      <c r="EI285" s="1470"/>
      <c r="EJ285" s="249"/>
      <c r="EK285" s="221"/>
      <c r="EL285" s="313"/>
      <c r="EM285" s="249"/>
      <c r="EN285" s="221"/>
      <c r="EO285" s="313"/>
      <c r="EP285" s="249"/>
      <c r="EQ285" s="216"/>
      <c r="ER285" s="313"/>
      <c r="ES285" s="249"/>
      <c r="ET285" s="216"/>
      <c r="EU285" s="313"/>
      <c r="EV285" s="249"/>
      <c r="EW285" s="216"/>
      <c r="EX285" s="2505"/>
      <c r="EY285" s="249"/>
      <c r="EZ285" s="221"/>
      <c r="FA285" s="313"/>
      <c r="FB285" s="249"/>
      <c r="FC285" s="221"/>
      <c r="FD285" s="313"/>
      <c r="FE285" s="249"/>
      <c r="FF285" s="221"/>
      <c r="FG285" s="313"/>
      <c r="FH285" s="249"/>
      <c r="FI285" s="216"/>
      <c r="FJ285" s="1435"/>
      <c r="FK285" s="216"/>
      <c r="FL285" s="1268"/>
      <c r="FM285" s="1655"/>
      <c r="FN285" s="1268"/>
      <c r="FO285" s="1655"/>
      <c r="FP285" s="1268"/>
      <c r="FQ285" s="1656"/>
      <c r="FR285" s="249"/>
      <c r="FS285" s="216"/>
      <c r="FT285" s="1657"/>
      <c r="FU285" s="1658"/>
      <c r="FV285" s="242"/>
      <c r="FW285" s="343"/>
      <c r="FX285" s="222"/>
      <c r="FY285" s="336"/>
      <c r="FZ285" s="223"/>
      <c r="GA285" s="338"/>
      <c r="GB285" s="204"/>
      <c r="GC285" s="339"/>
      <c r="GD285" s="342"/>
      <c r="GE285" s="199"/>
      <c r="GF285" s="199"/>
      <c r="GG285" s="199"/>
      <c r="GH285" s="199"/>
      <c r="GI285" s="199"/>
      <c r="GJ285" s="199"/>
      <c r="GK285" s="199"/>
      <c r="GL285" s="49"/>
      <c r="GM285" s="28"/>
      <c r="GN285" s="28"/>
      <c r="GO285" s="322"/>
      <c r="GP285" s="1190"/>
      <c r="GQ285" s="1190"/>
      <c r="GR285" s="49"/>
      <c r="GS285" s="2879"/>
      <c r="GT285" s="2880"/>
      <c r="GU285" s="2881"/>
      <c r="GV285" s="49"/>
      <c r="GW285" s="49"/>
      <c r="GX285" s="49"/>
      <c r="GY285" s="49"/>
      <c r="GZ285" s="49"/>
      <c r="HA285" s="49"/>
      <c r="HB285" s="49"/>
      <c r="HC285" s="49"/>
      <c r="HD285" s="49"/>
      <c r="HE285" s="49"/>
      <c r="HF285" s="49"/>
      <c r="HG285" s="49"/>
      <c r="HH285" s="49"/>
      <c r="HI285" s="49"/>
      <c r="HJ285" s="49"/>
      <c r="HK285" s="49"/>
      <c r="HL285" s="49"/>
      <c r="HM285" s="49"/>
      <c r="HN285" s="49"/>
      <c r="HO285" s="49"/>
      <c r="HP285" s="49"/>
      <c r="HQ285" s="49"/>
      <c r="HR285" s="49"/>
      <c r="HS285" s="49"/>
      <c r="HT285" s="49"/>
      <c r="HU285" s="49"/>
      <c r="HV285" s="49"/>
      <c r="HW285" s="49"/>
      <c r="HX285" s="49"/>
      <c r="HY285" s="49"/>
      <c r="HZ285" s="49"/>
      <c r="IA285" s="49"/>
      <c r="IB285" s="49"/>
      <c r="IC285" s="49"/>
      <c r="ID285" s="49"/>
      <c r="IE285" s="49"/>
      <c r="IF285" s="49"/>
      <c r="IG285" s="49"/>
      <c r="IH285" s="49"/>
      <c r="II285" s="49"/>
      <c r="IJ285" s="49"/>
      <c r="IK285" s="49"/>
      <c r="IL285" s="49"/>
      <c r="IM285" s="49"/>
      <c r="IN285" s="49"/>
      <c r="IO285" s="49"/>
      <c r="IP285" s="49"/>
      <c r="IQ285" s="49"/>
      <c r="IR285" s="49"/>
      <c r="IS285" s="49"/>
      <c r="IT285" s="49"/>
      <c r="IU285" s="49"/>
      <c r="IV285" s="49"/>
    </row>
    <row r="286" spans="1:256" s="198" customFormat="1" ht="12" customHeight="1">
      <c r="A286" s="1252"/>
      <c r="B286" s="200"/>
      <c r="C286" s="486"/>
      <c r="D286" s="201"/>
      <c r="E286" s="202"/>
      <c r="F286" s="203"/>
      <c r="G286" s="197"/>
      <c r="H286" s="197"/>
      <c r="I286" s="197"/>
      <c r="J286" s="197"/>
      <c r="K286" s="175"/>
      <c r="L286" s="197"/>
      <c r="M286" s="197"/>
      <c r="N286" s="197"/>
      <c r="O286" s="197"/>
      <c r="P286" s="197"/>
      <c r="Q286" s="1198"/>
      <c r="R286" s="202"/>
      <c r="S286" s="202"/>
      <c r="T286" s="1186"/>
      <c r="U286" s="233"/>
      <c r="V286" s="49"/>
      <c r="W286" s="218"/>
      <c r="X286" s="218"/>
      <c r="Y286" s="216"/>
      <c r="Z286" s="216"/>
      <c r="AA286" s="215"/>
      <c r="AB286" s="216"/>
      <c r="AC286" s="216"/>
      <c r="AD286" s="239"/>
      <c r="AE286" s="216"/>
      <c r="AF286" s="216"/>
      <c r="AG286" s="216"/>
      <c r="AH286" s="216"/>
      <c r="AI286" s="216"/>
      <c r="AJ286" s="216"/>
      <c r="AK286" s="239"/>
      <c r="AL286" s="216"/>
      <c r="AM286" s="216"/>
      <c r="AN286" s="216"/>
      <c r="AO286" s="216"/>
      <c r="AP286" s="216"/>
      <c r="AQ286" s="216"/>
      <c r="AR286" s="216"/>
      <c r="AS286" s="216"/>
      <c r="AT286" s="216"/>
      <c r="AU286" s="216"/>
      <c r="AV286" s="217"/>
      <c r="AW286" s="355"/>
      <c r="AX286" s="217"/>
      <c r="AY286" s="1559"/>
      <c r="AZ286" s="249"/>
      <c r="BA286" s="221"/>
      <c r="BB286" s="300"/>
      <c r="BC286" s="217"/>
      <c r="BD286" s="392"/>
      <c r="BE286" s="1244"/>
      <c r="BF286" s="249"/>
      <c r="BG286" s="252"/>
      <c r="BH286" s="1469"/>
      <c r="BI286" s="216"/>
      <c r="BJ286" s="1469"/>
      <c r="BK286" s="1459"/>
      <c r="BL286" s="260"/>
      <c r="BM286" s="214"/>
      <c r="BN286" s="293"/>
      <c r="BO286" s="217"/>
      <c r="BP286" s="355"/>
      <c r="BQ286" s="217"/>
      <c r="BR286" s="1193"/>
      <c r="BS286" s="249"/>
      <c r="BT286" s="216"/>
      <c r="BU286" s="1195"/>
      <c r="BV286" s="249"/>
      <c r="BW286" s="216"/>
      <c r="BX286" s="1195"/>
      <c r="BY286" s="249"/>
      <c r="BZ286" s="216"/>
      <c r="CA286" s="1195"/>
      <c r="CB286" s="249"/>
      <c r="CC286" s="216"/>
      <c r="CD286" s="1195"/>
      <c r="CE286" s="249"/>
      <c r="CF286" s="216"/>
      <c r="CG286" s="1195"/>
      <c r="CH286" s="249"/>
      <c r="CI286" s="216"/>
      <c r="CJ286" s="1195"/>
      <c r="CK286" s="249"/>
      <c r="CL286" s="216"/>
      <c r="CM286" s="1194"/>
      <c r="CN286" s="1524"/>
      <c r="CO286" s="217"/>
      <c r="CP286" s="1193"/>
      <c r="CQ286" s="293"/>
      <c r="CR286" s="217"/>
      <c r="CS286" s="305"/>
      <c r="CT286" s="249"/>
      <c r="CU286" s="216"/>
      <c r="CV286" s="1193"/>
      <c r="CW286" s="249"/>
      <c r="CX286" s="216"/>
      <c r="CY286" s="305"/>
      <c r="CZ286" s="249"/>
      <c r="DA286" s="216"/>
      <c r="DB286" s="307"/>
      <c r="DC286" s="328"/>
      <c r="DD286" s="322"/>
      <c r="DE286" s="305"/>
      <c r="DF286" s="249"/>
      <c r="DG286" s="216"/>
      <c r="DH286" s="305"/>
      <c r="DI286" s="249"/>
      <c r="DJ286" s="216"/>
      <c r="DK286" s="309"/>
      <c r="DL286" s="293"/>
      <c r="DM286" s="326"/>
      <c r="DN286" s="1256"/>
      <c r="DO286" s="214"/>
      <c r="DP286" s="1257"/>
      <c r="DQ286" s="1258"/>
      <c r="DR286" s="305"/>
      <c r="DS286" s="249"/>
      <c r="DT286" s="216"/>
      <c r="DU286" s="305"/>
      <c r="DV286" s="2520"/>
      <c r="DW286" s="2521"/>
      <c r="DX286" s="305"/>
      <c r="DY286" s="249"/>
      <c r="DZ286" s="221"/>
      <c r="EA286" s="388"/>
      <c r="EB286" s="249"/>
      <c r="EC286" s="216"/>
      <c r="ED286" s="1461"/>
      <c r="EE286" s="249"/>
      <c r="EF286" s="216"/>
      <c r="EG286" s="355"/>
      <c r="EH286" s="1425"/>
      <c r="EI286" s="1470"/>
      <c r="EJ286" s="249"/>
      <c r="EK286" s="221"/>
      <c r="EL286" s="313"/>
      <c r="EM286" s="249"/>
      <c r="EN286" s="221"/>
      <c r="EO286" s="313"/>
      <c r="EP286" s="249"/>
      <c r="EQ286" s="216"/>
      <c r="ER286" s="313"/>
      <c r="ES286" s="249"/>
      <c r="ET286" s="216"/>
      <c r="EU286" s="313"/>
      <c r="EV286" s="249"/>
      <c r="EW286" s="216"/>
      <c r="EX286" s="2505"/>
      <c r="EY286" s="249"/>
      <c r="EZ286" s="221"/>
      <c r="FA286" s="313"/>
      <c r="FB286" s="249"/>
      <c r="FC286" s="221"/>
      <c r="FD286" s="313"/>
      <c r="FE286" s="249"/>
      <c r="FF286" s="221"/>
      <c r="FG286" s="313"/>
      <c r="FH286" s="249"/>
      <c r="FI286" s="216"/>
      <c r="FJ286" s="1435"/>
      <c r="FK286" s="216"/>
      <c r="FL286" s="1268"/>
      <c r="FM286" s="1655"/>
      <c r="FN286" s="1268"/>
      <c r="FO286" s="1655"/>
      <c r="FP286" s="1268"/>
      <c r="FQ286" s="1656"/>
      <c r="FR286" s="249"/>
      <c r="FS286" s="216"/>
      <c r="FT286" s="1657"/>
      <c r="FU286" s="1658"/>
      <c r="FV286" s="242"/>
      <c r="FW286" s="343"/>
      <c r="FX286" s="222"/>
      <c r="FY286" s="336"/>
      <c r="FZ286" s="223"/>
      <c r="GA286" s="338"/>
      <c r="GB286" s="204"/>
      <c r="GC286" s="339"/>
      <c r="GD286" s="342"/>
      <c r="GE286" s="199"/>
      <c r="GF286" s="199"/>
      <c r="GG286" s="199"/>
      <c r="GH286" s="199"/>
      <c r="GI286" s="199"/>
      <c r="GJ286" s="199"/>
      <c r="GK286" s="199"/>
      <c r="GL286" s="49"/>
      <c r="GM286" s="28"/>
      <c r="GN286" s="28"/>
      <c r="GO286" s="322"/>
      <c r="GP286" s="1190"/>
      <c r="GQ286" s="1190"/>
      <c r="GR286" s="49"/>
      <c r="GS286" s="2879"/>
      <c r="GT286" s="2880"/>
      <c r="GU286" s="2881"/>
      <c r="GV286" s="49"/>
      <c r="GW286" s="49"/>
      <c r="GX286" s="49"/>
      <c r="GY286" s="49"/>
      <c r="GZ286" s="49"/>
      <c r="HA286" s="49"/>
      <c r="HB286" s="49"/>
      <c r="HC286" s="49"/>
      <c r="HD286" s="49"/>
      <c r="HE286" s="49"/>
      <c r="HF286" s="49"/>
      <c r="HG286" s="49"/>
      <c r="HH286" s="49"/>
      <c r="HI286" s="49"/>
      <c r="HJ286" s="49"/>
      <c r="HK286" s="49"/>
      <c r="HL286" s="49"/>
      <c r="HM286" s="49"/>
      <c r="HN286" s="49"/>
      <c r="HO286" s="49"/>
      <c r="HP286" s="49"/>
      <c r="HQ286" s="49"/>
      <c r="HR286" s="49"/>
      <c r="HS286" s="49"/>
      <c r="HT286" s="49"/>
      <c r="HU286" s="49"/>
      <c r="HV286" s="49"/>
      <c r="HW286" s="49"/>
      <c r="HX286" s="49"/>
      <c r="HY286" s="49"/>
      <c r="HZ286" s="49"/>
      <c r="IA286" s="49"/>
      <c r="IB286" s="49"/>
      <c r="IC286" s="49"/>
      <c r="ID286" s="49"/>
      <c r="IE286" s="49"/>
      <c r="IF286" s="49"/>
      <c r="IG286" s="49"/>
      <c r="IH286" s="49"/>
      <c r="II286" s="49"/>
      <c r="IJ286" s="49"/>
      <c r="IK286" s="49"/>
      <c r="IL286" s="49"/>
      <c r="IM286" s="49"/>
      <c r="IN286" s="49"/>
      <c r="IO286" s="49"/>
      <c r="IP286" s="49"/>
      <c r="IQ286" s="49"/>
      <c r="IR286" s="49"/>
      <c r="IS286" s="49"/>
      <c r="IT286" s="49"/>
      <c r="IU286" s="49"/>
      <c r="IV286" s="49"/>
    </row>
    <row r="287" spans="1:256" s="198" customFormat="1" ht="12" customHeight="1">
      <c r="A287" s="1252"/>
      <c r="B287" s="200"/>
      <c r="C287" s="486"/>
      <c r="D287" s="201"/>
      <c r="E287" s="202"/>
      <c r="F287" s="203"/>
      <c r="G287" s="197"/>
      <c r="H287" s="197"/>
      <c r="I287" s="197"/>
      <c r="J287" s="197"/>
      <c r="K287" s="175"/>
      <c r="L287" s="197"/>
      <c r="M287" s="197"/>
      <c r="N287" s="197"/>
      <c r="O287" s="197"/>
      <c r="P287" s="197"/>
      <c r="Q287" s="1198"/>
      <c r="R287" s="202"/>
      <c r="S287" s="202"/>
      <c r="T287" s="1186"/>
      <c r="U287" s="233"/>
      <c r="V287" s="49"/>
      <c r="W287" s="218"/>
      <c r="X287" s="218"/>
      <c r="Y287" s="216"/>
      <c r="Z287" s="216"/>
      <c r="AA287" s="215"/>
      <c r="AB287" s="216"/>
      <c r="AC287" s="216"/>
      <c r="AD287" s="239"/>
      <c r="AE287" s="216"/>
      <c r="AF287" s="216"/>
      <c r="AG287" s="216"/>
      <c r="AH287" s="216"/>
      <c r="AI287" s="216"/>
      <c r="AJ287" s="216"/>
      <c r="AK287" s="239"/>
      <c r="AL287" s="216"/>
      <c r="AM287" s="216"/>
      <c r="AN287" s="216"/>
      <c r="AO287" s="216"/>
      <c r="AP287" s="216"/>
      <c r="AQ287" s="216"/>
      <c r="AR287" s="216"/>
      <c r="AS287" s="216"/>
      <c r="AT287" s="216"/>
      <c r="AU287" s="216"/>
      <c r="AV287" s="217"/>
      <c r="AW287" s="355"/>
      <c r="AX287" s="217"/>
      <c r="AY287" s="1559"/>
      <c r="AZ287" s="249"/>
      <c r="BA287" s="221"/>
      <c r="BB287" s="300"/>
      <c r="BC287" s="217"/>
      <c r="BD287" s="392"/>
      <c r="BE287" s="1244"/>
      <c r="BF287" s="249"/>
      <c r="BG287" s="252"/>
      <c r="BH287" s="1469"/>
      <c r="BI287" s="216"/>
      <c r="BJ287" s="1469"/>
      <c r="BK287" s="1459"/>
      <c r="BL287" s="260"/>
      <c r="BM287" s="214"/>
      <c r="BN287" s="293"/>
      <c r="BO287" s="217"/>
      <c r="BP287" s="355"/>
      <c r="BQ287" s="217"/>
      <c r="BR287" s="1193"/>
      <c r="BS287" s="249"/>
      <c r="BT287" s="216"/>
      <c r="BU287" s="1195"/>
      <c r="BV287" s="249"/>
      <c r="BW287" s="216"/>
      <c r="BX287" s="1195"/>
      <c r="BY287" s="249"/>
      <c r="BZ287" s="216"/>
      <c r="CA287" s="1195"/>
      <c r="CB287" s="249"/>
      <c r="CC287" s="216"/>
      <c r="CD287" s="1195"/>
      <c r="CE287" s="249"/>
      <c r="CF287" s="216"/>
      <c r="CG287" s="1195"/>
      <c r="CH287" s="249"/>
      <c r="CI287" s="216"/>
      <c r="CJ287" s="1195"/>
      <c r="CK287" s="249"/>
      <c r="CL287" s="216"/>
      <c r="CM287" s="1194"/>
      <c r="CN287" s="1524"/>
      <c r="CO287" s="217"/>
      <c r="CP287" s="1193"/>
      <c r="CQ287" s="293"/>
      <c r="CR287" s="217"/>
      <c r="CS287" s="305"/>
      <c r="CT287" s="249"/>
      <c r="CU287" s="216"/>
      <c r="CV287" s="1193"/>
      <c r="CW287" s="249"/>
      <c r="CX287" s="216"/>
      <c r="CY287" s="305"/>
      <c r="CZ287" s="249"/>
      <c r="DA287" s="216"/>
      <c r="DB287" s="307"/>
      <c r="DC287" s="328"/>
      <c r="DD287" s="322"/>
      <c r="DE287" s="305"/>
      <c r="DF287" s="249"/>
      <c r="DG287" s="216"/>
      <c r="DH287" s="305"/>
      <c r="DI287" s="249"/>
      <c r="DJ287" s="216"/>
      <c r="DK287" s="309"/>
      <c r="DL287" s="293"/>
      <c r="DM287" s="326"/>
      <c r="DN287" s="1256"/>
      <c r="DO287" s="214"/>
      <c r="DP287" s="1257"/>
      <c r="DQ287" s="1258"/>
      <c r="DR287" s="305"/>
      <c r="DS287" s="249"/>
      <c r="DT287" s="216"/>
      <c r="DU287" s="305"/>
      <c r="DV287" s="2520"/>
      <c r="DW287" s="2521"/>
      <c r="DX287" s="305"/>
      <c r="DY287" s="249"/>
      <c r="DZ287" s="221"/>
      <c r="EA287" s="388"/>
      <c r="EB287" s="249"/>
      <c r="EC287" s="216"/>
      <c r="ED287" s="1461"/>
      <c r="EE287" s="249"/>
      <c r="EF287" s="216"/>
      <c r="EG287" s="355"/>
      <c r="EH287" s="1425"/>
      <c r="EI287" s="1470"/>
      <c r="EJ287" s="249"/>
      <c r="EK287" s="221"/>
      <c r="EL287" s="313"/>
      <c r="EM287" s="249"/>
      <c r="EN287" s="221"/>
      <c r="EO287" s="313"/>
      <c r="EP287" s="249"/>
      <c r="EQ287" s="216"/>
      <c r="ER287" s="313"/>
      <c r="ES287" s="249"/>
      <c r="ET287" s="216"/>
      <c r="EU287" s="313"/>
      <c r="EV287" s="249"/>
      <c r="EW287" s="216"/>
      <c r="EX287" s="2505"/>
      <c r="EY287" s="249"/>
      <c r="EZ287" s="221"/>
      <c r="FA287" s="313"/>
      <c r="FB287" s="249"/>
      <c r="FC287" s="221"/>
      <c r="FD287" s="313"/>
      <c r="FE287" s="249"/>
      <c r="FF287" s="221"/>
      <c r="FG287" s="313"/>
      <c r="FH287" s="249"/>
      <c r="FI287" s="216"/>
      <c r="FJ287" s="1435"/>
      <c r="FK287" s="216"/>
      <c r="FL287" s="1268"/>
      <c r="FM287" s="1655"/>
      <c r="FN287" s="1268"/>
      <c r="FO287" s="1655"/>
      <c r="FP287" s="1268"/>
      <c r="FQ287" s="1656"/>
      <c r="FR287" s="249"/>
      <c r="FS287" s="216"/>
      <c r="FT287" s="1657"/>
      <c r="FU287" s="1658"/>
      <c r="FV287" s="242"/>
      <c r="FW287" s="343"/>
      <c r="FX287" s="222"/>
      <c r="FY287" s="336"/>
      <c r="FZ287" s="223"/>
      <c r="GA287" s="338"/>
      <c r="GB287" s="204"/>
      <c r="GC287" s="339"/>
      <c r="GD287" s="342"/>
      <c r="GE287" s="199"/>
      <c r="GF287" s="199"/>
      <c r="GG287" s="199"/>
      <c r="GH287" s="199"/>
      <c r="GI287" s="199"/>
      <c r="GJ287" s="199"/>
      <c r="GK287" s="199"/>
      <c r="GL287" s="49"/>
      <c r="GM287" s="28"/>
      <c r="GN287" s="28"/>
      <c r="GO287" s="322"/>
      <c r="GP287" s="1190"/>
      <c r="GQ287" s="1190"/>
      <c r="GR287" s="49"/>
      <c r="GS287" s="2879"/>
      <c r="GT287" s="2880"/>
      <c r="GU287" s="2881"/>
      <c r="GV287" s="49"/>
      <c r="GW287" s="49"/>
      <c r="GX287" s="49"/>
      <c r="GY287" s="49"/>
      <c r="GZ287" s="49"/>
      <c r="HA287" s="49"/>
      <c r="HB287" s="49"/>
      <c r="HC287" s="49"/>
      <c r="HD287" s="49"/>
      <c r="HE287" s="49"/>
      <c r="HF287" s="49"/>
      <c r="HG287" s="49"/>
      <c r="HH287" s="49"/>
      <c r="HI287" s="49"/>
      <c r="HJ287" s="49"/>
      <c r="HK287" s="49"/>
      <c r="HL287" s="49"/>
      <c r="HM287" s="49"/>
      <c r="HN287" s="49"/>
      <c r="HO287" s="49"/>
      <c r="HP287" s="49"/>
      <c r="HQ287" s="49"/>
      <c r="HR287" s="49"/>
      <c r="HS287" s="49"/>
      <c r="HT287" s="49"/>
      <c r="HU287" s="49"/>
      <c r="HV287" s="49"/>
      <c r="HW287" s="49"/>
      <c r="HX287" s="49"/>
      <c r="HY287" s="49"/>
      <c r="HZ287" s="49"/>
      <c r="IA287" s="49"/>
      <c r="IB287" s="49"/>
      <c r="IC287" s="49"/>
      <c r="ID287" s="49"/>
      <c r="IE287" s="49"/>
      <c r="IF287" s="49"/>
      <c r="IG287" s="49"/>
      <c r="IH287" s="49"/>
      <c r="II287" s="49"/>
      <c r="IJ287" s="49"/>
      <c r="IK287" s="49"/>
      <c r="IL287" s="49"/>
      <c r="IM287" s="49"/>
      <c r="IN287" s="49"/>
      <c r="IO287" s="49"/>
      <c r="IP287" s="49"/>
      <c r="IQ287" s="49"/>
      <c r="IR287" s="49"/>
      <c r="IS287" s="49"/>
      <c r="IT287" s="49"/>
      <c r="IU287" s="49"/>
      <c r="IV287" s="49"/>
    </row>
    <row r="288" spans="1:256" s="198" customFormat="1" ht="12" customHeight="1">
      <c r="A288" s="1252"/>
      <c r="B288" s="200"/>
      <c r="C288" s="486"/>
      <c r="D288" s="201"/>
      <c r="E288" s="202"/>
      <c r="F288" s="203"/>
      <c r="G288" s="197"/>
      <c r="H288" s="197"/>
      <c r="I288" s="197"/>
      <c r="J288" s="197"/>
      <c r="K288" s="175"/>
      <c r="L288" s="197"/>
      <c r="M288" s="197"/>
      <c r="N288" s="197"/>
      <c r="O288" s="197"/>
      <c r="P288" s="197"/>
      <c r="Q288" s="1198"/>
      <c r="R288" s="202"/>
      <c r="S288" s="202"/>
      <c r="T288" s="1186"/>
      <c r="U288" s="233"/>
      <c r="V288" s="49"/>
      <c r="W288" s="218"/>
      <c r="X288" s="218"/>
      <c r="Y288" s="216"/>
      <c r="Z288" s="216"/>
      <c r="AA288" s="215"/>
      <c r="AB288" s="216"/>
      <c r="AC288" s="216"/>
      <c r="AD288" s="239"/>
      <c r="AE288" s="216"/>
      <c r="AF288" s="216"/>
      <c r="AG288" s="216"/>
      <c r="AH288" s="216"/>
      <c r="AI288" s="216"/>
      <c r="AJ288" s="216"/>
      <c r="AK288" s="239"/>
      <c r="AL288" s="216"/>
      <c r="AM288" s="216"/>
      <c r="AN288" s="216"/>
      <c r="AO288" s="216"/>
      <c r="AP288" s="216"/>
      <c r="AQ288" s="216"/>
      <c r="AR288" s="216"/>
      <c r="AS288" s="216"/>
      <c r="AT288" s="216"/>
      <c r="AU288" s="216"/>
      <c r="AV288" s="217"/>
      <c r="AW288" s="355"/>
      <c r="AX288" s="217"/>
      <c r="AY288" s="1559"/>
      <c r="AZ288" s="249"/>
      <c r="BA288" s="221"/>
      <c r="BB288" s="300"/>
      <c r="BC288" s="217"/>
      <c r="BD288" s="392"/>
      <c r="BE288" s="1244"/>
      <c r="BF288" s="249"/>
      <c r="BG288" s="252"/>
      <c r="BH288" s="1469"/>
      <c r="BI288" s="216"/>
      <c r="BJ288" s="1469"/>
      <c r="BK288" s="1459"/>
      <c r="BL288" s="260"/>
      <c r="BM288" s="214"/>
      <c r="BN288" s="293"/>
      <c r="BO288" s="217"/>
      <c r="BP288" s="355"/>
      <c r="BQ288" s="217"/>
      <c r="BR288" s="1193"/>
      <c r="BS288" s="249"/>
      <c r="BT288" s="216"/>
      <c r="BU288" s="1195"/>
      <c r="BV288" s="249"/>
      <c r="BW288" s="216"/>
      <c r="BX288" s="1195"/>
      <c r="BY288" s="249"/>
      <c r="BZ288" s="216"/>
      <c r="CA288" s="1195"/>
      <c r="CB288" s="249"/>
      <c r="CC288" s="216"/>
      <c r="CD288" s="1195"/>
      <c r="CE288" s="249"/>
      <c r="CF288" s="216"/>
      <c r="CG288" s="1195"/>
      <c r="CH288" s="249"/>
      <c r="CI288" s="216"/>
      <c r="CJ288" s="1195"/>
      <c r="CK288" s="249"/>
      <c r="CL288" s="216"/>
      <c r="CM288" s="1194"/>
      <c r="CN288" s="1524"/>
      <c r="CO288" s="217"/>
      <c r="CP288" s="1193"/>
      <c r="CQ288" s="293"/>
      <c r="CR288" s="217"/>
      <c r="CS288" s="305"/>
      <c r="CT288" s="249"/>
      <c r="CU288" s="216"/>
      <c r="CV288" s="1193"/>
      <c r="CW288" s="249"/>
      <c r="CX288" s="216"/>
      <c r="CY288" s="305"/>
      <c r="CZ288" s="249"/>
      <c r="DA288" s="216"/>
      <c r="DB288" s="307"/>
      <c r="DC288" s="328"/>
      <c r="DD288" s="322"/>
      <c r="DE288" s="305"/>
      <c r="DF288" s="249"/>
      <c r="DG288" s="216"/>
      <c r="DH288" s="305"/>
      <c r="DI288" s="249"/>
      <c r="DJ288" s="216"/>
      <c r="DK288" s="309"/>
      <c r="DL288" s="293"/>
      <c r="DM288" s="326"/>
      <c r="DN288" s="1256"/>
      <c r="DO288" s="214"/>
      <c r="DP288" s="1257"/>
      <c r="DQ288" s="1258"/>
      <c r="DR288" s="305"/>
      <c r="DS288" s="249"/>
      <c r="DT288" s="216"/>
      <c r="DU288" s="305"/>
      <c r="DV288" s="2520"/>
      <c r="DW288" s="2521"/>
      <c r="DX288" s="305"/>
      <c r="DY288" s="249"/>
      <c r="DZ288" s="221"/>
      <c r="EA288" s="388"/>
      <c r="EB288" s="249"/>
      <c r="EC288" s="216"/>
      <c r="ED288" s="1461"/>
      <c r="EE288" s="249"/>
      <c r="EF288" s="216"/>
      <c r="EG288" s="355"/>
      <c r="EH288" s="1425"/>
      <c r="EI288" s="1470"/>
      <c r="EJ288" s="249"/>
      <c r="EK288" s="221"/>
      <c r="EL288" s="313"/>
      <c r="EM288" s="249"/>
      <c r="EN288" s="221"/>
      <c r="EO288" s="313"/>
      <c r="EP288" s="249"/>
      <c r="EQ288" s="216"/>
      <c r="ER288" s="313"/>
      <c r="ES288" s="249"/>
      <c r="ET288" s="216"/>
      <c r="EU288" s="313"/>
      <c r="EV288" s="249"/>
      <c r="EW288" s="216"/>
      <c r="EX288" s="2505"/>
      <c r="EY288" s="249"/>
      <c r="EZ288" s="221"/>
      <c r="FA288" s="313"/>
      <c r="FB288" s="249"/>
      <c r="FC288" s="221"/>
      <c r="FD288" s="313"/>
      <c r="FE288" s="249"/>
      <c r="FF288" s="221"/>
      <c r="FG288" s="313"/>
      <c r="FH288" s="249"/>
      <c r="FI288" s="216"/>
      <c r="FJ288" s="1435"/>
      <c r="FK288" s="216"/>
      <c r="FL288" s="1268"/>
      <c r="FM288" s="1655"/>
      <c r="FN288" s="1268"/>
      <c r="FO288" s="1655"/>
      <c r="FP288" s="1268"/>
      <c r="FQ288" s="1656"/>
      <c r="FR288" s="249"/>
      <c r="FS288" s="216"/>
      <c r="FT288" s="1657"/>
      <c r="FU288" s="1658"/>
      <c r="FV288" s="242"/>
      <c r="FW288" s="343"/>
      <c r="FX288" s="222"/>
      <c r="FY288" s="336"/>
      <c r="FZ288" s="223"/>
      <c r="GA288" s="338"/>
      <c r="GB288" s="204"/>
      <c r="GC288" s="339"/>
      <c r="GD288" s="342"/>
      <c r="GE288" s="199"/>
      <c r="GF288" s="199"/>
      <c r="GG288" s="199"/>
      <c r="GH288" s="199"/>
      <c r="GI288" s="199"/>
      <c r="GJ288" s="199"/>
      <c r="GK288" s="199"/>
      <c r="GL288" s="49"/>
      <c r="GM288" s="28"/>
      <c r="GN288" s="28"/>
      <c r="GO288" s="322"/>
      <c r="GP288" s="1190"/>
      <c r="GQ288" s="1190"/>
      <c r="GR288" s="49"/>
      <c r="GS288" s="2879"/>
      <c r="GT288" s="2880"/>
      <c r="GU288" s="2881"/>
      <c r="GV288" s="49"/>
      <c r="GW288" s="49"/>
      <c r="GX288" s="49"/>
      <c r="GY288" s="49"/>
      <c r="GZ288" s="49"/>
      <c r="HA288" s="49"/>
      <c r="HB288" s="49"/>
      <c r="HC288" s="49"/>
      <c r="HD288" s="49"/>
      <c r="HE288" s="49"/>
      <c r="HF288" s="49"/>
      <c r="HG288" s="49"/>
      <c r="HH288" s="49"/>
      <c r="HI288" s="49"/>
      <c r="HJ288" s="49"/>
      <c r="HK288" s="49"/>
      <c r="HL288" s="49"/>
      <c r="HM288" s="49"/>
      <c r="HN288" s="49"/>
      <c r="HO288" s="49"/>
      <c r="HP288" s="49"/>
      <c r="HQ288" s="49"/>
      <c r="HR288" s="49"/>
      <c r="HS288" s="49"/>
      <c r="HT288" s="49"/>
      <c r="HU288" s="49"/>
      <c r="HV288" s="49"/>
      <c r="HW288" s="49"/>
      <c r="HX288" s="49"/>
      <c r="HY288" s="49"/>
      <c r="HZ288" s="49"/>
      <c r="IA288" s="49"/>
      <c r="IB288" s="49"/>
      <c r="IC288" s="49"/>
      <c r="ID288" s="49"/>
      <c r="IE288" s="49"/>
      <c r="IF288" s="49"/>
      <c r="IG288" s="49"/>
      <c r="IH288" s="49"/>
      <c r="II288" s="49"/>
      <c r="IJ288" s="49"/>
      <c r="IK288" s="49"/>
      <c r="IL288" s="49"/>
      <c r="IM288" s="49"/>
      <c r="IN288" s="49"/>
      <c r="IO288" s="49"/>
      <c r="IP288" s="49"/>
      <c r="IQ288" s="49"/>
      <c r="IR288" s="49"/>
      <c r="IS288" s="49"/>
      <c r="IT288" s="49"/>
      <c r="IU288" s="49"/>
      <c r="IV288" s="49"/>
    </row>
    <row r="289" spans="1:256" s="198" customFormat="1" ht="12" customHeight="1">
      <c r="A289" s="1252"/>
      <c r="B289" s="200"/>
      <c r="C289" s="486"/>
      <c r="D289" s="201"/>
      <c r="E289" s="202"/>
      <c r="F289" s="203"/>
      <c r="G289" s="197"/>
      <c r="H289" s="197"/>
      <c r="I289" s="197"/>
      <c r="J289" s="197"/>
      <c r="K289" s="175"/>
      <c r="L289" s="197"/>
      <c r="M289" s="197"/>
      <c r="N289" s="197"/>
      <c r="O289" s="197"/>
      <c r="P289" s="197"/>
      <c r="Q289" s="1198"/>
      <c r="R289" s="202"/>
      <c r="S289" s="202"/>
      <c r="T289" s="1186"/>
      <c r="U289" s="233"/>
      <c r="V289" s="49"/>
      <c r="W289" s="218"/>
      <c r="X289" s="218"/>
      <c r="Y289" s="216"/>
      <c r="Z289" s="216"/>
      <c r="AA289" s="215"/>
      <c r="AB289" s="216"/>
      <c r="AC289" s="216"/>
      <c r="AD289" s="239"/>
      <c r="AE289" s="216"/>
      <c r="AF289" s="216"/>
      <c r="AG289" s="216"/>
      <c r="AH289" s="216"/>
      <c r="AI289" s="216"/>
      <c r="AJ289" s="216"/>
      <c r="AK289" s="239"/>
      <c r="AL289" s="216"/>
      <c r="AM289" s="216"/>
      <c r="AN289" s="216"/>
      <c r="AO289" s="216"/>
      <c r="AP289" s="216"/>
      <c r="AQ289" s="216"/>
      <c r="AR289" s="216"/>
      <c r="AS289" s="216"/>
      <c r="AT289" s="216"/>
      <c r="AU289" s="216"/>
      <c r="AV289" s="217"/>
      <c r="AW289" s="355"/>
      <c r="AX289" s="217"/>
      <c r="AY289" s="1559"/>
      <c r="AZ289" s="249"/>
      <c r="BA289" s="221"/>
      <c r="BB289" s="300"/>
      <c r="BC289" s="217"/>
      <c r="BD289" s="392"/>
      <c r="BE289" s="1244"/>
      <c r="BF289" s="249"/>
      <c r="BG289" s="252"/>
      <c r="BH289" s="1469"/>
      <c r="BI289" s="216"/>
      <c r="BJ289" s="1469"/>
      <c r="BK289" s="1459"/>
      <c r="BL289" s="260"/>
      <c r="BM289" s="214"/>
      <c r="BN289" s="293"/>
      <c r="BO289" s="217"/>
      <c r="BP289" s="355"/>
      <c r="BQ289" s="217"/>
      <c r="BR289" s="1193"/>
      <c r="BS289" s="249"/>
      <c r="BT289" s="216"/>
      <c r="BU289" s="1195"/>
      <c r="BV289" s="249"/>
      <c r="BW289" s="216"/>
      <c r="BX289" s="1195"/>
      <c r="BY289" s="249"/>
      <c r="BZ289" s="216"/>
      <c r="CA289" s="1195"/>
      <c r="CB289" s="249"/>
      <c r="CC289" s="216"/>
      <c r="CD289" s="1195"/>
      <c r="CE289" s="249"/>
      <c r="CF289" s="216"/>
      <c r="CG289" s="1195"/>
      <c r="CH289" s="249"/>
      <c r="CI289" s="216"/>
      <c r="CJ289" s="1195"/>
      <c r="CK289" s="249"/>
      <c r="CL289" s="216"/>
      <c r="CM289" s="1194"/>
      <c r="CN289" s="1524"/>
      <c r="CO289" s="217"/>
      <c r="CP289" s="1193"/>
      <c r="CQ289" s="293"/>
      <c r="CR289" s="217"/>
      <c r="CS289" s="305"/>
      <c r="CT289" s="249"/>
      <c r="CU289" s="216"/>
      <c r="CV289" s="1193"/>
      <c r="CW289" s="249"/>
      <c r="CX289" s="216"/>
      <c r="CY289" s="305"/>
      <c r="CZ289" s="249"/>
      <c r="DA289" s="216"/>
      <c r="DB289" s="307"/>
      <c r="DC289" s="328"/>
      <c r="DD289" s="322"/>
      <c r="DE289" s="305"/>
      <c r="DF289" s="249"/>
      <c r="DG289" s="216"/>
      <c r="DH289" s="305"/>
      <c r="DI289" s="249"/>
      <c r="DJ289" s="216"/>
      <c r="DK289" s="309"/>
      <c r="DL289" s="293"/>
      <c r="DM289" s="326"/>
      <c r="DN289" s="1256"/>
      <c r="DO289" s="214"/>
      <c r="DP289" s="1257"/>
      <c r="DQ289" s="1258"/>
      <c r="DR289" s="305"/>
      <c r="DS289" s="249"/>
      <c r="DT289" s="216"/>
      <c r="DU289" s="305"/>
      <c r="DV289" s="2520"/>
      <c r="DW289" s="2521"/>
      <c r="DX289" s="305"/>
      <c r="DY289" s="249"/>
      <c r="DZ289" s="221"/>
      <c r="EA289" s="388"/>
      <c r="EB289" s="249"/>
      <c r="EC289" s="216"/>
      <c r="ED289" s="1461"/>
      <c r="EE289" s="249"/>
      <c r="EF289" s="216"/>
      <c r="EG289" s="355"/>
      <c r="EH289" s="1425"/>
      <c r="EI289" s="1470"/>
      <c r="EJ289" s="249"/>
      <c r="EK289" s="221"/>
      <c r="EL289" s="313"/>
      <c r="EM289" s="249"/>
      <c r="EN289" s="221"/>
      <c r="EO289" s="313"/>
      <c r="EP289" s="249"/>
      <c r="EQ289" s="216"/>
      <c r="ER289" s="313"/>
      <c r="ES289" s="249"/>
      <c r="ET289" s="216"/>
      <c r="EU289" s="313"/>
      <c r="EV289" s="249"/>
      <c r="EW289" s="216"/>
      <c r="EX289" s="2505"/>
      <c r="EY289" s="249"/>
      <c r="EZ289" s="221"/>
      <c r="FA289" s="313"/>
      <c r="FB289" s="249"/>
      <c r="FC289" s="221"/>
      <c r="FD289" s="313"/>
      <c r="FE289" s="249"/>
      <c r="FF289" s="221"/>
      <c r="FG289" s="313"/>
      <c r="FH289" s="249"/>
      <c r="FI289" s="216"/>
      <c r="FJ289" s="1435"/>
      <c r="FK289" s="216"/>
      <c r="FL289" s="1268"/>
      <c r="FM289" s="1655"/>
      <c r="FN289" s="1268"/>
      <c r="FO289" s="1655"/>
      <c r="FP289" s="1268"/>
      <c r="FQ289" s="1656"/>
      <c r="FR289" s="249"/>
      <c r="FS289" s="216"/>
      <c r="FT289" s="1657"/>
      <c r="FU289" s="1658"/>
      <c r="FV289" s="242"/>
      <c r="FW289" s="343"/>
      <c r="FX289" s="222"/>
      <c r="FY289" s="336"/>
      <c r="FZ289" s="223"/>
      <c r="GA289" s="338"/>
      <c r="GB289" s="204"/>
      <c r="GC289" s="339"/>
      <c r="GD289" s="342"/>
      <c r="GE289" s="199"/>
      <c r="GF289" s="199"/>
      <c r="GG289" s="199"/>
      <c r="GH289" s="199"/>
      <c r="GI289" s="199"/>
      <c r="GJ289" s="199"/>
      <c r="GK289" s="199"/>
      <c r="GL289" s="49"/>
      <c r="GM289" s="28"/>
      <c r="GN289" s="28"/>
      <c r="GO289" s="322"/>
      <c r="GP289" s="1190"/>
      <c r="GQ289" s="1190"/>
      <c r="GR289" s="49"/>
      <c r="GS289" s="2879"/>
      <c r="GT289" s="2880"/>
      <c r="GU289" s="2881"/>
      <c r="GV289" s="49"/>
      <c r="GW289" s="49"/>
      <c r="GX289" s="49"/>
      <c r="GY289" s="49"/>
      <c r="GZ289" s="49"/>
      <c r="HA289" s="49"/>
      <c r="HB289" s="49"/>
      <c r="HC289" s="49"/>
      <c r="HD289" s="49"/>
      <c r="HE289" s="49"/>
      <c r="HF289" s="49"/>
      <c r="HG289" s="49"/>
      <c r="HH289" s="49"/>
      <c r="HI289" s="49"/>
      <c r="HJ289" s="49"/>
      <c r="HK289" s="49"/>
      <c r="HL289" s="49"/>
      <c r="HM289" s="49"/>
      <c r="HN289" s="49"/>
      <c r="HO289" s="49"/>
      <c r="HP289" s="49"/>
      <c r="HQ289" s="49"/>
      <c r="HR289" s="49"/>
      <c r="HS289" s="49"/>
      <c r="HT289" s="49"/>
      <c r="HU289" s="49"/>
      <c r="HV289" s="49"/>
      <c r="HW289" s="49"/>
      <c r="HX289" s="49"/>
      <c r="HY289" s="49"/>
      <c r="HZ289" s="49"/>
      <c r="IA289" s="49"/>
      <c r="IB289" s="49"/>
      <c r="IC289" s="49"/>
      <c r="ID289" s="49"/>
      <c r="IE289" s="49"/>
      <c r="IF289" s="49"/>
      <c r="IG289" s="49"/>
      <c r="IH289" s="49"/>
      <c r="II289" s="49"/>
      <c r="IJ289" s="49"/>
      <c r="IK289" s="49"/>
      <c r="IL289" s="49"/>
      <c r="IM289" s="49"/>
      <c r="IN289" s="49"/>
      <c r="IO289" s="49"/>
      <c r="IP289" s="49"/>
      <c r="IQ289" s="49"/>
      <c r="IR289" s="49"/>
      <c r="IS289" s="49"/>
      <c r="IT289" s="49"/>
      <c r="IU289" s="49"/>
      <c r="IV289" s="49"/>
    </row>
    <row r="290" spans="1:256" s="198" customFormat="1" ht="12" customHeight="1">
      <c r="A290" s="1252"/>
      <c r="B290" s="200"/>
      <c r="C290" s="486"/>
      <c r="D290" s="201"/>
      <c r="E290" s="202"/>
      <c r="F290" s="203"/>
      <c r="G290" s="197"/>
      <c r="H290" s="197"/>
      <c r="I290" s="197"/>
      <c r="J290" s="197"/>
      <c r="K290" s="175"/>
      <c r="L290" s="197"/>
      <c r="M290" s="197"/>
      <c r="N290" s="197"/>
      <c r="O290" s="197"/>
      <c r="P290" s="197"/>
      <c r="Q290" s="1198"/>
      <c r="R290" s="202"/>
      <c r="S290" s="202"/>
      <c r="T290" s="1186"/>
      <c r="U290" s="233"/>
      <c r="V290" s="49"/>
      <c r="W290" s="218"/>
      <c r="X290" s="218"/>
      <c r="Y290" s="216"/>
      <c r="Z290" s="216"/>
      <c r="AA290" s="215"/>
      <c r="AB290" s="216"/>
      <c r="AC290" s="216"/>
      <c r="AD290" s="239"/>
      <c r="AE290" s="216"/>
      <c r="AF290" s="216"/>
      <c r="AG290" s="216"/>
      <c r="AH290" s="216"/>
      <c r="AI290" s="216"/>
      <c r="AJ290" s="216"/>
      <c r="AK290" s="239"/>
      <c r="AL290" s="216"/>
      <c r="AM290" s="216"/>
      <c r="AN290" s="216"/>
      <c r="AO290" s="216"/>
      <c r="AP290" s="216"/>
      <c r="AQ290" s="216"/>
      <c r="AR290" s="216"/>
      <c r="AS290" s="216"/>
      <c r="AT290" s="216"/>
      <c r="AU290" s="216"/>
      <c r="AV290" s="217"/>
      <c r="AW290" s="355"/>
      <c r="AX290" s="217"/>
      <c r="AY290" s="1559"/>
      <c r="AZ290" s="249"/>
      <c r="BA290" s="221"/>
      <c r="BB290" s="300"/>
      <c r="BC290" s="217"/>
      <c r="BD290" s="392"/>
      <c r="BE290" s="1244"/>
      <c r="BF290" s="249"/>
      <c r="BG290" s="252"/>
      <c r="BH290" s="1469"/>
      <c r="BI290" s="216"/>
      <c r="BJ290" s="1469"/>
      <c r="BK290" s="1459"/>
      <c r="BL290" s="260"/>
      <c r="BM290" s="214"/>
      <c r="BN290" s="293"/>
      <c r="BO290" s="217"/>
      <c r="BP290" s="355"/>
      <c r="BQ290" s="217"/>
      <c r="BR290" s="1193"/>
      <c r="BS290" s="249"/>
      <c r="BT290" s="216"/>
      <c r="BU290" s="1195"/>
      <c r="BV290" s="249"/>
      <c r="BW290" s="216"/>
      <c r="BX290" s="1195"/>
      <c r="BY290" s="249"/>
      <c r="BZ290" s="216"/>
      <c r="CA290" s="1195"/>
      <c r="CB290" s="249"/>
      <c r="CC290" s="216"/>
      <c r="CD290" s="1195"/>
      <c r="CE290" s="249"/>
      <c r="CF290" s="216"/>
      <c r="CG290" s="1195"/>
      <c r="CH290" s="249"/>
      <c r="CI290" s="216"/>
      <c r="CJ290" s="1195"/>
      <c r="CK290" s="249"/>
      <c r="CL290" s="216"/>
      <c r="CM290" s="1194"/>
      <c r="CN290" s="1524"/>
      <c r="CO290" s="217"/>
      <c r="CP290" s="1193"/>
      <c r="CQ290" s="293"/>
      <c r="CR290" s="217"/>
      <c r="CS290" s="305"/>
      <c r="CT290" s="249"/>
      <c r="CU290" s="216"/>
      <c r="CV290" s="1193"/>
      <c r="CW290" s="249"/>
      <c r="CX290" s="216"/>
      <c r="CY290" s="305"/>
      <c r="CZ290" s="249"/>
      <c r="DA290" s="216"/>
      <c r="DB290" s="307"/>
      <c r="DC290" s="328"/>
      <c r="DD290" s="322"/>
      <c r="DE290" s="305"/>
      <c r="DF290" s="249"/>
      <c r="DG290" s="216"/>
      <c r="DH290" s="305"/>
      <c r="DI290" s="249"/>
      <c r="DJ290" s="216"/>
      <c r="DK290" s="309"/>
      <c r="DL290" s="293"/>
      <c r="DM290" s="326"/>
      <c r="DN290" s="1256"/>
      <c r="DO290" s="214"/>
      <c r="DP290" s="1257"/>
      <c r="DQ290" s="1258"/>
      <c r="DR290" s="305"/>
      <c r="DS290" s="249"/>
      <c r="DT290" s="216"/>
      <c r="DU290" s="305"/>
      <c r="DV290" s="2520"/>
      <c r="DW290" s="2521"/>
      <c r="DX290" s="305"/>
      <c r="DY290" s="249"/>
      <c r="DZ290" s="221"/>
      <c r="EA290" s="388"/>
      <c r="EB290" s="249"/>
      <c r="EC290" s="216"/>
      <c r="ED290" s="1461"/>
      <c r="EE290" s="249"/>
      <c r="EF290" s="216"/>
      <c r="EG290" s="355"/>
      <c r="EH290" s="1425"/>
      <c r="EI290" s="1470"/>
      <c r="EJ290" s="249"/>
      <c r="EK290" s="221"/>
      <c r="EL290" s="313"/>
      <c r="EM290" s="249"/>
      <c r="EN290" s="221"/>
      <c r="EO290" s="313"/>
      <c r="EP290" s="249"/>
      <c r="EQ290" s="216"/>
      <c r="ER290" s="313"/>
      <c r="ES290" s="249"/>
      <c r="ET290" s="216"/>
      <c r="EU290" s="313"/>
      <c r="EV290" s="249"/>
      <c r="EW290" s="216"/>
      <c r="EX290" s="2505"/>
      <c r="EY290" s="249"/>
      <c r="EZ290" s="221"/>
      <c r="FA290" s="313"/>
      <c r="FB290" s="249"/>
      <c r="FC290" s="221"/>
      <c r="FD290" s="313"/>
      <c r="FE290" s="249"/>
      <c r="FF290" s="221"/>
      <c r="FG290" s="313"/>
      <c r="FH290" s="249"/>
      <c r="FI290" s="216"/>
      <c r="FJ290" s="1435"/>
      <c r="FK290" s="216"/>
      <c r="FL290" s="1268"/>
      <c r="FM290" s="1655"/>
      <c r="FN290" s="1268"/>
      <c r="FO290" s="1655"/>
      <c r="FP290" s="1268"/>
      <c r="FQ290" s="1656"/>
      <c r="FR290" s="249"/>
      <c r="FS290" s="216"/>
      <c r="FT290" s="1657"/>
      <c r="FU290" s="1658"/>
      <c r="FV290" s="242"/>
      <c r="FW290" s="343"/>
      <c r="FX290" s="222"/>
      <c r="FY290" s="336"/>
      <c r="FZ290" s="223"/>
      <c r="GA290" s="338"/>
      <c r="GB290" s="204"/>
      <c r="GC290" s="339"/>
      <c r="GD290" s="342"/>
      <c r="GE290" s="199"/>
      <c r="GF290" s="199"/>
      <c r="GG290" s="199"/>
      <c r="GH290" s="199"/>
      <c r="GI290" s="199"/>
      <c r="GJ290" s="199"/>
      <c r="GK290" s="199"/>
      <c r="GL290" s="49"/>
      <c r="GM290" s="28"/>
      <c r="GN290" s="28"/>
      <c r="GO290" s="322"/>
      <c r="GP290" s="1190"/>
      <c r="GQ290" s="1190"/>
      <c r="GR290" s="49"/>
      <c r="GS290" s="2879"/>
      <c r="GT290" s="2880"/>
      <c r="GU290" s="2881"/>
      <c r="GV290" s="49"/>
      <c r="GW290" s="49"/>
      <c r="GX290" s="49"/>
      <c r="GY290" s="49"/>
      <c r="GZ290" s="49"/>
      <c r="HA290" s="49"/>
      <c r="HB290" s="49"/>
      <c r="HC290" s="49"/>
      <c r="HD290" s="49"/>
      <c r="HE290" s="49"/>
      <c r="HF290" s="49"/>
      <c r="HG290" s="49"/>
      <c r="HH290" s="49"/>
      <c r="HI290" s="49"/>
      <c r="HJ290" s="49"/>
      <c r="HK290" s="49"/>
      <c r="HL290" s="49"/>
      <c r="HM290" s="49"/>
      <c r="HN290" s="49"/>
      <c r="HO290" s="49"/>
      <c r="HP290" s="49"/>
      <c r="HQ290" s="49"/>
      <c r="HR290" s="49"/>
      <c r="HS290" s="49"/>
      <c r="HT290" s="49"/>
      <c r="HU290" s="49"/>
      <c r="HV290" s="49"/>
      <c r="HW290" s="49"/>
      <c r="HX290" s="49"/>
      <c r="HY290" s="49"/>
      <c r="HZ290" s="49"/>
      <c r="IA290" s="49"/>
      <c r="IB290" s="49"/>
      <c r="IC290" s="49"/>
      <c r="ID290" s="49"/>
      <c r="IE290" s="49"/>
      <c r="IF290" s="49"/>
      <c r="IG290" s="49"/>
      <c r="IH290" s="49"/>
      <c r="II290" s="49"/>
      <c r="IJ290" s="49"/>
      <c r="IK290" s="49"/>
      <c r="IL290" s="49"/>
      <c r="IM290" s="49"/>
      <c r="IN290" s="49"/>
      <c r="IO290" s="49"/>
      <c r="IP290" s="49"/>
      <c r="IQ290" s="49"/>
      <c r="IR290" s="49"/>
      <c r="IS290" s="49"/>
      <c r="IT290" s="49"/>
      <c r="IU290" s="49"/>
      <c r="IV290" s="49"/>
    </row>
    <row r="291" spans="1:256" s="198" customFormat="1" ht="12" customHeight="1">
      <c r="A291" s="1252"/>
      <c r="B291" s="200"/>
      <c r="C291" s="486"/>
      <c r="D291" s="201"/>
      <c r="E291" s="202"/>
      <c r="F291" s="203"/>
      <c r="G291" s="197"/>
      <c r="H291" s="197"/>
      <c r="I291" s="197"/>
      <c r="J291" s="197"/>
      <c r="K291" s="175"/>
      <c r="L291" s="197"/>
      <c r="M291" s="197"/>
      <c r="N291" s="197"/>
      <c r="O291" s="197"/>
      <c r="P291" s="197"/>
      <c r="Q291" s="1198"/>
      <c r="R291" s="202"/>
      <c r="S291" s="202"/>
      <c r="T291" s="1186"/>
      <c r="U291" s="233"/>
      <c r="V291" s="49"/>
      <c r="W291" s="218"/>
      <c r="X291" s="218"/>
      <c r="Y291" s="216"/>
      <c r="Z291" s="216"/>
      <c r="AA291" s="215"/>
      <c r="AB291" s="216"/>
      <c r="AC291" s="216"/>
      <c r="AD291" s="239"/>
      <c r="AE291" s="216"/>
      <c r="AF291" s="216"/>
      <c r="AG291" s="216"/>
      <c r="AH291" s="216"/>
      <c r="AI291" s="216"/>
      <c r="AJ291" s="216"/>
      <c r="AK291" s="239"/>
      <c r="AL291" s="216"/>
      <c r="AM291" s="216"/>
      <c r="AN291" s="216"/>
      <c r="AO291" s="216"/>
      <c r="AP291" s="216"/>
      <c r="AQ291" s="216"/>
      <c r="AR291" s="216"/>
      <c r="AS291" s="216"/>
      <c r="AT291" s="216"/>
      <c r="AU291" s="216"/>
      <c r="AV291" s="217"/>
      <c r="AW291" s="355"/>
      <c r="AX291" s="217"/>
      <c r="AY291" s="1559"/>
      <c r="AZ291" s="249"/>
      <c r="BA291" s="221"/>
      <c r="BB291" s="300"/>
      <c r="BC291" s="217"/>
      <c r="BD291" s="392"/>
      <c r="BE291" s="1244"/>
      <c r="BF291" s="249"/>
      <c r="BG291" s="252"/>
      <c r="BH291" s="1469"/>
      <c r="BI291" s="216"/>
      <c r="BJ291" s="1469"/>
      <c r="BK291" s="1459"/>
      <c r="BL291" s="260"/>
      <c r="BM291" s="214"/>
      <c r="BN291" s="293"/>
      <c r="BO291" s="217"/>
      <c r="BP291" s="355"/>
      <c r="BQ291" s="217"/>
      <c r="BR291" s="1193"/>
      <c r="BS291" s="249"/>
      <c r="BT291" s="216"/>
      <c r="BU291" s="1195"/>
      <c r="BV291" s="249"/>
      <c r="BW291" s="216"/>
      <c r="BX291" s="1195"/>
      <c r="BY291" s="249"/>
      <c r="BZ291" s="216"/>
      <c r="CA291" s="1195"/>
      <c r="CB291" s="249"/>
      <c r="CC291" s="216"/>
      <c r="CD291" s="1195"/>
      <c r="CE291" s="249"/>
      <c r="CF291" s="216"/>
      <c r="CG291" s="1195"/>
      <c r="CH291" s="249"/>
      <c r="CI291" s="216"/>
      <c r="CJ291" s="1195"/>
      <c r="CK291" s="249"/>
      <c r="CL291" s="216"/>
      <c r="CM291" s="1194"/>
      <c r="CN291" s="1524"/>
      <c r="CO291" s="217"/>
      <c r="CP291" s="1193"/>
      <c r="CQ291" s="293"/>
      <c r="CR291" s="217"/>
      <c r="CS291" s="305"/>
      <c r="CT291" s="249"/>
      <c r="CU291" s="216"/>
      <c r="CV291" s="1193"/>
      <c r="CW291" s="249"/>
      <c r="CX291" s="216"/>
      <c r="CY291" s="305"/>
      <c r="CZ291" s="249"/>
      <c r="DA291" s="216"/>
      <c r="DB291" s="307"/>
      <c r="DC291" s="328"/>
      <c r="DD291" s="322"/>
      <c r="DE291" s="305"/>
      <c r="DF291" s="249"/>
      <c r="DG291" s="216"/>
      <c r="DH291" s="305"/>
      <c r="DI291" s="249"/>
      <c r="DJ291" s="216"/>
      <c r="DK291" s="309"/>
      <c r="DL291" s="293"/>
      <c r="DM291" s="326"/>
      <c r="DN291" s="1256"/>
      <c r="DO291" s="214"/>
      <c r="DP291" s="1257"/>
      <c r="DQ291" s="1258"/>
      <c r="DR291" s="305"/>
      <c r="DS291" s="249"/>
      <c r="DT291" s="216"/>
      <c r="DU291" s="305"/>
      <c r="DV291" s="2520"/>
      <c r="DW291" s="2521"/>
      <c r="DX291" s="305"/>
      <c r="DY291" s="249"/>
      <c r="DZ291" s="221"/>
      <c r="EA291" s="388"/>
      <c r="EB291" s="249"/>
      <c r="EC291" s="216"/>
      <c r="ED291" s="1461"/>
      <c r="EE291" s="249"/>
      <c r="EF291" s="216"/>
      <c r="EG291" s="355"/>
      <c r="EH291" s="1425"/>
      <c r="EI291" s="1470"/>
      <c r="EJ291" s="249"/>
      <c r="EK291" s="221"/>
      <c r="EL291" s="313"/>
      <c r="EM291" s="249"/>
      <c r="EN291" s="221"/>
      <c r="EO291" s="313"/>
      <c r="EP291" s="249"/>
      <c r="EQ291" s="216"/>
      <c r="ER291" s="313"/>
      <c r="ES291" s="249"/>
      <c r="ET291" s="216"/>
      <c r="EU291" s="313"/>
      <c r="EV291" s="249"/>
      <c r="EW291" s="216"/>
      <c r="EX291" s="2505"/>
      <c r="EY291" s="249"/>
      <c r="EZ291" s="221"/>
      <c r="FA291" s="313"/>
      <c r="FB291" s="249"/>
      <c r="FC291" s="221"/>
      <c r="FD291" s="313"/>
      <c r="FE291" s="249"/>
      <c r="FF291" s="221"/>
      <c r="FG291" s="313"/>
      <c r="FH291" s="249"/>
      <c r="FI291" s="216"/>
      <c r="FJ291" s="1435"/>
      <c r="FK291" s="216"/>
      <c r="FL291" s="1268"/>
      <c r="FM291" s="1655"/>
      <c r="FN291" s="1268"/>
      <c r="FO291" s="1655"/>
      <c r="FP291" s="1268"/>
      <c r="FQ291" s="1656"/>
      <c r="FR291" s="249"/>
      <c r="FS291" s="216"/>
      <c r="FT291" s="1657"/>
      <c r="FU291" s="1658"/>
      <c r="FV291" s="242"/>
      <c r="FW291" s="343"/>
      <c r="FX291" s="222"/>
      <c r="FY291" s="336"/>
      <c r="FZ291" s="223"/>
      <c r="GA291" s="338"/>
      <c r="GB291" s="204"/>
      <c r="GC291" s="339"/>
      <c r="GD291" s="342"/>
      <c r="GE291" s="199"/>
      <c r="GF291" s="199"/>
      <c r="GG291" s="199"/>
      <c r="GH291" s="199"/>
      <c r="GI291" s="199"/>
      <c r="GJ291" s="199"/>
      <c r="GK291" s="199"/>
      <c r="GL291" s="49"/>
      <c r="GM291" s="28"/>
      <c r="GN291" s="28"/>
      <c r="GO291" s="322"/>
      <c r="GP291" s="1190"/>
      <c r="GQ291" s="1190"/>
      <c r="GR291" s="49"/>
      <c r="GS291" s="2879"/>
      <c r="GT291" s="2880"/>
      <c r="GU291" s="2881"/>
      <c r="GV291" s="49"/>
      <c r="GW291" s="49"/>
      <c r="GX291" s="49"/>
      <c r="GY291" s="49"/>
      <c r="GZ291" s="49"/>
      <c r="HA291" s="49"/>
      <c r="HB291" s="49"/>
      <c r="HC291" s="49"/>
      <c r="HD291" s="49"/>
      <c r="HE291" s="49"/>
      <c r="HF291" s="49"/>
      <c r="HG291" s="49"/>
      <c r="HH291" s="49"/>
      <c r="HI291" s="49"/>
      <c r="HJ291" s="49"/>
      <c r="HK291" s="49"/>
      <c r="HL291" s="49"/>
      <c r="HM291" s="49"/>
      <c r="HN291" s="49"/>
      <c r="HO291" s="49"/>
      <c r="HP291" s="49"/>
      <c r="HQ291" s="49"/>
      <c r="HR291" s="49"/>
      <c r="HS291" s="49"/>
      <c r="HT291" s="49"/>
      <c r="HU291" s="49"/>
      <c r="HV291" s="49"/>
      <c r="HW291" s="49"/>
      <c r="HX291" s="49"/>
      <c r="HY291" s="49"/>
      <c r="HZ291" s="49"/>
      <c r="IA291" s="49"/>
      <c r="IB291" s="49"/>
      <c r="IC291" s="49"/>
      <c r="ID291" s="49"/>
      <c r="IE291" s="49"/>
      <c r="IF291" s="49"/>
      <c r="IG291" s="49"/>
      <c r="IH291" s="49"/>
      <c r="II291" s="49"/>
      <c r="IJ291" s="49"/>
      <c r="IK291" s="49"/>
      <c r="IL291" s="49"/>
      <c r="IM291" s="49"/>
      <c r="IN291" s="49"/>
      <c r="IO291" s="49"/>
      <c r="IP291" s="49"/>
      <c r="IQ291" s="49"/>
      <c r="IR291" s="49"/>
      <c r="IS291" s="49"/>
      <c r="IT291" s="49"/>
      <c r="IU291" s="49"/>
      <c r="IV291" s="49"/>
    </row>
    <row r="292" spans="1:256" s="198" customFormat="1" ht="12" customHeight="1">
      <c r="A292" s="1252"/>
      <c r="B292" s="200"/>
      <c r="C292" s="486"/>
      <c r="D292" s="201"/>
      <c r="E292" s="202"/>
      <c r="F292" s="203"/>
      <c r="G292" s="197"/>
      <c r="H292" s="197"/>
      <c r="I292" s="197"/>
      <c r="J292" s="197"/>
      <c r="K292" s="175"/>
      <c r="L292" s="197"/>
      <c r="M292" s="197"/>
      <c r="N292" s="197"/>
      <c r="O292" s="197"/>
      <c r="P292" s="197"/>
      <c r="Q292" s="1198"/>
      <c r="R292" s="202"/>
      <c r="S292" s="202"/>
      <c r="T292" s="1186"/>
      <c r="U292" s="233"/>
      <c r="V292" s="49"/>
      <c r="W292" s="218"/>
      <c r="X292" s="218"/>
      <c r="Y292" s="216"/>
      <c r="Z292" s="216"/>
      <c r="AA292" s="215"/>
      <c r="AB292" s="216"/>
      <c r="AC292" s="216"/>
      <c r="AD292" s="239"/>
      <c r="AE292" s="216"/>
      <c r="AF292" s="216"/>
      <c r="AG292" s="216"/>
      <c r="AH292" s="216"/>
      <c r="AI292" s="216"/>
      <c r="AJ292" s="216"/>
      <c r="AK292" s="239"/>
      <c r="AL292" s="216"/>
      <c r="AM292" s="216"/>
      <c r="AN292" s="216"/>
      <c r="AO292" s="216"/>
      <c r="AP292" s="216"/>
      <c r="AQ292" s="216"/>
      <c r="AR292" s="216"/>
      <c r="AS292" s="216"/>
      <c r="AT292" s="216"/>
      <c r="AU292" s="216"/>
      <c r="AV292" s="217"/>
      <c r="AW292" s="355"/>
      <c r="AX292" s="217"/>
      <c r="AY292" s="1559"/>
      <c r="AZ292" s="249"/>
      <c r="BA292" s="221"/>
      <c r="BB292" s="300"/>
      <c r="BC292" s="217"/>
      <c r="BD292" s="392"/>
      <c r="BE292" s="1244"/>
      <c r="BF292" s="249"/>
      <c r="BG292" s="252"/>
      <c r="BH292" s="1469"/>
      <c r="BI292" s="216"/>
      <c r="BJ292" s="1469"/>
      <c r="BK292" s="1459"/>
      <c r="BL292" s="260"/>
      <c r="BM292" s="214"/>
      <c r="BN292" s="293"/>
      <c r="BO292" s="217"/>
      <c r="BP292" s="355"/>
      <c r="BQ292" s="217"/>
      <c r="BR292" s="1193"/>
      <c r="BS292" s="249"/>
      <c r="BT292" s="216"/>
      <c r="BU292" s="1195"/>
      <c r="BV292" s="249"/>
      <c r="BW292" s="216"/>
      <c r="BX292" s="1195"/>
      <c r="BY292" s="249"/>
      <c r="BZ292" s="216"/>
      <c r="CA292" s="1195"/>
      <c r="CB292" s="249"/>
      <c r="CC292" s="216"/>
      <c r="CD292" s="1195"/>
      <c r="CE292" s="249"/>
      <c r="CF292" s="216"/>
      <c r="CG292" s="1195"/>
      <c r="CH292" s="249"/>
      <c r="CI292" s="216"/>
      <c r="CJ292" s="1195"/>
      <c r="CK292" s="249"/>
      <c r="CL292" s="216"/>
      <c r="CM292" s="1194"/>
      <c r="CN292" s="1524"/>
      <c r="CO292" s="217"/>
      <c r="CP292" s="1193"/>
      <c r="CQ292" s="293"/>
      <c r="CR292" s="217"/>
      <c r="CS292" s="305"/>
      <c r="CT292" s="249"/>
      <c r="CU292" s="216"/>
      <c r="CV292" s="1193"/>
      <c r="CW292" s="249"/>
      <c r="CX292" s="216"/>
      <c r="CY292" s="305"/>
      <c r="CZ292" s="249"/>
      <c r="DA292" s="216"/>
      <c r="DB292" s="307"/>
      <c r="DC292" s="328"/>
      <c r="DD292" s="322"/>
      <c r="DE292" s="305"/>
      <c r="DF292" s="249"/>
      <c r="DG292" s="216"/>
      <c r="DH292" s="305"/>
      <c r="DI292" s="249"/>
      <c r="DJ292" s="216"/>
      <c r="DK292" s="309"/>
      <c r="DL292" s="293"/>
      <c r="DM292" s="326"/>
      <c r="DN292" s="1256"/>
      <c r="DO292" s="214"/>
      <c r="DP292" s="1257"/>
      <c r="DQ292" s="1258"/>
      <c r="DR292" s="305"/>
      <c r="DS292" s="249"/>
      <c r="DT292" s="216"/>
      <c r="DU292" s="305"/>
      <c r="DV292" s="2520"/>
      <c r="DW292" s="2521"/>
      <c r="DX292" s="305"/>
      <c r="DY292" s="249"/>
      <c r="DZ292" s="221"/>
      <c r="EA292" s="388"/>
      <c r="EB292" s="249"/>
      <c r="EC292" s="216"/>
      <c r="ED292" s="1461"/>
      <c r="EE292" s="249"/>
      <c r="EF292" s="216"/>
      <c r="EG292" s="355"/>
      <c r="EH292" s="1425"/>
      <c r="EI292" s="1470"/>
      <c r="EJ292" s="249"/>
      <c r="EK292" s="221"/>
      <c r="EL292" s="313"/>
      <c r="EM292" s="249"/>
      <c r="EN292" s="221"/>
      <c r="EO292" s="313"/>
      <c r="EP292" s="249"/>
      <c r="EQ292" s="216"/>
      <c r="ER292" s="313"/>
      <c r="ES292" s="249"/>
      <c r="ET292" s="216"/>
      <c r="EU292" s="313"/>
      <c r="EV292" s="249"/>
      <c r="EW292" s="216"/>
      <c r="EX292" s="2505"/>
      <c r="EY292" s="249"/>
      <c r="EZ292" s="221"/>
      <c r="FA292" s="313"/>
      <c r="FB292" s="249"/>
      <c r="FC292" s="221"/>
      <c r="FD292" s="313"/>
      <c r="FE292" s="249"/>
      <c r="FF292" s="221"/>
      <c r="FG292" s="313"/>
      <c r="FH292" s="249"/>
      <c r="FI292" s="216"/>
      <c r="FJ292" s="1435"/>
      <c r="FK292" s="216"/>
      <c r="FL292" s="1268"/>
      <c r="FM292" s="1655"/>
      <c r="FN292" s="1268"/>
      <c r="FO292" s="1655"/>
      <c r="FP292" s="1268"/>
      <c r="FQ292" s="1656"/>
      <c r="FR292" s="249"/>
      <c r="FS292" s="216"/>
      <c r="FT292" s="1657"/>
      <c r="FU292" s="1658"/>
      <c r="FV292" s="242"/>
      <c r="FW292" s="343"/>
      <c r="FX292" s="222"/>
      <c r="FY292" s="336"/>
      <c r="FZ292" s="223"/>
      <c r="GA292" s="338"/>
      <c r="GB292" s="204"/>
      <c r="GC292" s="339"/>
      <c r="GD292" s="342"/>
      <c r="GE292" s="199"/>
      <c r="GF292" s="199"/>
      <c r="GG292" s="199"/>
      <c r="GH292" s="199"/>
      <c r="GI292" s="199"/>
      <c r="GJ292" s="199"/>
      <c r="GK292" s="199"/>
      <c r="GL292" s="49"/>
      <c r="GM292" s="28"/>
      <c r="GN292" s="28"/>
      <c r="GO292" s="322"/>
      <c r="GP292" s="1190"/>
      <c r="GQ292" s="1190"/>
      <c r="GR292" s="49"/>
      <c r="GS292" s="2879"/>
      <c r="GT292" s="2880"/>
      <c r="GU292" s="2881"/>
      <c r="GV292" s="49"/>
      <c r="GW292" s="49"/>
      <c r="GX292" s="49"/>
      <c r="GY292" s="49"/>
      <c r="GZ292" s="49"/>
      <c r="HA292" s="49"/>
      <c r="HB292" s="49"/>
      <c r="HC292" s="49"/>
      <c r="HD292" s="49"/>
      <c r="HE292" s="49"/>
      <c r="HF292" s="49"/>
      <c r="HG292" s="49"/>
      <c r="HH292" s="49"/>
      <c r="HI292" s="49"/>
      <c r="HJ292" s="49"/>
      <c r="HK292" s="49"/>
      <c r="HL292" s="49"/>
      <c r="HM292" s="49"/>
      <c r="HN292" s="49"/>
      <c r="HO292" s="49"/>
      <c r="HP292" s="49"/>
      <c r="HQ292" s="49"/>
      <c r="HR292" s="49"/>
      <c r="HS292" s="49"/>
      <c r="HT292" s="49"/>
      <c r="HU292" s="49"/>
      <c r="HV292" s="49"/>
      <c r="HW292" s="49"/>
      <c r="HX292" s="49"/>
      <c r="HY292" s="49"/>
      <c r="HZ292" s="49"/>
      <c r="IA292" s="49"/>
      <c r="IB292" s="49"/>
      <c r="IC292" s="49"/>
      <c r="ID292" s="49"/>
      <c r="IE292" s="49"/>
      <c r="IF292" s="49"/>
      <c r="IG292" s="49"/>
      <c r="IH292" s="49"/>
      <c r="II292" s="49"/>
      <c r="IJ292" s="49"/>
      <c r="IK292" s="49"/>
      <c r="IL292" s="49"/>
      <c r="IM292" s="49"/>
      <c r="IN292" s="49"/>
      <c r="IO292" s="49"/>
      <c r="IP292" s="49"/>
      <c r="IQ292" s="49"/>
      <c r="IR292" s="49"/>
      <c r="IS292" s="49"/>
      <c r="IT292" s="49"/>
      <c r="IU292" s="49"/>
      <c r="IV292" s="49"/>
    </row>
    <row r="293" spans="1:256" s="198" customFormat="1" ht="12" customHeight="1">
      <c r="A293" s="1252"/>
      <c r="B293" s="200"/>
      <c r="C293" s="486"/>
      <c r="D293" s="201"/>
      <c r="E293" s="202"/>
      <c r="F293" s="203"/>
      <c r="G293" s="197"/>
      <c r="H293" s="197"/>
      <c r="I293" s="197"/>
      <c r="J293" s="197"/>
      <c r="K293" s="175"/>
      <c r="L293" s="197"/>
      <c r="M293" s="197"/>
      <c r="N293" s="197"/>
      <c r="O293" s="197"/>
      <c r="P293" s="197"/>
      <c r="Q293" s="1198"/>
      <c r="R293" s="202"/>
      <c r="S293" s="202"/>
      <c r="T293" s="1186"/>
      <c r="U293" s="233"/>
      <c r="V293" s="49"/>
      <c r="W293" s="218"/>
      <c r="X293" s="218"/>
      <c r="Y293" s="216"/>
      <c r="Z293" s="216"/>
      <c r="AA293" s="215"/>
      <c r="AB293" s="216"/>
      <c r="AC293" s="216"/>
      <c r="AD293" s="239"/>
      <c r="AE293" s="216"/>
      <c r="AF293" s="216"/>
      <c r="AG293" s="216"/>
      <c r="AH293" s="216"/>
      <c r="AI293" s="216"/>
      <c r="AJ293" s="216"/>
      <c r="AK293" s="239"/>
      <c r="AL293" s="216"/>
      <c r="AM293" s="216"/>
      <c r="AN293" s="216"/>
      <c r="AO293" s="216"/>
      <c r="AP293" s="216"/>
      <c r="AQ293" s="216"/>
      <c r="AR293" s="216"/>
      <c r="AS293" s="216"/>
      <c r="AT293" s="216"/>
      <c r="AU293" s="216"/>
      <c r="AV293" s="217"/>
      <c r="AW293" s="355"/>
      <c r="AX293" s="217"/>
      <c r="AY293" s="1559"/>
      <c r="AZ293" s="249"/>
      <c r="BA293" s="221"/>
      <c r="BB293" s="300"/>
      <c r="BC293" s="217"/>
      <c r="BD293" s="392"/>
      <c r="BE293" s="1244"/>
      <c r="BF293" s="249"/>
      <c r="BG293" s="252"/>
      <c r="BH293" s="1469"/>
      <c r="BI293" s="216"/>
      <c r="BJ293" s="1469"/>
      <c r="BK293" s="1459"/>
      <c r="BL293" s="260"/>
      <c r="BM293" s="214"/>
      <c r="BN293" s="293"/>
      <c r="BO293" s="217"/>
      <c r="BP293" s="355"/>
      <c r="BQ293" s="217"/>
      <c r="BR293" s="1193"/>
      <c r="BS293" s="249"/>
      <c r="BT293" s="216"/>
      <c r="BU293" s="1195"/>
      <c r="BV293" s="249"/>
      <c r="BW293" s="216"/>
      <c r="BX293" s="1195"/>
      <c r="BY293" s="249"/>
      <c r="BZ293" s="216"/>
      <c r="CA293" s="1195"/>
      <c r="CB293" s="249"/>
      <c r="CC293" s="216"/>
      <c r="CD293" s="1195"/>
      <c r="CE293" s="249"/>
      <c r="CF293" s="216"/>
      <c r="CG293" s="1195"/>
      <c r="CH293" s="249"/>
      <c r="CI293" s="216"/>
      <c r="CJ293" s="1195"/>
      <c r="CK293" s="249"/>
      <c r="CL293" s="216"/>
      <c r="CM293" s="1194"/>
      <c r="CN293" s="1524"/>
      <c r="CO293" s="217"/>
      <c r="CP293" s="1193"/>
      <c r="CQ293" s="293"/>
      <c r="CR293" s="217"/>
      <c r="CS293" s="305"/>
      <c r="CT293" s="249"/>
      <c r="CU293" s="216"/>
      <c r="CV293" s="1193"/>
      <c r="CW293" s="249"/>
      <c r="CX293" s="216"/>
      <c r="CY293" s="305"/>
      <c r="CZ293" s="249"/>
      <c r="DA293" s="216"/>
      <c r="DB293" s="307"/>
      <c r="DC293" s="328"/>
      <c r="DD293" s="322"/>
      <c r="DE293" s="305"/>
      <c r="DF293" s="249"/>
      <c r="DG293" s="216"/>
      <c r="DH293" s="305"/>
      <c r="DI293" s="249"/>
      <c r="DJ293" s="216"/>
      <c r="DK293" s="309"/>
      <c r="DL293" s="293"/>
      <c r="DM293" s="326"/>
      <c r="DN293" s="1256"/>
      <c r="DO293" s="214"/>
      <c r="DP293" s="1257"/>
      <c r="DQ293" s="1258"/>
      <c r="DR293" s="305"/>
      <c r="DS293" s="249"/>
      <c r="DT293" s="216"/>
      <c r="DU293" s="305"/>
      <c r="DV293" s="2520"/>
      <c r="DW293" s="2521"/>
      <c r="DX293" s="305"/>
      <c r="DY293" s="249"/>
      <c r="DZ293" s="221"/>
      <c r="EA293" s="388"/>
      <c r="EB293" s="249"/>
      <c r="EC293" s="216"/>
      <c r="ED293" s="1461"/>
      <c r="EE293" s="249"/>
      <c r="EF293" s="216"/>
      <c r="EG293" s="355"/>
      <c r="EH293" s="1425"/>
      <c r="EI293" s="1470"/>
      <c r="EJ293" s="249"/>
      <c r="EK293" s="221"/>
      <c r="EL293" s="313"/>
      <c r="EM293" s="249"/>
      <c r="EN293" s="221"/>
      <c r="EO293" s="313"/>
      <c r="EP293" s="249"/>
      <c r="EQ293" s="216"/>
      <c r="ER293" s="313"/>
      <c r="ES293" s="249"/>
      <c r="ET293" s="216"/>
      <c r="EU293" s="313"/>
      <c r="EV293" s="249"/>
      <c r="EW293" s="216"/>
      <c r="EX293" s="2505"/>
      <c r="EY293" s="249"/>
      <c r="EZ293" s="221"/>
      <c r="FA293" s="313"/>
      <c r="FB293" s="249"/>
      <c r="FC293" s="221"/>
      <c r="FD293" s="313"/>
      <c r="FE293" s="249"/>
      <c r="FF293" s="221"/>
      <c r="FG293" s="313"/>
      <c r="FH293" s="249"/>
      <c r="FI293" s="216"/>
      <c r="FJ293" s="1435"/>
      <c r="FK293" s="216"/>
      <c r="FL293" s="1268"/>
      <c r="FM293" s="1655"/>
      <c r="FN293" s="1268"/>
      <c r="FO293" s="1655"/>
      <c r="FP293" s="1268"/>
      <c r="FQ293" s="1656"/>
      <c r="FR293" s="249"/>
      <c r="FS293" s="216"/>
      <c r="FT293" s="1657"/>
      <c r="FU293" s="1658"/>
      <c r="FV293" s="242"/>
      <c r="FW293" s="343"/>
      <c r="FX293" s="222"/>
      <c r="FY293" s="336"/>
      <c r="FZ293" s="223"/>
      <c r="GA293" s="338"/>
      <c r="GB293" s="204"/>
      <c r="GC293" s="339"/>
      <c r="GD293" s="342"/>
      <c r="GE293" s="199"/>
      <c r="GF293" s="199"/>
      <c r="GG293" s="199"/>
      <c r="GH293" s="199"/>
      <c r="GI293" s="199"/>
      <c r="GJ293" s="199"/>
      <c r="GK293" s="199"/>
      <c r="GL293" s="49"/>
      <c r="GM293" s="28"/>
      <c r="GN293" s="28"/>
      <c r="GO293" s="322"/>
      <c r="GP293" s="1190"/>
      <c r="GQ293" s="1190"/>
      <c r="GR293" s="49"/>
      <c r="GS293" s="2879"/>
      <c r="GT293" s="2880"/>
      <c r="GU293" s="2881"/>
      <c r="GV293" s="49"/>
      <c r="GW293" s="49"/>
      <c r="GX293" s="49"/>
      <c r="GY293" s="49"/>
      <c r="GZ293" s="49"/>
      <c r="HA293" s="49"/>
      <c r="HB293" s="49"/>
      <c r="HC293" s="49"/>
      <c r="HD293" s="49"/>
      <c r="HE293" s="49"/>
      <c r="HF293" s="49"/>
      <c r="HG293" s="49"/>
      <c r="HH293" s="49"/>
      <c r="HI293" s="49"/>
      <c r="HJ293" s="49"/>
      <c r="HK293" s="49"/>
      <c r="HL293" s="49"/>
      <c r="HM293" s="49"/>
      <c r="HN293" s="49"/>
      <c r="HO293" s="49"/>
      <c r="HP293" s="49"/>
      <c r="HQ293" s="49"/>
      <c r="HR293" s="49"/>
      <c r="HS293" s="49"/>
      <c r="HT293" s="49"/>
      <c r="HU293" s="49"/>
      <c r="HV293" s="49"/>
      <c r="HW293" s="49"/>
      <c r="HX293" s="49"/>
      <c r="HY293" s="49"/>
      <c r="HZ293" s="49"/>
      <c r="IA293" s="49"/>
      <c r="IB293" s="49"/>
      <c r="IC293" s="49"/>
      <c r="ID293" s="49"/>
      <c r="IE293" s="49"/>
      <c r="IF293" s="49"/>
      <c r="IG293" s="49"/>
      <c r="IH293" s="49"/>
      <c r="II293" s="49"/>
      <c r="IJ293" s="49"/>
      <c r="IK293" s="49"/>
      <c r="IL293" s="49"/>
      <c r="IM293" s="49"/>
      <c r="IN293" s="49"/>
      <c r="IO293" s="49"/>
      <c r="IP293" s="49"/>
      <c r="IQ293" s="49"/>
      <c r="IR293" s="49"/>
      <c r="IS293" s="49"/>
      <c r="IT293" s="49"/>
      <c r="IU293" s="49"/>
      <c r="IV293" s="49"/>
    </row>
    <row r="294" spans="1:256" s="198" customFormat="1" ht="12" customHeight="1">
      <c r="A294" s="1252"/>
      <c r="B294" s="200"/>
      <c r="C294" s="486"/>
      <c r="D294" s="201"/>
      <c r="E294" s="202"/>
      <c r="F294" s="203"/>
      <c r="G294" s="197"/>
      <c r="H294" s="197"/>
      <c r="I294" s="197"/>
      <c r="J294" s="197"/>
      <c r="K294" s="175"/>
      <c r="L294" s="197"/>
      <c r="M294" s="197"/>
      <c r="N294" s="197"/>
      <c r="O294" s="197"/>
      <c r="P294" s="197"/>
      <c r="Q294" s="1198"/>
      <c r="R294" s="202"/>
      <c r="S294" s="202"/>
      <c r="T294" s="1186"/>
      <c r="U294" s="233"/>
      <c r="V294" s="49"/>
      <c r="W294" s="218"/>
      <c r="X294" s="218"/>
      <c r="Y294" s="216"/>
      <c r="Z294" s="216"/>
      <c r="AA294" s="215"/>
      <c r="AB294" s="216"/>
      <c r="AC294" s="216"/>
      <c r="AD294" s="239"/>
      <c r="AE294" s="216"/>
      <c r="AF294" s="216"/>
      <c r="AG294" s="216"/>
      <c r="AH294" s="216"/>
      <c r="AI294" s="216"/>
      <c r="AJ294" s="216"/>
      <c r="AK294" s="239"/>
      <c r="AL294" s="216"/>
      <c r="AM294" s="216"/>
      <c r="AN294" s="216"/>
      <c r="AO294" s="216"/>
      <c r="AP294" s="216"/>
      <c r="AQ294" s="216"/>
      <c r="AR294" s="216"/>
      <c r="AS294" s="216"/>
      <c r="AT294" s="216"/>
      <c r="AU294" s="216"/>
      <c r="AV294" s="217"/>
      <c r="AW294" s="355"/>
      <c r="AX294" s="217"/>
      <c r="AY294" s="1559"/>
      <c r="AZ294" s="249"/>
      <c r="BA294" s="221"/>
      <c r="BB294" s="300"/>
      <c r="BC294" s="217"/>
      <c r="BD294" s="392"/>
      <c r="BE294" s="1244"/>
      <c r="BF294" s="249"/>
      <c r="BG294" s="252"/>
      <c r="BH294" s="1469"/>
      <c r="BI294" s="216"/>
      <c r="BJ294" s="1469"/>
      <c r="BK294" s="1459"/>
      <c r="BL294" s="260"/>
      <c r="BM294" s="214"/>
      <c r="BN294" s="293"/>
      <c r="BO294" s="217"/>
      <c r="BP294" s="355"/>
      <c r="BQ294" s="217"/>
      <c r="BR294" s="1193"/>
      <c r="BS294" s="249"/>
      <c r="BT294" s="216"/>
      <c r="BU294" s="1195"/>
      <c r="BV294" s="249"/>
      <c r="BW294" s="216"/>
      <c r="BX294" s="1195"/>
      <c r="BY294" s="249"/>
      <c r="BZ294" s="216"/>
      <c r="CA294" s="1195"/>
      <c r="CB294" s="249"/>
      <c r="CC294" s="216"/>
      <c r="CD294" s="1195"/>
      <c r="CE294" s="249"/>
      <c r="CF294" s="216"/>
      <c r="CG294" s="1195"/>
      <c r="CH294" s="249"/>
      <c r="CI294" s="216"/>
      <c r="CJ294" s="1195"/>
      <c r="CK294" s="249"/>
      <c r="CL294" s="216"/>
      <c r="CM294" s="1194"/>
      <c r="CN294" s="1524"/>
      <c r="CO294" s="217"/>
      <c r="CP294" s="1193"/>
      <c r="CQ294" s="293"/>
      <c r="CR294" s="217"/>
      <c r="CS294" s="305"/>
      <c r="CT294" s="249"/>
      <c r="CU294" s="216"/>
      <c r="CV294" s="1193"/>
      <c r="CW294" s="249"/>
      <c r="CX294" s="216"/>
      <c r="CY294" s="305"/>
      <c r="CZ294" s="249"/>
      <c r="DA294" s="216"/>
      <c r="DB294" s="307"/>
      <c r="DC294" s="328"/>
      <c r="DD294" s="322"/>
      <c r="DE294" s="305"/>
      <c r="DF294" s="249"/>
      <c r="DG294" s="216"/>
      <c r="DH294" s="305"/>
      <c r="DI294" s="249"/>
      <c r="DJ294" s="216"/>
      <c r="DK294" s="309"/>
      <c r="DL294" s="293"/>
      <c r="DM294" s="326"/>
      <c r="DN294" s="1256"/>
      <c r="DO294" s="214"/>
      <c r="DP294" s="1257"/>
      <c r="DQ294" s="1258"/>
      <c r="DR294" s="305"/>
      <c r="DS294" s="249"/>
      <c r="DT294" s="216"/>
      <c r="DU294" s="305"/>
      <c r="DV294" s="2520"/>
      <c r="DW294" s="2521"/>
      <c r="DX294" s="305"/>
      <c r="DY294" s="249"/>
      <c r="DZ294" s="221"/>
      <c r="EA294" s="388"/>
      <c r="EB294" s="249"/>
      <c r="EC294" s="216"/>
      <c r="ED294" s="1461"/>
      <c r="EE294" s="249"/>
      <c r="EF294" s="216"/>
      <c r="EG294" s="355"/>
      <c r="EH294" s="1425"/>
      <c r="EI294" s="1470"/>
      <c r="EJ294" s="249"/>
      <c r="EK294" s="221"/>
      <c r="EL294" s="313"/>
      <c r="EM294" s="249"/>
      <c r="EN294" s="221"/>
      <c r="EO294" s="313"/>
      <c r="EP294" s="249"/>
      <c r="EQ294" s="216"/>
      <c r="ER294" s="313"/>
      <c r="ES294" s="249"/>
      <c r="ET294" s="216"/>
      <c r="EU294" s="313"/>
      <c r="EV294" s="249"/>
      <c r="EW294" s="216"/>
      <c r="EX294" s="2505"/>
      <c r="EY294" s="249"/>
      <c r="EZ294" s="221"/>
      <c r="FA294" s="313"/>
      <c r="FB294" s="249"/>
      <c r="FC294" s="221"/>
      <c r="FD294" s="313"/>
      <c r="FE294" s="249"/>
      <c r="FF294" s="221"/>
      <c r="FG294" s="313"/>
      <c r="FH294" s="249"/>
      <c r="FI294" s="216"/>
      <c r="FJ294" s="1435"/>
      <c r="FK294" s="216"/>
      <c r="FL294" s="1268"/>
      <c r="FM294" s="1655"/>
      <c r="FN294" s="1268"/>
      <c r="FO294" s="1655"/>
      <c r="FP294" s="1268"/>
      <c r="FQ294" s="1656"/>
      <c r="FR294" s="249"/>
      <c r="FS294" s="216"/>
      <c r="FT294" s="1657"/>
      <c r="FU294" s="1658"/>
      <c r="FV294" s="242"/>
      <c r="FW294" s="343"/>
      <c r="FX294" s="222"/>
      <c r="FY294" s="336"/>
      <c r="FZ294" s="223"/>
      <c r="GA294" s="338"/>
      <c r="GB294" s="204"/>
      <c r="GC294" s="339"/>
      <c r="GD294" s="342"/>
      <c r="GE294" s="199"/>
      <c r="GF294" s="199"/>
      <c r="GG294" s="199"/>
      <c r="GH294" s="199"/>
      <c r="GI294" s="199"/>
      <c r="GJ294" s="199"/>
      <c r="GK294" s="199"/>
      <c r="GL294" s="49"/>
      <c r="GM294" s="28"/>
      <c r="GN294" s="28"/>
      <c r="GO294" s="322"/>
      <c r="GP294" s="1190"/>
      <c r="GQ294" s="1190"/>
      <c r="GR294" s="49"/>
      <c r="GS294" s="2879"/>
      <c r="GT294" s="2880"/>
      <c r="GU294" s="2881"/>
      <c r="GV294" s="49"/>
      <c r="GW294" s="49"/>
      <c r="GX294" s="49"/>
      <c r="GY294" s="49"/>
      <c r="GZ294" s="49"/>
      <c r="HA294" s="49"/>
      <c r="HB294" s="49"/>
      <c r="HC294" s="49"/>
      <c r="HD294" s="49"/>
      <c r="HE294" s="49"/>
      <c r="HF294" s="49"/>
      <c r="HG294" s="49"/>
      <c r="HH294" s="49"/>
      <c r="HI294" s="49"/>
      <c r="HJ294" s="49"/>
      <c r="HK294" s="49"/>
      <c r="HL294" s="49"/>
      <c r="HM294" s="49"/>
      <c r="HN294" s="49"/>
      <c r="HO294" s="49"/>
      <c r="HP294" s="49"/>
      <c r="HQ294" s="49"/>
      <c r="HR294" s="49"/>
      <c r="HS294" s="49"/>
      <c r="HT294" s="49"/>
      <c r="HU294" s="49"/>
      <c r="HV294" s="49"/>
      <c r="HW294" s="49"/>
      <c r="HX294" s="49"/>
      <c r="HY294" s="49"/>
      <c r="HZ294" s="49"/>
      <c r="IA294" s="49"/>
      <c r="IB294" s="49"/>
      <c r="IC294" s="49"/>
      <c r="ID294" s="49"/>
      <c r="IE294" s="49"/>
      <c r="IF294" s="49"/>
      <c r="IG294" s="49"/>
      <c r="IH294" s="49"/>
      <c r="II294" s="49"/>
      <c r="IJ294" s="49"/>
      <c r="IK294" s="49"/>
      <c r="IL294" s="49"/>
      <c r="IM294" s="49"/>
      <c r="IN294" s="49"/>
      <c r="IO294" s="49"/>
      <c r="IP294" s="49"/>
      <c r="IQ294" s="49"/>
      <c r="IR294" s="49"/>
      <c r="IS294" s="49"/>
      <c r="IT294" s="49"/>
      <c r="IU294" s="49"/>
      <c r="IV294" s="49"/>
    </row>
    <row r="295" spans="1:256" s="198" customFormat="1" ht="12" customHeight="1">
      <c r="A295" s="1252"/>
      <c r="B295" s="200"/>
      <c r="C295" s="486"/>
      <c r="D295" s="201"/>
      <c r="E295" s="202"/>
      <c r="F295" s="203"/>
      <c r="G295" s="197"/>
      <c r="H295" s="197"/>
      <c r="I295" s="197"/>
      <c r="J295" s="197"/>
      <c r="K295" s="175"/>
      <c r="L295" s="197"/>
      <c r="M295" s="197"/>
      <c r="N295" s="197"/>
      <c r="O295" s="197"/>
      <c r="P295" s="197"/>
      <c r="Q295" s="1198"/>
      <c r="R295" s="202"/>
      <c r="S295" s="202"/>
      <c r="T295" s="1186"/>
      <c r="U295" s="233"/>
      <c r="V295" s="49"/>
      <c r="W295" s="218"/>
      <c r="X295" s="218"/>
      <c r="Y295" s="216"/>
      <c r="Z295" s="216"/>
      <c r="AA295" s="215"/>
      <c r="AB295" s="216"/>
      <c r="AC295" s="216"/>
      <c r="AD295" s="239"/>
      <c r="AE295" s="216"/>
      <c r="AF295" s="216"/>
      <c r="AG295" s="216"/>
      <c r="AH295" s="216"/>
      <c r="AI295" s="216"/>
      <c r="AJ295" s="216"/>
      <c r="AK295" s="239"/>
      <c r="AL295" s="216"/>
      <c r="AM295" s="216"/>
      <c r="AN295" s="216"/>
      <c r="AO295" s="216"/>
      <c r="AP295" s="216"/>
      <c r="AQ295" s="216"/>
      <c r="AR295" s="216"/>
      <c r="AS295" s="216"/>
      <c r="AT295" s="216"/>
      <c r="AU295" s="216"/>
      <c r="AV295" s="217"/>
      <c r="AW295" s="355"/>
      <c r="AX295" s="217"/>
      <c r="AY295" s="1559"/>
      <c r="AZ295" s="249"/>
      <c r="BA295" s="221"/>
      <c r="BB295" s="300"/>
      <c r="BC295" s="217"/>
      <c r="BD295" s="392"/>
      <c r="BE295" s="1244"/>
      <c r="BF295" s="249"/>
      <c r="BG295" s="252"/>
      <c r="BH295" s="1469"/>
      <c r="BI295" s="216"/>
      <c r="BJ295" s="1469"/>
      <c r="BK295" s="1459"/>
      <c r="BL295" s="260"/>
      <c r="BM295" s="214"/>
      <c r="BN295" s="293"/>
      <c r="BO295" s="217"/>
      <c r="BP295" s="355"/>
      <c r="BQ295" s="217"/>
      <c r="BR295" s="1193"/>
      <c r="BS295" s="249"/>
      <c r="BT295" s="216"/>
      <c r="BU295" s="1195"/>
      <c r="BV295" s="249"/>
      <c r="BW295" s="216"/>
      <c r="BX295" s="1195"/>
      <c r="BY295" s="249"/>
      <c r="BZ295" s="216"/>
      <c r="CA295" s="1195"/>
      <c r="CB295" s="249"/>
      <c r="CC295" s="216"/>
      <c r="CD295" s="1195"/>
      <c r="CE295" s="249"/>
      <c r="CF295" s="216"/>
      <c r="CG295" s="1195"/>
      <c r="CH295" s="249"/>
      <c r="CI295" s="216"/>
      <c r="CJ295" s="1195"/>
      <c r="CK295" s="249"/>
      <c r="CL295" s="216"/>
      <c r="CM295" s="1194"/>
      <c r="CN295" s="1524"/>
      <c r="CO295" s="217"/>
      <c r="CP295" s="1193"/>
      <c r="CQ295" s="293"/>
      <c r="CR295" s="217"/>
      <c r="CS295" s="305"/>
      <c r="CT295" s="249"/>
      <c r="CU295" s="216"/>
      <c r="CV295" s="1193"/>
      <c r="CW295" s="249"/>
      <c r="CX295" s="216"/>
      <c r="CY295" s="305"/>
      <c r="CZ295" s="249"/>
      <c r="DA295" s="216"/>
      <c r="DB295" s="307"/>
      <c r="DC295" s="328"/>
      <c r="DD295" s="322"/>
      <c r="DE295" s="305"/>
      <c r="DF295" s="249"/>
      <c r="DG295" s="216"/>
      <c r="DH295" s="305"/>
      <c r="DI295" s="249"/>
      <c r="DJ295" s="216"/>
      <c r="DK295" s="309"/>
      <c r="DL295" s="293"/>
      <c r="DM295" s="326"/>
      <c r="DN295" s="1256"/>
      <c r="DO295" s="214"/>
      <c r="DP295" s="1257"/>
      <c r="DQ295" s="1258"/>
      <c r="DR295" s="305"/>
      <c r="DS295" s="249"/>
      <c r="DT295" s="216"/>
      <c r="DU295" s="305"/>
      <c r="DV295" s="2520"/>
      <c r="DW295" s="2521"/>
      <c r="DX295" s="305"/>
      <c r="DY295" s="249"/>
      <c r="DZ295" s="221"/>
      <c r="EA295" s="388"/>
      <c r="EB295" s="249"/>
      <c r="EC295" s="216"/>
      <c r="ED295" s="1461"/>
      <c r="EE295" s="249"/>
      <c r="EF295" s="216"/>
      <c r="EG295" s="355"/>
      <c r="EH295" s="1425"/>
      <c r="EI295" s="1470"/>
      <c r="EJ295" s="249"/>
      <c r="EK295" s="221"/>
      <c r="EL295" s="313"/>
      <c r="EM295" s="249"/>
      <c r="EN295" s="221"/>
      <c r="EO295" s="313"/>
      <c r="EP295" s="249"/>
      <c r="EQ295" s="216"/>
      <c r="ER295" s="313"/>
      <c r="ES295" s="249"/>
      <c r="ET295" s="216"/>
      <c r="EU295" s="313"/>
      <c r="EV295" s="249"/>
      <c r="EW295" s="216"/>
      <c r="EX295" s="2505"/>
      <c r="EY295" s="249"/>
      <c r="EZ295" s="221"/>
      <c r="FA295" s="313"/>
      <c r="FB295" s="249"/>
      <c r="FC295" s="221"/>
      <c r="FD295" s="313"/>
      <c r="FE295" s="249"/>
      <c r="FF295" s="221"/>
      <c r="FG295" s="313"/>
      <c r="FH295" s="249"/>
      <c r="FI295" s="216"/>
      <c r="FJ295" s="1435"/>
      <c r="FK295" s="216"/>
      <c r="FL295" s="1268"/>
      <c r="FM295" s="1655"/>
      <c r="FN295" s="1268"/>
      <c r="FO295" s="1655"/>
      <c r="FP295" s="1268"/>
      <c r="FQ295" s="1656"/>
      <c r="FR295" s="249"/>
      <c r="FS295" s="216"/>
      <c r="FT295" s="1657"/>
      <c r="FU295" s="1658"/>
      <c r="FV295" s="242"/>
      <c r="FW295" s="343"/>
      <c r="FX295" s="222"/>
      <c r="FY295" s="336"/>
      <c r="FZ295" s="223"/>
      <c r="GA295" s="338"/>
      <c r="GB295" s="204"/>
      <c r="GC295" s="339"/>
      <c r="GD295" s="342"/>
      <c r="GE295" s="199"/>
      <c r="GF295" s="199"/>
      <c r="GG295" s="199"/>
      <c r="GH295" s="199"/>
      <c r="GI295" s="199"/>
      <c r="GJ295" s="199"/>
      <c r="GK295" s="199"/>
      <c r="GL295" s="49"/>
      <c r="GM295" s="28"/>
      <c r="GN295" s="28"/>
      <c r="GO295" s="322"/>
      <c r="GP295" s="1190"/>
      <c r="GQ295" s="1190"/>
      <c r="GR295" s="49"/>
      <c r="GS295" s="2879"/>
      <c r="GT295" s="2880"/>
      <c r="GU295" s="2881"/>
      <c r="GV295" s="49"/>
      <c r="GW295" s="49"/>
      <c r="GX295" s="49"/>
      <c r="GY295" s="49"/>
      <c r="GZ295" s="49"/>
      <c r="HA295" s="49"/>
      <c r="HB295" s="49"/>
      <c r="HC295" s="49"/>
      <c r="HD295" s="49"/>
      <c r="HE295" s="49"/>
      <c r="HF295" s="49"/>
      <c r="HG295" s="49"/>
      <c r="HH295" s="49"/>
      <c r="HI295" s="49"/>
      <c r="HJ295" s="49"/>
      <c r="HK295" s="49"/>
      <c r="HL295" s="49"/>
      <c r="HM295" s="49"/>
      <c r="HN295" s="49"/>
      <c r="HO295" s="49"/>
      <c r="HP295" s="49"/>
      <c r="HQ295" s="49"/>
      <c r="HR295" s="49"/>
      <c r="HS295" s="49"/>
      <c r="HT295" s="49"/>
      <c r="HU295" s="49"/>
      <c r="HV295" s="49"/>
      <c r="HW295" s="49"/>
      <c r="HX295" s="49"/>
      <c r="HY295" s="49"/>
      <c r="HZ295" s="49"/>
      <c r="IA295" s="49"/>
      <c r="IB295" s="49"/>
      <c r="IC295" s="49"/>
      <c r="ID295" s="49"/>
      <c r="IE295" s="49"/>
      <c r="IF295" s="49"/>
      <c r="IG295" s="49"/>
      <c r="IH295" s="49"/>
      <c r="II295" s="49"/>
      <c r="IJ295" s="49"/>
      <c r="IK295" s="49"/>
      <c r="IL295" s="49"/>
      <c r="IM295" s="49"/>
      <c r="IN295" s="49"/>
      <c r="IO295" s="49"/>
      <c r="IP295" s="49"/>
      <c r="IQ295" s="49"/>
      <c r="IR295" s="49"/>
      <c r="IS295" s="49"/>
      <c r="IT295" s="49"/>
      <c r="IU295" s="49"/>
      <c r="IV295" s="49"/>
    </row>
    <row r="296" spans="1:256" s="198" customFormat="1" ht="12" customHeight="1">
      <c r="A296" s="1252"/>
      <c r="B296" s="200"/>
      <c r="C296" s="486"/>
      <c r="D296" s="201"/>
      <c r="E296" s="202"/>
      <c r="F296" s="203"/>
      <c r="G296" s="197"/>
      <c r="H296" s="197"/>
      <c r="I296" s="197"/>
      <c r="J296" s="197"/>
      <c r="K296" s="175"/>
      <c r="L296" s="197"/>
      <c r="M296" s="197"/>
      <c r="N296" s="197"/>
      <c r="O296" s="197"/>
      <c r="P296" s="197"/>
      <c r="Q296" s="1198"/>
      <c r="R296" s="202"/>
      <c r="S296" s="202"/>
      <c r="T296" s="1186"/>
      <c r="U296" s="233"/>
      <c r="V296" s="49"/>
      <c r="W296" s="218"/>
      <c r="X296" s="218"/>
      <c r="Y296" s="216"/>
      <c r="Z296" s="216"/>
      <c r="AA296" s="215"/>
      <c r="AB296" s="216"/>
      <c r="AC296" s="216"/>
      <c r="AD296" s="239"/>
      <c r="AE296" s="216"/>
      <c r="AF296" s="216"/>
      <c r="AG296" s="216"/>
      <c r="AH296" s="216"/>
      <c r="AI296" s="216"/>
      <c r="AJ296" s="216"/>
      <c r="AK296" s="239"/>
      <c r="AL296" s="216"/>
      <c r="AM296" s="216"/>
      <c r="AN296" s="216"/>
      <c r="AO296" s="216"/>
      <c r="AP296" s="216"/>
      <c r="AQ296" s="216"/>
      <c r="AR296" s="216"/>
      <c r="AS296" s="216"/>
      <c r="AT296" s="216"/>
      <c r="AU296" s="216"/>
      <c r="AV296" s="217"/>
      <c r="AW296" s="355"/>
      <c r="AX296" s="217"/>
      <c r="AY296" s="1559"/>
      <c r="AZ296" s="249"/>
      <c r="BA296" s="221"/>
      <c r="BB296" s="300"/>
      <c r="BC296" s="217"/>
      <c r="BD296" s="392"/>
      <c r="BE296" s="1244"/>
      <c r="BF296" s="249"/>
      <c r="BG296" s="252"/>
      <c r="BH296" s="1469"/>
      <c r="BI296" s="216"/>
      <c r="BJ296" s="1469"/>
      <c r="BK296" s="1459"/>
      <c r="BL296" s="260"/>
      <c r="BM296" s="214"/>
      <c r="BN296" s="293"/>
      <c r="BO296" s="217"/>
      <c r="BP296" s="355"/>
      <c r="BQ296" s="217"/>
      <c r="BR296" s="1193"/>
      <c r="BS296" s="249"/>
      <c r="BT296" s="216"/>
      <c r="BU296" s="1195"/>
      <c r="BV296" s="249"/>
      <c r="BW296" s="216"/>
      <c r="BX296" s="1195"/>
      <c r="BY296" s="249"/>
      <c r="BZ296" s="216"/>
      <c r="CA296" s="1195"/>
      <c r="CB296" s="249"/>
      <c r="CC296" s="216"/>
      <c r="CD296" s="1195"/>
      <c r="CE296" s="249"/>
      <c r="CF296" s="216"/>
      <c r="CG296" s="1195"/>
      <c r="CH296" s="249"/>
      <c r="CI296" s="216"/>
      <c r="CJ296" s="1195"/>
      <c r="CK296" s="249"/>
      <c r="CL296" s="216"/>
      <c r="CM296" s="1194"/>
      <c r="CN296" s="1524"/>
      <c r="CO296" s="217"/>
      <c r="CP296" s="1193"/>
      <c r="CQ296" s="293"/>
      <c r="CR296" s="217"/>
      <c r="CS296" s="305"/>
      <c r="CT296" s="249"/>
      <c r="CU296" s="216"/>
      <c r="CV296" s="1193"/>
      <c r="CW296" s="249"/>
      <c r="CX296" s="216"/>
      <c r="CY296" s="305"/>
      <c r="CZ296" s="249"/>
      <c r="DA296" s="216"/>
      <c r="DB296" s="307"/>
      <c r="DC296" s="328"/>
      <c r="DD296" s="322"/>
      <c r="DE296" s="305"/>
      <c r="DF296" s="249"/>
      <c r="DG296" s="216"/>
      <c r="DH296" s="305"/>
      <c r="DI296" s="249"/>
      <c r="DJ296" s="216"/>
      <c r="DK296" s="309"/>
      <c r="DL296" s="293"/>
      <c r="DM296" s="326"/>
      <c r="DN296" s="1256"/>
      <c r="DO296" s="214"/>
      <c r="DP296" s="1257"/>
      <c r="DQ296" s="1258"/>
      <c r="DR296" s="305"/>
      <c r="DS296" s="249"/>
      <c r="DT296" s="216"/>
      <c r="DU296" s="305"/>
      <c r="DV296" s="2520"/>
      <c r="DW296" s="2521"/>
      <c r="DX296" s="305"/>
      <c r="DY296" s="249"/>
      <c r="DZ296" s="221"/>
      <c r="EA296" s="388"/>
      <c r="EB296" s="249"/>
      <c r="EC296" s="216"/>
      <c r="ED296" s="1461"/>
      <c r="EE296" s="249"/>
      <c r="EF296" s="216"/>
      <c r="EG296" s="355"/>
      <c r="EH296" s="1425"/>
      <c r="EI296" s="1470"/>
      <c r="EJ296" s="249"/>
      <c r="EK296" s="221"/>
      <c r="EL296" s="313"/>
      <c r="EM296" s="249"/>
      <c r="EN296" s="221"/>
      <c r="EO296" s="313"/>
      <c r="EP296" s="249"/>
      <c r="EQ296" s="216"/>
      <c r="ER296" s="313"/>
      <c r="ES296" s="249"/>
      <c r="ET296" s="216"/>
      <c r="EU296" s="313"/>
      <c r="EV296" s="249"/>
      <c r="EW296" s="216"/>
      <c r="EX296" s="2505"/>
      <c r="EY296" s="249"/>
      <c r="EZ296" s="221"/>
      <c r="FA296" s="313"/>
      <c r="FB296" s="249"/>
      <c r="FC296" s="221"/>
      <c r="FD296" s="313"/>
      <c r="FE296" s="249"/>
      <c r="FF296" s="221"/>
      <c r="FG296" s="313"/>
      <c r="FH296" s="249"/>
      <c r="FI296" s="216"/>
      <c r="FJ296" s="1435"/>
      <c r="FK296" s="216"/>
      <c r="FL296" s="1268"/>
      <c r="FM296" s="1655"/>
      <c r="FN296" s="1268"/>
      <c r="FO296" s="1655"/>
      <c r="FP296" s="1268"/>
      <c r="FQ296" s="1656"/>
      <c r="FR296" s="249"/>
      <c r="FS296" s="216"/>
      <c r="FT296" s="1657"/>
      <c r="FU296" s="1658"/>
      <c r="FV296" s="242"/>
      <c r="FW296" s="343"/>
      <c r="FX296" s="222"/>
      <c r="FY296" s="336"/>
      <c r="FZ296" s="223"/>
      <c r="GA296" s="338"/>
      <c r="GB296" s="204"/>
      <c r="GC296" s="339"/>
      <c r="GD296" s="342"/>
      <c r="GE296" s="199"/>
      <c r="GF296" s="199"/>
      <c r="GG296" s="199"/>
      <c r="GH296" s="199"/>
      <c r="GI296" s="199"/>
      <c r="GJ296" s="199"/>
      <c r="GK296" s="199"/>
      <c r="GL296" s="49"/>
      <c r="GM296" s="28"/>
      <c r="GN296" s="28"/>
      <c r="GO296" s="322"/>
      <c r="GP296" s="1190"/>
      <c r="GQ296" s="1190"/>
      <c r="GR296" s="49"/>
      <c r="GS296" s="2879"/>
      <c r="GT296" s="2880"/>
      <c r="GU296" s="2881"/>
      <c r="GV296" s="49"/>
      <c r="GW296" s="49"/>
      <c r="GX296" s="49"/>
      <c r="GY296" s="49"/>
      <c r="GZ296" s="49"/>
      <c r="HA296" s="49"/>
      <c r="HB296" s="49"/>
      <c r="HC296" s="49"/>
      <c r="HD296" s="49"/>
      <c r="HE296" s="49"/>
      <c r="HF296" s="49"/>
      <c r="HG296" s="49"/>
      <c r="HH296" s="49"/>
      <c r="HI296" s="49"/>
      <c r="HJ296" s="49"/>
      <c r="HK296" s="49"/>
      <c r="HL296" s="49"/>
      <c r="HM296" s="49"/>
      <c r="HN296" s="49"/>
      <c r="HO296" s="49"/>
      <c r="HP296" s="49"/>
      <c r="HQ296" s="49"/>
      <c r="HR296" s="49"/>
      <c r="HS296" s="49"/>
      <c r="HT296" s="49"/>
      <c r="HU296" s="49"/>
      <c r="HV296" s="49"/>
      <c r="HW296" s="49"/>
      <c r="HX296" s="49"/>
      <c r="HY296" s="49"/>
      <c r="HZ296" s="49"/>
      <c r="IA296" s="49"/>
      <c r="IB296" s="49"/>
      <c r="IC296" s="49"/>
      <c r="ID296" s="49"/>
      <c r="IE296" s="49"/>
      <c r="IF296" s="49"/>
      <c r="IG296" s="49"/>
      <c r="IH296" s="49"/>
      <c r="II296" s="49"/>
      <c r="IJ296" s="49"/>
      <c r="IK296" s="49"/>
      <c r="IL296" s="49"/>
      <c r="IM296" s="49"/>
      <c r="IN296" s="49"/>
      <c r="IO296" s="49"/>
      <c r="IP296" s="49"/>
      <c r="IQ296" s="49"/>
      <c r="IR296" s="49"/>
      <c r="IS296" s="49"/>
      <c r="IT296" s="49"/>
      <c r="IU296" s="49"/>
      <c r="IV296" s="49"/>
    </row>
    <row r="297" spans="1:256" s="198" customFormat="1" ht="12" customHeight="1">
      <c r="A297" s="1252"/>
      <c r="B297" s="200"/>
      <c r="C297" s="486"/>
      <c r="D297" s="201"/>
      <c r="E297" s="202"/>
      <c r="F297" s="203"/>
      <c r="G297" s="197"/>
      <c r="H297" s="197"/>
      <c r="I297" s="197"/>
      <c r="J297" s="197"/>
      <c r="K297" s="175"/>
      <c r="L297" s="197"/>
      <c r="M297" s="197"/>
      <c r="N297" s="197"/>
      <c r="O297" s="197"/>
      <c r="P297" s="197"/>
      <c r="Q297" s="1198"/>
      <c r="R297" s="202"/>
      <c r="S297" s="202"/>
      <c r="T297" s="1186"/>
      <c r="U297" s="233"/>
      <c r="V297" s="49"/>
      <c r="W297" s="218"/>
      <c r="X297" s="218"/>
      <c r="Y297" s="216"/>
      <c r="Z297" s="216"/>
      <c r="AA297" s="215"/>
      <c r="AB297" s="216"/>
      <c r="AC297" s="216"/>
      <c r="AD297" s="239"/>
      <c r="AE297" s="216"/>
      <c r="AF297" s="216"/>
      <c r="AG297" s="216"/>
      <c r="AH297" s="216"/>
      <c r="AI297" s="216"/>
      <c r="AJ297" s="216"/>
      <c r="AK297" s="239"/>
      <c r="AL297" s="216"/>
      <c r="AM297" s="216"/>
      <c r="AN297" s="216"/>
      <c r="AO297" s="216"/>
      <c r="AP297" s="216"/>
      <c r="AQ297" s="216"/>
      <c r="AR297" s="216"/>
      <c r="AS297" s="216"/>
      <c r="AT297" s="216"/>
      <c r="AU297" s="216"/>
      <c r="AV297" s="217"/>
      <c r="AW297" s="355"/>
      <c r="AX297" s="217"/>
      <c r="AY297" s="1559"/>
      <c r="AZ297" s="249"/>
      <c r="BA297" s="221"/>
      <c r="BB297" s="300"/>
      <c r="BC297" s="217"/>
      <c r="BD297" s="392"/>
      <c r="BE297" s="1244"/>
      <c r="BF297" s="249"/>
      <c r="BG297" s="252"/>
      <c r="BH297" s="1469"/>
      <c r="BI297" s="216"/>
      <c r="BJ297" s="1469"/>
      <c r="BK297" s="1459"/>
      <c r="BL297" s="260"/>
      <c r="BM297" s="214"/>
      <c r="BN297" s="293"/>
      <c r="BO297" s="217"/>
      <c r="BP297" s="355"/>
      <c r="BQ297" s="217"/>
      <c r="BR297" s="1193"/>
      <c r="BS297" s="249"/>
      <c r="BT297" s="216"/>
      <c r="BU297" s="1195"/>
      <c r="BV297" s="249"/>
      <c r="BW297" s="216"/>
      <c r="BX297" s="1195"/>
      <c r="BY297" s="249"/>
      <c r="BZ297" s="216"/>
      <c r="CA297" s="1195"/>
      <c r="CB297" s="249"/>
      <c r="CC297" s="216"/>
      <c r="CD297" s="1195"/>
      <c r="CE297" s="249"/>
      <c r="CF297" s="216"/>
      <c r="CG297" s="1195"/>
      <c r="CH297" s="249"/>
      <c r="CI297" s="216"/>
      <c r="CJ297" s="1195"/>
      <c r="CK297" s="249"/>
      <c r="CL297" s="216"/>
      <c r="CM297" s="1194"/>
      <c r="CN297" s="1524"/>
      <c r="CO297" s="217"/>
      <c r="CP297" s="1193"/>
      <c r="CQ297" s="293"/>
      <c r="CR297" s="217"/>
      <c r="CS297" s="305"/>
      <c r="CT297" s="249"/>
      <c r="CU297" s="216"/>
      <c r="CV297" s="1193"/>
      <c r="CW297" s="249"/>
      <c r="CX297" s="216"/>
      <c r="CY297" s="305"/>
      <c r="CZ297" s="249"/>
      <c r="DA297" s="216"/>
      <c r="DB297" s="307"/>
      <c r="DC297" s="328"/>
      <c r="DD297" s="322"/>
      <c r="DE297" s="305"/>
      <c r="DF297" s="249"/>
      <c r="DG297" s="216"/>
      <c r="DH297" s="305"/>
      <c r="DI297" s="249"/>
      <c r="DJ297" s="216"/>
      <c r="DK297" s="309"/>
      <c r="DL297" s="293"/>
      <c r="DM297" s="326"/>
      <c r="DN297" s="1256"/>
      <c r="DO297" s="214"/>
      <c r="DP297" s="1257"/>
      <c r="DQ297" s="1258"/>
      <c r="DR297" s="305"/>
      <c r="DS297" s="249"/>
      <c r="DT297" s="216"/>
      <c r="DU297" s="305"/>
      <c r="DV297" s="2520"/>
      <c r="DW297" s="2521"/>
      <c r="DX297" s="305"/>
      <c r="DY297" s="249"/>
      <c r="DZ297" s="221"/>
      <c r="EA297" s="388"/>
      <c r="EB297" s="249"/>
      <c r="EC297" s="216"/>
      <c r="ED297" s="1461"/>
      <c r="EE297" s="249"/>
      <c r="EF297" s="216"/>
      <c r="EG297" s="355"/>
      <c r="EH297" s="1425"/>
      <c r="EI297" s="1470"/>
      <c r="EJ297" s="249"/>
      <c r="EK297" s="221"/>
      <c r="EL297" s="313"/>
      <c r="EM297" s="249"/>
      <c r="EN297" s="221"/>
      <c r="EO297" s="313"/>
      <c r="EP297" s="249"/>
      <c r="EQ297" s="216"/>
      <c r="ER297" s="313"/>
      <c r="ES297" s="249"/>
      <c r="ET297" s="216"/>
      <c r="EU297" s="313"/>
      <c r="EV297" s="249"/>
      <c r="EW297" s="216"/>
      <c r="EX297" s="2505"/>
      <c r="EY297" s="249"/>
      <c r="EZ297" s="221"/>
      <c r="FA297" s="313"/>
      <c r="FB297" s="249"/>
      <c r="FC297" s="221"/>
      <c r="FD297" s="313"/>
      <c r="FE297" s="249"/>
      <c r="FF297" s="221"/>
      <c r="FG297" s="313"/>
      <c r="FH297" s="249"/>
      <c r="FI297" s="216"/>
      <c r="FJ297" s="1435"/>
      <c r="FK297" s="216"/>
      <c r="FL297" s="1268"/>
      <c r="FM297" s="1655"/>
      <c r="FN297" s="1268"/>
      <c r="FO297" s="1655"/>
      <c r="FP297" s="1268"/>
      <c r="FQ297" s="1656"/>
      <c r="FR297" s="249"/>
      <c r="FS297" s="216"/>
      <c r="FT297" s="1657"/>
      <c r="FU297" s="1658"/>
      <c r="FV297" s="242"/>
      <c r="FW297" s="343"/>
      <c r="FX297" s="222"/>
      <c r="FY297" s="336"/>
      <c r="FZ297" s="223"/>
      <c r="GA297" s="338"/>
      <c r="GB297" s="204"/>
      <c r="GC297" s="339"/>
      <c r="GD297" s="342"/>
      <c r="GE297" s="199"/>
      <c r="GF297" s="199"/>
      <c r="GG297" s="199"/>
      <c r="GH297" s="199"/>
      <c r="GI297" s="199"/>
      <c r="GJ297" s="199"/>
      <c r="GK297" s="199"/>
      <c r="GL297" s="49"/>
      <c r="GM297" s="28"/>
      <c r="GN297" s="28"/>
      <c r="GO297" s="322"/>
      <c r="GP297" s="1190"/>
      <c r="GQ297" s="1190"/>
      <c r="GR297" s="49"/>
      <c r="GS297" s="2879"/>
      <c r="GT297" s="2880"/>
      <c r="GU297" s="2881"/>
      <c r="GV297" s="49"/>
      <c r="GW297" s="49"/>
      <c r="GX297" s="49"/>
      <c r="GY297" s="49"/>
      <c r="GZ297" s="49"/>
      <c r="HA297" s="49"/>
      <c r="HB297" s="49"/>
      <c r="HC297" s="49"/>
      <c r="HD297" s="49"/>
      <c r="HE297" s="49"/>
      <c r="HF297" s="49"/>
      <c r="HG297" s="49"/>
      <c r="HH297" s="49"/>
      <c r="HI297" s="49"/>
      <c r="HJ297" s="49"/>
      <c r="HK297" s="49"/>
      <c r="HL297" s="49"/>
      <c r="HM297" s="49"/>
      <c r="HN297" s="49"/>
      <c r="HO297" s="49"/>
      <c r="HP297" s="49"/>
      <c r="HQ297" s="49"/>
      <c r="HR297" s="49"/>
      <c r="HS297" s="49"/>
      <c r="HT297" s="49"/>
      <c r="HU297" s="49"/>
      <c r="HV297" s="49"/>
      <c r="HW297" s="49"/>
      <c r="HX297" s="49"/>
      <c r="HY297" s="49"/>
      <c r="HZ297" s="49"/>
      <c r="IA297" s="49"/>
      <c r="IB297" s="49"/>
      <c r="IC297" s="49"/>
      <c r="ID297" s="49"/>
      <c r="IE297" s="49"/>
      <c r="IF297" s="49"/>
      <c r="IG297" s="49"/>
      <c r="IH297" s="49"/>
      <c r="II297" s="49"/>
      <c r="IJ297" s="49"/>
      <c r="IK297" s="49"/>
      <c r="IL297" s="49"/>
      <c r="IM297" s="49"/>
      <c r="IN297" s="49"/>
      <c r="IO297" s="49"/>
      <c r="IP297" s="49"/>
      <c r="IQ297" s="49"/>
      <c r="IR297" s="49"/>
      <c r="IS297" s="49"/>
      <c r="IT297" s="49"/>
      <c r="IU297" s="49"/>
      <c r="IV297" s="49"/>
    </row>
    <row r="298" spans="1:256" s="198" customFormat="1" ht="12" customHeight="1">
      <c r="A298" s="1252"/>
      <c r="B298" s="200"/>
      <c r="C298" s="486"/>
      <c r="D298" s="201"/>
      <c r="E298" s="202"/>
      <c r="F298" s="203"/>
      <c r="G298" s="197"/>
      <c r="H298" s="197"/>
      <c r="I298" s="197"/>
      <c r="J298" s="197"/>
      <c r="K298" s="175"/>
      <c r="L298" s="197"/>
      <c r="M298" s="197"/>
      <c r="N298" s="197"/>
      <c r="O298" s="197"/>
      <c r="P298" s="197"/>
      <c r="Q298" s="1198"/>
      <c r="R298" s="202"/>
      <c r="S298" s="202"/>
      <c r="T298" s="1186"/>
      <c r="U298" s="233"/>
      <c r="V298" s="49"/>
      <c r="W298" s="218"/>
      <c r="X298" s="218"/>
      <c r="Y298" s="216"/>
      <c r="Z298" s="216"/>
      <c r="AA298" s="215"/>
      <c r="AB298" s="216"/>
      <c r="AC298" s="216"/>
      <c r="AD298" s="239"/>
      <c r="AE298" s="216"/>
      <c r="AF298" s="216"/>
      <c r="AG298" s="216"/>
      <c r="AH298" s="216"/>
      <c r="AI298" s="216"/>
      <c r="AJ298" s="216"/>
      <c r="AK298" s="239"/>
      <c r="AL298" s="216"/>
      <c r="AM298" s="216"/>
      <c r="AN298" s="216"/>
      <c r="AO298" s="216"/>
      <c r="AP298" s="216"/>
      <c r="AQ298" s="216"/>
      <c r="AR298" s="216"/>
      <c r="AS298" s="216"/>
      <c r="AT298" s="216"/>
      <c r="AU298" s="216"/>
      <c r="AV298" s="217"/>
      <c r="AW298" s="355"/>
      <c r="AX298" s="217"/>
      <c r="AY298" s="1559"/>
      <c r="AZ298" s="249"/>
      <c r="BA298" s="221"/>
      <c r="BB298" s="300"/>
      <c r="BC298" s="217"/>
      <c r="BD298" s="392"/>
      <c r="BE298" s="1244"/>
      <c r="BF298" s="249"/>
      <c r="BG298" s="252"/>
      <c r="BH298" s="1469"/>
      <c r="BI298" s="216"/>
      <c r="BJ298" s="1469"/>
      <c r="BK298" s="1459"/>
      <c r="BL298" s="260"/>
      <c r="BM298" s="214"/>
      <c r="BN298" s="293"/>
      <c r="BO298" s="217"/>
      <c r="BP298" s="355"/>
      <c r="BQ298" s="217"/>
      <c r="BR298" s="1193"/>
      <c r="BS298" s="249"/>
      <c r="BT298" s="216"/>
      <c r="BU298" s="1195"/>
      <c r="BV298" s="249"/>
      <c r="BW298" s="216"/>
      <c r="BX298" s="1195"/>
      <c r="BY298" s="249"/>
      <c r="BZ298" s="216"/>
      <c r="CA298" s="1195"/>
      <c r="CB298" s="249"/>
      <c r="CC298" s="216"/>
      <c r="CD298" s="1195"/>
      <c r="CE298" s="249"/>
      <c r="CF298" s="216"/>
      <c r="CG298" s="1195"/>
      <c r="CH298" s="249"/>
      <c r="CI298" s="216"/>
      <c r="CJ298" s="1195"/>
      <c r="CK298" s="249"/>
      <c r="CL298" s="216"/>
      <c r="CM298" s="1194"/>
      <c r="CN298" s="1524"/>
      <c r="CO298" s="217"/>
      <c r="CP298" s="1193"/>
      <c r="CQ298" s="293"/>
      <c r="CR298" s="217"/>
      <c r="CS298" s="305"/>
      <c r="CT298" s="249"/>
      <c r="CU298" s="216"/>
      <c r="CV298" s="1193"/>
      <c r="CW298" s="249"/>
      <c r="CX298" s="216"/>
      <c r="CY298" s="305"/>
      <c r="CZ298" s="249"/>
      <c r="DA298" s="216"/>
      <c r="DB298" s="307"/>
      <c r="DC298" s="328"/>
      <c r="DD298" s="322"/>
      <c r="DE298" s="305"/>
      <c r="DF298" s="249"/>
      <c r="DG298" s="216"/>
      <c r="DH298" s="305"/>
      <c r="DI298" s="249"/>
      <c r="DJ298" s="216"/>
      <c r="DK298" s="309"/>
      <c r="DL298" s="293"/>
      <c r="DM298" s="326"/>
      <c r="DN298" s="1256"/>
      <c r="DO298" s="214"/>
      <c r="DP298" s="1257"/>
      <c r="DQ298" s="1258"/>
      <c r="DR298" s="305"/>
      <c r="DS298" s="249"/>
      <c r="DT298" s="216"/>
      <c r="DU298" s="305"/>
      <c r="DV298" s="2520"/>
      <c r="DW298" s="2521"/>
      <c r="DX298" s="305"/>
      <c r="DY298" s="249"/>
      <c r="DZ298" s="221"/>
      <c r="EA298" s="388"/>
      <c r="EB298" s="249"/>
      <c r="EC298" s="216"/>
      <c r="ED298" s="1461"/>
      <c r="EE298" s="249"/>
      <c r="EF298" s="216"/>
      <c r="EG298" s="355"/>
      <c r="EH298" s="1425"/>
      <c r="EI298" s="1470"/>
      <c r="EJ298" s="249"/>
      <c r="EK298" s="221"/>
      <c r="EL298" s="313"/>
      <c r="EM298" s="249"/>
      <c r="EN298" s="221"/>
      <c r="EO298" s="313"/>
      <c r="EP298" s="249"/>
      <c r="EQ298" s="216"/>
      <c r="ER298" s="313"/>
      <c r="ES298" s="249"/>
      <c r="ET298" s="216"/>
      <c r="EU298" s="313"/>
      <c r="EV298" s="249"/>
      <c r="EW298" s="216"/>
      <c r="EX298" s="2505"/>
      <c r="EY298" s="249"/>
      <c r="EZ298" s="221"/>
      <c r="FA298" s="313"/>
      <c r="FB298" s="249"/>
      <c r="FC298" s="221"/>
      <c r="FD298" s="313"/>
      <c r="FE298" s="249"/>
      <c r="FF298" s="221"/>
      <c r="FG298" s="313"/>
      <c r="FH298" s="249"/>
      <c r="FI298" s="216"/>
      <c r="FJ298" s="1435"/>
      <c r="FK298" s="216"/>
      <c r="FL298" s="1268"/>
      <c r="FM298" s="1655"/>
      <c r="FN298" s="1268"/>
      <c r="FO298" s="1655"/>
      <c r="FP298" s="1268"/>
      <c r="FQ298" s="1656"/>
      <c r="FR298" s="249"/>
      <c r="FS298" s="216"/>
      <c r="FT298" s="1657"/>
      <c r="FU298" s="1658"/>
      <c r="FV298" s="242"/>
      <c r="FW298" s="343"/>
      <c r="FX298" s="222"/>
      <c r="FY298" s="336"/>
      <c r="FZ298" s="223"/>
      <c r="GA298" s="338"/>
      <c r="GB298" s="204"/>
      <c r="GC298" s="339"/>
      <c r="GD298" s="342"/>
      <c r="GE298" s="199"/>
      <c r="GF298" s="199"/>
      <c r="GG298" s="199"/>
      <c r="GH298" s="199"/>
      <c r="GI298" s="199"/>
      <c r="GJ298" s="199"/>
      <c r="GK298" s="199"/>
      <c r="GL298" s="49"/>
      <c r="GM298" s="28"/>
      <c r="GN298" s="28"/>
      <c r="GO298" s="322"/>
      <c r="GP298" s="1190"/>
      <c r="GQ298" s="1190"/>
      <c r="GR298" s="49"/>
      <c r="GS298" s="2879"/>
      <c r="GT298" s="2880"/>
      <c r="GU298" s="2881"/>
      <c r="GV298" s="49"/>
      <c r="GW298" s="49"/>
      <c r="GX298" s="49"/>
      <c r="GY298" s="49"/>
      <c r="GZ298" s="49"/>
      <c r="HA298" s="49"/>
      <c r="HB298" s="49"/>
      <c r="HC298" s="49"/>
      <c r="HD298" s="49"/>
      <c r="HE298" s="49"/>
      <c r="HF298" s="49"/>
      <c r="HG298" s="49"/>
      <c r="HH298" s="49"/>
      <c r="HI298" s="49"/>
      <c r="HJ298" s="49"/>
      <c r="HK298" s="49"/>
      <c r="HL298" s="49"/>
      <c r="HM298" s="49"/>
      <c r="HN298" s="49"/>
      <c r="HO298" s="49"/>
      <c r="HP298" s="49"/>
      <c r="HQ298" s="49"/>
      <c r="HR298" s="49"/>
      <c r="HS298" s="49"/>
      <c r="HT298" s="49"/>
      <c r="HU298" s="49"/>
      <c r="HV298" s="49"/>
      <c r="HW298" s="49"/>
      <c r="HX298" s="49"/>
      <c r="HY298" s="49"/>
      <c r="HZ298" s="49"/>
      <c r="IA298" s="49"/>
      <c r="IB298" s="49"/>
      <c r="IC298" s="49"/>
      <c r="ID298" s="49"/>
      <c r="IE298" s="49"/>
      <c r="IF298" s="49"/>
      <c r="IG298" s="49"/>
      <c r="IH298" s="49"/>
      <c r="II298" s="49"/>
      <c r="IJ298" s="49"/>
      <c r="IK298" s="49"/>
      <c r="IL298" s="49"/>
      <c r="IM298" s="49"/>
      <c r="IN298" s="49"/>
      <c r="IO298" s="49"/>
      <c r="IP298" s="49"/>
      <c r="IQ298" s="49"/>
      <c r="IR298" s="49"/>
      <c r="IS298" s="49"/>
      <c r="IT298" s="49"/>
      <c r="IU298" s="49"/>
      <c r="IV298" s="49"/>
    </row>
    <row r="299" spans="1:256" s="198" customFormat="1" ht="12" customHeight="1">
      <c r="A299" s="1252"/>
      <c r="B299" s="200"/>
      <c r="C299" s="486"/>
      <c r="D299" s="201"/>
      <c r="E299" s="202"/>
      <c r="F299" s="203"/>
      <c r="G299" s="197"/>
      <c r="H299" s="197"/>
      <c r="I299" s="197"/>
      <c r="J299" s="197"/>
      <c r="K299" s="175"/>
      <c r="L299" s="197"/>
      <c r="M299" s="197"/>
      <c r="N299" s="197"/>
      <c r="O299" s="197"/>
      <c r="P299" s="197"/>
      <c r="Q299" s="1198"/>
      <c r="R299" s="202"/>
      <c r="S299" s="202"/>
      <c r="T299" s="1186"/>
      <c r="U299" s="233"/>
      <c r="V299" s="49"/>
      <c r="W299" s="218"/>
      <c r="X299" s="218"/>
      <c r="Y299" s="216"/>
      <c r="Z299" s="216"/>
      <c r="AA299" s="215"/>
      <c r="AB299" s="216"/>
      <c r="AC299" s="216"/>
      <c r="AD299" s="239"/>
      <c r="AE299" s="216"/>
      <c r="AF299" s="216"/>
      <c r="AG299" s="216"/>
      <c r="AH299" s="216"/>
      <c r="AI299" s="216"/>
      <c r="AJ299" s="216"/>
      <c r="AK299" s="239"/>
      <c r="AL299" s="216"/>
      <c r="AM299" s="216"/>
      <c r="AN299" s="216"/>
      <c r="AO299" s="216"/>
      <c r="AP299" s="216"/>
      <c r="AQ299" s="216"/>
      <c r="AR299" s="216"/>
      <c r="AS299" s="216"/>
      <c r="AT299" s="216"/>
      <c r="AU299" s="216"/>
      <c r="AV299" s="217"/>
      <c r="AW299" s="355"/>
      <c r="AX299" s="217"/>
      <c r="AY299" s="1559"/>
      <c r="AZ299" s="249"/>
      <c r="BA299" s="221"/>
      <c r="BB299" s="300"/>
      <c r="BC299" s="217"/>
      <c r="BD299" s="392"/>
      <c r="BE299" s="1244"/>
      <c r="BF299" s="249"/>
      <c r="BG299" s="252"/>
      <c r="BH299" s="1469"/>
      <c r="BI299" s="216"/>
      <c r="BJ299" s="1469"/>
      <c r="BK299" s="1459"/>
      <c r="BL299" s="260"/>
      <c r="BM299" s="214"/>
      <c r="BN299" s="293"/>
      <c r="BO299" s="217"/>
      <c r="BP299" s="355"/>
      <c r="BQ299" s="217"/>
      <c r="BR299" s="1193"/>
      <c r="BS299" s="249"/>
      <c r="BT299" s="216"/>
      <c r="BU299" s="1195"/>
      <c r="BV299" s="249"/>
      <c r="BW299" s="216"/>
      <c r="BX299" s="1195"/>
      <c r="BY299" s="249"/>
      <c r="BZ299" s="216"/>
      <c r="CA299" s="1195"/>
      <c r="CB299" s="249"/>
      <c r="CC299" s="216"/>
      <c r="CD299" s="1195"/>
      <c r="CE299" s="249"/>
      <c r="CF299" s="216"/>
      <c r="CG299" s="1195"/>
      <c r="CH299" s="249"/>
      <c r="CI299" s="216"/>
      <c r="CJ299" s="1195"/>
      <c r="CK299" s="249"/>
      <c r="CL299" s="216"/>
      <c r="CM299" s="1194"/>
      <c r="CN299" s="1524"/>
      <c r="CO299" s="217"/>
      <c r="CP299" s="1193"/>
      <c r="CQ299" s="293"/>
      <c r="CR299" s="217"/>
      <c r="CS299" s="305"/>
      <c r="CT299" s="249"/>
      <c r="CU299" s="216"/>
      <c r="CV299" s="1193"/>
      <c r="CW299" s="249"/>
      <c r="CX299" s="216"/>
      <c r="CY299" s="305"/>
      <c r="CZ299" s="249"/>
      <c r="DA299" s="216"/>
      <c r="DB299" s="307"/>
      <c r="DC299" s="328"/>
      <c r="DD299" s="322"/>
      <c r="DE299" s="305"/>
      <c r="DF299" s="249"/>
      <c r="DG299" s="216"/>
      <c r="DH299" s="305"/>
      <c r="DI299" s="249"/>
      <c r="DJ299" s="216"/>
      <c r="DK299" s="309"/>
      <c r="DL299" s="293"/>
      <c r="DM299" s="326"/>
      <c r="DN299" s="1256"/>
      <c r="DO299" s="214"/>
      <c r="DP299" s="1257"/>
      <c r="DQ299" s="1258"/>
      <c r="DR299" s="305"/>
      <c r="DS299" s="249"/>
      <c r="DT299" s="216"/>
      <c r="DU299" s="305"/>
      <c r="DV299" s="2520"/>
      <c r="DW299" s="2521"/>
      <c r="DX299" s="305"/>
      <c r="DY299" s="249"/>
      <c r="DZ299" s="221"/>
      <c r="EA299" s="388"/>
      <c r="EB299" s="249"/>
      <c r="EC299" s="216"/>
      <c r="ED299" s="1461"/>
      <c r="EE299" s="249"/>
      <c r="EF299" s="216"/>
      <c r="EG299" s="355"/>
      <c r="EH299" s="1425"/>
      <c r="EI299" s="1470"/>
      <c r="EJ299" s="249"/>
      <c r="EK299" s="221"/>
      <c r="EL299" s="313"/>
      <c r="EM299" s="249"/>
      <c r="EN299" s="221"/>
      <c r="EO299" s="313"/>
      <c r="EP299" s="249"/>
      <c r="EQ299" s="216"/>
      <c r="ER299" s="313"/>
      <c r="ES299" s="249"/>
      <c r="ET299" s="216"/>
      <c r="EU299" s="313"/>
      <c r="EV299" s="249"/>
      <c r="EW299" s="216"/>
      <c r="EX299" s="2505"/>
      <c r="EY299" s="249"/>
      <c r="EZ299" s="221"/>
      <c r="FA299" s="313"/>
      <c r="FB299" s="249"/>
      <c r="FC299" s="221"/>
      <c r="FD299" s="313"/>
      <c r="FE299" s="249"/>
      <c r="FF299" s="221"/>
      <c r="FG299" s="313"/>
      <c r="FH299" s="249"/>
      <c r="FI299" s="216"/>
      <c r="FJ299" s="1435"/>
      <c r="FK299" s="216"/>
      <c r="FL299" s="1268"/>
      <c r="FM299" s="1655"/>
      <c r="FN299" s="1268"/>
      <c r="FO299" s="1655"/>
      <c r="FP299" s="1268"/>
      <c r="FQ299" s="1656"/>
      <c r="FR299" s="249"/>
      <c r="FS299" s="216"/>
      <c r="FT299" s="1657"/>
      <c r="FU299" s="1658"/>
      <c r="FV299" s="242"/>
      <c r="FW299" s="343"/>
      <c r="FX299" s="222"/>
      <c r="FY299" s="336"/>
      <c r="FZ299" s="223"/>
      <c r="GA299" s="338"/>
      <c r="GB299" s="204"/>
      <c r="GC299" s="339"/>
      <c r="GD299" s="342"/>
      <c r="GE299" s="199"/>
      <c r="GF299" s="199"/>
      <c r="GG299" s="199"/>
      <c r="GH299" s="199"/>
      <c r="GI299" s="199"/>
      <c r="GJ299" s="199"/>
      <c r="GK299" s="199"/>
      <c r="GL299" s="49"/>
      <c r="GM299" s="28"/>
      <c r="GN299" s="28"/>
      <c r="GO299" s="322"/>
      <c r="GP299" s="1190"/>
      <c r="GQ299" s="1190"/>
      <c r="GR299" s="49"/>
      <c r="GS299" s="2879"/>
      <c r="GT299" s="2880"/>
      <c r="GU299" s="2881"/>
      <c r="GV299" s="49"/>
      <c r="GW299" s="49"/>
      <c r="GX299" s="49"/>
      <c r="GY299" s="49"/>
      <c r="GZ299" s="49"/>
      <c r="HA299" s="49"/>
      <c r="HB299" s="49"/>
      <c r="HC299" s="49"/>
      <c r="HD299" s="49"/>
      <c r="HE299" s="49"/>
      <c r="HF299" s="49"/>
      <c r="HG299" s="49"/>
      <c r="HH299" s="49"/>
      <c r="HI299" s="49"/>
      <c r="HJ299" s="49"/>
      <c r="HK299" s="49"/>
      <c r="HL299" s="49"/>
      <c r="HM299" s="49"/>
      <c r="HN299" s="49"/>
      <c r="HO299" s="49"/>
      <c r="HP299" s="49"/>
      <c r="HQ299" s="49"/>
      <c r="HR299" s="49"/>
      <c r="HS299" s="49"/>
      <c r="HT299" s="49"/>
      <c r="HU299" s="49"/>
      <c r="HV299" s="49"/>
      <c r="HW299" s="49"/>
      <c r="HX299" s="49"/>
      <c r="HY299" s="49"/>
      <c r="HZ299" s="49"/>
      <c r="IA299" s="49"/>
      <c r="IB299" s="49"/>
      <c r="IC299" s="49"/>
      <c r="ID299" s="49"/>
      <c r="IE299" s="49"/>
      <c r="IF299" s="49"/>
      <c r="IG299" s="49"/>
      <c r="IH299" s="49"/>
      <c r="II299" s="49"/>
      <c r="IJ299" s="49"/>
      <c r="IK299" s="49"/>
      <c r="IL299" s="49"/>
      <c r="IM299" s="49"/>
      <c r="IN299" s="49"/>
      <c r="IO299" s="49"/>
      <c r="IP299" s="49"/>
      <c r="IQ299" s="49"/>
      <c r="IR299" s="49"/>
      <c r="IS299" s="49"/>
      <c r="IT299" s="49"/>
      <c r="IU299" s="49"/>
      <c r="IV299" s="49"/>
    </row>
    <row r="300" spans="1:256" s="198" customFormat="1" ht="12" customHeight="1">
      <c r="A300" s="1252"/>
      <c r="B300" s="200"/>
      <c r="C300" s="486"/>
      <c r="D300" s="201"/>
      <c r="E300" s="202"/>
      <c r="F300" s="203"/>
      <c r="G300" s="197"/>
      <c r="H300" s="197"/>
      <c r="I300" s="197"/>
      <c r="J300" s="197"/>
      <c r="K300" s="175"/>
      <c r="L300" s="197"/>
      <c r="M300" s="197"/>
      <c r="N300" s="197"/>
      <c r="O300" s="197"/>
      <c r="P300" s="197"/>
      <c r="Q300" s="1198"/>
      <c r="R300" s="202"/>
      <c r="S300" s="202"/>
      <c r="T300" s="1186"/>
      <c r="U300" s="233"/>
      <c r="V300" s="49"/>
      <c r="W300" s="218"/>
      <c r="X300" s="218"/>
      <c r="Y300" s="216"/>
      <c r="Z300" s="216"/>
      <c r="AA300" s="215"/>
      <c r="AB300" s="216"/>
      <c r="AC300" s="216"/>
      <c r="AD300" s="239"/>
      <c r="AE300" s="216"/>
      <c r="AF300" s="216"/>
      <c r="AG300" s="216"/>
      <c r="AH300" s="216"/>
      <c r="AI300" s="216"/>
      <c r="AJ300" s="216"/>
      <c r="AK300" s="239"/>
      <c r="AL300" s="216"/>
      <c r="AM300" s="216"/>
      <c r="AN300" s="216"/>
      <c r="AO300" s="216"/>
      <c r="AP300" s="216"/>
      <c r="AQ300" s="216"/>
      <c r="AR300" s="216"/>
      <c r="AS300" s="216"/>
      <c r="AT300" s="216"/>
      <c r="AU300" s="216"/>
      <c r="AV300" s="217"/>
      <c r="AW300" s="355"/>
      <c r="AX300" s="217"/>
      <c r="AY300" s="1559"/>
      <c r="AZ300" s="249"/>
      <c r="BA300" s="221"/>
      <c r="BB300" s="300"/>
      <c r="BC300" s="217"/>
      <c r="BD300" s="392"/>
      <c r="BE300" s="1244"/>
      <c r="BF300" s="249"/>
      <c r="BG300" s="252"/>
      <c r="BH300" s="1469"/>
      <c r="BI300" s="216"/>
      <c r="BJ300" s="1469"/>
      <c r="BK300" s="1459"/>
      <c r="BL300" s="260"/>
      <c r="BM300" s="214"/>
      <c r="BN300" s="293"/>
      <c r="BO300" s="217"/>
      <c r="BP300" s="355"/>
      <c r="BQ300" s="217"/>
      <c r="BR300" s="1193"/>
      <c r="BS300" s="249"/>
      <c r="BT300" s="216"/>
      <c r="BU300" s="1195"/>
      <c r="BV300" s="249"/>
      <c r="BW300" s="216"/>
      <c r="BX300" s="1195"/>
      <c r="BY300" s="249"/>
      <c r="BZ300" s="216"/>
      <c r="CA300" s="1195"/>
      <c r="CB300" s="249"/>
      <c r="CC300" s="216"/>
      <c r="CD300" s="1195"/>
      <c r="CE300" s="249"/>
      <c r="CF300" s="216"/>
      <c r="CG300" s="1195"/>
      <c r="CH300" s="249"/>
      <c r="CI300" s="216"/>
      <c r="CJ300" s="1195"/>
      <c r="CK300" s="249"/>
      <c r="CL300" s="216"/>
      <c r="CM300" s="1194"/>
      <c r="CN300" s="1524"/>
      <c r="CO300" s="217"/>
      <c r="CP300" s="1193"/>
      <c r="CQ300" s="293"/>
      <c r="CR300" s="217"/>
      <c r="CS300" s="305"/>
      <c r="CT300" s="249"/>
      <c r="CU300" s="216"/>
      <c r="CV300" s="1193"/>
      <c r="CW300" s="249"/>
      <c r="CX300" s="216"/>
      <c r="CY300" s="305"/>
      <c r="CZ300" s="249"/>
      <c r="DA300" s="216"/>
      <c r="DB300" s="307"/>
      <c r="DC300" s="328"/>
      <c r="DD300" s="322"/>
      <c r="DE300" s="305"/>
      <c r="DF300" s="249"/>
      <c r="DG300" s="216"/>
      <c r="DH300" s="305"/>
      <c r="DI300" s="249"/>
      <c r="DJ300" s="216"/>
      <c r="DK300" s="309"/>
      <c r="DL300" s="293"/>
      <c r="DM300" s="326"/>
      <c r="DN300" s="1256"/>
      <c r="DO300" s="214"/>
      <c r="DP300" s="1257"/>
      <c r="DQ300" s="1258"/>
      <c r="DR300" s="305"/>
      <c r="DS300" s="249"/>
      <c r="DT300" s="216"/>
      <c r="DU300" s="305"/>
      <c r="DV300" s="2520"/>
      <c r="DW300" s="2521"/>
      <c r="DX300" s="305"/>
      <c r="DY300" s="249"/>
      <c r="DZ300" s="221"/>
      <c r="EA300" s="388"/>
      <c r="EB300" s="249"/>
      <c r="EC300" s="216"/>
      <c r="ED300" s="1461"/>
      <c r="EE300" s="249"/>
      <c r="EF300" s="216"/>
      <c r="EG300" s="355"/>
      <c r="EH300" s="1425"/>
      <c r="EI300" s="1470"/>
      <c r="EJ300" s="249"/>
      <c r="EK300" s="221"/>
      <c r="EL300" s="313"/>
      <c r="EM300" s="249"/>
      <c r="EN300" s="221"/>
      <c r="EO300" s="313"/>
      <c r="EP300" s="249"/>
      <c r="EQ300" s="216"/>
      <c r="ER300" s="313"/>
      <c r="ES300" s="249"/>
      <c r="ET300" s="216"/>
      <c r="EU300" s="313"/>
      <c r="EV300" s="249"/>
      <c r="EW300" s="216"/>
      <c r="EX300" s="2505"/>
      <c r="EY300" s="249"/>
      <c r="EZ300" s="221"/>
      <c r="FA300" s="313"/>
      <c r="FB300" s="249"/>
      <c r="FC300" s="221"/>
      <c r="FD300" s="313"/>
      <c r="FE300" s="249"/>
      <c r="FF300" s="221"/>
      <c r="FG300" s="313"/>
      <c r="FH300" s="249"/>
      <c r="FI300" s="216"/>
      <c r="FJ300" s="1435"/>
      <c r="FK300" s="216"/>
      <c r="FL300" s="1268"/>
      <c r="FM300" s="1655"/>
      <c r="FN300" s="1268"/>
      <c r="FO300" s="1655"/>
      <c r="FP300" s="1268"/>
      <c r="FQ300" s="1656"/>
      <c r="FR300" s="249"/>
      <c r="FS300" s="216"/>
      <c r="FT300" s="1657"/>
      <c r="FU300" s="1658"/>
      <c r="FV300" s="242"/>
      <c r="FW300" s="343"/>
      <c r="FX300" s="222"/>
      <c r="FY300" s="336"/>
      <c r="FZ300" s="223"/>
      <c r="GA300" s="338"/>
      <c r="GB300" s="204"/>
      <c r="GC300" s="339"/>
      <c r="GD300" s="342"/>
      <c r="GE300" s="199"/>
      <c r="GF300" s="199"/>
      <c r="GG300" s="199"/>
      <c r="GH300" s="199"/>
      <c r="GI300" s="199"/>
      <c r="GJ300" s="199"/>
      <c r="GK300" s="199"/>
      <c r="GL300" s="49"/>
      <c r="GM300" s="28"/>
      <c r="GN300" s="28"/>
      <c r="GO300" s="322"/>
      <c r="GP300" s="1190"/>
      <c r="GQ300" s="1190"/>
      <c r="GR300" s="49"/>
      <c r="GS300" s="2879"/>
      <c r="GT300" s="2880"/>
      <c r="GU300" s="2881"/>
      <c r="GV300" s="49"/>
      <c r="GW300" s="49"/>
      <c r="GX300" s="49"/>
      <c r="GY300" s="49"/>
      <c r="GZ300" s="49"/>
      <c r="HA300" s="49"/>
      <c r="HB300" s="49"/>
      <c r="HC300" s="49"/>
      <c r="HD300" s="49"/>
      <c r="HE300" s="49"/>
      <c r="HF300" s="49"/>
      <c r="HG300" s="49"/>
      <c r="HH300" s="49"/>
      <c r="HI300" s="49"/>
      <c r="HJ300" s="49"/>
      <c r="HK300" s="49"/>
      <c r="HL300" s="49"/>
      <c r="HM300" s="49"/>
      <c r="HN300" s="49"/>
      <c r="HO300" s="49"/>
      <c r="HP300" s="49"/>
      <c r="HQ300" s="49"/>
      <c r="HR300" s="49"/>
      <c r="HS300" s="49"/>
      <c r="HT300" s="49"/>
      <c r="HU300" s="49"/>
      <c r="HV300" s="49"/>
      <c r="HW300" s="49"/>
      <c r="HX300" s="49"/>
      <c r="HY300" s="49"/>
      <c r="HZ300" s="49"/>
      <c r="IA300" s="49"/>
      <c r="IB300" s="49"/>
      <c r="IC300" s="49"/>
      <c r="ID300" s="49"/>
      <c r="IE300" s="49"/>
      <c r="IF300" s="49"/>
      <c r="IG300" s="49"/>
      <c r="IH300" s="49"/>
      <c r="II300" s="49"/>
      <c r="IJ300" s="49"/>
      <c r="IK300" s="49"/>
      <c r="IL300" s="49"/>
      <c r="IM300" s="49"/>
      <c r="IN300" s="49"/>
      <c r="IO300" s="49"/>
      <c r="IP300" s="49"/>
      <c r="IQ300" s="49"/>
      <c r="IR300" s="49"/>
      <c r="IS300" s="49"/>
      <c r="IT300" s="49"/>
      <c r="IU300" s="49"/>
      <c r="IV300" s="49"/>
    </row>
    <row r="301" spans="1:256" s="198" customFormat="1" ht="12" customHeight="1">
      <c r="A301" s="1252"/>
      <c r="B301" s="200"/>
      <c r="C301" s="486"/>
      <c r="D301" s="201"/>
      <c r="E301" s="202"/>
      <c r="F301" s="203"/>
      <c r="G301" s="197"/>
      <c r="H301" s="197"/>
      <c r="I301" s="197"/>
      <c r="J301" s="197"/>
      <c r="K301" s="175"/>
      <c r="L301" s="197"/>
      <c r="M301" s="197"/>
      <c r="N301" s="197"/>
      <c r="O301" s="197"/>
      <c r="P301" s="197"/>
      <c r="Q301" s="1198"/>
      <c r="R301" s="202"/>
      <c r="S301" s="202"/>
      <c r="T301" s="1186"/>
      <c r="U301" s="233"/>
      <c r="V301" s="49"/>
      <c r="W301" s="218"/>
      <c r="X301" s="218"/>
      <c r="Y301" s="216"/>
      <c r="Z301" s="216"/>
      <c r="AA301" s="215"/>
      <c r="AB301" s="216"/>
      <c r="AC301" s="216"/>
      <c r="AD301" s="239"/>
      <c r="AE301" s="216"/>
      <c r="AF301" s="216"/>
      <c r="AG301" s="216"/>
      <c r="AH301" s="216"/>
      <c r="AI301" s="216"/>
      <c r="AJ301" s="216"/>
      <c r="AK301" s="239"/>
      <c r="AL301" s="216"/>
      <c r="AM301" s="216"/>
      <c r="AN301" s="216"/>
      <c r="AO301" s="216"/>
      <c r="AP301" s="216"/>
      <c r="AQ301" s="216"/>
      <c r="AR301" s="216"/>
      <c r="AS301" s="216"/>
      <c r="AT301" s="216"/>
      <c r="AU301" s="216"/>
      <c r="AV301" s="217"/>
      <c r="AW301" s="355"/>
      <c r="AX301" s="217"/>
      <c r="AY301" s="1559"/>
      <c r="AZ301" s="249"/>
      <c r="BA301" s="221"/>
      <c r="BB301" s="300"/>
      <c r="BC301" s="217"/>
      <c r="BD301" s="392"/>
      <c r="BE301" s="1244"/>
      <c r="BF301" s="249"/>
      <c r="BG301" s="252"/>
      <c r="BH301" s="1469"/>
      <c r="BI301" s="216"/>
      <c r="BJ301" s="1469"/>
      <c r="BK301" s="1459"/>
      <c r="BL301" s="260"/>
      <c r="BM301" s="214"/>
      <c r="BN301" s="293"/>
      <c r="BO301" s="217"/>
      <c r="BP301" s="355"/>
      <c r="BQ301" s="217"/>
      <c r="BR301" s="1193"/>
      <c r="BS301" s="249"/>
      <c r="BT301" s="216"/>
      <c r="BU301" s="1195"/>
      <c r="BV301" s="249"/>
      <c r="BW301" s="216"/>
      <c r="BX301" s="1195"/>
      <c r="BY301" s="249"/>
      <c r="BZ301" s="216"/>
      <c r="CA301" s="1195"/>
      <c r="CB301" s="249"/>
      <c r="CC301" s="216"/>
      <c r="CD301" s="1195"/>
      <c r="CE301" s="249"/>
      <c r="CF301" s="216"/>
      <c r="CG301" s="1195"/>
      <c r="CH301" s="249"/>
      <c r="CI301" s="216"/>
      <c r="CJ301" s="1195"/>
      <c r="CK301" s="249"/>
      <c r="CL301" s="216"/>
      <c r="CM301" s="1194"/>
      <c r="CN301" s="1524"/>
      <c r="CO301" s="217"/>
      <c r="CP301" s="1193"/>
      <c r="CQ301" s="293"/>
      <c r="CR301" s="217"/>
      <c r="CS301" s="305"/>
      <c r="CT301" s="249"/>
      <c r="CU301" s="216"/>
      <c r="CV301" s="1193"/>
      <c r="CW301" s="249"/>
      <c r="CX301" s="216"/>
      <c r="CY301" s="305"/>
      <c r="CZ301" s="249"/>
      <c r="DA301" s="216"/>
      <c r="DB301" s="307"/>
      <c r="DC301" s="328"/>
      <c r="DD301" s="322"/>
      <c r="DE301" s="305"/>
      <c r="DF301" s="249"/>
      <c r="DG301" s="216"/>
      <c r="DH301" s="305"/>
      <c r="DI301" s="249"/>
      <c r="DJ301" s="216"/>
      <c r="DK301" s="309"/>
      <c r="DL301" s="293"/>
      <c r="DM301" s="326"/>
      <c r="DN301" s="1256"/>
      <c r="DO301" s="214"/>
      <c r="DP301" s="1257"/>
      <c r="DQ301" s="1258"/>
      <c r="DR301" s="305"/>
      <c r="DS301" s="249"/>
      <c r="DT301" s="216"/>
      <c r="DU301" s="305"/>
      <c r="DV301" s="2520"/>
      <c r="DW301" s="2521"/>
      <c r="DX301" s="305"/>
      <c r="DY301" s="249"/>
      <c r="DZ301" s="221"/>
      <c r="EA301" s="388"/>
      <c r="EB301" s="249"/>
      <c r="EC301" s="216"/>
      <c r="ED301" s="1461"/>
      <c r="EE301" s="249"/>
      <c r="EF301" s="216"/>
      <c r="EG301" s="355"/>
      <c r="EH301" s="1425"/>
      <c r="EI301" s="1470"/>
      <c r="EJ301" s="249"/>
      <c r="EK301" s="221"/>
      <c r="EL301" s="313"/>
      <c r="EM301" s="249"/>
      <c r="EN301" s="221"/>
      <c r="EO301" s="313"/>
      <c r="EP301" s="249"/>
      <c r="EQ301" s="216"/>
      <c r="ER301" s="313"/>
      <c r="ES301" s="249"/>
      <c r="ET301" s="216"/>
      <c r="EU301" s="313"/>
      <c r="EV301" s="249"/>
      <c r="EW301" s="216"/>
      <c r="EX301" s="2505"/>
      <c r="EY301" s="249"/>
      <c r="EZ301" s="221"/>
      <c r="FA301" s="313"/>
      <c r="FB301" s="249"/>
      <c r="FC301" s="221"/>
      <c r="FD301" s="313"/>
      <c r="FE301" s="249"/>
      <c r="FF301" s="221"/>
      <c r="FG301" s="313"/>
      <c r="FH301" s="249"/>
      <c r="FI301" s="216"/>
      <c r="FJ301" s="1435"/>
      <c r="FK301" s="216"/>
      <c r="FL301" s="1268"/>
      <c r="FM301" s="1655"/>
      <c r="FN301" s="1268"/>
      <c r="FO301" s="1655"/>
      <c r="FP301" s="1268"/>
      <c r="FQ301" s="1656"/>
      <c r="FR301" s="249"/>
      <c r="FS301" s="216"/>
      <c r="FT301" s="1657"/>
      <c r="FU301" s="1658"/>
      <c r="FV301" s="242"/>
      <c r="FW301" s="343"/>
      <c r="FX301" s="222"/>
      <c r="FY301" s="336"/>
      <c r="FZ301" s="223"/>
      <c r="GA301" s="338"/>
      <c r="GB301" s="204"/>
      <c r="GC301" s="339"/>
      <c r="GD301" s="342"/>
      <c r="GE301" s="199"/>
      <c r="GF301" s="199"/>
      <c r="GG301" s="199"/>
      <c r="GH301" s="199"/>
      <c r="GI301" s="199"/>
      <c r="GJ301" s="199"/>
      <c r="GK301" s="199"/>
      <c r="GL301" s="49"/>
      <c r="GM301" s="28"/>
      <c r="GN301" s="28"/>
      <c r="GO301" s="322"/>
      <c r="GP301" s="1190"/>
      <c r="GQ301" s="1190"/>
      <c r="GR301" s="49"/>
      <c r="GS301" s="2879"/>
      <c r="GT301" s="2880"/>
      <c r="GU301" s="2881"/>
      <c r="GV301" s="49"/>
      <c r="GW301" s="49"/>
      <c r="GX301" s="49"/>
      <c r="GY301" s="49"/>
      <c r="GZ301" s="49"/>
      <c r="HA301" s="49"/>
      <c r="HB301" s="49"/>
      <c r="HC301" s="49"/>
      <c r="HD301" s="49"/>
      <c r="HE301" s="49"/>
      <c r="HF301" s="49"/>
      <c r="HG301" s="49"/>
      <c r="HH301" s="49"/>
      <c r="HI301" s="49"/>
      <c r="HJ301" s="49"/>
      <c r="HK301" s="49"/>
      <c r="HL301" s="49"/>
      <c r="HM301" s="49"/>
      <c r="HN301" s="49"/>
      <c r="HO301" s="49"/>
      <c r="HP301" s="49"/>
      <c r="HQ301" s="49"/>
      <c r="HR301" s="49"/>
      <c r="HS301" s="49"/>
      <c r="HT301" s="49"/>
      <c r="HU301" s="49"/>
      <c r="HV301" s="49"/>
      <c r="HW301" s="49"/>
      <c r="HX301" s="49"/>
      <c r="HY301" s="49"/>
      <c r="HZ301" s="49"/>
      <c r="IA301" s="49"/>
      <c r="IB301" s="49"/>
      <c r="IC301" s="49"/>
      <c r="ID301" s="49"/>
      <c r="IE301" s="49"/>
      <c r="IF301" s="49"/>
      <c r="IG301" s="49"/>
      <c r="IH301" s="49"/>
      <c r="II301" s="49"/>
      <c r="IJ301" s="49"/>
      <c r="IK301" s="49"/>
      <c r="IL301" s="49"/>
      <c r="IM301" s="49"/>
      <c r="IN301" s="49"/>
      <c r="IO301" s="49"/>
      <c r="IP301" s="49"/>
      <c r="IQ301" s="49"/>
      <c r="IR301" s="49"/>
      <c r="IS301" s="49"/>
      <c r="IT301" s="49"/>
      <c r="IU301" s="49"/>
      <c r="IV301" s="49"/>
    </row>
    <row r="302" spans="1:256" s="198" customFormat="1" ht="12" customHeight="1">
      <c r="A302" s="1252"/>
      <c r="B302" s="200"/>
      <c r="C302" s="486"/>
      <c r="D302" s="201"/>
      <c r="E302" s="202"/>
      <c r="F302" s="203"/>
      <c r="G302" s="197"/>
      <c r="H302" s="197"/>
      <c r="I302" s="197"/>
      <c r="J302" s="197"/>
      <c r="K302" s="175"/>
      <c r="L302" s="197"/>
      <c r="M302" s="197"/>
      <c r="N302" s="197"/>
      <c r="O302" s="197"/>
      <c r="P302" s="197"/>
      <c r="Q302" s="1198"/>
      <c r="R302" s="202"/>
      <c r="S302" s="202"/>
      <c r="T302" s="1186"/>
      <c r="U302" s="233"/>
      <c r="V302" s="49"/>
      <c r="W302" s="218"/>
      <c r="X302" s="218"/>
      <c r="Y302" s="216"/>
      <c r="Z302" s="216"/>
      <c r="AA302" s="215"/>
      <c r="AB302" s="216"/>
      <c r="AC302" s="216"/>
      <c r="AD302" s="239"/>
      <c r="AE302" s="216"/>
      <c r="AF302" s="216"/>
      <c r="AG302" s="216"/>
      <c r="AH302" s="216"/>
      <c r="AI302" s="216"/>
      <c r="AJ302" s="216"/>
      <c r="AK302" s="239"/>
      <c r="AL302" s="216"/>
      <c r="AM302" s="216"/>
      <c r="AN302" s="216"/>
      <c r="AO302" s="216"/>
      <c r="AP302" s="216"/>
      <c r="AQ302" s="216"/>
      <c r="AR302" s="216"/>
      <c r="AS302" s="216"/>
      <c r="AT302" s="216"/>
      <c r="AU302" s="216"/>
      <c r="AV302" s="217"/>
      <c r="AW302" s="355"/>
      <c r="AX302" s="217"/>
      <c r="AY302" s="1559"/>
      <c r="AZ302" s="249"/>
      <c r="BA302" s="221"/>
      <c r="BB302" s="300"/>
      <c r="BC302" s="217"/>
      <c r="BD302" s="392"/>
      <c r="BE302" s="1244"/>
      <c r="BF302" s="249"/>
      <c r="BG302" s="252"/>
      <c r="BH302" s="1469"/>
      <c r="BI302" s="216"/>
      <c r="BJ302" s="1469"/>
      <c r="BK302" s="1459"/>
      <c r="BL302" s="260"/>
      <c r="BM302" s="214"/>
      <c r="BN302" s="293"/>
      <c r="BO302" s="217"/>
      <c r="BP302" s="355"/>
      <c r="BQ302" s="217"/>
      <c r="BR302" s="1193"/>
      <c r="BS302" s="249"/>
      <c r="BT302" s="216"/>
      <c r="BU302" s="1195"/>
      <c r="BV302" s="249"/>
      <c r="BW302" s="216"/>
      <c r="BX302" s="1195"/>
      <c r="BY302" s="249"/>
      <c r="BZ302" s="216"/>
      <c r="CA302" s="1195"/>
      <c r="CB302" s="249"/>
      <c r="CC302" s="216"/>
      <c r="CD302" s="1195"/>
      <c r="CE302" s="249"/>
      <c r="CF302" s="216"/>
      <c r="CG302" s="1195"/>
      <c r="CH302" s="249"/>
      <c r="CI302" s="216"/>
      <c r="CJ302" s="1195"/>
      <c r="CK302" s="249"/>
      <c r="CL302" s="216"/>
      <c r="CM302" s="1194"/>
      <c r="CN302" s="1524"/>
      <c r="CO302" s="217"/>
      <c r="CP302" s="1193"/>
      <c r="CQ302" s="293"/>
      <c r="CR302" s="217"/>
      <c r="CS302" s="305"/>
      <c r="CT302" s="249"/>
      <c r="CU302" s="216"/>
      <c r="CV302" s="1193"/>
      <c r="CW302" s="249"/>
      <c r="CX302" s="216"/>
      <c r="CY302" s="305"/>
      <c r="CZ302" s="249"/>
      <c r="DA302" s="216"/>
      <c r="DB302" s="307"/>
      <c r="DC302" s="328"/>
      <c r="DD302" s="322"/>
      <c r="DE302" s="305"/>
      <c r="DF302" s="249"/>
      <c r="DG302" s="216"/>
      <c r="DH302" s="305"/>
      <c r="DI302" s="249"/>
      <c r="DJ302" s="216"/>
      <c r="DK302" s="309"/>
      <c r="DL302" s="293"/>
      <c r="DM302" s="326"/>
      <c r="DN302" s="1256"/>
      <c r="DO302" s="214"/>
      <c r="DP302" s="1257"/>
      <c r="DQ302" s="1258"/>
      <c r="DR302" s="305"/>
      <c r="DS302" s="249"/>
      <c r="DT302" s="216"/>
      <c r="DU302" s="305"/>
      <c r="DV302" s="2520"/>
      <c r="DW302" s="2521"/>
      <c r="DX302" s="305"/>
      <c r="DY302" s="249"/>
      <c r="DZ302" s="221"/>
      <c r="EA302" s="388"/>
      <c r="EB302" s="249"/>
      <c r="EC302" s="216"/>
      <c r="ED302" s="1461"/>
      <c r="EE302" s="249"/>
      <c r="EF302" s="216"/>
      <c r="EG302" s="355"/>
      <c r="EH302" s="1425"/>
      <c r="EI302" s="1470"/>
      <c r="EJ302" s="249"/>
      <c r="EK302" s="221"/>
      <c r="EL302" s="313"/>
      <c r="EM302" s="249"/>
      <c r="EN302" s="221"/>
      <c r="EO302" s="313"/>
      <c r="EP302" s="249"/>
      <c r="EQ302" s="216"/>
      <c r="ER302" s="313"/>
      <c r="ES302" s="249"/>
      <c r="ET302" s="216"/>
      <c r="EU302" s="313"/>
      <c r="EV302" s="249"/>
      <c r="EW302" s="216"/>
      <c r="EX302" s="2505"/>
      <c r="EY302" s="249"/>
      <c r="EZ302" s="221"/>
      <c r="FA302" s="313"/>
      <c r="FB302" s="249"/>
      <c r="FC302" s="221"/>
      <c r="FD302" s="313"/>
      <c r="FE302" s="249"/>
      <c r="FF302" s="221"/>
      <c r="FG302" s="313"/>
      <c r="FH302" s="249"/>
      <c r="FI302" s="216"/>
      <c r="FJ302" s="1435"/>
      <c r="FK302" s="216"/>
      <c r="FL302" s="1268"/>
      <c r="FM302" s="1655"/>
      <c r="FN302" s="1268"/>
      <c r="FO302" s="1655"/>
      <c r="FP302" s="1268"/>
      <c r="FQ302" s="1656"/>
      <c r="FR302" s="249"/>
      <c r="FS302" s="216"/>
      <c r="FT302" s="1657"/>
      <c r="FU302" s="1658"/>
      <c r="FV302" s="242"/>
      <c r="FW302" s="343"/>
      <c r="FX302" s="222"/>
      <c r="FY302" s="336"/>
      <c r="FZ302" s="223"/>
      <c r="GA302" s="338"/>
      <c r="GB302" s="204"/>
      <c r="GC302" s="339"/>
      <c r="GD302" s="342"/>
      <c r="GE302" s="199"/>
      <c r="GF302" s="199"/>
      <c r="GG302" s="199"/>
      <c r="GH302" s="199"/>
      <c r="GI302" s="199"/>
      <c r="GJ302" s="199"/>
      <c r="GK302" s="199"/>
      <c r="GL302" s="49"/>
      <c r="GM302" s="28"/>
      <c r="GN302" s="28"/>
      <c r="GO302" s="322"/>
      <c r="GP302" s="1190"/>
      <c r="GQ302" s="1190"/>
      <c r="GR302" s="49"/>
      <c r="GS302" s="2879"/>
      <c r="GT302" s="2880"/>
      <c r="GU302" s="2881"/>
      <c r="GV302" s="49"/>
      <c r="GW302" s="49"/>
      <c r="GX302" s="49"/>
      <c r="GY302" s="49"/>
      <c r="GZ302" s="49"/>
      <c r="HA302" s="49"/>
      <c r="HB302" s="49"/>
      <c r="HC302" s="49"/>
      <c r="HD302" s="49"/>
      <c r="HE302" s="49"/>
      <c r="HF302" s="49"/>
      <c r="HG302" s="49"/>
      <c r="HH302" s="49"/>
      <c r="HI302" s="49"/>
      <c r="HJ302" s="49"/>
      <c r="HK302" s="49"/>
      <c r="HL302" s="49"/>
      <c r="HM302" s="49"/>
      <c r="HN302" s="49"/>
      <c r="HO302" s="49"/>
      <c r="HP302" s="49"/>
      <c r="HQ302" s="49"/>
      <c r="HR302" s="49"/>
      <c r="HS302" s="49"/>
      <c r="HT302" s="49"/>
      <c r="HU302" s="49"/>
      <c r="HV302" s="49"/>
      <c r="HW302" s="49"/>
      <c r="HX302" s="49"/>
      <c r="HY302" s="49"/>
      <c r="HZ302" s="49"/>
      <c r="IA302" s="49"/>
      <c r="IB302" s="49"/>
      <c r="IC302" s="49"/>
      <c r="ID302" s="49"/>
      <c r="IE302" s="49"/>
      <c r="IF302" s="49"/>
      <c r="IG302" s="49"/>
      <c r="IH302" s="49"/>
      <c r="II302" s="49"/>
      <c r="IJ302" s="49"/>
      <c r="IK302" s="49"/>
      <c r="IL302" s="49"/>
      <c r="IM302" s="49"/>
      <c r="IN302" s="49"/>
      <c r="IO302" s="49"/>
      <c r="IP302" s="49"/>
      <c r="IQ302" s="49"/>
      <c r="IR302" s="49"/>
      <c r="IS302" s="49"/>
      <c r="IT302" s="49"/>
      <c r="IU302" s="49"/>
      <c r="IV302" s="49"/>
    </row>
    <row r="303" spans="1:256" s="198" customFormat="1" ht="12" customHeight="1">
      <c r="A303" s="1252"/>
      <c r="B303" s="200"/>
      <c r="C303" s="486"/>
      <c r="D303" s="201"/>
      <c r="E303" s="202"/>
      <c r="F303" s="203"/>
      <c r="G303" s="197"/>
      <c r="H303" s="197"/>
      <c r="I303" s="197"/>
      <c r="J303" s="197"/>
      <c r="K303" s="175"/>
      <c r="L303" s="197"/>
      <c r="M303" s="197"/>
      <c r="N303" s="197"/>
      <c r="O303" s="197"/>
      <c r="P303" s="197"/>
      <c r="Q303" s="1198"/>
      <c r="R303" s="202"/>
      <c r="S303" s="202"/>
      <c r="T303" s="1186"/>
      <c r="U303" s="233"/>
      <c r="V303" s="49"/>
      <c r="W303" s="218"/>
      <c r="X303" s="218"/>
      <c r="Y303" s="216"/>
      <c r="Z303" s="216"/>
      <c r="AA303" s="215"/>
      <c r="AB303" s="216"/>
      <c r="AC303" s="216"/>
      <c r="AD303" s="239"/>
      <c r="AE303" s="216"/>
      <c r="AF303" s="216"/>
      <c r="AG303" s="216"/>
      <c r="AH303" s="216"/>
      <c r="AI303" s="216"/>
      <c r="AJ303" s="216"/>
      <c r="AK303" s="239"/>
      <c r="AL303" s="216"/>
      <c r="AM303" s="216"/>
      <c r="AN303" s="216"/>
      <c r="AO303" s="216"/>
      <c r="AP303" s="216"/>
      <c r="AQ303" s="216"/>
      <c r="AR303" s="216"/>
      <c r="AS303" s="216"/>
      <c r="AT303" s="216"/>
      <c r="AU303" s="216"/>
      <c r="AV303" s="217"/>
      <c r="AW303" s="355"/>
      <c r="AX303" s="217"/>
      <c r="AY303" s="1559"/>
      <c r="AZ303" s="249"/>
      <c r="BA303" s="221"/>
      <c r="BB303" s="300"/>
      <c r="BC303" s="217"/>
      <c r="BD303" s="392"/>
      <c r="BE303" s="1244"/>
      <c r="BF303" s="249"/>
      <c r="BG303" s="252"/>
      <c r="BH303" s="1469"/>
      <c r="BI303" s="216"/>
      <c r="BJ303" s="1469"/>
      <c r="BK303" s="1459"/>
      <c r="BL303" s="260"/>
      <c r="BM303" s="214"/>
      <c r="BN303" s="293"/>
      <c r="BO303" s="217"/>
      <c r="BP303" s="355"/>
      <c r="BQ303" s="217"/>
      <c r="BR303" s="1193"/>
      <c r="BS303" s="249"/>
      <c r="BT303" s="216"/>
      <c r="BU303" s="1195"/>
      <c r="BV303" s="249"/>
      <c r="BW303" s="216"/>
      <c r="BX303" s="1195"/>
      <c r="BY303" s="249"/>
      <c r="BZ303" s="216"/>
      <c r="CA303" s="1195"/>
      <c r="CB303" s="249"/>
      <c r="CC303" s="216"/>
      <c r="CD303" s="1195"/>
      <c r="CE303" s="249"/>
      <c r="CF303" s="216"/>
      <c r="CG303" s="1195"/>
      <c r="CH303" s="249"/>
      <c r="CI303" s="216"/>
      <c r="CJ303" s="1195"/>
      <c r="CK303" s="249"/>
      <c r="CL303" s="216"/>
      <c r="CM303" s="1194"/>
      <c r="CN303" s="1524"/>
      <c r="CO303" s="217"/>
      <c r="CP303" s="1193"/>
      <c r="CQ303" s="293"/>
      <c r="CR303" s="217"/>
      <c r="CS303" s="305"/>
      <c r="CT303" s="249"/>
      <c r="CU303" s="216"/>
      <c r="CV303" s="1193"/>
      <c r="CW303" s="249"/>
      <c r="CX303" s="216"/>
      <c r="CY303" s="305"/>
      <c r="CZ303" s="249"/>
      <c r="DA303" s="216"/>
      <c r="DB303" s="307"/>
      <c r="DC303" s="328"/>
      <c r="DD303" s="322"/>
      <c r="DE303" s="305"/>
      <c r="DF303" s="249"/>
      <c r="DG303" s="216"/>
      <c r="DH303" s="305"/>
      <c r="DI303" s="249"/>
      <c r="DJ303" s="216"/>
      <c r="DK303" s="309"/>
      <c r="DL303" s="293"/>
      <c r="DM303" s="326"/>
      <c r="DN303" s="1256"/>
      <c r="DO303" s="214"/>
      <c r="DP303" s="1257"/>
      <c r="DQ303" s="1258"/>
      <c r="DR303" s="305"/>
      <c r="DS303" s="249"/>
      <c r="DT303" s="216"/>
      <c r="DU303" s="305"/>
      <c r="DV303" s="2520"/>
      <c r="DW303" s="2521"/>
      <c r="DX303" s="305"/>
      <c r="DY303" s="249"/>
      <c r="DZ303" s="221"/>
      <c r="EA303" s="388"/>
      <c r="EB303" s="249"/>
      <c r="EC303" s="216"/>
      <c r="ED303" s="1461"/>
      <c r="EE303" s="249"/>
      <c r="EF303" s="216"/>
      <c r="EG303" s="355"/>
      <c r="EH303" s="1425"/>
      <c r="EI303" s="1470"/>
      <c r="EJ303" s="249"/>
      <c r="EK303" s="221"/>
      <c r="EL303" s="313"/>
      <c r="EM303" s="249"/>
      <c r="EN303" s="221"/>
      <c r="EO303" s="313"/>
      <c r="EP303" s="249"/>
      <c r="EQ303" s="216"/>
      <c r="ER303" s="313"/>
      <c r="ES303" s="249"/>
      <c r="ET303" s="216"/>
      <c r="EU303" s="313"/>
      <c r="EV303" s="249"/>
      <c r="EW303" s="216"/>
      <c r="EX303" s="2505"/>
      <c r="EY303" s="249"/>
      <c r="EZ303" s="221"/>
      <c r="FA303" s="313"/>
      <c r="FB303" s="249"/>
      <c r="FC303" s="221"/>
      <c r="FD303" s="313"/>
      <c r="FE303" s="249"/>
      <c r="FF303" s="221"/>
      <c r="FG303" s="313"/>
      <c r="FH303" s="249"/>
      <c r="FI303" s="216"/>
      <c r="FJ303" s="1435"/>
      <c r="FK303" s="216"/>
      <c r="FL303" s="1268"/>
      <c r="FM303" s="1655"/>
      <c r="FN303" s="1268"/>
      <c r="FO303" s="1655"/>
      <c r="FP303" s="1268"/>
      <c r="FQ303" s="1656"/>
      <c r="FR303" s="249"/>
      <c r="FS303" s="216"/>
      <c r="FT303" s="1657"/>
      <c r="FU303" s="1658"/>
      <c r="FV303" s="242"/>
      <c r="FW303" s="343"/>
      <c r="FX303" s="222"/>
      <c r="FY303" s="336"/>
      <c r="FZ303" s="223"/>
      <c r="GA303" s="338"/>
      <c r="GB303" s="204"/>
      <c r="GC303" s="339"/>
      <c r="GD303" s="342"/>
      <c r="GE303" s="199"/>
      <c r="GF303" s="199"/>
      <c r="GG303" s="199"/>
      <c r="GH303" s="199"/>
      <c r="GI303" s="199"/>
      <c r="GJ303" s="199"/>
      <c r="GK303" s="199"/>
      <c r="GL303" s="49"/>
      <c r="GM303" s="28"/>
      <c r="GN303" s="28"/>
      <c r="GO303" s="322"/>
      <c r="GP303" s="1190"/>
      <c r="GQ303" s="1190"/>
      <c r="GR303" s="49"/>
      <c r="GS303" s="2879"/>
      <c r="GT303" s="2880"/>
      <c r="GU303" s="2881"/>
      <c r="GV303" s="49"/>
      <c r="GW303" s="49"/>
      <c r="GX303" s="49"/>
      <c r="GY303" s="49"/>
      <c r="GZ303" s="49"/>
      <c r="HA303" s="49"/>
      <c r="HB303" s="49"/>
      <c r="HC303" s="49"/>
      <c r="HD303" s="49"/>
      <c r="HE303" s="49"/>
      <c r="HF303" s="49"/>
      <c r="HG303" s="49"/>
      <c r="HH303" s="49"/>
      <c r="HI303" s="49"/>
      <c r="HJ303" s="49"/>
      <c r="HK303" s="49"/>
      <c r="HL303" s="49"/>
      <c r="HM303" s="49"/>
      <c r="HN303" s="49"/>
      <c r="HO303" s="49"/>
      <c r="HP303" s="49"/>
      <c r="HQ303" s="49"/>
      <c r="HR303" s="49"/>
      <c r="HS303" s="49"/>
      <c r="HT303" s="49"/>
      <c r="HU303" s="49"/>
      <c r="HV303" s="49"/>
      <c r="HW303" s="49"/>
      <c r="HX303" s="49"/>
      <c r="HY303" s="49"/>
      <c r="HZ303" s="49"/>
      <c r="IA303" s="49"/>
      <c r="IB303" s="49"/>
      <c r="IC303" s="49"/>
      <c r="ID303" s="49"/>
      <c r="IE303" s="49"/>
      <c r="IF303" s="49"/>
      <c r="IG303" s="49"/>
      <c r="IH303" s="49"/>
      <c r="II303" s="49"/>
      <c r="IJ303" s="49"/>
      <c r="IK303" s="49"/>
      <c r="IL303" s="49"/>
      <c r="IM303" s="49"/>
      <c r="IN303" s="49"/>
      <c r="IO303" s="49"/>
      <c r="IP303" s="49"/>
      <c r="IQ303" s="49"/>
      <c r="IR303" s="49"/>
      <c r="IS303" s="49"/>
      <c r="IT303" s="49"/>
      <c r="IU303" s="49"/>
      <c r="IV303" s="49"/>
    </row>
    <row r="304" spans="1:256" s="198" customFormat="1" ht="12" customHeight="1">
      <c r="A304" s="1252"/>
      <c r="B304" s="200"/>
      <c r="C304" s="486"/>
      <c r="D304" s="201"/>
      <c r="E304" s="202"/>
      <c r="F304" s="203"/>
      <c r="G304" s="197"/>
      <c r="H304" s="197"/>
      <c r="I304" s="197"/>
      <c r="J304" s="197"/>
      <c r="K304" s="175"/>
      <c r="L304" s="197"/>
      <c r="M304" s="197"/>
      <c r="N304" s="197"/>
      <c r="O304" s="197"/>
      <c r="P304" s="197"/>
      <c r="Q304" s="1198"/>
      <c r="R304" s="202"/>
      <c r="S304" s="202"/>
      <c r="T304" s="1186"/>
      <c r="U304" s="233"/>
      <c r="V304" s="49"/>
      <c r="W304" s="218"/>
      <c r="X304" s="218"/>
      <c r="Y304" s="216"/>
      <c r="Z304" s="216"/>
      <c r="AA304" s="215"/>
      <c r="AB304" s="216"/>
      <c r="AC304" s="216"/>
      <c r="AD304" s="239"/>
      <c r="AE304" s="216"/>
      <c r="AF304" s="216"/>
      <c r="AG304" s="216"/>
      <c r="AH304" s="216"/>
      <c r="AI304" s="216"/>
      <c r="AJ304" s="216"/>
      <c r="AK304" s="239"/>
      <c r="AL304" s="216"/>
      <c r="AM304" s="216"/>
      <c r="AN304" s="216"/>
      <c r="AO304" s="216"/>
      <c r="AP304" s="216"/>
      <c r="AQ304" s="216"/>
      <c r="AR304" s="216"/>
      <c r="AS304" s="216"/>
      <c r="AT304" s="216"/>
      <c r="AU304" s="216"/>
      <c r="AV304" s="217"/>
      <c r="AW304" s="355"/>
      <c r="AX304" s="217"/>
      <c r="AY304" s="1559"/>
      <c r="AZ304" s="249"/>
      <c r="BA304" s="221"/>
      <c r="BB304" s="300"/>
      <c r="BC304" s="217"/>
      <c r="BD304" s="392"/>
      <c r="BE304" s="1244"/>
      <c r="BF304" s="249"/>
      <c r="BG304" s="252"/>
      <c r="BH304" s="1469"/>
      <c r="BI304" s="216"/>
      <c r="BJ304" s="1469"/>
      <c r="BK304" s="1459"/>
      <c r="BL304" s="260"/>
      <c r="BM304" s="214"/>
      <c r="BN304" s="293"/>
      <c r="BO304" s="217"/>
      <c r="BP304" s="355"/>
      <c r="BQ304" s="217"/>
      <c r="BR304" s="1193"/>
      <c r="BS304" s="249"/>
      <c r="BT304" s="216"/>
      <c r="BU304" s="1195"/>
      <c r="BV304" s="249"/>
      <c r="BW304" s="216"/>
      <c r="BX304" s="1195"/>
      <c r="BY304" s="249"/>
      <c r="BZ304" s="216"/>
      <c r="CA304" s="1195"/>
      <c r="CB304" s="249"/>
      <c r="CC304" s="216"/>
      <c r="CD304" s="1195"/>
      <c r="CE304" s="249"/>
      <c r="CF304" s="216"/>
      <c r="CG304" s="1195"/>
      <c r="CH304" s="249"/>
      <c r="CI304" s="216"/>
      <c r="CJ304" s="1195"/>
      <c r="CK304" s="249"/>
      <c r="CL304" s="216"/>
      <c r="CM304" s="1194"/>
      <c r="CN304" s="1524"/>
      <c r="CO304" s="217"/>
      <c r="CP304" s="1193"/>
      <c r="CQ304" s="293"/>
      <c r="CR304" s="217"/>
      <c r="CS304" s="305"/>
      <c r="CT304" s="249"/>
      <c r="CU304" s="216"/>
      <c r="CV304" s="1193"/>
      <c r="CW304" s="249"/>
      <c r="CX304" s="216"/>
      <c r="CY304" s="305"/>
      <c r="CZ304" s="249"/>
      <c r="DA304" s="216"/>
      <c r="DB304" s="307"/>
      <c r="DC304" s="328"/>
      <c r="DD304" s="322"/>
      <c r="DE304" s="305"/>
      <c r="DF304" s="249"/>
      <c r="DG304" s="216"/>
      <c r="DH304" s="305"/>
      <c r="DI304" s="249"/>
      <c r="DJ304" s="216"/>
      <c r="DK304" s="309"/>
      <c r="DL304" s="293"/>
      <c r="DM304" s="326"/>
      <c r="DN304" s="1256"/>
      <c r="DO304" s="214"/>
      <c r="DP304" s="1257"/>
      <c r="DQ304" s="1258"/>
      <c r="DR304" s="305"/>
      <c r="DS304" s="249"/>
      <c r="DT304" s="216"/>
      <c r="DU304" s="305"/>
      <c r="DV304" s="2520"/>
      <c r="DW304" s="2521"/>
      <c r="DX304" s="305"/>
      <c r="DY304" s="249"/>
      <c r="DZ304" s="221"/>
      <c r="EA304" s="388"/>
      <c r="EB304" s="249"/>
      <c r="EC304" s="216"/>
      <c r="ED304" s="1461"/>
      <c r="EE304" s="249"/>
      <c r="EF304" s="216"/>
      <c r="EG304" s="355"/>
      <c r="EH304" s="1425"/>
      <c r="EI304" s="1470"/>
      <c r="EJ304" s="249"/>
      <c r="EK304" s="221"/>
      <c r="EL304" s="313"/>
      <c r="EM304" s="249"/>
      <c r="EN304" s="221"/>
      <c r="EO304" s="313"/>
      <c r="EP304" s="249"/>
      <c r="EQ304" s="216"/>
      <c r="ER304" s="313"/>
      <c r="ES304" s="249"/>
      <c r="ET304" s="216"/>
      <c r="EU304" s="313"/>
      <c r="EV304" s="249"/>
      <c r="EW304" s="216"/>
      <c r="EX304" s="2505"/>
      <c r="EY304" s="249"/>
      <c r="EZ304" s="221"/>
      <c r="FA304" s="313"/>
      <c r="FB304" s="249"/>
      <c r="FC304" s="221"/>
      <c r="FD304" s="313"/>
      <c r="FE304" s="249"/>
      <c r="FF304" s="221"/>
      <c r="FG304" s="313"/>
      <c r="FH304" s="249"/>
      <c r="FI304" s="216"/>
      <c r="FJ304" s="1435"/>
      <c r="FK304" s="216"/>
      <c r="FL304" s="1268"/>
      <c r="FM304" s="1655"/>
      <c r="FN304" s="1268"/>
      <c r="FO304" s="1655"/>
      <c r="FP304" s="1268"/>
      <c r="FQ304" s="1656"/>
      <c r="FR304" s="249"/>
      <c r="FS304" s="216"/>
      <c r="FT304" s="1657"/>
      <c r="FU304" s="1658"/>
      <c r="FV304" s="242"/>
      <c r="FW304" s="343"/>
      <c r="FX304" s="222"/>
      <c r="FY304" s="336"/>
      <c r="FZ304" s="223"/>
      <c r="GA304" s="338"/>
      <c r="GB304" s="204"/>
      <c r="GC304" s="339"/>
      <c r="GD304" s="342"/>
      <c r="GE304" s="199"/>
      <c r="GF304" s="199"/>
      <c r="GG304" s="199"/>
      <c r="GH304" s="199"/>
      <c r="GI304" s="199"/>
      <c r="GJ304" s="199"/>
      <c r="GK304" s="199"/>
      <c r="GL304" s="49"/>
      <c r="GM304" s="28"/>
      <c r="GN304" s="28"/>
      <c r="GO304" s="322"/>
      <c r="GP304" s="1190"/>
      <c r="GQ304" s="1190"/>
      <c r="GR304" s="49"/>
      <c r="GS304" s="2879"/>
      <c r="GT304" s="2880"/>
      <c r="GU304" s="2881"/>
      <c r="GV304" s="49"/>
      <c r="GW304" s="49"/>
      <c r="GX304" s="49"/>
      <c r="GY304" s="49"/>
      <c r="GZ304" s="49"/>
      <c r="HA304" s="49"/>
      <c r="HB304" s="49"/>
      <c r="HC304" s="49"/>
      <c r="HD304" s="49"/>
      <c r="HE304" s="49"/>
      <c r="HF304" s="49"/>
      <c r="HG304" s="49"/>
      <c r="HH304" s="49"/>
      <c r="HI304" s="49"/>
      <c r="HJ304" s="49"/>
      <c r="HK304" s="49"/>
      <c r="HL304" s="49"/>
      <c r="HM304" s="49"/>
      <c r="HN304" s="49"/>
      <c r="HO304" s="49"/>
      <c r="HP304" s="49"/>
      <c r="HQ304" s="49"/>
      <c r="HR304" s="49"/>
      <c r="HS304" s="49"/>
      <c r="HT304" s="49"/>
      <c r="HU304" s="49"/>
      <c r="HV304" s="49"/>
      <c r="HW304" s="49"/>
      <c r="HX304" s="49"/>
      <c r="HY304" s="49"/>
      <c r="HZ304" s="49"/>
      <c r="IA304" s="49"/>
      <c r="IB304" s="49"/>
      <c r="IC304" s="49"/>
      <c r="ID304" s="49"/>
      <c r="IE304" s="49"/>
      <c r="IF304" s="49"/>
      <c r="IG304" s="49"/>
      <c r="IH304" s="49"/>
      <c r="II304" s="49"/>
      <c r="IJ304" s="49"/>
      <c r="IK304" s="49"/>
      <c r="IL304" s="49"/>
      <c r="IM304" s="49"/>
      <c r="IN304" s="49"/>
      <c r="IO304" s="49"/>
      <c r="IP304" s="49"/>
      <c r="IQ304" s="49"/>
      <c r="IR304" s="49"/>
      <c r="IS304" s="49"/>
      <c r="IT304" s="49"/>
      <c r="IU304" s="49"/>
      <c r="IV304" s="49"/>
    </row>
    <row r="305" spans="1:256" s="198" customFormat="1" ht="12" customHeight="1">
      <c r="A305" s="1252"/>
      <c r="B305" s="200"/>
      <c r="C305" s="486"/>
      <c r="D305" s="201"/>
      <c r="E305" s="202"/>
      <c r="F305" s="203"/>
      <c r="G305" s="197"/>
      <c r="H305" s="197"/>
      <c r="I305" s="197"/>
      <c r="J305" s="197"/>
      <c r="K305" s="175"/>
      <c r="L305" s="197"/>
      <c r="M305" s="197"/>
      <c r="N305" s="197"/>
      <c r="O305" s="197"/>
      <c r="P305" s="197"/>
      <c r="Q305" s="1198"/>
      <c r="R305" s="202"/>
      <c r="S305" s="202"/>
      <c r="T305" s="1186"/>
      <c r="U305" s="233"/>
      <c r="V305" s="49"/>
      <c r="W305" s="218"/>
      <c r="X305" s="218"/>
      <c r="Y305" s="216"/>
      <c r="Z305" s="216"/>
      <c r="AA305" s="215"/>
      <c r="AB305" s="216"/>
      <c r="AC305" s="216"/>
      <c r="AD305" s="239"/>
      <c r="AE305" s="216"/>
      <c r="AF305" s="216"/>
      <c r="AG305" s="216"/>
      <c r="AH305" s="216"/>
      <c r="AI305" s="216"/>
      <c r="AJ305" s="216"/>
      <c r="AK305" s="239"/>
      <c r="AL305" s="216"/>
      <c r="AM305" s="216"/>
      <c r="AN305" s="216"/>
      <c r="AO305" s="216"/>
      <c r="AP305" s="216"/>
      <c r="AQ305" s="216"/>
      <c r="AR305" s="216"/>
      <c r="AS305" s="216"/>
      <c r="AT305" s="216"/>
      <c r="AU305" s="216"/>
      <c r="AV305" s="217"/>
      <c r="AW305" s="355"/>
      <c r="AX305" s="217"/>
      <c r="AY305" s="1559"/>
      <c r="AZ305" s="249"/>
      <c r="BA305" s="221"/>
      <c r="BB305" s="300"/>
      <c r="BC305" s="217"/>
      <c r="BD305" s="392"/>
      <c r="BE305" s="1244"/>
      <c r="BF305" s="249"/>
      <c r="BG305" s="252"/>
      <c r="BH305" s="1469"/>
      <c r="BI305" s="216"/>
      <c r="BJ305" s="1469"/>
      <c r="BK305" s="1459"/>
      <c r="BL305" s="260"/>
      <c r="BM305" s="214"/>
      <c r="BN305" s="293"/>
      <c r="BO305" s="217"/>
      <c r="BP305" s="355"/>
      <c r="BQ305" s="217"/>
      <c r="BR305" s="1193"/>
      <c r="BS305" s="249"/>
      <c r="BT305" s="216"/>
      <c r="BU305" s="1195"/>
      <c r="BV305" s="249"/>
      <c r="BW305" s="216"/>
      <c r="BX305" s="1195"/>
      <c r="BY305" s="249"/>
      <c r="BZ305" s="216"/>
      <c r="CA305" s="1195"/>
      <c r="CB305" s="249"/>
      <c r="CC305" s="216"/>
      <c r="CD305" s="1195"/>
      <c r="CE305" s="249"/>
      <c r="CF305" s="216"/>
      <c r="CG305" s="1195"/>
      <c r="CH305" s="249"/>
      <c r="CI305" s="216"/>
      <c r="CJ305" s="1195"/>
      <c r="CK305" s="249"/>
      <c r="CL305" s="216"/>
      <c r="CM305" s="1194"/>
      <c r="CN305" s="1524"/>
      <c r="CO305" s="217"/>
      <c r="CP305" s="1193"/>
      <c r="CQ305" s="293"/>
      <c r="CR305" s="217"/>
      <c r="CS305" s="305"/>
      <c r="CT305" s="249"/>
      <c r="CU305" s="216"/>
      <c r="CV305" s="1193"/>
      <c r="CW305" s="249"/>
      <c r="CX305" s="216"/>
      <c r="CY305" s="305"/>
      <c r="CZ305" s="249"/>
      <c r="DA305" s="216"/>
      <c r="DB305" s="307"/>
      <c r="DC305" s="328"/>
      <c r="DD305" s="322"/>
      <c r="DE305" s="305"/>
      <c r="DF305" s="249"/>
      <c r="DG305" s="216"/>
      <c r="DH305" s="305"/>
      <c r="DI305" s="249"/>
      <c r="DJ305" s="216"/>
      <c r="DK305" s="309"/>
      <c r="DL305" s="293"/>
      <c r="DM305" s="326"/>
      <c r="DN305" s="1256"/>
      <c r="DO305" s="214"/>
      <c r="DP305" s="1257"/>
      <c r="DQ305" s="1258"/>
      <c r="DR305" s="305"/>
      <c r="DS305" s="249"/>
      <c r="DT305" s="216"/>
      <c r="DU305" s="305"/>
      <c r="DV305" s="2520"/>
      <c r="DW305" s="2521"/>
      <c r="DX305" s="305"/>
      <c r="DY305" s="249"/>
      <c r="DZ305" s="221"/>
      <c r="EA305" s="388"/>
      <c r="EB305" s="249"/>
      <c r="EC305" s="216"/>
      <c r="ED305" s="1461"/>
      <c r="EE305" s="249"/>
      <c r="EF305" s="216"/>
      <c r="EG305" s="355"/>
      <c r="EH305" s="1425"/>
      <c r="EI305" s="1470"/>
      <c r="EJ305" s="249"/>
      <c r="EK305" s="221"/>
      <c r="EL305" s="313"/>
      <c r="EM305" s="249"/>
      <c r="EN305" s="221"/>
      <c r="EO305" s="313"/>
      <c r="EP305" s="249"/>
      <c r="EQ305" s="216"/>
      <c r="ER305" s="313"/>
      <c r="ES305" s="249"/>
      <c r="ET305" s="216"/>
      <c r="EU305" s="313"/>
      <c r="EV305" s="249"/>
      <c r="EW305" s="216"/>
      <c r="EX305" s="2505"/>
      <c r="EY305" s="249"/>
      <c r="EZ305" s="221"/>
      <c r="FA305" s="313"/>
      <c r="FB305" s="249"/>
      <c r="FC305" s="221"/>
      <c r="FD305" s="313"/>
      <c r="FE305" s="249"/>
      <c r="FF305" s="221"/>
      <c r="FG305" s="313"/>
      <c r="FH305" s="249"/>
      <c r="FI305" s="216"/>
      <c r="FJ305" s="1435"/>
      <c r="FK305" s="216"/>
      <c r="FL305" s="1268"/>
      <c r="FM305" s="1655"/>
      <c r="FN305" s="1268"/>
      <c r="FO305" s="1655"/>
      <c r="FP305" s="1268"/>
      <c r="FQ305" s="1656"/>
      <c r="FR305" s="249"/>
      <c r="FS305" s="216"/>
      <c r="FT305" s="1657"/>
      <c r="FU305" s="1658"/>
      <c r="FV305" s="242"/>
      <c r="FW305" s="343"/>
      <c r="FX305" s="222"/>
      <c r="FY305" s="336"/>
      <c r="FZ305" s="223"/>
      <c r="GA305" s="338"/>
      <c r="GB305" s="204"/>
      <c r="GC305" s="339"/>
      <c r="GD305" s="342"/>
      <c r="GE305" s="199"/>
      <c r="GF305" s="199"/>
      <c r="GG305" s="199"/>
      <c r="GH305" s="199"/>
      <c r="GI305" s="199"/>
      <c r="GJ305" s="199"/>
      <c r="GK305" s="199"/>
      <c r="GL305" s="49"/>
      <c r="GM305" s="28"/>
      <c r="GN305" s="28"/>
      <c r="GO305" s="322"/>
      <c r="GP305" s="1190"/>
      <c r="GQ305" s="1190"/>
      <c r="GR305" s="49"/>
      <c r="GS305" s="2879"/>
      <c r="GT305" s="2880"/>
      <c r="GU305" s="2881"/>
      <c r="GV305" s="49"/>
      <c r="GW305" s="49"/>
      <c r="GX305" s="49"/>
      <c r="GY305" s="49"/>
      <c r="GZ305" s="49"/>
      <c r="HA305" s="49"/>
      <c r="HB305" s="49"/>
      <c r="HC305" s="49"/>
      <c r="HD305" s="49"/>
      <c r="HE305" s="49"/>
      <c r="HF305" s="49"/>
      <c r="HG305" s="49"/>
      <c r="HH305" s="49"/>
      <c r="HI305" s="49"/>
      <c r="HJ305" s="49"/>
      <c r="HK305" s="49"/>
      <c r="HL305" s="49"/>
      <c r="HM305" s="49"/>
      <c r="HN305" s="49"/>
      <c r="HO305" s="49"/>
      <c r="HP305" s="49"/>
      <c r="HQ305" s="49"/>
      <c r="HR305" s="49"/>
      <c r="HS305" s="49"/>
      <c r="HT305" s="49"/>
      <c r="HU305" s="49"/>
      <c r="HV305" s="49"/>
      <c r="HW305" s="49"/>
      <c r="HX305" s="49"/>
      <c r="HY305" s="49"/>
      <c r="HZ305" s="49"/>
      <c r="IA305" s="49"/>
      <c r="IB305" s="49"/>
      <c r="IC305" s="49"/>
      <c r="ID305" s="49"/>
      <c r="IE305" s="49"/>
      <c r="IF305" s="49"/>
      <c r="IG305" s="49"/>
      <c r="IH305" s="49"/>
      <c r="II305" s="49"/>
      <c r="IJ305" s="49"/>
      <c r="IK305" s="49"/>
      <c r="IL305" s="49"/>
      <c r="IM305" s="49"/>
      <c r="IN305" s="49"/>
      <c r="IO305" s="49"/>
      <c r="IP305" s="49"/>
      <c r="IQ305" s="49"/>
      <c r="IR305" s="49"/>
      <c r="IS305" s="49"/>
      <c r="IT305" s="49"/>
      <c r="IU305" s="49"/>
      <c r="IV305" s="49"/>
    </row>
    <row r="306" spans="1:256" s="198" customFormat="1" ht="12" customHeight="1">
      <c r="A306" s="1252"/>
      <c r="B306" s="200"/>
      <c r="C306" s="486"/>
      <c r="D306" s="201"/>
      <c r="E306" s="202"/>
      <c r="F306" s="203"/>
      <c r="G306" s="197"/>
      <c r="H306" s="197"/>
      <c r="I306" s="197"/>
      <c r="J306" s="197"/>
      <c r="K306" s="175"/>
      <c r="L306" s="197"/>
      <c r="M306" s="197"/>
      <c r="N306" s="197"/>
      <c r="O306" s="197"/>
      <c r="P306" s="197"/>
      <c r="Q306" s="1198"/>
      <c r="R306" s="202"/>
      <c r="S306" s="202"/>
      <c r="T306" s="1186"/>
      <c r="U306" s="233"/>
      <c r="V306" s="49"/>
      <c r="W306" s="218"/>
      <c r="X306" s="218"/>
      <c r="Y306" s="216"/>
      <c r="Z306" s="216"/>
      <c r="AA306" s="215"/>
      <c r="AB306" s="216"/>
      <c r="AC306" s="216"/>
      <c r="AD306" s="239"/>
      <c r="AE306" s="216"/>
      <c r="AF306" s="216"/>
      <c r="AG306" s="216"/>
      <c r="AH306" s="216"/>
      <c r="AI306" s="216"/>
      <c r="AJ306" s="216"/>
      <c r="AK306" s="239"/>
      <c r="AL306" s="216"/>
      <c r="AM306" s="216"/>
      <c r="AN306" s="216"/>
      <c r="AO306" s="216"/>
      <c r="AP306" s="216"/>
      <c r="AQ306" s="216"/>
      <c r="AR306" s="216"/>
      <c r="AS306" s="216"/>
      <c r="AT306" s="216"/>
      <c r="AU306" s="216"/>
      <c r="AV306" s="217"/>
      <c r="AW306" s="355"/>
      <c r="AX306" s="217"/>
      <c r="AY306" s="1559"/>
      <c r="AZ306" s="249"/>
      <c r="BA306" s="221"/>
      <c r="BB306" s="300"/>
      <c r="BC306" s="217"/>
      <c r="BD306" s="392"/>
      <c r="BE306" s="1244"/>
      <c r="BF306" s="249"/>
      <c r="BG306" s="252"/>
      <c r="BH306" s="1469"/>
      <c r="BI306" s="216"/>
      <c r="BJ306" s="1469"/>
      <c r="BK306" s="1459"/>
      <c r="BL306" s="260"/>
      <c r="BM306" s="214"/>
      <c r="BN306" s="293"/>
      <c r="BO306" s="217"/>
      <c r="BP306" s="355"/>
      <c r="BQ306" s="217"/>
      <c r="BR306" s="1193"/>
      <c r="BS306" s="249"/>
      <c r="BT306" s="216"/>
      <c r="BU306" s="1195"/>
      <c r="BV306" s="249"/>
      <c r="BW306" s="216"/>
      <c r="BX306" s="1195"/>
      <c r="BY306" s="249"/>
      <c r="BZ306" s="216"/>
      <c r="CA306" s="1195"/>
      <c r="CB306" s="249"/>
      <c r="CC306" s="216"/>
      <c r="CD306" s="1195"/>
      <c r="CE306" s="249"/>
      <c r="CF306" s="216"/>
      <c r="CG306" s="1195"/>
      <c r="CH306" s="249"/>
      <c r="CI306" s="216"/>
      <c r="CJ306" s="1195"/>
      <c r="CK306" s="249"/>
      <c r="CL306" s="216"/>
      <c r="CM306" s="1194"/>
      <c r="CN306" s="1524"/>
      <c r="CO306" s="217"/>
      <c r="CP306" s="1193"/>
      <c r="CQ306" s="293"/>
      <c r="CR306" s="217"/>
      <c r="CS306" s="305"/>
      <c r="CT306" s="249"/>
      <c r="CU306" s="216"/>
      <c r="CV306" s="1193"/>
      <c r="CW306" s="249"/>
      <c r="CX306" s="216"/>
      <c r="CY306" s="305"/>
      <c r="CZ306" s="249"/>
      <c r="DA306" s="216"/>
      <c r="DB306" s="307"/>
      <c r="DC306" s="328"/>
      <c r="DD306" s="322"/>
      <c r="DE306" s="305"/>
      <c r="DF306" s="249"/>
      <c r="DG306" s="216"/>
      <c r="DH306" s="305"/>
      <c r="DI306" s="249"/>
      <c r="DJ306" s="216"/>
      <c r="DK306" s="309"/>
      <c r="DL306" s="293"/>
      <c r="DM306" s="326"/>
      <c r="DN306" s="1256"/>
      <c r="DO306" s="214"/>
      <c r="DP306" s="1257"/>
      <c r="DQ306" s="1258"/>
      <c r="DR306" s="305"/>
      <c r="DS306" s="249"/>
      <c r="DT306" s="216"/>
      <c r="DU306" s="305"/>
      <c r="DV306" s="2520"/>
      <c r="DW306" s="2521"/>
      <c r="DX306" s="305"/>
      <c r="DY306" s="249"/>
      <c r="DZ306" s="221"/>
      <c r="EA306" s="388"/>
      <c r="EB306" s="249"/>
      <c r="EC306" s="216"/>
      <c r="ED306" s="1461"/>
      <c r="EE306" s="249"/>
      <c r="EF306" s="216"/>
      <c r="EG306" s="355"/>
      <c r="EH306" s="1425"/>
      <c r="EI306" s="1470"/>
      <c r="EJ306" s="249"/>
      <c r="EK306" s="221"/>
      <c r="EL306" s="313"/>
      <c r="EM306" s="249"/>
      <c r="EN306" s="221"/>
      <c r="EO306" s="313"/>
      <c r="EP306" s="249"/>
      <c r="EQ306" s="216"/>
      <c r="ER306" s="313"/>
      <c r="ES306" s="249"/>
      <c r="ET306" s="216"/>
      <c r="EU306" s="313"/>
      <c r="EV306" s="249"/>
      <c r="EW306" s="216"/>
      <c r="EX306" s="2505"/>
      <c r="EY306" s="249"/>
      <c r="EZ306" s="221"/>
      <c r="FA306" s="313"/>
      <c r="FB306" s="249"/>
      <c r="FC306" s="221"/>
      <c r="FD306" s="313"/>
      <c r="FE306" s="249"/>
      <c r="FF306" s="221"/>
      <c r="FG306" s="313"/>
      <c r="FH306" s="249"/>
      <c r="FI306" s="216"/>
      <c r="FJ306" s="1435"/>
      <c r="FK306" s="216"/>
      <c r="FL306" s="1268"/>
      <c r="FM306" s="1655"/>
      <c r="FN306" s="1268"/>
      <c r="FO306" s="1655"/>
      <c r="FP306" s="1268"/>
      <c r="FQ306" s="1656"/>
      <c r="FR306" s="249"/>
      <c r="FS306" s="216"/>
      <c r="FT306" s="1657"/>
      <c r="FU306" s="1658"/>
      <c r="FV306" s="242"/>
      <c r="FW306" s="343"/>
      <c r="FX306" s="222"/>
      <c r="FY306" s="336"/>
      <c r="FZ306" s="223"/>
      <c r="GA306" s="338"/>
      <c r="GB306" s="204"/>
      <c r="GC306" s="339"/>
      <c r="GD306" s="342"/>
      <c r="GE306" s="199"/>
      <c r="GF306" s="199"/>
      <c r="GG306" s="199"/>
      <c r="GH306" s="199"/>
      <c r="GI306" s="199"/>
      <c r="GJ306" s="199"/>
      <c r="GK306" s="199"/>
      <c r="GL306" s="49"/>
      <c r="GM306" s="28"/>
      <c r="GN306" s="28"/>
      <c r="GO306" s="322"/>
      <c r="GP306" s="1190"/>
      <c r="GQ306" s="1190"/>
      <c r="GR306" s="49"/>
      <c r="GS306" s="2879"/>
      <c r="GT306" s="2880"/>
      <c r="GU306" s="2881"/>
      <c r="GV306" s="49"/>
      <c r="GW306" s="49"/>
      <c r="GX306" s="49"/>
      <c r="GY306" s="49"/>
      <c r="GZ306" s="49"/>
      <c r="HA306" s="49"/>
      <c r="HB306" s="49"/>
      <c r="HC306" s="49"/>
      <c r="HD306" s="49"/>
      <c r="HE306" s="49"/>
      <c r="HF306" s="49"/>
      <c r="HG306" s="49"/>
      <c r="HH306" s="49"/>
      <c r="HI306" s="49"/>
      <c r="HJ306" s="49"/>
      <c r="HK306" s="49"/>
      <c r="HL306" s="49"/>
      <c r="HM306" s="49"/>
      <c r="HN306" s="49"/>
      <c r="HO306" s="49"/>
      <c r="HP306" s="49"/>
      <c r="HQ306" s="49"/>
      <c r="HR306" s="49"/>
      <c r="HS306" s="49"/>
      <c r="HT306" s="49"/>
      <c r="HU306" s="49"/>
      <c r="HV306" s="49"/>
      <c r="HW306" s="49"/>
      <c r="HX306" s="49"/>
      <c r="HY306" s="49"/>
      <c r="HZ306" s="49"/>
      <c r="IA306" s="49"/>
      <c r="IB306" s="49"/>
      <c r="IC306" s="49"/>
      <c r="ID306" s="49"/>
      <c r="IE306" s="49"/>
      <c r="IF306" s="49"/>
      <c r="IG306" s="49"/>
      <c r="IH306" s="49"/>
      <c r="II306" s="49"/>
      <c r="IJ306" s="49"/>
      <c r="IK306" s="49"/>
      <c r="IL306" s="49"/>
      <c r="IM306" s="49"/>
      <c r="IN306" s="49"/>
      <c r="IO306" s="49"/>
      <c r="IP306" s="49"/>
      <c r="IQ306" s="49"/>
      <c r="IR306" s="49"/>
      <c r="IS306" s="49"/>
      <c r="IT306" s="49"/>
      <c r="IU306" s="49"/>
      <c r="IV306" s="49"/>
    </row>
    <row r="307" spans="1:256" s="198" customFormat="1" ht="12" customHeight="1">
      <c r="A307" s="1252"/>
      <c r="B307" s="200"/>
      <c r="C307" s="486"/>
      <c r="D307" s="201"/>
      <c r="E307" s="202"/>
      <c r="F307" s="203"/>
      <c r="G307" s="197"/>
      <c r="H307" s="197"/>
      <c r="I307" s="197"/>
      <c r="J307" s="197"/>
      <c r="K307" s="175"/>
      <c r="L307" s="197"/>
      <c r="M307" s="197"/>
      <c r="N307" s="197"/>
      <c r="O307" s="197"/>
      <c r="P307" s="197"/>
      <c r="Q307" s="1198"/>
      <c r="R307" s="202"/>
      <c r="S307" s="202"/>
      <c r="T307" s="1186"/>
      <c r="U307" s="233"/>
      <c r="V307" s="49"/>
      <c r="W307" s="218"/>
      <c r="X307" s="218"/>
      <c r="Y307" s="216"/>
      <c r="Z307" s="216"/>
      <c r="AA307" s="215"/>
      <c r="AB307" s="216"/>
      <c r="AC307" s="216"/>
      <c r="AD307" s="239"/>
      <c r="AE307" s="216"/>
      <c r="AF307" s="216"/>
      <c r="AG307" s="216"/>
      <c r="AH307" s="216"/>
      <c r="AI307" s="216"/>
      <c r="AJ307" s="216"/>
      <c r="AK307" s="239"/>
      <c r="AL307" s="216"/>
      <c r="AM307" s="216"/>
      <c r="AN307" s="216"/>
      <c r="AO307" s="216"/>
      <c r="AP307" s="216"/>
      <c r="AQ307" s="216"/>
      <c r="AR307" s="216"/>
      <c r="AS307" s="216"/>
      <c r="AT307" s="216"/>
      <c r="AU307" s="216"/>
      <c r="AV307" s="217"/>
      <c r="AW307" s="355"/>
      <c r="AX307" s="217"/>
      <c r="AY307" s="1559"/>
      <c r="AZ307" s="249"/>
      <c r="BA307" s="221"/>
      <c r="BB307" s="300"/>
      <c r="BC307" s="217"/>
      <c r="BD307" s="392"/>
      <c r="BE307" s="1244"/>
      <c r="BF307" s="249"/>
      <c r="BG307" s="252"/>
      <c r="BH307" s="1469"/>
      <c r="BI307" s="216"/>
      <c r="BJ307" s="1469"/>
      <c r="BK307" s="1459"/>
      <c r="BL307" s="260"/>
      <c r="BM307" s="214"/>
      <c r="BN307" s="293"/>
      <c r="BO307" s="217"/>
      <c r="BP307" s="355"/>
      <c r="BQ307" s="217"/>
      <c r="BR307" s="1193"/>
      <c r="BS307" s="249"/>
      <c r="BT307" s="216"/>
      <c r="BU307" s="1195"/>
      <c r="BV307" s="249"/>
      <c r="BW307" s="216"/>
      <c r="BX307" s="1195"/>
      <c r="BY307" s="249"/>
      <c r="BZ307" s="216"/>
      <c r="CA307" s="1195"/>
      <c r="CB307" s="249"/>
      <c r="CC307" s="216"/>
      <c r="CD307" s="1195"/>
      <c r="CE307" s="249"/>
      <c r="CF307" s="216"/>
      <c r="CG307" s="1195"/>
      <c r="CH307" s="249"/>
      <c r="CI307" s="216"/>
      <c r="CJ307" s="1195"/>
      <c r="CK307" s="249"/>
      <c r="CL307" s="216"/>
      <c r="CM307" s="1194"/>
      <c r="CN307" s="1524"/>
      <c r="CO307" s="217"/>
      <c r="CP307" s="1193"/>
      <c r="CQ307" s="293"/>
      <c r="CR307" s="217"/>
      <c r="CS307" s="305"/>
      <c r="CT307" s="249"/>
      <c r="CU307" s="216"/>
      <c r="CV307" s="1193"/>
      <c r="CW307" s="249"/>
      <c r="CX307" s="216"/>
      <c r="CY307" s="305"/>
      <c r="CZ307" s="249"/>
      <c r="DA307" s="216"/>
      <c r="DB307" s="307"/>
      <c r="DC307" s="328"/>
      <c r="DD307" s="322"/>
      <c r="DE307" s="305"/>
      <c r="DF307" s="249"/>
      <c r="DG307" s="216"/>
      <c r="DH307" s="305"/>
      <c r="DI307" s="249"/>
      <c r="DJ307" s="216"/>
      <c r="DK307" s="309"/>
      <c r="DL307" s="293"/>
      <c r="DM307" s="326"/>
      <c r="DN307" s="1256"/>
      <c r="DO307" s="214"/>
      <c r="DP307" s="1257"/>
      <c r="DQ307" s="1258"/>
      <c r="DR307" s="305"/>
      <c r="DS307" s="249"/>
      <c r="DT307" s="216"/>
      <c r="DU307" s="305"/>
      <c r="DV307" s="2520"/>
      <c r="DW307" s="2521"/>
      <c r="DX307" s="305"/>
      <c r="DY307" s="249"/>
      <c r="DZ307" s="221"/>
      <c r="EA307" s="388"/>
      <c r="EB307" s="249"/>
      <c r="EC307" s="216"/>
      <c r="ED307" s="1461"/>
      <c r="EE307" s="249"/>
      <c r="EF307" s="216"/>
      <c r="EG307" s="355"/>
      <c r="EH307" s="1425"/>
      <c r="EI307" s="1470"/>
      <c r="EJ307" s="249"/>
      <c r="EK307" s="221"/>
      <c r="EL307" s="313"/>
      <c r="EM307" s="249"/>
      <c r="EN307" s="221"/>
      <c r="EO307" s="313"/>
      <c r="EP307" s="249"/>
      <c r="EQ307" s="216"/>
      <c r="ER307" s="313"/>
      <c r="ES307" s="249"/>
      <c r="ET307" s="216"/>
      <c r="EU307" s="313"/>
      <c r="EV307" s="249"/>
      <c r="EW307" s="216"/>
      <c r="EX307" s="2505"/>
      <c r="EY307" s="249"/>
      <c r="EZ307" s="221"/>
      <c r="FA307" s="313"/>
      <c r="FB307" s="249"/>
      <c r="FC307" s="221"/>
      <c r="FD307" s="313"/>
      <c r="FE307" s="249"/>
      <c r="FF307" s="221"/>
      <c r="FG307" s="313"/>
      <c r="FH307" s="249"/>
      <c r="FI307" s="216"/>
      <c r="FJ307" s="1435"/>
      <c r="FK307" s="216"/>
      <c r="FL307" s="1268"/>
      <c r="FM307" s="1655"/>
      <c r="FN307" s="1268"/>
      <c r="FO307" s="1655"/>
      <c r="FP307" s="1268"/>
      <c r="FQ307" s="1656"/>
      <c r="FR307" s="249"/>
      <c r="FS307" s="216"/>
      <c r="FT307" s="1657"/>
      <c r="FU307" s="1658"/>
      <c r="FV307" s="242"/>
      <c r="FW307" s="343"/>
      <c r="FX307" s="222"/>
      <c r="FY307" s="336"/>
      <c r="FZ307" s="223"/>
      <c r="GA307" s="338"/>
      <c r="GB307" s="204"/>
      <c r="GC307" s="339"/>
      <c r="GD307" s="342"/>
      <c r="GE307" s="199"/>
      <c r="GF307" s="199"/>
      <c r="GG307" s="199"/>
      <c r="GH307" s="199"/>
      <c r="GI307" s="199"/>
      <c r="GJ307" s="199"/>
      <c r="GK307" s="199"/>
      <c r="GL307" s="49"/>
      <c r="GM307" s="28"/>
      <c r="GN307" s="28"/>
      <c r="GO307" s="322"/>
      <c r="GP307" s="1190"/>
      <c r="GQ307" s="1190"/>
      <c r="GR307" s="49"/>
      <c r="GS307" s="2879"/>
      <c r="GT307" s="2880"/>
      <c r="GU307" s="2881"/>
      <c r="GV307" s="49"/>
      <c r="GW307" s="49"/>
      <c r="GX307" s="49"/>
      <c r="GY307" s="49"/>
      <c r="GZ307" s="49"/>
      <c r="HA307" s="49"/>
      <c r="HB307" s="49"/>
      <c r="HC307" s="49"/>
      <c r="HD307" s="49"/>
      <c r="HE307" s="49"/>
      <c r="HF307" s="49"/>
      <c r="HG307" s="49"/>
      <c r="HH307" s="49"/>
      <c r="HI307" s="49"/>
      <c r="HJ307" s="49"/>
      <c r="HK307" s="49"/>
      <c r="HL307" s="49"/>
      <c r="HM307" s="49"/>
      <c r="HN307" s="49"/>
      <c r="HO307" s="49"/>
      <c r="HP307" s="49"/>
      <c r="HQ307" s="49"/>
      <c r="HR307" s="49"/>
      <c r="HS307" s="49"/>
      <c r="HT307" s="49"/>
      <c r="HU307" s="49"/>
      <c r="HV307" s="49"/>
      <c r="HW307" s="49"/>
      <c r="HX307" s="49"/>
      <c r="HY307" s="49"/>
      <c r="HZ307" s="49"/>
      <c r="IA307" s="49"/>
      <c r="IB307" s="49"/>
      <c r="IC307" s="49"/>
      <c r="ID307" s="49"/>
      <c r="IE307" s="49"/>
      <c r="IF307" s="49"/>
      <c r="IG307" s="49"/>
      <c r="IH307" s="49"/>
      <c r="II307" s="49"/>
      <c r="IJ307" s="49"/>
      <c r="IK307" s="49"/>
      <c r="IL307" s="49"/>
      <c r="IM307" s="49"/>
      <c r="IN307" s="49"/>
      <c r="IO307" s="49"/>
      <c r="IP307" s="49"/>
      <c r="IQ307" s="49"/>
      <c r="IR307" s="49"/>
      <c r="IS307" s="49"/>
      <c r="IT307" s="49"/>
      <c r="IU307" s="49"/>
      <c r="IV307" s="49"/>
    </row>
    <row r="308" spans="1:256" s="198" customFormat="1" ht="12" customHeight="1">
      <c r="A308" s="1252"/>
      <c r="B308" s="200"/>
      <c r="C308" s="486"/>
      <c r="D308" s="201"/>
      <c r="E308" s="202"/>
      <c r="F308" s="203"/>
      <c r="G308" s="197"/>
      <c r="H308" s="197"/>
      <c r="I308" s="197"/>
      <c r="J308" s="197"/>
      <c r="K308" s="175"/>
      <c r="L308" s="197"/>
      <c r="M308" s="197"/>
      <c r="N308" s="197"/>
      <c r="O308" s="197"/>
      <c r="P308" s="197"/>
      <c r="Q308" s="1198"/>
      <c r="R308" s="202"/>
      <c r="S308" s="202"/>
      <c r="T308" s="1186"/>
      <c r="U308" s="233"/>
      <c r="V308" s="49"/>
      <c r="W308" s="218"/>
      <c r="X308" s="218"/>
      <c r="Y308" s="216"/>
      <c r="Z308" s="216"/>
      <c r="AA308" s="215"/>
      <c r="AB308" s="216"/>
      <c r="AC308" s="216"/>
      <c r="AD308" s="239"/>
      <c r="AE308" s="216"/>
      <c r="AF308" s="216"/>
      <c r="AG308" s="216"/>
      <c r="AH308" s="216"/>
      <c r="AI308" s="216"/>
      <c r="AJ308" s="216"/>
      <c r="AK308" s="239"/>
      <c r="AL308" s="216"/>
      <c r="AM308" s="216"/>
      <c r="AN308" s="216"/>
      <c r="AO308" s="216"/>
      <c r="AP308" s="216"/>
      <c r="AQ308" s="216"/>
      <c r="AR308" s="216"/>
      <c r="AS308" s="216"/>
      <c r="AT308" s="216"/>
      <c r="AU308" s="216"/>
      <c r="AV308" s="217"/>
      <c r="AW308" s="355"/>
      <c r="AX308" s="217"/>
      <c r="AY308" s="1559"/>
      <c r="AZ308" s="249"/>
      <c r="BA308" s="221"/>
      <c r="BB308" s="300"/>
      <c r="BC308" s="217"/>
      <c r="BD308" s="392"/>
      <c r="BE308" s="1244"/>
      <c r="BF308" s="249"/>
      <c r="BG308" s="252"/>
      <c r="BH308" s="1469"/>
      <c r="BI308" s="216"/>
      <c r="BJ308" s="1469"/>
      <c r="BK308" s="1459"/>
      <c r="BL308" s="260"/>
      <c r="BM308" s="214"/>
      <c r="BN308" s="293"/>
      <c r="BO308" s="217"/>
      <c r="BP308" s="355"/>
      <c r="BQ308" s="217"/>
      <c r="BR308" s="1193"/>
      <c r="BS308" s="249"/>
      <c r="BT308" s="216"/>
      <c r="BU308" s="1195"/>
      <c r="BV308" s="249"/>
      <c r="BW308" s="216"/>
      <c r="BX308" s="1195"/>
      <c r="BY308" s="249"/>
      <c r="BZ308" s="216"/>
      <c r="CA308" s="1195"/>
      <c r="CB308" s="249"/>
      <c r="CC308" s="216"/>
      <c r="CD308" s="1195"/>
      <c r="CE308" s="249"/>
      <c r="CF308" s="216"/>
      <c r="CG308" s="1195"/>
      <c r="CH308" s="249"/>
      <c r="CI308" s="216"/>
      <c r="CJ308" s="1195"/>
      <c r="CK308" s="249"/>
      <c r="CL308" s="216"/>
      <c r="CM308" s="1194"/>
      <c r="CN308" s="1524"/>
      <c r="CO308" s="217"/>
      <c r="CP308" s="1193"/>
      <c r="CQ308" s="293"/>
      <c r="CR308" s="217"/>
      <c r="CS308" s="305"/>
      <c r="CT308" s="249"/>
      <c r="CU308" s="216"/>
      <c r="CV308" s="1193"/>
      <c r="CW308" s="249"/>
      <c r="CX308" s="216"/>
      <c r="CY308" s="305"/>
      <c r="CZ308" s="249"/>
      <c r="DA308" s="216"/>
      <c r="DB308" s="307"/>
      <c r="DC308" s="328"/>
      <c r="DD308" s="322"/>
      <c r="DE308" s="305"/>
      <c r="DF308" s="249"/>
      <c r="DG308" s="216"/>
      <c r="DH308" s="305"/>
      <c r="DI308" s="249"/>
      <c r="DJ308" s="216"/>
      <c r="DK308" s="309"/>
      <c r="DL308" s="293"/>
      <c r="DM308" s="326"/>
      <c r="DN308" s="1256"/>
      <c r="DO308" s="214"/>
      <c r="DP308" s="1257"/>
      <c r="DQ308" s="1258"/>
      <c r="DR308" s="305"/>
      <c r="DS308" s="249"/>
      <c r="DT308" s="216"/>
      <c r="DU308" s="305"/>
      <c r="DV308" s="2520"/>
      <c r="DW308" s="2521"/>
      <c r="DX308" s="305"/>
      <c r="DY308" s="249"/>
      <c r="DZ308" s="221"/>
      <c r="EA308" s="388"/>
      <c r="EB308" s="249"/>
      <c r="EC308" s="216"/>
      <c r="ED308" s="1461"/>
      <c r="EE308" s="249"/>
      <c r="EF308" s="216"/>
      <c r="EG308" s="355"/>
      <c r="EH308" s="1425"/>
      <c r="EI308" s="1470"/>
      <c r="EJ308" s="249"/>
      <c r="EK308" s="221"/>
      <c r="EL308" s="313"/>
      <c r="EM308" s="249"/>
      <c r="EN308" s="221"/>
      <c r="EO308" s="313"/>
      <c r="EP308" s="249"/>
      <c r="EQ308" s="216"/>
      <c r="ER308" s="313"/>
      <c r="ES308" s="249"/>
      <c r="ET308" s="216"/>
      <c r="EU308" s="313"/>
      <c r="EV308" s="249"/>
      <c r="EW308" s="216"/>
      <c r="EX308" s="2505"/>
      <c r="EY308" s="249"/>
      <c r="EZ308" s="221"/>
      <c r="FA308" s="313"/>
      <c r="FB308" s="249"/>
      <c r="FC308" s="221"/>
      <c r="FD308" s="313"/>
      <c r="FE308" s="249"/>
      <c r="FF308" s="221"/>
      <c r="FG308" s="313"/>
      <c r="FH308" s="249"/>
      <c r="FI308" s="216"/>
      <c r="FJ308" s="1435"/>
      <c r="FK308" s="216"/>
      <c r="FL308" s="1268"/>
      <c r="FM308" s="1655"/>
      <c r="FN308" s="1268"/>
      <c r="FO308" s="1655"/>
      <c r="FP308" s="1268"/>
      <c r="FQ308" s="1656"/>
      <c r="FR308" s="249"/>
      <c r="FS308" s="216"/>
      <c r="FT308" s="1657"/>
      <c r="FU308" s="1658"/>
      <c r="FV308" s="242"/>
      <c r="FW308" s="343"/>
      <c r="FX308" s="222"/>
      <c r="FY308" s="336"/>
      <c r="FZ308" s="223"/>
      <c r="GA308" s="338"/>
      <c r="GB308" s="204"/>
      <c r="GC308" s="339"/>
      <c r="GD308" s="342"/>
      <c r="GE308" s="199"/>
      <c r="GF308" s="199"/>
      <c r="GG308" s="199"/>
      <c r="GH308" s="199"/>
      <c r="GI308" s="199"/>
      <c r="GJ308" s="199"/>
      <c r="GK308" s="199"/>
      <c r="GL308" s="49"/>
      <c r="GM308" s="28"/>
      <c r="GN308" s="28"/>
      <c r="GO308" s="322"/>
      <c r="GP308" s="1190"/>
      <c r="GQ308" s="1190"/>
      <c r="GR308" s="49"/>
      <c r="GS308" s="2879"/>
      <c r="GT308" s="2880"/>
      <c r="GU308" s="2881"/>
      <c r="GV308" s="49"/>
      <c r="GW308" s="49"/>
      <c r="GX308" s="49"/>
      <c r="GY308" s="49"/>
      <c r="GZ308" s="49"/>
      <c r="HA308" s="49"/>
      <c r="HB308" s="49"/>
      <c r="HC308" s="49"/>
      <c r="HD308" s="49"/>
      <c r="HE308" s="49"/>
      <c r="HF308" s="49"/>
      <c r="HG308" s="49"/>
      <c r="HH308" s="49"/>
      <c r="HI308" s="49"/>
      <c r="HJ308" s="49"/>
      <c r="HK308" s="49"/>
      <c r="HL308" s="49"/>
      <c r="HM308" s="49"/>
      <c r="HN308" s="49"/>
      <c r="HO308" s="49"/>
      <c r="HP308" s="49"/>
      <c r="HQ308" s="49"/>
      <c r="HR308" s="49"/>
      <c r="HS308" s="49"/>
      <c r="HT308" s="49"/>
      <c r="HU308" s="49"/>
      <c r="HV308" s="49"/>
      <c r="HW308" s="49"/>
      <c r="HX308" s="49"/>
      <c r="HY308" s="49"/>
      <c r="HZ308" s="49"/>
      <c r="IA308" s="49"/>
      <c r="IB308" s="49"/>
      <c r="IC308" s="49"/>
      <c r="ID308" s="49"/>
      <c r="IE308" s="49"/>
      <c r="IF308" s="49"/>
      <c r="IG308" s="49"/>
      <c r="IH308" s="49"/>
      <c r="II308" s="49"/>
      <c r="IJ308" s="49"/>
      <c r="IK308" s="49"/>
      <c r="IL308" s="49"/>
      <c r="IM308" s="49"/>
      <c r="IN308" s="49"/>
      <c r="IO308" s="49"/>
      <c r="IP308" s="49"/>
      <c r="IQ308" s="49"/>
      <c r="IR308" s="49"/>
      <c r="IS308" s="49"/>
      <c r="IT308" s="49"/>
      <c r="IU308" s="49"/>
      <c r="IV308" s="49"/>
    </row>
    <row r="309" spans="1:256" s="198" customFormat="1" ht="12" customHeight="1">
      <c r="A309" s="1252"/>
      <c r="B309" s="200"/>
      <c r="C309" s="486"/>
      <c r="D309" s="201"/>
      <c r="E309" s="202"/>
      <c r="F309" s="203"/>
      <c r="G309" s="197"/>
      <c r="H309" s="197"/>
      <c r="I309" s="197"/>
      <c r="J309" s="197"/>
      <c r="K309" s="175"/>
      <c r="L309" s="197"/>
      <c r="M309" s="197"/>
      <c r="N309" s="197"/>
      <c r="O309" s="197"/>
      <c r="P309" s="197"/>
      <c r="Q309" s="1198"/>
      <c r="R309" s="202"/>
      <c r="S309" s="202"/>
      <c r="T309" s="1186"/>
      <c r="U309" s="233"/>
      <c r="V309" s="49"/>
      <c r="W309" s="218"/>
      <c r="X309" s="218"/>
      <c r="Y309" s="216"/>
      <c r="Z309" s="216"/>
      <c r="AA309" s="215"/>
      <c r="AB309" s="216"/>
      <c r="AC309" s="216"/>
      <c r="AD309" s="239"/>
      <c r="AE309" s="216"/>
      <c r="AF309" s="216"/>
      <c r="AG309" s="216"/>
      <c r="AH309" s="216"/>
      <c r="AI309" s="216"/>
      <c r="AJ309" s="216"/>
      <c r="AK309" s="239"/>
      <c r="AL309" s="216"/>
      <c r="AM309" s="216"/>
      <c r="AN309" s="216"/>
      <c r="AO309" s="216"/>
      <c r="AP309" s="216"/>
      <c r="AQ309" s="216"/>
      <c r="AR309" s="216"/>
      <c r="AS309" s="216"/>
      <c r="AT309" s="216"/>
      <c r="AU309" s="216"/>
      <c r="AV309" s="217"/>
      <c r="AW309" s="355"/>
      <c r="AX309" s="217"/>
      <c r="AY309" s="1559"/>
      <c r="AZ309" s="249"/>
      <c r="BA309" s="221"/>
      <c r="BB309" s="300"/>
      <c r="BC309" s="217"/>
      <c r="BD309" s="392"/>
      <c r="BE309" s="1244"/>
      <c r="BF309" s="249"/>
      <c r="BG309" s="252"/>
      <c r="BH309" s="1469"/>
      <c r="BI309" s="216"/>
      <c r="BJ309" s="1469"/>
      <c r="BK309" s="1459"/>
      <c r="BL309" s="260"/>
      <c r="BM309" s="214"/>
      <c r="BN309" s="293"/>
      <c r="BO309" s="217"/>
      <c r="BP309" s="355"/>
      <c r="BQ309" s="217"/>
      <c r="BR309" s="1193"/>
      <c r="BS309" s="249"/>
      <c r="BT309" s="216"/>
      <c r="BU309" s="1195"/>
      <c r="BV309" s="249"/>
      <c r="BW309" s="216"/>
      <c r="BX309" s="1195"/>
      <c r="BY309" s="249"/>
      <c r="BZ309" s="216"/>
      <c r="CA309" s="1195"/>
      <c r="CB309" s="249"/>
      <c r="CC309" s="216"/>
      <c r="CD309" s="1195"/>
      <c r="CE309" s="249"/>
      <c r="CF309" s="216"/>
      <c r="CG309" s="1195"/>
      <c r="CH309" s="249"/>
      <c r="CI309" s="216"/>
      <c r="CJ309" s="1195"/>
      <c r="CK309" s="249"/>
      <c r="CL309" s="216"/>
      <c r="CM309" s="1194"/>
      <c r="CN309" s="1524"/>
      <c r="CO309" s="217"/>
      <c r="CP309" s="1193"/>
      <c r="CQ309" s="293"/>
      <c r="CR309" s="217"/>
      <c r="CS309" s="305"/>
      <c r="CT309" s="249"/>
      <c r="CU309" s="216"/>
      <c r="CV309" s="1193"/>
      <c r="CW309" s="249"/>
      <c r="CX309" s="216"/>
      <c r="CY309" s="305"/>
      <c r="CZ309" s="249"/>
      <c r="DA309" s="216"/>
      <c r="DB309" s="307"/>
      <c r="DC309" s="328"/>
      <c r="DD309" s="322"/>
      <c r="DE309" s="305"/>
      <c r="DF309" s="249"/>
      <c r="DG309" s="216"/>
      <c r="DH309" s="305"/>
      <c r="DI309" s="249"/>
      <c r="DJ309" s="216"/>
      <c r="DK309" s="309"/>
      <c r="DL309" s="293"/>
      <c r="DM309" s="326"/>
      <c r="DN309" s="1256"/>
      <c r="DO309" s="214"/>
      <c r="DP309" s="1257"/>
      <c r="DQ309" s="1258"/>
      <c r="DR309" s="305"/>
      <c r="DS309" s="249"/>
      <c r="DT309" s="216"/>
      <c r="DU309" s="305"/>
      <c r="DV309" s="2520"/>
      <c r="DW309" s="2521"/>
      <c r="DX309" s="305"/>
      <c r="DY309" s="249"/>
      <c r="DZ309" s="221"/>
      <c r="EA309" s="388"/>
      <c r="EB309" s="249"/>
      <c r="EC309" s="216"/>
      <c r="ED309" s="1461"/>
      <c r="EE309" s="249"/>
      <c r="EF309" s="216"/>
      <c r="EG309" s="355"/>
      <c r="EH309" s="1425"/>
      <c r="EI309" s="1470"/>
      <c r="EJ309" s="249"/>
      <c r="EK309" s="221"/>
      <c r="EL309" s="313"/>
      <c r="EM309" s="249"/>
      <c r="EN309" s="221"/>
      <c r="EO309" s="313"/>
      <c r="EP309" s="249"/>
      <c r="EQ309" s="216"/>
      <c r="ER309" s="313"/>
      <c r="ES309" s="249"/>
      <c r="ET309" s="216"/>
      <c r="EU309" s="313"/>
      <c r="EV309" s="249"/>
      <c r="EW309" s="216"/>
      <c r="EX309" s="2505"/>
      <c r="EY309" s="249"/>
      <c r="EZ309" s="221"/>
      <c r="FA309" s="313"/>
      <c r="FB309" s="249"/>
      <c r="FC309" s="221"/>
      <c r="FD309" s="313"/>
      <c r="FE309" s="249"/>
      <c r="FF309" s="221"/>
      <c r="FG309" s="313"/>
      <c r="FH309" s="249"/>
      <c r="FI309" s="216"/>
      <c r="FJ309" s="1435"/>
      <c r="FK309" s="216"/>
      <c r="FL309" s="1268"/>
      <c r="FM309" s="1655"/>
      <c r="FN309" s="1268"/>
      <c r="FO309" s="1655"/>
      <c r="FP309" s="1268"/>
      <c r="FQ309" s="1656"/>
      <c r="FR309" s="249"/>
      <c r="FS309" s="216"/>
      <c r="FT309" s="1657"/>
      <c r="FU309" s="1658"/>
      <c r="FV309" s="242"/>
      <c r="FW309" s="343"/>
      <c r="FX309" s="222"/>
      <c r="FY309" s="336"/>
      <c r="FZ309" s="223"/>
      <c r="GA309" s="338"/>
      <c r="GB309" s="204"/>
      <c r="GC309" s="339"/>
      <c r="GD309" s="342"/>
      <c r="GE309" s="199"/>
      <c r="GF309" s="199"/>
      <c r="GG309" s="199"/>
      <c r="GH309" s="199"/>
      <c r="GI309" s="199"/>
      <c r="GJ309" s="199"/>
      <c r="GK309" s="199"/>
      <c r="GL309" s="49"/>
      <c r="GM309" s="28"/>
      <c r="GN309" s="28"/>
      <c r="GO309" s="322"/>
      <c r="GP309" s="1190"/>
      <c r="GQ309" s="1190"/>
      <c r="GR309" s="49"/>
      <c r="GS309" s="2879"/>
      <c r="GT309" s="2880"/>
      <c r="GU309" s="2881"/>
      <c r="GV309" s="49"/>
      <c r="GW309" s="49"/>
      <c r="GX309" s="49"/>
      <c r="GY309" s="49"/>
      <c r="GZ309" s="49"/>
      <c r="HA309" s="49"/>
      <c r="HB309" s="49"/>
      <c r="HC309" s="49"/>
      <c r="HD309" s="49"/>
      <c r="HE309" s="49"/>
      <c r="HF309" s="49"/>
      <c r="HG309" s="49"/>
      <c r="HH309" s="49"/>
      <c r="HI309" s="49"/>
      <c r="HJ309" s="49"/>
      <c r="HK309" s="49"/>
      <c r="HL309" s="49"/>
      <c r="HM309" s="49"/>
      <c r="HN309" s="49"/>
      <c r="HO309" s="49"/>
      <c r="HP309" s="49"/>
      <c r="HQ309" s="49"/>
      <c r="HR309" s="49"/>
      <c r="HS309" s="49"/>
      <c r="HT309" s="49"/>
      <c r="HU309" s="49"/>
      <c r="HV309" s="49"/>
      <c r="HW309" s="49"/>
      <c r="HX309" s="49"/>
      <c r="HY309" s="49"/>
      <c r="HZ309" s="49"/>
      <c r="IA309" s="49"/>
      <c r="IB309" s="49"/>
      <c r="IC309" s="49"/>
      <c r="ID309" s="49"/>
      <c r="IE309" s="49"/>
      <c r="IF309" s="49"/>
      <c r="IG309" s="49"/>
      <c r="IH309" s="49"/>
      <c r="II309" s="49"/>
      <c r="IJ309" s="49"/>
      <c r="IK309" s="49"/>
      <c r="IL309" s="49"/>
      <c r="IM309" s="49"/>
      <c r="IN309" s="49"/>
      <c r="IO309" s="49"/>
      <c r="IP309" s="49"/>
      <c r="IQ309" s="49"/>
      <c r="IR309" s="49"/>
      <c r="IS309" s="49"/>
      <c r="IT309" s="49"/>
      <c r="IU309" s="49"/>
      <c r="IV309" s="49"/>
    </row>
    <row r="310" spans="1:256" s="198" customFormat="1" ht="12" customHeight="1">
      <c r="A310" s="1252"/>
      <c r="B310" s="200"/>
      <c r="C310" s="486"/>
      <c r="D310" s="201"/>
      <c r="E310" s="202"/>
      <c r="F310" s="203"/>
      <c r="G310" s="197"/>
      <c r="H310" s="197"/>
      <c r="I310" s="197"/>
      <c r="J310" s="197"/>
      <c r="K310" s="175"/>
      <c r="L310" s="197"/>
      <c r="M310" s="197"/>
      <c r="N310" s="197"/>
      <c r="O310" s="197"/>
      <c r="P310" s="197"/>
      <c r="Q310" s="1198"/>
      <c r="R310" s="202"/>
      <c r="S310" s="202"/>
      <c r="T310" s="1186"/>
      <c r="U310" s="233"/>
      <c r="V310" s="49"/>
      <c r="W310" s="218"/>
      <c r="X310" s="218"/>
      <c r="Y310" s="216"/>
      <c r="Z310" s="216"/>
      <c r="AA310" s="215"/>
      <c r="AB310" s="216"/>
      <c r="AC310" s="216"/>
      <c r="AD310" s="239"/>
      <c r="AE310" s="216"/>
      <c r="AF310" s="216"/>
      <c r="AG310" s="216"/>
      <c r="AH310" s="216"/>
      <c r="AI310" s="216"/>
      <c r="AJ310" s="216"/>
      <c r="AK310" s="239"/>
      <c r="AL310" s="216"/>
      <c r="AM310" s="216"/>
      <c r="AN310" s="216"/>
      <c r="AO310" s="216"/>
      <c r="AP310" s="216"/>
      <c r="AQ310" s="216"/>
      <c r="AR310" s="216"/>
      <c r="AS310" s="216"/>
      <c r="AT310" s="216"/>
      <c r="AU310" s="216"/>
      <c r="AV310" s="217"/>
      <c r="AW310" s="355"/>
      <c r="AX310" s="217"/>
      <c r="AY310" s="1559"/>
      <c r="AZ310" s="249"/>
      <c r="BA310" s="221"/>
      <c r="BB310" s="300"/>
      <c r="BC310" s="217"/>
      <c r="BD310" s="392"/>
      <c r="BE310" s="1244"/>
      <c r="BF310" s="249"/>
      <c r="BG310" s="252"/>
      <c r="BH310" s="1469"/>
      <c r="BI310" s="216"/>
      <c r="BJ310" s="1469"/>
      <c r="BK310" s="1459"/>
      <c r="BL310" s="260"/>
      <c r="BM310" s="214"/>
      <c r="BN310" s="293"/>
      <c r="BO310" s="217"/>
      <c r="BP310" s="355"/>
      <c r="BQ310" s="217"/>
      <c r="BR310" s="1193"/>
      <c r="BS310" s="249"/>
      <c r="BT310" s="216"/>
      <c r="BU310" s="1195"/>
      <c r="BV310" s="249"/>
      <c r="BW310" s="216"/>
      <c r="BX310" s="1195"/>
      <c r="BY310" s="249"/>
      <c r="BZ310" s="216"/>
      <c r="CA310" s="1195"/>
      <c r="CB310" s="249"/>
      <c r="CC310" s="216"/>
      <c r="CD310" s="1195"/>
      <c r="CE310" s="249"/>
      <c r="CF310" s="216"/>
      <c r="CG310" s="1195"/>
      <c r="CH310" s="249"/>
      <c r="CI310" s="216"/>
      <c r="CJ310" s="1195"/>
      <c r="CK310" s="249"/>
      <c r="CL310" s="216"/>
      <c r="CM310" s="1194"/>
      <c r="CN310" s="1524"/>
      <c r="CO310" s="217"/>
      <c r="CP310" s="1193"/>
      <c r="CQ310" s="293"/>
      <c r="CR310" s="217"/>
      <c r="CS310" s="305"/>
      <c r="CT310" s="249"/>
      <c r="CU310" s="216"/>
      <c r="CV310" s="1193"/>
      <c r="CW310" s="249"/>
      <c r="CX310" s="216"/>
      <c r="CY310" s="305"/>
      <c r="CZ310" s="249"/>
      <c r="DA310" s="216"/>
      <c r="DB310" s="307"/>
      <c r="DC310" s="328"/>
      <c r="DD310" s="322"/>
      <c r="DE310" s="305"/>
      <c r="DF310" s="249"/>
      <c r="DG310" s="216"/>
      <c r="DH310" s="305"/>
      <c r="DI310" s="249"/>
      <c r="DJ310" s="216"/>
      <c r="DK310" s="309"/>
      <c r="DL310" s="293"/>
      <c r="DM310" s="326"/>
      <c r="DN310" s="1256"/>
      <c r="DO310" s="214"/>
      <c r="DP310" s="1257"/>
      <c r="DQ310" s="1258"/>
      <c r="DR310" s="305"/>
      <c r="DS310" s="249"/>
      <c r="DT310" s="216"/>
      <c r="DU310" s="305"/>
      <c r="DV310" s="2520"/>
      <c r="DW310" s="2521"/>
      <c r="DX310" s="305"/>
      <c r="DY310" s="249"/>
      <c r="DZ310" s="221"/>
      <c r="EA310" s="388"/>
      <c r="EB310" s="249"/>
      <c r="EC310" s="216"/>
      <c r="ED310" s="1461"/>
      <c r="EE310" s="249"/>
      <c r="EF310" s="216"/>
      <c r="EG310" s="355"/>
      <c r="EH310" s="1425"/>
      <c r="EI310" s="1470"/>
      <c r="EJ310" s="249"/>
      <c r="EK310" s="221"/>
      <c r="EL310" s="313"/>
      <c r="EM310" s="249"/>
      <c r="EN310" s="221"/>
      <c r="EO310" s="313"/>
      <c r="EP310" s="249"/>
      <c r="EQ310" s="216"/>
      <c r="ER310" s="313"/>
      <c r="ES310" s="249"/>
      <c r="ET310" s="216"/>
      <c r="EU310" s="313"/>
      <c r="EV310" s="249"/>
      <c r="EW310" s="216"/>
      <c r="EX310" s="2505"/>
      <c r="EY310" s="249"/>
      <c r="EZ310" s="221"/>
      <c r="FA310" s="313"/>
      <c r="FB310" s="249"/>
      <c r="FC310" s="221"/>
      <c r="FD310" s="313"/>
      <c r="FE310" s="249"/>
      <c r="FF310" s="221"/>
      <c r="FG310" s="313"/>
      <c r="FH310" s="249"/>
      <c r="FI310" s="216"/>
      <c r="FJ310" s="1435"/>
      <c r="FK310" s="216"/>
      <c r="FL310" s="1268"/>
      <c r="FM310" s="1655"/>
      <c r="FN310" s="1268"/>
      <c r="FO310" s="1655"/>
      <c r="FP310" s="1268"/>
      <c r="FQ310" s="1656"/>
      <c r="FR310" s="249"/>
      <c r="FS310" s="216"/>
      <c r="FT310" s="1657"/>
      <c r="FU310" s="1658"/>
      <c r="FV310" s="242"/>
      <c r="FW310" s="343"/>
      <c r="FX310" s="222"/>
      <c r="FY310" s="336"/>
      <c r="FZ310" s="223"/>
      <c r="GA310" s="338"/>
      <c r="GB310" s="204"/>
      <c r="GC310" s="339"/>
      <c r="GD310" s="342"/>
      <c r="GE310" s="199"/>
      <c r="GF310" s="199"/>
      <c r="GG310" s="199"/>
      <c r="GH310" s="199"/>
      <c r="GI310" s="199"/>
      <c r="GJ310" s="199"/>
      <c r="GK310" s="199"/>
      <c r="GL310" s="49"/>
      <c r="GM310" s="28"/>
      <c r="GN310" s="28"/>
      <c r="GO310" s="322"/>
      <c r="GP310" s="1190"/>
      <c r="GQ310" s="1190"/>
      <c r="GR310" s="49"/>
      <c r="GS310" s="2879"/>
      <c r="GT310" s="2880"/>
      <c r="GU310" s="2881"/>
      <c r="GV310" s="49"/>
      <c r="GW310" s="49"/>
      <c r="GX310" s="49"/>
      <c r="GY310" s="49"/>
      <c r="GZ310" s="49"/>
      <c r="HA310" s="49"/>
      <c r="HB310" s="49"/>
      <c r="HC310" s="49"/>
      <c r="HD310" s="49"/>
      <c r="HE310" s="49"/>
      <c r="HF310" s="49"/>
      <c r="HG310" s="49"/>
      <c r="HH310" s="49"/>
      <c r="HI310" s="49"/>
      <c r="HJ310" s="49"/>
      <c r="HK310" s="49"/>
      <c r="HL310" s="49"/>
      <c r="HM310" s="49"/>
      <c r="HN310" s="49"/>
      <c r="HO310" s="49"/>
      <c r="HP310" s="49"/>
      <c r="HQ310" s="49"/>
      <c r="HR310" s="49"/>
      <c r="HS310" s="49"/>
      <c r="HT310" s="49"/>
      <c r="HU310" s="49"/>
      <c r="HV310" s="49"/>
      <c r="HW310" s="49"/>
      <c r="HX310" s="49"/>
      <c r="HY310" s="49"/>
      <c r="HZ310" s="49"/>
      <c r="IA310" s="49"/>
      <c r="IB310" s="49"/>
      <c r="IC310" s="49"/>
      <c r="ID310" s="49"/>
      <c r="IE310" s="49"/>
      <c r="IF310" s="49"/>
      <c r="IG310" s="49"/>
      <c r="IH310" s="49"/>
      <c r="II310" s="49"/>
      <c r="IJ310" s="49"/>
      <c r="IK310" s="49"/>
      <c r="IL310" s="49"/>
      <c r="IM310" s="49"/>
      <c r="IN310" s="49"/>
      <c r="IO310" s="49"/>
      <c r="IP310" s="49"/>
      <c r="IQ310" s="49"/>
      <c r="IR310" s="49"/>
      <c r="IS310" s="49"/>
      <c r="IT310" s="49"/>
      <c r="IU310" s="49"/>
      <c r="IV310" s="49"/>
    </row>
    <row r="311" spans="1:256" s="198" customFormat="1" ht="12" customHeight="1">
      <c r="A311" s="1252"/>
      <c r="B311" s="200"/>
      <c r="C311" s="486"/>
      <c r="D311" s="201"/>
      <c r="E311" s="202"/>
      <c r="F311" s="203"/>
      <c r="G311" s="197"/>
      <c r="H311" s="197"/>
      <c r="I311" s="197"/>
      <c r="J311" s="197"/>
      <c r="K311" s="175"/>
      <c r="L311" s="197"/>
      <c r="M311" s="197"/>
      <c r="N311" s="197"/>
      <c r="O311" s="197"/>
      <c r="P311" s="197"/>
      <c r="Q311" s="1198"/>
      <c r="R311" s="202"/>
      <c r="S311" s="202"/>
      <c r="T311" s="1186"/>
      <c r="U311" s="233"/>
      <c r="V311" s="49"/>
      <c r="W311" s="218"/>
      <c r="X311" s="218"/>
      <c r="Y311" s="216"/>
      <c r="Z311" s="216"/>
      <c r="AA311" s="215"/>
      <c r="AB311" s="216"/>
      <c r="AC311" s="216"/>
      <c r="AD311" s="239"/>
      <c r="AE311" s="216"/>
      <c r="AF311" s="216"/>
      <c r="AG311" s="216"/>
      <c r="AH311" s="216"/>
      <c r="AI311" s="216"/>
      <c r="AJ311" s="216"/>
      <c r="AK311" s="239"/>
      <c r="AL311" s="216"/>
      <c r="AM311" s="216"/>
      <c r="AN311" s="216"/>
      <c r="AO311" s="216"/>
      <c r="AP311" s="216"/>
      <c r="AQ311" s="216"/>
      <c r="AR311" s="216"/>
      <c r="AS311" s="216"/>
      <c r="AT311" s="216"/>
      <c r="AU311" s="216"/>
      <c r="AV311" s="217"/>
      <c r="AW311" s="355"/>
      <c r="AX311" s="217"/>
      <c r="AY311" s="1559"/>
      <c r="AZ311" s="249"/>
      <c r="BA311" s="221"/>
      <c r="BB311" s="300"/>
      <c r="BC311" s="217"/>
      <c r="BD311" s="392"/>
      <c r="BE311" s="1244"/>
      <c r="BF311" s="249"/>
      <c r="BG311" s="252"/>
      <c r="BH311" s="1469"/>
      <c r="BI311" s="216"/>
      <c r="BJ311" s="1469"/>
      <c r="BK311" s="1459"/>
      <c r="BL311" s="260"/>
      <c r="BM311" s="214"/>
      <c r="BN311" s="293"/>
      <c r="BO311" s="217"/>
      <c r="BP311" s="355"/>
      <c r="BQ311" s="217"/>
      <c r="BR311" s="1193"/>
      <c r="BS311" s="249"/>
      <c r="BT311" s="216"/>
      <c r="BU311" s="1195"/>
      <c r="BV311" s="249"/>
      <c r="BW311" s="216"/>
      <c r="BX311" s="1195"/>
      <c r="BY311" s="249"/>
      <c r="BZ311" s="216"/>
      <c r="CA311" s="1195"/>
      <c r="CB311" s="249"/>
      <c r="CC311" s="216"/>
      <c r="CD311" s="1195"/>
      <c r="CE311" s="249"/>
      <c r="CF311" s="216"/>
      <c r="CG311" s="1195"/>
      <c r="CH311" s="249"/>
      <c r="CI311" s="216"/>
      <c r="CJ311" s="1195"/>
      <c r="CK311" s="249"/>
      <c r="CL311" s="216"/>
      <c r="CM311" s="1194"/>
      <c r="CN311" s="1524"/>
      <c r="CO311" s="217"/>
      <c r="CP311" s="1193"/>
      <c r="CQ311" s="293"/>
      <c r="CR311" s="217"/>
      <c r="CS311" s="305"/>
      <c r="CT311" s="249"/>
      <c r="CU311" s="216"/>
      <c r="CV311" s="1193"/>
      <c r="CW311" s="249"/>
      <c r="CX311" s="216"/>
      <c r="CY311" s="305"/>
      <c r="CZ311" s="249"/>
      <c r="DA311" s="216"/>
      <c r="DB311" s="307"/>
      <c r="DC311" s="328"/>
      <c r="DD311" s="322"/>
      <c r="DE311" s="305"/>
      <c r="DF311" s="249"/>
      <c r="DG311" s="216"/>
      <c r="DH311" s="305"/>
      <c r="DI311" s="249"/>
      <c r="DJ311" s="216"/>
      <c r="DK311" s="309"/>
      <c r="DL311" s="293"/>
      <c r="DM311" s="326"/>
      <c r="DN311" s="1256"/>
      <c r="DO311" s="214"/>
      <c r="DP311" s="1257"/>
      <c r="DQ311" s="1258"/>
      <c r="DR311" s="305"/>
      <c r="DS311" s="249"/>
      <c r="DT311" s="216"/>
      <c r="DU311" s="305"/>
      <c r="DV311" s="2520"/>
      <c r="DW311" s="2521"/>
      <c r="DX311" s="305"/>
      <c r="DY311" s="249"/>
      <c r="DZ311" s="221"/>
      <c r="EA311" s="388"/>
      <c r="EB311" s="249"/>
      <c r="EC311" s="216"/>
      <c r="ED311" s="1461"/>
      <c r="EE311" s="249"/>
      <c r="EF311" s="216"/>
      <c r="EG311" s="355"/>
      <c r="EH311" s="1425"/>
      <c r="EI311" s="1470"/>
      <c r="EJ311" s="249"/>
      <c r="EK311" s="221"/>
      <c r="EL311" s="313"/>
      <c r="EM311" s="249"/>
      <c r="EN311" s="221"/>
      <c r="EO311" s="313"/>
      <c r="EP311" s="249"/>
      <c r="EQ311" s="216"/>
      <c r="ER311" s="313"/>
      <c r="ES311" s="249"/>
      <c r="ET311" s="216"/>
      <c r="EU311" s="313"/>
      <c r="EV311" s="249"/>
      <c r="EW311" s="216"/>
      <c r="EX311" s="2505"/>
      <c r="EY311" s="249"/>
      <c r="EZ311" s="221"/>
      <c r="FA311" s="313"/>
      <c r="FB311" s="249"/>
      <c r="FC311" s="221"/>
      <c r="FD311" s="313"/>
      <c r="FE311" s="249"/>
      <c r="FF311" s="221"/>
      <c r="FG311" s="313"/>
      <c r="FH311" s="249"/>
      <c r="FI311" s="216"/>
      <c r="FJ311" s="1435"/>
      <c r="FK311" s="216"/>
      <c r="FL311" s="1268"/>
      <c r="FM311" s="1655"/>
      <c r="FN311" s="1268"/>
      <c r="FO311" s="1655"/>
      <c r="FP311" s="1268"/>
      <c r="FQ311" s="1656"/>
      <c r="FR311" s="249"/>
      <c r="FS311" s="216"/>
      <c r="FT311" s="1657"/>
      <c r="FU311" s="1658"/>
      <c r="FV311" s="242"/>
      <c r="FW311" s="343"/>
      <c r="FX311" s="222"/>
      <c r="FY311" s="336"/>
      <c r="FZ311" s="223"/>
      <c r="GA311" s="338"/>
      <c r="GB311" s="204"/>
      <c r="GC311" s="339"/>
      <c r="GD311" s="342"/>
      <c r="GE311" s="199"/>
      <c r="GF311" s="199"/>
      <c r="GG311" s="199"/>
      <c r="GH311" s="199"/>
      <c r="GI311" s="199"/>
      <c r="GJ311" s="199"/>
      <c r="GK311" s="199"/>
      <c r="GL311" s="49"/>
      <c r="GM311" s="28"/>
      <c r="GN311" s="28"/>
      <c r="GO311" s="322"/>
      <c r="GP311" s="1190"/>
      <c r="GQ311" s="1190"/>
      <c r="GR311" s="49"/>
      <c r="GS311" s="2879"/>
      <c r="GT311" s="2880"/>
      <c r="GU311" s="2881"/>
      <c r="GV311" s="49"/>
      <c r="GW311" s="49"/>
      <c r="GX311" s="49"/>
      <c r="GY311" s="49"/>
      <c r="GZ311" s="49"/>
      <c r="HA311" s="49"/>
      <c r="HB311" s="49"/>
      <c r="HC311" s="49"/>
      <c r="HD311" s="49"/>
      <c r="HE311" s="49"/>
      <c r="HF311" s="49"/>
      <c r="HG311" s="49"/>
      <c r="HH311" s="49"/>
      <c r="HI311" s="49"/>
      <c r="HJ311" s="49"/>
      <c r="HK311" s="49"/>
      <c r="HL311" s="49"/>
      <c r="HM311" s="49"/>
      <c r="HN311" s="49"/>
      <c r="HO311" s="49"/>
      <c r="HP311" s="49"/>
      <c r="HQ311" s="49"/>
      <c r="HR311" s="49"/>
      <c r="HS311" s="49"/>
      <c r="HT311" s="49"/>
      <c r="HU311" s="49"/>
      <c r="HV311" s="49"/>
      <c r="HW311" s="49"/>
      <c r="HX311" s="49"/>
      <c r="HY311" s="49"/>
      <c r="HZ311" s="49"/>
      <c r="IA311" s="49"/>
      <c r="IB311" s="49"/>
      <c r="IC311" s="49"/>
      <c r="ID311" s="49"/>
      <c r="IE311" s="49"/>
      <c r="IF311" s="49"/>
      <c r="IG311" s="49"/>
      <c r="IH311" s="49"/>
      <c r="II311" s="49"/>
      <c r="IJ311" s="49"/>
      <c r="IK311" s="49"/>
      <c r="IL311" s="49"/>
      <c r="IM311" s="49"/>
      <c r="IN311" s="49"/>
      <c r="IO311" s="49"/>
      <c r="IP311" s="49"/>
      <c r="IQ311" s="49"/>
      <c r="IR311" s="49"/>
      <c r="IS311" s="49"/>
      <c r="IT311" s="49"/>
      <c r="IU311" s="49"/>
      <c r="IV311" s="49"/>
    </row>
    <row r="312" spans="1:256" s="198" customFormat="1" ht="12" customHeight="1">
      <c r="A312" s="1252"/>
      <c r="B312" s="200"/>
      <c r="C312" s="486"/>
      <c r="D312" s="201"/>
      <c r="E312" s="202"/>
      <c r="F312" s="203"/>
      <c r="G312" s="197"/>
      <c r="H312" s="197"/>
      <c r="I312" s="197"/>
      <c r="J312" s="197"/>
      <c r="K312" s="175"/>
      <c r="L312" s="197"/>
      <c r="M312" s="197"/>
      <c r="N312" s="197"/>
      <c r="O312" s="197"/>
      <c r="P312" s="197"/>
      <c r="Q312" s="1198"/>
      <c r="R312" s="202"/>
      <c r="S312" s="202"/>
      <c r="T312" s="1186"/>
      <c r="U312" s="233"/>
      <c r="V312" s="49"/>
      <c r="W312" s="218"/>
      <c r="X312" s="218"/>
      <c r="Y312" s="216"/>
      <c r="Z312" s="216"/>
      <c r="AA312" s="215"/>
      <c r="AB312" s="216"/>
      <c r="AC312" s="216"/>
      <c r="AD312" s="239"/>
      <c r="AE312" s="216"/>
      <c r="AF312" s="216"/>
      <c r="AG312" s="216"/>
      <c r="AH312" s="216"/>
      <c r="AI312" s="216"/>
      <c r="AJ312" s="216"/>
      <c r="AK312" s="239"/>
      <c r="AL312" s="216"/>
      <c r="AM312" s="216"/>
      <c r="AN312" s="216"/>
      <c r="AO312" s="216"/>
      <c r="AP312" s="216"/>
      <c r="AQ312" s="216"/>
      <c r="AR312" s="216"/>
      <c r="AS312" s="216"/>
      <c r="AT312" s="216"/>
      <c r="AU312" s="216"/>
      <c r="AV312" s="217"/>
      <c r="AW312" s="355"/>
      <c r="AX312" s="217"/>
      <c r="AY312" s="1559"/>
      <c r="AZ312" s="249"/>
      <c r="BA312" s="221"/>
      <c r="BB312" s="300"/>
      <c r="BC312" s="217"/>
      <c r="BD312" s="392"/>
      <c r="BE312" s="1244"/>
      <c r="BF312" s="249"/>
      <c r="BG312" s="252"/>
      <c r="BH312" s="1469"/>
      <c r="BI312" s="216"/>
      <c r="BJ312" s="1469"/>
      <c r="BK312" s="1459"/>
      <c r="BL312" s="260"/>
      <c r="BM312" s="214"/>
      <c r="BN312" s="293"/>
      <c r="BO312" s="217"/>
      <c r="BP312" s="355"/>
      <c r="BQ312" s="217"/>
      <c r="BR312" s="1193"/>
      <c r="BS312" s="249"/>
      <c r="BT312" s="216"/>
      <c r="BU312" s="1195"/>
      <c r="BV312" s="249"/>
      <c r="BW312" s="216"/>
      <c r="BX312" s="1195"/>
      <c r="BY312" s="249"/>
      <c r="BZ312" s="216"/>
      <c r="CA312" s="1195"/>
      <c r="CB312" s="249"/>
      <c r="CC312" s="216"/>
      <c r="CD312" s="1195"/>
      <c r="CE312" s="249"/>
      <c r="CF312" s="216"/>
      <c r="CG312" s="1195"/>
      <c r="CH312" s="249"/>
      <c r="CI312" s="216"/>
      <c r="CJ312" s="1195"/>
      <c r="CK312" s="249"/>
      <c r="CL312" s="216"/>
      <c r="CM312" s="1194"/>
      <c r="CN312" s="1524"/>
      <c r="CO312" s="217"/>
      <c r="CP312" s="1193"/>
      <c r="CQ312" s="293"/>
      <c r="CR312" s="217"/>
      <c r="CS312" s="305"/>
      <c r="CT312" s="249"/>
      <c r="CU312" s="216"/>
      <c r="CV312" s="1193"/>
      <c r="CW312" s="249"/>
      <c r="CX312" s="216"/>
      <c r="CY312" s="305"/>
      <c r="CZ312" s="249"/>
      <c r="DA312" s="216"/>
      <c r="DB312" s="307"/>
      <c r="DC312" s="328"/>
      <c r="DD312" s="322"/>
      <c r="DE312" s="305"/>
      <c r="DF312" s="249"/>
      <c r="DG312" s="216"/>
      <c r="DH312" s="305"/>
      <c r="DI312" s="249"/>
      <c r="DJ312" s="216"/>
      <c r="DK312" s="309"/>
      <c r="DL312" s="293"/>
      <c r="DM312" s="326"/>
      <c r="DN312" s="1256"/>
      <c r="DO312" s="214"/>
      <c r="DP312" s="1257"/>
      <c r="DQ312" s="1258"/>
      <c r="DR312" s="305"/>
      <c r="DS312" s="249"/>
      <c r="DT312" s="216"/>
      <c r="DU312" s="305"/>
      <c r="DV312" s="2520"/>
      <c r="DW312" s="2521"/>
      <c r="DX312" s="305"/>
      <c r="DY312" s="249"/>
      <c r="DZ312" s="221"/>
      <c r="EA312" s="388"/>
      <c r="EB312" s="249"/>
      <c r="EC312" s="216"/>
      <c r="ED312" s="1461"/>
      <c r="EE312" s="249"/>
      <c r="EF312" s="216"/>
      <c r="EG312" s="355"/>
      <c r="EH312" s="1425"/>
      <c r="EI312" s="1470"/>
      <c r="EJ312" s="249"/>
      <c r="EK312" s="221"/>
      <c r="EL312" s="313"/>
      <c r="EM312" s="249"/>
      <c r="EN312" s="221"/>
      <c r="EO312" s="313"/>
      <c r="EP312" s="249"/>
      <c r="EQ312" s="216"/>
      <c r="ER312" s="313"/>
      <c r="ES312" s="249"/>
      <c r="ET312" s="216"/>
      <c r="EU312" s="313"/>
      <c r="EV312" s="249"/>
      <c r="EW312" s="216"/>
      <c r="EX312" s="2505"/>
      <c r="EY312" s="249"/>
      <c r="EZ312" s="221"/>
      <c r="FA312" s="313"/>
      <c r="FB312" s="249"/>
      <c r="FC312" s="221"/>
      <c r="FD312" s="313"/>
      <c r="FE312" s="249"/>
      <c r="FF312" s="221"/>
      <c r="FG312" s="313"/>
      <c r="FH312" s="249"/>
      <c r="FI312" s="216"/>
      <c r="FJ312" s="1435"/>
      <c r="FK312" s="216"/>
      <c r="FL312" s="1268"/>
      <c r="FM312" s="1655"/>
      <c r="FN312" s="1268"/>
      <c r="FO312" s="1655"/>
      <c r="FP312" s="1268"/>
      <c r="FQ312" s="1656"/>
      <c r="FR312" s="249"/>
      <c r="FS312" s="216"/>
      <c r="FT312" s="1657"/>
      <c r="FU312" s="1658"/>
      <c r="FV312" s="242"/>
      <c r="FW312" s="343"/>
      <c r="FX312" s="222"/>
      <c r="FY312" s="336"/>
      <c r="FZ312" s="223"/>
      <c r="GA312" s="338"/>
      <c r="GB312" s="204"/>
      <c r="GC312" s="339"/>
      <c r="GD312" s="342"/>
      <c r="GE312" s="199"/>
      <c r="GF312" s="199"/>
      <c r="GG312" s="199"/>
      <c r="GH312" s="199"/>
      <c r="GI312" s="199"/>
      <c r="GJ312" s="199"/>
      <c r="GK312" s="199"/>
      <c r="GL312" s="49"/>
      <c r="GM312" s="28"/>
      <c r="GN312" s="28"/>
      <c r="GO312" s="322"/>
      <c r="GP312" s="1190"/>
      <c r="GQ312" s="1190"/>
      <c r="GR312" s="49"/>
      <c r="GS312" s="2879"/>
      <c r="GT312" s="2880"/>
      <c r="GU312" s="2881"/>
      <c r="GV312" s="49"/>
      <c r="GW312" s="49"/>
      <c r="GX312" s="49"/>
      <c r="GY312" s="49"/>
      <c r="GZ312" s="49"/>
      <c r="HA312" s="49"/>
      <c r="HB312" s="49"/>
      <c r="HC312" s="49"/>
      <c r="HD312" s="49"/>
      <c r="HE312" s="49"/>
      <c r="HF312" s="49"/>
      <c r="HG312" s="49"/>
      <c r="HH312" s="49"/>
      <c r="HI312" s="49"/>
      <c r="HJ312" s="49"/>
      <c r="HK312" s="49"/>
      <c r="HL312" s="49"/>
      <c r="HM312" s="49"/>
      <c r="HN312" s="49"/>
      <c r="HO312" s="49"/>
      <c r="HP312" s="49"/>
      <c r="HQ312" s="49"/>
      <c r="HR312" s="49"/>
      <c r="HS312" s="49"/>
      <c r="HT312" s="49"/>
      <c r="HU312" s="49"/>
      <c r="HV312" s="49"/>
      <c r="HW312" s="49"/>
      <c r="HX312" s="49"/>
      <c r="HY312" s="49"/>
      <c r="HZ312" s="49"/>
      <c r="IA312" s="49"/>
      <c r="IB312" s="49"/>
      <c r="IC312" s="49"/>
      <c r="ID312" s="49"/>
      <c r="IE312" s="49"/>
      <c r="IF312" s="49"/>
      <c r="IG312" s="49"/>
      <c r="IH312" s="49"/>
      <c r="II312" s="49"/>
      <c r="IJ312" s="49"/>
      <c r="IK312" s="49"/>
      <c r="IL312" s="49"/>
      <c r="IM312" s="49"/>
      <c r="IN312" s="49"/>
      <c r="IO312" s="49"/>
      <c r="IP312" s="49"/>
      <c r="IQ312" s="49"/>
      <c r="IR312" s="49"/>
      <c r="IS312" s="49"/>
      <c r="IT312" s="49"/>
      <c r="IU312" s="49"/>
      <c r="IV312" s="49"/>
    </row>
    <row r="313" spans="1:256" s="198" customFormat="1" ht="12" customHeight="1">
      <c r="A313" s="1252"/>
      <c r="B313" s="200"/>
      <c r="C313" s="486"/>
      <c r="D313" s="201"/>
      <c r="E313" s="202"/>
      <c r="F313" s="203"/>
      <c r="G313" s="197"/>
      <c r="H313" s="197"/>
      <c r="I313" s="197"/>
      <c r="J313" s="197"/>
      <c r="K313" s="175"/>
      <c r="L313" s="197"/>
      <c r="M313" s="197"/>
      <c r="N313" s="197"/>
      <c r="O313" s="197"/>
      <c r="P313" s="197"/>
      <c r="Q313" s="1198"/>
      <c r="R313" s="202"/>
      <c r="S313" s="202"/>
      <c r="T313" s="1186"/>
      <c r="U313" s="233"/>
      <c r="V313" s="49"/>
      <c r="W313" s="218"/>
      <c r="X313" s="218"/>
      <c r="Y313" s="216"/>
      <c r="Z313" s="216"/>
      <c r="AA313" s="215"/>
      <c r="AB313" s="216"/>
      <c r="AC313" s="216"/>
      <c r="AD313" s="239"/>
      <c r="AE313" s="216"/>
      <c r="AF313" s="216"/>
      <c r="AG313" s="216"/>
      <c r="AH313" s="216"/>
      <c r="AI313" s="216"/>
      <c r="AJ313" s="216"/>
      <c r="AK313" s="239"/>
      <c r="AL313" s="216"/>
      <c r="AM313" s="216"/>
      <c r="AN313" s="216"/>
      <c r="AO313" s="216"/>
      <c r="AP313" s="216"/>
      <c r="AQ313" s="216"/>
      <c r="AR313" s="216"/>
      <c r="AS313" s="216"/>
      <c r="AT313" s="216"/>
      <c r="AU313" s="216"/>
      <c r="AV313" s="217"/>
      <c r="AW313" s="355"/>
      <c r="AX313" s="217"/>
      <c r="AY313" s="1559"/>
      <c r="AZ313" s="249"/>
      <c r="BA313" s="221"/>
      <c r="BB313" s="300"/>
      <c r="BC313" s="217"/>
      <c r="BD313" s="392"/>
      <c r="BE313" s="1244"/>
      <c r="BF313" s="249"/>
      <c r="BG313" s="252"/>
      <c r="BH313" s="1469"/>
      <c r="BI313" s="216"/>
      <c r="BJ313" s="1469"/>
      <c r="BK313" s="1459"/>
      <c r="BL313" s="260"/>
      <c r="BM313" s="214"/>
      <c r="BN313" s="293"/>
      <c r="BO313" s="217"/>
      <c r="BP313" s="355"/>
      <c r="BQ313" s="217"/>
      <c r="BR313" s="1193"/>
      <c r="BS313" s="249"/>
      <c r="BT313" s="216"/>
      <c r="BU313" s="1195"/>
      <c r="BV313" s="249"/>
      <c r="BW313" s="216"/>
      <c r="BX313" s="1195"/>
      <c r="BY313" s="249"/>
      <c r="BZ313" s="216"/>
      <c r="CA313" s="1195"/>
      <c r="CB313" s="249"/>
      <c r="CC313" s="216"/>
      <c r="CD313" s="1195"/>
      <c r="CE313" s="249"/>
      <c r="CF313" s="216"/>
      <c r="CG313" s="1195"/>
      <c r="CH313" s="249"/>
      <c r="CI313" s="216"/>
      <c r="CJ313" s="1195"/>
      <c r="CK313" s="249"/>
      <c r="CL313" s="216"/>
      <c r="CM313" s="1194"/>
      <c r="CN313" s="1524"/>
      <c r="CO313" s="217"/>
      <c r="CP313" s="1193"/>
      <c r="CQ313" s="293"/>
      <c r="CR313" s="217"/>
      <c r="CS313" s="305"/>
      <c r="CT313" s="249"/>
      <c r="CU313" s="216"/>
      <c r="CV313" s="1193"/>
      <c r="CW313" s="249"/>
      <c r="CX313" s="216"/>
      <c r="CY313" s="305"/>
      <c r="CZ313" s="249"/>
      <c r="DA313" s="216"/>
      <c r="DB313" s="307"/>
      <c r="DC313" s="328"/>
      <c r="DD313" s="322"/>
      <c r="DE313" s="305"/>
      <c r="DF313" s="249"/>
      <c r="DG313" s="216"/>
      <c r="DH313" s="305"/>
      <c r="DI313" s="249"/>
      <c r="DJ313" s="216"/>
      <c r="DK313" s="309"/>
      <c r="DL313" s="293"/>
      <c r="DM313" s="326"/>
      <c r="DN313" s="1256"/>
      <c r="DO313" s="214"/>
      <c r="DP313" s="1257"/>
      <c r="DQ313" s="1258"/>
      <c r="DR313" s="305"/>
      <c r="DS313" s="249"/>
      <c r="DT313" s="216"/>
      <c r="DU313" s="305"/>
      <c r="DV313" s="2520"/>
      <c r="DW313" s="2521"/>
      <c r="DX313" s="305"/>
      <c r="DY313" s="249"/>
      <c r="DZ313" s="221"/>
      <c r="EA313" s="388"/>
      <c r="EB313" s="249"/>
      <c r="EC313" s="216"/>
      <c r="ED313" s="1461"/>
      <c r="EE313" s="249"/>
      <c r="EF313" s="216"/>
      <c r="EG313" s="355"/>
      <c r="EH313" s="1425"/>
      <c r="EI313" s="1470"/>
      <c r="EJ313" s="249"/>
      <c r="EK313" s="221"/>
      <c r="EL313" s="313"/>
      <c r="EM313" s="249"/>
      <c r="EN313" s="221"/>
      <c r="EO313" s="313"/>
      <c r="EP313" s="249"/>
      <c r="EQ313" s="216"/>
      <c r="ER313" s="313"/>
      <c r="ES313" s="249"/>
      <c r="ET313" s="216"/>
      <c r="EU313" s="313"/>
      <c r="EV313" s="249"/>
      <c r="EW313" s="216"/>
      <c r="EX313" s="2505"/>
      <c r="EY313" s="249"/>
      <c r="EZ313" s="221"/>
      <c r="FA313" s="313"/>
      <c r="FB313" s="249"/>
      <c r="FC313" s="221"/>
      <c r="FD313" s="313"/>
      <c r="FE313" s="249"/>
      <c r="FF313" s="221"/>
      <c r="FG313" s="313"/>
      <c r="FH313" s="249"/>
      <c r="FI313" s="216"/>
      <c r="FJ313" s="1435"/>
      <c r="FK313" s="216"/>
      <c r="FL313" s="1268"/>
      <c r="FM313" s="1655"/>
      <c r="FN313" s="1268"/>
      <c r="FO313" s="1655"/>
      <c r="FP313" s="1268"/>
      <c r="FQ313" s="1656"/>
      <c r="FR313" s="249"/>
      <c r="FS313" s="216"/>
      <c r="FT313" s="1657"/>
      <c r="FU313" s="1658"/>
      <c r="FV313" s="242"/>
      <c r="FW313" s="343"/>
      <c r="FX313" s="222"/>
      <c r="FY313" s="336"/>
      <c r="FZ313" s="223"/>
      <c r="GA313" s="338"/>
      <c r="GB313" s="204"/>
      <c r="GC313" s="339"/>
      <c r="GD313" s="342"/>
      <c r="GE313" s="199"/>
      <c r="GF313" s="199"/>
      <c r="GG313" s="199"/>
      <c r="GH313" s="199"/>
      <c r="GI313" s="199"/>
      <c r="GJ313" s="199"/>
      <c r="GK313" s="199"/>
      <c r="GL313" s="49"/>
      <c r="GM313" s="28"/>
      <c r="GN313" s="28"/>
      <c r="GO313" s="322"/>
      <c r="GP313" s="1190"/>
      <c r="GQ313" s="1190"/>
      <c r="GR313" s="49"/>
      <c r="GS313" s="2879"/>
      <c r="GT313" s="2880"/>
      <c r="GU313" s="2881"/>
      <c r="GV313" s="49"/>
      <c r="GW313" s="49"/>
      <c r="GX313" s="49"/>
      <c r="GY313" s="49"/>
      <c r="GZ313" s="49"/>
      <c r="HA313" s="49"/>
      <c r="HB313" s="49"/>
      <c r="HC313" s="49"/>
      <c r="HD313" s="49"/>
      <c r="HE313" s="49"/>
      <c r="HF313" s="49"/>
      <c r="HG313" s="49"/>
      <c r="HH313" s="49"/>
      <c r="HI313" s="49"/>
      <c r="HJ313" s="49"/>
      <c r="HK313" s="49"/>
      <c r="HL313" s="49"/>
      <c r="HM313" s="49"/>
      <c r="HN313" s="49"/>
      <c r="HO313" s="49"/>
      <c r="HP313" s="49"/>
      <c r="HQ313" s="49"/>
      <c r="HR313" s="49"/>
      <c r="HS313" s="49"/>
      <c r="HT313" s="49"/>
      <c r="HU313" s="49"/>
      <c r="HV313" s="49"/>
      <c r="HW313" s="49"/>
      <c r="HX313" s="49"/>
      <c r="HY313" s="49"/>
      <c r="HZ313" s="49"/>
      <c r="IA313" s="49"/>
      <c r="IB313" s="49"/>
      <c r="IC313" s="49"/>
      <c r="ID313" s="49"/>
      <c r="IE313" s="49"/>
      <c r="IF313" s="49"/>
      <c r="IG313" s="49"/>
      <c r="IH313" s="49"/>
      <c r="II313" s="49"/>
      <c r="IJ313" s="49"/>
      <c r="IK313" s="49"/>
      <c r="IL313" s="49"/>
      <c r="IM313" s="49"/>
      <c r="IN313" s="49"/>
      <c r="IO313" s="49"/>
      <c r="IP313" s="49"/>
      <c r="IQ313" s="49"/>
      <c r="IR313" s="49"/>
      <c r="IS313" s="49"/>
      <c r="IT313" s="49"/>
      <c r="IU313" s="49"/>
      <c r="IV313" s="49"/>
    </row>
    <row r="314" spans="1:256" s="198" customFormat="1" ht="12" customHeight="1">
      <c r="A314" s="1252"/>
      <c r="B314" s="200"/>
      <c r="C314" s="486"/>
      <c r="D314" s="201"/>
      <c r="E314" s="202"/>
      <c r="F314" s="203"/>
      <c r="G314" s="197"/>
      <c r="H314" s="197"/>
      <c r="I314" s="197"/>
      <c r="J314" s="197"/>
      <c r="K314" s="175"/>
      <c r="L314" s="197"/>
      <c r="M314" s="197"/>
      <c r="N314" s="197"/>
      <c r="O314" s="197"/>
      <c r="P314" s="197"/>
      <c r="Q314" s="1198"/>
      <c r="R314" s="202"/>
      <c r="S314" s="202"/>
      <c r="T314" s="1186"/>
      <c r="U314" s="233"/>
      <c r="V314" s="49"/>
      <c r="W314" s="218"/>
      <c r="X314" s="218"/>
      <c r="Y314" s="216"/>
      <c r="Z314" s="216"/>
      <c r="AA314" s="215"/>
      <c r="AB314" s="216"/>
      <c r="AC314" s="216"/>
      <c r="AD314" s="239"/>
      <c r="AE314" s="216"/>
      <c r="AF314" s="216"/>
      <c r="AG314" s="216"/>
      <c r="AH314" s="216"/>
      <c r="AI314" s="216"/>
      <c r="AJ314" s="216"/>
      <c r="AK314" s="239"/>
      <c r="AL314" s="216"/>
      <c r="AM314" s="216"/>
      <c r="AN314" s="216"/>
      <c r="AO314" s="216"/>
      <c r="AP314" s="216"/>
      <c r="AQ314" s="216"/>
      <c r="AR314" s="216"/>
      <c r="AS314" s="216"/>
      <c r="AT314" s="216"/>
      <c r="AU314" s="216"/>
      <c r="AV314" s="217"/>
      <c r="AW314" s="355"/>
      <c r="AX314" s="217"/>
      <c r="AY314" s="1559"/>
      <c r="AZ314" s="249"/>
      <c r="BA314" s="221"/>
      <c r="BB314" s="300"/>
      <c r="BC314" s="217"/>
      <c r="BD314" s="392"/>
      <c r="BE314" s="1244"/>
      <c r="BF314" s="249"/>
      <c r="BG314" s="252"/>
      <c r="BH314" s="1469"/>
      <c r="BI314" s="216"/>
      <c r="BJ314" s="1469"/>
      <c r="BK314" s="1459"/>
      <c r="BL314" s="260"/>
      <c r="BM314" s="214"/>
      <c r="BN314" s="293"/>
      <c r="BO314" s="217"/>
      <c r="BP314" s="355"/>
      <c r="BQ314" s="217"/>
      <c r="BR314" s="1193"/>
      <c r="BS314" s="249"/>
      <c r="BT314" s="216"/>
      <c r="BU314" s="1195"/>
      <c r="BV314" s="249"/>
      <c r="BW314" s="216"/>
      <c r="BX314" s="1195"/>
      <c r="BY314" s="249"/>
      <c r="BZ314" s="216"/>
      <c r="CA314" s="1195"/>
      <c r="CB314" s="249"/>
      <c r="CC314" s="216"/>
      <c r="CD314" s="1195"/>
      <c r="CE314" s="249"/>
      <c r="CF314" s="216"/>
      <c r="CG314" s="1195"/>
      <c r="CH314" s="249"/>
      <c r="CI314" s="216"/>
      <c r="CJ314" s="1195"/>
      <c r="CK314" s="249"/>
      <c r="CL314" s="216"/>
      <c r="CM314" s="1194"/>
      <c r="CN314" s="1524"/>
      <c r="CO314" s="217"/>
      <c r="CP314" s="1193"/>
      <c r="CQ314" s="293"/>
      <c r="CR314" s="217"/>
      <c r="CS314" s="305"/>
      <c r="CT314" s="249"/>
      <c r="CU314" s="216"/>
      <c r="CV314" s="1193"/>
      <c r="CW314" s="249"/>
      <c r="CX314" s="216"/>
      <c r="CY314" s="305"/>
      <c r="CZ314" s="249"/>
      <c r="DA314" s="216"/>
      <c r="DB314" s="307"/>
      <c r="DC314" s="328"/>
      <c r="DD314" s="322"/>
      <c r="DE314" s="305"/>
      <c r="DF314" s="249"/>
      <c r="DG314" s="216"/>
      <c r="DH314" s="305"/>
      <c r="DI314" s="249"/>
      <c r="DJ314" s="216"/>
      <c r="DK314" s="309"/>
      <c r="DL314" s="293"/>
      <c r="DM314" s="326"/>
      <c r="DN314" s="1256"/>
      <c r="DO314" s="214"/>
      <c r="DP314" s="1257"/>
      <c r="DQ314" s="1258"/>
      <c r="DR314" s="305"/>
      <c r="DS314" s="249"/>
      <c r="DT314" s="216"/>
      <c r="DU314" s="305"/>
      <c r="DV314" s="2520"/>
      <c r="DW314" s="2521"/>
      <c r="DX314" s="305"/>
      <c r="DY314" s="249"/>
      <c r="DZ314" s="221"/>
      <c r="EA314" s="388"/>
      <c r="EB314" s="249"/>
      <c r="EC314" s="216"/>
      <c r="ED314" s="1461"/>
      <c r="EE314" s="249"/>
      <c r="EF314" s="216"/>
      <c r="EG314" s="355"/>
      <c r="EH314" s="1425"/>
      <c r="EI314" s="1470"/>
      <c r="EJ314" s="249"/>
      <c r="EK314" s="221"/>
      <c r="EL314" s="313"/>
      <c r="EM314" s="249"/>
      <c r="EN314" s="221"/>
      <c r="EO314" s="313"/>
      <c r="EP314" s="249"/>
      <c r="EQ314" s="216"/>
      <c r="ER314" s="313"/>
      <c r="ES314" s="249"/>
      <c r="ET314" s="216"/>
      <c r="EU314" s="313"/>
      <c r="EV314" s="249"/>
      <c r="EW314" s="216"/>
      <c r="EX314" s="2505"/>
      <c r="EY314" s="249"/>
      <c r="EZ314" s="221"/>
      <c r="FA314" s="313"/>
      <c r="FB314" s="249"/>
      <c r="FC314" s="221"/>
      <c r="FD314" s="313"/>
      <c r="FE314" s="249"/>
      <c r="FF314" s="221"/>
      <c r="FG314" s="313"/>
      <c r="FH314" s="249"/>
      <c r="FI314" s="216"/>
      <c r="FJ314" s="1435"/>
      <c r="FK314" s="216"/>
      <c r="FL314" s="1268"/>
      <c r="FM314" s="1655"/>
      <c r="FN314" s="1268"/>
      <c r="FO314" s="1655"/>
      <c r="FP314" s="1268"/>
      <c r="FQ314" s="1656"/>
      <c r="FR314" s="249"/>
      <c r="FS314" s="216"/>
      <c r="FT314" s="1657"/>
      <c r="FU314" s="1658"/>
      <c r="FV314" s="242"/>
      <c r="FW314" s="343"/>
      <c r="FX314" s="222"/>
      <c r="FY314" s="336"/>
      <c r="FZ314" s="223"/>
      <c r="GA314" s="338"/>
      <c r="GB314" s="204"/>
      <c r="GC314" s="339"/>
      <c r="GD314" s="342"/>
      <c r="GE314" s="199"/>
      <c r="GF314" s="199"/>
      <c r="GG314" s="199"/>
      <c r="GH314" s="199"/>
      <c r="GI314" s="199"/>
      <c r="GJ314" s="199"/>
      <c r="GK314" s="199"/>
      <c r="GL314" s="49"/>
      <c r="GM314" s="28"/>
      <c r="GN314" s="28"/>
      <c r="GO314" s="322"/>
      <c r="GP314" s="1190"/>
      <c r="GQ314" s="1190"/>
      <c r="GR314" s="49"/>
      <c r="GS314" s="2879"/>
      <c r="GT314" s="2880"/>
      <c r="GU314" s="2881"/>
      <c r="GV314" s="49"/>
      <c r="GW314" s="49"/>
      <c r="GX314" s="49"/>
      <c r="GY314" s="49"/>
      <c r="GZ314" s="49"/>
      <c r="HA314" s="49"/>
      <c r="HB314" s="49"/>
      <c r="HC314" s="49"/>
      <c r="HD314" s="49"/>
      <c r="HE314" s="49"/>
      <c r="HF314" s="49"/>
      <c r="HG314" s="49"/>
      <c r="HH314" s="49"/>
      <c r="HI314" s="49"/>
      <c r="HJ314" s="49"/>
      <c r="HK314" s="49"/>
      <c r="HL314" s="49"/>
      <c r="HM314" s="49"/>
      <c r="HN314" s="49"/>
      <c r="HO314" s="49"/>
      <c r="HP314" s="49"/>
      <c r="HQ314" s="49"/>
      <c r="HR314" s="49"/>
      <c r="HS314" s="49"/>
      <c r="HT314" s="49"/>
      <c r="HU314" s="49"/>
      <c r="HV314" s="49"/>
      <c r="HW314" s="49"/>
      <c r="HX314" s="49"/>
      <c r="HY314" s="49"/>
      <c r="HZ314" s="49"/>
      <c r="IA314" s="49"/>
      <c r="IB314" s="49"/>
      <c r="IC314" s="49"/>
      <c r="ID314" s="49"/>
      <c r="IE314" s="49"/>
      <c r="IF314" s="49"/>
      <c r="IG314" s="49"/>
      <c r="IH314" s="49"/>
      <c r="II314" s="49"/>
      <c r="IJ314" s="49"/>
      <c r="IK314" s="49"/>
      <c r="IL314" s="49"/>
      <c r="IM314" s="49"/>
      <c r="IN314" s="49"/>
      <c r="IO314" s="49"/>
      <c r="IP314" s="49"/>
      <c r="IQ314" s="49"/>
      <c r="IR314" s="49"/>
      <c r="IS314" s="49"/>
      <c r="IT314" s="49"/>
      <c r="IU314" s="49"/>
      <c r="IV314" s="49"/>
    </row>
    <row r="315" spans="1:256" s="198" customFormat="1" ht="12" customHeight="1">
      <c r="A315" s="1252"/>
      <c r="B315" s="200"/>
      <c r="C315" s="486"/>
      <c r="D315" s="201"/>
      <c r="E315" s="202"/>
      <c r="F315" s="203"/>
      <c r="G315" s="197"/>
      <c r="H315" s="197"/>
      <c r="I315" s="197"/>
      <c r="J315" s="197"/>
      <c r="K315" s="175"/>
      <c r="L315" s="197"/>
      <c r="M315" s="197"/>
      <c r="N315" s="197"/>
      <c r="O315" s="197"/>
      <c r="P315" s="197"/>
      <c r="Q315" s="1198"/>
      <c r="R315" s="202"/>
      <c r="S315" s="202"/>
      <c r="T315" s="1186"/>
      <c r="U315" s="233"/>
      <c r="V315" s="49"/>
      <c r="W315" s="218"/>
      <c r="X315" s="218"/>
      <c r="Y315" s="216"/>
      <c r="Z315" s="216"/>
      <c r="AA315" s="215"/>
      <c r="AB315" s="216"/>
      <c r="AC315" s="216"/>
      <c r="AD315" s="239"/>
      <c r="AE315" s="216"/>
      <c r="AF315" s="216"/>
      <c r="AG315" s="216"/>
      <c r="AH315" s="216"/>
      <c r="AI315" s="216"/>
      <c r="AJ315" s="216"/>
      <c r="AK315" s="239"/>
      <c r="AL315" s="216"/>
      <c r="AM315" s="216"/>
      <c r="AN315" s="216"/>
      <c r="AO315" s="216"/>
      <c r="AP315" s="216"/>
      <c r="AQ315" s="216"/>
      <c r="AR315" s="216"/>
      <c r="AS315" s="216"/>
      <c r="AT315" s="216"/>
      <c r="AU315" s="216"/>
      <c r="AV315" s="217"/>
      <c r="AW315" s="355"/>
      <c r="AX315" s="217"/>
      <c r="AY315" s="1559"/>
      <c r="AZ315" s="249"/>
      <c r="BA315" s="221"/>
      <c r="BB315" s="300"/>
      <c r="BC315" s="217"/>
      <c r="BD315" s="392"/>
      <c r="BE315" s="1244"/>
      <c r="BF315" s="249"/>
      <c r="BG315" s="252"/>
      <c r="BH315" s="1469"/>
      <c r="BI315" s="216"/>
      <c r="BJ315" s="1469"/>
      <c r="BK315" s="1459"/>
      <c r="BL315" s="260"/>
      <c r="BM315" s="214"/>
      <c r="BN315" s="293"/>
      <c r="BO315" s="217"/>
      <c r="BP315" s="355"/>
      <c r="BQ315" s="217"/>
      <c r="BR315" s="1193"/>
      <c r="BS315" s="249"/>
      <c r="BT315" s="216"/>
      <c r="BU315" s="1195"/>
      <c r="BV315" s="249"/>
      <c r="BW315" s="216"/>
      <c r="BX315" s="1195"/>
      <c r="BY315" s="249"/>
      <c r="BZ315" s="216"/>
      <c r="CA315" s="1195"/>
      <c r="CB315" s="249"/>
      <c r="CC315" s="216"/>
      <c r="CD315" s="1195"/>
      <c r="CE315" s="249"/>
      <c r="CF315" s="216"/>
      <c r="CG315" s="1195"/>
      <c r="CH315" s="249"/>
      <c r="CI315" s="216"/>
      <c r="CJ315" s="1195"/>
      <c r="CK315" s="249"/>
      <c r="CL315" s="216"/>
      <c r="CM315" s="1194"/>
      <c r="CN315" s="1524"/>
      <c r="CO315" s="217"/>
      <c r="CP315" s="1193"/>
      <c r="CQ315" s="293"/>
      <c r="CR315" s="217"/>
      <c r="CS315" s="305"/>
      <c r="CT315" s="249"/>
      <c r="CU315" s="216"/>
      <c r="CV315" s="1193"/>
      <c r="CW315" s="249"/>
      <c r="CX315" s="216"/>
      <c r="CY315" s="305"/>
      <c r="CZ315" s="249"/>
      <c r="DA315" s="216"/>
      <c r="DB315" s="307"/>
      <c r="DC315" s="328"/>
      <c r="DD315" s="322"/>
      <c r="DE315" s="305"/>
      <c r="DF315" s="249"/>
      <c r="DG315" s="216"/>
      <c r="DH315" s="305"/>
      <c r="DI315" s="249"/>
      <c r="DJ315" s="216"/>
      <c r="DK315" s="309"/>
      <c r="DL315" s="293"/>
      <c r="DM315" s="326"/>
      <c r="DN315" s="1256"/>
      <c r="DO315" s="214"/>
      <c r="DP315" s="1257"/>
      <c r="DQ315" s="1258"/>
      <c r="DR315" s="305"/>
      <c r="DS315" s="249"/>
      <c r="DT315" s="216"/>
      <c r="DU315" s="305"/>
      <c r="DV315" s="2520"/>
      <c r="DW315" s="2521"/>
      <c r="DX315" s="305"/>
      <c r="DY315" s="249"/>
      <c r="DZ315" s="221"/>
      <c r="EA315" s="388"/>
      <c r="EB315" s="249"/>
      <c r="EC315" s="216"/>
      <c r="ED315" s="1461"/>
      <c r="EE315" s="249"/>
      <c r="EF315" s="216"/>
      <c r="EG315" s="355"/>
      <c r="EH315" s="1425"/>
      <c r="EI315" s="1470"/>
      <c r="EJ315" s="249"/>
      <c r="EK315" s="221"/>
      <c r="EL315" s="313"/>
      <c r="EM315" s="249"/>
      <c r="EN315" s="221"/>
      <c r="EO315" s="313"/>
      <c r="EP315" s="249"/>
      <c r="EQ315" s="216"/>
      <c r="ER315" s="313"/>
      <c r="ES315" s="249"/>
      <c r="ET315" s="216"/>
      <c r="EU315" s="313"/>
      <c r="EV315" s="249"/>
      <c r="EW315" s="216"/>
      <c r="EX315" s="2505"/>
      <c r="EY315" s="249"/>
      <c r="EZ315" s="221"/>
      <c r="FA315" s="313"/>
      <c r="FB315" s="249"/>
      <c r="FC315" s="221"/>
      <c r="FD315" s="313"/>
      <c r="FE315" s="249"/>
      <c r="FF315" s="221"/>
      <c r="FG315" s="313"/>
      <c r="FH315" s="249"/>
      <c r="FI315" s="216"/>
      <c r="FJ315" s="1435"/>
      <c r="FK315" s="216"/>
      <c r="FL315" s="1268"/>
      <c r="FM315" s="1655"/>
      <c r="FN315" s="1268"/>
      <c r="FO315" s="1655"/>
      <c r="FP315" s="1268"/>
      <c r="FQ315" s="1656"/>
      <c r="FR315" s="249"/>
      <c r="FS315" s="216"/>
      <c r="FT315" s="1657"/>
      <c r="FU315" s="1658"/>
      <c r="FV315" s="242"/>
      <c r="FW315" s="343"/>
      <c r="FX315" s="222"/>
      <c r="FY315" s="336"/>
      <c r="FZ315" s="223"/>
      <c r="GA315" s="338"/>
      <c r="GB315" s="204"/>
      <c r="GC315" s="339"/>
      <c r="GD315" s="342"/>
      <c r="GE315" s="199"/>
      <c r="GF315" s="199"/>
      <c r="GG315" s="199"/>
      <c r="GH315" s="199"/>
      <c r="GI315" s="199"/>
      <c r="GJ315" s="199"/>
      <c r="GK315" s="199"/>
      <c r="GL315" s="49"/>
      <c r="GM315" s="28"/>
      <c r="GN315" s="28"/>
      <c r="GO315" s="322"/>
      <c r="GP315" s="1190"/>
      <c r="GQ315" s="1190"/>
      <c r="GR315" s="49"/>
      <c r="GS315" s="2879"/>
      <c r="GT315" s="2880"/>
      <c r="GU315" s="2881"/>
      <c r="GV315" s="49"/>
      <c r="GW315" s="49"/>
      <c r="GX315" s="49"/>
      <c r="GY315" s="49"/>
      <c r="GZ315" s="49"/>
      <c r="HA315" s="49"/>
      <c r="HB315" s="49"/>
      <c r="HC315" s="49"/>
      <c r="HD315" s="49"/>
      <c r="HE315" s="49"/>
      <c r="HF315" s="49"/>
      <c r="HG315" s="49"/>
      <c r="HH315" s="49"/>
      <c r="HI315" s="49"/>
      <c r="HJ315" s="49"/>
      <c r="HK315" s="49"/>
      <c r="HL315" s="49"/>
      <c r="HM315" s="49"/>
      <c r="HN315" s="49"/>
      <c r="HO315" s="49"/>
      <c r="HP315" s="49"/>
      <c r="HQ315" s="49"/>
      <c r="HR315" s="49"/>
      <c r="HS315" s="49"/>
      <c r="HT315" s="49"/>
      <c r="HU315" s="49"/>
      <c r="HV315" s="49"/>
      <c r="HW315" s="49"/>
      <c r="HX315" s="49"/>
      <c r="HY315" s="49"/>
      <c r="HZ315" s="49"/>
      <c r="IA315" s="49"/>
      <c r="IB315" s="49"/>
      <c r="IC315" s="49"/>
      <c r="ID315" s="49"/>
      <c r="IE315" s="49"/>
      <c r="IF315" s="49"/>
      <c r="IG315" s="49"/>
      <c r="IH315" s="49"/>
      <c r="II315" s="49"/>
      <c r="IJ315" s="49"/>
      <c r="IK315" s="49"/>
      <c r="IL315" s="49"/>
      <c r="IM315" s="49"/>
      <c r="IN315" s="49"/>
      <c r="IO315" s="49"/>
      <c r="IP315" s="49"/>
      <c r="IQ315" s="49"/>
      <c r="IR315" s="49"/>
      <c r="IS315" s="49"/>
      <c r="IT315" s="49"/>
      <c r="IU315" s="49"/>
      <c r="IV315" s="49"/>
    </row>
    <row r="316" spans="1:256" s="198" customFormat="1" ht="12" customHeight="1">
      <c r="A316" s="1252"/>
      <c r="B316" s="200"/>
      <c r="C316" s="486"/>
      <c r="D316" s="201"/>
      <c r="E316" s="202"/>
      <c r="F316" s="203"/>
      <c r="G316" s="197"/>
      <c r="H316" s="197"/>
      <c r="I316" s="197"/>
      <c r="J316" s="197"/>
      <c r="K316" s="175"/>
      <c r="L316" s="197"/>
      <c r="M316" s="197"/>
      <c r="N316" s="197"/>
      <c r="O316" s="197"/>
      <c r="P316" s="197"/>
      <c r="Q316" s="1198"/>
      <c r="R316" s="202"/>
      <c r="S316" s="202"/>
      <c r="T316" s="1186"/>
      <c r="U316" s="233"/>
      <c r="V316" s="49"/>
      <c r="W316" s="218"/>
      <c r="X316" s="218"/>
      <c r="Y316" s="216"/>
      <c r="Z316" s="216"/>
      <c r="AA316" s="215"/>
      <c r="AB316" s="216"/>
      <c r="AC316" s="216"/>
      <c r="AD316" s="239"/>
      <c r="AE316" s="216"/>
      <c r="AF316" s="216"/>
      <c r="AG316" s="216"/>
      <c r="AH316" s="216"/>
      <c r="AI316" s="216"/>
      <c r="AJ316" s="216"/>
      <c r="AK316" s="239"/>
      <c r="AL316" s="216"/>
      <c r="AM316" s="216"/>
      <c r="AN316" s="216"/>
      <c r="AO316" s="216"/>
      <c r="AP316" s="216"/>
      <c r="AQ316" s="216"/>
      <c r="AR316" s="216"/>
      <c r="AS316" s="216"/>
      <c r="AT316" s="216"/>
      <c r="AU316" s="216"/>
      <c r="AV316" s="217"/>
      <c r="AW316" s="355"/>
      <c r="AX316" s="217"/>
      <c r="AY316" s="1559"/>
      <c r="AZ316" s="249"/>
      <c r="BA316" s="221"/>
      <c r="BB316" s="300"/>
      <c r="BC316" s="217"/>
      <c r="BD316" s="392"/>
      <c r="BE316" s="1244"/>
      <c r="BF316" s="249"/>
      <c r="BG316" s="252"/>
      <c r="BH316" s="1469"/>
      <c r="BI316" s="216"/>
      <c r="BJ316" s="1469"/>
      <c r="BK316" s="1459"/>
      <c r="BL316" s="260"/>
      <c r="BM316" s="214"/>
      <c r="BN316" s="293"/>
      <c r="BO316" s="217"/>
      <c r="BP316" s="355"/>
      <c r="BQ316" s="217"/>
      <c r="BR316" s="1193"/>
      <c r="BS316" s="249"/>
      <c r="BT316" s="216"/>
      <c r="BU316" s="1195"/>
      <c r="BV316" s="249"/>
      <c r="BW316" s="216"/>
      <c r="BX316" s="1195"/>
      <c r="BY316" s="249"/>
      <c r="BZ316" s="216"/>
      <c r="CA316" s="1195"/>
      <c r="CB316" s="249"/>
      <c r="CC316" s="216"/>
      <c r="CD316" s="1195"/>
      <c r="CE316" s="249"/>
      <c r="CF316" s="216"/>
      <c r="CG316" s="1195"/>
      <c r="CH316" s="249"/>
      <c r="CI316" s="216"/>
      <c r="CJ316" s="1195"/>
      <c r="CK316" s="249"/>
      <c r="CL316" s="216"/>
      <c r="CM316" s="1194"/>
      <c r="CN316" s="1524"/>
      <c r="CO316" s="217"/>
      <c r="CP316" s="1193"/>
      <c r="CQ316" s="293"/>
      <c r="CR316" s="217"/>
      <c r="CS316" s="305"/>
      <c r="CT316" s="249"/>
      <c r="CU316" s="216"/>
      <c r="CV316" s="1193"/>
      <c r="CW316" s="249"/>
      <c r="CX316" s="216"/>
      <c r="CY316" s="305"/>
      <c r="CZ316" s="249"/>
      <c r="DA316" s="216"/>
      <c r="DB316" s="307"/>
      <c r="DC316" s="328"/>
      <c r="DD316" s="322"/>
      <c r="DE316" s="305"/>
      <c r="DF316" s="249"/>
      <c r="DG316" s="216"/>
      <c r="DH316" s="305"/>
      <c r="DI316" s="249"/>
      <c r="DJ316" s="216"/>
      <c r="DK316" s="309"/>
      <c r="DL316" s="293"/>
      <c r="DM316" s="326"/>
      <c r="DN316" s="1256"/>
      <c r="DO316" s="214"/>
      <c r="DP316" s="1257"/>
      <c r="DQ316" s="1258"/>
      <c r="DR316" s="305"/>
      <c r="DS316" s="249"/>
      <c r="DT316" s="216"/>
      <c r="DU316" s="305"/>
      <c r="DV316" s="2520"/>
      <c r="DW316" s="2521"/>
      <c r="DX316" s="305"/>
      <c r="DY316" s="249"/>
      <c r="DZ316" s="221"/>
      <c r="EA316" s="388"/>
      <c r="EB316" s="249"/>
      <c r="EC316" s="216"/>
      <c r="ED316" s="1461"/>
      <c r="EE316" s="249"/>
      <c r="EF316" s="216"/>
      <c r="EG316" s="355"/>
      <c r="EH316" s="1425"/>
      <c r="EI316" s="1470"/>
      <c r="EJ316" s="249"/>
      <c r="EK316" s="221"/>
      <c r="EL316" s="313"/>
      <c r="EM316" s="249"/>
      <c r="EN316" s="221"/>
      <c r="EO316" s="313"/>
      <c r="EP316" s="249"/>
      <c r="EQ316" s="216"/>
      <c r="ER316" s="313"/>
      <c r="ES316" s="249"/>
      <c r="ET316" s="216"/>
      <c r="EU316" s="313"/>
      <c r="EV316" s="249"/>
      <c r="EW316" s="216"/>
      <c r="EX316" s="2505"/>
      <c r="EY316" s="249"/>
      <c r="EZ316" s="221"/>
      <c r="FA316" s="313"/>
      <c r="FB316" s="249"/>
      <c r="FC316" s="221"/>
      <c r="FD316" s="313"/>
      <c r="FE316" s="249"/>
      <c r="FF316" s="221"/>
      <c r="FG316" s="313"/>
      <c r="FH316" s="249"/>
      <c r="FI316" s="216"/>
      <c r="FJ316" s="1435"/>
      <c r="FK316" s="216"/>
      <c r="FL316" s="1268"/>
      <c r="FM316" s="1655"/>
      <c r="FN316" s="1268"/>
      <c r="FO316" s="1655"/>
      <c r="FP316" s="1268"/>
      <c r="FQ316" s="1656"/>
      <c r="FR316" s="249"/>
      <c r="FS316" s="216"/>
      <c r="FT316" s="1657"/>
      <c r="FU316" s="1658"/>
      <c r="FV316" s="242"/>
      <c r="FW316" s="343"/>
      <c r="FX316" s="222"/>
      <c r="FY316" s="336"/>
      <c r="FZ316" s="223"/>
      <c r="GA316" s="338"/>
      <c r="GB316" s="204"/>
      <c r="GC316" s="339"/>
      <c r="GD316" s="342"/>
      <c r="GE316" s="199"/>
      <c r="GF316" s="199"/>
      <c r="GG316" s="199"/>
      <c r="GH316" s="199"/>
      <c r="GI316" s="199"/>
      <c r="GJ316" s="199"/>
      <c r="GK316" s="199"/>
      <c r="GL316" s="49"/>
      <c r="GM316" s="28"/>
      <c r="GN316" s="28"/>
      <c r="GO316" s="322"/>
      <c r="GP316" s="1190"/>
      <c r="GQ316" s="1190"/>
      <c r="GR316" s="49"/>
      <c r="GS316" s="2879"/>
      <c r="GT316" s="2880"/>
      <c r="GU316" s="2881"/>
      <c r="GV316" s="49"/>
      <c r="GW316" s="49"/>
      <c r="GX316" s="49"/>
      <c r="GY316" s="49"/>
      <c r="GZ316" s="49"/>
      <c r="HA316" s="49"/>
      <c r="HB316" s="49"/>
      <c r="HC316" s="49"/>
      <c r="HD316" s="49"/>
      <c r="HE316" s="49"/>
      <c r="HF316" s="49"/>
      <c r="HG316" s="49"/>
      <c r="HH316" s="49"/>
      <c r="HI316" s="49"/>
      <c r="HJ316" s="49"/>
      <c r="HK316" s="49"/>
      <c r="HL316" s="49"/>
      <c r="HM316" s="49"/>
      <c r="HN316" s="49"/>
      <c r="HO316" s="49"/>
      <c r="HP316" s="49"/>
      <c r="HQ316" s="49"/>
      <c r="HR316" s="49"/>
      <c r="HS316" s="49"/>
      <c r="HT316" s="49"/>
      <c r="HU316" s="49"/>
      <c r="HV316" s="49"/>
      <c r="HW316" s="49"/>
      <c r="HX316" s="49"/>
      <c r="HY316" s="49"/>
      <c r="HZ316" s="49"/>
      <c r="IA316" s="49"/>
      <c r="IB316" s="49"/>
      <c r="IC316" s="49"/>
      <c r="ID316" s="49"/>
      <c r="IE316" s="49"/>
      <c r="IF316" s="49"/>
      <c r="IG316" s="49"/>
      <c r="IH316" s="49"/>
      <c r="II316" s="49"/>
      <c r="IJ316" s="49"/>
      <c r="IK316" s="49"/>
      <c r="IL316" s="49"/>
      <c r="IM316" s="49"/>
      <c r="IN316" s="49"/>
      <c r="IO316" s="49"/>
      <c r="IP316" s="49"/>
      <c r="IQ316" s="49"/>
      <c r="IR316" s="49"/>
      <c r="IS316" s="49"/>
      <c r="IT316" s="49"/>
      <c r="IU316" s="49"/>
      <c r="IV316" s="49"/>
    </row>
    <row r="317" spans="1:256" s="198" customFormat="1" ht="12" customHeight="1">
      <c r="A317" s="1252"/>
      <c r="B317" s="200"/>
      <c r="C317" s="486"/>
      <c r="D317" s="201"/>
      <c r="E317" s="202"/>
      <c r="F317" s="203"/>
      <c r="G317" s="197"/>
      <c r="H317" s="197"/>
      <c r="I317" s="197"/>
      <c r="J317" s="197"/>
      <c r="K317" s="175"/>
      <c r="L317" s="197"/>
      <c r="M317" s="197"/>
      <c r="N317" s="197"/>
      <c r="O317" s="197"/>
      <c r="P317" s="197"/>
      <c r="Q317" s="1198"/>
      <c r="R317" s="202"/>
      <c r="S317" s="202"/>
      <c r="T317" s="1186"/>
      <c r="U317" s="233"/>
      <c r="V317" s="49"/>
      <c r="W317" s="218"/>
      <c r="X317" s="218"/>
      <c r="Y317" s="216"/>
      <c r="Z317" s="216"/>
      <c r="AA317" s="215"/>
      <c r="AB317" s="216"/>
      <c r="AC317" s="216"/>
      <c r="AD317" s="239"/>
      <c r="AE317" s="216"/>
      <c r="AF317" s="216"/>
      <c r="AG317" s="216"/>
      <c r="AH317" s="216"/>
      <c r="AI317" s="216"/>
      <c r="AJ317" s="216"/>
      <c r="AK317" s="239"/>
      <c r="AL317" s="216"/>
      <c r="AM317" s="216"/>
      <c r="AN317" s="216"/>
      <c r="AO317" s="216"/>
      <c r="AP317" s="216"/>
      <c r="AQ317" s="216"/>
      <c r="AR317" s="216"/>
      <c r="AS317" s="216"/>
      <c r="AT317" s="216"/>
      <c r="AU317" s="216"/>
      <c r="AV317" s="217"/>
      <c r="AW317" s="355"/>
      <c r="AX317" s="217"/>
      <c r="AY317" s="1559"/>
      <c r="AZ317" s="249"/>
      <c r="BA317" s="221"/>
      <c r="BB317" s="300"/>
      <c r="BC317" s="217"/>
      <c r="BD317" s="392"/>
      <c r="BE317" s="1244"/>
      <c r="BF317" s="249"/>
      <c r="BG317" s="252"/>
      <c r="BH317" s="1469"/>
      <c r="BI317" s="216"/>
      <c r="BJ317" s="1469"/>
      <c r="BK317" s="1459"/>
      <c r="BL317" s="260"/>
      <c r="BM317" s="214"/>
      <c r="BN317" s="293"/>
      <c r="BO317" s="217"/>
      <c r="BP317" s="355"/>
      <c r="BQ317" s="217"/>
      <c r="BR317" s="1193"/>
      <c r="BS317" s="249"/>
      <c r="BT317" s="216"/>
      <c r="BU317" s="1195"/>
      <c r="BV317" s="249"/>
      <c r="BW317" s="216"/>
      <c r="BX317" s="1195"/>
      <c r="BY317" s="249"/>
      <c r="BZ317" s="216"/>
      <c r="CA317" s="1195"/>
      <c r="CB317" s="249"/>
      <c r="CC317" s="216"/>
      <c r="CD317" s="1195"/>
      <c r="CE317" s="249"/>
      <c r="CF317" s="216"/>
      <c r="CG317" s="1195"/>
      <c r="CH317" s="249"/>
      <c r="CI317" s="216"/>
      <c r="CJ317" s="1195"/>
      <c r="CK317" s="249"/>
      <c r="CL317" s="216"/>
      <c r="CM317" s="1194"/>
      <c r="CN317" s="1524"/>
      <c r="CO317" s="217"/>
      <c r="CP317" s="1193"/>
      <c r="CQ317" s="293"/>
      <c r="CR317" s="217"/>
      <c r="CS317" s="305"/>
      <c r="CT317" s="249"/>
      <c r="CU317" s="216"/>
      <c r="CV317" s="1193"/>
      <c r="CW317" s="249"/>
      <c r="CX317" s="216"/>
      <c r="CY317" s="305"/>
      <c r="CZ317" s="249"/>
      <c r="DA317" s="216"/>
      <c r="DB317" s="307"/>
      <c r="DC317" s="328"/>
      <c r="DD317" s="322"/>
      <c r="DE317" s="305"/>
      <c r="DF317" s="249"/>
      <c r="DG317" s="216"/>
      <c r="DH317" s="305"/>
      <c r="DI317" s="249"/>
      <c r="DJ317" s="216"/>
      <c r="DK317" s="309"/>
      <c r="DL317" s="293"/>
      <c r="DM317" s="326"/>
      <c r="DN317" s="1256"/>
      <c r="DO317" s="214"/>
      <c r="DP317" s="1257"/>
      <c r="DQ317" s="1258"/>
      <c r="DR317" s="305"/>
      <c r="DS317" s="249"/>
      <c r="DT317" s="216"/>
      <c r="DU317" s="305"/>
      <c r="DV317" s="2520"/>
      <c r="DW317" s="2521"/>
      <c r="DX317" s="305"/>
      <c r="DY317" s="249"/>
      <c r="DZ317" s="221"/>
      <c r="EA317" s="388"/>
      <c r="EB317" s="249"/>
      <c r="EC317" s="216"/>
      <c r="ED317" s="1461"/>
      <c r="EE317" s="249"/>
      <c r="EF317" s="216"/>
      <c r="EG317" s="355"/>
      <c r="EH317" s="1425"/>
      <c r="EI317" s="1470"/>
      <c r="EJ317" s="249"/>
      <c r="EK317" s="221"/>
      <c r="EL317" s="313"/>
      <c r="EM317" s="249"/>
      <c r="EN317" s="221"/>
      <c r="EO317" s="313"/>
      <c r="EP317" s="249"/>
      <c r="EQ317" s="216"/>
      <c r="ER317" s="313"/>
      <c r="ES317" s="249"/>
      <c r="ET317" s="216"/>
      <c r="EU317" s="313"/>
      <c r="EV317" s="249"/>
      <c r="EW317" s="216"/>
      <c r="EX317" s="2505"/>
      <c r="EY317" s="249"/>
      <c r="EZ317" s="221"/>
      <c r="FA317" s="313"/>
      <c r="FB317" s="249"/>
      <c r="FC317" s="221"/>
      <c r="FD317" s="313"/>
      <c r="FE317" s="249"/>
      <c r="FF317" s="221"/>
      <c r="FG317" s="313"/>
      <c r="FH317" s="249"/>
      <c r="FI317" s="216"/>
      <c r="FJ317" s="1435"/>
      <c r="FK317" s="216"/>
      <c r="FL317" s="1268"/>
      <c r="FM317" s="1655"/>
      <c r="FN317" s="1268"/>
      <c r="FO317" s="1655"/>
      <c r="FP317" s="1268"/>
      <c r="FQ317" s="1656"/>
      <c r="FR317" s="249"/>
      <c r="FS317" s="216"/>
      <c r="FT317" s="1657"/>
      <c r="FU317" s="1658"/>
      <c r="FV317" s="242"/>
      <c r="FW317" s="343"/>
      <c r="FX317" s="222"/>
      <c r="FY317" s="336"/>
      <c r="FZ317" s="223"/>
      <c r="GA317" s="338"/>
      <c r="GB317" s="204"/>
      <c r="GC317" s="339"/>
      <c r="GD317" s="342"/>
      <c r="GE317" s="199"/>
      <c r="GF317" s="199"/>
      <c r="GG317" s="199"/>
      <c r="GH317" s="199"/>
      <c r="GI317" s="199"/>
      <c r="GJ317" s="199"/>
      <c r="GK317" s="199"/>
      <c r="GL317" s="49"/>
      <c r="GM317" s="28"/>
      <c r="GN317" s="28"/>
      <c r="GO317" s="322"/>
      <c r="GP317" s="1190"/>
      <c r="GQ317" s="1190"/>
      <c r="GR317" s="49"/>
      <c r="GS317" s="2879"/>
      <c r="GT317" s="2880"/>
      <c r="GU317" s="2881"/>
      <c r="GV317" s="49"/>
      <c r="GW317" s="49"/>
      <c r="GX317" s="49"/>
      <c r="GY317" s="49"/>
      <c r="GZ317" s="49"/>
      <c r="HA317" s="49"/>
      <c r="HB317" s="49"/>
      <c r="HC317" s="49"/>
      <c r="HD317" s="49"/>
      <c r="HE317" s="49"/>
      <c r="HF317" s="49"/>
      <c r="HG317" s="49"/>
      <c r="HH317" s="49"/>
      <c r="HI317" s="49"/>
      <c r="HJ317" s="49"/>
      <c r="HK317" s="49"/>
      <c r="HL317" s="49"/>
      <c r="HM317" s="49"/>
      <c r="HN317" s="49"/>
      <c r="HO317" s="49"/>
      <c r="HP317" s="49"/>
      <c r="HQ317" s="49"/>
      <c r="HR317" s="49"/>
      <c r="HS317" s="49"/>
      <c r="HT317" s="49"/>
      <c r="HU317" s="49"/>
      <c r="HV317" s="49"/>
      <c r="HW317" s="49"/>
      <c r="HX317" s="49"/>
      <c r="HY317" s="49"/>
      <c r="HZ317" s="49"/>
      <c r="IA317" s="49"/>
      <c r="IB317" s="49"/>
      <c r="IC317" s="49"/>
      <c r="ID317" s="49"/>
      <c r="IE317" s="49"/>
      <c r="IF317" s="49"/>
      <c r="IG317" s="49"/>
      <c r="IH317" s="49"/>
      <c r="II317" s="49"/>
      <c r="IJ317" s="49"/>
      <c r="IK317" s="49"/>
      <c r="IL317" s="49"/>
      <c r="IM317" s="49"/>
      <c r="IN317" s="49"/>
      <c r="IO317" s="49"/>
      <c r="IP317" s="49"/>
      <c r="IQ317" s="49"/>
      <c r="IR317" s="49"/>
      <c r="IS317" s="49"/>
      <c r="IT317" s="49"/>
      <c r="IU317" s="49"/>
      <c r="IV317" s="49"/>
    </row>
    <row r="318" spans="1:256" s="198" customFormat="1" ht="12" customHeight="1">
      <c r="A318" s="1252"/>
      <c r="B318" s="200"/>
      <c r="C318" s="486"/>
      <c r="D318" s="201"/>
      <c r="E318" s="202"/>
      <c r="F318" s="203"/>
      <c r="G318" s="197"/>
      <c r="H318" s="197"/>
      <c r="I318" s="197"/>
      <c r="J318" s="197"/>
      <c r="K318" s="175"/>
      <c r="L318" s="197"/>
      <c r="M318" s="197"/>
      <c r="N318" s="197"/>
      <c r="O318" s="197"/>
      <c r="P318" s="197"/>
      <c r="Q318" s="1198"/>
      <c r="R318" s="202"/>
      <c r="S318" s="202"/>
      <c r="T318" s="1186"/>
      <c r="U318" s="233"/>
      <c r="V318" s="49"/>
      <c r="W318" s="218"/>
      <c r="X318" s="218"/>
      <c r="Y318" s="216"/>
      <c r="Z318" s="216"/>
      <c r="AA318" s="215"/>
      <c r="AB318" s="216"/>
      <c r="AC318" s="216"/>
      <c r="AD318" s="239"/>
      <c r="AE318" s="216"/>
      <c r="AF318" s="216"/>
      <c r="AG318" s="216"/>
      <c r="AH318" s="216"/>
      <c r="AI318" s="216"/>
      <c r="AJ318" s="216"/>
      <c r="AK318" s="239"/>
      <c r="AL318" s="216"/>
      <c r="AM318" s="216"/>
      <c r="AN318" s="216"/>
      <c r="AO318" s="216"/>
      <c r="AP318" s="216"/>
      <c r="AQ318" s="216"/>
      <c r="AR318" s="216"/>
      <c r="AS318" s="216"/>
      <c r="AT318" s="216"/>
      <c r="AU318" s="216"/>
      <c r="AV318" s="217"/>
      <c r="AW318" s="355"/>
      <c r="AX318" s="217"/>
      <c r="AY318" s="1559"/>
      <c r="AZ318" s="249"/>
      <c r="BA318" s="221"/>
      <c r="BB318" s="300"/>
      <c r="BC318" s="217"/>
      <c r="BD318" s="392"/>
      <c r="BE318" s="1244"/>
      <c r="BF318" s="249"/>
      <c r="BG318" s="252"/>
      <c r="BH318" s="1469"/>
      <c r="BI318" s="216"/>
      <c r="BJ318" s="1469"/>
      <c r="BK318" s="1459"/>
      <c r="BL318" s="260"/>
      <c r="BM318" s="214"/>
      <c r="BN318" s="293"/>
      <c r="BO318" s="217"/>
      <c r="BP318" s="355"/>
      <c r="BQ318" s="217"/>
      <c r="BR318" s="1193"/>
      <c r="BS318" s="249"/>
      <c r="BT318" s="216"/>
      <c r="BU318" s="1195"/>
      <c r="BV318" s="249"/>
      <c r="BW318" s="216"/>
      <c r="BX318" s="1195"/>
      <c r="BY318" s="249"/>
      <c r="BZ318" s="216"/>
      <c r="CA318" s="1195"/>
      <c r="CB318" s="249"/>
      <c r="CC318" s="216"/>
      <c r="CD318" s="1195"/>
      <c r="CE318" s="249"/>
      <c r="CF318" s="216"/>
      <c r="CG318" s="1195"/>
      <c r="CH318" s="249"/>
      <c r="CI318" s="216"/>
      <c r="CJ318" s="1195"/>
      <c r="CK318" s="249"/>
      <c r="CL318" s="216"/>
      <c r="CM318" s="1194"/>
      <c r="CN318" s="1524"/>
      <c r="CO318" s="217"/>
      <c r="CP318" s="1193"/>
      <c r="CQ318" s="293"/>
      <c r="CR318" s="217"/>
      <c r="CS318" s="305"/>
      <c r="CT318" s="249"/>
      <c r="CU318" s="216"/>
      <c r="CV318" s="1193"/>
      <c r="CW318" s="249"/>
      <c r="CX318" s="216"/>
      <c r="CY318" s="305"/>
      <c r="CZ318" s="249"/>
      <c r="DA318" s="216"/>
      <c r="DB318" s="307"/>
      <c r="DC318" s="328"/>
      <c r="DD318" s="322"/>
      <c r="DE318" s="305"/>
      <c r="DF318" s="249"/>
      <c r="DG318" s="216"/>
      <c r="DH318" s="305"/>
      <c r="DI318" s="249"/>
      <c r="DJ318" s="216"/>
      <c r="DK318" s="309"/>
      <c r="DL318" s="293"/>
      <c r="DM318" s="326"/>
      <c r="DN318" s="1256"/>
      <c r="DO318" s="214"/>
      <c r="DP318" s="1257"/>
      <c r="DQ318" s="1258"/>
      <c r="DR318" s="305"/>
      <c r="DS318" s="249"/>
      <c r="DT318" s="216"/>
      <c r="DU318" s="305"/>
      <c r="DV318" s="2520"/>
      <c r="DW318" s="2521"/>
      <c r="DX318" s="305"/>
      <c r="DY318" s="249"/>
      <c r="DZ318" s="221"/>
      <c r="EA318" s="388"/>
      <c r="EB318" s="249"/>
      <c r="EC318" s="216"/>
      <c r="ED318" s="1461"/>
      <c r="EE318" s="249"/>
      <c r="EF318" s="216"/>
      <c r="EG318" s="355"/>
      <c r="EH318" s="1425"/>
      <c r="EI318" s="1470"/>
      <c r="EJ318" s="249"/>
      <c r="EK318" s="221"/>
      <c r="EL318" s="313"/>
      <c r="EM318" s="249"/>
      <c r="EN318" s="221"/>
      <c r="EO318" s="313"/>
      <c r="EP318" s="249"/>
      <c r="EQ318" s="216"/>
      <c r="ER318" s="313"/>
      <c r="ES318" s="249"/>
      <c r="ET318" s="216"/>
      <c r="EU318" s="313"/>
      <c r="EV318" s="249"/>
      <c r="EW318" s="216"/>
      <c r="EX318" s="2505"/>
      <c r="EY318" s="249"/>
      <c r="EZ318" s="221"/>
      <c r="FA318" s="313"/>
      <c r="FB318" s="249"/>
      <c r="FC318" s="221"/>
      <c r="FD318" s="313"/>
      <c r="FE318" s="249"/>
      <c r="FF318" s="221"/>
      <c r="FG318" s="313"/>
      <c r="FH318" s="249"/>
      <c r="FI318" s="216"/>
      <c r="FJ318" s="1435"/>
      <c r="FK318" s="216"/>
      <c r="FL318" s="1268"/>
      <c r="FM318" s="1655"/>
      <c r="FN318" s="1268"/>
      <c r="FO318" s="1655"/>
      <c r="FP318" s="1268"/>
      <c r="FQ318" s="1656"/>
      <c r="FR318" s="249"/>
      <c r="FS318" s="216"/>
      <c r="FT318" s="1657"/>
      <c r="FU318" s="1658"/>
      <c r="FV318" s="242"/>
      <c r="FW318" s="343"/>
      <c r="FX318" s="222"/>
      <c r="FY318" s="336"/>
      <c r="FZ318" s="223"/>
      <c r="GA318" s="338"/>
      <c r="GB318" s="204"/>
      <c r="GC318" s="339"/>
      <c r="GD318" s="342"/>
      <c r="GE318" s="199"/>
      <c r="GF318" s="199"/>
      <c r="GG318" s="199"/>
      <c r="GH318" s="199"/>
      <c r="GI318" s="199"/>
      <c r="GJ318" s="199"/>
      <c r="GK318" s="199"/>
      <c r="GL318" s="49"/>
      <c r="GM318" s="28"/>
      <c r="GN318" s="28"/>
      <c r="GO318" s="322"/>
      <c r="GP318" s="1190"/>
      <c r="GQ318" s="1190"/>
      <c r="GR318" s="49"/>
      <c r="GS318" s="2879"/>
      <c r="GT318" s="2880"/>
      <c r="GU318" s="2881"/>
      <c r="GV318" s="49"/>
      <c r="GW318" s="49"/>
      <c r="GX318" s="49"/>
      <c r="GY318" s="49"/>
      <c r="GZ318" s="49"/>
      <c r="HA318" s="49"/>
      <c r="HB318" s="49"/>
      <c r="HC318" s="49"/>
      <c r="HD318" s="49"/>
      <c r="HE318" s="49"/>
      <c r="HF318" s="49"/>
      <c r="HG318" s="49"/>
      <c r="HH318" s="49"/>
      <c r="HI318" s="49"/>
      <c r="HJ318" s="49"/>
      <c r="HK318" s="49"/>
      <c r="HL318" s="49"/>
      <c r="HM318" s="49"/>
      <c r="HN318" s="49"/>
      <c r="HO318" s="49"/>
      <c r="HP318" s="49"/>
      <c r="HQ318" s="49"/>
      <c r="HR318" s="49"/>
      <c r="HS318" s="49"/>
      <c r="HT318" s="49"/>
      <c r="HU318" s="49"/>
      <c r="HV318" s="49"/>
      <c r="HW318" s="49"/>
      <c r="HX318" s="49"/>
      <c r="HY318" s="49"/>
      <c r="HZ318" s="49"/>
      <c r="IA318" s="49"/>
      <c r="IB318" s="49"/>
      <c r="IC318" s="49"/>
      <c r="ID318" s="49"/>
      <c r="IE318" s="49"/>
      <c r="IF318" s="49"/>
      <c r="IG318" s="49"/>
      <c r="IH318" s="49"/>
      <c r="II318" s="49"/>
      <c r="IJ318" s="49"/>
      <c r="IK318" s="49"/>
      <c r="IL318" s="49"/>
      <c r="IM318" s="49"/>
      <c r="IN318" s="49"/>
      <c r="IO318" s="49"/>
      <c r="IP318" s="49"/>
      <c r="IQ318" s="49"/>
      <c r="IR318" s="49"/>
      <c r="IS318" s="49"/>
      <c r="IT318" s="49"/>
      <c r="IU318" s="49"/>
      <c r="IV318" s="49"/>
    </row>
    <row r="319" spans="1:256" s="247" customFormat="1" ht="12" customHeight="1">
      <c r="A319" s="1252"/>
      <c r="B319" s="200"/>
      <c r="C319" s="486"/>
      <c r="D319" s="243"/>
      <c r="E319" s="244"/>
      <c r="F319" s="245"/>
      <c r="G319" s="246"/>
      <c r="H319" s="246"/>
      <c r="I319" s="246"/>
      <c r="J319" s="246"/>
      <c r="K319" s="175"/>
      <c r="L319" s="246"/>
      <c r="M319" s="246"/>
      <c r="N319" s="246"/>
      <c r="O319" s="246"/>
      <c r="P319" s="246"/>
      <c r="Q319" s="1199"/>
      <c r="R319" s="244"/>
      <c r="S319" s="244"/>
      <c r="T319" s="1186"/>
      <c r="U319" s="233"/>
      <c r="V319" s="49"/>
      <c r="W319" s="218"/>
      <c r="X319" s="218"/>
      <c r="Y319" s="216"/>
      <c r="Z319" s="216"/>
      <c r="AA319" s="215"/>
      <c r="AB319" s="216"/>
      <c r="AC319" s="216"/>
      <c r="AD319" s="239"/>
      <c r="AE319" s="216"/>
      <c r="AF319" s="216"/>
      <c r="AG319" s="216"/>
      <c r="AH319" s="216"/>
      <c r="AI319" s="216"/>
      <c r="AJ319" s="216"/>
      <c r="AK319" s="239"/>
      <c r="AL319" s="216"/>
      <c r="AM319" s="216"/>
      <c r="AN319" s="216"/>
      <c r="AO319" s="216"/>
      <c r="AP319" s="216"/>
      <c r="AQ319" s="216"/>
      <c r="AR319" s="216"/>
      <c r="AS319" s="216"/>
      <c r="AT319" s="216"/>
      <c r="AU319" s="216"/>
      <c r="AV319" s="217"/>
      <c r="AW319" s="355"/>
      <c r="AX319" s="217"/>
      <c r="AY319" s="1559"/>
      <c r="AZ319" s="249"/>
      <c r="BA319" s="221"/>
      <c r="BB319" s="300"/>
      <c r="BC319" s="217"/>
      <c r="BD319" s="392"/>
      <c r="BE319" s="1244"/>
      <c r="BF319" s="249"/>
      <c r="BG319" s="252"/>
      <c r="BH319" s="1469"/>
      <c r="BI319" s="216"/>
      <c r="BJ319" s="1469"/>
      <c r="BK319" s="1459"/>
      <c r="BL319" s="260"/>
      <c r="BM319" s="214"/>
      <c r="BN319" s="293"/>
      <c r="BO319" s="217"/>
      <c r="BP319" s="355"/>
      <c r="BQ319" s="217"/>
      <c r="BR319" s="1193"/>
      <c r="BS319" s="249"/>
      <c r="BT319" s="216"/>
      <c r="BU319" s="1195"/>
      <c r="BV319" s="249"/>
      <c r="BW319" s="216"/>
      <c r="BX319" s="1195"/>
      <c r="BY319" s="249"/>
      <c r="BZ319" s="216"/>
      <c r="CA319" s="1195"/>
      <c r="CB319" s="249"/>
      <c r="CC319" s="216"/>
      <c r="CD319" s="1195"/>
      <c r="CE319" s="249"/>
      <c r="CF319" s="216"/>
      <c r="CG319" s="1195"/>
      <c r="CH319" s="249"/>
      <c r="CI319" s="216"/>
      <c r="CJ319" s="1195"/>
      <c r="CK319" s="249"/>
      <c r="CL319" s="216"/>
      <c r="CM319" s="1194"/>
      <c r="CN319" s="1524"/>
      <c r="CO319" s="217"/>
      <c r="CP319" s="1193"/>
      <c r="CQ319" s="293"/>
      <c r="CR319" s="217"/>
      <c r="CS319" s="305"/>
      <c r="CT319" s="249"/>
      <c r="CU319" s="216"/>
      <c r="CV319" s="1193"/>
      <c r="CW319" s="249"/>
      <c r="CX319" s="216"/>
      <c r="CY319" s="305"/>
      <c r="CZ319" s="249"/>
      <c r="DA319" s="216"/>
      <c r="DB319" s="307"/>
      <c r="DC319" s="328"/>
      <c r="DD319" s="322"/>
      <c r="DE319" s="305"/>
      <c r="DF319" s="249"/>
      <c r="DG319" s="216"/>
      <c r="DH319" s="305"/>
      <c r="DI319" s="249"/>
      <c r="DJ319" s="216"/>
      <c r="DK319" s="309"/>
      <c r="DL319" s="293"/>
      <c r="DM319" s="326"/>
      <c r="DN319" s="1256"/>
      <c r="DO319" s="214"/>
      <c r="DP319" s="1257"/>
      <c r="DQ319" s="1258"/>
      <c r="DR319" s="305"/>
      <c r="DS319" s="249"/>
      <c r="DT319" s="216"/>
      <c r="DU319" s="305"/>
      <c r="DV319" s="2520"/>
      <c r="DW319" s="2521"/>
      <c r="DX319" s="305"/>
      <c r="DY319" s="249"/>
      <c r="DZ319" s="221"/>
      <c r="EA319" s="388"/>
      <c r="EB319" s="249"/>
      <c r="EC319" s="216"/>
      <c r="ED319" s="1461"/>
      <c r="EE319" s="249"/>
      <c r="EF319" s="216"/>
      <c r="EG319" s="355"/>
      <c r="EH319" s="1425"/>
      <c r="EI319" s="1470"/>
      <c r="EJ319" s="249"/>
      <c r="EK319" s="221"/>
      <c r="EL319" s="313"/>
      <c r="EM319" s="249"/>
      <c r="EN319" s="221"/>
      <c r="EO319" s="313"/>
      <c r="EP319" s="249"/>
      <c r="EQ319" s="216"/>
      <c r="ER319" s="313"/>
      <c r="ES319" s="249"/>
      <c r="ET319" s="216"/>
      <c r="EU319" s="313"/>
      <c r="EV319" s="249"/>
      <c r="EW319" s="216"/>
      <c r="EX319" s="2505"/>
      <c r="EY319" s="249"/>
      <c r="EZ319" s="221"/>
      <c r="FA319" s="313"/>
      <c r="FB319" s="249"/>
      <c r="FC319" s="221"/>
      <c r="FD319" s="313"/>
      <c r="FE319" s="249"/>
      <c r="FF319" s="221"/>
      <c r="FG319" s="313"/>
      <c r="FH319" s="249"/>
      <c r="FI319" s="216"/>
      <c r="FJ319" s="1435"/>
      <c r="FK319" s="216"/>
      <c r="FL319" s="1268"/>
      <c r="FM319" s="1655"/>
      <c r="FN319" s="1268"/>
      <c r="FO319" s="1655"/>
      <c r="FP319" s="1268"/>
      <c r="FQ319" s="1656"/>
      <c r="FR319" s="249"/>
      <c r="FS319" s="216"/>
      <c r="FT319" s="1657"/>
      <c r="FU319" s="1658"/>
      <c r="FV319" s="242"/>
      <c r="FW319" s="343"/>
      <c r="FX319" s="222"/>
      <c r="FY319" s="336"/>
      <c r="FZ319" s="223"/>
      <c r="GA319" s="338"/>
      <c r="GB319" s="204"/>
      <c r="GC319" s="339"/>
      <c r="GD319" s="342"/>
      <c r="GE319" s="199"/>
      <c r="GF319" s="199"/>
      <c r="GG319" s="199"/>
      <c r="GH319" s="199"/>
      <c r="GI319" s="199"/>
      <c r="GJ319" s="199"/>
      <c r="GK319" s="199"/>
      <c r="GL319" s="49"/>
      <c r="GM319" s="28"/>
      <c r="GN319" s="28"/>
      <c r="GO319" s="322"/>
      <c r="GP319" s="1190"/>
      <c r="GQ319" s="1190"/>
      <c r="GR319" s="49"/>
      <c r="GS319" s="2879"/>
      <c r="GT319" s="2880"/>
      <c r="GU319" s="2881"/>
      <c r="GV319" s="49"/>
      <c r="GW319" s="49"/>
      <c r="GX319" s="49"/>
      <c r="GY319" s="49"/>
      <c r="GZ319" s="49"/>
      <c r="HA319" s="49"/>
      <c r="HB319" s="49"/>
      <c r="HC319" s="49"/>
      <c r="HD319" s="49"/>
      <c r="HE319" s="49"/>
      <c r="HF319" s="49"/>
      <c r="HG319" s="49"/>
      <c r="HH319" s="49"/>
      <c r="HI319" s="49"/>
      <c r="HJ319" s="49"/>
      <c r="HK319" s="49"/>
      <c r="HL319" s="49"/>
      <c r="HM319" s="49"/>
      <c r="HN319" s="49"/>
      <c r="HO319" s="49"/>
      <c r="HP319" s="49"/>
      <c r="HQ319" s="49"/>
      <c r="HR319" s="49"/>
      <c r="HS319" s="49"/>
      <c r="HT319" s="49"/>
      <c r="HU319" s="49"/>
      <c r="HV319" s="49"/>
      <c r="HW319" s="49"/>
      <c r="HX319" s="49"/>
      <c r="HY319" s="49"/>
      <c r="HZ319" s="49"/>
      <c r="IA319" s="49"/>
      <c r="IB319" s="49"/>
      <c r="IC319" s="49"/>
      <c r="ID319" s="49"/>
      <c r="IE319" s="49"/>
      <c r="IF319" s="49"/>
      <c r="IG319" s="49"/>
      <c r="IH319" s="49"/>
      <c r="II319" s="49"/>
      <c r="IJ319" s="49"/>
      <c r="IK319" s="49"/>
      <c r="IL319" s="49"/>
      <c r="IM319" s="49"/>
      <c r="IN319" s="49"/>
      <c r="IO319" s="49"/>
      <c r="IP319" s="49"/>
      <c r="IQ319" s="49"/>
      <c r="IR319" s="49"/>
      <c r="IS319" s="49"/>
      <c r="IT319" s="49"/>
      <c r="IU319" s="49"/>
      <c r="IV319" s="49"/>
    </row>
    <row r="320" spans="1:256" ht="12" customHeight="1">
      <c r="A320" s="1252"/>
      <c r="B320" s="200"/>
      <c r="C320" s="486"/>
      <c r="T320" s="1186"/>
      <c r="U320" s="233"/>
      <c r="W320" s="218"/>
      <c r="X320" s="218"/>
      <c r="Y320" s="216"/>
      <c r="Z320" s="216"/>
      <c r="AA320" s="215"/>
      <c r="AB320" s="216"/>
      <c r="AC320" s="216"/>
      <c r="AD320" s="239"/>
      <c r="AE320" s="216"/>
      <c r="AF320" s="216"/>
      <c r="AG320" s="216"/>
      <c r="AH320" s="216"/>
      <c r="AI320" s="216"/>
      <c r="AJ320" s="216"/>
      <c r="AK320" s="239"/>
      <c r="AL320" s="216"/>
      <c r="AM320" s="216"/>
      <c r="AN320" s="216"/>
      <c r="AO320" s="216"/>
      <c r="AP320" s="216"/>
      <c r="AQ320" s="216"/>
      <c r="AR320" s="216"/>
      <c r="AS320" s="216"/>
      <c r="AT320" s="216"/>
      <c r="AU320" s="216"/>
      <c r="AV320" s="217"/>
      <c r="AW320" s="355"/>
      <c r="AX320" s="217"/>
      <c r="AY320" s="1559"/>
      <c r="AZ320" s="249"/>
      <c r="BA320" s="221"/>
      <c r="BB320" s="300"/>
      <c r="BC320" s="217"/>
      <c r="BD320" s="392"/>
      <c r="BE320" s="1244"/>
      <c r="BF320" s="249"/>
      <c r="BG320" s="252"/>
      <c r="BH320" s="1469"/>
      <c r="BI320" s="216"/>
      <c r="BJ320" s="1469"/>
      <c r="BK320" s="1459"/>
      <c r="BL320" s="260"/>
      <c r="BM320" s="214"/>
      <c r="BN320" s="293"/>
      <c r="BO320" s="217"/>
      <c r="BP320" s="355"/>
      <c r="BQ320" s="217"/>
      <c r="BR320" s="1193"/>
      <c r="BS320" s="249"/>
      <c r="BT320" s="216"/>
      <c r="BU320" s="1195"/>
      <c r="BV320" s="249"/>
      <c r="BW320" s="216"/>
      <c r="BX320" s="1195"/>
      <c r="BY320" s="249"/>
      <c r="BZ320" s="216"/>
      <c r="CA320" s="1195"/>
      <c r="CB320" s="249"/>
      <c r="CC320" s="216"/>
      <c r="CD320" s="1195"/>
      <c r="CE320" s="249"/>
      <c r="CF320" s="216"/>
      <c r="CG320" s="1195"/>
      <c r="CH320" s="249"/>
      <c r="CI320" s="216"/>
      <c r="CJ320" s="1195"/>
      <c r="CK320" s="249"/>
      <c r="CL320" s="216"/>
      <c r="CM320" s="1194"/>
      <c r="CN320" s="1524"/>
      <c r="CO320" s="217"/>
      <c r="CP320" s="1193"/>
      <c r="CQ320" s="293"/>
      <c r="CR320" s="217"/>
      <c r="CS320" s="305"/>
      <c r="CT320" s="249"/>
      <c r="CU320" s="216"/>
      <c r="CV320" s="1193"/>
      <c r="CW320" s="249"/>
      <c r="CX320" s="216"/>
      <c r="CY320" s="305"/>
      <c r="CZ320" s="249"/>
      <c r="DA320" s="216"/>
      <c r="DB320" s="307"/>
      <c r="DC320" s="328"/>
      <c r="DD320" s="322"/>
      <c r="DE320" s="305"/>
      <c r="DF320" s="249"/>
      <c r="DG320" s="216"/>
      <c r="DH320" s="305"/>
      <c r="DI320" s="249"/>
      <c r="DJ320" s="216"/>
      <c r="DK320" s="309"/>
      <c r="DL320" s="293"/>
      <c r="DM320" s="326"/>
      <c r="DN320" s="1256"/>
      <c r="DO320" s="214"/>
      <c r="DP320" s="1257"/>
      <c r="DQ320" s="1258"/>
      <c r="DR320" s="305"/>
      <c r="DS320" s="249"/>
      <c r="DT320" s="216"/>
      <c r="DU320" s="305"/>
      <c r="DV320" s="2520"/>
      <c r="DW320" s="2521"/>
      <c r="DX320" s="305"/>
      <c r="DY320" s="249"/>
      <c r="DZ320" s="221"/>
      <c r="EA320" s="388"/>
      <c r="EB320" s="249"/>
      <c r="EC320" s="216"/>
      <c r="ED320" s="1461"/>
      <c r="EE320" s="249"/>
      <c r="EF320" s="216"/>
      <c r="EG320" s="355"/>
      <c r="EH320" s="1425"/>
      <c r="EI320" s="1470"/>
      <c r="EJ320" s="249"/>
      <c r="EK320" s="221"/>
      <c r="EL320" s="313"/>
      <c r="EM320" s="249"/>
      <c r="EN320" s="221"/>
      <c r="EO320" s="313"/>
      <c r="EP320" s="249"/>
      <c r="EQ320" s="216"/>
      <c r="ER320" s="313"/>
      <c r="ES320" s="249"/>
      <c r="ET320" s="216"/>
      <c r="EU320" s="313"/>
      <c r="EV320" s="249"/>
      <c r="EW320" s="216"/>
      <c r="EX320" s="2505"/>
      <c r="EY320" s="249"/>
      <c r="EZ320" s="221"/>
      <c r="FA320" s="313"/>
      <c r="FB320" s="249"/>
      <c r="FC320" s="221"/>
      <c r="FD320" s="313"/>
      <c r="FE320" s="249"/>
      <c r="FF320" s="221"/>
      <c r="FG320" s="313"/>
      <c r="FH320" s="249"/>
      <c r="FI320" s="216"/>
      <c r="FJ320" s="1435"/>
      <c r="FK320" s="216"/>
      <c r="FL320" s="1268"/>
      <c r="FM320" s="1655"/>
      <c r="FN320" s="1268"/>
      <c r="FO320" s="1655"/>
      <c r="FP320" s="1268"/>
      <c r="FQ320" s="1656"/>
      <c r="FR320" s="249"/>
      <c r="FS320" s="216"/>
      <c r="FT320" s="1657"/>
      <c r="FU320" s="1658"/>
      <c r="FV320" s="242"/>
      <c r="FW320" s="343"/>
      <c r="FX320" s="222"/>
      <c r="FY320" s="336"/>
      <c r="FZ320" s="223"/>
      <c r="GA320" s="338"/>
      <c r="GB320" s="204"/>
      <c r="GC320" s="339"/>
      <c r="GD320" s="342"/>
      <c r="GE320" s="199"/>
      <c r="GF320" s="199"/>
      <c r="GG320" s="199"/>
      <c r="GH320" s="199"/>
      <c r="GI320" s="199"/>
      <c r="GJ320" s="199"/>
      <c r="GK320" s="199"/>
      <c r="GO320" s="322"/>
      <c r="GP320" s="1190"/>
      <c r="GQ320" s="1190"/>
      <c r="GS320" s="2879"/>
      <c r="GT320" s="2880"/>
      <c r="GU320" s="2881"/>
    </row>
    <row r="321" spans="1:203" ht="12" customHeight="1">
      <c r="A321" s="1252"/>
      <c r="B321" s="200"/>
      <c r="C321" s="486"/>
      <c r="T321" s="1186"/>
      <c r="U321" s="233"/>
      <c r="W321" s="218"/>
      <c r="X321" s="218"/>
      <c r="Y321" s="216"/>
      <c r="Z321" s="216"/>
      <c r="AA321" s="215"/>
      <c r="AB321" s="216"/>
      <c r="AC321" s="216"/>
      <c r="AD321" s="239"/>
      <c r="AE321" s="216"/>
      <c r="AF321" s="216"/>
      <c r="AG321" s="216"/>
      <c r="AH321" s="216"/>
      <c r="AI321" s="216"/>
      <c r="AJ321" s="216"/>
      <c r="AK321" s="239"/>
      <c r="AL321" s="216"/>
      <c r="AM321" s="216"/>
      <c r="AN321" s="216"/>
      <c r="AO321" s="216"/>
      <c r="AP321" s="216"/>
      <c r="AQ321" s="216"/>
      <c r="AR321" s="216"/>
      <c r="AS321" s="216"/>
      <c r="AT321" s="216"/>
      <c r="AU321" s="216"/>
      <c r="AV321" s="217"/>
      <c r="AW321" s="355"/>
      <c r="AX321" s="217"/>
      <c r="AY321" s="1559"/>
      <c r="AZ321" s="249"/>
      <c r="BA321" s="221"/>
      <c r="BB321" s="300"/>
      <c r="BC321" s="217"/>
      <c r="BD321" s="392"/>
      <c r="BE321" s="1244"/>
      <c r="BF321" s="249"/>
      <c r="BG321" s="252"/>
      <c r="BH321" s="1469"/>
      <c r="BI321" s="216"/>
      <c r="BJ321" s="1469"/>
      <c r="BK321" s="1459"/>
      <c r="BL321" s="260"/>
      <c r="BM321" s="214"/>
      <c r="BN321" s="293"/>
      <c r="BO321" s="217"/>
      <c r="BP321" s="355"/>
      <c r="BQ321" s="217"/>
      <c r="BR321" s="1193"/>
      <c r="BS321" s="249"/>
      <c r="BT321" s="216"/>
      <c r="BU321" s="1195"/>
      <c r="BV321" s="249"/>
      <c r="BW321" s="216"/>
      <c r="BX321" s="1195"/>
      <c r="BY321" s="249"/>
      <c r="BZ321" s="216"/>
      <c r="CA321" s="1195"/>
      <c r="CB321" s="249"/>
      <c r="CC321" s="216"/>
      <c r="CD321" s="1195"/>
      <c r="CE321" s="249"/>
      <c r="CF321" s="216"/>
      <c r="CG321" s="1195"/>
      <c r="CH321" s="249"/>
      <c r="CI321" s="216"/>
      <c r="CJ321" s="1195"/>
      <c r="CK321" s="249"/>
      <c r="CL321" s="216"/>
      <c r="CM321" s="1194"/>
      <c r="CN321" s="1524"/>
      <c r="CO321" s="217"/>
      <c r="CP321" s="1193"/>
      <c r="CQ321" s="293"/>
      <c r="CR321" s="217"/>
      <c r="CS321" s="305"/>
      <c r="CT321" s="249"/>
      <c r="CU321" s="216"/>
      <c r="CV321" s="1193"/>
      <c r="CW321" s="249"/>
      <c r="CX321" s="216"/>
      <c r="CY321" s="305"/>
      <c r="CZ321" s="249"/>
      <c r="DA321" s="216"/>
      <c r="DB321" s="307"/>
      <c r="DC321" s="328"/>
      <c r="DD321" s="322"/>
      <c r="DE321" s="305"/>
      <c r="DF321" s="249"/>
      <c r="DG321" s="216"/>
      <c r="DH321" s="305"/>
      <c r="DI321" s="249"/>
      <c r="DJ321" s="216"/>
      <c r="DK321" s="309"/>
      <c r="DL321" s="293"/>
      <c r="DM321" s="326"/>
      <c r="DN321" s="1256"/>
      <c r="DO321" s="214"/>
      <c r="DP321" s="1257"/>
      <c r="DQ321" s="1258"/>
      <c r="DR321" s="305"/>
      <c r="DS321" s="249"/>
      <c r="DT321" s="216"/>
      <c r="DU321" s="305"/>
      <c r="DV321" s="2520"/>
      <c r="DW321" s="2521"/>
      <c r="DX321" s="305"/>
      <c r="DY321" s="249"/>
      <c r="DZ321" s="221"/>
      <c r="EA321" s="388"/>
      <c r="EB321" s="249"/>
      <c r="EC321" s="216"/>
      <c r="ED321" s="1461"/>
      <c r="EE321" s="249"/>
      <c r="EF321" s="216"/>
      <c r="EG321" s="355"/>
      <c r="EH321" s="1425"/>
      <c r="EI321" s="1470"/>
      <c r="EJ321" s="249"/>
      <c r="EK321" s="221"/>
      <c r="EL321" s="313"/>
      <c r="EM321" s="249"/>
      <c r="EN321" s="221"/>
      <c r="EO321" s="313"/>
      <c r="EP321" s="249"/>
      <c r="EQ321" s="216"/>
      <c r="ER321" s="313"/>
      <c r="ES321" s="249"/>
      <c r="ET321" s="216"/>
      <c r="EU321" s="313"/>
      <c r="EV321" s="249"/>
      <c r="EW321" s="216"/>
      <c r="EX321" s="2505"/>
      <c r="EY321" s="249"/>
      <c r="EZ321" s="221"/>
      <c r="FA321" s="313"/>
      <c r="FB321" s="249"/>
      <c r="FC321" s="221"/>
      <c r="FD321" s="313"/>
      <c r="FE321" s="249"/>
      <c r="FF321" s="221"/>
      <c r="FG321" s="313"/>
      <c r="FH321" s="249"/>
      <c r="FI321" s="216"/>
      <c r="FJ321" s="1435"/>
      <c r="FK321" s="216"/>
      <c r="FL321" s="1268"/>
      <c r="FM321" s="1655"/>
      <c r="FN321" s="1268"/>
      <c r="FO321" s="1655"/>
      <c r="FP321" s="1268"/>
      <c r="FQ321" s="1656"/>
      <c r="FR321" s="249"/>
      <c r="FS321" s="216"/>
      <c r="FT321" s="1657"/>
      <c r="FU321" s="1658"/>
      <c r="FV321" s="242"/>
      <c r="FW321" s="343"/>
      <c r="FX321" s="222"/>
      <c r="FY321" s="336"/>
      <c r="FZ321" s="223"/>
      <c r="GA321" s="338"/>
      <c r="GB321" s="204"/>
      <c r="GC321" s="339"/>
      <c r="GD321" s="342"/>
      <c r="GE321" s="199"/>
      <c r="GF321" s="199"/>
      <c r="GG321" s="199"/>
      <c r="GH321" s="199"/>
      <c r="GI321" s="199"/>
      <c r="GJ321" s="199"/>
      <c r="GK321" s="199"/>
      <c r="GO321" s="322"/>
      <c r="GP321" s="1190"/>
      <c r="GQ321" s="1190"/>
      <c r="GS321" s="2879"/>
      <c r="GT321" s="2880"/>
      <c r="GU321" s="2881"/>
    </row>
    <row r="322" spans="1:203" ht="12" customHeight="1">
      <c r="A322" s="1252"/>
      <c r="B322" s="200"/>
      <c r="C322" s="486"/>
      <c r="T322" s="1186"/>
      <c r="U322" s="233"/>
      <c r="W322" s="218"/>
      <c r="X322" s="218"/>
      <c r="Y322" s="216"/>
      <c r="Z322" s="216"/>
      <c r="AA322" s="215"/>
      <c r="AB322" s="216"/>
      <c r="AC322" s="216"/>
      <c r="AD322" s="239"/>
      <c r="AE322" s="216"/>
      <c r="AF322" s="216"/>
      <c r="AG322" s="216"/>
      <c r="AH322" s="216"/>
      <c r="AI322" s="216"/>
      <c r="AJ322" s="216"/>
      <c r="AK322" s="239"/>
      <c r="AL322" s="216"/>
      <c r="AM322" s="216"/>
      <c r="AN322" s="216"/>
      <c r="AO322" s="216"/>
      <c r="AP322" s="216"/>
      <c r="AQ322" s="216"/>
      <c r="AR322" s="216"/>
      <c r="AS322" s="216"/>
      <c r="AT322" s="216"/>
      <c r="AU322" s="216"/>
      <c r="AV322" s="217"/>
      <c r="AW322" s="355"/>
      <c r="AX322" s="217"/>
      <c r="AY322" s="1559"/>
      <c r="AZ322" s="249"/>
      <c r="BA322" s="221"/>
      <c r="BB322" s="300"/>
      <c r="BC322" s="217"/>
      <c r="BD322" s="392"/>
      <c r="BE322" s="1244"/>
      <c r="BF322" s="249"/>
      <c r="BG322" s="252"/>
      <c r="BH322" s="1469"/>
      <c r="BI322" s="216"/>
      <c r="BJ322" s="1469"/>
      <c r="BK322" s="1459"/>
      <c r="BL322" s="260"/>
      <c r="BM322" s="214"/>
      <c r="BN322" s="293"/>
      <c r="BO322" s="217"/>
      <c r="BP322" s="355"/>
      <c r="BQ322" s="217"/>
      <c r="BR322" s="1193"/>
      <c r="BS322" s="249"/>
      <c r="BT322" s="216"/>
      <c r="BU322" s="1195"/>
      <c r="BV322" s="249"/>
      <c r="BW322" s="216"/>
      <c r="BX322" s="1195"/>
      <c r="BY322" s="249"/>
      <c r="BZ322" s="216"/>
      <c r="CA322" s="1195"/>
      <c r="CB322" s="249"/>
      <c r="CC322" s="216"/>
      <c r="CD322" s="1195"/>
      <c r="CE322" s="249"/>
      <c r="CF322" s="216"/>
      <c r="CG322" s="1195"/>
      <c r="CH322" s="249"/>
      <c r="CI322" s="216"/>
      <c r="CJ322" s="1195"/>
      <c r="CK322" s="249"/>
      <c r="CL322" s="216"/>
      <c r="CM322" s="1194"/>
      <c r="CN322" s="1524"/>
      <c r="CO322" s="217"/>
      <c r="CP322" s="1193"/>
      <c r="CQ322" s="293"/>
      <c r="CR322" s="217"/>
      <c r="CS322" s="305"/>
      <c r="CT322" s="249"/>
      <c r="CU322" s="216"/>
      <c r="CV322" s="1193"/>
      <c r="CW322" s="249"/>
      <c r="CX322" s="216"/>
      <c r="CY322" s="305"/>
      <c r="CZ322" s="249"/>
      <c r="DA322" s="216"/>
      <c r="DB322" s="307"/>
      <c r="DC322" s="328"/>
      <c r="DD322" s="322"/>
      <c r="DE322" s="305"/>
      <c r="DF322" s="249"/>
      <c r="DG322" s="216"/>
      <c r="DH322" s="305"/>
      <c r="DI322" s="249"/>
      <c r="DJ322" s="216"/>
      <c r="DK322" s="309"/>
      <c r="DL322" s="293"/>
      <c r="DM322" s="326"/>
      <c r="DN322" s="1256"/>
      <c r="DO322" s="214"/>
      <c r="DP322" s="1257"/>
      <c r="DQ322" s="1258"/>
      <c r="DR322" s="305"/>
      <c r="DS322" s="249"/>
      <c r="DT322" s="216"/>
      <c r="DU322" s="305"/>
      <c r="DV322" s="2520"/>
      <c r="DW322" s="2521"/>
      <c r="DX322" s="305"/>
      <c r="DY322" s="249"/>
      <c r="DZ322" s="221"/>
      <c r="EA322" s="388"/>
      <c r="EB322" s="249"/>
      <c r="EC322" s="216"/>
      <c r="ED322" s="1461"/>
      <c r="EE322" s="249"/>
      <c r="EF322" s="216"/>
      <c r="EG322" s="355"/>
      <c r="EH322" s="1425"/>
      <c r="EI322" s="1470"/>
      <c r="EJ322" s="249"/>
      <c r="EK322" s="221"/>
      <c r="EL322" s="313"/>
      <c r="EM322" s="249"/>
      <c r="EN322" s="221"/>
      <c r="EO322" s="313"/>
      <c r="EP322" s="249"/>
      <c r="EQ322" s="216"/>
      <c r="ER322" s="313"/>
      <c r="ES322" s="249"/>
      <c r="ET322" s="216"/>
      <c r="EU322" s="313"/>
      <c r="EV322" s="249"/>
      <c r="EW322" s="216"/>
      <c r="EX322" s="2505"/>
      <c r="EY322" s="249"/>
      <c r="EZ322" s="221"/>
      <c r="FA322" s="313"/>
      <c r="FB322" s="249"/>
      <c r="FC322" s="221"/>
      <c r="FD322" s="313"/>
      <c r="FE322" s="249"/>
      <c r="FF322" s="221"/>
      <c r="FG322" s="313"/>
      <c r="FH322" s="249"/>
      <c r="FI322" s="216"/>
      <c r="FJ322" s="1435"/>
      <c r="FK322" s="216"/>
      <c r="FL322" s="1268"/>
      <c r="FM322" s="1655"/>
      <c r="FN322" s="1268"/>
      <c r="FO322" s="1655"/>
      <c r="FP322" s="1268"/>
      <c r="FQ322" s="1656"/>
      <c r="FR322" s="249"/>
      <c r="FS322" s="216"/>
      <c r="FT322" s="1657"/>
      <c r="FU322" s="1658"/>
      <c r="FV322" s="242"/>
      <c r="FW322" s="343"/>
      <c r="FX322" s="222"/>
      <c r="FY322" s="336"/>
      <c r="FZ322" s="223"/>
      <c r="GA322" s="338"/>
      <c r="GB322" s="204"/>
      <c r="GC322" s="339"/>
      <c r="GD322" s="342"/>
      <c r="GE322" s="199"/>
      <c r="GF322" s="199"/>
      <c r="GG322" s="199"/>
      <c r="GH322" s="199"/>
      <c r="GI322" s="199"/>
      <c r="GJ322" s="199"/>
      <c r="GK322" s="199"/>
      <c r="GO322" s="322"/>
      <c r="GP322" s="1190"/>
      <c r="GQ322" s="1190"/>
      <c r="GS322" s="2879"/>
      <c r="GT322" s="2880"/>
      <c r="GU322" s="2881"/>
    </row>
    <row r="323" spans="1:203" ht="12" customHeight="1">
      <c r="A323" s="1252"/>
      <c r="B323" s="200"/>
      <c r="C323" s="486"/>
      <c r="T323" s="1186"/>
      <c r="U323" s="233"/>
      <c r="W323" s="218"/>
      <c r="X323" s="218"/>
      <c r="Y323" s="216"/>
      <c r="Z323" s="216"/>
      <c r="AA323" s="215"/>
      <c r="AB323" s="216"/>
      <c r="AC323" s="216"/>
      <c r="AD323" s="239"/>
      <c r="AE323" s="216"/>
      <c r="AF323" s="216"/>
      <c r="AG323" s="216"/>
      <c r="AH323" s="216"/>
      <c r="AI323" s="216"/>
      <c r="AJ323" s="216"/>
      <c r="AK323" s="239"/>
      <c r="AL323" s="216"/>
      <c r="AM323" s="216"/>
      <c r="AN323" s="216"/>
      <c r="AO323" s="216"/>
      <c r="AP323" s="216"/>
      <c r="AQ323" s="216"/>
      <c r="AR323" s="216"/>
      <c r="AS323" s="216"/>
      <c r="AT323" s="216"/>
      <c r="AU323" s="216"/>
      <c r="AV323" s="217"/>
      <c r="AW323" s="355"/>
      <c r="AX323" s="217"/>
      <c r="AY323" s="1559"/>
      <c r="AZ323" s="249"/>
      <c r="BA323" s="221"/>
      <c r="BB323" s="300"/>
      <c r="BC323" s="217"/>
      <c r="BD323" s="392"/>
      <c r="BE323" s="1244"/>
      <c r="BF323" s="249"/>
      <c r="BG323" s="252"/>
      <c r="BH323" s="1469"/>
      <c r="BI323" s="216"/>
      <c r="BJ323" s="1469"/>
      <c r="BK323" s="1459"/>
      <c r="BL323" s="260"/>
      <c r="BM323" s="214"/>
      <c r="BN323" s="293"/>
      <c r="BO323" s="217"/>
      <c r="BP323" s="355"/>
      <c r="BQ323" s="217"/>
      <c r="BR323" s="1193"/>
      <c r="BS323" s="249"/>
      <c r="BT323" s="216"/>
      <c r="BU323" s="1195"/>
      <c r="BV323" s="249"/>
      <c r="BW323" s="216"/>
      <c r="BX323" s="1195"/>
      <c r="BY323" s="249"/>
      <c r="BZ323" s="216"/>
      <c r="CA323" s="1195"/>
      <c r="CB323" s="249"/>
      <c r="CC323" s="216"/>
      <c r="CD323" s="1195"/>
      <c r="CE323" s="249"/>
      <c r="CF323" s="216"/>
      <c r="CG323" s="1195"/>
      <c r="CH323" s="249"/>
      <c r="CI323" s="216"/>
      <c r="CJ323" s="1195"/>
      <c r="CK323" s="249"/>
      <c r="CL323" s="216"/>
      <c r="CM323" s="1194"/>
      <c r="CN323" s="1524"/>
      <c r="CO323" s="217"/>
      <c r="CP323" s="1193"/>
      <c r="CQ323" s="293"/>
      <c r="CR323" s="217"/>
      <c r="CS323" s="305"/>
      <c r="CT323" s="249"/>
      <c r="CU323" s="216"/>
      <c r="CV323" s="1193"/>
      <c r="CW323" s="249"/>
      <c r="CX323" s="216"/>
      <c r="CY323" s="305"/>
      <c r="CZ323" s="249"/>
      <c r="DA323" s="216"/>
      <c r="DB323" s="307"/>
      <c r="DC323" s="328"/>
      <c r="DD323" s="322"/>
      <c r="DE323" s="305"/>
      <c r="DF323" s="249"/>
      <c r="DG323" s="216"/>
      <c r="DH323" s="305"/>
      <c r="DI323" s="249"/>
      <c r="DJ323" s="216"/>
      <c r="DK323" s="309"/>
      <c r="DL323" s="293"/>
      <c r="DM323" s="326"/>
      <c r="DN323" s="1256"/>
      <c r="DO323" s="214"/>
      <c r="DP323" s="1257"/>
      <c r="DQ323" s="1258"/>
      <c r="DR323" s="305"/>
      <c r="DS323" s="249"/>
      <c r="DT323" s="216"/>
      <c r="DU323" s="305"/>
      <c r="DV323" s="2520"/>
      <c r="DW323" s="2521"/>
      <c r="DX323" s="305"/>
      <c r="DY323" s="249"/>
      <c r="DZ323" s="221"/>
      <c r="EA323" s="388"/>
      <c r="EB323" s="249"/>
      <c r="EC323" s="216"/>
      <c r="ED323" s="1461"/>
      <c r="EE323" s="249"/>
      <c r="EF323" s="216"/>
      <c r="EG323" s="355"/>
      <c r="EH323" s="1425"/>
      <c r="EI323" s="1470"/>
      <c r="EJ323" s="249"/>
      <c r="EK323" s="221"/>
      <c r="EL323" s="313"/>
      <c r="EM323" s="249"/>
      <c r="EN323" s="221"/>
      <c r="EO323" s="313"/>
      <c r="EP323" s="249"/>
      <c r="EQ323" s="216"/>
      <c r="ER323" s="313"/>
      <c r="ES323" s="249"/>
      <c r="ET323" s="216"/>
      <c r="EU323" s="313"/>
      <c r="EV323" s="249"/>
      <c r="EW323" s="216"/>
      <c r="EX323" s="2505"/>
      <c r="EY323" s="249"/>
      <c r="EZ323" s="221"/>
      <c r="FA323" s="313"/>
      <c r="FB323" s="249"/>
      <c r="FC323" s="221"/>
      <c r="FD323" s="313"/>
      <c r="FE323" s="249"/>
      <c r="FF323" s="221"/>
      <c r="FG323" s="313"/>
      <c r="FH323" s="249"/>
      <c r="FI323" s="216"/>
      <c r="FJ323" s="1435"/>
      <c r="FK323" s="216"/>
      <c r="FL323" s="1268"/>
      <c r="FM323" s="1655"/>
      <c r="FN323" s="1268"/>
      <c r="FO323" s="1655"/>
      <c r="FP323" s="1268"/>
      <c r="FQ323" s="1656"/>
      <c r="FR323" s="249"/>
      <c r="FS323" s="216"/>
      <c r="FT323" s="1657"/>
      <c r="FU323" s="1658"/>
      <c r="FV323" s="242"/>
      <c r="FW323" s="343"/>
      <c r="FX323" s="222"/>
      <c r="FY323" s="336"/>
      <c r="FZ323" s="223"/>
      <c r="GA323" s="338"/>
      <c r="GB323" s="204"/>
      <c r="GC323" s="339"/>
      <c r="GD323" s="342"/>
      <c r="GE323" s="199"/>
      <c r="GF323" s="199"/>
      <c r="GG323" s="199"/>
      <c r="GH323" s="199"/>
      <c r="GI323" s="199"/>
      <c r="GJ323" s="199"/>
      <c r="GK323" s="199"/>
      <c r="GO323" s="322"/>
      <c r="GP323" s="1190"/>
      <c r="GQ323" s="1190"/>
      <c r="GS323" s="2879"/>
      <c r="GT323" s="2880"/>
      <c r="GU323" s="2881"/>
    </row>
    <row r="324" spans="1:203" ht="12" customHeight="1">
      <c r="A324" s="1252"/>
      <c r="B324" s="200"/>
      <c r="C324" s="486"/>
      <c r="T324" s="1186"/>
      <c r="U324" s="233"/>
      <c r="W324" s="218"/>
      <c r="X324" s="218"/>
      <c r="Y324" s="216"/>
      <c r="Z324" s="216"/>
      <c r="AA324" s="215"/>
      <c r="AB324" s="216"/>
      <c r="AC324" s="216"/>
      <c r="AD324" s="239"/>
      <c r="AE324" s="216"/>
      <c r="AF324" s="216"/>
      <c r="AG324" s="216"/>
      <c r="AH324" s="216"/>
      <c r="AI324" s="216"/>
      <c r="AJ324" s="216"/>
      <c r="AK324" s="239"/>
      <c r="AL324" s="216"/>
      <c r="AM324" s="216"/>
      <c r="AN324" s="216"/>
      <c r="AO324" s="216"/>
      <c r="AP324" s="216"/>
      <c r="AQ324" s="216"/>
      <c r="AR324" s="216"/>
      <c r="AS324" s="216"/>
      <c r="AT324" s="216"/>
      <c r="AU324" s="216"/>
      <c r="AV324" s="217"/>
      <c r="AW324" s="355"/>
      <c r="AX324" s="217"/>
      <c r="AY324" s="1559"/>
      <c r="AZ324" s="249"/>
      <c r="BA324" s="221"/>
      <c r="BB324" s="300"/>
      <c r="BC324" s="217"/>
      <c r="BD324" s="392"/>
      <c r="BE324" s="1244"/>
      <c r="BF324" s="249"/>
      <c r="BG324" s="252"/>
      <c r="BH324" s="1469"/>
      <c r="BI324" s="216"/>
      <c r="BJ324" s="1469"/>
      <c r="BK324" s="1459"/>
      <c r="BL324" s="260"/>
      <c r="BM324" s="214"/>
      <c r="BN324" s="293"/>
      <c r="BO324" s="217"/>
      <c r="BP324" s="355"/>
      <c r="BQ324" s="217"/>
      <c r="BR324" s="1193"/>
      <c r="BS324" s="249"/>
      <c r="BT324" s="216"/>
      <c r="BU324" s="1195"/>
      <c r="BV324" s="249"/>
      <c r="BW324" s="216"/>
      <c r="BX324" s="1195"/>
      <c r="BY324" s="249"/>
      <c r="BZ324" s="216"/>
      <c r="CA324" s="1195"/>
      <c r="CB324" s="249"/>
      <c r="CC324" s="216"/>
      <c r="CD324" s="1195"/>
      <c r="CE324" s="249"/>
      <c r="CF324" s="216"/>
      <c r="CG324" s="1195"/>
      <c r="CH324" s="249"/>
      <c r="CI324" s="216"/>
      <c r="CJ324" s="1195"/>
      <c r="CK324" s="249"/>
      <c r="CL324" s="216"/>
      <c r="CM324" s="1194"/>
      <c r="CN324" s="1524"/>
      <c r="CO324" s="217"/>
      <c r="CP324" s="1193"/>
      <c r="CQ324" s="293"/>
      <c r="CR324" s="217"/>
      <c r="CS324" s="305"/>
      <c r="CT324" s="249"/>
      <c r="CU324" s="216"/>
      <c r="CV324" s="1193"/>
      <c r="CW324" s="249"/>
      <c r="CX324" s="216"/>
      <c r="CY324" s="305"/>
      <c r="CZ324" s="249"/>
      <c r="DA324" s="216"/>
      <c r="DB324" s="307"/>
      <c r="DC324" s="328"/>
      <c r="DD324" s="322"/>
      <c r="DE324" s="305"/>
      <c r="DF324" s="249"/>
      <c r="DG324" s="216"/>
      <c r="DH324" s="305"/>
      <c r="DI324" s="249"/>
      <c r="DJ324" s="216"/>
      <c r="DK324" s="309"/>
      <c r="DL324" s="293"/>
      <c r="DM324" s="326"/>
      <c r="DN324" s="1256"/>
      <c r="DO324" s="214"/>
      <c r="DP324" s="1257"/>
      <c r="DQ324" s="1258"/>
      <c r="DR324" s="305"/>
      <c r="DS324" s="249"/>
      <c r="DT324" s="216"/>
      <c r="DU324" s="305"/>
      <c r="DV324" s="2520"/>
      <c r="DW324" s="2521"/>
      <c r="DX324" s="305"/>
      <c r="DY324" s="249"/>
      <c r="DZ324" s="221"/>
      <c r="EA324" s="388"/>
      <c r="EB324" s="249"/>
      <c r="EC324" s="216"/>
      <c r="ED324" s="1461"/>
      <c r="EE324" s="249"/>
      <c r="EF324" s="216"/>
      <c r="EG324" s="355"/>
      <c r="EH324" s="1425"/>
      <c r="EI324" s="1470"/>
      <c r="EJ324" s="249"/>
      <c r="EK324" s="221"/>
      <c r="EL324" s="313"/>
      <c r="EM324" s="249"/>
      <c r="EN324" s="221"/>
      <c r="EO324" s="313"/>
      <c r="EP324" s="249"/>
      <c r="EQ324" s="216"/>
      <c r="ER324" s="313"/>
      <c r="ES324" s="249"/>
      <c r="ET324" s="216"/>
      <c r="EU324" s="313"/>
      <c r="EV324" s="249"/>
      <c r="EW324" s="216"/>
      <c r="EX324" s="2505"/>
      <c r="EY324" s="249"/>
      <c r="EZ324" s="221"/>
      <c r="FA324" s="313"/>
      <c r="FB324" s="249"/>
      <c r="FC324" s="221"/>
      <c r="FD324" s="313"/>
      <c r="FE324" s="249"/>
      <c r="FF324" s="221"/>
      <c r="FG324" s="313"/>
      <c r="FH324" s="249"/>
      <c r="FI324" s="216"/>
      <c r="FJ324" s="1435"/>
      <c r="FK324" s="216"/>
      <c r="FL324" s="1268"/>
      <c r="FM324" s="1655"/>
      <c r="FN324" s="1268"/>
      <c r="FO324" s="1655"/>
      <c r="FP324" s="1268"/>
      <c r="FQ324" s="1656"/>
      <c r="FR324" s="249"/>
      <c r="FS324" s="216"/>
      <c r="FT324" s="1657"/>
      <c r="FU324" s="1658"/>
      <c r="FV324" s="242"/>
      <c r="FW324" s="343"/>
      <c r="FX324" s="222"/>
      <c r="FY324" s="336"/>
      <c r="FZ324" s="223"/>
      <c r="GA324" s="338"/>
      <c r="GB324" s="204"/>
      <c r="GC324" s="339"/>
      <c r="GD324" s="342"/>
      <c r="GE324" s="199"/>
      <c r="GF324" s="199"/>
      <c r="GG324" s="199"/>
      <c r="GH324" s="199"/>
      <c r="GI324" s="199"/>
      <c r="GJ324" s="199"/>
      <c r="GK324" s="199"/>
      <c r="GO324" s="322"/>
      <c r="GP324" s="1190"/>
      <c r="GQ324" s="1190"/>
      <c r="GS324" s="2879"/>
      <c r="GT324" s="2880"/>
      <c r="GU324" s="2881"/>
    </row>
    <row r="325" spans="1:203" ht="12" customHeight="1">
      <c r="A325" s="1252"/>
      <c r="B325" s="200"/>
      <c r="C325" s="486"/>
      <c r="T325" s="1186"/>
      <c r="U325" s="233"/>
      <c r="W325" s="218"/>
      <c r="X325" s="218"/>
      <c r="Y325" s="216"/>
      <c r="Z325" s="216"/>
      <c r="AA325" s="215"/>
      <c r="AB325" s="216"/>
      <c r="AC325" s="216"/>
      <c r="AD325" s="239"/>
      <c r="AE325" s="216"/>
      <c r="AF325" s="216"/>
      <c r="AG325" s="216"/>
      <c r="AH325" s="216"/>
      <c r="AI325" s="216"/>
      <c r="AJ325" s="216"/>
      <c r="AK325" s="239"/>
      <c r="AL325" s="216"/>
      <c r="AM325" s="216"/>
      <c r="AN325" s="216"/>
      <c r="AO325" s="216"/>
      <c r="AP325" s="216"/>
      <c r="AQ325" s="216"/>
      <c r="AR325" s="216"/>
      <c r="AS325" s="216"/>
      <c r="AT325" s="216"/>
      <c r="AU325" s="216"/>
      <c r="AV325" s="217"/>
      <c r="AW325" s="355"/>
      <c r="AX325" s="217"/>
      <c r="AY325" s="1559"/>
      <c r="AZ325" s="249"/>
      <c r="BA325" s="221"/>
      <c r="BB325" s="300"/>
      <c r="BC325" s="217"/>
      <c r="BD325" s="392"/>
      <c r="BE325" s="1244"/>
      <c r="BF325" s="249"/>
      <c r="BG325" s="252"/>
      <c r="BH325" s="1469"/>
      <c r="BI325" s="216"/>
      <c r="BJ325" s="1469"/>
      <c r="BK325" s="1459"/>
      <c r="BL325" s="260"/>
      <c r="BM325" s="214"/>
      <c r="BN325" s="293"/>
      <c r="BO325" s="217"/>
      <c r="BP325" s="355"/>
      <c r="BQ325" s="217"/>
      <c r="BR325" s="1193"/>
      <c r="BS325" s="249"/>
      <c r="BT325" s="216"/>
      <c r="BU325" s="1195"/>
      <c r="BV325" s="249"/>
      <c r="BW325" s="216"/>
      <c r="BX325" s="1195"/>
      <c r="BY325" s="249"/>
      <c r="BZ325" s="216"/>
      <c r="CA325" s="1195"/>
      <c r="CB325" s="249"/>
      <c r="CC325" s="216"/>
      <c r="CD325" s="1195"/>
      <c r="CE325" s="249"/>
      <c r="CF325" s="216"/>
      <c r="CG325" s="1195"/>
      <c r="CH325" s="249"/>
      <c r="CI325" s="216"/>
      <c r="CJ325" s="1195"/>
      <c r="CK325" s="249"/>
      <c r="CL325" s="216"/>
      <c r="CM325" s="1194"/>
      <c r="CN325" s="1524"/>
      <c r="CO325" s="217"/>
      <c r="CP325" s="1193"/>
      <c r="CQ325" s="293"/>
      <c r="CR325" s="217"/>
      <c r="CS325" s="305"/>
      <c r="CT325" s="249"/>
      <c r="CU325" s="216"/>
      <c r="CV325" s="1193"/>
      <c r="CW325" s="249"/>
      <c r="CX325" s="216"/>
      <c r="CY325" s="305"/>
      <c r="CZ325" s="249"/>
      <c r="DA325" s="216"/>
      <c r="DB325" s="307"/>
      <c r="DC325" s="328"/>
      <c r="DD325" s="322"/>
      <c r="DE325" s="305"/>
      <c r="DF325" s="249"/>
      <c r="DG325" s="216"/>
      <c r="DH325" s="305"/>
      <c r="DI325" s="249"/>
      <c r="DJ325" s="216"/>
      <c r="DK325" s="309"/>
      <c r="DL325" s="293"/>
      <c r="DM325" s="326"/>
      <c r="DN325" s="1256"/>
      <c r="DO325" s="214"/>
      <c r="DP325" s="1257"/>
      <c r="DQ325" s="1258"/>
      <c r="DR325" s="305"/>
      <c r="DS325" s="249"/>
      <c r="DT325" s="216"/>
      <c r="DU325" s="305"/>
      <c r="DV325" s="2520"/>
      <c r="DW325" s="2521"/>
      <c r="DX325" s="305"/>
      <c r="DY325" s="249"/>
      <c r="DZ325" s="221"/>
      <c r="EA325" s="388"/>
      <c r="EB325" s="249"/>
      <c r="EC325" s="216"/>
      <c r="ED325" s="1461"/>
      <c r="EE325" s="249"/>
      <c r="EF325" s="216"/>
      <c r="EG325" s="355"/>
      <c r="EH325" s="1425"/>
      <c r="EI325" s="1470"/>
      <c r="EJ325" s="249"/>
      <c r="EK325" s="221"/>
      <c r="EL325" s="313"/>
      <c r="EM325" s="249"/>
      <c r="EN325" s="221"/>
      <c r="EO325" s="313"/>
      <c r="EP325" s="249"/>
      <c r="EQ325" s="216"/>
      <c r="ER325" s="313"/>
      <c r="ES325" s="249"/>
      <c r="ET325" s="216"/>
      <c r="EU325" s="313"/>
      <c r="EV325" s="249"/>
      <c r="EW325" s="216"/>
      <c r="EX325" s="2505"/>
      <c r="EY325" s="249"/>
      <c r="EZ325" s="221"/>
      <c r="FA325" s="313"/>
      <c r="FB325" s="249"/>
      <c r="FC325" s="221"/>
      <c r="FD325" s="313"/>
      <c r="FE325" s="249"/>
      <c r="FF325" s="221"/>
      <c r="FG325" s="313"/>
      <c r="FH325" s="249"/>
      <c r="FI325" s="216"/>
      <c r="FJ325" s="1435"/>
      <c r="FK325" s="216"/>
      <c r="FL325" s="1268"/>
      <c r="FM325" s="1655"/>
      <c r="FN325" s="1268"/>
      <c r="FO325" s="1655"/>
      <c r="FP325" s="1268"/>
      <c r="FQ325" s="1656"/>
      <c r="FR325" s="249"/>
      <c r="FS325" s="216"/>
      <c r="FT325" s="1657"/>
      <c r="FU325" s="1658"/>
      <c r="FV325" s="242"/>
      <c r="FW325" s="343"/>
      <c r="FX325" s="222"/>
      <c r="FY325" s="336"/>
      <c r="FZ325" s="223"/>
      <c r="GA325" s="338"/>
      <c r="GB325" s="204"/>
      <c r="GC325" s="339"/>
      <c r="GD325" s="342"/>
      <c r="GE325" s="199"/>
      <c r="GF325" s="199"/>
      <c r="GG325" s="199"/>
      <c r="GH325" s="199"/>
      <c r="GI325" s="199"/>
      <c r="GJ325" s="199"/>
      <c r="GK325" s="199"/>
      <c r="GO325" s="322"/>
      <c r="GP325" s="1190"/>
      <c r="GQ325" s="1190"/>
      <c r="GS325" s="2879"/>
      <c r="GT325" s="2880"/>
      <c r="GU325" s="2881"/>
    </row>
    <row r="326" spans="1:203" ht="12" customHeight="1">
      <c r="A326" s="1252"/>
      <c r="B326" s="200"/>
      <c r="C326" s="486"/>
      <c r="T326" s="1186"/>
      <c r="U326" s="233"/>
      <c r="W326" s="218"/>
      <c r="X326" s="218"/>
      <c r="Y326" s="216"/>
      <c r="Z326" s="216"/>
      <c r="AA326" s="215"/>
      <c r="AB326" s="216"/>
      <c r="AC326" s="216"/>
      <c r="AD326" s="239"/>
      <c r="AE326" s="216"/>
      <c r="AF326" s="216"/>
      <c r="AG326" s="216"/>
      <c r="AH326" s="216"/>
      <c r="AI326" s="216"/>
      <c r="AJ326" s="216"/>
      <c r="AK326" s="239"/>
      <c r="AL326" s="216"/>
      <c r="AM326" s="216"/>
      <c r="AN326" s="216"/>
      <c r="AO326" s="216"/>
      <c r="AP326" s="216"/>
      <c r="AQ326" s="216"/>
      <c r="AR326" s="216"/>
      <c r="AS326" s="216"/>
      <c r="AT326" s="216"/>
      <c r="AU326" s="216"/>
      <c r="AV326" s="217"/>
      <c r="AW326" s="355"/>
      <c r="AX326" s="217"/>
      <c r="AY326" s="1559"/>
      <c r="AZ326" s="249"/>
      <c r="BA326" s="221"/>
      <c r="BB326" s="300"/>
      <c r="BC326" s="217"/>
      <c r="BD326" s="392"/>
      <c r="BE326" s="1244"/>
      <c r="BF326" s="249"/>
      <c r="BG326" s="252"/>
      <c r="BH326" s="1469"/>
      <c r="BI326" s="216"/>
      <c r="BJ326" s="1469"/>
      <c r="BK326" s="1459"/>
      <c r="BL326" s="260"/>
      <c r="BM326" s="214"/>
      <c r="BN326" s="293"/>
      <c r="BO326" s="217"/>
      <c r="BP326" s="355"/>
      <c r="BQ326" s="217"/>
      <c r="BR326" s="1193"/>
      <c r="BS326" s="249"/>
      <c r="BT326" s="216"/>
      <c r="BU326" s="1195"/>
      <c r="BV326" s="249"/>
      <c r="BW326" s="216"/>
      <c r="BX326" s="1195"/>
      <c r="BY326" s="249"/>
      <c r="BZ326" s="216"/>
      <c r="CA326" s="1195"/>
      <c r="CB326" s="249"/>
      <c r="CC326" s="216"/>
      <c r="CD326" s="1195"/>
      <c r="CE326" s="249"/>
      <c r="CF326" s="216"/>
      <c r="CG326" s="1195"/>
      <c r="CH326" s="249"/>
      <c r="CI326" s="216"/>
      <c r="CJ326" s="1195"/>
      <c r="CK326" s="249"/>
      <c r="CL326" s="216"/>
      <c r="CM326" s="1194"/>
      <c r="CN326" s="1524"/>
      <c r="CO326" s="217"/>
      <c r="CP326" s="1193"/>
      <c r="CQ326" s="293"/>
      <c r="CR326" s="217"/>
      <c r="CS326" s="305"/>
      <c r="CT326" s="249"/>
      <c r="CU326" s="216"/>
      <c r="CV326" s="1193"/>
      <c r="CW326" s="249"/>
      <c r="CX326" s="216"/>
      <c r="CY326" s="305"/>
      <c r="CZ326" s="249"/>
      <c r="DA326" s="216"/>
      <c r="DB326" s="307"/>
      <c r="DC326" s="328"/>
      <c r="DD326" s="322"/>
      <c r="DE326" s="305"/>
      <c r="DF326" s="249"/>
      <c r="DG326" s="216"/>
      <c r="DH326" s="305"/>
      <c r="DI326" s="249"/>
      <c r="DJ326" s="216"/>
      <c r="DK326" s="309"/>
      <c r="DL326" s="293"/>
      <c r="DM326" s="326"/>
      <c r="DN326" s="1256"/>
      <c r="DO326" s="214"/>
      <c r="DP326" s="1257"/>
      <c r="DQ326" s="1258"/>
      <c r="DR326" s="305"/>
      <c r="DS326" s="249"/>
      <c r="DT326" s="216"/>
      <c r="DU326" s="305"/>
      <c r="DV326" s="2520"/>
      <c r="DW326" s="2521"/>
      <c r="DX326" s="305"/>
      <c r="DY326" s="249"/>
      <c r="DZ326" s="221"/>
      <c r="EA326" s="388"/>
      <c r="EB326" s="249"/>
      <c r="EC326" s="216"/>
      <c r="ED326" s="1461"/>
      <c r="EE326" s="249"/>
      <c r="EF326" s="216"/>
      <c r="EG326" s="355"/>
      <c r="EH326" s="1425"/>
      <c r="EI326" s="1470"/>
      <c r="EJ326" s="249"/>
      <c r="EK326" s="221"/>
      <c r="EL326" s="313"/>
      <c r="EM326" s="249"/>
      <c r="EN326" s="221"/>
      <c r="EO326" s="313"/>
      <c r="EP326" s="249"/>
      <c r="EQ326" s="216"/>
      <c r="ER326" s="313"/>
      <c r="ES326" s="249"/>
      <c r="ET326" s="216"/>
      <c r="EU326" s="313"/>
      <c r="EV326" s="249"/>
      <c r="EW326" s="216"/>
      <c r="EX326" s="2505"/>
      <c r="EY326" s="249"/>
      <c r="EZ326" s="221"/>
      <c r="FA326" s="313"/>
      <c r="FB326" s="249"/>
      <c r="FC326" s="221"/>
      <c r="FD326" s="313"/>
      <c r="FE326" s="249"/>
      <c r="FF326" s="221"/>
      <c r="FG326" s="313"/>
      <c r="FH326" s="249"/>
      <c r="FI326" s="216"/>
      <c r="FJ326" s="1435"/>
      <c r="FK326" s="216"/>
      <c r="FL326" s="1268"/>
      <c r="FM326" s="1655"/>
      <c r="FN326" s="1268"/>
      <c r="FO326" s="1655"/>
      <c r="FP326" s="1268"/>
      <c r="FQ326" s="1656"/>
      <c r="FR326" s="249"/>
      <c r="FS326" s="216"/>
      <c r="FT326" s="1657"/>
      <c r="FU326" s="1658"/>
      <c r="FV326" s="242"/>
      <c r="FW326" s="343"/>
      <c r="FX326" s="222"/>
      <c r="FY326" s="336"/>
      <c r="FZ326" s="223"/>
      <c r="GA326" s="338"/>
      <c r="GB326" s="204"/>
      <c r="GC326" s="339"/>
      <c r="GD326" s="342"/>
      <c r="GE326" s="199"/>
      <c r="GF326" s="199"/>
      <c r="GG326" s="199"/>
      <c r="GH326" s="199"/>
      <c r="GI326" s="199"/>
      <c r="GJ326" s="199"/>
      <c r="GK326" s="199"/>
      <c r="GO326" s="322"/>
      <c r="GP326" s="1190"/>
      <c r="GQ326" s="1190"/>
      <c r="GS326" s="2879"/>
      <c r="GT326" s="2880"/>
      <c r="GU326" s="2881"/>
    </row>
    <row r="327" spans="1:203" ht="12" customHeight="1">
      <c r="A327" s="1252"/>
      <c r="B327" s="200"/>
      <c r="C327" s="486"/>
      <c r="T327" s="1186"/>
      <c r="U327" s="233"/>
      <c r="W327" s="218"/>
      <c r="X327" s="218"/>
      <c r="Y327" s="216"/>
      <c r="Z327" s="216"/>
      <c r="AA327" s="215"/>
      <c r="AB327" s="216"/>
      <c r="AC327" s="216"/>
      <c r="AD327" s="239"/>
      <c r="AE327" s="216"/>
      <c r="AF327" s="216"/>
      <c r="AG327" s="216"/>
      <c r="AH327" s="216"/>
      <c r="AI327" s="216"/>
      <c r="AJ327" s="216"/>
      <c r="AK327" s="239"/>
      <c r="AL327" s="216"/>
      <c r="AM327" s="216"/>
      <c r="AN327" s="216"/>
      <c r="AO327" s="216"/>
      <c r="AP327" s="216"/>
      <c r="AQ327" s="216"/>
      <c r="AR327" s="216"/>
      <c r="AS327" s="216"/>
      <c r="AT327" s="216"/>
      <c r="AU327" s="216"/>
      <c r="AV327" s="217"/>
      <c r="AW327" s="355"/>
      <c r="AX327" s="217"/>
      <c r="AY327" s="1559"/>
      <c r="AZ327" s="249"/>
      <c r="BA327" s="221"/>
      <c r="BB327" s="300"/>
      <c r="BC327" s="217"/>
      <c r="BD327" s="392"/>
      <c r="BE327" s="1244"/>
      <c r="BF327" s="249"/>
      <c r="BG327" s="252"/>
      <c r="BH327" s="1469"/>
      <c r="BI327" s="216"/>
      <c r="BJ327" s="1469"/>
      <c r="BK327" s="1459"/>
      <c r="BL327" s="260"/>
      <c r="BM327" s="214"/>
      <c r="BN327" s="293"/>
      <c r="BO327" s="217"/>
      <c r="BP327" s="355"/>
      <c r="BQ327" s="217"/>
      <c r="BR327" s="1193"/>
      <c r="BS327" s="249"/>
      <c r="BT327" s="216"/>
      <c r="BU327" s="1195"/>
      <c r="BV327" s="249"/>
      <c r="BW327" s="216"/>
      <c r="BX327" s="1195"/>
      <c r="BY327" s="249"/>
      <c r="BZ327" s="216"/>
      <c r="CA327" s="1195"/>
      <c r="CB327" s="249"/>
      <c r="CC327" s="216"/>
      <c r="CD327" s="1195"/>
      <c r="CE327" s="249"/>
      <c r="CF327" s="216"/>
      <c r="CG327" s="1195"/>
      <c r="CH327" s="249"/>
      <c r="CI327" s="216"/>
      <c r="CJ327" s="1195"/>
      <c r="CK327" s="249"/>
      <c r="CL327" s="216"/>
      <c r="CM327" s="1194"/>
      <c r="CN327" s="1524"/>
      <c r="CO327" s="217"/>
      <c r="CP327" s="1193"/>
      <c r="CQ327" s="293"/>
      <c r="CR327" s="217"/>
      <c r="CS327" s="305"/>
      <c r="CT327" s="249"/>
      <c r="CU327" s="216"/>
      <c r="CV327" s="1193"/>
      <c r="CW327" s="249"/>
      <c r="CX327" s="216"/>
      <c r="CY327" s="305"/>
      <c r="CZ327" s="249"/>
      <c r="DA327" s="216"/>
      <c r="DB327" s="307"/>
      <c r="DC327" s="328"/>
      <c r="DD327" s="322"/>
      <c r="DE327" s="305"/>
      <c r="DF327" s="249"/>
      <c r="DG327" s="216"/>
      <c r="DH327" s="305"/>
      <c r="DI327" s="249"/>
      <c r="DJ327" s="216"/>
      <c r="DK327" s="309"/>
      <c r="DL327" s="293"/>
      <c r="DM327" s="326"/>
      <c r="DN327" s="1256"/>
      <c r="DO327" s="214"/>
      <c r="DP327" s="1257"/>
      <c r="DQ327" s="1258"/>
      <c r="DR327" s="305"/>
      <c r="DS327" s="249"/>
      <c r="DT327" s="216"/>
      <c r="DU327" s="305"/>
      <c r="DV327" s="2520"/>
      <c r="DW327" s="2521"/>
      <c r="DX327" s="305"/>
      <c r="DY327" s="249"/>
      <c r="DZ327" s="221"/>
      <c r="EA327" s="388"/>
      <c r="EB327" s="249"/>
      <c r="EC327" s="216"/>
      <c r="ED327" s="1461"/>
      <c r="EE327" s="249"/>
      <c r="EF327" s="216"/>
      <c r="EG327" s="355"/>
      <c r="EH327" s="1425"/>
      <c r="EI327" s="1470"/>
      <c r="EJ327" s="249"/>
      <c r="EK327" s="221"/>
      <c r="EL327" s="313"/>
      <c r="EM327" s="249"/>
      <c r="EN327" s="221"/>
      <c r="EO327" s="313"/>
      <c r="EP327" s="249"/>
      <c r="EQ327" s="216"/>
      <c r="ER327" s="313"/>
      <c r="ES327" s="249"/>
      <c r="ET327" s="216"/>
      <c r="EU327" s="313"/>
      <c r="EV327" s="249"/>
      <c r="EW327" s="216"/>
      <c r="EX327" s="2505"/>
      <c r="EY327" s="249"/>
      <c r="EZ327" s="221"/>
      <c r="FA327" s="313"/>
      <c r="FB327" s="249"/>
      <c r="FC327" s="221"/>
      <c r="FD327" s="313"/>
      <c r="FE327" s="249"/>
      <c r="FF327" s="221"/>
      <c r="FG327" s="313"/>
      <c r="FH327" s="249"/>
      <c r="FI327" s="216"/>
      <c r="FJ327" s="1435"/>
      <c r="FK327" s="216"/>
      <c r="FL327" s="1268"/>
      <c r="FM327" s="1655"/>
      <c r="FN327" s="1268"/>
      <c r="FO327" s="1655"/>
      <c r="FP327" s="1268"/>
      <c r="FQ327" s="1656"/>
      <c r="FR327" s="249"/>
      <c r="FS327" s="216"/>
      <c r="FT327" s="1657"/>
      <c r="FU327" s="1658"/>
      <c r="FV327" s="242"/>
      <c r="FW327" s="343"/>
      <c r="FX327" s="222"/>
      <c r="FY327" s="336"/>
      <c r="FZ327" s="223"/>
      <c r="GA327" s="338"/>
      <c r="GB327" s="204"/>
      <c r="GC327" s="339"/>
      <c r="GD327" s="342"/>
      <c r="GE327" s="199"/>
      <c r="GF327" s="199"/>
      <c r="GG327" s="199"/>
      <c r="GH327" s="199"/>
      <c r="GI327" s="199"/>
      <c r="GJ327" s="199"/>
      <c r="GK327" s="199"/>
      <c r="GO327" s="322"/>
      <c r="GP327" s="1190"/>
      <c r="GQ327" s="1190"/>
      <c r="GS327" s="2879"/>
      <c r="GT327" s="2880"/>
      <c r="GU327" s="2881"/>
    </row>
    <row r="328" spans="1:203" ht="12" customHeight="1">
      <c r="A328" s="1252"/>
      <c r="B328" s="200"/>
      <c r="C328" s="486"/>
      <c r="T328" s="1186"/>
      <c r="U328" s="233"/>
      <c r="W328" s="218"/>
      <c r="X328" s="218"/>
      <c r="Y328" s="216"/>
      <c r="Z328" s="216"/>
      <c r="AA328" s="215"/>
      <c r="AB328" s="216"/>
      <c r="AC328" s="216"/>
      <c r="AD328" s="239"/>
      <c r="AE328" s="216"/>
      <c r="AF328" s="216"/>
      <c r="AG328" s="216"/>
      <c r="AH328" s="216"/>
      <c r="AI328" s="216"/>
      <c r="AJ328" s="216"/>
      <c r="AK328" s="239"/>
      <c r="AL328" s="216"/>
      <c r="AM328" s="216"/>
      <c r="AN328" s="216"/>
      <c r="AO328" s="216"/>
      <c r="AP328" s="216"/>
      <c r="AQ328" s="216"/>
      <c r="AR328" s="216"/>
      <c r="AS328" s="216"/>
      <c r="AT328" s="216"/>
      <c r="AU328" s="216"/>
      <c r="AV328" s="217"/>
      <c r="AW328" s="355"/>
      <c r="AX328" s="217"/>
      <c r="AY328" s="1559"/>
      <c r="AZ328" s="249"/>
      <c r="BA328" s="221"/>
      <c r="BB328" s="300"/>
      <c r="BC328" s="217"/>
      <c r="BD328" s="392"/>
      <c r="BE328" s="1244"/>
      <c r="BF328" s="249"/>
      <c r="BG328" s="252"/>
      <c r="BH328" s="1469"/>
      <c r="BI328" s="216"/>
      <c r="BJ328" s="1469"/>
      <c r="BK328" s="1459"/>
      <c r="BL328" s="260"/>
      <c r="BM328" s="214"/>
      <c r="BN328" s="293"/>
      <c r="BO328" s="217"/>
      <c r="BP328" s="355"/>
      <c r="BQ328" s="217"/>
      <c r="BR328" s="1193"/>
      <c r="BS328" s="249"/>
      <c r="BT328" s="216"/>
      <c r="BU328" s="1195"/>
      <c r="BV328" s="249"/>
      <c r="BW328" s="216"/>
      <c r="BX328" s="1195"/>
      <c r="BY328" s="249"/>
      <c r="BZ328" s="216"/>
      <c r="CA328" s="1195"/>
      <c r="CB328" s="249"/>
      <c r="CC328" s="216"/>
      <c r="CD328" s="1195"/>
      <c r="CE328" s="249"/>
      <c r="CF328" s="216"/>
      <c r="CG328" s="1195"/>
      <c r="CH328" s="249"/>
      <c r="CI328" s="216"/>
      <c r="CJ328" s="1195"/>
      <c r="CK328" s="249"/>
      <c r="CL328" s="216"/>
      <c r="CM328" s="1194"/>
      <c r="CN328" s="1524"/>
      <c r="CO328" s="217"/>
      <c r="CP328" s="1193"/>
      <c r="CQ328" s="293"/>
      <c r="CR328" s="217"/>
      <c r="CS328" s="305"/>
      <c r="CT328" s="249"/>
      <c r="CU328" s="216"/>
      <c r="CV328" s="1193"/>
      <c r="CW328" s="249"/>
      <c r="CX328" s="216"/>
      <c r="CY328" s="305"/>
      <c r="CZ328" s="249"/>
      <c r="DA328" s="216"/>
      <c r="DB328" s="307"/>
      <c r="DC328" s="328"/>
      <c r="DD328" s="322"/>
      <c r="DE328" s="305"/>
      <c r="DF328" s="249"/>
      <c r="DG328" s="216"/>
      <c r="DH328" s="305"/>
      <c r="DI328" s="249"/>
      <c r="DJ328" s="216"/>
      <c r="DK328" s="309"/>
      <c r="DL328" s="293"/>
      <c r="DM328" s="326"/>
      <c r="DN328" s="1256"/>
      <c r="DO328" s="214"/>
      <c r="DP328" s="1257"/>
      <c r="DQ328" s="1258"/>
      <c r="DR328" s="305"/>
      <c r="DS328" s="249"/>
      <c r="DT328" s="216"/>
      <c r="DU328" s="305"/>
      <c r="DV328" s="2520"/>
      <c r="DW328" s="2521"/>
      <c r="DX328" s="305"/>
      <c r="DY328" s="249"/>
      <c r="DZ328" s="221"/>
      <c r="EA328" s="388"/>
      <c r="EB328" s="249"/>
      <c r="EC328" s="216"/>
      <c r="ED328" s="1461"/>
      <c r="EE328" s="249"/>
      <c r="EF328" s="216"/>
      <c r="EG328" s="355"/>
      <c r="EH328" s="1425"/>
      <c r="EI328" s="1470"/>
      <c r="EJ328" s="249"/>
      <c r="EK328" s="221"/>
      <c r="EL328" s="313"/>
      <c r="EM328" s="249"/>
      <c r="EN328" s="221"/>
      <c r="EO328" s="313"/>
      <c r="EP328" s="249"/>
      <c r="EQ328" s="216"/>
      <c r="ER328" s="313"/>
      <c r="ES328" s="249"/>
      <c r="ET328" s="216"/>
      <c r="EU328" s="313"/>
      <c r="EV328" s="249"/>
      <c r="EW328" s="216"/>
      <c r="EX328" s="2505"/>
      <c r="EY328" s="249"/>
      <c r="EZ328" s="221"/>
      <c r="FA328" s="313"/>
      <c r="FB328" s="249"/>
      <c r="FC328" s="221"/>
      <c r="FD328" s="313"/>
      <c r="FE328" s="249"/>
      <c r="FF328" s="221"/>
      <c r="FG328" s="313"/>
      <c r="FH328" s="249"/>
      <c r="FI328" s="216"/>
      <c r="FJ328" s="1435"/>
      <c r="FK328" s="216"/>
      <c r="FL328" s="1268"/>
      <c r="FM328" s="1655"/>
      <c r="FN328" s="1268"/>
      <c r="FO328" s="1655"/>
      <c r="FP328" s="1268"/>
      <c r="FQ328" s="1656"/>
      <c r="FR328" s="249"/>
      <c r="FS328" s="216"/>
      <c r="FT328" s="1657"/>
      <c r="FU328" s="1658"/>
      <c r="FV328" s="242"/>
      <c r="FW328" s="343"/>
      <c r="FX328" s="222"/>
      <c r="FY328" s="336"/>
      <c r="FZ328" s="223"/>
      <c r="GA328" s="338"/>
      <c r="GB328" s="204"/>
      <c r="GC328" s="339"/>
      <c r="GD328" s="342"/>
      <c r="GE328" s="199"/>
      <c r="GF328" s="199"/>
      <c r="GG328" s="199"/>
      <c r="GH328" s="199"/>
      <c r="GI328" s="199"/>
      <c r="GJ328" s="199"/>
      <c r="GK328" s="199"/>
      <c r="GO328" s="322"/>
      <c r="GP328" s="1190"/>
      <c r="GQ328" s="1190"/>
      <c r="GS328" s="2879"/>
      <c r="GT328" s="2880"/>
      <c r="GU328" s="2881"/>
    </row>
    <row r="329" spans="1:203" ht="12" customHeight="1">
      <c r="A329" s="1252"/>
      <c r="B329" s="200"/>
      <c r="C329" s="486"/>
      <c r="T329" s="1186"/>
      <c r="U329" s="233"/>
      <c r="W329" s="218"/>
      <c r="X329" s="218"/>
      <c r="Y329" s="216"/>
      <c r="Z329" s="216"/>
      <c r="AA329" s="215"/>
      <c r="AB329" s="216"/>
      <c r="AC329" s="216"/>
      <c r="AD329" s="239"/>
      <c r="AE329" s="216"/>
      <c r="AF329" s="216"/>
      <c r="AG329" s="216"/>
      <c r="AH329" s="216"/>
      <c r="AI329" s="216"/>
      <c r="AJ329" s="216"/>
      <c r="AK329" s="239"/>
      <c r="AL329" s="216"/>
      <c r="AM329" s="216"/>
      <c r="AN329" s="216"/>
      <c r="AO329" s="216"/>
      <c r="AP329" s="216"/>
      <c r="AQ329" s="216"/>
      <c r="AR329" s="216"/>
      <c r="AS329" s="216"/>
      <c r="AT329" s="216"/>
      <c r="AU329" s="216"/>
      <c r="AV329" s="217"/>
      <c r="AW329" s="355"/>
      <c r="AX329" s="217"/>
      <c r="AY329" s="1559"/>
      <c r="AZ329" s="249"/>
      <c r="BA329" s="221"/>
      <c r="BB329" s="300"/>
      <c r="BC329" s="217"/>
      <c r="BD329" s="392"/>
      <c r="BE329" s="1244"/>
      <c r="BF329" s="249"/>
      <c r="BG329" s="252"/>
      <c r="BH329" s="1469"/>
      <c r="BI329" s="216"/>
      <c r="BJ329" s="1469"/>
      <c r="BK329" s="1459"/>
      <c r="BL329" s="260"/>
      <c r="BM329" s="214"/>
      <c r="BN329" s="293"/>
      <c r="BO329" s="217"/>
      <c r="BP329" s="355"/>
      <c r="BQ329" s="217"/>
      <c r="BR329" s="1193"/>
      <c r="BS329" s="249"/>
      <c r="BT329" s="216"/>
      <c r="BU329" s="1195"/>
      <c r="BV329" s="249"/>
      <c r="BW329" s="216"/>
      <c r="BX329" s="1195"/>
      <c r="BY329" s="249"/>
      <c r="BZ329" s="216"/>
      <c r="CA329" s="1195"/>
      <c r="CB329" s="249"/>
      <c r="CC329" s="216"/>
      <c r="CD329" s="1195"/>
      <c r="CE329" s="249"/>
      <c r="CF329" s="216"/>
      <c r="CG329" s="1195"/>
      <c r="CH329" s="249"/>
      <c r="CI329" s="216"/>
      <c r="CJ329" s="1195"/>
      <c r="CK329" s="249"/>
      <c r="CL329" s="216"/>
      <c r="CM329" s="1194"/>
      <c r="CN329" s="1524"/>
      <c r="CO329" s="217"/>
      <c r="CP329" s="1193"/>
      <c r="CQ329" s="293"/>
      <c r="CR329" s="217"/>
      <c r="CS329" s="305"/>
      <c r="CT329" s="249"/>
      <c r="CU329" s="216"/>
      <c r="CV329" s="1193"/>
      <c r="CW329" s="249"/>
      <c r="CX329" s="216"/>
      <c r="CY329" s="305"/>
      <c r="CZ329" s="249"/>
      <c r="DA329" s="216"/>
      <c r="DB329" s="307"/>
      <c r="DC329" s="328"/>
      <c r="DD329" s="322"/>
      <c r="DE329" s="305"/>
      <c r="DF329" s="249"/>
      <c r="DG329" s="216"/>
      <c r="DH329" s="305"/>
      <c r="DI329" s="249"/>
      <c r="DJ329" s="216"/>
      <c r="DK329" s="309"/>
      <c r="DL329" s="293"/>
      <c r="DM329" s="326"/>
      <c r="DN329" s="1256"/>
      <c r="DO329" s="214"/>
      <c r="DP329" s="1257"/>
      <c r="DQ329" s="1258"/>
      <c r="DR329" s="305"/>
      <c r="DS329" s="249"/>
      <c r="DT329" s="216"/>
      <c r="DU329" s="305"/>
      <c r="DV329" s="2520"/>
      <c r="DW329" s="2521"/>
      <c r="DX329" s="305"/>
      <c r="DY329" s="249"/>
      <c r="DZ329" s="221"/>
      <c r="EA329" s="388"/>
      <c r="EB329" s="249"/>
      <c r="EC329" s="216"/>
      <c r="ED329" s="1461"/>
      <c r="EE329" s="249"/>
      <c r="EF329" s="216"/>
      <c r="EG329" s="355"/>
      <c r="EH329" s="1425"/>
      <c r="EI329" s="1470"/>
      <c r="EJ329" s="249"/>
      <c r="EK329" s="221"/>
      <c r="EL329" s="313"/>
      <c r="EM329" s="249"/>
      <c r="EN329" s="221"/>
      <c r="EO329" s="313"/>
      <c r="EP329" s="249"/>
      <c r="EQ329" s="216"/>
      <c r="ER329" s="313"/>
      <c r="ES329" s="249"/>
      <c r="ET329" s="216"/>
      <c r="EU329" s="313"/>
      <c r="EV329" s="249"/>
      <c r="EW329" s="216"/>
      <c r="EX329" s="2505"/>
      <c r="EY329" s="249"/>
      <c r="EZ329" s="221"/>
      <c r="FA329" s="313"/>
      <c r="FB329" s="249"/>
      <c r="FC329" s="221"/>
      <c r="FD329" s="313"/>
      <c r="FE329" s="249"/>
      <c r="FF329" s="221"/>
      <c r="FG329" s="313"/>
      <c r="FH329" s="249"/>
      <c r="FI329" s="216"/>
      <c r="FJ329" s="1435"/>
      <c r="FK329" s="216"/>
      <c r="FL329" s="1268"/>
      <c r="FM329" s="1655"/>
      <c r="FN329" s="1268"/>
      <c r="FO329" s="1655"/>
      <c r="FP329" s="1268"/>
      <c r="FQ329" s="1656"/>
      <c r="FR329" s="249"/>
      <c r="FS329" s="216"/>
      <c r="FT329" s="1657"/>
      <c r="FU329" s="1658"/>
      <c r="FV329" s="242"/>
      <c r="FW329" s="343"/>
      <c r="FX329" s="222"/>
      <c r="FY329" s="336"/>
      <c r="FZ329" s="223"/>
      <c r="GA329" s="338"/>
      <c r="GB329" s="204"/>
      <c r="GC329" s="339"/>
      <c r="GD329" s="342"/>
      <c r="GE329" s="199"/>
      <c r="GF329" s="199"/>
      <c r="GG329" s="199"/>
      <c r="GH329" s="199"/>
      <c r="GI329" s="199"/>
      <c r="GJ329" s="199"/>
      <c r="GK329" s="199"/>
      <c r="GO329" s="322"/>
      <c r="GP329" s="1190"/>
      <c r="GQ329" s="1190"/>
      <c r="GS329" s="2879"/>
      <c r="GT329" s="2880"/>
      <c r="GU329" s="2881"/>
    </row>
    <row r="330" spans="1:203" ht="12" customHeight="1">
      <c r="A330" s="1252"/>
      <c r="B330" s="200"/>
      <c r="C330" s="486"/>
      <c r="T330" s="1186"/>
      <c r="U330" s="233"/>
      <c r="W330" s="218"/>
      <c r="X330" s="218"/>
      <c r="Y330" s="216"/>
      <c r="Z330" s="216"/>
      <c r="AA330" s="215"/>
      <c r="AB330" s="216"/>
      <c r="AC330" s="216"/>
      <c r="AD330" s="239"/>
      <c r="AE330" s="216"/>
      <c r="AF330" s="216"/>
      <c r="AG330" s="216"/>
      <c r="AH330" s="216"/>
      <c r="AI330" s="216"/>
      <c r="AJ330" s="216"/>
      <c r="AK330" s="239"/>
      <c r="AL330" s="216"/>
      <c r="AM330" s="216"/>
      <c r="AN330" s="216"/>
      <c r="AO330" s="216"/>
      <c r="AP330" s="216"/>
      <c r="AQ330" s="216"/>
      <c r="AR330" s="216"/>
      <c r="AS330" s="216"/>
      <c r="AT330" s="216"/>
      <c r="AU330" s="216"/>
      <c r="AV330" s="217"/>
      <c r="AW330" s="355"/>
      <c r="AX330" s="217"/>
      <c r="AY330" s="1559"/>
      <c r="AZ330" s="249"/>
      <c r="BA330" s="221"/>
      <c r="BB330" s="300"/>
      <c r="BC330" s="217"/>
      <c r="BD330" s="392"/>
      <c r="BE330" s="1244"/>
      <c r="BF330" s="249"/>
      <c r="BG330" s="252"/>
      <c r="BH330" s="1469"/>
      <c r="BI330" s="216"/>
      <c r="BJ330" s="1469"/>
      <c r="BK330" s="1459"/>
      <c r="BL330" s="260"/>
      <c r="BM330" s="214"/>
      <c r="BN330" s="293"/>
      <c r="BO330" s="217"/>
      <c r="BP330" s="355"/>
      <c r="BQ330" s="217"/>
      <c r="BR330" s="1193"/>
      <c r="BS330" s="249"/>
      <c r="BT330" s="216"/>
      <c r="BU330" s="1195"/>
      <c r="BV330" s="249"/>
      <c r="BW330" s="216"/>
      <c r="BX330" s="1195"/>
      <c r="BY330" s="249"/>
      <c r="BZ330" s="216"/>
      <c r="CA330" s="1195"/>
      <c r="CB330" s="249"/>
      <c r="CC330" s="216"/>
      <c r="CD330" s="1195"/>
      <c r="CE330" s="249"/>
      <c r="CF330" s="216"/>
      <c r="CG330" s="1195"/>
      <c r="CH330" s="249"/>
      <c r="CI330" s="216"/>
      <c r="CJ330" s="1195"/>
      <c r="CK330" s="249"/>
      <c r="CL330" s="216"/>
      <c r="CM330" s="1194"/>
      <c r="CN330" s="1524"/>
      <c r="CO330" s="217"/>
      <c r="CP330" s="1193"/>
      <c r="CQ330" s="293"/>
      <c r="CR330" s="217"/>
      <c r="CS330" s="305"/>
      <c r="CT330" s="249"/>
      <c r="CU330" s="216"/>
      <c r="CV330" s="1193"/>
      <c r="CW330" s="249"/>
      <c r="CX330" s="216"/>
      <c r="CY330" s="305"/>
      <c r="CZ330" s="249"/>
      <c r="DA330" s="216"/>
      <c r="DB330" s="307"/>
      <c r="DC330" s="328"/>
      <c r="DD330" s="322"/>
      <c r="DE330" s="305"/>
      <c r="DF330" s="249"/>
      <c r="DG330" s="216"/>
      <c r="DH330" s="305"/>
      <c r="DI330" s="249"/>
      <c r="DJ330" s="216"/>
      <c r="DK330" s="309"/>
      <c r="DL330" s="293"/>
      <c r="DM330" s="326"/>
      <c r="DN330" s="1256"/>
      <c r="DO330" s="214"/>
      <c r="DP330" s="1257"/>
      <c r="DQ330" s="1258"/>
      <c r="DR330" s="305"/>
      <c r="DS330" s="249"/>
      <c r="DT330" s="216"/>
      <c r="DU330" s="305"/>
      <c r="DV330" s="2520"/>
      <c r="DW330" s="2521"/>
      <c r="DX330" s="305"/>
      <c r="DY330" s="249"/>
      <c r="DZ330" s="221"/>
      <c r="EA330" s="388"/>
      <c r="EB330" s="249"/>
      <c r="EC330" s="216"/>
      <c r="ED330" s="1461"/>
      <c r="EE330" s="249"/>
      <c r="EF330" s="216"/>
      <c r="EG330" s="355"/>
      <c r="EH330" s="1425"/>
      <c r="EI330" s="1470"/>
      <c r="EJ330" s="249"/>
      <c r="EK330" s="221"/>
      <c r="EL330" s="313"/>
      <c r="EM330" s="249"/>
      <c r="EN330" s="221"/>
      <c r="EO330" s="313"/>
      <c r="EP330" s="249"/>
      <c r="EQ330" s="216"/>
      <c r="ER330" s="313"/>
      <c r="ES330" s="249"/>
      <c r="ET330" s="216"/>
      <c r="EU330" s="313"/>
      <c r="EV330" s="249"/>
      <c r="EW330" s="216"/>
      <c r="EX330" s="2505"/>
      <c r="EY330" s="249"/>
      <c r="EZ330" s="221"/>
      <c r="FA330" s="313"/>
      <c r="FB330" s="249"/>
      <c r="FC330" s="221"/>
      <c r="FD330" s="313"/>
      <c r="FE330" s="249"/>
      <c r="FF330" s="221"/>
      <c r="FG330" s="313"/>
      <c r="FH330" s="249"/>
      <c r="FI330" s="216"/>
      <c r="FJ330" s="1435"/>
      <c r="FK330" s="216"/>
      <c r="FL330" s="1268"/>
      <c r="FM330" s="1655"/>
      <c r="FN330" s="1268"/>
      <c r="FO330" s="1655"/>
      <c r="FP330" s="1268"/>
      <c r="FQ330" s="1656"/>
      <c r="FR330" s="249"/>
      <c r="FS330" s="216"/>
      <c r="FT330" s="1657"/>
      <c r="FU330" s="1658"/>
      <c r="FV330" s="242"/>
      <c r="FW330" s="343"/>
      <c r="FX330" s="222"/>
      <c r="FY330" s="336"/>
      <c r="FZ330" s="223"/>
      <c r="GA330" s="338"/>
      <c r="GB330" s="204"/>
      <c r="GC330" s="339"/>
      <c r="GD330" s="342"/>
      <c r="GE330" s="199"/>
      <c r="GF330" s="199"/>
      <c r="GG330" s="199"/>
      <c r="GH330" s="199"/>
      <c r="GI330" s="199"/>
      <c r="GJ330" s="199"/>
      <c r="GK330" s="199"/>
      <c r="GO330" s="322"/>
      <c r="GP330" s="1190"/>
      <c r="GQ330" s="1190"/>
      <c r="GS330" s="2879"/>
      <c r="GT330" s="2880"/>
      <c r="GU330" s="2881"/>
    </row>
    <row r="331" spans="1:203" ht="12" customHeight="1">
      <c r="A331" s="1252"/>
      <c r="B331" s="200"/>
      <c r="C331" s="486"/>
      <c r="T331" s="1186"/>
      <c r="U331" s="233"/>
      <c r="W331" s="218"/>
      <c r="X331" s="218"/>
      <c r="Y331" s="216"/>
      <c r="Z331" s="216"/>
      <c r="AA331" s="215"/>
      <c r="AB331" s="216"/>
      <c r="AC331" s="216"/>
      <c r="AD331" s="239"/>
      <c r="AE331" s="216"/>
      <c r="AF331" s="216"/>
      <c r="AG331" s="216"/>
      <c r="AH331" s="216"/>
      <c r="AI331" s="216"/>
      <c r="AJ331" s="216"/>
      <c r="AK331" s="239"/>
      <c r="AL331" s="216"/>
      <c r="AM331" s="216"/>
      <c r="AN331" s="216"/>
      <c r="AO331" s="216"/>
      <c r="AP331" s="216"/>
      <c r="AQ331" s="216"/>
      <c r="AR331" s="216"/>
      <c r="AS331" s="216"/>
      <c r="AT331" s="216"/>
      <c r="AU331" s="216"/>
      <c r="AV331" s="217"/>
      <c r="AW331" s="355"/>
      <c r="AX331" s="217"/>
      <c r="AY331" s="1559"/>
      <c r="AZ331" s="249"/>
      <c r="BA331" s="221"/>
      <c r="BB331" s="300"/>
      <c r="BC331" s="217"/>
      <c r="BD331" s="392"/>
      <c r="BE331" s="1244"/>
      <c r="BF331" s="249"/>
      <c r="BG331" s="252"/>
      <c r="BH331" s="1469"/>
      <c r="BI331" s="216"/>
      <c r="BJ331" s="1469"/>
      <c r="BK331" s="1459"/>
      <c r="BL331" s="260"/>
      <c r="BM331" s="214"/>
      <c r="BN331" s="293"/>
      <c r="BO331" s="217"/>
      <c r="BP331" s="355"/>
      <c r="BQ331" s="217"/>
      <c r="BR331" s="1193"/>
      <c r="BS331" s="249"/>
      <c r="BT331" s="216"/>
      <c r="BU331" s="1195"/>
      <c r="BV331" s="249"/>
      <c r="BW331" s="216"/>
      <c r="BX331" s="1195"/>
      <c r="BY331" s="249"/>
      <c r="BZ331" s="216"/>
      <c r="CA331" s="1195"/>
      <c r="CB331" s="249"/>
      <c r="CC331" s="216"/>
      <c r="CD331" s="1195"/>
      <c r="CE331" s="249"/>
      <c r="CF331" s="216"/>
      <c r="CG331" s="1195"/>
      <c r="CH331" s="249"/>
      <c r="CI331" s="216"/>
      <c r="CJ331" s="1195"/>
      <c r="CK331" s="249"/>
      <c r="CL331" s="216"/>
      <c r="CM331" s="1194"/>
      <c r="CN331" s="1524"/>
      <c r="CO331" s="217"/>
      <c r="CP331" s="1193"/>
      <c r="CQ331" s="293"/>
      <c r="CR331" s="217"/>
      <c r="CS331" s="305"/>
      <c r="CT331" s="249"/>
      <c r="CU331" s="216"/>
      <c r="CV331" s="1193"/>
      <c r="CW331" s="249"/>
      <c r="CX331" s="216"/>
      <c r="CY331" s="305"/>
      <c r="CZ331" s="249"/>
      <c r="DA331" s="216"/>
      <c r="DB331" s="307"/>
      <c r="DC331" s="328"/>
      <c r="DD331" s="322"/>
      <c r="DE331" s="305"/>
      <c r="DF331" s="249"/>
      <c r="DG331" s="216"/>
      <c r="DH331" s="305"/>
      <c r="DI331" s="249"/>
      <c r="DJ331" s="216"/>
      <c r="DK331" s="309"/>
      <c r="DL331" s="293"/>
      <c r="DM331" s="326"/>
      <c r="DN331" s="1256"/>
      <c r="DO331" s="214"/>
      <c r="DP331" s="1257"/>
      <c r="DQ331" s="1258"/>
      <c r="DR331" s="305"/>
      <c r="DS331" s="249"/>
      <c r="DT331" s="216"/>
      <c r="DU331" s="305"/>
      <c r="DV331" s="2520"/>
      <c r="DW331" s="2521"/>
      <c r="DX331" s="305"/>
      <c r="DY331" s="249"/>
      <c r="DZ331" s="221"/>
      <c r="EA331" s="388"/>
      <c r="EB331" s="249"/>
      <c r="EC331" s="216"/>
      <c r="ED331" s="1461"/>
      <c r="EE331" s="249"/>
      <c r="EF331" s="216"/>
      <c r="EG331" s="355"/>
      <c r="EH331" s="1425"/>
      <c r="EI331" s="1470"/>
      <c r="EJ331" s="249"/>
      <c r="EK331" s="221"/>
      <c r="EL331" s="313"/>
      <c r="EM331" s="249"/>
      <c r="EN331" s="221"/>
      <c r="EO331" s="313"/>
      <c r="EP331" s="249"/>
      <c r="EQ331" s="216"/>
      <c r="ER331" s="313"/>
      <c r="ES331" s="249"/>
      <c r="ET331" s="216"/>
      <c r="EU331" s="313"/>
      <c r="EV331" s="249"/>
      <c r="EW331" s="216"/>
      <c r="EX331" s="2505"/>
      <c r="EY331" s="249"/>
      <c r="EZ331" s="221"/>
      <c r="FA331" s="313"/>
      <c r="FB331" s="249"/>
      <c r="FC331" s="221"/>
      <c r="FD331" s="313"/>
      <c r="FE331" s="249"/>
      <c r="FF331" s="221"/>
      <c r="FG331" s="313"/>
      <c r="FH331" s="249"/>
      <c r="FI331" s="216"/>
      <c r="FJ331" s="1435"/>
      <c r="FK331" s="216"/>
      <c r="FL331" s="1268"/>
      <c r="FM331" s="1655"/>
      <c r="FN331" s="1268"/>
      <c r="FO331" s="1655"/>
      <c r="FP331" s="1268"/>
      <c r="FQ331" s="1656"/>
      <c r="FR331" s="249"/>
      <c r="FS331" s="216"/>
      <c r="FT331" s="1657"/>
      <c r="FU331" s="1658"/>
      <c r="FV331" s="242"/>
      <c r="FW331" s="343"/>
      <c r="FX331" s="222"/>
      <c r="FY331" s="336"/>
      <c r="FZ331" s="223"/>
      <c r="GA331" s="338"/>
      <c r="GB331" s="204"/>
      <c r="GC331" s="339"/>
      <c r="GD331" s="342"/>
      <c r="GE331" s="199"/>
      <c r="GF331" s="199"/>
      <c r="GG331" s="199"/>
      <c r="GH331" s="199"/>
      <c r="GI331" s="199"/>
      <c r="GJ331" s="199"/>
      <c r="GK331" s="199"/>
      <c r="GO331" s="322"/>
      <c r="GP331" s="1190"/>
      <c r="GQ331" s="1190"/>
      <c r="GS331" s="2879"/>
      <c r="GT331" s="2880"/>
      <c r="GU331" s="2881"/>
    </row>
    <row r="332" spans="1:203" ht="12" customHeight="1">
      <c r="A332" s="1252"/>
      <c r="B332" s="200"/>
      <c r="C332" s="486"/>
      <c r="T332" s="1186"/>
      <c r="U332" s="233"/>
      <c r="W332" s="218"/>
      <c r="X332" s="218"/>
      <c r="Y332" s="216"/>
      <c r="Z332" s="216"/>
      <c r="AA332" s="215"/>
      <c r="AB332" s="216"/>
      <c r="AC332" s="216"/>
      <c r="AD332" s="239"/>
      <c r="AE332" s="216"/>
      <c r="AF332" s="216"/>
      <c r="AG332" s="216"/>
      <c r="AH332" s="216"/>
      <c r="AI332" s="216"/>
      <c r="AJ332" s="216"/>
      <c r="AK332" s="239"/>
      <c r="AL332" s="216"/>
      <c r="AM332" s="216"/>
      <c r="AN332" s="216"/>
      <c r="AO332" s="216"/>
      <c r="AP332" s="216"/>
      <c r="AQ332" s="216"/>
      <c r="AR332" s="216"/>
      <c r="AS332" s="216"/>
      <c r="AT332" s="216"/>
      <c r="AU332" s="216"/>
      <c r="AV332" s="217"/>
      <c r="AW332" s="355"/>
      <c r="AX332" s="217"/>
      <c r="AY332" s="1559"/>
      <c r="AZ332" s="249"/>
      <c r="BA332" s="221"/>
      <c r="BB332" s="300"/>
      <c r="BC332" s="217"/>
      <c r="BD332" s="392"/>
      <c r="BE332" s="1244"/>
      <c r="BF332" s="249"/>
      <c r="BG332" s="252"/>
      <c r="BH332" s="1469"/>
      <c r="BI332" s="216"/>
      <c r="BJ332" s="1469"/>
      <c r="BK332" s="1459"/>
      <c r="BL332" s="260"/>
      <c r="BM332" s="214"/>
      <c r="BN332" s="293"/>
      <c r="BO332" s="217"/>
      <c r="BP332" s="355"/>
      <c r="BQ332" s="217"/>
      <c r="BR332" s="1193"/>
      <c r="BS332" s="249"/>
      <c r="BT332" s="216"/>
      <c r="BU332" s="1195"/>
      <c r="BV332" s="249"/>
      <c r="BW332" s="216"/>
      <c r="BX332" s="1195"/>
      <c r="BY332" s="249"/>
      <c r="BZ332" s="216"/>
      <c r="CA332" s="1195"/>
      <c r="CB332" s="249"/>
      <c r="CC332" s="216"/>
      <c r="CD332" s="1195"/>
      <c r="CE332" s="249"/>
      <c r="CF332" s="216"/>
      <c r="CG332" s="1195"/>
      <c r="CH332" s="249"/>
      <c r="CI332" s="216"/>
      <c r="CJ332" s="1195"/>
      <c r="CK332" s="249"/>
      <c r="CL332" s="216"/>
      <c r="CM332" s="1194"/>
      <c r="CN332" s="1524"/>
      <c r="CO332" s="217"/>
      <c r="CP332" s="1193"/>
      <c r="CQ332" s="293"/>
      <c r="CR332" s="217"/>
      <c r="CS332" s="305"/>
      <c r="CT332" s="249"/>
      <c r="CU332" s="216"/>
      <c r="CV332" s="1193"/>
      <c r="CW332" s="249"/>
      <c r="CX332" s="216"/>
      <c r="CY332" s="305"/>
      <c r="CZ332" s="249"/>
      <c r="DA332" s="216"/>
      <c r="DB332" s="307"/>
      <c r="DC332" s="328"/>
      <c r="DD332" s="322"/>
      <c r="DE332" s="305"/>
      <c r="DF332" s="249"/>
      <c r="DG332" s="216"/>
      <c r="DH332" s="305"/>
      <c r="DI332" s="249"/>
      <c r="DJ332" s="216"/>
      <c r="DK332" s="309"/>
      <c r="DL332" s="293"/>
      <c r="DM332" s="326"/>
      <c r="DN332" s="1256"/>
      <c r="DO332" s="214"/>
      <c r="DP332" s="1257"/>
      <c r="DQ332" s="1258"/>
      <c r="DR332" s="305"/>
      <c r="DS332" s="249"/>
      <c r="DT332" s="216"/>
      <c r="DU332" s="305"/>
      <c r="DV332" s="2520"/>
      <c r="DW332" s="2521"/>
      <c r="DX332" s="305"/>
      <c r="DY332" s="249"/>
      <c r="DZ332" s="221"/>
      <c r="EA332" s="388"/>
      <c r="EB332" s="249"/>
      <c r="EC332" s="216"/>
      <c r="ED332" s="1461"/>
      <c r="EE332" s="249"/>
      <c r="EF332" s="216"/>
      <c r="EG332" s="355"/>
      <c r="EH332" s="1425"/>
      <c r="EI332" s="1470"/>
      <c r="EJ332" s="249"/>
      <c r="EK332" s="221"/>
      <c r="EL332" s="313"/>
      <c r="EM332" s="249"/>
      <c r="EN332" s="221"/>
      <c r="EO332" s="313"/>
      <c r="EP332" s="249"/>
      <c r="EQ332" s="216"/>
      <c r="ER332" s="313"/>
      <c r="ES332" s="249"/>
      <c r="ET332" s="216"/>
      <c r="EU332" s="313"/>
      <c r="EV332" s="249"/>
      <c r="EW332" s="216"/>
      <c r="EX332" s="2505"/>
      <c r="EY332" s="249"/>
      <c r="EZ332" s="221"/>
      <c r="FA332" s="313"/>
      <c r="FB332" s="249"/>
      <c r="FC332" s="221"/>
      <c r="FD332" s="313"/>
      <c r="FE332" s="249"/>
      <c r="FF332" s="221"/>
      <c r="FG332" s="313"/>
      <c r="FH332" s="249"/>
      <c r="FI332" s="216"/>
      <c r="FJ332" s="1435"/>
      <c r="FK332" s="216"/>
      <c r="FL332" s="1268"/>
      <c r="FM332" s="1655"/>
      <c r="FN332" s="1268"/>
      <c r="FO332" s="1655"/>
      <c r="FP332" s="1268"/>
      <c r="FQ332" s="1656"/>
      <c r="FR332" s="249"/>
      <c r="FS332" s="216"/>
      <c r="FT332" s="1657"/>
      <c r="FU332" s="1658"/>
      <c r="FV332" s="242"/>
      <c r="FW332" s="343"/>
      <c r="FX332" s="222"/>
      <c r="FY332" s="336"/>
      <c r="FZ332" s="223"/>
      <c r="GA332" s="338"/>
      <c r="GB332" s="204"/>
      <c r="GC332" s="339"/>
      <c r="GD332" s="342"/>
      <c r="GE332" s="199"/>
      <c r="GF332" s="199"/>
      <c r="GG332" s="199"/>
      <c r="GH332" s="199"/>
      <c r="GI332" s="199"/>
      <c r="GJ332" s="199"/>
      <c r="GK332" s="199"/>
      <c r="GO332" s="322"/>
      <c r="GP332" s="1190"/>
      <c r="GQ332" s="1190"/>
      <c r="GS332" s="2879"/>
      <c r="GT332" s="2880"/>
      <c r="GU332" s="2881"/>
    </row>
    <row r="333" spans="1:203" ht="12" customHeight="1">
      <c r="A333" s="1252"/>
      <c r="B333" s="200"/>
      <c r="C333" s="486"/>
      <c r="T333" s="1186"/>
      <c r="U333" s="233"/>
      <c r="W333" s="218"/>
      <c r="X333" s="218"/>
      <c r="Y333" s="216"/>
      <c r="Z333" s="216"/>
      <c r="AA333" s="215"/>
      <c r="AB333" s="216"/>
      <c r="AC333" s="216"/>
      <c r="AD333" s="239"/>
      <c r="AE333" s="216"/>
      <c r="AF333" s="216"/>
      <c r="AG333" s="216"/>
      <c r="AH333" s="216"/>
      <c r="AI333" s="216"/>
      <c r="AJ333" s="216"/>
      <c r="AK333" s="239"/>
      <c r="AL333" s="216"/>
      <c r="AM333" s="216"/>
      <c r="AN333" s="216"/>
      <c r="AO333" s="216"/>
      <c r="AP333" s="216"/>
      <c r="AQ333" s="216"/>
      <c r="AR333" s="216"/>
      <c r="AS333" s="216"/>
      <c r="AT333" s="216"/>
      <c r="AU333" s="216"/>
      <c r="AV333" s="217"/>
      <c r="AW333" s="355"/>
      <c r="AX333" s="217"/>
      <c r="AY333" s="1559"/>
      <c r="AZ333" s="249"/>
      <c r="BA333" s="221"/>
      <c r="BB333" s="300"/>
      <c r="BC333" s="217"/>
      <c r="BD333" s="392"/>
      <c r="BE333" s="1244"/>
      <c r="BF333" s="249"/>
      <c r="BG333" s="252"/>
      <c r="BH333" s="1469"/>
      <c r="BI333" s="216"/>
      <c r="BJ333" s="1469"/>
      <c r="BK333" s="1459"/>
      <c r="BL333" s="260"/>
      <c r="BM333" s="214"/>
      <c r="BN333" s="293"/>
      <c r="BO333" s="217"/>
      <c r="BP333" s="355"/>
      <c r="BQ333" s="217"/>
      <c r="BR333" s="1193"/>
      <c r="BS333" s="249"/>
      <c r="BT333" s="216"/>
      <c r="BU333" s="1195"/>
      <c r="BV333" s="249"/>
      <c r="BW333" s="216"/>
      <c r="BX333" s="1195"/>
      <c r="BY333" s="249"/>
      <c r="BZ333" s="216"/>
      <c r="CA333" s="1195"/>
      <c r="CB333" s="249"/>
      <c r="CC333" s="216"/>
      <c r="CD333" s="1195"/>
      <c r="CE333" s="249"/>
      <c r="CF333" s="216"/>
      <c r="CG333" s="1195"/>
      <c r="CH333" s="249"/>
      <c r="CI333" s="216"/>
      <c r="CJ333" s="1195"/>
      <c r="CK333" s="249"/>
      <c r="CL333" s="216"/>
      <c r="CM333" s="1194"/>
      <c r="CN333" s="1524"/>
      <c r="CO333" s="217"/>
      <c r="CP333" s="1193"/>
      <c r="CQ333" s="293"/>
      <c r="CR333" s="217"/>
      <c r="CS333" s="305"/>
      <c r="CT333" s="249"/>
      <c r="CU333" s="216"/>
      <c r="CV333" s="1193"/>
      <c r="CW333" s="249"/>
      <c r="CX333" s="216"/>
      <c r="CY333" s="305"/>
      <c r="CZ333" s="249"/>
      <c r="DA333" s="216"/>
      <c r="DB333" s="307"/>
      <c r="DC333" s="328"/>
      <c r="DD333" s="322"/>
      <c r="DE333" s="305"/>
      <c r="DF333" s="249"/>
      <c r="DG333" s="216"/>
      <c r="DH333" s="305"/>
      <c r="DI333" s="249"/>
      <c r="DJ333" s="216"/>
      <c r="DK333" s="309"/>
      <c r="DL333" s="293"/>
      <c r="DM333" s="326"/>
      <c r="DN333" s="1256"/>
      <c r="DO333" s="214"/>
      <c r="DP333" s="1257"/>
      <c r="DQ333" s="1258"/>
      <c r="DR333" s="305"/>
      <c r="DS333" s="249"/>
      <c r="DT333" s="216"/>
      <c r="DU333" s="305"/>
      <c r="DV333" s="2520"/>
      <c r="DW333" s="2521"/>
      <c r="DX333" s="305"/>
      <c r="DY333" s="249"/>
      <c r="DZ333" s="221"/>
      <c r="EA333" s="388"/>
      <c r="EB333" s="249"/>
      <c r="EC333" s="216"/>
      <c r="ED333" s="1461"/>
      <c r="EE333" s="249"/>
      <c r="EF333" s="216"/>
      <c r="EG333" s="355"/>
      <c r="EH333" s="1425"/>
      <c r="EI333" s="1470"/>
      <c r="EJ333" s="249"/>
      <c r="EK333" s="221"/>
      <c r="EL333" s="313"/>
      <c r="EM333" s="249"/>
      <c r="EN333" s="221"/>
      <c r="EO333" s="313"/>
      <c r="EP333" s="249"/>
      <c r="EQ333" s="216"/>
      <c r="ER333" s="313"/>
      <c r="ES333" s="249"/>
      <c r="ET333" s="216"/>
      <c r="EU333" s="313"/>
      <c r="EV333" s="249"/>
      <c r="EW333" s="216"/>
      <c r="EX333" s="2505"/>
      <c r="EY333" s="249"/>
      <c r="EZ333" s="221"/>
      <c r="FA333" s="313"/>
      <c r="FB333" s="249"/>
      <c r="FC333" s="221"/>
      <c r="FD333" s="313"/>
      <c r="FE333" s="249"/>
      <c r="FF333" s="221"/>
      <c r="FG333" s="313"/>
      <c r="FH333" s="249"/>
      <c r="FI333" s="216"/>
      <c r="FJ333" s="1435"/>
      <c r="FK333" s="216"/>
      <c r="FL333" s="1268"/>
      <c r="FM333" s="1655"/>
      <c r="FN333" s="1268"/>
      <c r="FO333" s="1655"/>
      <c r="FP333" s="1268"/>
      <c r="FQ333" s="1656"/>
      <c r="FR333" s="249"/>
      <c r="FS333" s="216"/>
      <c r="FT333" s="1657"/>
      <c r="FU333" s="1658"/>
      <c r="FV333" s="242"/>
      <c r="FW333" s="343"/>
      <c r="FX333" s="222"/>
      <c r="FY333" s="336"/>
      <c r="FZ333" s="223"/>
      <c r="GA333" s="338"/>
      <c r="GB333" s="204"/>
      <c r="GC333" s="339"/>
      <c r="GD333" s="342"/>
      <c r="GE333" s="199"/>
      <c r="GF333" s="199"/>
      <c r="GG333" s="199"/>
      <c r="GH333" s="199"/>
      <c r="GI333" s="199"/>
      <c r="GJ333" s="199"/>
      <c r="GK333" s="199"/>
      <c r="GO333" s="322"/>
      <c r="GP333" s="1190"/>
      <c r="GQ333" s="1190"/>
      <c r="GS333" s="2879"/>
      <c r="GT333" s="2880"/>
      <c r="GU333" s="2881"/>
    </row>
    <row r="334" spans="1:203" ht="12" customHeight="1">
      <c r="A334" s="1252"/>
      <c r="B334" s="200"/>
      <c r="C334" s="486"/>
      <c r="T334" s="1186"/>
      <c r="U334" s="233"/>
      <c r="W334" s="218"/>
      <c r="X334" s="218"/>
      <c r="Y334" s="216"/>
      <c r="Z334" s="216"/>
      <c r="AA334" s="215"/>
      <c r="AB334" s="216"/>
      <c r="AC334" s="216"/>
      <c r="AD334" s="239"/>
      <c r="AE334" s="216"/>
      <c r="AF334" s="216"/>
      <c r="AG334" s="216"/>
      <c r="AH334" s="216"/>
      <c r="AI334" s="216"/>
      <c r="AJ334" s="216"/>
      <c r="AK334" s="239"/>
      <c r="AL334" s="216"/>
      <c r="AM334" s="216"/>
      <c r="AN334" s="216"/>
      <c r="AO334" s="216"/>
      <c r="AP334" s="216"/>
      <c r="AQ334" s="216"/>
      <c r="AR334" s="216"/>
      <c r="AS334" s="216"/>
      <c r="AT334" s="216"/>
      <c r="AU334" s="216"/>
      <c r="AV334" s="217"/>
      <c r="AW334" s="355"/>
      <c r="AX334" s="217"/>
      <c r="AY334" s="1559"/>
      <c r="AZ334" s="249"/>
      <c r="BA334" s="221"/>
      <c r="BB334" s="300"/>
      <c r="BC334" s="217"/>
      <c r="BD334" s="392"/>
      <c r="BE334" s="1244"/>
      <c r="BF334" s="249"/>
      <c r="BG334" s="252"/>
      <c r="BH334" s="1469"/>
      <c r="BI334" s="216"/>
      <c r="BJ334" s="1469"/>
      <c r="BK334" s="1459"/>
      <c r="BL334" s="260"/>
      <c r="BM334" s="214"/>
      <c r="BN334" s="293"/>
      <c r="BO334" s="217"/>
      <c r="BP334" s="355"/>
      <c r="BQ334" s="217"/>
      <c r="BR334" s="1193"/>
      <c r="BS334" s="249"/>
      <c r="BT334" s="216"/>
      <c r="BU334" s="1195"/>
      <c r="BV334" s="249"/>
      <c r="BW334" s="216"/>
      <c r="BX334" s="1195"/>
      <c r="BY334" s="249"/>
      <c r="BZ334" s="216"/>
      <c r="CA334" s="1195"/>
      <c r="CB334" s="249"/>
      <c r="CC334" s="216"/>
      <c r="CD334" s="1195"/>
      <c r="CE334" s="249"/>
      <c r="CF334" s="216"/>
      <c r="CG334" s="1195"/>
      <c r="CH334" s="249"/>
      <c r="CI334" s="216"/>
      <c r="CJ334" s="1195"/>
      <c r="CK334" s="249"/>
      <c r="CL334" s="216"/>
      <c r="CM334" s="1194"/>
      <c r="CN334" s="1524"/>
      <c r="CO334" s="217"/>
      <c r="CP334" s="1193"/>
      <c r="CQ334" s="293"/>
      <c r="CR334" s="217"/>
      <c r="CS334" s="305"/>
      <c r="CT334" s="249"/>
      <c r="CU334" s="216"/>
      <c r="CV334" s="1193"/>
      <c r="CW334" s="249"/>
      <c r="CX334" s="216"/>
      <c r="CY334" s="305"/>
      <c r="CZ334" s="249"/>
      <c r="DA334" s="216"/>
      <c r="DB334" s="307"/>
      <c r="DC334" s="328"/>
      <c r="DD334" s="322"/>
      <c r="DE334" s="305"/>
      <c r="DF334" s="249"/>
      <c r="DG334" s="216"/>
      <c r="DH334" s="305"/>
      <c r="DI334" s="249"/>
      <c r="DJ334" s="216"/>
      <c r="DK334" s="309"/>
      <c r="DL334" s="293"/>
      <c r="DM334" s="326"/>
      <c r="DN334" s="1256"/>
      <c r="DO334" s="214"/>
      <c r="DP334" s="1257"/>
      <c r="DQ334" s="1258"/>
      <c r="DR334" s="305"/>
      <c r="DS334" s="249"/>
      <c r="DT334" s="216"/>
      <c r="DU334" s="305"/>
      <c r="DV334" s="2520"/>
      <c r="DW334" s="2521"/>
      <c r="DX334" s="305"/>
      <c r="DY334" s="249"/>
      <c r="DZ334" s="221"/>
      <c r="EA334" s="388"/>
      <c r="EB334" s="249"/>
      <c r="EC334" s="216"/>
      <c r="ED334" s="1461"/>
      <c r="EE334" s="249"/>
      <c r="EF334" s="216"/>
      <c r="EG334" s="355"/>
      <c r="EH334" s="1425"/>
      <c r="EI334" s="1470"/>
      <c r="EJ334" s="249"/>
      <c r="EK334" s="221"/>
      <c r="EL334" s="313"/>
      <c r="EM334" s="249"/>
      <c r="EN334" s="221"/>
      <c r="EO334" s="313"/>
      <c r="EP334" s="249"/>
      <c r="EQ334" s="216"/>
      <c r="ER334" s="313"/>
      <c r="ES334" s="249"/>
      <c r="ET334" s="216"/>
      <c r="EU334" s="313"/>
      <c r="EV334" s="249"/>
      <c r="EW334" s="216"/>
      <c r="EX334" s="2505"/>
      <c r="EY334" s="249"/>
      <c r="EZ334" s="221"/>
      <c r="FA334" s="313"/>
      <c r="FB334" s="249"/>
      <c r="FC334" s="221"/>
      <c r="FD334" s="313"/>
      <c r="FE334" s="249"/>
      <c r="FF334" s="221"/>
      <c r="FG334" s="313"/>
      <c r="FH334" s="249"/>
      <c r="FI334" s="216"/>
      <c r="FJ334" s="1435"/>
      <c r="FK334" s="216"/>
      <c r="FL334" s="1268"/>
      <c r="FM334" s="1655"/>
      <c r="FN334" s="1268"/>
      <c r="FO334" s="1655"/>
      <c r="FP334" s="1268"/>
      <c r="FQ334" s="1656"/>
      <c r="FR334" s="249"/>
      <c r="FS334" s="216"/>
      <c r="FT334" s="1657"/>
      <c r="FU334" s="1658"/>
      <c r="FV334" s="242"/>
      <c r="FW334" s="343"/>
      <c r="FX334" s="222"/>
      <c r="FY334" s="336"/>
      <c r="FZ334" s="223"/>
      <c r="GA334" s="338"/>
      <c r="GB334" s="204"/>
      <c r="GC334" s="339"/>
      <c r="GD334" s="342"/>
      <c r="GE334" s="199"/>
      <c r="GF334" s="199"/>
      <c r="GG334" s="199"/>
      <c r="GH334" s="199"/>
      <c r="GI334" s="199"/>
      <c r="GJ334" s="199"/>
      <c r="GK334" s="199"/>
      <c r="GO334" s="322"/>
      <c r="GP334" s="1190"/>
      <c r="GQ334" s="1190"/>
      <c r="GS334" s="2879"/>
      <c r="GT334" s="2880"/>
      <c r="GU334" s="2881"/>
    </row>
    <row r="335" spans="1:203" ht="12" customHeight="1">
      <c r="A335" s="1252"/>
      <c r="B335" s="200"/>
      <c r="C335" s="486"/>
      <c r="T335" s="1186"/>
      <c r="U335" s="233"/>
      <c r="W335" s="218"/>
      <c r="X335" s="218"/>
      <c r="Y335" s="216"/>
      <c r="Z335" s="216"/>
      <c r="AA335" s="215"/>
      <c r="AB335" s="216"/>
      <c r="AC335" s="216"/>
      <c r="AD335" s="239"/>
      <c r="AE335" s="216"/>
      <c r="AF335" s="216"/>
      <c r="AG335" s="216"/>
      <c r="AH335" s="216"/>
      <c r="AI335" s="216"/>
      <c r="AJ335" s="216"/>
      <c r="AK335" s="239"/>
      <c r="AL335" s="216"/>
      <c r="AM335" s="216"/>
      <c r="AN335" s="216"/>
      <c r="AO335" s="216"/>
      <c r="AP335" s="216"/>
      <c r="AQ335" s="216"/>
      <c r="AR335" s="216"/>
      <c r="AS335" s="216"/>
      <c r="AT335" s="216"/>
      <c r="AU335" s="216"/>
      <c r="AV335" s="217"/>
      <c r="AW335" s="355"/>
      <c r="AX335" s="217"/>
      <c r="AY335" s="1559"/>
      <c r="AZ335" s="249"/>
      <c r="BA335" s="221"/>
      <c r="BB335" s="300"/>
      <c r="BC335" s="217"/>
      <c r="BD335" s="392"/>
      <c r="BE335" s="1244"/>
      <c r="BF335" s="249"/>
      <c r="BG335" s="252"/>
      <c r="BH335" s="1469"/>
      <c r="BI335" s="216"/>
      <c r="BJ335" s="1469"/>
      <c r="BK335" s="1459"/>
      <c r="BL335" s="260"/>
      <c r="BM335" s="214"/>
      <c r="BN335" s="293"/>
      <c r="BO335" s="217"/>
      <c r="BP335" s="355"/>
      <c r="BQ335" s="217"/>
      <c r="BR335" s="1193"/>
      <c r="BS335" s="249"/>
      <c r="BT335" s="216"/>
      <c r="BU335" s="1195"/>
      <c r="BV335" s="249"/>
      <c r="BW335" s="216"/>
      <c r="BX335" s="1195"/>
      <c r="BY335" s="249"/>
      <c r="BZ335" s="216"/>
      <c r="CA335" s="1195"/>
      <c r="CB335" s="249"/>
      <c r="CC335" s="216"/>
      <c r="CD335" s="1195"/>
      <c r="CE335" s="249"/>
      <c r="CF335" s="216"/>
      <c r="CG335" s="1195"/>
      <c r="CH335" s="249"/>
      <c r="CI335" s="216"/>
      <c r="CJ335" s="1195"/>
      <c r="CK335" s="249"/>
      <c r="CL335" s="216"/>
      <c r="CM335" s="1194"/>
      <c r="CN335" s="1524"/>
      <c r="CO335" s="217"/>
      <c r="CP335" s="1193"/>
      <c r="CQ335" s="293"/>
      <c r="CR335" s="217"/>
      <c r="CS335" s="305"/>
      <c r="CT335" s="249"/>
      <c r="CU335" s="216"/>
      <c r="CV335" s="1193"/>
      <c r="CW335" s="249"/>
      <c r="CX335" s="216"/>
      <c r="CY335" s="305"/>
      <c r="CZ335" s="249"/>
      <c r="DA335" s="216"/>
      <c r="DB335" s="307"/>
      <c r="DC335" s="328"/>
      <c r="DD335" s="322"/>
      <c r="DE335" s="305"/>
      <c r="DF335" s="249"/>
      <c r="DG335" s="216"/>
      <c r="DH335" s="305"/>
      <c r="DI335" s="249"/>
      <c r="DJ335" s="216"/>
      <c r="DK335" s="309"/>
      <c r="DL335" s="293"/>
      <c r="DM335" s="326"/>
      <c r="DN335" s="1256"/>
      <c r="DO335" s="214"/>
      <c r="DP335" s="1257"/>
      <c r="DQ335" s="1258"/>
      <c r="DR335" s="305"/>
      <c r="DS335" s="249"/>
      <c r="DT335" s="216"/>
      <c r="DU335" s="305"/>
      <c r="DV335" s="2520"/>
      <c r="DW335" s="2521"/>
      <c r="DX335" s="305"/>
      <c r="DY335" s="249"/>
      <c r="DZ335" s="221"/>
      <c r="EA335" s="388"/>
      <c r="EB335" s="249"/>
      <c r="EC335" s="216"/>
      <c r="ED335" s="1461"/>
      <c r="EE335" s="249"/>
      <c r="EF335" s="216"/>
      <c r="EG335" s="355"/>
      <c r="EH335" s="1425"/>
      <c r="EI335" s="1470"/>
      <c r="EJ335" s="249"/>
      <c r="EK335" s="221"/>
      <c r="EL335" s="313"/>
      <c r="EM335" s="249"/>
      <c r="EN335" s="221"/>
      <c r="EO335" s="313"/>
      <c r="EP335" s="249"/>
      <c r="EQ335" s="216"/>
      <c r="ER335" s="313"/>
      <c r="ES335" s="249"/>
      <c r="ET335" s="216"/>
      <c r="EU335" s="313"/>
      <c r="EV335" s="249"/>
      <c r="EW335" s="216"/>
      <c r="EX335" s="2505"/>
      <c r="EY335" s="249"/>
      <c r="EZ335" s="221"/>
      <c r="FA335" s="313"/>
      <c r="FB335" s="249"/>
      <c r="FC335" s="221"/>
      <c r="FD335" s="313"/>
      <c r="FE335" s="249"/>
      <c r="FF335" s="221"/>
      <c r="FG335" s="313"/>
      <c r="FH335" s="249"/>
      <c r="FI335" s="216"/>
      <c r="FJ335" s="1435"/>
      <c r="FK335" s="216"/>
      <c r="FL335" s="1268"/>
      <c r="FM335" s="1655"/>
      <c r="FN335" s="1268"/>
      <c r="FO335" s="1655"/>
      <c r="FP335" s="1268"/>
      <c r="FQ335" s="1656"/>
      <c r="FR335" s="249"/>
      <c r="FS335" s="216"/>
      <c r="FT335" s="1657"/>
      <c r="FU335" s="1658"/>
      <c r="FV335" s="242"/>
      <c r="FW335" s="343"/>
      <c r="FX335" s="222"/>
      <c r="FY335" s="336"/>
      <c r="FZ335" s="223"/>
      <c r="GA335" s="338"/>
      <c r="GB335" s="204"/>
      <c r="GC335" s="339"/>
      <c r="GD335" s="342"/>
      <c r="GE335" s="199"/>
      <c r="GF335" s="199"/>
      <c r="GG335" s="199"/>
      <c r="GH335" s="199"/>
      <c r="GI335" s="199"/>
      <c r="GJ335" s="199"/>
      <c r="GK335" s="199"/>
      <c r="GO335" s="322"/>
      <c r="GP335" s="1190"/>
      <c r="GQ335" s="1190"/>
      <c r="GS335" s="2879"/>
      <c r="GT335" s="2880"/>
      <c r="GU335" s="2881"/>
    </row>
    <row r="336" spans="1:203" ht="12" customHeight="1">
      <c r="A336" s="1252"/>
      <c r="B336" s="200"/>
      <c r="C336" s="486"/>
      <c r="T336" s="1186"/>
      <c r="U336" s="233"/>
      <c r="W336" s="218"/>
      <c r="X336" s="218"/>
      <c r="Y336" s="216"/>
      <c r="Z336" s="216"/>
      <c r="AA336" s="215"/>
      <c r="AB336" s="216"/>
      <c r="AC336" s="216"/>
      <c r="AD336" s="239"/>
      <c r="AE336" s="216"/>
      <c r="AF336" s="216"/>
      <c r="AG336" s="216"/>
      <c r="AH336" s="216"/>
      <c r="AI336" s="216"/>
      <c r="AJ336" s="216"/>
      <c r="AK336" s="239"/>
      <c r="AL336" s="216"/>
      <c r="AM336" s="216"/>
      <c r="AN336" s="216"/>
      <c r="AO336" s="216"/>
      <c r="AP336" s="216"/>
      <c r="AQ336" s="216"/>
      <c r="AR336" s="216"/>
      <c r="AS336" s="216"/>
      <c r="AT336" s="216"/>
      <c r="AU336" s="216"/>
      <c r="AV336" s="217"/>
      <c r="AW336" s="355"/>
      <c r="AX336" s="217"/>
      <c r="AY336" s="1559"/>
      <c r="AZ336" s="249"/>
      <c r="BA336" s="221"/>
      <c r="BB336" s="300"/>
      <c r="BC336" s="217"/>
      <c r="BD336" s="392"/>
      <c r="BE336" s="1244"/>
      <c r="BF336" s="249"/>
      <c r="BG336" s="252"/>
      <c r="BH336" s="1469"/>
      <c r="BI336" s="216"/>
      <c r="BJ336" s="1469"/>
      <c r="BK336" s="1459"/>
      <c r="BL336" s="260"/>
      <c r="BM336" s="214"/>
      <c r="BN336" s="293"/>
      <c r="BO336" s="217"/>
      <c r="BP336" s="355"/>
      <c r="BQ336" s="217"/>
      <c r="BR336" s="1193"/>
      <c r="BS336" s="249"/>
      <c r="BT336" s="216"/>
      <c r="BU336" s="1195"/>
      <c r="BV336" s="249"/>
      <c r="BW336" s="216"/>
      <c r="BX336" s="1195"/>
      <c r="BY336" s="249"/>
      <c r="BZ336" s="216"/>
      <c r="CA336" s="1195"/>
      <c r="CB336" s="249"/>
      <c r="CC336" s="216"/>
      <c r="CD336" s="1195"/>
      <c r="CE336" s="249"/>
      <c r="CF336" s="216"/>
      <c r="CG336" s="1195"/>
      <c r="CH336" s="249"/>
      <c r="CI336" s="216"/>
      <c r="CJ336" s="1195"/>
      <c r="CK336" s="249"/>
      <c r="CL336" s="216"/>
      <c r="CM336" s="1194"/>
      <c r="CN336" s="1524"/>
      <c r="CO336" s="217"/>
      <c r="CP336" s="1193"/>
      <c r="CQ336" s="293"/>
      <c r="CR336" s="217"/>
      <c r="CS336" s="305"/>
      <c r="CT336" s="249"/>
      <c r="CU336" s="216"/>
      <c r="CV336" s="1193"/>
      <c r="CW336" s="249"/>
      <c r="CX336" s="216"/>
      <c r="CY336" s="305"/>
      <c r="CZ336" s="249"/>
      <c r="DA336" s="216"/>
      <c r="DB336" s="307"/>
      <c r="DC336" s="328"/>
      <c r="DD336" s="322"/>
      <c r="DE336" s="305"/>
      <c r="DF336" s="249"/>
      <c r="DG336" s="216"/>
      <c r="DH336" s="305"/>
      <c r="DI336" s="249"/>
      <c r="DJ336" s="216"/>
      <c r="DK336" s="309"/>
      <c r="DL336" s="293"/>
      <c r="DM336" s="326"/>
      <c r="DN336" s="1256"/>
      <c r="DO336" s="214"/>
      <c r="DP336" s="1257"/>
      <c r="DQ336" s="1258"/>
      <c r="DR336" s="305"/>
      <c r="DS336" s="249"/>
      <c r="DT336" s="216"/>
      <c r="DU336" s="305"/>
      <c r="DV336" s="2520"/>
      <c r="DW336" s="2521"/>
      <c r="DX336" s="305"/>
      <c r="DY336" s="249"/>
      <c r="DZ336" s="221"/>
      <c r="EA336" s="388"/>
      <c r="EB336" s="249"/>
      <c r="EC336" s="216"/>
      <c r="ED336" s="1461"/>
      <c r="EE336" s="249"/>
      <c r="EF336" s="216"/>
      <c r="EG336" s="355"/>
      <c r="EH336" s="1425"/>
      <c r="EI336" s="1470"/>
      <c r="EJ336" s="249"/>
      <c r="EK336" s="221"/>
      <c r="EL336" s="313"/>
      <c r="EM336" s="249"/>
      <c r="EN336" s="221"/>
      <c r="EO336" s="313"/>
      <c r="EP336" s="249"/>
      <c r="EQ336" s="216"/>
      <c r="ER336" s="313"/>
      <c r="ES336" s="249"/>
      <c r="ET336" s="216"/>
      <c r="EU336" s="313"/>
      <c r="EV336" s="249"/>
      <c r="EW336" s="216"/>
      <c r="EX336" s="2505"/>
      <c r="EY336" s="249"/>
      <c r="EZ336" s="221"/>
      <c r="FA336" s="313"/>
      <c r="FB336" s="249"/>
      <c r="FC336" s="221"/>
      <c r="FD336" s="313"/>
      <c r="FE336" s="249"/>
      <c r="FF336" s="221"/>
      <c r="FG336" s="313"/>
      <c r="FH336" s="249"/>
      <c r="FI336" s="216"/>
      <c r="FJ336" s="1435"/>
      <c r="FK336" s="216"/>
      <c r="FL336" s="1268"/>
      <c r="FM336" s="1655"/>
      <c r="FN336" s="1268"/>
      <c r="FO336" s="1655"/>
      <c r="FP336" s="1268"/>
      <c r="FQ336" s="1656"/>
      <c r="FR336" s="249"/>
      <c r="FS336" s="216"/>
      <c r="FT336" s="1657"/>
      <c r="FU336" s="1658"/>
      <c r="FV336" s="242"/>
      <c r="FW336" s="343"/>
      <c r="FX336" s="222"/>
      <c r="FY336" s="336"/>
      <c r="FZ336" s="223"/>
      <c r="GA336" s="338"/>
      <c r="GB336" s="204"/>
      <c r="GC336" s="339"/>
      <c r="GD336" s="342"/>
      <c r="GE336" s="199"/>
      <c r="GF336" s="199"/>
      <c r="GG336" s="199"/>
      <c r="GH336" s="199"/>
      <c r="GI336" s="199"/>
      <c r="GJ336" s="199"/>
      <c r="GK336" s="199"/>
      <c r="GO336" s="322"/>
      <c r="GP336" s="1190"/>
      <c r="GQ336" s="1190"/>
      <c r="GS336" s="2879"/>
      <c r="GT336" s="2880"/>
      <c r="GU336" s="2881"/>
    </row>
    <row r="337" spans="1:203" ht="12" customHeight="1">
      <c r="A337" s="1252"/>
      <c r="B337" s="200"/>
      <c r="C337" s="486"/>
      <c r="T337" s="1186"/>
      <c r="U337" s="233"/>
      <c r="W337" s="218"/>
      <c r="X337" s="218"/>
      <c r="Y337" s="216"/>
      <c r="Z337" s="216"/>
      <c r="AA337" s="215"/>
      <c r="AB337" s="216"/>
      <c r="AC337" s="216"/>
      <c r="AD337" s="239"/>
      <c r="AE337" s="216"/>
      <c r="AF337" s="216"/>
      <c r="AG337" s="216"/>
      <c r="AH337" s="216"/>
      <c r="AI337" s="216"/>
      <c r="AJ337" s="216"/>
      <c r="AK337" s="239"/>
      <c r="AL337" s="216"/>
      <c r="AM337" s="216"/>
      <c r="AN337" s="216"/>
      <c r="AO337" s="216"/>
      <c r="AP337" s="216"/>
      <c r="AQ337" s="216"/>
      <c r="AR337" s="216"/>
      <c r="AS337" s="216"/>
      <c r="AT337" s="216"/>
      <c r="AU337" s="216"/>
      <c r="AV337" s="217"/>
      <c r="AW337" s="355"/>
      <c r="AX337" s="217"/>
      <c r="AY337" s="1559"/>
      <c r="AZ337" s="249"/>
      <c r="BA337" s="221"/>
      <c r="BB337" s="300"/>
      <c r="BC337" s="217"/>
      <c r="BD337" s="392"/>
      <c r="BE337" s="1244"/>
      <c r="BF337" s="249"/>
      <c r="BG337" s="252"/>
      <c r="BH337" s="1469"/>
      <c r="BI337" s="216"/>
      <c r="BJ337" s="1469"/>
      <c r="BK337" s="1459"/>
      <c r="BL337" s="260"/>
      <c r="BM337" s="214"/>
      <c r="BN337" s="293"/>
      <c r="BO337" s="217"/>
      <c r="BP337" s="355"/>
      <c r="BQ337" s="217"/>
      <c r="BR337" s="1193"/>
      <c r="BS337" s="249"/>
      <c r="BT337" s="216"/>
      <c r="BU337" s="1195"/>
      <c r="BV337" s="249"/>
      <c r="BW337" s="216"/>
      <c r="BX337" s="1195"/>
      <c r="BY337" s="249"/>
      <c r="BZ337" s="216"/>
      <c r="CA337" s="1195"/>
      <c r="CB337" s="249"/>
      <c r="CC337" s="216"/>
      <c r="CD337" s="1195"/>
      <c r="CE337" s="249"/>
      <c r="CF337" s="216"/>
      <c r="CG337" s="1195"/>
      <c r="CH337" s="249"/>
      <c r="CI337" s="216"/>
      <c r="CJ337" s="1195"/>
      <c r="CK337" s="249"/>
      <c r="CL337" s="216"/>
      <c r="CM337" s="1194"/>
      <c r="CN337" s="1524"/>
      <c r="CO337" s="217"/>
      <c r="CP337" s="1193"/>
      <c r="CQ337" s="293"/>
      <c r="CR337" s="217"/>
      <c r="CS337" s="305"/>
      <c r="CT337" s="249"/>
      <c r="CU337" s="216"/>
      <c r="CV337" s="1193"/>
      <c r="CW337" s="249"/>
      <c r="CX337" s="216"/>
      <c r="CY337" s="305"/>
      <c r="CZ337" s="249"/>
      <c r="DA337" s="216"/>
      <c r="DB337" s="307"/>
      <c r="DC337" s="328"/>
      <c r="DD337" s="322"/>
      <c r="DE337" s="305"/>
      <c r="DF337" s="249"/>
      <c r="DG337" s="216"/>
      <c r="DH337" s="305"/>
      <c r="DI337" s="249"/>
      <c r="DJ337" s="216"/>
      <c r="DK337" s="309"/>
      <c r="DL337" s="293"/>
      <c r="DM337" s="326"/>
      <c r="DN337" s="1256"/>
      <c r="DO337" s="214"/>
      <c r="DP337" s="1257"/>
      <c r="DQ337" s="1258"/>
      <c r="DR337" s="305"/>
      <c r="DS337" s="249"/>
      <c r="DT337" s="216"/>
      <c r="DU337" s="305"/>
      <c r="DV337" s="2520"/>
      <c r="DW337" s="2521"/>
      <c r="DX337" s="305"/>
      <c r="DY337" s="249"/>
      <c r="DZ337" s="221"/>
      <c r="EA337" s="388"/>
      <c r="EB337" s="249"/>
      <c r="EC337" s="216"/>
      <c r="ED337" s="1461"/>
      <c r="EE337" s="249"/>
      <c r="EF337" s="216"/>
      <c r="EG337" s="355"/>
      <c r="EH337" s="1425"/>
      <c r="EI337" s="1470"/>
      <c r="EJ337" s="249"/>
      <c r="EK337" s="221"/>
      <c r="EL337" s="313"/>
      <c r="EM337" s="249"/>
      <c r="EN337" s="221"/>
      <c r="EO337" s="313"/>
      <c r="EP337" s="249"/>
      <c r="EQ337" s="216"/>
      <c r="ER337" s="313"/>
      <c r="ES337" s="249"/>
      <c r="ET337" s="216"/>
      <c r="EU337" s="313"/>
      <c r="EV337" s="249"/>
      <c r="EW337" s="216"/>
      <c r="EX337" s="2505"/>
      <c r="EY337" s="249"/>
      <c r="EZ337" s="221"/>
      <c r="FA337" s="313"/>
      <c r="FB337" s="249"/>
      <c r="FC337" s="221"/>
      <c r="FD337" s="313"/>
      <c r="FE337" s="249"/>
      <c r="FF337" s="221"/>
      <c r="FG337" s="313"/>
      <c r="FH337" s="249"/>
      <c r="FI337" s="216"/>
      <c r="FJ337" s="1435"/>
      <c r="FK337" s="216"/>
      <c r="FL337" s="1268"/>
      <c r="FM337" s="1655"/>
      <c r="FN337" s="1268"/>
      <c r="FO337" s="1655"/>
      <c r="FP337" s="1268"/>
      <c r="FQ337" s="1656"/>
      <c r="FR337" s="249"/>
      <c r="FS337" s="216"/>
      <c r="FT337" s="1657"/>
      <c r="FU337" s="1658"/>
      <c r="FV337" s="242"/>
      <c r="FW337" s="343"/>
      <c r="FX337" s="222"/>
      <c r="FY337" s="336"/>
      <c r="FZ337" s="223"/>
      <c r="GA337" s="338"/>
      <c r="GB337" s="204"/>
      <c r="GC337" s="339"/>
      <c r="GD337" s="342"/>
      <c r="GE337" s="199"/>
      <c r="GF337" s="199"/>
      <c r="GG337" s="199"/>
      <c r="GH337" s="199"/>
      <c r="GI337" s="199"/>
      <c r="GJ337" s="199"/>
      <c r="GK337" s="199"/>
      <c r="GO337" s="322"/>
      <c r="GP337" s="1190"/>
      <c r="GQ337" s="1190"/>
      <c r="GS337" s="2879"/>
      <c r="GT337" s="2880"/>
      <c r="GU337" s="2881"/>
    </row>
    <row r="338" spans="1:203" ht="12" customHeight="1">
      <c r="A338" s="1252"/>
      <c r="B338" s="200"/>
      <c r="C338" s="486"/>
      <c r="T338" s="1186"/>
      <c r="U338" s="233"/>
      <c r="W338" s="218"/>
      <c r="X338" s="218"/>
      <c r="Y338" s="216"/>
      <c r="Z338" s="216"/>
      <c r="AA338" s="215"/>
      <c r="AB338" s="216"/>
      <c r="AC338" s="216"/>
      <c r="AD338" s="239"/>
      <c r="AE338" s="216"/>
      <c r="AF338" s="216"/>
      <c r="AG338" s="216"/>
      <c r="AH338" s="216"/>
      <c r="AI338" s="216"/>
      <c r="AJ338" s="216"/>
      <c r="AK338" s="239"/>
      <c r="AL338" s="216"/>
      <c r="AM338" s="216"/>
      <c r="AN338" s="216"/>
      <c r="AO338" s="216"/>
      <c r="AP338" s="216"/>
      <c r="AQ338" s="216"/>
      <c r="AR338" s="216"/>
      <c r="AS338" s="216"/>
      <c r="AT338" s="216"/>
      <c r="AU338" s="216"/>
      <c r="AV338" s="217"/>
      <c r="AW338" s="355"/>
      <c r="AX338" s="217"/>
      <c r="AY338" s="1559"/>
      <c r="AZ338" s="249"/>
      <c r="BA338" s="221"/>
      <c r="BB338" s="300"/>
      <c r="BC338" s="217"/>
      <c r="BD338" s="392"/>
      <c r="BE338" s="1244"/>
      <c r="BF338" s="249"/>
      <c r="BG338" s="252"/>
      <c r="BH338" s="1469"/>
      <c r="BI338" s="216"/>
      <c r="BJ338" s="1469"/>
      <c r="BK338" s="1459"/>
      <c r="BL338" s="260"/>
      <c r="BM338" s="214"/>
      <c r="BN338" s="293"/>
      <c r="BO338" s="217"/>
      <c r="BP338" s="355"/>
      <c r="BQ338" s="217"/>
      <c r="BR338" s="1193"/>
      <c r="BS338" s="249"/>
      <c r="BT338" s="216"/>
      <c r="BU338" s="1195"/>
      <c r="BV338" s="249"/>
      <c r="BW338" s="216"/>
      <c r="BX338" s="1195"/>
      <c r="BY338" s="249"/>
      <c r="BZ338" s="216"/>
      <c r="CA338" s="1195"/>
      <c r="CB338" s="249"/>
      <c r="CC338" s="216"/>
      <c r="CD338" s="1195"/>
      <c r="CE338" s="249"/>
      <c r="CF338" s="216"/>
      <c r="CG338" s="1195"/>
      <c r="CH338" s="249"/>
      <c r="CI338" s="216"/>
      <c r="CJ338" s="1195"/>
      <c r="CK338" s="249"/>
      <c r="CL338" s="216"/>
      <c r="CM338" s="1194"/>
      <c r="CN338" s="1524"/>
      <c r="CO338" s="217"/>
      <c r="CP338" s="1193"/>
      <c r="CQ338" s="293"/>
      <c r="CR338" s="217"/>
      <c r="CS338" s="305"/>
      <c r="CT338" s="249"/>
      <c r="CU338" s="216"/>
      <c r="CV338" s="1193"/>
      <c r="CW338" s="249"/>
      <c r="CX338" s="216"/>
      <c r="CY338" s="305"/>
      <c r="CZ338" s="249"/>
      <c r="DA338" s="216"/>
      <c r="DB338" s="307"/>
      <c r="DC338" s="328"/>
      <c r="DD338" s="322"/>
      <c r="DE338" s="305"/>
      <c r="DF338" s="249"/>
      <c r="DG338" s="216"/>
      <c r="DH338" s="305"/>
      <c r="DI338" s="249"/>
      <c r="DJ338" s="216"/>
      <c r="DK338" s="309"/>
      <c r="DL338" s="293"/>
      <c r="DM338" s="326"/>
      <c r="DN338" s="1256"/>
      <c r="DO338" s="214"/>
      <c r="DP338" s="1257"/>
      <c r="DQ338" s="1258"/>
      <c r="DR338" s="305"/>
      <c r="DS338" s="249"/>
      <c r="DT338" s="216"/>
      <c r="DU338" s="305"/>
      <c r="DV338" s="2520"/>
      <c r="DW338" s="2521"/>
      <c r="DX338" s="305"/>
      <c r="DY338" s="249"/>
      <c r="DZ338" s="221"/>
      <c r="EA338" s="388"/>
      <c r="EB338" s="249"/>
      <c r="EC338" s="216"/>
      <c r="ED338" s="1461"/>
      <c r="EE338" s="249"/>
      <c r="EF338" s="216"/>
      <c r="EG338" s="355"/>
      <c r="EH338" s="1425"/>
      <c r="EI338" s="1470"/>
      <c r="EJ338" s="249"/>
      <c r="EK338" s="221"/>
      <c r="EL338" s="313"/>
      <c r="EM338" s="249"/>
      <c r="EN338" s="221"/>
      <c r="EO338" s="313"/>
      <c r="EP338" s="249"/>
      <c r="EQ338" s="216"/>
      <c r="ER338" s="313"/>
      <c r="ES338" s="249"/>
      <c r="ET338" s="216"/>
      <c r="EU338" s="313"/>
      <c r="EV338" s="249"/>
      <c r="EW338" s="216"/>
      <c r="EX338" s="2505"/>
      <c r="EY338" s="249"/>
      <c r="EZ338" s="221"/>
      <c r="FA338" s="313"/>
      <c r="FB338" s="249"/>
      <c r="FC338" s="221"/>
      <c r="FD338" s="313"/>
      <c r="FE338" s="249"/>
      <c r="FF338" s="221"/>
      <c r="FG338" s="313"/>
      <c r="FH338" s="249"/>
      <c r="FI338" s="216"/>
      <c r="FJ338" s="1435"/>
      <c r="FK338" s="216"/>
      <c r="FL338" s="1268"/>
      <c r="FM338" s="1655"/>
      <c r="FN338" s="1268"/>
      <c r="FO338" s="1655"/>
      <c r="FP338" s="1268"/>
      <c r="FQ338" s="1656"/>
      <c r="FR338" s="249"/>
      <c r="FS338" s="216"/>
      <c r="FT338" s="1657"/>
      <c r="FU338" s="1658"/>
      <c r="FV338" s="242"/>
      <c r="FW338" s="343"/>
      <c r="FX338" s="222"/>
      <c r="FY338" s="336"/>
      <c r="FZ338" s="223"/>
      <c r="GA338" s="338"/>
      <c r="GB338" s="204"/>
      <c r="GC338" s="339"/>
      <c r="GD338" s="342"/>
      <c r="GE338" s="199"/>
      <c r="GF338" s="199"/>
      <c r="GG338" s="199"/>
      <c r="GH338" s="199"/>
      <c r="GI338" s="199"/>
      <c r="GJ338" s="199"/>
      <c r="GK338" s="199"/>
      <c r="GO338" s="322"/>
      <c r="GP338" s="1190"/>
      <c r="GQ338" s="1190"/>
      <c r="GS338" s="2879"/>
      <c r="GT338" s="2880"/>
      <c r="GU338" s="2881"/>
    </row>
    <row r="339" spans="1:203" ht="12" customHeight="1">
      <c r="A339" s="1252"/>
      <c r="B339" s="200"/>
      <c r="C339" s="486"/>
      <c r="T339" s="1186"/>
      <c r="U339" s="233"/>
      <c r="W339" s="218"/>
      <c r="X339" s="218"/>
      <c r="Y339" s="216"/>
      <c r="Z339" s="216"/>
      <c r="AA339" s="215"/>
      <c r="AB339" s="216"/>
      <c r="AC339" s="216"/>
      <c r="AD339" s="239"/>
      <c r="AE339" s="216"/>
      <c r="AF339" s="216"/>
      <c r="AG339" s="216"/>
      <c r="AH339" s="216"/>
      <c r="AI339" s="216"/>
      <c r="AJ339" s="216"/>
      <c r="AK339" s="239"/>
      <c r="AL339" s="216"/>
      <c r="AM339" s="216"/>
      <c r="AN339" s="216"/>
      <c r="AO339" s="216"/>
      <c r="AP339" s="216"/>
      <c r="AQ339" s="216"/>
      <c r="AR339" s="216"/>
      <c r="AS339" s="216"/>
      <c r="AT339" s="216"/>
      <c r="AU339" s="216"/>
      <c r="AV339" s="217"/>
      <c r="AW339" s="355"/>
      <c r="AX339" s="217"/>
      <c r="AY339" s="1559"/>
      <c r="AZ339" s="249"/>
      <c r="BA339" s="221"/>
      <c r="BB339" s="300"/>
      <c r="BC339" s="217"/>
      <c r="BD339" s="392"/>
      <c r="BE339" s="1244"/>
      <c r="BF339" s="249"/>
      <c r="BG339" s="252"/>
      <c r="BH339" s="1469"/>
      <c r="BI339" s="216"/>
      <c r="BJ339" s="1469"/>
      <c r="BK339" s="1459"/>
      <c r="BL339" s="260"/>
      <c r="BM339" s="214"/>
      <c r="BN339" s="293"/>
      <c r="BO339" s="217"/>
      <c r="BP339" s="355"/>
      <c r="BQ339" s="217"/>
      <c r="BR339" s="1193"/>
      <c r="BS339" s="249"/>
      <c r="BT339" s="216"/>
      <c r="BU339" s="1195"/>
      <c r="BV339" s="249"/>
      <c r="BW339" s="216"/>
      <c r="BX339" s="1195"/>
      <c r="BY339" s="249"/>
      <c r="BZ339" s="216"/>
      <c r="CA339" s="1195"/>
      <c r="CB339" s="249"/>
      <c r="CC339" s="216"/>
      <c r="CD339" s="1195"/>
      <c r="CE339" s="249"/>
      <c r="CF339" s="216"/>
      <c r="CG339" s="1195"/>
      <c r="CH339" s="249"/>
      <c r="CI339" s="216"/>
      <c r="CJ339" s="1195"/>
      <c r="CK339" s="249"/>
      <c r="CL339" s="216"/>
      <c r="CM339" s="1194"/>
      <c r="CN339" s="1524"/>
      <c r="CO339" s="217"/>
      <c r="CP339" s="1193"/>
      <c r="CQ339" s="293"/>
      <c r="CR339" s="217"/>
      <c r="CS339" s="305"/>
      <c r="CT339" s="249"/>
      <c r="CU339" s="216"/>
      <c r="CV339" s="1193"/>
      <c r="CW339" s="249"/>
      <c r="CX339" s="216"/>
      <c r="CY339" s="305"/>
      <c r="CZ339" s="249"/>
      <c r="DA339" s="216"/>
      <c r="DB339" s="307"/>
      <c r="DC339" s="328"/>
      <c r="DD339" s="322"/>
      <c r="DE339" s="305"/>
      <c r="DF339" s="249"/>
      <c r="DG339" s="216"/>
      <c r="DH339" s="305"/>
      <c r="DI339" s="249"/>
      <c r="DJ339" s="216"/>
      <c r="DK339" s="309"/>
      <c r="DL339" s="293"/>
      <c r="DM339" s="326"/>
      <c r="DN339" s="1256"/>
      <c r="DO339" s="214"/>
      <c r="DP339" s="1257"/>
      <c r="DQ339" s="1258"/>
      <c r="DR339" s="305"/>
      <c r="DS339" s="249"/>
      <c r="DT339" s="216"/>
      <c r="DU339" s="305"/>
      <c r="DV339" s="2520"/>
      <c r="DW339" s="2521"/>
      <c r="DX339" s="305"/>
      <c r="DY339" s="249"/>
      <c r="DZ339" s="221"/>
      <c r="EA339" s="388"/>
      <c r="EB339" s="249"/>
      <c r="EC339" s="216"/>
      <c r="ED339" s="1461"/>
      <c r="EE339" s="249"/>
      <c r="EF339" s="216"/>
      <c r="EG339" s="355"/>
      <c r="EH339" s="1425"/>
      <c r="EI339" s="1470"/>
      <c r="EJ339" s="249"/>
      <c r="EK339" s="221"/>
      <c r="EL339" s="313"/>
      <c r="EM339" s="249"/>
      <c r="EN339" s="221"/>
      <c r="EO339" s="313"/>
      <c r="EP339" s="249"/>
      <c r="EQ339" s="216"/>
      <c r="ER339" s="313"/>
      <c r="ES339" s="249"/>
      <c r="ET339" s="216"/>
      <c r="EU339" s="313"/>
      <c r="EV339" s="249"/>
      <c r="EW339" s="216"/>
      <c r="EX339" s="2505"/>
      <c r="EY339" s="249"/>
      <c r="EZ339" s="221"/>
      <c r="FA339" s="313"/>
      <c r="FB339" s="249"/>
      <c r="FC339" s="221"/>
      <c r="FD339" s="313"/>
      <c r="FE339" s="249"/>
      <c r="FF339" s="221"/>
      <c r="FG339" s="313"/>
      <c r="FH339" s="249"/>
      <c r="FI339" s="216"/>
      <c r="FJ339" s="1435"/>
      <c r="FK339" s="216"/>
      <c r="FL339" s="1268"/>
      <c r="FM339" s="1655"/>
      <c r="FN339" s="1268"/>
      <c r="FO339" s="1655"/>
      <c r="FP339" s="1268"/>
      <c r="FQ339" s="1656"/>
      <c r="FR339" s="249"/>
      <c r="FS339" s="216"/>
      <c r="FT339" s="1657"/>
      <c r="FU339" s="1658"/>
      <c r="FV339" s="242"/>
      <c r="FW339" s="343"/>
      <c r="FX339" s="222"/>
      <c r="FY339" s="336"/>
      <c r="FZ339" s="223"/>
      <c r="GA339" s="338"/>
      <c r="GB339" s="204"/>
      <c r="GC339" s="339"/>
      <c r="GD339" s="342"/>
      <c r="GE339" s="199"/>
      <c r="GF339" s="199"/>
      <c r="GG339" s="199"/>
      <c r="GH339" s="199"/>
      <c r="GI339" s="199"/>
      <c r="GJ339" s="199"/>
      <c r="GK339" s="199"/>
      <c r="GO339" s="322"/>
      <c r="GP339" s="1190"/>
      <c r="GQ339" s="1190"/>
      <c r="GS339" s="2879"/>
      <c r="GT339" s="2880"/>
      <c r="GU339" s="2881"/>
    </row>
    <row r="340" spans="1:203" ht="12" customHeight="1">
      <c r="A340" s="1252"/>
      <c r="B340" s="200"/>
      <c r="C340" s="486"/>
      <c r="T340" s="1186"/>
      <c r="U340" s="233"/>
      <c r="W340" s="218"/>
      <c r="X340" s="218"/>
      <c r="Y340" s="216"/>
      <c r="Z340" s="216"/>
      <c r="AA340" s="215"/>
      <c r="AB340" s="216"/>
      <c r="AC340" s="216"/>
      <c r="AD340" s="239"/>
      <c r="AE340" s="216"/>
      <c r="AF340" s="216"/>
      <c r="AG340" s="216"/>
      <c r="AH340" s="216"/>
      <c r="AI340" s="216"/>
      <c r="AJ340" s="216"/>
      <c r="AK340" s="239"/>
      <c r="AL340" s="216"/>
      <c r="AM340" s="216"/>
      <c r="AN340" s="216"/>
      <c r="AO340" s="216"/>
      <c r="AP340" s="216"/>
      <c r="AQ340" s="216"/>
      <c r="AR340" s="216"/>
      <c r="AS340" s="216"/>
      <c r="AT340" s="216"/>
      <c r="AU340" s="216"/>
      <c r="AV340" s="217"/>
      <c r="AW340" s="355"/>
      <c r="AX340" s="217"/>
      <c r="AY340" s="1559"/>
      <c r="AZ340" s="249"/>
      <c r="BA340" s="221"/>
      <c r="BB340" s="300"/>
      <c r="BC340" s="217"/>
      <c r="BD340" s="392"/>
      <c r="BE340" s="1244"/>
      <c r="BF340" s="249"/>
      <c r="BG340" s="252"/>
      <c r="BH340" s="1469"/>
      <c r="BI340" s="216"/>
      <c r="BJ340" s="1469"/>
      <c r="BK340" s="1459"/>
      <c r="BL340" s="260"/>
      <c r="BM340" s="214"/>
      <c r="BN340" s="293"/>
      <c r="BO340" s="217"/>
      <c r="BP340" s="355"/>
      <c r="BQ340" s="217"/>
      <c r="BR340" s="1193"/>
      <c r="BS340" s="249"/>
      <c r="BT340" s="216"/>
      <c r="BU340" s="1195"/>
      <c r="BV340" s="249"/>
      <c r="BW340" s="216"/>
      <c r="BX340" s="1195"/>
      <c r="BY340" s="249"/>
      <c r="BZ340" s="216"/>
      <c r="CA340" s="1195"/>
      <c r="CB340" s="249"/>
      <c r="CC340" s="216"/>
      <c r="CD340" s="1195"/>
      <c r="CE340" s="249"/>
      <c r="CF340" s="216"/>
      <c r="CG340" s="1195"/>
      <c r="CH340" s="249"/>
      <c r="CI340" s="216"/>
      <c r="CJ340" s="1195"/>
      <c r="CK340" s="249"/>
      <c r="CL340" s="216"/>
      <c r="CM340" s="1194"/>
      <c r="CN340" s="1524"/>
      <c r="CO340" s="217"/>
      <c r="CP340" s="1193"/>
      <c r="CQ340" s="293"/>
      <c r="CR340" s="217"/>
      <c r="CS340" s="305"/>
      <c r="CT340" s="249"/>
      <c r="CU340" s="216"/>
      <c r="CV340" s="1193"/>
      <c r="CW340" s="249"/>
      <c r="CX340" s="216"/>
      <c r="CY340" s="305"/>
      <c r="CZ340" s="249"/>
      <c r="DA340" s="216"/>
      <c r="DB340" s="307"/>
      <c r="DC340" s="328"/>
      <c r="DD340" s="322"/>
      <c r="DE340" s="305"/>
      <c r="DF340" s="249"/>
      <c r="DG340" s="216"/>
      <c r="DH340" s="305"/>
      <c r="DI340" s="249"/>
      <c r="DJ340" s="216"/>
      <c r="DK340" s="309"/>
      <c r="DL340" s="293"/>
      <c r="DM340" s="326"/>
      <c r="DN340" s="1256"/>
      <c r="DO340" s="214"/>
      <c r="DP340" s="1257"/>
      <c r="DQ340" s="1258"/>
      <c r="DR340" s="305"/>
      <c r="DS340" s="249"/>
      <c r="DT340" s="216"/>
      <c r="DU340" s="305"/>
      <c r="DV340" s="2520"/>
      <c r="DW340" s="2521"/>
      <c r="DX340" s="305"/>
      <c r="DY340" s="249"/>
      <c r="DZ340" s="221"/>
      <c r="EA340" s="388"/>
      <c r="EB340" s="249"/>
      <c r="EC340" s="216"/>
      <c r="ED340" s="1461"/>
      <c r="EE340" s="249"/>
      <c r="EF340" s="216"/>
      <c r="EG340" s="355"/>
      <c r="EH340" s="1425"/>
      <c r="EI340" s="1470"/>
      <c r="EJ340" s="249"/>
      <c r="EK340" s="221"/>
      <c r="EL340" s="313"/>
      <c r="EM340" s="249"/>
      <c r="EN340" s="221"/>
      <c r="EO340" s="313"/>
      <c r="EP340" s="249"/>
      <c r="EQ340" s="216"/>
      <c r="ER340" s="313"/>
      <c r="ES340" s="249"/>
      <c r="ET340" s="216"/>
      <c r="EU340" s="313"/>
      <c r="EV340" s="249"/>
      <c r="EW340" s="216"/>
      <c r="EX340" s="2505"/>
      <c r="EY340" s="249"/>
      <c r="EZ340" s="221"/>
      <c r="FA340" s="313"/>
      <c r="FB340" s="249"/>
      <c r="FC340" s="221"/>
      <c r="FD340" s="313"/>
      <c r="FE340" s="249"/>
      <c r="FF340" s="221"/>
      <c r="FG340" s="313"/>
      <c r="FH340" s="249"/>
      <c r="FI340" s="216"/>
      <c r="FJ340" s="1435"/>
      <c r="FK340" s="216"/>
      <c r="FL340" s="1268"/>
      <c r="FM340" s="1655"/>
      <c r="FN340" s="1268"/>
      <c r="FO340" s="1655"/>
      <c r="FP340" s="1268"/>
      <c r="FQ340" s="1656"/>
      <c r="FR340" s="249"/>
      <c r="FS340" s="216"/>
      <c r="FT340" s="1657"/>
      <c r="FU340" s="1658"/>
      <c r="FV340" s="242"/>
      <c r="FW340" s="343"/>
      <c r="FX340" s="222"/>
      <c r="FY340" s="336"/>
      <c r="FZ340" s="223"/>
      <c r="GA340" s="338"/>
      <c r="GB340" s="204"/>
      <c r="GC340" s="339"/>
      <c r="GD340" s="342"/>
      <c r="GE340" s="199"/>
      <c r="GF340" s="199"/>
      <c r="GG340" s="199"/>
      <c r="GH340" s="199"/>
      <c r="GI340" s="199"/>
      <c r="GJ340" s="199"/>
      <c r="GK340" s="199"/>
      <c r="GO340" s="322"/>
      <c r="GP340" s="1190"/>
      <c r="GQ340" s="1190"/>
      <c r="GS340" s="2879"/>
      <c r="GT340" s="2880"/>
      <c r="GU340" s="2881"/>
    </row>
    <row r="341" spans="1:203" ht="12" customHeight="1">
      <c r="A341" s="1252"/>
      <c r="B341" s="200"/>
      <c r="C341" s="486"/>
      <c r="T341" s="1186"/>
      <c r="U341" s="233"/>
      <c r="W341" s="218"/>
      <c r="X341" s="218"/>
      <c r="Y341" s="216"/>
      <c r="Z341" s="216"/>
      <c r="AA341" s="215"/>
      <c r="AB341" s="216"/>
      <c r="AC341" s="216"/>
      <c r="AD341" s="239"/>
      <c r="AE341" s="216"/>
      <c r="AF341" s="216"/>
      <c r="AG341" s="216"/>
      <c r="AH341" s="216"/>
      <c r="AI341" s="216"/>
      <c r="AJ341" s="216"/>
      <c r="AK341" s="239"/>
      <c r="AL341" s="216"/>
      <c r="AM341" s="216"/>
      <c r="AN341" s="216"/>
      <c r="AO341" s="216"/>
      <c r="AP341" s="216"/>
      <c r="AQ341" s="216"/>
      <c r="AR341" s="216"/>
      <c r="AS341" s="216"/>
      <c r="AT341" s="216"/>
      <c r="AU341" s="216"/>
      <c r="AV341" s="217"/>
      <c r="AW341" s="355"/>
      <c r="AX341" s="217"/>
      <c r="AY341" s="1559"/>
      <c r="AZ341" s="249"/>
      <c r="BA341" s="221"/>
      <c r="BB341" s="300"/>
      <c r="BC341" s="217"/>
      <c r="BD341" s="392"/>
      <c r="BE341" s="1244"/>
      <c r="BF341" s="249"/>
      <c r="BG341" s="252"/>
      <c r="BH341" s="1469"/>
      <c r="BI341" s="216"/>
      <c r="BJ341" s="1469"/>
      <c r="BK341" s="1459"/>
      <c r="BL341" s="260"/>
      <c r="BM341" s="214"/>
      <c r="BN341" s="293"/>
      <c r="BO341" s="217"/>
      <c r="BP341" s="355"/>
      <c r="BQ341" s="217"/>
      <c r="BR341" s="1193"/>
      <c r="BS341" s="249"/>
      <c r="BT341" s="216"/>
      <c r="BU341" s="1195"/>
      <c r="BV341" s="249"/>
      <c r="BW341" s="216"/>
      <c r="BX341" s="1195"/>
      <c r="BY341" s="249"/>
      <c r="BZ341" s="216"/>
      <c r="CA341" s="1195"/>
      <c r="CB341" s="249"/>
      <c r="CC341" s="216"/>
      <c r="CD341" s="1195"/>
      <c r="CE341" s="249"/>
      <c r="CF341" s="216"/>
      <c r="CG341" s="1195"/>
      <c r="CH341" s="249"/>
      <c r="CI341" s="216"/>
      <c r="CJ341" s="1195"/>
      <c r="CK341" s="249"/>
      <c r="CL341" s="216"/>
      <c r="CM341" s="1194"/>
      <c r="CN341" s="1524"/>
      <c r="CO341" s="217"/>
      <c r="CP341" s="1193"/>
      <c r="CQ341" s="293"/>
      <c r="CR341" s="217"/>
      <c r="CS341" s="305"/>
      <c r="CT341" s="249"/>
      <c r="CU341" s="216"/>
      <c r="CV341" s="1193"/>
      <c r="CW341" s="249"/>
      <c r="CX341" s="216"/>
      <c r="CY341" s="305"/>
      <c r="CZ341" s="249"/>
      <c r="DA341" s="216"/>
      <c r="DB341" s="307"/>
      <c r="DC341" s="328"/>
      <c r="DD341" s="322"/>
      <c r="DE341" s="305"/>
      <c r="DF341" s="249"/>
      <c r="DG341" s="216"/>
      <c r="DH341" s="305"/>
      <c r="DI341" s="249"/>
      <c r="DJ341" s="216"/>
      <c r="DK341" s="309"/>
      <c r="DL341" s="293"/>
      <c r="DM341" s="326"/>
      <c r="DN341" s="1256"/>
      <c r="DO341" s="214"/>
      <c r="DP341" s="1257"/>
      <c r="DQ341" s="1258"/>
      <c r="DR341" s="305"/>
      <c r="DS341" s="249"/>
      <c r="DT341" s="216"/>
      <c r="DU341" s="305"/>
      <c r="DV341" s="2520"/>
      <c r="DW341" s="2521"/>
      <c r="DX341" s="305"/>
      <c r="DY341" s="249"/>
      <c r="DZ341" s="221"/>
      <c r="EA341" s="388"/>
      <c r="EB341" s="249"/>
      <c r="EC341" s="216"/>
      <c r="ED341" s="1461"/>
      <c r="EE341" s="249"/>
      <c r="EF341" s="216"/>
      <c r="EG341" s="355"/>
      <c r="EH341" s="1425"/>
      <c r="EI341" s="1470"/>
      <c r="EJ341" s="249"/>
      <c r="EK341" s="221"/>
      <c r="EL341" s="313"/>
      <c r="EM341" s="249"/>
      <c r="EN341" s="221"/>
      <c r="EO341" s="313"/>
      <c r="EP341" s="249"/>
      <c r="EQ341" s="216"/>
      <c r="ER341" s="313"/>
      <c r="ES341" s="249"/>
      <c r="ET341" s="216"/>
      <c r="EU341" s="313"/>
      <c r="EV341" s="249"/>
      <c r="EW341" s="216"/>
      <c r="EX341" s="2505"/>
      <c r="EY341" s="249"/>
      <c r="EZ341" s="221"/>
      <c r="FA341" s="313"/>
      <c r="FB341" s="249"/>
      <c r="FC341" s="221"/>
      <c r="FD341" s="313"/>
      <c r="FE341" s="249"/>
      <c r="FF341" s="221"/>
      <c r="FG341" s="313"/>
      <c r="FH341" s="249"/>
      <c r="FI341" s="216"/>
      <c r="FJ341" s="1435"/>
      <c r="FK341" s="216"/>
      <c r="FL341" s="1268"/>
      <c r="FM341" s="1655"/>
      <c r="FN341" s="1268"/>
      <c r="FO341" s="1655"/>
      <c r="FP341" s="1268"/>
      <c r="FQ341" s="1656"/>
      <c r="FR341" s="249"/>
      <c r="FS341" s="216"/>
      <c r="FT341" s="1657"/>
      <c r="FU341" s="1658"/>
      <c r="FV341" s="242"/>
      <c r="FW341" s="343"/>
      <c r="FX341" s="222"/>
      <c r="FY341" s="336"/>
      <c r="FZ341" s="223"/>
      <c r="GA341" s="338"/>
      <c r="GB341" s="204"/>
      <c r="GC341" s="339"/>
      <c r="GD341" s="342"/>
      <c r="GE341" s="199"/>
      <c r="GF341" s="199"/>
      <c r="GG341" s="199"/>
      <c r="GH341" s="199"/>
      <c r="GI341" s="199"/>
      <c r="GJ341" s="199"/>
      <c r="GK341" s="199"/>
      <c r="GO341" s="322"/>
      <c r="GP341" s="1190"/>
      <c r="GQ341" s="1190"/>
      <c r="GS341" s="2879"/>
      <c r="GT341" s="2880"/>
      <c r="GU341" s="2881"/>
    </row>
    <row r="342" spans="1:203" ht="12" customHeight="1">
      <c r="A342" s="1252"/>
      <c r="B342" s="200"/>
      <c r="C342" s="486"/>
      <c r="T342" s="1186"/>
      <c r="U342" s="233"/>
      <c r="W342" s="218"/>
      <c r="X342" s="218"/>
      <c r="Y342" s="216"/>
      <c r="Z342" s="216"/>
      <c r="AA342" s="215"/>
      <c r="AB342" s="216"/>
      <c r="AC342" s="216"/>
      <c r="AD342" s="239"/>
      <c r="AE342" s="216"/>
      <c r="AF342" s="216"/>
      <c r="AG342" s="216"/>
      <c r="AH342" s="216"/>
      <c r="AI342" s="216"/>
      <c r="AJ342" s="216"/>
      <c r="AK342" s="239"/>
      <c r="AL342" s="216"/>
      <c r="AM342" s="216"/>
      <c r="AN342" s="216"/>
      <c r="AO342" s="216"/>
      <c r="AP342" s="216"/>
      <c r="AQ342" s="216"/>
      <c r="AR342" s="216"/>
      <c r="AS342" s="216"/>
      <c r="AT342" s="216"/>
      <c r="AU342" s="216"/>
      <c r="AV342" s="217"/>
      <c r="AW342" s="355"/>
      <c r="AX342" s="217"/>
      <c r="AY342" s="1559"/>
      <c r="AZ342" s="249"/>
      <c r="BA342" s="221"/>
      <c r="BB342" s="300"/>
      <c r="BC342" s="217"/>
      <c r="BD342" s="392"/>
      <c r="BE342" s="1244"/>
      <c r="BF342" s="249"/>
      <c r="BG342" s="252"/>
      <c r="BH342" s="1469"/>
      <c r="BI342" s="216"/>
      <c r="BJ342" s="1469"/>
      <c r="BK342" s="1459"/>
      <c r="BL342" s="260"/>
      <c r="BM342" s="214"/>
      <c r="BN342" s="293"/>
      <c r="BO342" s="217"/>
      <c r="BP342" s="355"/>
      <c r="BQ342" s="217"/>
      <c r="BR342" s="1193"/>
      <c r="BS342" s="249"/>
      <c r="BT342" s="216"/>
      <c r="BU342" s="1195"/>
      <c r="BV342" s="249"/>
      <c r="BW342" s="216"/>
      <c r="BX342" s="1195"/>
      <c r="BY342" s="249"/>
      <c r="BZ342" s="216"/>
      <c r="CA342" s="1195"/>
      <c r="CB342" s="249"/>
      <c r="CC342" s="216"/>
      <c r="CD342" s="1195"/>
      <c r="CE342" s="249"/>
      <c r="CF342" s="216"/>
      <c r="CG342" s="1195"/>
      <c r="CH342" s="249"/>
      <c r="CI342" s="216"/>
      <c r="CJ342" s="1195"/>
      <c r="CK342" s="249"/>
      <c r="CL342" s="216"/>
      <c r="CM342" s="1194"/>
      <c r="CN342" s="1524"/>
      <c r="CO342" s="217"/>
      <c r="CP342" s="1193"/>
      <c r="CQ342" s="293"/>
      <c r="CR342" s="217"/>
      <c r="CS342" s="305"/>
      <c r="CT342" s="249"/>
      <c r="CU342" s="216"/>
      <c r="CV342" s="1193"/>
      <c r="CW342" s="249"/>
      <c r="CX342" s="216"/>
      <c r="CY342" s="305"/>
      <c r="CZ342" s="249"/>
      <c r="DA342" s="216"/>
      <c r="DB342" s="307"/>
      <c r="DC342" s="328"/>
      <c r="DD342" s="322"/>
      <c r="DE342" s="305"/>
      <c r="DF342" s="249"/>
      <c r="DG342" s="216"/>
      <c r="DH342" s="305"/>
      <c r="DI342" s="249"/>
      <c r="DJ342" s="216"/>
      <c r="DK342" s="309"/>
      <c r="DL342" s="293"/>
      <c r="DM342" s="326"/>
      <c r="DN342" s="1256"/>
      <c r="DO342" s="214"/>
      <c r="DP342" s="1257"/>
      <c r="DQ342" s="1258"/>
      <c r="DR342" s="305"/>
      <c r="DS342" s="249"/>
      <c r="DT342" s="216"/>
      <c r="DU342" s="305"/>
      <c r="DV342" s="2520"/>
      <c r="DW342" s="2521"/>
      <c r="DX342" s="305"/>
      <c r="DY342" s="249"/>
      <c r="DZ342" s="221"/>
      <c r="EA342" s="388"/>
      <c r="EB342" s="249"/>
      <c r="EC342" s="216"/>
      <c r="ED342" s="1461"/>
      <c r="EE342" s="249"/>
      <c r="EF342" s="216"/>
      <c r="EG342" s="355"/>
      <c r="EH342" s="1425"/>
      <c r="EI342" s="1470"/>
      <c r="EJ342" s="249"/>
      <c r="EK342" s="221"/>
      <c r="EL342" s="313"/>
      <c r="EM342" s="249"/>
      <c r="EN342" s="221"/>
      <c r="EO342" s="313"/>
      <c r="EP342" s="249"/>
      <c r="EQ342" s="216"/>
      <c r="ER342" s="313"/>
      <c r="ES342" s="249"/>
      <c r="ET342" s="216"/>
      <c r="EU342" s="313"/>
      <c r="EV342" s="249"/>
      <c r="EW342" s="216"/>
      <c r="EX342" s="2505"/>
      <c r="EY342" s="249"/>
      <c r="EZ342" s="221"/>
      <c r="FA342" s="313"/>
      <c r="FB342" s="249"/>
      <c r="FC342" s="221"/>
      <c r="FD342" s="313"/>
      <c r="FE342" s="249"/>
      <c r="FF342" s="221"/>
      <c r="FG342" s="313"/>
      <c r="FH342" s="249"/>
      <c r="FI342" s="216"/>
      <c r="FJ342" s="1435"/>
      <c r="FK342" s="216"/>
      <c r="FL342" s="1268"/>
      <c r="FM342" s="1655"/>
      <c r="FN342" s="1268"/>
      <c r="FO342" s="1655"/>
      <c r="FP342" s="1268"/>
      <c r="FQ342" s="1656"/>
      <c r="FR342" s="249"/>
      <c r="FS342" s="216"/>
      <c r="FT342" s="1657"/>
      <c r="FU342" s="1658"/>
      <c r="FV342" s="242"/>
      <c r="FW342" s="343"/>
      <c r="FX342" s="222"/>
      <c r="FY342" s="336"/>
      <c r="FZ342" s="223"/>
      <c r="GA342" s="338"/>
      <c r="GB342" s="204"/>
      <c r="GC342" s="339"/>
      <c r="GD342" s="342"/>
      <c r="GE342" s="199"/>
      <c r="GF342" s="199"/>
      <c r="GG342" s="199"/>
      <c r="GH342" s="199"/>
      <c r="GI342" s="199"/>
      <c r="GJ342" s="199"/>
      <c r="GK342" s="199"/>
      <c r="GO342" s="322"/>
      <c r="GP342" s="1190"/>
      <c r="GQ342" s="1190"/>
      <c r="GS342" s="2879"/>
      <c r="GT342" s="2880"/>
      <c r="GU342" s="2881"/>
    </row>
    <row r="343" spans="1:203" ht="12" customHeight="1">
      <c r="A343" s="1252"/>
      <c r="B343" s="200"/>
      <c r="C343" s="486"/>
      <c r="T343" s="1186"/>
      <c r="U343" s="233"/>
      <c r="W343" s="218"/>
      <c r="X343" s="218"/>
      <c r="Y343" s="216"/>
      <c r="Z343" s="216"/>
      <c r="AA343" s="215"/>
      <c r="AB343" s="216"/>
      <c r="AC343" s="216"/>
      <c r="AD343" s="239"/>
      <c r="AE343" s="216"/>
      <c r="AF343" s="216"/>
      <c r="AG343" s="216"/>
      <c r="AH343" s="216"/>
      <c r="AI343" s="216"/>
      <c r="AJ343" s="216"/>
      <c r="AK343" s="239"/>
      <c r="AL343" s="216"/>
      <c r="AM343" s="216"/>
      <c r="AN343" s="216"/>
      <c r="AO343" s="216"/>
      <c r="AP343" s="216"/>
      <c r="AQ343" s="216"/>
      <c r="AR343" s="216"/>
      <c r="AS343" s="216"/>
      <c r="AT343" s="216"/>
      <c r="AU343" s="216"/>
      <c r="AV343" s="217"/>
      <c r="AW343" s="355"/>
      <c r="AX343" s="217"/>
      <c r="AY343" s="1559"/>
      <c r="AZ343" s="249"/>
      <c r="BA343" s="221"/>
      <c r="BB343" s="300"/>
      <c r="BC343" s="217"/>
      <c r="BD343" s="392"/>
      <c r="BE343" s="1244"/>
      <c r="BF343" s="249"/>
      <c r="BG343" s="252"/>
      <c r="BH343" s="1469"/>
      <c r="BI343" s="216"/>
      <c r="BJ343" s="1469"/>
      <c r="BK343" s="1459"/>
      <c r="BL343" s="260"/>
      <c r="BM343" s="214"/>
      <c r="BN343" s="293"/>
      <c r="BO343" s="217"/>
      <c r="BP343" s="355"/>
      <c r="BQ343" s="217"/>
      <c r="BR343" s="1193"/>
      <c r="BS343" s="249"/>
      <c r="BT343" s="216"/>
      <c r="BU343" s="1195"/>
      <c r="BV343" s="249"/>
      <c r="BW343" s="216"/>
      <c r="BX343" s="1195"/>
      <c r="BY343" s="249"/>
      <c r="BZ343" s="216"/>
      <c r="CA343" s="1195"/>
      <c r="CB343" s="249"/>
      <c r="CC343" s="216"/>
      <c r="CD343" s="1195"/>
      <c r="CE343" s="249"/>
      <c r="CF343" s="216"/>
      <c r="CG343" s="1195"/>
      <c r="CH343" s="249"/>
      <c r="CI343" s="216"/>
      <c r="CJ343" s="1195"/>
      <c r="CK343" s="249"/>
      <c r="CL343" s="216"/>
      <c r="CM343" s="1194"/>
      <c r="CN343" s="1524"/>
      <c r="CO343" s="217"/>
      <c r="CP343" s="1193"/>
      <c r="CQ343" s="293"/>
      <c r="CR343" s="217"/>
      <c r="CS343" s="305"/>
      <c r="CT343" s="249"/>
      <c r="CU343" s="216"/>
      <c r="CV343" s="1193"/>
      <c r="CW343" s="249"/>
      <c r="CX343" s="216"/>
      <c r="CY343" s="305"/>
      <c r="CZ343" s="249"/>
      <c r="DA343" s="216"/>
      <c r="DB343" s="307"/>
      <c r="DC343" s="328"/>
      <c r="DD343" s="322"/>
      <c r="DE343" s="305"/>
      <c r="DF343" s="249"/>
      <c r="DG343" s="216"/>
      <c r="DH343" s="305"/>
      <c r="DI343" s="249"/>
      <c r="DJ343" s="216"/>
      <c r="DK343" s="309"/>
      <c r="DL343" s="293"/>
      <c r="DM343" s="326"/>
      <c r="DN343" s="1256"/>
      <c r="DO343" s="214"/>
      <c r="DP343" s="1257"/>
      <c r="DQ343" s="1258"/>
      <c r="DR343" s="305"/>
      <c r="DS343" s="249"/>
      <c r="DT343" s="216"/>
      <c r="DU343" s="305"/>
      <c r="DV343" s="2520"/>
      <c r="DW343" s="2521"/>
      <c r="DX343" s="305"/>
      <c r="DY343" s="249"/>
      <c r="DZ343" s="221"/>
      <c r="EA343" s="388"/>
      <c r="EB343" s="249"/>
      <c r="EC343" s="216"/>
      <c r="ED343" s="1461"/>
      <c r="EE343" s="249"/>
      <c r="EF343" s="216"/>
      <c r="EG343" s="355"/>
      <c r="EH343" s="1425"/>
      <c r="EI343" s="1470"/>
      <c r="EJ343" s="249"/>
      <c r="EK343" s="221"/>
      <c r="EL343" s="313"/>
      <c r="EM343" s="249"/>
      <c r="EN343" s="221"/>
      <c r="EO343" s="313"/>
      <c r="EP343" s="249"/>
      <c r="EQ343" s="216"/>
      <c r="ER343" s="313"/>
      <c r="ES343" s="249"/>
      <c r="ET343" s="216"/>
      <c r="EU343" s="313"/>
      <c r="EV343" s="249"/>
      <c r="EW343" s="216"/>
      <c r="EX343" s="2505"/>
      <c r="EY343" s="249"/>
      <c r="EZ343" s="221"/>
      <c r="FA343" s="313"/>
      <c r="FB343" s="249"/>
      <c r="FC343" s="221"/>
      <c r="FD343" s="313"/>
      <c r="FE343" s="249"/>
      <c r="FF343" s="221"/>
      <c r="FG343" s="313"/>
      <c r="FH343" s="249"/>
      <c r="FI343" s="216"/>
      <c r="FJ343" s="1435"/>
      <c r="FK343" s="216"/>
      <c r="FL343" s="1268"/>
      <c r="FM343" s="1655"/>
      <c r="FN343" s="1268"/>
      <c r="FO343" s="1655"/>
      <c r="FP343" s="1268"/>
      <c r="FQ343" s="1656"/>
      <c r="FR343" s="249"/>
      <c r="FS343" s="216"/>
      <c r="FT343" s="1657"/>
      <c r="FU343" s="1658"/>
      <c r="FV343" s="242"/>
      <c r="FW343" s="343"/>
      <c r="FX343" s="222"/>
      <c r="FY343" s="336"/>
      <c r="FZ343" s="223"/>
      <c r="GA343" s="338"/>
      <c r="GB343" s="204"/>
      <c r="GC343" s="339"/>
      <c r="GD343" s="342"/>
      <c r="GE343" s="199"/>
      <c r="GF343" s="199"/>
      <c r="GG343" s="199"/>
      <c r="GH343" s="199"/>
      <c r="GI343" s="199"/>
      <c r="GJ343" s="199"/>
      <c r="GK343" s="199"/>
      <c r="GO343" s="322"/>
      <c r="GP343" s="1190"/>
      <c r="GQ343" s="1190"/>
      <c r="GS343" s="2879"/>
      <c r="GT343" s="2880"/>
      <c r="GU343" s="2881"/>
    </row>
    <row r="344" spans="1:203" ht="12" customHeight="1">
      <c r="A344" s="1252"/>
      <c r="B344" s="200"/>
      <c r="C344" s="486"/>
      <c r="T344" s="1186"/>
      <c r="U344" s="233"/>
      <c r="W344" s="218"/>
      <c r="X344" s="218"/>
      <c r="Y344" s="216"/>
      <c r="Z344" s="216"/>
      <c r="AA344" s="215"/>
      <c r="AB344" s="216"/>
      <c r="AC344" s="216"/>
      <c r="AD344" s="239"/>
      <c r="AE344" s="216"/>
      <c r="AF344" s="216"/>
      <c r="AG344" s="216"/>
      <c r="AH344" s="216"/>
      <c r="AI344" s="216"/>
      <c r="AJ344" s="216"/>
      <c r="AK344" s="239"/>
      <c r="AL344" s="216"/>
      <c r="AM344" s="216"/>
      <c r="AN344" s="216"/>
      <c r="AO344" s="216"/>
      <c r="AP344" s="216"/>
      <c r="AQ344" s="216"/>
      <c r="AR344" s="216"/>
      <c r="AS344" s="216"/>
      <c r="AT344" s="216"/>
      <c r="AU344" s="216"/>
      <c r="AV344" s="217"/>
      <c r="AW344" s="355"/>
      <c r="AX344" s="217"/>
      <c r="AY344" s="1559"/>
      <c r="AZ344" s="249"/>
      <c r="BA344" s="221"/>
      <c r="BB344" s="300"/>
      <c r="BC344" s="217"/>
      <c r="BD344" s="392"/>
      <c r="BE344" s="1244"/>
      <c r="BF344" s="249"/>
      <c r="BG344" s="252"/>
      <c r="BH344" s="1469"/>
      <c r="BI344" s="216"/>
      <c r="BJ344" s="1469"/>
      <c r="BK344" s="1459"/>
      <c r="BL344" s="260"/>
      <c r="BM344" s="214"/>
      <c r="BN344" s="293"/>
      <c r="BO344" s="217"/>
      <c r="BP344" s="355"/>
      <c r="BQ344" s="217"/>
      <c r="BR344" s="1193"/>
      <c r="BS344" s="249"/>
      <c r="BT344" s="216"/>
      <c r="BU344" s="1195"/>
      <c r="BV344" s="249"/>
      <c r="BW344" s="216"/>
      <c r="BX344" s="1195"/>
      <c r="BY344" s="249"/>
      <c r="BZ344" s="216"/>
      <c r="CA344" s="1195"/>
      <c r="CB344" s="249"/>
      <c r="CC344" s="216"/>
      <c r="CD344" s="1195"/>
      <c r="CE344" s="249"/>
      <c r="CF344" s="216"/>
      <c r="CG344" s="1195"/>
      <c r="CH344" s="249"/>
      <c r="CI344" s="216"/>
      <c r="CJ344" s="1195"/>
      <c r="CK344" s="249"/>
      <c r="CL344" s="216"/>
      <c r="CM344" s="1194"/>
      <c r="CN344" s="1524"/>
      <c r="CO344" s="217"/>
      <c r="CP344" s="1193"/>
      <c r="CQ344" s="293"/>
      <c r="CR344" s="217"/>
      <c r="CS344" s="305"/>
      <c r="CT344" s="249"/>
      <c r="CU344" s="216"/>
      <c r="CV344" s="1193"/>
      <c r="CW344" s="249"/>
      <c r="CX344" s="216"/>
      <c r="CY344" s="305"/>
      <c r="CZ344" s="249"/>
      <c r="DA344" s="216"/>
      <c r="DB344" s="307"/>
      <c r="DC344" s="328"/>
      <c r="DD344" s="322"/>
      <c r="DE344" s="305"/>
      <c r="DF344" s="249"/>
      <c r="DG344" s="216"/>
      <c r="DH344" s="305"/>
      <c r="DI344" s="249"/>
      <c r="DJ344" s="216"/>
      <c r="DK344" s="309"/>
      <c r="DL344" s="293"/>
      <c r="DM344" s="326"/>
      <c r="DN344" s="1256"/>
      <c r="DO344" s="214"/>
      <c r="DP344" s="1257"/>
      <c r="DQ344" s="1258"/>
      <c r="DR344" s="305"/>
      <c r="DS344" s="249"/>
      <c r="DT344" s="216"/>
      <c r="DU344" s="305"/>
      <c r="DV344" s="2520"/>
      <c r="DW344" s="2521"/>
      <c r="DX344" s="305"/>
      <c r="DY344" s="249"/>
      <c r="DZ344" s="221"/>
      <c r="EA344" s="388"/>
      <c r="EB344" s="249"/>
      <c r="EC344" s="216"/>
      <c r="ED344" s="1461"/>
      <c r="EE344" s="249"/>
      <c r="EF344" s="216"/>
      <c r="EG344" s="355"/>
      <c r="EH344" s="1425"/>
      <c r="EI344" s="1470"/>
      <c r="EJ344" s="249"/>
      <c r="EK344" s="221"/>
      <c r="EL344" s="313"/>
      <c r="EM344" s="249"/>
      <c r="EN344" s="221"/>
      <c r="EO344" s="313"/>
      <c r="EP344" s="249"/>
      <c r="EQ344" s="216"/>
      <c r="ER344" s="313"/>
      <c r="ES344" s="249"/>
      <c r="ET344" s="216"/>
      <c r="EU344" s="313"/>
      <c r="EV344" s="249"/>
      <c r="EW344" s="216"/>
      <c r="EX344" s="2505"/>
      <c r="EY344" s="249"/>
      <c r="EZ344" s="221"/>
      <c r="FA344" s="313"/>
      <c r="FB344" s="249"/>
      <c r="FC344" s="221"/>
      <c r="FD344" s="313"/>
      <c r="FE344" s="249"/>
      <c r="FF344" s="221"/>
      <c r="FG344" s="313"/>
      <c r="FH344" s="249"/>
      <c r="FI344" s="216"/>
      <c r="FJ344" s="1435"/>
      <c r="FK344" s="216"/>
      <c r="FL344" s="1268"/>
      <c r="FM344" s="1655"/>
      <c r="FN344" s="1268"/>
      <c r="FO344" s="1655"/>
      <c r="FP344" s="1268"/>
      <c r="FQ344" s="1656"/>
      <c r="FR344" s="249"/>
      <c r="FS344" s="216"/>
      <c r="FT344" s="1657"/>
      <c r="FU344" s="1658"/>
      <c r="FV344" s="242"/>
      <c r="FW344" s="343"/>
      <c r="FX344" s="222"/>
      <c r="FY344" s="336"/>
      <c r="FZ344" s="223"/>
      <c r="GA344" s="338"/>
      <c r="GB344" s="204"/>
      <c r="GC344" s="339"/>
      <c r="GD344" s="342"/>
      <c r="GE344" s="199"/>
      <c r="GF344" s="199"/>
      <c r="GG344" s="199"/>
      <c r="GH344" s="199"/>
      <c r="GI344" s="199"/>
      <c r="GJ344" s="199"/>
      <c r="GK344" s="199"/>
      <c r="GO344" s="322"/>
      <c r="GP344" s="1190"/>
      <c r="GQ344" s="1190"/>
      <c r="GS344" s="2879"/>
      <c r="GT344" s="2880"/>
      <c r="GU344" s="2881"/>
    </row>
    <row r="345" spans="1:203" ht="12" customHeight="1">
      <c r="A345" s="1252"/>
      <c r="B345" s="200"/>
      <c r="C345" s="486"/>
      <c r="T345" s="1186"/>
      <c r="U345" s="233"/>
      <c r="W345" s="218"/>
      <c r="X345" s="218"/>
      <c r="Y345" s="216"/>
      <c r="Z345" s="216"/>
      <c r="AA345" s="215"/>
      <c r="AB345" s="216"/>
      <c r="AC345" s="216"/>
      <c r="AD345" s="239"/>
      <c r="AE345" s="216"/>
      <c r="AF345" s="216"/>
      <c r="AG345" s="216"/>
      <c r="AH345" s="216"/>
      <c r="AI345" s="216"/>
      <c r="AJ345" s="216"/>
      <c r="AK345" s="239"/>
      <c r="AL345" s="216"/>
      <c r="AM345" s="216"/>
      <c r="AN345" s="216"/>
      <c r="AO345" s="216"/>
      <c r="AP345" s="216"/>
      <c r="AQ345" s="216"/>
      <c r="AR345" s="216"/>
      <c r="AS345" s="216"/>
      <c r="AT345" s="216"/>
      <c r="AU345" s="216"/>
      <c r="AV345" s="217"/>
      <c r="AW345" s="355"/>
      <c r="AX345" s="217"/>
      <c r="AY345" s="1559"/>
      <c r="AZ345" s="249"/>
      <c r="BA345" s="221"/>
      <c r="BB345" s="300"/>
      <c r="BC345" s="217"/>
      <c r="BD345" s="392"/>
      <c r="BE345" s="1244"/>
      <c r="BF345" s="249"/>
      <c r="BG345" s="252"/>
      <c r="BH345" s="1469"/>
      <c r="BI345" s="216"/>
      <c r="BJ345" s="1469"/>
      <c r="BK345" s="1459"/>
      <c r="BL345" s="260"/>
      <c r="BM345" s="214"/>
      <c r="BN345" s="293"/>
      <c r="BO345" s="217"/>
      <c r="BP345" s="355"/>
      <c r="BQ345" s="217"/>
      <c r="BR345" s="1193"/>
      <c r="BS345" s="249"/>
      <c r="BT345" s="216"/>
      <c r="BU345" s="1195"/>
      <c r="BV345" s="249"/>
      <c r="BW345" s="216"/>
      <c r="BX345" s="1195"/>
      <c r="BY345" s="249"/>
      <c r="BZ345" s="216"/>
      <c r="CA345" s="1195"/>
      <c r="CB345" s="249"/>
      <c r="CC345" s="216"/>
      <c r="CD345" s="1195"/>
      <c r="CE345" s="249"/>
      <c r="CF345" s="216"/>
      <c r="CG345" s="1195"/>
      <c r="CH345" s="249"/>
      <c r="CI345" s="216"/>
      <c r="CJ345" s="1195"/>
      <c r="CK345" s="249"/>
      <c r="CL345" s="216"/>
      <c r="CM345" s="1194"/>
      <c r="CN345" s="1524"/>
      <c r="CO345" s="217"/>
      <c r="CP345" s="1193"/>
      <c r="CQ345" s="293"/>
      <c r="CR345" s="217"/>
      <c r="CS345" s="305"/>
      <c r="CT345" s="249"/>
      <c r="CU345" s="216"/>
      <c r="CV345" s="1193"/>
      <c r="CW345" s="249"/>
      <c r="CX345" s="216"/>
      <c r="CY345" s="305"/>
      <c r="CZ345" s="249"/>
      <c r="DA345" s="216"/>
      <c r="DB345" s="307"/>
      <c r="DC345" s="328"/>
      <c r="DD345" s="322"/>
      <c r="DE345" s="305"/>
      <c r="DF345" s="249"/>
      <c r="DG345" s="216"/>
      <c r="DH345" s="305"/>
      <c r="DI345" s="249"/>
      <c r="DJ345" s="216"/>
      <c r="DK345" s="309"/>
      <c r="DL345" s="293"/>
      <c r="DM345" s="326"/>
      <c r="DN345" s="1256"/>
      <c r="DO345" s="214"/>
      <c r="DP345" s="1257"/>
      <c r="DQ345" s="1258"/>
      <c r="DR345" s="305"/>
      <c r="DS345" s="249"/>
      <c r="DT345" s="216"/>
      <c r="DU345" s="305"/>
      <c r="DV345" s="2520"/>
      <c r="DW345" s="2521"/>
      <c r="DX345" s="305"/>
      <c r="DY345" s="249"/>
      <c r="DZ345" s="221"/>
      <c r="EA345" s="388"/>
      <c r="EB345" s="249"/>
      <c r="EC345" s="216"/>
      <c r="ED345" s="1461"/>
      <c r="EE345" s="249"/>
      <c r="EF345" s="216"/>
      <c r="EG345" s="355"/>
      <c r="EH345" s="1425"/>
      <c r="EI345" s="1470"/>
      <c r="EJ345" s="249"/>
      <c r="EK345" s="221"/>
      <c r="EL345" s="313"/>
      <c r="EM345" s="249"/>
      <c r="EN345" s="221"/>
      <c r="EO345" s="313"/>
      <c r="EP345" s="249"/>
      <c r="EQ345" s="216"/>
      <c r="ER345" s="313"/>
      <c r="ES345" s="249"/>
      <c r="ET345" s="216"/>
      <c r="EU345" s="313"/>
      <c r="EV345" s="249"/>
      <c r="EW345" s="216"/>
      <c r="EX345" s="2505"/>
      <c r="EY345" s="249"/>
      <c r="EZ345" s="221"/>
      <c r="FA345" s="313"/>
      <c r="FB345" s="249"/>
      <c r="FC345" s="221"/>
      <c r="FD345" s="313"/>
      <c r="FE345" s="249"/>
      <c r="FF345" s="221"/>
      <c r="FG345" s="313"/>
      <c r="FH345" s="249"/>
      <c r="FI345" s="216"/>
      <c r="FJ345" s="1435"/>
      <c r="FK345" s="216"/>
      <c r="FL345" s="1268"/>
      <c r="FM345" s="1655"/>
      <c r="FN345" s="1268"/>
      <c r="FO345" s="1655"/>
      <c r="FP345" s="1268"/>
      <c r="FQ345" s="1656"/>
      <c r="FR345" s="249"/>
      <c r="FS345" s="216"/>
      <c r="FT345" s="1657"/>
      <c r="FU345" s="1658"/>
      <c r="FV345" s="242"/>
      <c r="FW345" s="343"/>
      <c r="FX345" s="222"/>
      <c r="FY345" s="336"/>
      <c r="FZ345" s="223"/>
      <c r="GA345" s="338"/>
      <c r="GB345" s="204"/>
      <c r="GC345" s="339"/>
      <c r="GD345" s="342"/>
      <c r="GE345" s="199"/>
      <c r="GF345" s="199"/>
      <c r="GG345" s="199"/>
      <c r="GH345" s="199"/>
      <c r="GI345" s="199"/>
      <c r="GJ345" s="199"/>
      <c r="GK345" s="199"/>
      <c r="GO345" s="322"/>
      <c r="GP345" s="1190"/>
      <c r="GQ345" s="1190"/>
      <c r="GS345" s="2879"/>
      <c r="GT345" s="2880"/>
      <c r="GU345" s="2881"/>
    </row>
    <row r="346" spans="1:203" ht="12" customHeight="1">
      <c r="A346" s="1252"/>
      <c r="B346" s="200"/>
      <c r="C346" s="486"/>
      <c r="T346" s="1186"/>
      <c r="U346" s="233"/>
      <c r="W346" s="218"/>
      <c r="X346" s="218"/>
      <c r="Y346" s="216"/>
      <c r="Z346" s="216"/>
      <c r="AA346" s="215"/>
      <c r="AB346" s="216"/>
      <c r="AC346" s="216"/>
      <c r="AD346" s="239"/>
      <c r="AE346" s="216"/>
      <c r="AF346" s="216"/>
      <c r="AG346" s="216"/>
      <c r="AH346" s="216"/>
      <c r="AI346" s="216"/>
      <c r="AJ346" s="216"/>
      <c r="AK346" s="239"/>
      <c r="AL346" s="216"/>
      <c r="AM346" s="216"/>
      <c r="AN346" s="216"/>
      <c r="AO346" s="216"/>
      <c r="AP346" s="216"/>
      <c r="AQ346" s="216"/>
      <c r="AR346" s="216"/>
      <c r="AS346" s="216"/>
      <c r="AT346" s="216"/>
      <c r="AU346" s="216"/>
      <c r="AV346" s="217"/>
      <c r="AW346" s="355"/>
      <c r="AX346" s="217"/>
      <c r="AY346" s="1559"/>
      <c r="AZ346" s="249"/>
      <c r="BA346" s="221"/>
      <c r="BB346" s="300"/>
      <c r="BC346" s="217"/>
      <c r="BD346" s="392"/>
      <c r="BE346" s="1244"/>
      <c r="BF346" s="249"/>
      <c r="BG346" s="252"/>
      <c r="BH346" s="1469"/>
      <c r="BI346" s="216"/>
      <c r="BJ346" s="1469"/>
      <c r="BK346" s="1459"/>
      <c r="BL346" s="260"/>
      <c r="BM346" s="214"/>
      <c r="BN346" s="293"/>
      <c r="BO346" s="217"/>
      <c r="BP346" s="355"/>
      <c r="BQ346" s="217"/>
      <c r="BR346" s="1193"/>
      <c r="BS346" s="249"/>
      <c r="BT346" s="216"/>
      <c r="BU346" s="1195"/>
      <c r="BV346" s="249"/>
      <c r="BW346" s="216"/>
      <c r="BX346" s="1195"/>
      <c r="BY346" s="249"/>
      <c r="BZ346" s="216"/>
      <c r="CA346" s="1195"/>
      <c r="CB346" s="249"/>
      <c r="CC346" s="216"/>
      <c r="CD346" s="1195"/>
      <c r="CE346" s="249"/>
      <c r="CF346" s="216"/>
      <c r="CG346" s="1195"/>
      <c r="CH346" s="249"/>
      <c r="CI346" s="216"/>
      <c r="CJ346" s="1195"/>
      <c r="CK346" s="249"/>
      <c r="CL346" s="216"/>
      <c r="CM346" s="1194"/>
      <c r="CN346" s="1524"/>
      <c r="CO346" s="217"/>
      <c r="CP346" s="1193"/>
      <c r="CQ346" s="293"/>
      <c r="CR346" s="217"/>
      <c r="CS346" s="305"/>
      <c r="CT346" s="249"/>
      <c r="CU346" s="216"/>
      <c r="CV346" s="1193"/>
      <c r="CW346" s="249"/>
      <c r="CX346" s="216"/>
      <c r="CY346" s="305"/>
      <c r="CZ346" s="249"/>
      <c r="DA346" s="216"/>
      <c r="DB346" s="307"/>
      <c r="DC346" s="328"/>
      <c r="DD346" s="322"/>
      <c r="DE346" s="305"/>
      <c r="DF346" s="249"/>
      <c r="DG346" s="216"/>
      <c r="DH346" s="305"/>
      <c r="DI346" s="249"/>
      <c r="DJ346" s="216"/>
      <c r="DK346" s="309"/>
      <c r="DL346" s="293"/>
      <c r="DM346" s="326"/>
      <c r="DN346" s="1256"/>
      <c r="DO346" s="214"/>
      <c r="DP346" s="1257"/>
      <c r="DQ346" s="1258"/>
      <c r="DR346" s="305"/>
      <c r="DS346" s="249"/>
      <c r="DT346" s="216"/>
      <c r="DU346" s="305"/>
      <c r="DV346" s="2520"/>
      <c r="DW346" s="2521"/>
      <c r="DX346" s="305"/>
      <c r="DY346" s="249"/>
      <c r="DZ346" s="221"/>
      <c r="EA346" s="388"/>
      <c r="EB346" s="249"/>
      <c r="EC346" s="216"/>
      <c r="ED346" s="1461"/>
      <c r="EE346" s="249"/>
      <c r="EF346" s="216"/>
      <c r="EG346" s="355"/>
      <c r="EH346" s="1425"/>
      <c r="EI346" s="1470"/>
      <c r="EJ346" s="249"/>
      <c r="EK346" s="221"/>
      <c r="EL346" s="313"/>
      <c r="EM346" s="249"/>
      <c r="EN346" s="221"/>
      <c r="EO346" s="313"/>
      <c r="EP346" s="249"/>
      <c r="EQ346" s="216"/>
      <c r="ER346" s="313"/>
      <c r="ES346" s="249"/>
      <c r="ET346" s="216"/>
      <c r="EU346" s="313"/>
      <c r="EV346" s="249"/>
      <c r="EW346" s="216"/>
      <c r="EX346" s="2505"/>
      <c r="EY346" s="249"/>
      <c r="EZ346" s="221"/>
      <c r="FA346" s="313"/>
      <c r="FB346" s="249"/>
      <c r="FC346" s="221"/>
      <c r="FD346" s="313"/>
      <c r="FE346" s="249"/>
      <c r="FF346" s="221"/>
      <c r="FG346" s="313"/>
      <c r="FH346" s="249"/>
      <c r="FI346" s="216"/>
      <c r="FJ346" s="1435"/>
      <c r="FK346" s="216"/>
      <c r="FL346" s="1268"/>
      <c r="FM346" s="1655"/>
      <c r="FN346" s="1268"/>
      <c r="FO346" s="1655"/>
      <c r="FP346" s="1268"/>
      <c r="FQ346" s="1656"/>
      <c r="FR346" s="249"/>
      <c r="FS346" s="216"/>
      <c r="FT346" s="1657"/>
      <c r="FU346" s="1658"/>
      <c r="FV346" s="242"/>
      <c r="FW346" s="343"/>
      <c r="FX346" s="222"/>
      <c r="FY346" s="336"/>
      <c r="FZ346" s="223"/>
      <c r="GA346" s="338"/>
      <c r="GB346" s="204"/>
      <c r="GC346" s="339"/>
      <c r="GD346" s="342"/>
      <c r="GE346" s="199"/>
      <c r="GF346" s="199"/>
      <c r="GG346" s="199"/>
      <c r="GH346" s="199"/>
      <c r="GI346" s="199"/>
      <c r="GJ346" s="199"/>
      <c r="GK346" s="199"/>
      <c r="GO346" s="322"/>
      <c r="GP346" s="1190"/>
      <c r="GQ346" s="1190"/>
      <c r="GS346" s="2879"/>
      <c r="GT346" s="2880"/>
      <c r="GU346" s="2881"/>
    </row>
    <row r="347" spans="1:203" ht="12" customHeight="1">
      <c r="A347" s="1252"/>
      <c r="B347" s="200"/>
      <c r="C347" s="486"/>
      <c r="T347" s="1186"/>
      <c r="U347" s="233"/>
      <c r="W347" s="218"/>
      <c r="X347" s="218"/>
      <c r="Y347" s="216"/>
      <c r="Z347" s="216"/>
      <c r="AA347" s="215"/>
      <c r="AB347" s="216"/>
      <c r="AC347" s="216"/>
      <c r="AD347" s="239"/>
      <c r="AE347" s="216"/>
      <c r="AF347" s="216"/>
      <c r="AG347" s="216"/>
      <c r="AH347" s="216"/>
      <c r="AI347" s="216"/>
      <c r="AJ347" s="216"/>
      <c r="AK347" s="239"/>
      <c r="AL347" s="216"/>
      <c r="AM347" s="216"/>
      <c r="AN347" s="216"/>
      <c r="AO347" s="216"/>
      <c r="AP347" s="216"/>
      <c r="AQ347" s="216"/>
      <c r="AR347" s="216"/>
      <c r="AS347" s="216"/>
      <c r="AT347" s="216"/>
      <c r="AU347" s="216"/>
      <c r="AV347" s="217"/>
      <c r="AW347" s="355"/>
      <c r="AX347" s="217"/>
      <c r="AY347" s="1559"/>
      <c r="AZ347" s="249"/>
      <c r="BA347" s="221"/>
      <c r="BB347" s="300"/>
      <c r="BC347" s="217"/>
      <c r="BD347" s="392"/>
      <c r="BE347" s="1244"/>
      <c r="BF347" s="249"/>
      <c r="BG347" s="252"/>
      <c r="BH347" s="1469"/>
      <c r="BI347" s="216"/>
      <c r="BJ347" s="1469"/>
      <c r="BK347" s="1459"/>
      <c r="BL347" s="260"/>
      <c r="BM347" s="214"/>
      <c r="BN347" s="293"/>
      <c r="BO347" s="217"/>
      <c r="BP347" s="355"/>
      <c r="BQ347" s="217"/>
      <c r="BR347" s="1193"/>
      <c r="BS347" s="249"/>
      <c r="BT347" s="216"/>
      <c r="BU347" s="1195"/>
      <c r="BV347" s="249"/>
      <c r="BW347" s="216"/>
      <c r="BX347" s="1195"/>
      <c r="BY347" s="249"/>
      <c r="BZ347" s="216"/>
      <c r="CA347" s="1195"/>
      <c r="CB347" s="249"/>
      <c r="CC347" s="216"/>
      <c r="CD347" s="1195"/>
      <c r="CE347" s="249"/>
      <c r="CF347" s="216"/>
      <c r="CG347" s="1195"/>
      <c r="CH347" s="249"/>
      <c r="CI347" s="216"/>
      <c r="CJ347" s="1195"/>
      <c r="CK347" s="249"/>
      <c r="CL347" s="216"/>
      <c r="CM347" s="1194"/>
      <c r="CN347" s="1524"/>
      <c r="CO347" s="217"/>
      <c r="CP347" s="1193"/>
      <c r="CQ347" s="293"/>
      <c r="CR347" s="217"/>
      <c r="CS347" s="305"/>
      <c r="CT347" s="249"/>
      <c r="CU347" s="216"/>
      <c r="CV347" s="1193"/>
      <c r="CW347" s="249"/>
      <c r="CX347" s="216"/>
      <c r="CY347" s="305"/>
      <c r="CZ347" s="249"/>
      <c r="DA347" s="216"/>
      <c r="DB347" s="307"/>
      <c r="DC347" s="328"/>
      <c r="DD347" s="322"/>
      <c r="DE347" s="305"/>
      <c r="DF347" s="249"/>
      <c r="DG347" s="216"/>
      <c r="DH347" s="305"/>
      <c r="DI347" s="249"/>
      <c r="DJ347" s="216"/>
      <c r="DK347" s="309"/>
      <c r="DL347" s="293"/>
      <c r="DM347" s="326"/>
      <c r="DN347" s="1256"/>
      <c r="DO347" s="214"/>
      <c r="DP347" s="1257"/>
      <c r="DQ347" s="1258"/>
      <c r="DR347" s="305"/>
      <c r="DS347" s="249"/>
      <c r="DT347" s="216"/>
      <c r="DU347" s="305"/>
      <c r="DV347" s="2520"/>
      <c r="DW347" s="2521"/>
      <c r="DX347" s="305"/>
      <c r="DY347" s="249"/>
      <c r="DZ347" s="221"/>
      <c r="EA347" s="388"/>
      <c r="EB347" s="249"/>
      <c r="EC347" s="216"/>
      <c r="ED347" s="1461"/>
      <c r="EE347" s="249"/>
      <c r="EF347" s="216"/>
      <c r="EG347" s="355"/>
      <c r="EH347" s="1425"/>
      <c r="EI347" s="1470"/>
      <c r="EJ347" s="249"/>
      <c r="EK347" s="221"/>
      <c r="EL347" s="313"/>
      <c r="EM347" s="249"/>
      <c r="EN347" s="221"/>
      <c r="EO347" s="313"/>
      <c r="EP347" s="249"/>
      <c r="EQ347" s="216"/>
      <c r="ER347" s="313"/>
      <c r="ES347" s="249"/>
      <c r="ET347" s="216"/>
      <c r="EU347" s="313"/>
      <c r="EV347" s="249"/>
      <c r="EW347" s="216"/>
      <c r="EX347" s="2505"/>
      <c r="EY347" s="249"/>
      <c r="EZ347" s="221"/>
      <c r="FA347" s="313"/>
      <c r="FB347" s="249"/>
      <c r="FC347" s="221"/>
      <c r="FD347" s="313"/>
      <c r="FE347" s="249"/>
      <c r="FF347" s="221"/>
      <c r="FG347" s="313"/>
      <c r="FH347" s="249"/>
      <c r="FI347" s="216"/>
      <c r="FJ347" s="1435"/>
      <c r="FK347" s="216"/>
      <c r="FL347" s="1268"/>
      <c r="FM347" s="1655"/>
      <c r="FN347" s="1268"/>
      <c r="FO347" s="1655"/>
      <c r="FP347" s="1268"/>
      <c r="FQ347" s="1656"/>
      <c r="FR347" s="249"/>
      <c r="FS347" s="216"/>
      <c r="FT347" s="1657"/>
      <c r="FU347" s="1658"/>
      <c r="FV347" s="242"/>
      <c r="FW347" s="343"/>
      <c r="FX347" s="222"/>
      <c r="FY347" s="336"/>
      <c r="FZ347" s="223"/>
      <c r="GA347" s="338"/>
      <c r="GB347" s="204"/>
      <c r="GC347" s="339"/>
      <c r="GD347" s="342"/>
      <c r="GE347" s="199"/>
      <c r="GF347" s="199"/>
      <c r="GG347" s="199"/>
      <c r="GH347" s="199"/>
      <c r="GI347" s="199"/>
      <c r="GJ347" s="199"/>
      <c r="GK347" s="199"/>
      <c r="GO347" s="322"/>
      <c r="GP347" s="1190"/>
      <c r="GQ347" s="1190"/>
      <c r="GS347" s="2879"/>
      <c r="GT347" s="2880"/>
      <c r="GU347" s="2881"/>
    </row>
    <row r="348" spans="1:203" ht="12" customHeight="1">
      <c r="A348" s="1252"/>
      <c r="B348" s="200"/>
      <c r="C348" s="486"/>
      <c r="T348" s="1186"/>
      <c r="U348" s="233"/>
      <c r="W348" s="218"/>
      <c r="X348" s="218"/>
      <c r="Y348" s="216"/>
      <c r="Z348" s="216"/>
      <c r="AA348" s="215"/>
      <c r="AB348" s="216"/>
      <c r="AC348" s="216"/>
      <c r="AD348" s="239"/>
      <c r="AE348" s="216"/>
      <c r="AF348" s="216"/>
      <c r="AG348" s="216"/>
      <c r="AH348" s="216"/>
      <c r="AI348" s="216"/>
      <c r="AJ348" s="216"/>
      <c r="AK348" s="239"/>
      <c r="AL348" s="216"/>
      <c r="AM348" s="216"/>
      <c r="AN348" s="216"/>
      <c r="AO348" s="216"/>
      <c r="AP348" s="216"/>
      <c r="AQ348" s="216"/>
      <c r="AR348" s="216"/>
      <c r="AS348" s="216"/>
      <c r="AT348" s="216"/>
      <c r="AU348" s="216"/>
      <c r="AV348" s="217"/>
      <c r="AW348" s="355"/>
      <c r="AX348" s="217"/>
      <c r="AY348" s="1559"/>
      <c r="AZ348" s="249"/>
      <c r="BA348" s="221"/>
      <c r="BB348" s="300"/>
      <c r="BC348" s="217"/>
      <c r="BD348" s="392"/>
      <c r="BE348" s="1244"/>
      <c r="BF348" s="249"/>
      <c r="BG348" s="252"/>
      <c r="BH348" s="1469"/>
      <c r="BI348" s="216"/>
      <c r="BJ348" s="1469"/>
      <c r="BK348" s="1459"/>
      <c r="BL348" s="260"/>
      <c r="BM348" s="214"/>
      <c r="BN348" s="293"/>
      <c r="BO348" s="217"/>
      <c r="BP348" s="355"/>
      <c r="BQ348" s="217"/>
      <c r="BR348" s="1193"/>
      <c r="BS348" s="249"/>
      <c r="BT348" s="216"/>
      <c r="BU348" s="1195"/>
      <c r="BV348" s="249"/>
      <c r="BW348" s="216"/>
      <c r="BX348" s="1195"/>
      <c r="BY348" s="249"/>
      <c r="BZ348" s="216"/>
      <c r="CA348" s="1195"/>
      <c r="CB348" s="249"/>
      <c r="CC348" s="216"/>
      <c r="CD348" s="1195"/>
      <c r="CE348" s="249"/>
      <c r="CF348" s="216"/>
      <c r="CG348" s="1195"/>
      <c r="CH348" s="249"/>
      <c r="CI348" s="216"/>
      <c r="CJ348" s="1195"/>
      <c r="CK348" s="249"/>
      <c r="CL348" s="216"/>
      <c r="CM348" s="1194"/>
      <c r="CN348" s="1524"/>
      <c r="CO348" s="217"/>
      <c r="CP348" s="1193"/>
      <c r="CQ348" s="293"/>
      <c r="CR348" s="217"/>
      <c r="CS348" s="305"/>
      <c r="CT348" s="249"/>
      <c r="CU348" s="216"/>
      <c r="CV348" s="1193"/>
      <c r="CW348" s="249"/>
      <c r="CX348" s="216"/>
      <c r="CY348" s="305"/>
      <c r="CZ348" s="249"/>
      <c r="DA348" s="216"/>
      <c r="DB348" s="307"/>
      <c r="DC348" s="328"/>
      <c r="DD348" s="322"/>
      <c r="DE348" s="305"/>
      <c r="DF348" s="249"/>
      <c r="DG348" s="216"/>
      <c r="DH348" s="305"/>
      <c r="DI348" s="249"/>
      <c r="DJ348" s="216"/>
      <c r="DK348" s="309"/>
      <c r="DL348" s="293"/>
      <c r="DM348" s="326"/>
      <c r="DN348" s="1256"/>
      <c r="DO348" s="214"/>
      <c r="DP348" s="1257"/>
      <c r="DQ348" s="1258"/>
      <c r="DR348" s="305"/>
      <c r="DS348" s="249"/>
      <c r="DT348" s="216"/>
      <c r="DU348" s="305"/>
      <c r="DV348" s="2520"/>
      <c r="DW348" s="2521"/>
      <c r="DX348" s="305"/>
      <c r="DY348" s="249"/>
      <c r="DZ348" s="221"/>
      <c r="EA348" s="388"/>
      <c r="EB348" s="249"/>
      <c r="EC348" s="216"/>
      <c r="ED348" s="1461"/>
      <c r="EE348" s="249"/>
      <c r="EF348" s="216"/>
      <c r="EG348" s="355"/>
      <c r="EH348" s="1425"/>
      <c r="EI348" s="1470"/>
      <c r="EJ348" s="249"/>
      <c r="EK348" s="221"/>
      <c r="EL348" s="313"/>
      <c r="EM348" s="249"/>
      <c r="EN348" s="221"/>
      <c r="EO348" s="313"/>
      <c r="EP348" s="249"/>
      <c r="EQ348" s="216"/>
      <c r="ER348" s="313"/>
      <c r="ES348" s="249"/>
      <c r="ET348" s="216"/>
      <c r="EU348" s="313"/>
      <c r="EV348" s="249"/>
      <c r="EW348" s="216"/>
      <c r="EX348" s="2505"/>
      <c r="EY348" s="249"/>
      <c r="EZ348" s="221"/>
      <c r="FA348" s="313"/>
      <c r="FB348" s="249"/>
      <c r="FC348" s="221"/>
      <c r="FD348" s="313"/>
      <c r="FE348" s="249"/>
      <c r="FF348" s="221"/>
      <c r="FG348" s="313"/>
      <c r="FH348" s="249"/>
      <c r="FI348" s="216"/>
      <c r="FJ348" s="1435"/>
      <c r="FK348" s="216"/>
      <c r="FL348" s="1268"/>
      <c r="FM348" s="1655"/>
      <c r="FN348" s="1268"/>
      <c r="FO348" s="1655"/>
      <c r="FP348" s="1268"/>
      <c r="FQ348" s="1656"/>
      <c r="FR348" s="249"/>
      <c r="FS348" s="216"/>
      <c r="FT348" s="1657"/>
      <c r="FU348" s="1658"/>
      <c r="FV348" s="242"/>
      <c r="FW348" s="343"/>
      <c r="FX348" s="222"/>
      <c r="FY348" s="336"/>
      <c r="FZ348" s="223"/>
      <c r="GA348" s="338"/>
      <c r="GB348" s="204"/>
      <c r="GC348" s="339"/>
      <c r="GD348" s="342"/>
      <c r="GE348" s="199"/>
      <c r="GF348" s="199"/>
      <c r="GG348" s="199"/>
      <c r="GH348" s="199"/>
      <c r="GI348" s="199"/>
      <c r="GJ348" s="199"/>
      <c r="GK348" s="199"/>
      <c r="GO348" s="322"/>
      <c r="GP348" s="1190"/>
      <c r="GQ348" s="1190"/>
      <c r="GS348" s="2879"/>
      <c r="GT348" s="2880"/>
      <c r="GU348" s="2881"/>
    </row>
    <row r="349" spans="1:203" ht="12" customHeight="1">
      <c r="A349" s="1252"/>
      <c r="B349" s="200"/>
      <c r="C349" s="486"/>
      <c r="T349" s="1186"/>
      <c r="U349" s="233"/>
      <c r="W349" s="218"/>
      <c r="X349" s="218"/>
      <c r="Y349" s="216"/>
      <c r="Z349" s="216"/>
      <c r="AA349" s="215"/>
      <c r="AB349" s="216"/>
      <c r="AC349" s="216"/>
      <c r="AD349" s="239"/>
      <c r="AE349" s="216"/>
      <c r="AF349" s="216"/>
      <c r="AG349" s="216"/>
      <c r="AH349" s="216"/>
      <c r="AI349" s="216"/>
      <c r="AJ349" s="216"/>
      <c r="AK349" s="239"/>
      <c r="AL349" s="216"/>
      <c r="AM349" s="216"/>
      <c r="AN349" s="216"/>
      <c r="AO349" s="216"/>
      <c r="AP349" s="216"/>
      <c r="AQ349" s="216"/>
      <c r="AR349" s="216"/>
      <c r="AS349" s="216"/>
      <c r="AT349" s="216"/>
      <c r="AU349" s="216"/>
      <c r="AV349" s="217"/>
      <c r="AW349" s="355"/>
      <c r="AX349" s="217"/>
      <c r="AY349" s="1559"/>
      <c r="AZ349" s="249"/>
      <c r="BA349" s="221"/>
      <c r="BB349" s="300"/>
      <c r="BC349" s="217"/>
      <c r="BD349" s="392"/>
      <c r="BE349" s="1244"/>
      <c r="BF349" s="249"/>
      <c r="BG349" s="252"/>
      <c r="BH349" s="1469"/>
      <c r="BI349" s="216"/>
      <c r="BJ349" s="1469"/>
      <c r="BK349" s="1459"/>
      <c r="BL349" s="260"/>
      <c r="BM349" s="214"/>
      <c r="BN349" s="293"/>
      <c r="BO349" s="217"/>
      <c r="BP349" s="355"/>
      <c r="BQ349" s="217"/>
      <c r="BR349" s="1193"/>
      <c r="BS349" s="249"/>
      <c r="BT349" s="216"/>
      <c r="BU349" s="1195"/>
      <c r="BV349" s="249"/>
      <c r="BW349" s="216"/>
      <c r="BX349" s="1195"/>
      <c r="BY349" s="249"/>
      <c r="BZ349" s="216"/>
      <c r="CA349" s="1195"/>
      <c r="CB349" s="249"/>
      <c r="CC349" s="216"/>
      <c r="CD349" s="1195"/>
      <c r="CE349" s="249"/>
      <c r="CF349" s="216"/>
      <c r="CG349" s="1195"/>
      <c r="CH349" s="249"/>
      <c r="CI349" s="216"/>
      <c r="CJ349" s="1195"/>
      <c r="CK349" s="249"/>
      <c r="CL349" s="216"/>
      <c r="CM349" s="1194"/>
      <c r="CN349" s="1524"/>
      <c r="CO349" s="217"/>
      <c r="CP349" s="1193"/>
      <c r="CQ349" s="293"/>
      <c r="CR349" s="217"/>
      <c r="CS349" s="305"/>
      <c r="CT349" s="249"/>
      <c r="CU349" s="216"/>
      <c r="CV349" s="1193"/>
      <c r="CW349" s="249"/>
      <c r="CX349" s="216"/>
      <c r="CY349" s="305"/>
      <c r="CZ349" s="249"/>
      <c r="DA349" s="216"/>
      <c r="DB349" s="307"/>
      <c r="DC349" s="328"/>
      <c r="DD349" s="322"/>
      <c r="DE349" s="305"/>
      <c r="DF349" s="249"/>
      <c r="DG349" s="216"/>
      <c r="DH349" s="305"/>
      <c r="DI349" s="249"/>
      <c r="DJ349" s="216"/>
      <c r="DK349" s="309"/>
      <c r="DL349" s="293"/>
      <c r="DM349" s="326"/>
      <c r="DN349" s="1256"/>
      <c r="DO349" s="214"/>
      <c r="DP349" s="1257"/>
      <c r="DQ349" s="1258"/>
      <c r="DR349" s="305"/>
      <c r="DS349" s="249"/>
      <c r="DT349" s="216"/>
      <c r="DU349" s="305"/>
      <c r="DV349" s="2520"/>
      <c r="DW349" s="2521"/>
      <c r="DX349" s="305"/>
      <c r="DY349" s="249"/>
      <c r="DZ349" s="221"/>
      <c r="EA349" s="388"/>
      <c r="EB349" s="249"/>
      <c r="EC349" s="216"/>
      <c r="ED349" s="1461"/>
      <c r="EE349" s="249"/>
      <c r="EF349" s="216"/>
      <c r="EG349" s="355"/>
      <c r="EH349" s="1425"/>
      <c r="EI349" s="1470"/>
      <c r="EJ349" s="249"/>
      <c r="EK349" s="221"/>
      <c r="EL349" s="313"/>
      <c r="EM349" s="249"/>
      <c r="EN349" s="221"/>
      <c r="EO349" s="313"/>
      <c r="EP349" s="249"/>
      <c r="EQ349" s="216"/>
      <c r="ER349" s="313"/>
      <c r="ES349" s="249"/>
      <c r="ET349" s="216"/>
      <c r="EU349" s="313"/>
      <c r="EV349" s="249"/>
      <c r="EW349" s="216"/>
      <c r="EX349" s="2505"/>
      <c r="EY349" s="249"/>
      <c r="EZ349" s="221"/>
      <c r="FA349" s="313"/>
      <c r="FB349" s="249"/>
      <c r="FC349" s="221"/>
      <c r="FD349" s="313"/>
      <c r="FE349" s="249"/>
      <c r="FF349" s="221"/>
      <c r="FG349" s="313"/>
      <c r="FH349" s="249"/>
      <c r="FI349" s="216"/>
      <c r="FJ349" s="1435"/>
      <c r="FK349" s="216"/>
      <c r="FL349" s="1268"/>
      <c r="FM349" s="1655"/>
      <c r="FN349" s="1268"/>
      <c r="FO349" s="1655"/>
      <c r="FP349" s="1268"/>
      <c r="FQ349" s="1656"/>
      <c r="FR349" s="249"/>
      <c r="FS349" s="216"/>
      <c r="FT349" s="1657"/>
      <c r="FU349" s="1658"/>
      <c r="FV349" s="242"/>
      <c r="FW349" s="343"/>
      <c r="FX349" s="222"/>
      <c r="FY349" s="336"/>
      <c r="FZ349" s="223"/>
      <c r="GA349" s="338"/>
      <c r="GB349" s="204"/>
      <c r="GC349" s="339"/>
      <c r="GD349" s="342"/>
      <c r="GE349" s="199"/>
      <c r="GF349" s="199"/>
      <c r="GG349" s="199"/>
      <c r="GH349" s="199"/>
      <c r="GI349" s="199"/>
      <c r="GJ349" s="199"/>
      <c r="GK349" s="199"/>
      <c r="GO349" s="322"/>
      <c r="GP349" s="1190"/>
      <c r="GQ349" s="1190"/>
      <c r="GS349" s="2879"/>
      <c r="GT349" s="2880"/>
      <c r="GU349" s="2881"/>
    </row>
    <row r="350" spans="1:203" ht="12" customHeight="1">
      <c r="A350" s="1252"/>
      <c r="B350" s="200"/>
      <c r="C350" s="486"/>
      <c r="T350" s="1186"/>
      <c r="U350" s="233"/>
      <c r="W350" s="218"/>
      <c r="X350" s="218"/>
      <c r="Y350" s="216"/>
      <c r="Z350" s="216"/>
      <c r="AA350" s="215"/>
      <c r="AB350" s="216"/>
      <c r="AC350" s="216"/>
      <c r="AD350" s="239"/>
      <c r="AE350" s="216"/>
      <c r="AF350" s="216"/>
      <c r="AG350" s="216"/>
      <c r="AH350" s="216"/>
      <c r="AI350" s="216"/>
      <c r="AJ350" s="216"/>
      <c r="AK350" s="239"/>
      <c r="AL350" s="216"/>
      <c r="AM350" s="216"/>
      <c r="AN350" s="216"/>
      <c r="AO350" s="216"/>
      <c r="AP350" s="216"/>
      <c r="AQ350" s="216"/>
      <c r="AR350" s="216"/>
      <c r="AS350" s="216"/>
      <c r="AT350" s="216"/>
      <c r="AU350" s="216"/>
      <c r="AV350" s="217"/>
      <c r="AW350" s="355"/>
      <c r="AX350" s="217"/>
      <c r="AY350" s="1559"/>
      <c r="AZ350" s="249"/>
      <c r="BA350" s="221"/>
      <c r="BB350" s="300"/>
      <c r="BC350" s="217"/>
      <c r="BD350" s="392"/>
      <c r="BE350" s="1244"/>
      <c r="BF350" s="249"/>
      <c r="BG350" s="252"/>
      <c r="BH350" s="1469"/>
      <c r="BI350" s="216"/>
      <c r="BJ350" s="1469"/>
      <c r="BK350" s="1459"/>
      <c r="BL350" s="260"/>
      <c r="BM350" s="214"/>
      <c r="BN350" s="293"/>
      <c r="BO350" s="217"/>
      <c r="BP350" s="355"/>
      <c r="BQ350" s="217"/>
      <c r="BR350" s="1193"/>
      <c r="BS350" s="249"/>
      <c r="BT350" s="216"/>
      <c r="BU350" s="1195"/>
      <c r="BV350" s="249"/>
      <c r="BW350" s="216"/>
      <c r="BX350" s="1195"/>
      <c r="BY350" s="249"/>
      <c r="BZ350" s="216"/>
      <c r="CA350" s="1195"/>
      <c r="CB350" s="249"/>
      <c r="CC350" s="216"/>
      <c r="CD350" s="1195"/>
      <c r="CE350" s="249"/>
      <c r="CF350" s="216"/>
      <c r="CG350" s="1195"/>
      <c r="CH350" s="249"/>
      <c r="CI350" s="216"/>
      <c r="CJ350" s="1195"/>
      <c r="CK350" s="249"/>
      <c r="CL350" s="216"/>
      <c r="CM350" s="1194"/>
      <c r="CN350" s="1524"/>
      <c r="CO350" s="217"/>
      <c r="CP350" s="1193"/>
      <c r="CQ350" s="293"/>
      <c r="CR350" s="217"/>
      <c r="CS350" s="305"/>
      <c r="CT350" s="249"/>
      <c r="CU350" s="216"/>
      <c r="CV350" s="1193"/>
      <c r="CW350" s="249"/>
      <c r="CX350" s="216"/>
      <c r="CY350" s="305"/>
      <c r="CZ350" s="249"/>
      <c r="DA350" s="216"/>
      <c r="DB350" s="307"/>
      <c r="DC350" s="328"/>
      <c r="DD350" s="322"/>
      <c r="DE350" s="305"/>
      <c r="DF350" s="249"/>
      <c r="DG350" s="216"/>
      <c r="DH350" s="305"/>
      <c r="DI350" s="249"/>
      <c r="DJ350" s="216"/>
      <c r="DK350" s="309"/>
      <c r="DL350" s="293"/>
      <c r="DM350" s="326"/>
      <c r="DN350" s="1256"/>
      <c r="DO350" s="214"/>
      <c r="DP350" s="1257"/>
      <c r="DQ350" s="1258"/>
      <c r="DR350" s="305"/>
      <c r="DS350" s="249"/>
      <c r="DT350" s="216"/>
      <c r="DU350" s="305"/>
      <c r="DV350" s="2520"/>
      <c r="DW350" s="2521"/>
      <c r="DX350" s="305"/>
      <c r="DY350" s="249"/>
      <c r="DZ350" s="221"/>
      <c r="EA350" s="388"/>
      <c r="EB350" s="249"/>
      <c r="EC350" s="216"/>
      <c r="ED350" s="1461"/>
      <c r="EE350" s="249"/>
      <c r="EF350" s="216"/>
      <c r="EG350" s="355"/>
      <c r="EH350" s="1425"/>
      <c r="EI350" s="1470"/>
      <c r="EJ350" s="249"/>
      <c r="EK350" s="221"/>
      <c r="EL350" s="313"/>
      <c r="EM350" s="249"/>
      <c r="EN350" s="221"/>
      <c r="EO350" s="313"/>
      <c r="EP350" s="249"/>
      <c r="EQ350" s="216"/>
      <c r="ER350" s="313"/>
      <c r="ES350" s="249"/>
      <c r="ET350" s="216"/>
      <c r="EU350" s="313"/>
      <c r="EV350" s="249"/>
      <c r="EW350" s="216"/>
      <c r="EX350" s="2505"/>
      <c r="EY350" s="249"/>
      <c r="EZ350" s="221"/>
      <c r="FA350" s="313"/>
      <c r="FB350" s="249"/>
      <c r="FC350" s="221"/>
      <c r="FD350" s="313"/>
      <c r="FE350" s="249"/>
      <c r="FF350" s="221"/>
      <c r="FG350" s="313"/>
      <c r="FH350" s="249"/>
      <c r="FI350" s="216"/>
      <c r="FJ350" s="1435"/>
      <c r="FK350" s="216"/>
      <c r="FL350" s="1268"/>
      <c r="FM350" s="1655"/>
      <c r="FN350" s="1268"/>
      <c r="FO350" s="1655"/>
      <c r="FP350" s="1268"/>
      <c r="FQ350" s="1656"/>
      <c r="FR350" s="249"/>
      <c r="FS350" s="216"/>
      <c r="FT350" s="1657"/>
      <c r="FU350" s="1658"/>
      <c r="FV350" s="242"/>
      <c r="FW350" s="343"/>
      <c r="FX350" s="222"/>
      <c r="FY350" s="336"/>
      <c r="FZ350" s="223"/>
      <c r="GA350" s="338"/>
      <c r="GB350" s="204"/>
      <c r="GC350" s="339"/>
      <c r="GD350" s="342"/>
      <c r="GE350" s="199"/>
      <c r="GF350" s="199"/>
      <c r="GG350" s="199"/>
      <c r="GH350" s="199"/>
      <c r="GI350" s="199"/>
      <c r="GJ350" s="199"/>
      <c r="GK350" s="199"/>
      <c r="GO350" s="322"/>
      <c r="GP350" s="1190"/>
      <c r="GQ350" s="1190"/>
      <c r="GS350" s="2879"/>
      <c r="GT350" s="2880"/>
      <c r="GU350" s="2881"/>
    </row>
    <row r="351" spans="1:203" ht="12" customHeight="1">
      <c r="A351" s="1252"/>
      <c r="B351" s="200"/>
      <c r="C351" s="486"/>
      <c r="T351" s="1186"/>
      <c r="U351" s="233"/>
      <c r="W351" s="218"/>
      <c r="X351" s="218"/>
      <c r="Y351" s="216"/>
      <c r="Z351" s="216"/>
      <c r="AA351" s="215"/>
      <c r="AB351" s="216"/>
      <c r="AC351" s="216"/>
      <c r="AD351" s="239"/>
      <c r="AE351" s="216"/>
      <c r="AF351" s="216"/>
      <c r="AG351" s="216"/>
      <c r="AH351" s="216"/>
      <c r="AI351" s="216"/>
      <c r="AJ351" s="216"/>
      <c r="AK351" s="239"/>
      <c r="AL351" s="216"/>
      <c r="AM351" s="216"/>
      <c r="AN351" s="216"/>
      <c r="AO351" s="216"/>
      <c r="AP351" s="216"/>
      <c r="AQ351" s="216"/>
      <c r="AR351" s="216"/>
      <c r="AS351" s="216"/>
      <c r="AT351" s="216"/>
      <c r="AU351" s="216"/>
      <c r="AV351" s="217"/>
      <c r="AW351" s="355"/>
      <c r="AX351" s="217"/>
      <c r="AY351" s="1559"/>
      <c r="AZ351" s="249"/>
      <c r="BA351" s="221"/>
      <c r="BB351" s="300"/>
      <c r="BC351" s="217"/>
      <c r="BD351" s="392"/>
      <c r="BE351" s="1244"/>
      <c r="BF351" s="249"/>
      <c r="BG351" s="252"/>
      <c r="BH351" s="1469"/>
      <c r="BI351" s="216"/>
      <c r="BJ351" s="1469"/>
      <c r="BK351" s="1459"/>
      <c r="BL351" s="260"/>
      <c r="BM351" s="214"/>
      <c r="BN351" s="293"/>
      <c r="BO351" s="217"/>
      <c r="BP351" s="355"/>
      <c r="BQ351" s="217"/>
      <c r="BR351" s="1193"/>
      <c r="BS351" s="249"/>
      <c r="BT351" s="216"/>
      <c r="BU351" s="1195"/>
      <c r="BV351" s="249"/>
      <c r="BW351" s="216"/>
      <c r="BX351" s="1195"/>
      <c r="BY351" s="249"/>
      <c r="BZ351" s="216"/>
      <c r="CA351" s="1195"/>
      <c r="CB351" s="249"/>
      <c r="CC351" s="216"/>
      <c r="CD351" s="1195"/>
      <c r="CE351" s="249"/>
      <c r="CF351" s="216"/>
      <c r="CG351" s="1195"/>
      <c r="CH351" s="249"/>
      <c r="CI351" s="216"/>
      <c r="CJ351" s="1195"/>
      <c r="CK351" s="249"/>
      <c r="CL351" s="216"/>
      <c r="CM351" s="1194"/>
      <c r="CN351" s="1524"/>
      <c r="CO351" s="217"/>
      <c r="CP351" s="1193"/>
      <c r="CQ351" s="293"/>
      <c r="CR351" s="217"/>
      <c r="CS351" s="305"/>
      <c r="CT351" s="249"/>
      <c r="CU351" s="216"/>
      <c r="CV351" s="1193"/>
      <c r="CW351" s="249"/>
      <c r="CX351" s="216"/>
      <c r="CY351" s="305"/>
      <c r="CZ351" s="249"/>
      <c r="DA351" s="216"/>
      <c r="DB351" s="307"/>
      <c r="DC351" s="328"/>
      <c r="DD351" s="322"/>
      <c r="DE351" s="305"/>
      <c r="DF351" s="249"/>
      <c r="DG351" s="216"/>
      <c r="DH351" s="305"/>
      <c r="DI351" s="249"/>
      <c r="DJ351" s="216"/>
      <c r="DK351" s="309"/>
      <c r="DL351" s="293"/>
      <c r="DM351" s="326"/>
      <c r="DN351" s="1256"/>
      <c r="DO351" s="214"/>
      <c r="DP351" s="1257"/>
      <c r="DQ351" s="1258"/>
      <c r="DR351" s="305"/>
      <c r="DS351" s="249"/>
      <c r="DT351" s="216"/>
      <c r="DU351" s="305"/>
      <c r="DV351" s="2520"/>
      <c r="DW351" s="2521"/>
      <c r="DX351" s="305"/>
      <c r="DY351" s="249"/>
      <c r="DZ351" s="221"/>
      <c r="EA351" s="388"/>
      <c r="EB351" s="249"/>
      <c r="EC351" s="216"/>
      <c r="ED351" s="1461"/>
      <c r="EE351" s="249"/>
      <c r="EF351" s="216"/>
      <c r="EG351" s="355"/>
      <c r="EH351" s="1425"/>
      <c r="EI351" s="1470"/>
      <c r="EJ351" s="249"/>
      <c r="EK351" s="221"/>
      <c r="EL351" s="313"/>
      <c r="EM351" s="249"/>
      <c r="EN351" s="221"/>
      <c r="EO351" s="313"/>
      <c r="EP351" s="249"/>
      <c r="EQ351" s="216"/>
      <c r="ER351" s="313"/>
      <c r="ES351" s="249"/>
      <c r="ET351" s="216"/>
      <c r="EU351" s="313"/>
      <c r="EV351" s="249"/>
      <c r="EW351" s="216"/>
      <c r="EX351" s="2505"/>
      <c r="EY351" s="249"/>
      <c r="EZ351" s="221"/>
      <c r="FA351" s="313"/>
      <c r="FB351" s="249"/>
      <c r="FC351" s="221"/>
      <c r="FD351" s="313"/>
      <c r="FE351" s="249"/>
      <c r="FF351" s="221"/>
      <c r="FG351" s="313"/>
      <c r="FH351" s="249"/>
      <c r="FI351" s="216"/>
      <c r="FJ351" s="1435"/>
      <c r="FK351" s="216"/>
      <c r="FL351" s="1268"/>
      <c r="FM351" s="1655"/>
      <c r="FN351" s="1268"/>
      <c r="FO351" s="1655"/>
      <c r="FP351" s="1268"/>
      <c r="FQ351" s="1656"/>
      <c r="FR351" s="249"/>
      <c r="FS351" s="216"/>
      <c r="FT351" s="1657"/>
      <c r="FU351" s="1658"/>
      <c r="FV351" s="242"/>
      <c r="FW351" s="343"/>
      <c r="FX351" s="222"/>
      <c r="FY351" s="336"/>
      <c r="FZ351" s="223"/>
      <c r="GA351" s="338"/>
      <c r="GB351" s="204"/>
      <c r="GC351" s="339"/>
      <c r="GD351" s="342"/>
      <c r="GE351" s="199"/>
      <c r="GF351" s="199"/>
      <c r="GG351" s="199"/>
      <c r="GH351" s="199"/>
      <c r="GI351" s="199"/>
      <c r="GJ351" s="199"/>
      <c r="GK351" s="199"/>
      <c r="GO351" s="322"/>
      <c r="GP351" s="1190"/>
      <c r="GQ351" s="1190"/>
      <c r="GS351" s="2879"/>
      <c r="GT351" s="2880"/>
      <c r="GU351" s="2881"/>
    </row>
    <row r="352" spans="1:203" ht="12" customHeight="1">
      <c r="A352" s="1252"/>
      <c r="B352" s="200"/>
      <c r="C352" s="486"/>
      <c r="T352" s="1186"/>
      <c r="U352" s="233"/>
      <c r="W352" s="218"/>
      <c r="X352" s="218"/>
      <c r="Y352" s="216"/>
      <c r="Z352" s="216"/>
      <c r="AA352" s="215"/>
      <c r="AB352" s="216"/>
      <c r="AC352" s="216"/>
      <c r="AD352" s="239"/>
      <c r="AE352" s="216"/>
      <c r="AF352" s="216"/>
      <c r="AG352" s="216"/>
      <c r="AH352" s="216"/>
      <c r="AI352" s="216"/>
      <c r="AJ352" s="216"/>
      <c r="AK352" s="239"/>
      <c r="AL352" s="216"/>
      <c r="AM352" s="216"/>
      <c r="AN352" s="216"/>
      <c r="AO352" s="216"/>
      <c r="AP352" s="216"/>
      <c r="AQ352" s="216"/>
      <c r="AR352" s="216"/>
      <c r="AS352" s="216"/>
      <c r="AT352" s="216"/>
      <c r="AU352" s="216"/>
      <c r="AV352" s="217"/>
      <c r="AW352" s="355"/>
      <c r="AX352" s="217"/>
      <c r="AY352" s="1559"/>
      <c r="AZ352" s="249"/>
      <c r="BA352" s="221"/>
      <c r="BB352" s="300"/>
      <c r="BC352" s="217"/>
      <c r="BD352" s="392"/>
      <c r="BE352" s="1244"/>
      <c r="BF352" s="249"/>
      <c r="BG352" s="252"/>
      <c r="BH352" s="1469"/>
      <c r="BI352" s="216"/>
      <c r="BJ352" s="1469"/>
      <c r="BK352" s="1459"/>
      <c r="BL352" s="260"/>
      <c r="BM352" s="214"/>
      <c r="BN352" s="293"/>
      <c r="BO352" s="217"/>
      <c r="BP352" s="355"/>
      <c r="BQ352" s="217"/>
      <c r="BR352" s="1193"/>
      <c r="BS352" s="249"/>
      <c r="BT352" s="216"/>
      <c r="BU352" s="1195"/>
      <c r="BV352" s="249"/>
      <c r="BW352" s="216"/>
      <c r="BX352" s="1195"/>
      <c r="BY352" s="249"/>
      <c r="BZ352" s="216"/>
      <c r="CA352" s="1195"/>
      <c r="CB352" s="249"/>
      <c r="CC352" s="216"/>
      <c r="CD352" s="1195"/>
      <c r="CE352" s="249"/>
      <c r="CF352" s="216"/>
      <c r="CG352" s="1195"/>
      <c r="CH352" s="249"/>
      <c r="CI352" s="216"/>
      <c r="CJ352" s="1195"/>
      <c r="CK352" s="249"/>
      <c r="CL352" s="216"/>
      <c r="CM352" s="1194"/>
      <c r="CN352" s="1524"/>
      <c r="CO352" s="217"/>
      <c r="CP352" s="1193"/>
      <c r="CQ352" s="293"/>
      <c r="CR352" s="217"/>
      <c r="CS352" s="305"/>
      <c r="CT352" s="249"/>
      <c r="CU352" s="216"/>
      <c r="CV352" s="1193"/>
      <c r="CW352" s="249"/>
      <c r="CX352" s="216"/>
      <c r="CY352" s="305"/>
      <c r="CZ352" s="249"/>
      <c r="DA352" s="216"/>
      <c r="DB352" s="307"/>
      <c r="DC352" s="328"/>
      <c r="DD352" s="322"/>
      <c r="DE352" s="305"/>
      <c r="DF352" s="249"/>
      <c r="DG352" s="216"/>
      <c r="DH352" s="305"/>
      <c r="DI352" s="249"/>
      <c r="DJ352" s="216"/>
      <c r="DK352" s="309"/>
      <c r="DL352" s="293"/>
      <c r="DM352" s="326"/>
      <c r="DN352" s="1256"/>
      <c r="DO352" s="214"/>
      <c r="DP352" s="1257"/>
      <c r="DQ352" s="1258"/>
      <c r="DR352" s="305"/>
      <c r="DS352" s="249"/>
      <c r="DT352" s="216"/>
      <c r="DU352" s="305"/>
      <c r="DV352" s="2520"/>
      <c r="DW352" s="2521"/>
      <c r="DX352" s="305"/>
      <c r="DY352" s="249"/>
      <c r="DZ352" s="221"/>
      <c r="EA352" s="388"/>
      <c r="EB352" s="249"/>
      <c r="EC352" s="216"/>
      <c r="ED352" s="1461"/>
      <c r="EE352" s="249"/>
      <c r="EF352" s="216"/>
      <c r="EG352" s="355"/>
      <c r="EH352" s="1425"/>
      <c r="EI352" s="1470"/>
      <c r="EJ352" s="249"/>
      <c r="EK352" s="221"/>
      <c r="EL352" s="313"/>
      <c r="EM352" s="249"/>
      <c r="EN352" s="221"/>
      <c r="EO352" s="313"/>
      <c r="EP352" s="249"/>
      <c r="EQ352" s="216"/>
      <c r="ER352" s="313"/>
      <c r="ES352" s="249"/>
      <c r="ET352" s="216"/>
      <c r="EU352" s="313"/>
      <c r="EV352" s="249"/>
      <c r="EW352" s="216"/>
      <c r="EX352" s="2505"/>
      <c r="EY352" s="249"/>
      <c r="EZ352" s="221"/>
      <c r="FA352" s="313"/>
      <c r="FB352" s="249"/>
      <c r="FC352" s="221"/>
      <c r="FD352" s="313"/>
      <c r="FE352" s="249"/>
      <c r="FF352" s="221"/>
      <c r="FG352" s="313"/>
      <c r="FH352" s="249"/>
      <c r="FI352" s="216"/>
      <c r="FJ352" s="1435"/>
      <c r="FK352" s="216"/>
      <c r="FL352" s="1268"/>
      <c r="FM352" s="1655"/>
      <c r="FN352" s="1268"/>
      <c r="FO352" s="1655"/>
      <c r="FP352" s="1268"/>
      <c r="FQ352" s="1656"/>
      <c r="FR352" s="249"/>
      <c r="FS352" s="216"/>
      <c r="FT352" s="1657"/>
      <c r="FU352" s="1658"/>
      <c r="FV352" s="242"/>
      <c r="FW352" s="343"/>
      <c r="FX352" s="222"/>
      <c r="FY352" s="336"/>
      <c r="FZ352" s="223"/>
      <c r="GA352" s="338"/>
      <c r="GB352" s="204"/>
      <c r="GC352" s="339"/>
      <c r="GD352" s="342"/>
      <c r="GE352" s="199"/>
      <c r="GF352" s="199"/>
      <c r="GG352" s="199"/>
      <c r="GH352" s="199"/>
      <c r="GI352" s="199"/>
      <c r="GJ352" s="199"/>
      <c r="GK352" s="199"/>
      <c r="GO352" s="322"/>
      <c r="GP352" s="1190"/>
      <c r="GQ352" s="1190"/>
      <c r="GS352" s="2879"/>
      <c r="GT352" s="2880"/>
      <c r="GU352" s="2881"/>
    </row>
    <row r="353" spans="1:203" ht="12" customHeight="1">
      <c r="A353" s="1252"/>
      <c r="B353" s="200"/>
      <c r="C353" s="486"/>
      <c r="T353" s="1186"/>
      <c r="U353" s="233"/>
      <c r="W353" s="218"/>
      <c r="X353" s="218"/>
      <c r="Y353" s="216"/>
      <c r="Z353" s="216"/>
      <c r="AA353" s="215"/>
      <c r="AB353" s="216"/>
      <c r="AC353" s="216"/>
      <c r="AD353" s="239"/>
      <c r="AE353" s="216"/>
      <c r="AF353" s="216"/>
      <c r="AG353" s="216"/>
      <c r="AH353" s="216"/>
      <c r="AI353" s="216"/>
      <c r="AJ353" s="216"/>
      <c r="AK353" s="239"/>
      <c r="AL353" s="216"/>
      <c r="AM353" s="216"/>
      <c r="AN353" s="216"/>
      <c r="AO353" s="216"/>
      <c r="AP353" s="216"/>
      <c r="AQ353" s="216"/>
      <c r="AR353" s="216"/>
      <c r="AS353" s="216"/>
      <c r="AT353" s="216"/>
      <c r="AU353" s="216"/>
      <c r="AV353" s="217"/>
      <c r="AW353" s="355"/>
      <c r="AX353" s="217"/>
      <c r="AY353" s="1559"/>
      <c r="AZ353" s="249"/>
      <c r="BA353" s="221"/>
      <c r="BB353" s="300"/>
      <c r="BC353" s="217"/>
      <c r="BD353" s="392"/>
      <c r="BE353" s="1244"/>
      <c r="BF353" s="249"/>
      <c r="BG353" s="252"/>
      <c r="BH353" s="1469"/>
      <c r="BI353" s="216"/>
      <c r="BJ353" s="1469"/>
      <c r="BK353" s="1459"/>
      <c r="BL353" s="260"/>
      <c r="BM353" s="214"/>
      <c r="BN353" s="293"/>
      <c r="BO353" s="217"/>
      <c r="BP353" s="355"/>
      <c r="BQ353" s="217"/>
      <c r="BR353" s="1193"/>
      <c r="BS353" s="249"/>
      <c r="BT353" s="216"/>
      <c r="BU353" s="1195"/>
      <c r="BV353" s="249"/>
      <c r="BW353" s="216"/>
      <c r="BX353" s="1195"/>
      <c r="BY353" s="249"/>
      <c r="BZ353" s="216"/>
      <c r="CA353" s="1195"/>
      <c r="CB353" s="249"/>
      <c r="CC353" s="216"/>
      <c r="CD353" s="1195"/>
      <c r="CE353" s="249"/>
      <c r="CF353" s="216"/>
      <c r="CG353" s="1195"/>
      <c r="CH353" s="249"/>
      <c r="CI353" s="216"/>
      <c r="CJ353" s="1195"/>
      <c r="CK353" s="249"/>
      <c r="CL353" s="216"/>
      <c r="CM353" s="1194"/>
      <c r="CN353" s="1524"/>
      <c r="CO353" s="217"/>
      <c r="CP353" s="1193"/>
      <c r="CQ353" s="293"/>
      <c r="CR353" s="217"/>
      <c r="CS353" s="305"/>
      <c r="CT353" s="249"/>
      <c r="CU353" s="216"/>
      <c r="CV353" s="1193"/>
      <c r="CW353" s="249"/>
      <c r="CX353" s="216"/>
      <c r="CY353" s="305"/>
      <c r="CZ353" s="249"/>
      <c r="DA353" s="216"/>
      <c r="DB353" s="307"/>
      <c r="DC353" s="328"/>
      <c r="DD353" s="322"/>
      <c r="DE353" s="305"/>
      <c r="DF353" s="249"/>
      <c r="DG353" s="216"/>
      <c r="DH353" s="305"/>
      <c r="DI353" s="249"/>
      <c r="DJ353" s="216"/>
      <c r="DK353" s="309"/>
      <c r="DL353" s="293"/>
      <c r="DM353" s="326"/>
      <c r="DN353" s="1256"/>
      <c r="DO353" s="214"/>
      <c r="DP353" s="1257"/>
      <c r="DQ353" s="1258"/>
      <c r="DR353" s="305"/>
      <c r="DS353" s="249"/>
      <c r="DT353" s="216"/>
      <c r="DU353" s="305"/>
      <c r="DV353" s="2520"/>
      <c r="DW353" s="2521"/>
      <c r="DX353" s="305"/>
      <c r="DY353" s="249"/>
      <c r="DZ353" s="221"/>
      <c r="EA353" s="388"/>
      <c r="EB353" s="249"/>
      <c r="EC353" s="216"/>
      <c r="ED353" s="1461"/>
      <c r="EE353" s="249"/>
      <c r="EF353" s="216"/>
      <c r="EG353" s="355"/>
      <c r="EH353" s="1425"/>
      <c r="EI353" s="1470"/>
      <c r="EJ353" s="249"/>
      <c r="EK353" s="221"/>
      <c r="EL353" s="313"/>
      <c r="EM353" s="249"/>
      <c r="EN353" s="221"/>
      <c r="EO353" s="313"/>
      <c r="EP353" s="249"/>
      <c r="EQ353" s="216"/>
      <c r="ER353" s="313"/>
      <c r="ES353" s="249"/>
      <c r="ET353" s="216"/>
      <c r="EU353" s="313"/>
      <c r="EV353" s="249"/>
      <c r="EW353" s="216"/>
      <c r="EX353" s="2505"/>
      <c r="EY353" s="249"/>
      <c r="EZ353" s="221"/>
      <c r="FA353" s="313"/>
      <c r="FB353" s="249"/>
      <c r="FC353" s="221"/>
      <c r="FD353" s="313"/>
      <c r="FE353" s="249"/>
      <c r="FF353" s="221"/>
      <c r="FG353" s="313"/>
      <c r="FH353" s="249"/>
      <c r="FI353" s="216"/>
      <c r="FJ353" s="1435"/>
      <c r="FK353" s="216"/>
      <c r="FL353" s="1268"/>
      <c r="FM353" s="1655"/>
      <c r="FN353" s="1268"/>
      <c r="FO353" s="1655"/>
      <c r="FP353" s="1268"/>
      <c r="FQ353" s="1656"/>
      <c r="FR353" s="249"/>
      <c r="FS353" s="216"/>
      <c r="FT353" s="1657"/>
      <c r="FU353" s="1658"/>
      <c r="FV353" s="242"/>
      <c r="FW353" s="343"/>
      <c r="FX353" s="222"/>
      <c r="FY353" s="336"/>
      <c r="FZ353" s="223"/>
      <c r="GA353" s="338"/>
      <c r="GB353" s="204"/>
      <c r="GC353" s="339"/>
      <c r="GD353" s="342"/>
      <c r="GE353" s="199"/>
      <c r="GF353" s="199"/>
      <c r="GG353" s="199"/>
      <c r="GH353" s="199"/>
      <c r="GI353" s="199"/>
      <c r="GJ353" s="199"/>
      <c r="GK353" s="199"/>
      <c r="GO353" s="322"/>
      <c r="GP353" s="1190"/>
      <c r="GQ353" s="1190"/>
      <c r="GS353" s="2879"/>
      <c r="GT353" s="2880"/>
      <c r="GU353" s="2881"/>
    </row>
    <row r="354" spans="1:203" ht="12" customHeight="1">
      <c r="A354" s="1252"/>
      <c r="B354" s="200"/>
      <c r="C354" s="486"/>
      <c r="T354" s="1186"/>
      <c r="U354" s="233"/>
      <c r="W354" s="218"/>
      <c r="X354" s="218"/>
      <c r="Y354" s="216"/>
      <c r="Z354" s="216"/>
      <c r="AA354" s="215"/>
      <c r="AB354" s="216"/>
      <c r="AC354" s="216"/>
      <c r="AD354" s="239"/>
      <c r="AE354" s="216"/>
      <c r="AF354" s="216"/>
      <c r="AG354" s="216"/>
      <c r="AH354" s="216"/>
      <c r="AI354" s="216"/>
      <c r="AJ354" s="216"/>
      <c r="AK354" s="239"/>
      <c r="AL354" s="216"/>
      <c r="AM354" s="216"/>
      <c r="AN354" s="216"/>
      <c r="AO354" s="216"/>
      <c r="AP354" s="216"/>
      <c r="AQ354" s="216"/>
      <c r="AR354" s="216"/>
      <c r="AS354" s="216"/>
      <c r="AT354" s="216"/>
      <c r="AU354" s="216"/>
      <c r="AV354" s="217"/>
      <c r="AW354" s="355"/>
      <c r="AX354" s="217"/>
      <c r="AY354" s="1559"/>
      <c r="AZ354" s="249"/>
      <c r="BA354" s="221"/>
      <c r="BB354" s="300"/>
      <c r="BC354" s="217"/>
      <c r="BD354" s="392"/>
      <c r="BE354" s="1244"/>
      <c r="BF354" s="249"/>
      <c r="BG354" s="252"/>
      <c r="BH354" s="1469"/>
      <c r="BI354" s="216"/>
      <c r="BJ354" s="1469"/>
      <c r="BK354" s="1459"/>
      <c r="BL354" s="260"/>
      <c r="BM354" s="214"/>
      <c r="BN354" s="293"/>
      <c r="BO354" s="217"/>
      <c r="BP354" s="355"/>
      <c r="BQ354" s="217"/>
      <c r="BR354" s="1193"/>
      <c r="BS354" s="249"/>
      <c r="BT354" s="216"/>
      <c r="BU354" s="1195"/>
      <c r="BV354" s="249"/>
      <c r="BW354" s="216"/>
      <c r="BX354" s="1195"/>
      <c r="BY354" s="249"/>
      <c r="BZ354" s="216"/>
      <c r="CA354" s="1195"/>
      <c r="CB354" s="249"/>
      <c r="CC354" s="216"/>
      <c r="CD354" s="1195"/>
      <c r="CE354" s="249"/>
      <c r="CF354" s="216"/>
      <c r="CG354" s="1195"/>
      <c r="CH354" s="249"/>
      <c r="CI354" s="216"/>
      <c r="CJ354" s="1195"/>
      <c r="CK354" s="249"/>
      <c r="CL354" s="216"/>
      <c r="CM354" s="1194"/>
      <c r="CN354" s="1524"/>
      <c r="CO354" s="217"/>
      <c r="CP354" s="1193"/>
      <c r="CQ354" s="293"/>
      <c r="CR354" s="217"/>
      <c r="CS354" s="305"/>
      <c r="CT354" s="249"/>
      <c r="CU354" s="216"/>
      <c r="CV354" s="1193"/>
      <c r="CW354" s="249"/>
      <c r="CX354" s="216"/>
      <c r="CY354" s="305"/>
      <c r="CZ354" s="249"/>
      <c r="DA354" s="216"/>
      <c r="DB354" s="307"/>
      <c r="DC354" s="328"/>
      <c r="DD354" s="322"/>
      <c r="DE354" s="305"/>
      <c r="DF354" s="249"/>
      <c r="DG354" s="216"/>
      <c r="DH354" s="305"/>
      <c r="DI354" s="249"/>
      <c r="DJ354" s="216"/>
      <c r="DK354" s="309"/>
      <c r="DL354" s="293"/>
      <c r="DM354" s="326"/>
      <c r="DN354" s="1256"/>
      <c r="DO354" s="214"/>
      <c r="DP354" s="1257"/>
      <c r="DQ354" s="1258"/>
      <c r="DR354" s="305"/>
      <c r="DS354" s="249"/>
      <c r="DT354" s="216"/>
      <c r="DU354" s="305"/>
      <c r="DV354" s="2520"/>
      <c r="DW354" s="2521"/>
      <c r="DX354" s="305"/>
      <c r="DY354" s="249"/>
      <c r="DZ354" s="221"/>
      <c r="EA354" s="388"/>
      <c r="EB354" s="249"/>
      <c r="EC354" s="216"/>
      <c r="ED354" s="1461"/>
      <c r="EE354" s="249"/>
      <c r="EF354" s="216"/>
      <c r="EG354" s="355"/>
      <c r="EH354" s="1425"/>
      <c r="EI354" s="1470"/>
      <c r="EJ354" s="249"/>
      <c r="EK354" s="221"/>
      <c r="EL354" s="313"/>
      <c r="EM354" s="249"/>
      <c r="EN354" s="221"/>
      <c r="EO354" s="313"/>
      <c r="EP354" s="249"/>
      <c r="EQ354" s="216"/>
      <c r="ER354" s="313"/>
      <c r="ES354" s="249"/>
      <c r="ET354" s="216"/>
      <c r="EU354" s="313"/>
      <c r="EV354" s="249"/>
      <c r="EW354" s="216"/>
      <c r="EX354" s="2505"/>
      <c r="EY354" s="249"/>
      <c r="EZ354" s="221"/>
      <c r="FA354" s="313"/>
      <c r="FB354" s="249"/>
      <c r="FC354" s="221"/>
      <c r="FD354" s="313"/>
      <c r="FE354" s="249"/>
      <c r="FF354" s="221"/>
      <c r="FG354" s="313"/>
      <c r="FH354" s="249"/>
      <c r="FI354" s="216"/>
      <c r="FJ354" s="1435"/>
      <c r="FK354" s="216"/>
      <c r="FL354" s="1268"/>
      <c r="FM354" s="1655"/>
      <c r="FN354" s="1268"/>
      <c r="FO354" s="1655"/>
      <c r="FP354" s="1268"/>
      <c r="FQ354" s="1656"/>
      <c r="FR354" s="249"/>
      <c r="FS354" s="216"/>
      <c r="FT354" s="1657"/>
      <c r="FU354" s="1658"/>
      <c r="FV354" s="242"/>
      <c r="FW354" s="343"/>
      <c r="FX354" s="222"/>
      <c r="FY354" s="336"/>
      <c r="FZ354" s="223"/>
      <c r="GA354" s="338"/>
      <c r="GB354" s="204"/>
      <c r="GC354" s="339"/>
      <c r="GD354" s="342"/>
      <c r="GE354" s="199"/>
      <c r="GF354" s="199"/>
      <c r="GG354" s="199"/>
      <c r="GH354" s="199"/>
      <c r="GI354" s="199"/>
      <c r="GJ354" s="199"/>
      <c r="GK354" s="199"/>
      <c r="GO354" s="322"/>
      <c r="GP354" s="1190"/>
      <c r="GQ354" s="1190"/>
      <c r="GS354" s="2879"/>
      <c r="GT354" s="2880"/>
      <c r="GU354" s="2881"/>
    </row>
    <row r="355" spans="1:203" ht="12" customHeight="1">
      <c r="A355" s="1252"/>
      <c r="B355" s="200"/>
      <c r="C355" s="486"/>
      <c r="T355" s="1186"/>
      <c r="U355" s="233"/>
      <c r="W355" s="218"/>
      <c r="X355" s="218"/>
      <c r="Y355" s="216"/>
      <c r="Z355" s="216"/>
      <c r="AA355" s="215"/>
      <c r="AB355" s="216"/>
      <c r="AC355" s="216"/>
      <c r="AD355" s="239"/>
      <c r="AE355" s="216"/>
      <c r="AF355" s="216"/>
      <c r="AG355" s="216"/>
      <c r="AH355" s="216"/>
      <c r="AI355" s="216"/>
      <c r="AJ355" s="216"/>
      <c r="AK355" s="239"/>
      <c r="AL355" s="216"/>
      <c r="AM355" s="216"/>
      <c r="AN355" s="216"/>
      <c r="AO355" s="216"/>
      <c r="AP355" s="216"/>
      <c r="AQ355" s="216"/>
      <c r="AR355" s="216"/>
      <c r="AS355" s="216"/>
      <c r="AT355" s="216"/>
      <c r="AU355" s="216"/>
      <c r="AV355" s="217"/>
      <c r="AW355" s="355"/>
      <c r="AX355" s="217"/>
      <c r="AY355" s="1559"/>
      <c r="AZ355" s="249"/>
      <c r="BA355" s="221"/>
      <c r="BB355" s="300"/>
      <c r="BC355" s="217"/>
      <c r="BD355" s="392"/>
      <c r="BE355" s="1244"/>
      <c r="BF355" s="249"/>
      <c r="BG355" s="252"/>
      <c r="BH355" s="1469"/>
      <c r="BI355" s="216"/>
      <c r="BJ355" s="1469"/>
      <c r="BK355" s="1459"/>
      <c r="BL355" s="260"/>
      <c r="BM355" s="214"/>
      <c r="BN355" s="293"/>
      <c r="BO355" s="217"/>
      <c r="BP355" s="355"/>
      <c r="BQ355" s="217"/>
      <c r="BR355" s="1193"/>
      <c r="BS355" s="249"/>
      <c r="BT355" s="216"/>
      <c r="BU355" s="1195"/>
      <c r="BV355" s="249"/>
      <c r="BW355" s="216"/>
      <c r="BX355" s="1195"/>
      <c r="BY355" s="249"/>
      <c r="BZ355" s="216"/>
      <c r="CA355" s="1195"/>
      <c r="CB355" s="249"/>
      <c r="CC355" s="216"/>
      <c r="CD355" s="1195"/>
      <c r="CE355" s="249"/>
      <c r="CF355" s="216"/>
      <c r="CG355" s="1195"/>
      <c r="CH355" s="249"/>
      <c r="CI355" s="216"/>
      <c r="CJ355" s="1195"/>
      <c r="CK355" s="249"/>
      <c r="CL355" s="216"/>
      <c r="CM355" s="1194"/>
      <c r="CN355" s="1524"/>
      <c r="CO355" s="217"/>
      <c r="CP355" s="1193"/>
      <c r="CQ355" s="293"/>
      <c r="CR355" s="217"/>
      <c r="CS355" s="305"/>
      <c r="CT355" s="249"/>
      <c r="CU355" s="216"/>
      <c r="CV355" s="1193"/>
      <c r="CW355" s="249"/>
      <c r="CX355" s="216"/>
      <c r="CY355" s="305"/>
      <c r="CZ355" s="249"/>
      <c r="DA355" s="216"/>
      <c r="DB355" s="307"/>
      <c r="DC355" s="328"/>
      <c r="DD355" s="322"/>
      <c r="DE355" s="305"/>
      <c r="DF355" s="249"/>
      <c r="DG355" s="216"/>
      <c r="DH355" s="305"/>
      <c r="DI355" s="249"/>
      <c r="DJ355" s="216"/>
      <c r="DK355" s="309"/>
      <c r="DL355" s="293"/>
      <c r="DM355" s="326"/>
      <c r="DN355" s="1256"/>
      <c r="DO355" s="214"/>
      <c r="DP355" s="1257"/>
      <c r="DQ355" s="1258"/>
      <c r="DR355" s="305"/>
      <c r="DS355" s="249"/>
      <c r="DT355" s="216"/>
      <c r="DU355" s="305"/>
      <c r="DV355" s="2520"/>
      <c r="DW355" s="2521"/>
      <c r="DX355" s="305"/>
      <c r="DY355" s="249"/>
      <c r="DZ355" s="221"/>
      <c r="EA355" s="388"/>
      <c r="EB355" s="249"/>
      <c r="EC355" s="216"/>
      <c r="ED355" s="1461"/>
      <c r="EE355" s="249"/>
      <c r="EF355" s="216"/>
      <c r="EG355" s="355"/>
      <c r="EH355" s="1425"/>
      <c r="EI355" s="1470"/>
      <c r="EJ355" s="249"/>
      <c r="EK355" s="221"/>
      <c r="EL355" s="313"/>
      <c r="EM355" s="249"/>
      <c r="EN355" s="221"/>
      <c r="EO355" s="313"/>
      <c r="EP355" s="249"/>
      <c r="EQ355" s="216"/>
      <c r="ER355" s="313"/>
      <c r="ES355" s="249"/>
      <c r="ET355" s="216"/>
      <c r="EU355" s="313"/>
      <c r="EV355" s="249"/>
      <c r="EW355" s="216"/>
      <c r="EX355" s="2505"/>
      <c r="EY355" s="249"/>
      <c r="EZ355" s="221"/>
      <c r="FA355" s="313"/>
      <c r="FB355" s="249"/>
      <c r="FC355" s="221"/>
      <c r="FD355" s="313"/>
      <c r="FE355" s="249"/>
      <c r="FF355" s="221"/>
      <c r="FG355" s="313"/>
      <c r="FH355" s="249"/>
      <c r="FI355" s="216"/>
      <c r="FJ355" s="1435"/>
      <c r="FK355" s="216"/>
      <c r="FL355" s="1268"/>
      <c r="FM355" s="1655"/>
      <c r="FN355" s="1268"/>
      <c r="FO355" s="1655"/>
      <c r="FP355" s="1268"/>
      <c r="FQ355" s="1656"/>
      <c r="FR355" s="249"/>
      <c r="FS355" s="216"/>
      <c r="FT355" s="1657"/>
      <c r="FU355" s="1658"/>
      <c r="FV355" s="242"/>
      <c r="FW355" s="343"/>
      <c r="FX355" s="222"/>
      <c r="FY355" s="336"/>
      <c r="FZ355" s="223"/>
      <c r="GA355" s="338"/>
      <c r="GB355" s="204"/>
      <c r="GC355" s="339"/>
      <c r="GD355" s="342"/>
      <c r="GE355" s="199"/>
      <c r="GF355" s="199"/>
      <c r="GG355" s="199"/>
      <c r="GH355" s="199"/>
      <c r="GI355" s="199"/>
      <c r="GJ355" s="199"/>
      <c r="GK355" s="199"/>
      <c r="GO355" s="322"/>
      <c r="GP355" s="1190"/>
      <c r="GQ355" s="1190"/>
      <c r="GS355" s="2879"/>
      <c r="GT355" s="2880"/>
      <c r="GU355" s="2881"/>
    </row>
    <row r="356" spans="1:203" ht="12" customHeight="1">
      <c r="A356" s="1252"/>
      <c r="B356" s="200"/>
      <c r="C356" s="486"/>
      <c r="T356" s="1186"/>
      <c r="U356" s="233"/>
      <c r="W356" s="218"/>
      <c r="X356" s="218"/>
      <c r="Y356" s="216"/>
      <c r="Z356" s="216"/>
      <c r="AA356" s="215"/>
      <c r="AB356" s="216"/>
      <c r="AC356" s="216"/>
      <c r="AD356" s="239"/>
      <c r="AE356" s="216"/>
      <c r="AF356" s="216"/>
      <c r="AG356" s="216"/>
      <c r="AH356" s="216"/>
      <c r="AI356" s="216"/>
      <c r="AJ356" s="216"/>
      <c r="AK356" s="239"/>
      <c r="AL356" s="216"/>
      <c r="AM356" s="216"/>
      <c r="AN356" s="216"/>
      <c r="AO356" s="216"/>
      <c r="AP356" s="216"/>
      <c r="AQ356" s="216"/>
      <c r="AR356" s="216"/>
      <c r="AS356" s="216"/>
      <c r="AT356" s="216"/>
      <c r="AU356" s="216"/>
      <c r="AV356" s="217"/>
      <c r="AW356" s="355"/>
      <c r="AX356" s="217"/>
      <c r="AY356" s="1559"/>
      <c r="AZ356" s="249"/>
      <c r="BA356" s="221"/>
      <c r="BB356" s="300"/>
      <c r="BC356" s="217"/>
      <c r="BD356" s="392"/>
      <c r="BE356" s="1244"/>
      <c r="BF356" s="249"/>
      <c r="BG356" s="252"/>
      <c r="BH356" s="1469"/>
      <c r="BI356" s="216"/>
      <c r="BJ356" s="1469"/>
      <c r="BK356" s="1459"/>
      <c r="BL356" s="260"/>
      <c r="BM356" s="214"/>
      <c r="BN356" s="293"/>
      <c r="BO356" s="217"/>
      <c r="BP356" s="355"/>
      <c r="BQ356" s="217"/>
      <c r="BR356" s="1193"/>
      <c r="BS356" s="249"/>
      <c r="BT356" s="216"/>
      <c r="BU356" s="1195"/>
      <c r="BV356" s="249"/>
      <c r="BW356" s="216"/>
      <c r="BX356" s="1195"/>
      <c r="BY356" s="249"/>
      <c r="BZ356" s="216"/>
      <c r="CA356" s="1195"/>
      <c r="CB356" s="249"/>
      <c r="CC356" s="216"/>
      <c r="CD356" s="1195"/>
      <c r="CE356" s="249"/>
      <c r="CF356" s="216"/>
      <c r="CG356" s="1195"/>
      <c r="CH356" s="249"/>
      <c r="CI356" s="216"/>
      <c r="CJ356" s="1195"/>
      <c r="CK356" s="249"/>
      <c r="CL356" s="216"/>
      <c r="CM356" s="1194"/>
      <c r="CN356" s="1524"/>
      <c r="CO356" s="217"/>
      <c r="CP356" s="1193"/>
      <c r="CQ356" s="293"/>
      <c r="CR356" s="217"/>
      <c r="CS356" s="305"/>
      <c r="CT356" s="249"/>
      <c r="CU356" s="216"/>
      <c r="CV356" s="1193"/>
      <c r="CW356" s="249"/>
      <c r="CX356" s="216"/>
      <c r="CY356" s="305"/>
      <c r="CZ356" s="249"/>
      <c r="DA356" s="216"/>
      <c r="DB356" s="307"/>
      <c r="DC356" s="328"/>
      <c r="DD356" s="322"/>
      <c r="DE356" s="305"/>
      <c r="DF356" s="249"/>
      <c r="DG356" s="216"/>
      <c r="DH356" s="305"/>
      <c r="DI356" s="249"/>
      <c r="DJ356" s="216"/>
      <c r="DK356" s="309"/>
      <c r="DL356" s="293"/>
      <c r="DM356" s="326"/>
      <c r="DN356" s="1256"/>
      <c r="DO356" s="214"/>
      <c r="DP356" s="1257"/>
      <c r="DQ356" s="1258"/>
      <c r="DR356" s="305"/>
      <c r="DS356" s="249"/>
      <c r="DT356" s="216"/>
      <c r="DU356" s="305"/>
      <c r="DV356" s="2520"/>
      <c r="DW356" s="2521"/>
      <c r="DX356" s="305"/>
      <c r="DY356" s="249"/>
      <c r="DZ356" s="221"/>
      <c r="EA356" s="388"/>
      <c r="EB356" s="249"/>
      <c r="EC356" s="216"/>
      <c r="ED356" s="1461"/>
      <c r="EE356" s="249"/>
      <c r="EF356" s="216"/>
      <c r="EG356" s="355"/>
      <c r="EH356" s="1425"/>
      <c r="EI356" s="1470"/>
      <c r="EJ356" s="249"/>
      <c r="EK356" s="221"/>
      <c r="EL356" s="313"/>
      <c r="EM356" s="249"/>
      <c r="EN356" s="221"/>
      <c r="EO356" s="313"/>
      <c r="EP356" s="249"/>
      <c r="EQ356" s="216"/>
      <c r="ER356" s="313"/>
      <c r="ES356" s="249"/>
      <c r="ET356" s="216"/>
      <c r="EU356" s="313"/>
      <c r="EV356" s="249"/>
      <c r="EW356" s="216"/>
      <c r="EX356" s="2505"/>
      <c r="EY356" s="249"/>
      <c r="EZ356" s="221"/>
      <c r="FA356" s="313"/>
      <c r="FB356" s="249"/>
      <c r="FC356" s="221"/>
      <c r="FD356" s="313"/>
      <c r="FE356" s="249"/>
      <c r="FF356" s="221"/>
      <c r="FG356" s="313"/>
      <c r="FH356" s="249"/>
      <c r="FI356" s="216"/>
      <c r="FJ356" s="1435"/>
      <c r="FK356" s="216"/>
      <c r="FL356" s="1268"/>
      <c r="FM356" s="1655"/>
      <c r="FN356" s="1268"/>
      <c r="FO356" s="1655"/>
      <c r="FP356" s="1268"/>
      <c r="FQ356" s="1656"/>
      <c r="FR356" s="249"/>
      <c r="FS356" s="216"/>
      <c r="FT356" s="1657"/>
      <c r="FU356" s="1658"/>
      <c r="FV356" s="242"/>
      <c r="FW356" s="343"/>
      <c r="FX356" s="222"/>
      <c r="FY356" s="336"/>
      <c r="FZ356" s="223"/>
      <c r="GA356" s="338"/>
      <c r="GB356" s="204"/>
      <c r="GC356" s="339"/>
      <c r="GD356" s="342"/>
      <c r="GE356" s="199"/>
      <c r="GF356" s="199"/>
      <c r="GG356" s="199"/>
      <c r="GH356" s="199"/>
      <c r="GI356" s="199"/>
      <c r="GJ356" s="199"/>
      <c r="GK356" s="199"/>
      <c r="GO356" s="322"/>
      <c r="GP356" s="1190"/>
      <c r="GQ356" s="1190"/>
      <c r="GS356" s="2879"/>
      <c r="GT356" s="2880"/>
      <c r="GU356" s="2881"/>
    </row>
    <row r="357" spans="1:203" ht="12" customHeight="1">
      <c r="A357" s="1252"/>
      <c r="B357" s="200"/>
      <c r="C357" s="486"/>
      <c r="T357" s="1186"/>
      <c r="U357" s="233"/>
      <c r="W357" s="218"/>
      <c r="X357" s="218"/>
      <c r="Y357" s="216"/>
      <c r="Z357" s="216"/>
      <c r="AA357" s="215"/>
      <c r="AB357" s="216"/>
      <c r="AC357" s="216"/>
      <c r="AD357" s="239"/>
      <c r="AE357" s="216"/>
      <c r="AF357" s="216"/>
      <c r="AG357" s="216"/>
      <c r="AH357" s="216"/>
      <c r="AI357" s="216"/>
      <c r="AJ357" s="216"/>
      <c r="AK357" s="239"/>
      <c r="AL357" s="216"/>
      <c r="AM357" s="216"/>
      <c r="AN357" s="216"/>
      <c r="AO357" s="216"/>
      <c r="AP357" s="216"/>
      <c r="AQ357" s="216"/>
      <c r="AR357" s="216"/>
      <c r="AS357" s="216"/>
      <c r="AT357" s="216"/>
      <c r="AU357" s="216"/>
      <c r="AV357" s="217"/>
      <c r="AW357" s="355"/>
      <c r="AX357" s="217"/>
      <c r="AY357" s="1559"/>
      <c r="AZ357" s="249"/>
      <c r="BA357" s="221"/>
      <c r="BB357" s="300"/>
      <c r="BC357" s="217"/>
      <c r="BD357" s="392"/>
      <c r="BE357" s="1244"/>
      <c r="BF357" s="249"/>
      <c r="BG357" s="252"/>
      <c r="BH357" s="1469"/>
      <c r="BI357" s="216"/>
      <c r="BJ357" s="1469"/>
      <c r="BK357" s="1459"/>
      <c r="BL357" s="260"/>
      <c r="BM357" s="214"/>
      <c r="BN357" s="293"/>
      <c r="BO357" s="217"/>
      <c r="BP357" s="355"/>
      <c r="BQ357" s="217"/>
      <c r="BR357" s="1193"/>
      <c r="BS357" s="249"/>
      <c r="BT357" s="216"/>
      <c r="BU357" s="1195"/>
      <c r="BV357" s="249"/>
      <c r="BW357" s="216"/>
      <c r="BX357" s="1195"/>
      <c r="BY357" s="249"/>
      <c r="BZ357" s="216"/>
      <c r="CA357" s="1195"/>
      <c r="CB357" s="249"/>
      <c r="CC357" s="216"/>
      <c r="CD357" s="1195"/>
      <c r="CE357" s="249"/>
      <c r="CF357" s="216"/>
      <c r="CG357" s="1195"/>
      <c r="CH357" s="249"/>
      <c r="CI357" s="216"/>
      <c r="CJ357" s="1195"/>
      <c r="CK357" s="249"/>
      <c r="CL357" s="216"/>
      <c r="CM357" s="1194"/>
      <c r="CN357" s="1524"/>
      <c r="CO357" s="217"/>
      <c r="CP357" s="1193"/>
      <c r="CQ357" s="293"/>
      <c r="CR357" s="217"/>
      <c r="CS357" s="305"/>
      <c r="CT357" s="249"/>
      <c r="CU357" s="216"/>
      <c r="CV357" s="1193"/>
      <c r="CW357" s="249"/>
      <c r="CX357" s="216"/>
      <c r="CY357" s="305"/>
      <c r="CZ357" s="249"/>
      <c r="DA357" s="216"/>
      <c r="DB357" s="307"/>
      <c r="DC357" s="328"/>
      <c r="DD357" s="322"/>
      <c r="DE357" s="305"/>
      <c r="DF357" s="249"/>
      <c r="DG357" s="216"/>
      <c r="DH357" s="305"/>
      <c r="DI357" s="249"/>
      <c r="DJ357" s="216"/>
      <c r="DK357" s="309"/>
      <c r="DL357" s="293"/>
      <c r="DM357" s="326"/>
      <c r="DN357" s="1256"/>
      <c r="DO357" s="214"/>
      <c r="DP357" s="1257"/>
      <c r="DQ357" s="1258"/>
      <c r="DR357" s="305"/>
      <c r="DS357" s="249"/>
      <c r="DT357" s="216"/>
      <c r="DU357" s="305"/>
      <c r="DV357" s="2520"/>
      <c r="DW357" s="2521"/>
      <c r="DX357" s="305"/>
      <c r="DY357" s="249"/>
      <c r="DZ357" s="221"/>
      <c r="EA357" s="388"/>
      <c r="EB357" s="249"/>
      <c r="EC357" s="216"/>
      <c r="ED357" s="1461"/>
      <c r="EE357" s="249"/>
      <c r="EF357" s="216"/>
      <c r="EG357" s="355"/>
      <c r="EH357" s="1425"/>
      <c r="EI357" s="1470"/>
      <c r="EJ357" s="249"/>
      <c r="EK357" s="221"/>
      <c r="EL357" s="313"/>
      <c r="EM357" s="249"/>
      <c r="EN357" s="221"/>
      <c r="EO357" s="313"/>
      <c r="EP357" s="249"/>
      <c r="EQ357" s="216"/>
      <c r="ER357" s="313"/>
      <c r="ES357" s="249"/>
      <c r="ET357" s="216"/>
      <c r="EU357" s="313"/>
      <c r="EV357" s="249"/>
      <c r="EW357" s="216"/>
      <c r="EX357" s="2505"/>
      <c r="EY357" s="249"/>
      <c r="EZ357" s="221"/>
      <c r="FA357" s="313"/>
      <c r="FB357" s="249"/>
      <c r="FC357" s="221"/>
      <c r="FD357" s="313"/>
      <c r="FE357" s="249"/>
      <c r="FF357" s="221"/>
      <c r="FG357" s="313"/>
      <c r="FH357" s="249"/>
      <c r="FI357" s="216"/>
      <c r="FJ357" s="1435"/>
      <c r="FK357" s="216"/>
      <c r="FL357" s="1268"/>
      <c r="FM357" s="1655"/>
      <c r="FN357" s="1268"/>
      <c r="FO357" s="1655"/>
      <c r="FP357" s="1268"/>
      <c r="FQ357" s="1656"/>
      <c r="FR357" s="249"/>
      <c r="FS357" s="216"/>
      <c r="FT357" s="1657"/>
      <c r="FU357" s="1658"/>
      <c r="FV357" s="242"/>
      <c r="FW357" s="343"/>
      <c r="FX357" s="222"/>
      <c r="FY357" s="336"/>
      <c r="FZ357" s="223"/>
      <c r="GA357" s="338"/>
      <c r="GB357" s="204"/>
      <c r="GC357" s="339"/>
      <c r="GD357" s="342"/>
      <c r="GE357" s="199"/>
      <c r="GF357" s="199"/>
      <c r="GG357" s="199"/>
      <c r="GH357" s="199"/>
      <c r="GI357" s="199"/>
      <c r="GJ357" s="199"/>
      <c r="GK357" s="199"/>
      <c r="GO357" s="322"/>
      <c r="GP357" s="1190"/>
      <c r="GQ357" s="1190"/>
      <c r="GS357" s="2879"/>
      <c r="GT357" s="2880"/>
      <c r="GU357" s="2881"/>
    </row>
    <row r="358" spans="1:203" ht="12" customHeight="1">
      <c r="A358" s="1252"/>
      <c r="B358" s="200"/>
      <c r="C358" s="486"/>
      <c r="T358" s="1186"/>
      <c r="U358" s="233"/>
      <c r="W358" s="218"/>
      <c r="X358" s="218"/>
      <c r="Y358" s="216"/>
      <c r="Z358" s="216"/>
      <c r="AA358" s="215"/>
      <c r="AB358" s="216"/>
      <c r="AC358" s="216"/>
      <c r="AD358" s="239"/>
      <c r="AE358" s="216"/>
      <c r="AF358" s="216"/>
      <c r="AG358" s="216"/>
      <c r="AH358" s="216"/>
      <c r="AI358" s="216"/>
      <c r="AJ358" s="216"/>
      <c r="AK358" s="239"/>
      <c r="AL358" s="216"/>
      <c r="AM358" s="216"/>
      <c r="AN358" s="216"/>
      <c r="AO358" s="216"/>
      <c r="AP358" s="216"/>
      <c r="AQ358" s="216"/>
      <c r="AR358" s="216"/>
      <c r="AS358" s="216"/>
      <c r="AT358" s="216"/>
      <c r="AU358" s="216"/>
      <c r="AV358" s="217"/>
      <c r="AW358" s="355"/>
      <c r="AX358" s="217"/>
      <c r="AY358" s="1559"/>
      <c r="AZ358" s="249"/>
      <c r="BA358" s="221"/>
      <c r="BB358" s="300"/>
      <c r="BC358" s="217"/>
      <c r="BD358" s="392"/>
      <c r="BE358" s="1244"/>
      <c r="BF358" s="249"/>
      <c r="BG358" s="252"/>
      <c r="BH358" s="1469"/>
      <c r="BI358" s="216"/>
      <c r="BJ358" s="1469"/>
      <c r="BK358" s="1459"/>
      <c r="BL358" s="260"/>
      <c r="BM358" s="214"/>
      <c r="BN358" s="293"/>
      <c r="BO358" s="217"/>
      <c r="BP358" s="355"/>
      <c r="BQ358" s="217"/>
      <c r="BR358" s="1193"/>
      <c r="BS358" s="249"/>
      <c r="BT358" s="216"/>
      <c r="BU358" s="1195"/>
      <c r="BV358" s="249"/>
      <c r="BW358" s="216"/>
      <c r="BX358" s="1195"/>
      <c r="BY358" s="249"/>
      <c r="BZ358" s="216"/>
      <c r="CA358" s="1195"/>
      <c r="CB358" s="249"/>
      <c r="CC358" s="216"/>
      <c r="CD358" s="1195"/>
      <c r="CE358" s="249"/>
      <c r="CF358" s="216"/>
      <c r="CG358" s="1195"/>
      <c r="CH358" s="249"/>
      <c r="CI358" s="216"/>
      <c r="CJ358" s="1195"/>
      <c r="CK358" s="249"/>
      <c r="CL358" s="216"/>
      <c r="CM358" s="1194"/>
      <c r="CN358" s="1524"/>
      <c r="CO358" s="217"/>
      <c r="CP358" s="1193"/>
      <c r="CQ358" s="293"/>
      <c r="CR358" s="217"/>
      <c r="CS358" s="305"/>
      <c r="CT358" s="249"/>
      <c r="CU358" s="216"/>
      <c r="CV358" s="1193"/>
      <c r="CW358" s="249"/>
      <c r="CX358" s="216"/>
      <c r="CY358" s="305"/>
      <c r="CZ358" s="249"/>
      <c r="DA358" s="216"/>
      <c r="DB358" s="307"/>
      <c r="DC358" s="328"/>
      <c r="DD358" s="322"/>
      <c r="DE358" s="305"/>
      <c r="DF358" s="249"/>
      <c r="DG358" s="216"/>
      <c r="DH358" s="305"/>
      <c r="DI358" s="249"/>
      <c r="DJ358" s="216"/>
      <c r="DK358" s="309"/>
      <c r="DL358" s="293"/>
      <c r="DM358" s="326"/>
      <c r="DN358" s="1256"/>
      <c r="DO358" s="214"/>
      <c r="DP358" s="1257"/>
      <c r="DQ358" s="1258"/>
      <c r="DR358" s="305"/>
      <c r="DS358" s="249"/>
      <c r="DT358" s="216"/>
      <c r="DU358" s="305"/>
      <c r="DV358" s="2520"/>
      <c r="DW358" s="2521"/>
      <c r="DX358" s="305"/>
      <c r="DY358" s="249"/>
      <c r="DZ358" s="221"/>
      <c r="EA358" s="388"/>
      <c r="EB358" s="249"/>
      <c r="EC358" s="216"/>
      <c r="ED358" s="1461"/>
      <c r="EE358" s="249"/>
      <c r="EF358" s="216"/>
      <c r="EG358" s="355"/>
      <c r="EH358" s="1425"/>
      <c r="EI358" s="1470"/>
      <c r="EJ358" s="249"/>
      <c r="EK358" s="221"/>
      <c r="EL358" s="313"/>
      <c r="EM358" s="249"/>
      <c r="EN358" s="221"/>
      <c r="EO358" s="313"/>
      <c r="EP358" s="249"/>
      <c r="EQ358" s="216"/>
      <c r="ER358" s="313"/>
      <c r="ES358" s="249"/>
      <c r="ET358" s="216"/>
      <c r="EU358" s="313"/>
      <c r="EV358" s="249"/>
      <c r="EW358" s="216"/>
      <c r="EX358" s="2505"/>
      <c r="EY358" s="249"/>
      <c r="EZ358" s="221"/>
      <c r="FA358" s="313"/>
      <c r="FB358" s="249"/>
      <c r="FC358" s="221"/>
      <c r="FD358" s="313"/>
      <c r="FE358" s="249"/>
      <c r="FF358" s="221"/>
      <c r="FG358" s="313"/>
      <c r="FH358" s="249"/>
      <c r="FI358" s="216"/>
      <c r="FJ358" s="1435"/>
      <c r="FK358" s="216"/>
      <c r="FL358" s="1268"/>
      <c r="FM358" s="1655"/>
      <c r="FN358" s="1268"/>
      <c r="FO358" s="1655"/>
      <c r="FP358" s="1268"/>
      <c r="FQ358" s="1656"/>
      <c r="FR358" s="249"/>
      <c r="FS358" s="216"/>
      <c r="FT358" s="1657"/>
      <c r="FU358" s="1658"/>
      <c r="FV358" s="242"/>
      <c r="FW358" s="343"/>
      <c r="FX358" s="222"/>
      <c r="FY358" s="336"/>
      <c r="FZ358" s="223"/>
      <c r="GA358" s="338"/>
      <c r="GB358" s="204"/>
      <c r="GC358" s="339"/>
      <c r="GD358" s="342"/>
      <c r="GE358" s="199"/>
      <c r="GF358" s="199"/>
      <c r="GG358" s="199"/>
      <c r="GH358" s="199"/>
      <c r="GI358" s="199"/>
      <c r="GJ358" s="199"/>
      <c r="GK358" s="199"/>
      <c r="GO358" s="322"/>
      <c r="GP358" s="1190"/>
      <c r="GQ358" s="1190"/>
      <c r="GS358" s="2879"/>
      <c r="GT358" s="2880"/>
      <c r="GU358" s="2881"/>
    </row>
    <row r="359" spans="1:203" ht="12" customHeight="1">
      <c r="A359" s="1252"/>
      <c r="B359" s="200"/>
      <c r="C359" s="486"/>
      <c r="T359" s="1186"/>
      <c r="U359" s="233"/>
      <c r="W359" s="218"/>
      <c r="X359" s="218"/>
      <c r="Y359" s="216"/>
      <c r="Z359" s="216"/>
      <c r="AA359" s="215"/>
      <c r="AB359" s="216"/>
      <c r="AC359" s="216"/>
      <c r="AD359" s="239"/>
      <c r="AE359" s="216"/>
      <c r="AF359" s="216"/>
      <c r="AG359" s="216"/>
      <c r="AH359" s="216"/>
      <c r="AI359" s="216"/>
      <c r="AJ359" s="216"/>
      <c r="AK359" s="239"/>
      <c r="AL359" s="216"/>
      <c r="AM359" s="216"/>
      <c r="AN359" s="216"/>
      <c r="AO359" s="216"/>
      <c r="AP359" s="216"/>
      <c r="AQ359" s="216"/>
      <c r="AR359" s="216"/>
      <c r="AS359" s="216"/>
      <c r="AT359" s="216"/>
      <c r="AU359" s="216"/>
      <c r="AV359" s="217"/>
      <c r="AW359" s="355"/>
      <c r="AX359" s="217"/>
      <c r="AY359" s="1559"/>
      <c r="AZ359" s="249"/>
      <c r="BA359" s="221"/>
      <c r="BB359" s="300"/>
      <c r="BC359" s="217"/>
      <c r="BD359" s="392"/>
      <c r="BE359" s="1244"/>
      <c r="BF359" s="249"/>
      <c r="BG359" s="252"/>
      <c r="BH359" s="1469"/>
      <c r="BI359" s="216"/>
      <c r="BJ359" s="1469"/>
      <c r="BK359" s="1459"/>
      <c r="BL359" s="260"/>
      <c r="BM359" s="214"/>
      <c r="BN359" s="293"/>
      <c r="BO359" s="217"/>
      <c r="BP359" s="355"/>
      <c r="BQ359" s="217"/>
      <c r="BR359" s="1193"/>
      <c r="BS359" s="249"/>
      <c r="BT359" s="216"/>
      <c r="BU359" s="1195"/>
      <c r="BV359" s="249"/>
      <c r="BW359" s="216"/>
      <c r="BX359" s="1195"/>
      <c r="BY359" s="249"/>
      <c r="BZ359" s="216"/>
      <c r="CA359" s="1195"/>
      <c r="CB359" s="249"/>
      <c r="CC359" s="216"/>
      <c r="CD359" s="1195"/>
      <c r="CE359" s="249"/>
      <c r="CF359" s="216"/>
      <c r="CG359" s="1195"/>
      <c r="CH359" s="249"/>
      <c r="CI359" s="216"/>
      <c r="CJ359" s="1195"/>
      <c r="CK359" s="249"/>
      <c r="CL359" s="216"/>
      <c r="CM359" s="1194"/>
      <c r="CN359" s="1524"/>
      <c r="CO359" s="217"/>
      <c r="CP359" s="1193"/>
      <c r="CQ359" s="293"/>
      <c r="CR359" s="217"/>
      <c r="CS359" s="305"/>
      <c r="CT359" s="249"/>
      <c r="CU359" s="216"/>
      <c r="CV359" s="1193"/>
      <c r="CW359" s="249"/>
      <c r="CX359" s="216"/>
      <c r="CY359" s="305"/>
      <c r="CZ359" s="249"/>
      <c r="DA359" s="216"/>
      <c r="DB359" s="307"/>
      <c r="DC359" s="328"/>
      <c r="DD359" s="322"/>
      <c r="DE359" s="305"/>
      <c r="DF359" s="249"/>
      <c r="DG359" s="216"/>
      <c r="DH359" s="305"/>
      <c r="DI359" s="249"/>
      <c r="DJ359" s="216"/>
      <c r="DK359" s="309"/>
      <c r="DL359" s="293"/>
      <c r="DM359" s="326"/>
      <c r="DN359" s="1256"/>
      <c r="DO359" s="214"/>
      <c r="DP359" s="1257"/>
      <c r="DQ359" s="1258"/>
      <c r="DR359" s="305"/>
      <c r="DS359" s="249"/>
      <c r="DT359" s="216"/>
      <c r="DU359" s="305"/>
      <c r="DV359" s="2520"/>
      <c r="DW359" s="2521"/>
      <c r="DX359" s="305"/>
      <c r="DY359" s="249"/>
      <c r="DZ359" s="221"/>
      <c r="EA359" s="388"/>
      <c r="EB359" s="249"/>
      <c r="EC359" s="216"/>
      <c r="ED359" s="1461"/>
      <c r="EE359" s="249"/>
      <c r="EF359" s="216"/>
      <c r="EG359" s="355"/>
      <c r="EH359" s="1425"/>
      <c r="EI359" s="1470"/>
      <c r="EJ359" s="249"/>
      <c r="EK359" s="221"/>
      <c r="EL359" s="313"/>
      <c r="EM359" s="249"/>
      <c r="EN359" s="221"/>
      <c r="EO359" s="313"/>
      <c r="EP359" s="249"/>
      <c r="EQ359" s="216"/>
      <c r="ER359" s="313"/>
      <c r="ES359" s="249"/>
      <c r="ET359" s="216"/>
      <c r="EU359" s="313"/>
      <c r="EV359" s="249"/>
      <c r="EW359" s="216"/>
      <c r="EX359" s="2505"/>
      <c r="EY359" s="249"/>
      <c r="EZ359" s="221"/>
      <c r="FA359" s="313"/>
      <c r="FB359" s="249"/>
      <c r="FC359" s="221"/>
      <c r="FD359" s="313"/>
      <c r="FE359" s="249"/>
      <c r="FF359" s="221"/>
      <c r="FG359" s="313"/>
      <c r="FH359" s="249"/>
      <c r="FI359" s="216"/>
      <c r="FJ359" s="1435"/>
      <c r="FK359" s="216"/>
      <c r="FL359" s="1268"/>
      <c r="FM359" s="1655"/>
      <c r="FN359" s="1268"/>
      <c r="FO359" s="1655"/>
      <c r="FP359" s="1268"/>
      <c r="FQ359" s="1656"/>
      <c r="FR359" s="249"/>
      <c r="FS359" s="216"/>
      <c r="FT359" s="1657"/>
      <c r="FU359" s="1658"/>
      <c r="FV359" s="242"/>
      <c r="FW359" s="343"/>
      <c r="FX359" s="222"/>
      <c r="FY359" s="336"/>
      <c r="FZ359" s="223"/>
      <c r="GA359" s="338"/>
      <c r="GB359" s="204"/>
      <c r="GC359" s="339"/>
      <c r="GD359" s="342"/>
      <c r="GE359" s="199"/>
      <c r="GF359" s="199"/>
      <c r="GG359" s="199"/>
      <c r="GH359" s="199"/>
      <c r="GI359" s="199"/>
      <c r="GJ359" s="199"/>
      <c r="GK359" s="199"/>
      <c r="GO359" s="322"/>
      <c r="GP359" s="1190"/>
      <c r="GQ359" s="1190"/>
      <c r="GS359" s="2879"/>
      <c r="GT359" s="2880"/>
      <c r="GU359" s="2881"/>
    </row>
    <row r="360" spans="1:203" ht="12" customHeight="1">
      <c r="A360" s="1252"/>
      <c r="B360" s="200"/>
      <c r="C360" s="486"/>
      <c r="T360" s="1186"/>
      <c r="U360" s="233"/>
      <c r="W360" s="218"/>
      <c r="X360" s="218"/>
      <c r="Y360" s="216"/>
      <c r="Z360" s="216"/>
      <c r="AA360" s="215"/>
      <c r="AB360" s="216"/>
      <c r="AC360" s="216"/>
      <c r="AD360" s="239"/>
      <c r="AE360" s="216"/>
      <c r="AF360" s="216"/>
      <c r="AG360" s="216"/>
      <c r="AH360" s="216"/>
      <c r="AI360" s="216"/>
      <c r="AJ360" s="216"/>
      <c r="AK360" s="239"/>
      <c r="AL360" s="216"/>
      <c r="AM360" s="216"/>
      <c r="AN360" s="216"/>
      <c r="AO360" s="216"/>
      <c r="AP360" s="216"/>
      <c r="AQ360" s="216"/>
      <c r="AR360" s="216"/>
      <c r="AS360" s="216"/>
      <c r="AT360" s="216"/>
      <c r="AU360" s="216"/>
      <c r="AV360" s="217"/>
      <c r="AW360" s="355"/>
      <c r="AX360" s="217"/>
      <c r="AY360" s="1559"/>
      <c r="AZ360" s="249"/>
      <c r="BA360" s="221"/>
      <c r="BB360" s="300"/>
      <c r="BC360" s="217"/>
      <c r="BD360" s="392"/>
      <c r="BE360" s="1244"/>
      <c r="BF360" s="249"/>
      <c r="BG360" s="252"/>
      <c r="BH360" s="1469"/>
      <c r="BI360" s="216"/>
      <c r="BJ360" s="1469"/>
      <c r="BK360" s="1459"/>
      <c r="BL360" s="260"/>
      <c r="BM360" s="214"/>
      <c r="BN360" s="293"/>
      <c r="BO360" s="217"/>
      <c r="BP360" s="355"/>
      <c r="BQ360" s="217"/>
      <c r="BR360" s="1193"/>
      <c r="BS360" s="249"/>
      <c r="BT360" s="216"/>
      <c r="BU360" s="1195"/>
      <c r="BV360" s="249"/>
      <c r="BW360" s="216"/>
      <c r="BX360" s="1195"/>
      <c r="BY360" s="249"/>
      <c r="BZ360" s="216"/>
      <c r="CA360" s="1195"/>
      <c r="CB360" s="249"/>
      <c r="CC360" s="216"/>
      <c r="CD360" s="1195"/>
      <c r="CE360" s="249"/>
      <c r="CF360" s="216"/>
      <c r="CG360" s="1195"/>
      <c r="CH360" s="249"/>
      <c r="CI360" s="216"/>
      <c r="CJ360" s="1195"/>
      <c r="CK360" s="249"/>
      <c r="CL360" s="216"/>
      <c r="CM360" s="1194"/>
      <c r="CN360" s="1524"/>
      <c r="CO360" s="217"/>
      <c r="CP360" s="1193"/>
      <c r="CQ360" s="293"/>
      <c r="CR360" s="217"/>
      <c r="CS360" s="305"/>
      <c r="CT360" s="249"/>
      <c r="CU360" s="216"/>
      <c r="CV360" s="1193"/>
      <c r="CW360" s="249"/>
      <c r="CX360" s="216"/>
      <c r="CY360" s="305"/>
      <c r="CZ360" s="249"/>
      <c r="DA360" s="216"/>
      <c r="DB360" s="307"/>
      <c r="DC360" s="328"/>
      <c r="DD360" s="322"/>
      <c r="DE360" s="305"/>
      <c r="DF360" s="249"/>
      <c r="DG360" s="216"/>
      <c r="DH360" s="305"/>
      <c r="DI360" s="249"/>
      <c r="DJ360" s="216"/>
      <c r="DK360" s="309"/>
      <c r="DL360" s="293"/>
      <c r="DM360" s="326"/>
      <c r="DN360" s="1256"/>
      <c r="DO360" s="214"/>
      <c r="DP360" s="1257"/>
      <c r="DQ360" s="1258"/>
      <c r="DR360" s="305"/>
      <c r="DS360" s="249"/>
      <c r="DT360" s="216"/>
      <c r="DU360" s="305"/>
      <c r="DV360" s="2520"/>
      <c r="DW360" s="2521"/>
      <c r="DX360" s="305"/>
      <c r="DY360" s="249"/>
      <c r="DZ360" s="221"/>
      <c r="EA360" s="388"/>
      <c r="EB360" s="249"/>
      <c r="EC360" s="216"/>
      <c r="ED360" s="1461"/>
      <c r="EE360" s="249"/>
      <c r="EF360" s="216"/>
      <c r="EG360" s="355"/>
      <c r="EH360" s="1425"/>
      <c r="EI360" s="1470"/>
      <c r="EJ360" s="249"/>
      <c r="EK360" s="221"/>
      <c r="EL360" s="313"/>
      <c r="EM360" s="249"/>
      <c r="EN360" s="221"/>
      <c r="EO360" s="313"/>
      <c r="EP360" s="249"/>
      <c r="EQ360" s="216"/>
      <c r="ER360" s="313"/>
      <c r="ES360" s="249"/>
      <c r="ET360" s="216"/>
      <c r="EU360" s="313"/>
      <c r="EV360" s="249"/>
      <c r="EW360" s="216"/>
      <c r="EX360" s="2505"/>
      <c r="EY360" s="249"/>
      <c r="EZ360" s="221"/>
      <c r="FA360" s="313"/>
      <c r="FB360" s="249"/>
      <c r="FC360" s="221"/>
      <c r="FD360" s="313"/>
      <c r="FE360" s="249"/>
      <c r="FF360" s="221"/>
      <c r="FG360" s="313"/>
      <c r="FH360" s="249"/>
      <c r="FI360" s="216"/>
      <c r="FJ360" s="1435"/>
      <c r="FK360" s="216"/>
      <c r="FL360" s="1268"/>
      <c r="FM360" s="1655"/>
      <c r="FN360" s="1268"/>
      <c r="FO360" s="1655"/>
      <c r="FP360" s="1268"/>
      <c r="FQ360" s="1656"/>
      <c r="FR360" s="249"/>
      <c r="FS360" s="216"/>
      <c r="FT360" s="1657"/>
      <c r="FU360" s="1658"/>
      <c r="FV360" s="242"/>
      <c r="FW360" s="343"/>
      <c r="FX360" s="222"/>
      <c r="FY360" s="336"/>
      <c r="FZ360" s="223"/>
      <c r="GA360" s="338"/>
      <c r="GB360" s="204"/>
      <c r="GC360" s="339"/>
      <c r="GD360" s="342"/>
      <c r="GE360" s="199"/>
      <c r="GF360" s="199"/>
      <c r="GG360" s="199"/>
      <c r="GH360" s="199"/>
      <c r="GI360" s="199"/>
      <c r="GJ360" s="199"/>
      <c r="GK360" s="199"/>
      <c r="GO360" s="322"/>
      <c r="GP360" s="1190"/>
      <c r="GQ360" s="1190"/>
      <c r="GS360" s="2879"/>
      <c r="GT360" s="2880"/>
      <c r="GU360" s="2881"/>
    </row>
    <row r="361" spans="1:203" ht="12" customHeight="1">
      <c r="A361" s="1252"/>
      <c r="B361" s="200"/>
      <c r="C361" s="486"/>
      <c r="T361" s="1186"/>
      <c r="U361" s="233"/>
      <c r="W361" s="218"/>
      <c r="X361" s="218"/>
      <c r="Y361" s="216"/>
      <c r="Z361" s="216"/>
      <c r="AA361" s="215"/>
      <c r="AB361" s="216"/>
      <c r="AC361" s="216"/>
      <c r="AD361" s="239"/>
      <c r="AE361" s="216"/>
      <c r="AF361" s="216"/>
      <c r="AG361" s="216"/>
      <c r="AH361" s="216"/>
      <c r="AI361" s="216"/>
      <c r="AJ361" s="216"/>
      <c r="AK361" s="239"/>
      <c r="AL361" s="216"/>
      <c r="AM361" s="216"/>
      <c r="AN361" s="216"/>
      <c r="AO361" s="216"/>
      <c r="AP361" s="216"/>
      <c r="AQ361" s="216"/>
      <c r="AR361" s="216"/>
      <c r="AS361" s="216"/>
      <c r="AT361" s="216"/>
      <c r="AU361" s="216"/>
      <c r="AV361" s="217"/>
      <c r="AW361" s="355"/>
      <c r="AX361" s="217"/>
      <c r="AY361" s="1559"/>
      <c r="AZ361" s="249"/>
      <c r="BA361" s="221"/>
      <c r="BB361" s="300"/>
      <c r="BC361" s="217"/>
      <c r="BD361" s="392"/>
      <c r="BE361" s="1244"/>
      <c r="BF361" s="249"/>
      <c r="BG361" s="252"/>
      <c r="BH361" s="1469"/>
      <c r="BI361" s="216"/>
      <c r="BJ361" s="1469"/>
      <c r="BK361" s="1459"/>
      <c r="BL361" s="260"/>
      <c r="BM361" s="214"/>
      <c r="BN361" s="293"/>
      <c r="BO361" s="217"/>
      <c r="BP361" s="355"/>
      <c r="BQ361" s="217"/>
      <c r="BR361" s="1193"/>
      <c r="BS361" s="249"/>
      <c r="BT361" s="216"/>
      <c r="BU361" s="1195"/>
      <c r="BV361" s="249"/>
      <c r="BW361" s="216"/>
      <c r="BX361" s="1195"/>
      <c r="BY361" s="249"/>
      <c r="BZ361" s="216"/>
      <c r="CA361" s="1195"/>
      <c r="CB361" s="249"/>
      <c r="CC361" s="216"/>
      <c r="CD361" s="1195"/>
      <c r="CE361" s="249"/>
      <c r="CF361" s="216"/>
      <c r="CG361" s="1195"/>
      <c r="CH361" s="249"/>
      <c r="CI361" s="216"/>
      <c r="CJ361" s="1195"/>
      <c r="CK361" s="249"/>
      <c r="CL361" s="216"/>
      <c r="CM361" s="1194"/>
      <c r="CN361" s="1524"/>
      <c r="CO361" s="217"/>
      <c r="CP361" s="1193"/>
      <c r="CQ361" s="293"/>
      <c r="CR361" s="217"/>
      <c r="CS361" s="305"/>
      <c r="CT361" s="249"/>
      <c r="CU361" s="216"/>
      <c r="CV361" s="1193"/>
      <c r="CW361" s="249"/>
      <c r="CX361" s="216"/>
      <c r="CY361" s="305"/>
      <c r="CZ361" s="249"/>
      <c r="DA361" s="216"/>
      <c r="DB361" s="307"/>
      <c r="DC361" s="328"/>
      <c r="DD361" s="322"/>
      <c r="DE361" s="305"/>
      <c r="DF361" s="249"/>
      <c r="DG361" s="216"/>
      <c r="DH361" s="305"/>
      <c r="DI361" s="249"/>
      <c r="DJ361" s="216"/>
      <c r="DK361" s="309"/>
      <c r="DL361" s="293"/>
      <c r="DM361" s="326"/>
      <c r="DN361" s="1256"/>
      <c r="DO361" s="214"/>
      <c r="DP361" s="1257"/>
      <c r="DQ361" s="1258"/>
      <c r="DR361" s="305"/>
      <c r="DS361" s="249"/>
      <c r="DT361" s="216"/>
      <c r="DU361" s="305"/>
      <c r="DV361" s="2520"/>
      <c r="DW361" s="2521"/>
      <c r="DX361" s="305"/>
      <c r="DY361" s="249"/>
      <c r="DZ361" s="221"/>
      <c r="EA361" s="388"/>
      <c r="EB361" s="249"/>
      <c r="EC361" s="216"/>
      <c r="ED361" s="1461"/>
      <c r="EE361" s="249"/>
      <c r="EF361" s="216"/>
      <c r="EG361" s="355"/>
      <c r="EH361" s="1425"/>
      <c r="EI361" s="1470"/>
      <c r="EJ361" s="249"/>
      <c r="EK361" s="221"/>
      <c r="EL361" s="313"/>
      <c r="EM361" s="249"/>
      <c r="EN361" s="221"/>
      <c r="EO361" s="313"/>
      <c r="EP361" s="249"/>
      <c r="EQ361" s="216"/>
      <c r="ER361" s="313"/>
      <c r="ES361" s="249"/>
      <c r="ET361" s="216"/>
      <c r="EU361" s="313"/>
      <c r="EV361" s="249"/>
      <c r="EW361" s="216"/>
      <c r="EX361" s="2505"/>
      <c r="EY361" s="249"/>
      <c r="EZ361" s="221"/>
      <c r="FA361" s="313"/>
      <c r="FB361" s="249"/>
      <c r="FC361" s="221"/>
      <c r="FD361" s="313"/>
      <c r="FE361" s="249"/>
      <c r="FF361" s="221"/>
      <c r="FG361" s="313"/>
      <c r="FH361" s="249"/>
      <c r="FI361" s="216"/>
      <c r="FJ361" s="1435"/>
      <c r="FK361" s="216"/>
      <c r="FL361" s="1268"/>
      <c r="FM361" s="1655"/>
      <c r="FN361" s="1268"/>
      <c r="FO361" s="1655"/>
      <c r="FP361" s="1268"/>
      <c r="FQ361" s="1656"/>
      <c r="FR361" s="249"/>
      <c r="FS361" s="216"/>
      <c r="FT361" s="1657"/>
      <c r="FU361" s="1658"/>
      <c r="FV361" s="242"/>
      <c r="FW361" s="343"/>
      <c r="FX361" s="222"/>
      <c r="FY361" s="336"/>
      <c r="FZ361" s="223"/>
      <c r="GA361" s="338"/>
      <c r="GB361" s="204"/>
      <c r="GC361" s="339"/>
      <c r="GD361" s="342"/>
      <c r="GE361" s="199"/>
      <c r="GF361" s="199"/>
      <c r="GG361" s="199"/>
      <c r="GH361" s="199"/>
      <c r="GI361" s="199"/>
      <c r="GJ361" s="199"/>
      <c r="GK361" s="199"/>
      <c r="GO361" s="322"/>
      <c r="GP361" s="1190"/>
      <c r="GQ361" s="1190"/>
      <c r="GS361" s="2879"/>
      <c r="GT361" s="2880"/>
      <c r="GU361" s="2881"/>
    </row>
    <row r="362" spans="1:203" ht="12" customHeight="1">
      <c r="A362" s="1252"/>
      <c r="B362" s="200"/>
      <c r="C362" s="486"/>
      <c r="T362" s="1186"/>
      <c r="U362" s="233"/>
      <c r="W362" s="218"/>
      <c r="X362" s="218"/>
      <c r="Y362" s="216"/>
      <c r="Z362" s="216"/>
      <c r="AA362" s="215"/>
      <c r="AB362" s="216"/>
      <c r="AC362" s="216"/>
      <c r="AD362" s="239"/>
      <c r="AE362" s="216"/>
      <c r="AF362" s="216"/>
      <c r="AG362" s="216"/>
      <c r="AH362" s="216"/>
      <c r="AI362" s="216"/>
      <c r="AJ362" s="216"/>
      <c r="AK362" s="239"/>
      <c r="AL362" s="216"/>
      <c r="AM362" s="216"/>
      <c r="AN362" s="216"/>
      <c r="AO362" s="216"/>
      <c r="AP362" s="216"/>
      <c r="AQ362" s="216"/>
      <c r="AR362" s="216"/>
      <c r="AS362" s="216"/>
      <c r="AT362" s="216"/>
      <c r="AU362" s="216"/>
      <c r="AV362" s="217"/>
      <c r="AW362" s="355"/>
      <c r="AX362" s="217"/>
      <c r="AY362" s="1559"/>
      <c r="AZ362" s="249"/>
      <c r="BA362" s="221"/>
      <c r="BB362" s="300"/>
      <c r="BC362" s="217"/>
      <c r="BD362" s="392"/>
      <c r="BE362" s="1244"/>
      <c r="BF362" s="249"/>
      <c r="BG362" s="252"/>
      <c r="BH362" s="1469"/>
      <c r="BI362" s="216"/>
      <c r="BJ362" s="1469"/>
      <c r="BK362" s="1459"/>
      <c r="BL362" s="260"/>
      <c r="BM362" s="214"/>
      <c r="BN362" s="293"/>
      <c r="BO362" s="217"/>
      <c r="BP362" s="355"/>
      <c r="BQ362" s="217"/>
      <c r="BR362" s="1193"/>
      <c r="BS362" s="249"/>
      <c r="BT362" s="216"/>
      <c r="BU362" s="1195"/>
      <c r="BV362" s="249"/>
      <c r="BW362" s="216"/>
      <c r="BX362" s="1195"/>
      <c r="BY362" s="249"/>
      <c r="BZ362" s="216"/>
      <c r="CA362" s="1195"/>
      <c r="CB362" s="249"/>
      <c r="CC362" s="216"/>
      <c r="CD362" s="1195"/>
      <c r="CE362" s="249"/>
      <c r="CF362" s="216"/>
      <c r="CG362" s="1195"/>
      <c r="CH362" s="249"/>
      <c r="CI362" s="216"/>
      <c r="CJ362" s="1195"/>
      <c r="CK362" s="249"/>
      <c r="CL362" s="216"/>
      <c r="CM362" s="1194"/>
      <c r="CN362" s="1524"/>
      <c r="CO362" s="217"/>
      <c r="CP362" s="1193"/>
      <c r="CQ362" s="293"/>
      <c r="CR362" s="217"/>
      <c r="CS362" s="305"/>
      <c r="CT362" s="249"/>
      <c r="CU362" s="216"/>
      <c r="CV362" s="1193"/>
      <c r="CW362" s="249"/>
      <c r="CX362" s="216"/>
      <c r="CY362" s="305"/>
      <c r="CZ362" s="249"/>
      <c r="DA362" s="216"/>
      <c r="DB362" s="307"/>
      <c r="DC362" s="328"/>
      <c r="DD362" s="322"/>
      <c r="DE362" s="305"/>
      <c r="DF362" s="249"/>
      <c r="DG362" s="216"/>
      <c r="DH362" s="305"/>
      <c r="DI362" s="249"/>
      <c r="DJ362" s="216"/>
      <c r="DK362" s="309"/>
      <c r="DL362" s="293"/>
      <c r="DM362" s="326"/>
      <c r="DN362" s="1256"/>
      <c r="DO362" s="214"/>
      <c r="DP362" s="1257"/>
      <c r="DQ362" s="1258"/>
      <c r="DR362" s="305"/>
      <c r="DS362" s="249"/>
      <c r="DT362" s="216"/>
      <c r="DU362" s="305"/>
      <c r="DV362" s="2520"/>
      <c r="DW362" s="2521"/>
      <c r="DX362" s="305"/>
      <c r="DY362" s="249"/>
      <c r="DZ362" s="221"/>
      <c r="EA362" s="388"/>
      <c r="EB362" s="249"/>
      <c r="EC362" s="216"/>
      <c r="ED362" s="1461"/>
      <c r="EE362" s="249"/>
      <c r="EF362" s="216"/>
      <c r="EG362" s="355"/>
      <c r="EH362" s="1425"/>
      <c r="EI362" s="1470"/>
      <c r="EJ362" s="249"/>
      <c r="EK362" s="221"/>
      <c r="EL362" s="313"/>
      <c r="EM362" s="249"/>
      <c r="EN362" s="221"/>
      <c r="EO362" s="313"/>
      <c r="EP362" s="249"/>
      <c r="EQ362" s="216"/>
      <c r="ER362" s="313"/>
      <c r="ES362" s="249"/>
      <c r="ET362" s="216"/>
      <c r="EU362" s="313"/>
      <c r="EV362" s="249"/>
      <c r="EW362" s="216"/>
      <c r="EX362" s="2505"/>
      <c r="EY362" s="249"/>
      <c r="EZ362" s="221"/>
      <c r="FA362" s="313"/>
      <c r="FB362" s="249"/>
      <c r="FC362" s="221"/>
      <c r="FD362" s="313"/>
      <c r="FE362" s="249"/>
      <c r="FF362" s="221"/>
      <c r="FG362" s="313"/>
      <c r="FH362" s="249"/>
      <c r="FI362" s="216"/>
      <c r="FJ362" s="1435"/>
      <c r="FK362" s="216"/>
      <c r="FL362" s="1268"/>
      <c r="FM362" s="1655"/>
      <c r="FN362" s="1268"/>
      <c r="FO362" s="1655"/>
      <c r="FP362" s="1268"/>
      <c r="FQ362" s="1656"/>
      <c r="FR362" s="249"/>
      <c r="FS362" s="216"/>
      <c r="FT362" s="1657"/>
      <c r="FU362" s="1658"/>
      <c r="FV362" s="242"/>
      <c r="FW362" s="343"/>
      <c r="FX362" s="222"/>
      <c r="FY362" s="336"/>
      <c r="FZ362" s="223"/>
      <c r="GA362" s="338"/>
      <c r="GB362" s="204"/>
      <c r="GC362" s="339"/>
      <c r="GD362" s="342"/>
      <c r="GE362" s="199"/>
      <c r="GF362" s="199"/>
      <c r="GG362" s="199"/>
      <c r="GH362" s="199"/>
      <c r="GI362" s="199"/>
      <c r="GJ362" s="199"/>
      <c r="GK362" s="199"/>
      <c r="GO362" s="322"/>
      <c r="GP362" s="1190"/>
      <c r="GQ362" s="1190"/>
      <c r="GS362" s="2879"/>
      <c r="GT362" s="2880"/>
      <c r="GU362" s="2881"/>
    </row>
    <row r="363" spans="1:203" ht="12" customHeight="1">
      <c r="A363" s="1252"/>
      <c r="B363" s="200"/>
      <c r="C363" s="486"/>
      <c r="T363" s="1186"/>
      <c r="U363" s="233"/>
      <c r="W363" s="218"/>
      <c r="X363" s="218"/>
      <c r="Y363" s="216"/>
      <c r="Z363" s="216"/>
      <c r="AA363" s="215"/>
      <c r="AB363" s="216"/>
      <c r="AC363" s="216"/>
      <c r="AD363" s="239"/>
      <c r="AE363" s="216"/>
      <c r="AF363" s="216"/>
      <c r="AG363" s="216"/>
      <c r="AH363" s="216"/>
      <c r="AI363" s="216"/>
      <c r="AJ363" s="216"/>
      <c r="AK363" s="239"/>
      <c r="AL363" s="216"/>
      <c r="AM363" s="216"/>
      <c r="AN363" s="216"/>
      <c r="AO363" s="216"/>
      <c r="AP363" s="216"/>
      <c r="AQ363" s="216"/>
      <c r="AR363" s="216"/>
      <c r="AS363" s="216"/>
      <c r="AT363" s="216"/>
      <c r="AU363" s="216"/>
      <c r="AV363" s="217"/>
      <c r="AW363" s="355"/>
      <c r="AX363" s="217"/>
      <c r="AY363" s="1559"/>
      <c r="AZ363" s="249"/>
      <c r="BA363" s="221"/>
      <c r="BB363" s="300"/>
      <c r="BC363" s="217"/>
      <c r="BD363" s="392"/>
      <c r="BE363" s="1244"/>
      <c r="BF363" s="249"/>
      <c r="BG363" s="252"/>
      <c r="BH363" s="1469"/>
      <c r="BI363" s="216"/>
      <c r="BJ363" s="1469"/>
      <c r="BK363" s="1459"/>
      <c r="BL363" s="260"/>
      <c r="BM363" s="214"/>
      <c r="BN363" s="293"/>
      <c r="BO363" s="217"/>
      <c r="BP363" s="355"/>
      <c r="BQ363" s="217"/>
      <c r="BR363" s="1193"/>
      <c r="BS363" s="249"/>
      <c r="BT363" s="216"/>
      <c r="BU363" s="1195"/>
      <c r="BV363" s="249"/>
      <c r="BW363" s="216"/>
      <c r="BX363" s="1195"/>
      <c r="BY363" s="249"/>
      <c r="BZ363" s="216"/>
      <c r="CA363" s="1195"/>
      <c r="CB363" s="249"/>
      <c r="CC363" s="216"/>
      <c r="CD363" s="1195"/>
      <c r="CE363" s="249"/>
      <c r="CF363" s="216"/>
      <c r="CG363" s="1195"/>
      <c r="CH363" s="249"/>
      <c r="CI363" s="216"/>
      <c r="CJ363" s="1195"/>
      <c r="CK363" s="249"/>
      <c r="CL363" s="216"/>
      <c r="CM363" s="1194"/>
      <c r="CN363" s="1524"/>
      <c r="CO363" s="217"/>
      <c r="CP363" s="1193"/>
      <c r="CQ363" s="293"/>
      <c r="CR363" s="217"/>
      <c r="CS363" s="305"/>
      <c r="CT363" s="249"/>
      <c r="CU363" s="216"/>
      <c r="CV363" s="1193"/>
      <c r="CW363" s="249"/>
      <c r="CX363" s="216"/>
      <c r="CY363" s="305"/>
      <c r="CZ363" s="249"/>
      <c r="DA363" s="216"/>
      <c r="DB363" s="307"/>
      <c r="DC363" s="328"/>
      <c r="DD363" s="322"/>
      <c r="DE363" s="305"/>
      <c r="DF363" s="249"/>
      <c r="DG363" s="216"/>
      <c r="DH363" s="305"/>
      <c r="DI363" s="249"/>
      <c r="DJ363" s="216"/>
      <c r="DK363" s="309"/>
      <c r="DL363" s="293"/>
      <c r="DM363" s="326"/>
      <c r="DN363" s="1256"/>
      <c r="DO363" s="214"/>
      <c r="DP363" s="1257"/>
      <c r="DQ363" s="1258"/>
      <c r="DR363" s="305"/>
      <c r="DS363" s="249"/>
      <c r="DT363" s="216"/>
      <c r="DU363" s="305"/>
      <c r="DV363" s="2520"/>
      <c r="DW363" s="2521"/>
      <c r="DX363" s="305"/>
      <c r="DY363" s="249"/>
      <c r="DZ363" s="221"/>
      <c r="EA363" s="388"/>
      <c r="EB363" s="249"/>
      <c r="EC363" s="216"/>
      <c r="ED363" s="1461"/>
      <c r="EE363" s="249"/>
      <c r="EF363" s="216"/>
      <c r="EG363" s="355"/>
      <c r="EH363" s="1425"/>
      <c r="EI363" s="1470"/>
      <c r="EJ363" s="249"/>
      <c r="EK363" s="221"/>
      <c r="EL363" s="313"/>
      <c r="EM363" s="249"/>
      <c r="EN363" s="221"/>
      <c r="EO363" s="313"/>
      <c r="EP363" s="249"/>
      <c r="EQ363" s="216"/>
      <c r="ER363" s="313"/>
      <c r="ES363" s="249"/>
      <c r="ET363" s="216"/>
      <c r="EU363" s="313"/>
      <c r="EV363" s="249"/>
      <c r="EW363" s="216"/>
      <c r="EX363" s="2505"/>
      <c r="EY363" s="249"/>
      <c r="EZ363" s="221"/>
      <c r="FA363" s="313"/>
      <c r="FB363" s="249"/>
      <c r="FC363" s="221"/>
      <c r="FD363" s="313"/>
      <c r="FE363" s="249"/>
      <c r="FF363" s="221"/>
      <c r="FG363" s="313"/>
      <c r="FH363" s="249"/>
      <c r="FI363" s="216"/>
      <c r="FJ363" s="1435"/>
      <c r="FK363" s="216"/>
      <c r="FL363" s="1268"/>
      <c r="FM363" s="1655"/>
      <c r="FN363" s="1268"/>
      <c r="FO363" s="1655"/>
      <c r="FP363" s="1268"/>
      <c r="FQ363" s="1656"/>
      <c r="FR363" s="249"/>
      <c r="FS363" s="216"/>
      <c r="FT363" s="1657"/>
      <c r="FU363" s="1658"/>
      <c r="FV363" s="242"/>
      <c r="FW363" s="343"/>
      <c r="FX363" s="222"/>
      <c r="FY363" s="336"/>
      <c r="FZ363" s="223"/>
      <c r="GA363" s="338"/>
      <c r="GB363" s="204"/>
      <c r="GC363" s="339"/>
      <c r="GD363" s="342"/>
      <c r="GE363" s="199"/>
      <c r="GF363" s="199"/>
      <c r="GG363" s="199"/>
      <c r="GH363" s="199"/>
      <c r="GI363" s="199"/>
      <c r="GJ363" s="199"/>
      <c r="GK363" s="199"/>
      <c r="GO363" s="322"/>
      <c r="GP363" s="1190"/>
      <c r="GQ363" s="1190"/>
      <c r="GS363" s="2879"/>
      <c r="GT363" s="2880"/>
      <c r="GU363" s="2881"/>
    </row>
    <row r="364" spans="1:203" ht="12" customHeight="1">
      <c r="A364" s="1252"/>
      <c r="B364" s="200"/>
      <c r="C364" s="486"/>
      <c r="T364" s="1186"/>
      <c r="U364" s="233"/>
      <c r="W364" s="218"/>
      <c r="X364" s="218"/>
      <c r="Y364" s="216"/>
      <c r="Z364" s="216"/>
      <c r="AA364" s="215"/>
      <c r="AB364" s="216"/>
      <c r="AC364" s="216"/>
      <c r="AD364" s="239"/>
      <c r="AE364" s="216"/>
      <c r="AF364" s="216"/>
      <c r="AG364" s="216"/>
      <c r="AH364" s="216"/>
      <c r="AI364" s="216"/>
      <c r="AJ364" s="216"/>
      <c r="AK364" s="239"/>
      <c r="AL364" s="216"/>
      <c r="AM364" s="216"/>
      <c r="AN364" s="216"/>
      <c r="AO364" s="216"/>
      <c r="AP364" s="216"/>
      <c r="AQ364" s="216"/>
      <c r="AR364" s="216"/>
      <c r="AS364" s="216"/>
      <c r="AT364" s="216"/>
      <c r="AU364" s="216"/>
      <c r="AV364" s="217"/>
      <c r="AW364" s="355"/>
      <c r="AX364" s="217"/>
      <c r="AY364" s="1559"/>
      <c r="AZ364" s="249"/>
      <c r="BA364" s="221"/>
      <c r="BB364" s="300"/>
      <c r="BC364" s="217"/>
      <c r="BD364" s="392"/>
      <c r="BE364" s="1244"/>
      <c r="BF364" s="249"/>
      <c r="BG364" s="252"/>
      <c r="BH364" s="1469"/>
      <c r="BI364" s="216"/>
      <c r="BJ364" s="1469"/>
      <c r="BK364" s="1459"/>
      <c r="BL364" s="260"/>
      <c r="BM364" s="214"/>
      <c r="BN364" s="293"/>
      <c r="BO364" s="217"/>
      <c r="BP364" s="355"/>
      <c r="BQ364" s="217"/>
      <c r="BR364" s="1193"/>
      <c r="BS364" s="249"/>
      <c r="BT364" s="216"/>
      <c r="BU364" s="1195"/>
      <c r="BV364" s="249"/>
      <c r="BW364" s="216"/>
      <c r="BX364" s="1195"/>
      <c r="BY364" s="249"/>
      <c r="BZ364" s="216"/>
      <c r="CA364" s="1195"/>
      <c r="CB364" s="249"/>
      <c r="CC364" s="216"/>
      <c r="CD364" s="1195"/>
      <c r="CE364" s="249"/>
      <c r="CF364" s="216"/>
      <c r="CG364" s="1195"/>
      <c r="CH364" s="249"/>
      <c r="CI364" s="216"/>
      <c r="CJ364" s="1195"/>
      <c r="CK364" s="249"/>
      <c r="CL364" s="216"/>
      <c r="CM364" s="1194"/>
      <c r="CN364" s="1524"/>
      <c r="CO364" s="217"/>
      <c r="CP364" s="1193"/>
      <c r="CQ364" s="293"/>
      <c r="CR364" s="217"/>
      <c r="CS364" s="305"/>
      <c r="CT364" s="249"/>
      <c r="CU364" s="216"/>
      <c r="CV364" s="1193"/>
      <c r="CW364" s="249"/>
      <c r="CX364" s="216"/>
      <c r="CY364" s="305"/>
      <c r="CZ364" s="249"/>
      <c r="DA364" s="216"/>
      <c r="DB364" s="307"/>
      <c r="DC364" s="328"/>
      <c r="DD364" s="322"/>
      <c r="DE364" s="305"/>
      <c r="DF364" s="249"/>
      <c r="DG364" s="216"/>
      <c r="DH364" s="305"/>
      <c r="DI364" s="249"/>
      <c r="DJ364" s="216"/>
      <c r="DK364" s="309"/>
      <c r="DL364" s="293"/>
      <c r="DM364" s="326"/>
      <c r="DN364" s="1256"/>
      <c r="DO364" s="214"/>
      <c r="DP364" s="1257"/>
      <c r="DQ364" s="1258"/>
      <c r="DR364" s="305"/>
      <c r="DS364" s="249"/>
      <c r="DT364" s="216"/>
      <c r="DU364" s="305"/>
      <c r="DV364" s="2520"/>
      <c r="DW364" s="2521"/>
      <c r="DX364" s="305"/>
      <c r="DY364" s="249"/>
      <c r="DZ364" s="221"/>
      <c r="EA364" s="388"/>
      <c r="EB364" s="249"/>
      <c r="EC364" s="216"/>
      <c r="ED364" s="1461"/>
      <c r="EE364" s="249"/>
      <c r="EF364" s="216"/>
      <c r="EG364" s="355"/>
      <c r="EH364" s="1425"/>
      <c r="EI364" s="1470"/>
      <c r="EJ364" s="249"/>
      <c r="EK364" s="221"/>
      <c r="EL364" s="313"/>
      <c r="EM364" s="249"/>
      <c r="EN364" s="221"/>
      <c r="EO364" s="313"/>
      <c r="EP364" s="249"/>
      <c r="EQ364" s="216"/>
      <c r="ER364" s="313"/>
      <c r="ES364" s="249"/>
      <c r="ET364" s="216"/>
      <c r="EU364" s="313"/>
      <c r="EV364" s="249"/>
      <c r="EW364" s="216"/>
      <c r="EX364" s="2505"/>
      <c r="EY364" s="249"/>
      <c r="EZ364" s="221"/>
      <c r="FA364" s="313"/>
      <c r="FB364" s="249"/>
      <c r="FC364" s="221"/>
      <c r="FD364" s="313"/>
      <c r="FE364" s="249"/>
      <c r="FF364" s="221"/>
      <c r="FG364" s="313"/>
      <c r="FH364" s="249"/>
      <c r="FI364" s="216"/>
      <c r="FJ364" s="1435"/>
      <c r="FK364" s="216"/>
      <c r="FL364" s="1268"/>
      <c r="FM364" s="1655"/>
      <c r="FN364" s="1268"/>
      <c r="FO364" s="1655"/>
      <c r="FP364" s="1268"/>
      <c r="FQ364" s="1656"/>
      <c r="FR364" s="249"/>
      <c r="FS364" s="216"/>
      <c r="FT364" s="1657"/>
      <c r="FU364" s="1658"/>
      <c r="FV364" s="242"/>
      <c r="FW364" s="343"/>
      <c r="FX364" s="222"/>
      <c r="FY364" s="336"/>
      <c r="FZ364" s="223"/>
      <c r="GA364" s="338"/>
      <c r="GB364" s="204"/>
      <c r="GC364" s="339"/>
      <c r="GD364" s="342"/>
      <c r="GE364" s="199"/>
      <c r="GF364" s="199"/>
      <c r="GG364" s="199"/>
      <c r="GH364" s="199"/>
      <c r="GI364" s="199"/>
      <c r="GJ364" s="199"/>
      <c r="GK364" s="199"/>
      <c r="GO364" s="322"/>
      <c r="GP364" s="1190"/>
      <c r="GQ364" s="1190"/>
      <c r="GS364" s="2879"/>
      <c r="GT364" s="2880"/>
      <c r="GU364" s="2881"/>
    </row>
    <row r="365" spans="1:203" ht="12" customHeight="1">
      <c r="A365" s="1252"/>
      <c r="B365" s="200"/>
      <c r="C365" s="486"/>
      <c r="T365" s="1186"/>
      <c r="U365" s="233"/>
      <c r="W365" s="218"/>
      <c r="X365" s="218"/>
      <c r="Y365" s="216"/>
      <c r="Z365" s="216"/>
      <c r="AA365" s="215"/>
      <c r="AB365" s="216"/>
      <c r="AC365" s="216"/>
      <c r="AD365" s="239"/>
      <c r="AE365" s="216"/>
      <c r="AF365" s="216"/>
      <c r="AG365" s="216"/>
      <c r="AH365" s="216"/>
      <c r="AI365" s="216"/>
      <c r="AJ365" s="216"/>
      <c r="AK365" s="239"/>
      <c r="AL365" s="216"/>
      <c r="AM365" s="216"/>
      <c r="AN365" s="216"/>
      <c r="AO365" s="216"/>
      <c r="AP365" s="216"/>
      <c r="AQ365" s="216"/>
      <c r="AR365" s="216"/>
      <c r="AS365" s="216"/>
      <c r="AT365" s="216"/>
      <c r="AU365" s="216"/>
      <c r="AV365" s="217"/>
      <c r="AW365" s="355"/>
      <c r="AX365" s="217"/>
      <c r="AY365" s="1559"/>
      <c r="AZ365" s="249"/>
      <c r="BA365" s="221"/>
      <c r="BB365" s="300"/>
      <c r="BC365" s="217"/>
      <c r="BD365" s="392"/>
      <c r="BE365" s="1244"/>
      <c r="BF365" s="249"/>
      <c r="BG365" s="252"/>
      <c r="BH365" s="1469"/>
      <c r="BI365" s="216"/>
      <c r="BJ365" s="1469"/>
      <c r="BK365" s="1459"/>
      <c r="BL365" s="260"/>
      <c r="BM365" s="214"/>
      <c r="BN365" s="293"/>
      <c r="BO365" s="217"/>
      <c r="BP365" s="355"/>
      <c r="BQ365" s="217"/>
      <c r="BR365" s="1193"/>
      <c r="BS365" s="249"/>
      <c r="BT365" s="216"/>
      <c r="BU365" s="1195"/>
      <c r="BV365" s="249"/>
      <c r="BW365" s="216"/>
      <c r="BX365" s="1195"/>
      <c r="BY365" s="249"/>
      <c r="BZ365" s="216"/>
      <c r="CA365" s="1195"/>
      <c r="CB365" s="249"/>
      <c r="CC365" s="216"/>
      <c r="CD365" s="1195"/>
      <c r="CE365" s="249"/>
      <c r="CF365" s="216"/>
      <c r="CG365" s="1195"/>
      <c r="CH365" s="249"/>
      <c r="CI365" s="216"/>
      <c r="CJ365" s="1195"/>
      <c r="CK365" s="249"/>
      <c r="CL365" s="216"/>
      <c r="CM365" s="1194"/>
      <c r="CN365" s="1524"/>
      <c r="CO365" s="217"/>
      <c r="CP365" s="1193"/>
      <c r="CQ365" s="293"/>
      <c r="CR365" s="217"/>
      <c r="CS365" s="305"/>
      <c r="CT365" s="249"/>
      <c r="CU365" s="216"/>
      <c r="CV365" s="1193"/>
      <c r="CW365" s="249"/>
      <c r="CX365" s="216"/>
      <c r="CY365" s="305"/>
      <c r="CZ365" s="249"/>
      <c r="DA365" s="216"/>
      <c r="DB365" s="307"/>
      <c r="DC365" s="328"/>
      <c r="DD365" s="322"/>
      <c r="DE365" s="305"/>
      <c r="DF365" s="249"/>
      <c r="DG365" s="216"/>
      <c r="DH365" s="305"/>
      <c r="DI365" s="249"/>
      <c r="DJ365" s="216"/>
      <c r="DK365" s="309"/>
      <c r="DL365" s="293"/>
      <c r="DM365" s="326"/>
      <c r="DN365" s="1256"/>
      <c r="DO365" s="214"/>
      <c r="DP365" s="1257"/>
      <c r="DQ365" s="1258"/>
      <c r="DR365" s="305"/>
      <c r="DS365" s="249"/>
      <c r="DT365" s="216"/>
      <c r="DU365" s="305"/>
      <c r="DV365" s="2520"/>
      <c r="DW365" s="2521"/>
      <c r="DX365" s="305"/>
      <c r="DY365" s="249"/>
      <c r="DZ365" s="221"/>
      <c r="EA365" s="388"/>
      <c r="EB365" s="249"/>
      <c r="EC365" s="216"/>
      <c r="ED365" s="1461"/>
      <c r="EE365" s="249"/>
      <c r="EF365" s="216"/>
      <c r="EG365" s="355"/>
      <c r="EH365" s="1425"/>
      <c r="EI365" s="1470"/>
      <c r="EJ365" s="249"/>
      <c r="EK365" s="221"/>
      <c r="EL365" s="313"/>
      <c r="EM365" s="249"/>
      <c r="EN365" s="221"/>
      <c r="EO365" s="313"/>
      <c r="EP365" s="249"/>
      <c r="EQ365" s="216"/>
      <c r="ER365" s="313"/>
      <c r="ES365" s="249"/>
      <c r="ET365" s="216"/>
      <c r="EU365" s="313"/>
      <c r="EV365" s="249"/>
      <c r="EW365" s="216"/>
      <c r="EX365" s="2505"/>
      <c r="EY365" s="249"/>
      <c r="EZ365" s="221"/>
      <c r="FA365" s="313"/>
      <c r="FB365" s="249"/>
      <c r="FC365" s="221"/>
      <c r="FD365" s="313"/>
      <c r="FE365" s="249"/>
      <c r="FF365" s="221"/>
      <c r="FG365" s="313"/>
      <c r="FH365" s="249"/>
      <c r="FI365" s="216"/>
      <c r="FJ365" s="1435"/>
      <c r="FK365" s="216"/>
      <c r="FL365" s="1268"/>
      <c r="FM365" s="1655"/>
      <c r="FN365" s="1268"/>
      <c r="FO365" s="1655"/>
      <c r="FP365" s="1268"/>
      <c r="FQ365" s="1656"/>
      <c r="FR365" s="249"/>
      <c r="FS365" s="216"/>
      <c r="FT365" s="1657"/>
      <c r="FU365" s="1658"/>
      <c r="FV365" s="242"/>
      <c r="FW365" s="343"/>
      <c r="FX365" s="222"/>
      <c r="FY365" s="336"/>
      <c r="FZ365" s="223"/>
      <c r="GA365" s="338"/>
      <c r="GB365" s="204"/>
      <c r="GC365" s="339"/>
      <c r="GD365" s="342"/>
      <c r="GE365" s="199"/>
      <c r="GF365" s="199"/>
      <c r="GG365" s="199"/>
      <c r="GH365" s="199"/>
      <c r="GI365" s="199"/>
      <c r="GJ365" s="199"/>
      <c r="GK365" s="199"/>
      <c r="GO365" s="322"/>
      <c r="GP365" s="1190"/>
      <c r="GQ365" s="1190"/>
      <c r="GS365" s="2879"/>
      <c r="GT365" s="2880"/>
      <c r="GU365" s="2881"/>
    </row>
    <row r="366" spans="1:203" ht="12" customHeight="1">
      <c r="A366" s="1252"/>
      <c r="B366" s="200"/>
      <c r="C366" s="486"/>
      <c r="T366" s="1186"/>
      <c r="U366" s="233"/>
      <c r="W366" s="218"/>
      <c r="X366" s="218"/>
      <c r="Y366" s="216"/>
      <c r="Z366" s="216"/>
      <c r="AA366" s="215"/>
      <c r="AB366" s="216"/>
      <c r="AC366" s="216"/>
      <c r="AD366" s="239"/>
      <c r="AE366" s="216"/>
      <c r="AF366" s="216"/>
      <c r="AG366" s="216"/>
      <c r="AH366" s="216"/>
      <c r="AI366" s="216"/>
      <c r="AJ366" s="216"/>
      <c r="AK366" s="239"/>
      <c r="AL366" s="216"/>
      <c r="AM366" s="216"/>
      <c r="AN366" s="216"/>
      <c r="AO366" s="216"/>
      <c r="AP366" s="216"/>
      <c r="AQ366" s="216"/>
      <c r="AR366" s="216"/>
      <c r="AS366" s="216"/>
      <c r="AT366" s="216"/>
      <c r="AU366" s="216"/>
      <c r="AV366" s="217"/>
      <c r="AW366" s="355"/>
      <c r="AX366" s="217"/>
      <c r="AY366" s="1559"/>
      <c r="AZ366" s="249"/>
      <c r="BA366" s="221"/>
      <c r="BB366" s="300"/>
      <c r="BC366" s="217"/>
      <c r="BD366" s="392"/>
      <c r="BE366" s="1244"/>
      <c r="BF366" s="249"/>
      <c r="BG366" s="252"/>
      <c r="BH366" s="1469"/>
      <c r="BI366" s="216"/>
      <c r="BJ366" s="1469"/>
      <c r="BK366" s="1459"/>
      <c r="BL366" s="260"/>
      <c r="BM366" s="214"/>
      <c r="BN366" s="293"/>
      <c r="BO366" s="217"/>
      <c r="BP366" s="355"/>
      <c r="BQ366" s="217"/>
      <c r="BR366" s="1193"/>
      <c r="BS366" s="249"/>
      <c r="BT366" s="216"/>
      <c r="BU366" s="1195"/>
      <c r="BV366" s="249"/>
      <c r="BW366" s="216"/>
      <c r="BX366" s="1195"/>
      <c r="BY366" s="249"/>
      <c r="BZ366" s="216"/>
      <c r="CA366" s="1195"/>
      <c r="CB366" s="249"/>
      <c r="CC366" s="216"/>
      <c r="CD366" s="1195"/>
      <c r="CE366" s="249"/>
      <c r="CF366" s="216"/>
      <c r="CG366" s="1195"/>
      <c r="CH366" s="249"/>
      <c r="CI366" s="216"/>
      <c r="CJ366" s="1195"/>
      <c r="CK366" s="249"/>
      <c r="CL366" s="216"/>
      <c r="CM366" s="1194"/>
      <c r="CN366" s="1524"/>
      <c r="CO366" s="217"/>
      <c r="CP366" s="1193"/>
      <c r="CQ366" s="293"/>
      <c r="CR366" s="217"/>
      <c r="CS366" s="305"/>
      <c r="CT366" s="249"/>
      <c r="CU366" s="216"/>
      <c r="CV366" s="1193"/>
      <c r="CW366" s="249"/>
      <c r="CX366" s="216"/>
      <c r="CY366" s="305"/>
      <c r="CZ366" s="249"/>
      <c r="DA366" s="216"/>
      <c r="DB366" s="307"/>
      <c r="DC366" s="328"/>
      <c r="DD366" s="322"/>
      <c r="DE366" s="305"/>
      <c r="DF366" s="249"/>
      <c r="DG366" s="216"/>
      <c r="DH366" s="305"/>
      <c r="DI366" s="249"/>
      <c r="DJ366" s="216"/>
      <c r="DK366" s="309"/>
      <c r="DL366" s="293"/>
      <c r="DM366" s="326"/>
      <c r="DN366" s="1256"/>
      <c r="DO366" s="214"/>
      <c r="DP366" s="1257"/>
      <c r="DQ366" s="1258"/>
      <c r="DR366" s="305"/>
      <c r="DS366" s="249"/>
      <c r="DT366" s="216"/>
      <c r="DU366" s="305"/>
      <c r="DV366" s="2520"/>
      <c r="DW366" s="2521"/>
      <c r="DX366" s="305"/>
      <c r="DY366" s="249"/>
      <c r="DZ366" s="221"/>
      <c r="EA366" s="388"/>
      <c r="EB366" s="249"/>
      <c r="EC366" s="216"/>
      <c r="ED366" s="1461"/>
      <c r="EE366" s="249"/>
      <c r="EF366" s="216"/>
      <c r="EG366" s="355"/>
      <c r="EH366" s="1425"/>
      <c r="EI366" s="1470"/>
      <c r="EJ366" s="249"/>
      <c r="EK366" s="221"/>
      <c r="EL366" s="313"/>
      <c r="EM366" s="249"/>
      <c r="EN366" s="221"/>
      <c r="EO366" s="313"/>
      <c r="EP366" s="249"/>
      <c r="EQ366" s="216"/>
      <c r="ER366" s="313"/>
      <c r="ES366" s="249"/>
      <c r="ET366" s="216"/>
      <c r="EU366" s="313"/>
      <c r="EV366" s="249"/>
      <c r="EW366" s="216"/>
      <c r="EX366" s="2505"/>
      <c r="EY366" s="249"/>
      <c r="EZ366" s="221"/>
      <c r="FA366" s="313"/>
      <c r="FB366" s="249"/>
      <c r="FC366" s="221"/>
      <c r="FD366" s="313"/>
      <c r="FE366" s="249"/>
      <c r="FF366" s="221"/>
      <c r="FG366" s="313"/>
      <c r="FH366" s="249"/>
      <c r="FI366" s="216"/>
      <c r="FJ366" s="1435"/>
      <c r="FK366" s="216"/>
      <c r="FL366" s="1268"/>
      <c r="FM366" s="1655"/>
      <c r="FN366" s="1268"/>
      <c r="FO366" s="1655"/>
      <c r="FP366" s="1268"/>
      <c r="FQ366" s="1656"/>
      <c r="FR366" s="249"/>
      <c r="FS366" s="216"/>
      <c r="FT366" s="1657"/>
      <c r="FU366" s="1658"/>
      <c r="FV366" s="242"/>
      <c r="FW366" s="343"/>
      <c r="FX366" s="222"/>
      <c r="FY366" s="336"/>
      <c r="FZ366" s="223"/>
      <c r="GA366" s="338"/>
      <c r="GB366" s="204"/>
      <c r="GC366" s="339"/>
      <c r="GD366" s="342"/>
      <c r="GE366" s="199"/>
      <c r="GF366" s="199"/>
      <c r="GG366" s="199"/>
      <c r="GH366" s="199"/>
      <c r="GI366" s="199"/>
      <c r="GJ366" s="199"/>
      <c r="GK366" s="199"/>
      <c r="GO366" s="322"/>
      <c r="GP366" s="1190"/>
      <c r="GQ366" s="1190"/>
      <c r="GS366" s="2879"/>
      <c r="GT366" s="2880"/>
      <c r="GU366" s="2881"/>
    </row>
    <row r="367" spans="1:203" ht="12" customHeight="1">
      <c r="A367" s="1252"/>
      <c r="B367" s="200"/>
      <c r="C367" s="486"/>
      <c r="T367" s="1186"/>
      <c r="U367" s="233"/>
      <c r="W367" s="218"/>
      <c r="X367" s="218"/>
      <c r="Y367" s="216"/>
      <c r="Z367" s="216"/>
      <c r="AA367" s="215"/>
      <c r="AB367" s="216"/>
      <c r="AC367" s="216"/>
      <c r="AD367" s="239"/>
      <c r="AE367" s="216"/>
      <c r="AF367" s="216"/>
      <c r="AG367" s="216"/>
      <c r="AH367" s="216"/>
      <c r="AI367" s="216"/>
      <c r="AJ367" s="216"/>
      <c r="AK367" s="239"/>
      <c r="AL367" s="216"/>
      <c r="AM367" s="216"/>
      <c r="AN367" s="216"/>
      <c r="AO367" s="216"/>
      <c r="AP367" s="216"/>
      <c r="AQ367" s="216"/>
      <c r="AR367" s="216"/>
      <c r="AS367" s="216"/>
      <c r="AT367" s="216"/>
      <c r="AU367" s="216"/>
      <c r="AV367" s="217"/>
      <c r="AW367" s="355"/>
      <c r="AX367" s="217"/>
      <c r="AY367" s="1559"/>
      <c r="AZ367" s="249"/>
      <c r="BA367" s="221"/>
      <c r="BB367" s="300"/>
      <c r="BC367" s="217"/>
      <c r="BD367" s="392"/>
      <c r="BE367" s="1244"/>
      <c r="BF367" s="249"/>
      <c r="BG367" s="252"/>
      <c r="BH367" s="1469"/>
      <c r="BI367" s="216"/>
      <c r="BJ367" s="1469"/>
      <c r="BK367" s="1459"/>
      <c r="BL367" s="260"/>
      <c r="BM367" s="214"/>
      <c r="BN367" s="293"/>
      <c r="BO367" s="217"/>
      <c r="BP367" s="355"/>
      <c r="BQ367" s="217"/>
      <c r="BR367" s="1193"/>
      <c r="BS367" s="249"/>
      <c r="BT367" s="216"/>
      <c r="BU367" s="1195"/>
      <c r="BV367" s="249"/>
      <c r="BW367" s="216"/>
      <c r="BX367" s="1195"/>
      <c r="BY367" s="249"/>
      <c r="BZ367" s="216"/>
      <c r="CA367" s="1195"/>
      <c r="CB367" s="249"/>
      <c r="CC367" s="216"/>
      <c r="CD367" s="1195"/>
      <c r="CE367" s="249"/>
      <c r="CF367" s="216"/>
      <c r="CG367" s="1195"/>
      <c r="CH367" s="249"/>
      <c r="CI367" s="216"/>
      <c r="CJ367" s="1195"/>
      <c r="CK367" s="249"/>
      <c r="CL367" s="216"/>
      <c r="CM367" s="1194"/>
      <c r="CN367" s="1524"/>
      <c r="CO367" s="217"/>
      <c r="CP367" s="1193"/>
      <c r="CQ367" s="293"/>
      <c r="CR367" s="217"/>
      <c r="CS367" s="305"/>
      <c r="CT367" s="249"/>
      <c r="CU367" s="216"/>
      <c r="CV367" s="1193"/>
      <c r="CW367" s="249"/>
      <c r="CX367" s="216"/>
      <c r="CY367" s="305"/>
      <c r="CZ367" s="249"/>
      <c r="DA367" s="216"/>
      <c r="DB367" s="307"/>
      <c r="DC367" s="328"/>
      <c r="DD367" s="322"/>
      <c r="DE367" s="305"/>
      <c r="DF367" s="249"/>
      <c r="DG367" s="216"/>
      <c r="DH367" s="305"/>
      <c r="DI367" s="249"/>
      <c r="DJ367" s="216"/>
      <c r="DK367" s="309"/>
      <c r="DL367" s="293"/>
      <c r="DM367" s="326"/>
      <c r="DN367" s="1256"/>
      <c r="DO367" s="214"/>
      <c r="DP367" s="1257"/>
      <c r="DQ367" s="1258"/>
      <c r="DR367" s="305"/>
      <c r="DS367" s="249"/>
      <c r="DT367" s="216"/>
      <c r="DU367" s="305"/>
      <c r="DV367" s="2520"/>
      <c r="DW367" s="2521"/>
      <c r="DX367" s="305"/>
      <c r="DY367" s="249"/>
      <c r="DZ367" s="221"/>
      <c r="EA367" s="388"/>
      <c r="EB367" s="249"/>
      <c r="EC367" s="216"/>
      <c r="ED367" s="1461"/>
      <c r="EE367" s="249"/>
      <c r="EF367" s="216"/>
      <c r="EG367" s="355"/>
      <c r="EH367" s="1425"/>
      <c r="EI367" s="1470"/>
      <c r="EJ367" s="249"/>
      <c r="EK367" s="221"/>
      <c r="EL367" s="313"/>
      <c r="EM367" s="249"/>
      <c r="EN367" s="221"/>
      <c r="EO367" s="313"/>
      <c r="EP367" s="249"/>
      <c r="EQ367" s="216"/>
      <c r="ER367" s="313"/>
      <c r="ES367" s="249"/>
      <c r="ET367" s="216"/>
      <c r="EU367" s="313"/>
      <c r="EV367" s="249"/>
      <c r="EW367" s="216"/>
      <c r="EX367" s="2505"/>
      <c r="EY367" s="249"/>
      <c r="EZ367" s="221"/>
      <c r="FA367" s="313"/>
      <c r="FB367" s="249"/>
      <c r="FC367" s="221"/>
      <c r="FD367" s="313"/>
      <c r="FE367" s="249"/>
      <c r="FF367" s="221"/>
      <c r="FG367" s="313"/>
      <c r="FH367" s="249"/>
      <c r="FI367" s="216"/>
      <c r="FJ367" s="1435"/>
      <c r="FK367" s="216"/>
      <c r="FL367" s="1268"/>
      <c r="FM367" s="1655"/>
      <c r="FN367" s="1268"/>
      <c r="FO367" s="1655"/>
      <c r="FP367" s="1268"/>
      <c r="FQ367" s="1656"/>
      <c r="FR367" s="249"/>
      <c r="FS367" s="216"/>
      <c r="FT367" s="1657"/>
      <c r="FU367" s="1658"/>
      <c r="FV367" s="242"/>
      <c r="FW367" s="343"/>
      <c r="FX367" s="222"/>
      <c r="FY367" s="336"/>
      <c r="FZ367" s="223"/>
      <c r="GA367" s="338"/>
      <c r="GB367" s="204"/>
      <c r="GC367" s="339"/>
      <c r="GD367" s="342"/>
      <c r="GE367" s="199"/>
      <c r="GF367" s="199"/>
      <c r="GG367" s="199"/>
      <c r="GH367" s="199"/>
      <c r="GI367" s="199"/>
      <c r="GJ367" s="199"/>
      <c r="GK367" s="199"/>
      <c r="GO367" s="322"/>
      <c r="GP367" s="1190"/>
      <c r="GQ367" s="1190"/>
      <c r="GS367" s="2879"/>
      <c r="GT367" s="2880"/>
      <c r="GU367" s="2881"/>
    </row>
    <row r="368" spans="1:203" ht="12" customHeight="1">
      <c r="A368" s="1252"/>
      <c r="B368" s="200"/>
      <c r="C368" s="486"/>
      <c r="T368" s="1186"/>
      <c r="U368" s="233"/>
      <c r="W368" s="218"/>
      <c r="X368" s="218"/>
      <c r="Y368" s="216"/>
      <c r="Z368" s="216"/>
      <c r="AA368" s="215"/>
      <c r="AB368" s="216"/>
      <c r="AC368" s="216"/>
      <c r="AD368" s="239"/>
      <c r="AE368" s="216"/>
      <c r="AF368" s="216"/>
      <c r="AG368" s="216"/>
      <c r="AH368" s="216"/>
      <c r="AI368" s="216"/>
      <c r="AJ368" s="216"/>
      <c r="AK368" s="239"/>
      <c r="AL368" s="216"/>
      <c r="AM368" s="216"/>
      <c r="AN368" s="216"/>
      <c r="AO368" s="216"/>
      <c r="AP368" s="216"/>
      <c r="AQ368" s="216"/>
      <c r="AR368" s="216"/>
      <c r="AS368" s="216"/>
      <c r="AT368" s="216"/>
      <c r="AU368" s="216"/>
      <c r="AV368" s="217"/>
      <c r="AW368" s="355"/>
      <c r="AX368" s="217"/>
      <c r="AY368" s="1559"/>
      <c r="AZ368" s="249"/>
      <c r="BA368" s="221"/>
      <c r="BB368" s="300"/>
      <c r="BC368" s="217"/>
      <c r="BD368" s="392"/>
      <c r="BE368" s="1244"/>
      <c r="BF368" s="249"/>
      <c r="BG368" s="252"/>
      <c r="BH368" s="1469"/>
      <c r="BI368" s="216"/>
      <c r="BJ368" s="1469"/>
      <c r="BK368" s="1459"/>
      <c r="BL368" s="260"/>
      <c r="BM368" s="214"/>
      <c r="BN368" s="293"/>
      <c r="BO368" s="217"/>
      <c r="BP368" s="355"/>
      <c r="BQ368" s="217"/>
      <c r="BR368" s="1193"/>
      <c r="BS368" s="249"/>
      <c r="BT368" s="216"/>
      <c r="BU368" s="1195"/>
      <c r="BV368" s="249"/>
      <c r="BW368" s="216"/>
      <c r="BX368" s="1195"/>
      <c r="BY368" s="249"/>
      <c r="BZ368" s="216"/>
      <c r="CA368" s="1195"/>
      <c r="CB368" s="249"/>
      <c r="CC368" s="216"/>
      <c r="CD368" s="1195"/>
      <c r="CE368" s="249"/>
      <c r="CF368" s="216"/>
      <c r="CG368" s="1195"/>
      <c r="CH368" s="249"/>
      <c r="CI368" s="216"/>
      <c r="CJ368" s="1195"/>
      <c r="CK368" s="249"/>
      <c r="CL368" s="216"/>
      <c r="CM368" s="1194"/>
      <c r="CN368" s="1524"/>
      <c r="CO368" s="217"/>
      <c r="CP368" s="1193"/>
      <c r="CQ368" s="293"/>
      <c r="CR368" s="217"/>
      <c r="CS368" s="305"/>
      <c r="CT368" s="249"/>
      <c r="CU368" s="216"/>
      <c r="CV368" s="1193"/>
      <c r="CW368" s="249"/>
      <c r="CX368" s="216"/>
      <c r="CY368" s="305"/>
      <c r="CZ368" s="249"/>
      <c r="DA368" s="216"/>
      <c r="DB368" s="307"/>
      <c r="DC368" s="328"/>
      <c r="DD368" s="322"/>
      <c r="DE368" s="305"/>
      <c r="DF368" s="249"/>
      <c r="DG368" s="216"/>
      <c r="DH368" s="305"/>
      <c r="DI368" s="249"/>
      <c r="DJ368" s="216"/>
      <c r="DK368" s="309"/>
      <c r="DL368" s="293"/>
      <c r="DM368" s="326"/>
      <c r="DN368" s="1256"/>
      <c r="DO368" s="214"/>
      <c r="DP368" s="1257"/>
      <c r="DQ368" s="1258"/>
      <c r="DR368" s="305"/>
      <c r="DS368" s="249"/>
      <c r="DT368" s="216"/>
      <c r="DU368" s="305"/>
      <c r="DV368" s="2520"/>
      <c r="DW368" s="2521"/>
      <c r="DX368" s="305"/>
      <c r="DY368" s="249"/>
      <c r="DZ368" s="221"/>
      <c r="EA368" s="388"/>
      <c r="EB368" s="249"/>
      <c r="EC368" s="216"/>
      <c r="ED368" s="1461"/>
      <c r="EE368" s="249"/>
      <c r="EF368" s="216"/>
      <c r="EG368" s="355"/>
      <c r="EH368" s="1425"/>
      <c r="EI368" s="1470"/>
      <c r="EJ368" s="249"/>
      <c r="EK368" s="221"/>
      <c r="EL368" s="313"/>
      <c r="EM368" s="249"/>
      <c r="EN368" s="221"/>
      <c r="EO368" s="313"/>
      <c r="EP368" s="249"/>
      <c r="EQ368" s="216"/>
      <c r="ER368" s="313"/>
      <c r="ES368" s="249"/>
      <c r="ET368" s="216"/>
      <c r="EU368" s="313"/>
      <c r="EV368" s="249"/>
      <c r="EW368" s="216"/>
      <c r="EX368" s="2505"/>
      <c r="EY368" s="249"/>
      <c r="EZ368" s="221"/>
      <c r="FA368" s="313"/>
      <c r="FB368" s="249"/>
      <c r="FC368" s="221"/>
      <c r="FD368" s="313"/>
      <c r="FE368" s="249"/>
      <c r="FF368" s="221"/>
      <c r="FG368" s="313"/>
      <c r="FH368" s="249"/>
      <c r="FI368" s="216"/>
      <c r="FJ368" s="1435"/>
      <c r="FK368" s="216"/>
      <c r="FL368" s="1268"/>
      <c r="FM368" s="1655"/>
      <c r="FN368" s="1268"/>
      <c r="FO368" s="1655"/>
      <c r="FP368" s="1268"/>
      <c r="FQ368" s="1656"/>
      <c r="FR368" s="249"/>
      <c r="FS368" s="216"/>
      <c r="FT368" s="1657"/>
      <c r="FU368" s="1658"/>
      <c r="FV368" s="242"/>
      <c r="FW368" s="343"/>
      <c r="FX368" s="222"/>
      <c r="FY368" s="336"/>
      <c r="FZ368" s="223"/>
      <c r="GA368" s="338"/>
      <c r="GB368" s="204"/>
      <c r="GC368" s="339"/>
      <c r="GD368" s="342"/>
      <c r="GE368" s="199"/>
      <c r="GF368" s="199"/>
      <c r="GG368" s="199"/>
      <c r="GH368" s="199"/>
      <c r="GI368" s="199"/>
      <c r="GJ368" s="199"/>
      <c r="GK368" s="199"/>
      <c r="GO368" s="322"/>
      <c r="GP368" s="1190"/>
      <c r="GQ368" s="1190"/>
      <c r="GS368" s="2879"/>
      <c r="GT368" s="2880"/>
      <c r="GU368" s="2881"/>
    </row>
    <row r="369" spans="1:203" ht="12" customHeight="1">
      <c r="A369" s="1252"/>
      <c r="B369" s="200"/>
      <c r="C369" s="486"/>
      <c r="T369" s="1186"/>
      <c r="U369" s="233"/>
      <c r="W369" s="218"/>
      <c r="X369" s="218"/>
      <c r="Y369" s="216"/>
      <c r="Z369" s="216"/>
      <c r="AA369" s="215"/>
      <c r="AB369" s="216"/>
      <c r="AC369" s="216"/>
      <c r="AD369" s="239"/>
      <c r="AE369" s="216"/>
      <c r="AF369" s="216"/>
      <c r="AG369" s="216"/>
      <c r="AH369" s="216"/>
      <c r="AI369" s="216"/>
      <c r="AJ369" s="216"/>
      <c r="AK369" s="239"/>
      <c r="AL369" s="216"/>
      <c r="AM369" s="216"/>
      <c r="AN369" s="216"/>
      <c r="AO369" s="216"/>
      <c r="AP369" s="216"/>
      <c r="AQ369" s="216"/>
      <c r="AR369" s="216"/>
      <c r="AS369" s="216"/>
      <c r="AT369" s="216"/>
      <c r="AU369" s="216"/>
      <c r="AV369" s="217"/>
      <c r="AW369" s="355"/>
      <c r="AX369" s="217"/>
      <c r="AY369" s="1559"/>
      <c r="AZ369" s="249"/>
      <c r="BA369" s="221"/>
      <c r="BB369" s="300"/>
      <c r="BC369" s="217"/>
      <c r="BD369" s="392"/>
      <c r="BE369" s="1244"/>
      <c r="BF369" s="249"/>
      <c r="BG369" s="252"/>
      <c r="BH369" s="1469"/>
      <c r="BI369" s="216"/>
      <c r="BJ369" s="1469"/>
      <c r="BK369" s="1459"/>
      <c r="BL369" s="260"/>
      <c r="BM369" s="214"/>
      <c r="BN369" s="293"/>
      <c r="BO369" s="217"/>
      <c r="BP369" s="355"/>
      <c r="BQ369" s="217"/>
      <c r="BR369" s="1193"/>
      <c r="BS369" s="249"/>
      <c r="BT369" s="216"/>
      <c r="BU369" s="1195"/>
      <c r="BV369" s="249"/>
      <c r="BW369" s="216"/>
      <c r="BX369" s="1195"/>
      <c r="BY369" s="249"/>
      <c r="BZ369" s="216"/>
      <c r="CA369" s="1195"/>
      <c r="CB369" s="249"/>
      <c r="CC369" s="216"/>
      <c r="CD369" s="1195"/>
      <c r="CE369" s="249"/>
      <c r="CF369" s="216"/>
      <c r="CG369" s="1195"/>
      <c r="CH369" s="249"/>
      <c r="CI369" s="216"/>
      <c r="CJ369" s="1195"/>
      <c r="CK369" s="249"/>
      <c r="CL369" s="216"/>
      <c r="CM369" s="1194"/>
      <c r="CN369" s="1524"/>
      <c r="CO369" s="217"/>
      <c r="CP369" s="1193"/>
      <c r="CQ369" s="293"/>
      <c r="CR369" s="217"/>
      <c r="CS369" s="305"/>
      <c r="CT369" s="249"/>
      <c r="CU369" s="216"/>
      <c r="CV369" s="1193"/>
      <c r="CW369" s="249"/>
      <c r="CX369" s="216"/>
      <c r="CY369" s="305"/>
      <c r="CZ369" s="249"/>
      <c r="DA369" s="216"/>
      <c r="DB369" s="307"/>
      <c r="DC369" s="328"/>
      <c r="DD369" s="322"/>
      <c r="DE369" s="305"/>
      <c r="DF369" s="249"/>
      <c r="DG369" s="216"/>
      <c r="DH369" s="305"/>
      <c r="DI369" s="249"/>
      <c r="DJ369" s="216"/>
      <c r="DK369" s="309"/>
      <c r="DL369" s="293"/>
      <c r="DM369" s="326"/>
      <c r="DN369" s="1256"/>
      <c r="DO369" s="214"/>
      <c r="DP369" s="1257"/>
      <c r="DQ369" s="1258"/>
      <c r="DR369" s="305"/>
      <c r="DS369" s="249"/>
      <c r="DT369" s="216"/>
      <c r="DU369" s="305"/>
      <c r="DV369" s="2520"/>
      <c r="DW369" s="2521"/>
      <c r="DX369" s="305"/>
      <c r="DY369" s="249"/>
      <c r="DZ369" s="221"/>
      <c r="EA369" s="388"/>
      <c r="EB369" s="249"/>
      <c r="EC369" s="216"/>
      <c r="ED369" s="1461"/>
      <c r="EE369" s="249"/>
      <c r="EF369" s="216"/>
      <c r="EG369" s="355"/>
      <c r="EH369" s="1425"/>
      <c r="EI369" s="1470"/>
      <c r="EJ369" s="249"/>
      <c r="EK369" s="221"/>
      <c r="EL369" s="313"/>
      <c r="EM369" s="249"/>
      <c r="EN369" s="221"/>
      <c r="EO369" s="313"/>
      <c r="EP369" s="249"/>
      <c r="EQ369" s="216"/>
      <c r="ER369" s="313"/>
      <c r="ES369" s="249"/>
      <c r="ET369" s="216"/>
      <c r="EU369" s="313"/>
      <c r="EV369" s="249"/>
      <c r="EW369" s="216"/>
      <c r="EX369" s="2505"/>
      <c r="EY369" s="249"/>
      <c r="EZ369" s="221"/>
      <c r="FA369" s="313"/>
      <c r="FB369" s="249"/>
      <c r="FC369" s="221"/>
      <c r="FD369" s="313"/>
      <c r="FE369" s="249"/>
      <c r="FF369" s="221"/>
      <c r="FG369" s="313"/>
      <c r="FH369" s="249"/>
      <c r="FI369" s="216"/>
      <c r="FJ369" s="1435"/>
      <c r="FK369" s="216"/>
      <c r="FL369" s="1268"/>
      <c r="FM369" s="1655"/>
      <c r="FN369" s="1268"/>
      <c r="FO369" s="1655"/>
      <c r="FP369" s="1268"/>
      <c r="FQ369" s="1656"/>
      <c r="FR369" s="249"/>
      <c r="FS369" s="216"/>
      <c r="FT369" s="1657"/>
      <c r="FU369" s="1658"/>
      <c r="FV369" s="242"/>
      <c r="FW369" s="343"/>
      <c r="FX369" s="222"/>
      <c r="FY369" s="336"/>
      <c r="FZ369" s="223"/>
      <c r="GA369" s="338"/>
      <c r="GB369" s="204"/>
      <c r="GC369" s="339"/>
      <c r="GD369" s="342"/>
      <c r="GE369" s="199"/>
      <c r="GF369" s="199"/>
      <c r="GG369" s="199"/>
      <c r="GH369" s="199"/>
      <c r="GI369" s="199"/>
      <c r="GJ369" s="199"/>
      <c r="GK369" s="199"/>
      <c r="GO369" s="322"/>
      <c r="GP369" s="1190"/>
      <c r="GQ369" s="1190"/>
      <c r="GS369" s="2879"/>
      <c r="GT369" s="2880"/>
      <c r="GU369" s="2881"/>
    </row>
    <row r="370" spans="1:203" ht="12" customHeight="1">
      <c r="A370" s="1252"/>
      <c r="B370" s="200"/>
      <c r="C370" s="486"/>
      <c r="T370" s="1186"/>
      <c r="U370" s="233"/>
      <c r="W370" s="218"/>
      <c r="X370" s="218"/>
      <c r="Y370" s="216"/>
      <c r="Z370" s="216"/>
      <c r="AA370" s="215"/>
      <c r="AB370" s="216"/>
      <c r="AC370" s="216"/>
      <c r="AD370" s="239"/>
      <c r="AE370" s="216"/>
      <c r="AF370" s="216"/>
      <c r="AG370" s="216"/>
      <c r="AH370" s="216"/>
      <c r="AI370" s="216"/>
      <c r="AJ370" s="216"/>
      <c r="AK370" s="239"/>
      <c r="AL370" s="216"/>
      <c r="AM370" s="216"/>
      <c r="AN370" s="216"/>
      <c r="AO370" s="216"/>
      <c r="AP370" s="216"/>
      <c r="AQ370" s="216"/>
      <c r="AR370" s="216"/>
      <c r="AS370" s="216"/>
      <c r="AT370" s="216"/>
      <c r="AU370" s="216"/>
      <c r="AV370" s="217"/>
      <c r="AW370" s="355"/>
      <c r="AX370" s="217"/>
      <c r="AY370" s="1559"/>
      <c r="AZ370" s="249"/>
      <c r="BA370" s="221"/>
      <c r="BB370" s="300"/>
      <c r="BC370" s="217"/>
      <c r="BD370" s="392"/>
      <c r="BE370" s="1244"/>
      <c r="BF370" s="249"/>
      <c r="BG370" s="252"/>
      <c r="BH370" s="1469"/>
      <c r="BI370" s="216"/>
      <c r="BJ370" s="1469"/>
      <c r="BK370" s="1459"/>
      <c r="BL370" s="260"/>
      <c r="BM370" s="214"/>
      <c r="BN370" s="293"/>
      <c r="BO370" s="217"/>
      <c r="BP370" s="355"/>
      <c r="BQ370" s="217"/>
      <c r="BR370" s="1193"/>
      <c r="BS370" s="249"/>
      <c r="BT370" s="216"/>
      <c r="BU370" s="1195"/>
      <c r="BV370" s="249"/>
      <c r="BW370" s="216"/>
      <c r="BX370" s="1195"/>
      <c r="BY370" s="249"/>
      <c r="BZ370" s="216"/>
      <c r="CA370" s="1195"/>
      <c r="CB370" s="249"/>
      <c r="CC370" s="216"/>
      <c r="CD370" s="1195"/>
      <c r="CE370" s="249"/>
      <c r="CF370" s="216"/>
      <c r="CG370" s="1195"/>
      <c r="CH370" s="249"/>
      <c r="CI370" s="216"/>
      <c r="CJ370" s="1195"/>
      <c r="CK370" s="249"/>
      <c r="CL370" s="216"/>
      <c r="CM370" s="1194"/>
      <c r="CN370" s="1524"/>
      <c r="CO370" s="217"/>
      <c r="CP370" s="1193"/>
      <c r="CQ370" s="293"/>
      <c r="CR370" s="217"/>
      <c r="CS370" s="305"/>
      <c r="CT370" s="249"/>
      <c r="CU370" s="216"/>
      <c r="CV370" s="1193"/>
      <c r="CW370" s="249"/>
      <c r="CX370" s="216"/>
      <c r="CY370" s="305"/>
      <c r="CZ370" s="249"/>
      <c r="DA370" s="216"/>
      <c r="DB370" s="307"/>
      <c r="DC370" s="328"/>
      <c r="DD370" s="322"/>
      <c r="DE370" s="305"/>
      <c r="DF370" s="249"/>
      <c r="DG370" s="216"/>
      <c r="DH370" s="305"/>
      <c r="DI370" s="249"/>
      <c r="DJ370" s="216"/>
      <c r="DK370" s="309"/>
      <c r="DL370" s="293"/>
      <c r="DM370" s="326"/>
      <c r="DN370" s="1256"/>
      <c r="DO370" s="214"/>
      <c r="DP370" s="1257"/>
      <c r="DQ370" s="1258"/>
      <c r="DR370" s="305"/>
      <c r="DS370" s="249"/>
      <c r="DT370" s="216"/>
      <c r="DU370" s="305"/>
      <c r="DV370" s="2520"/>
      <c r="DW370" s="2521"/>
      <c r="DX370" s="305"/>
      <c r="DY370" s="249"/>
      <c r="DZ370" s="221"/>
      <c r="EA370" s="388"/>
      <c r="EB370" s="249"/>
      <c r="EC370" s="216"/>
      <c r="ED370" s="1461"/>
      <c r="EE370" s="249"/>
      <c r="EF370" s="216"/>
      <c r="EG370" s="355"/>
      <c r="EH370" s="1425"/>
      <c r="EI370" s="1470"/>
      <c r="EJ370" s="249"/>
      <c r="EK370" s="221"/>
      <c r="EL370" s="313"/>
      <c r="EM370" s="249"/>
      <c r="EN370" s="221"/>
      <c r="EO370" s="313"/>
      <c r="EP370" s="249"/>
      <c r="EQ370" s="216"/>
      <c r="ER370" s="313"/>
      <c r="ES370" s="249"/>
      <c r="ET370" s="216"/>
      <c r="EU370" s="313"/>
      <c r="EV370" s="249"/>
      <c r="EW370" s="216"/>
      <c r="EX370" s="2505"/>
      <c r="EY370" s="249"/>
      <c r="EZ370" s="221"/>
      <c r="FA370" s="313"/>
      <c r="FB370" s="249"/>
      <c r="FC370" s="221"/>
      <c r="FD370" s="313"/>
      <c r="FE370" s="249"/>
      <c r="FF370" s="221"/>
      <c r="FG370" s="313"/>
      <c r="FH370" s="249"/>
      <c r="FI370" s="216"/>
      <c r="FJ370" s="1435"/>
      <c r="FK370" s="216"/>
      <c r="FL370" s="1268"/>
      <c r="FM370" s="1655"/>
      <c r="FN370" s="1268"/>
      <c r="FO370" s="1655"/>
      <c r="FP370" s="1268"/>
      <c r="FQ370" s="1656"/>
      <c r="FR370" s="249"/>
      <c r="FS370" s="216"/>
      <c r="FT370" s="1657"/>
      <c r="FU370" s="1658"/>
      <c r="FV370" s="242"/>
      <c r="FW370" s="343"/>
      <c r="FX370" s="222"/>
      <c r="FY370" s="336"/>
      <c r="FZ370" s="223"/>
      <c r="GA370" s="338"/>
      <c r="GB370" s="204"/>
      <c r="GC370" s="339"/>
      <c r="GD370" s="342"/>
      <c r="GE370" s="199"/>
      <c r="GF370" s="199"/>
      <c r="GG370" s="199"/>
      <c r="GH370" s="199"/>
      <c r="GI370" s="199"/>
      <c r="GJ370" s="199"/>
      <c r="GK370" s="199"/>
      <c r="GO370" s="322"/>
      <c r="GP370" s="1190"/>
      <c r="GQ370" s="1190"/>
      <c r="GS370" s="2879"/>
      <c r="GT370" s="2880"/>
      <c r="GU370" s="2881"/>
    </row>
    <row r="371" spans="1:203" ht="12" customHeight="1">
      <c r="A371" s="1252"/>
      <c r="B371" s="200"/>
      <c r="C371" s="486"/>
      <c r="T371" s="1186"/>
      <c r="U371" s="233"/>
      <c r="W371" s="218"/>
      <c r="X371" s="218"/>
      <c r="Y371" s="216"/>
      <c r="Z371" s="216"/>
      <c r="AA371" s="215"/>
      <c r="AB371" s="216"/>
      <c r="AC371" s="216"/>
      <c r="AD371" s="239"/>
      <c r="AE371" s="216"/>
      <c r="AF371" s="216"/>
      <c r="AG371" s="216"/>
      <c r="AH371" s="216"/>
      <c r="AI371" s="216"/>
      <c r="AJ371" s="216"/>
      <c r="AK371" s="239"/>
      <c r="AL371" s="216"/>
      <c r="AM371" s="216"/>
      <c r="AN371" s="216"/>
      <c r="AO371" s="216"/>
      <c r="AP371" s="216"/>
      <c r="AQ371" s="216"/>
      <c r="AR371" s="216"/>
      <c r="AS371" s="216"/>
      <c r="AT371" s="216"/>
      <c r="AU371" s="216"/>
      <c r="AV371" s="217"/>
      <c r="AW371" s="355"/>
      <c r="AX371" s="217"/>
      <c r="AY371" s="1559"/>
      <c r="AZ371" s="249"/>
      <c r="BA371" s="221"/>
      <c r="BB371" s="300"/>
      <c r="BC371" s="217"/>
      <c r="BD371" s="392"/>
      <c r="BE371" s="1244"/>
      <c r="BF371" s="249"/>
      <c r="BG371" s="252"/>
      <c r="BH371" s="1469"/>
      <c r="BI371" s="216"/>
      <c r="BJ371" s="1469"/>
      <c r="BK371" s="1459"/>
      <c r="BL371" s="260"/>
      <c r="BM371" s="214"/>
      <c r="BN371" s="293"/>
      <c r="BO371" s="217"/>
      <c r="BP371" s="355"/>
      <c r="BQ371" s="217"/>
      <c r="BR371" s="1193"/>
      <c r="BS371" s="249"/>
      <c r="BT371" s="216"/>
      <c r="BU371" s="1195"/>
      <c r="BV371" s="249"/>
      <c r="BW371" s="216"/>
      <c r="BX371" s="1195"/>
      <c r="BY371" s="249"/>
      <c r="BZ371" s="216"/>
      <c r="CA371" s="1195"/>
      <c r="CB371" s="249"/>
      <c r="CC371" s="216"/>
      <c r="CD371" s="1195"/>
      <c r="CE371" s="249"/>
      <c r="CF371" s="216"/>
      <c r="CG371" s="1195"/>
      <c r="CH371" s="249"/>
      <c r="CI371" s="216"/>
      <c r="CJ371" s="1195"/>
      <c r="CK371" s="249"/>
      <c r="CL371" s="216"/>
      <c r="CM371" s="1194"/>
      <c r="CN371" s="1524"/>
      <c r="CO371" s="217"/>
      <c r="CP371" s="1193"/>
      <c r="CQ371" s="293"/>
      <c r="CR371" s="217"/>
      <c r="CS371" s="305"/>
      <c r="CT371" s="249"/>
      <c r="CU371" s="216"/>
      <c r="CV371" s="1193"/>
      <c r="CW371" s="249"/>
      <c r="CX371" s="216"/>
      <c r="CY371" s="305"/>
      <c r="CZ371" s="249"/>
      <c r="DA371" s="216"/>
      <c r="DB371" s="307"/>
      <c r="DC371" s="328"/>
      <c r="DD371" s="322"/>
      <c r="DE371" s="305"/>
      <c r="DF371" s="249"/>
      <c r="DG371" s="216"/>
      <c r="DH371" s="305"/>
      <c r="DI371" s="249"/>
      <c r="DJ371" s="216"/>
      <c r="DK371" s="309"/>
      <c r="DL371" s="293"/>
      <c r="DM371" s="326"/>
      <c r="DN371" s="1256"/>
      <c r="DO371" s="214"/>
      <c r="DP371" s="1257"/>
      <c r="DQ371" s="1258"/>
      <c r="DR371" s="305"/>
      <c r="DS371" s="249"/>
      <c r="DT371" s="216"/>
      <c r="DU371" s="305"/>
      <c r="DV371" s="2520"/>
      <c r="DW371" s="2521"/>
      <c r="DX371" s="305"/>
      <c r="DY371" s="249"/>
      <c r="DZ371" s="221"/>
      <c r="EA371" s="388"/>
      <c r="EB371" s="249"/>
      <c r="EC371" s="216"/>
      <c r="ED371" s="1461"/>
      <c r="EE371" s="249"/>
      <c r="EF371" s="216"/>
      <c r="EG371" s="355"/>
      <c r="EH371" s="1425"/>
      <c r="EI371" s="1470"/>
      <c r="EJ371" s="249"/>
      <c r="EK371" s="221"/>
      <c r="EL371" s="313"/>
      <c r="EM371" s="249"/>
      <c r="EN371" s="221"/>
      <c r="EO371" s="313"/>
      <c r="EP371" s="249"/>
      <c r="EQ371" s="216"/>
      <c r="ER371" s="313"/>
      <c r="ES371" s="249"/>
      <c r="ET371" s="216"/>
      <c r="EU371" s="313"/>
      <c r="EV371" s="249"/>
      <c r="EW371" s="216"/>
      <c r="EX371" s="2505"/>
      <c r="EY371" s="249"/>
      <c r="EZ371" s="221"/>
      <c r="FA371" s="313"/>
      <c r="FB371" s="249"/>
      <c r="FC371" s="221"/>
      <c r="FD371" s="313"/>
      <c r="FE371" s="249"/>
      <c r="FF371" s="221"/>
      <c r="FG371" s="313"/>
      <c r="FH371" s="249"/>
      <c r="FI371" s="216"/>
      <c r="FJ371" s="1435"/>
      <c r="FK371" s="216"/>
      <c r="FL371" s="1268"/>
      <c r="FM371" s="1655"/>
      <c r="FN371" s="1268"/>
      <c r="FO371" s="1655"/>
      <c r="FP371" s="1268"/>
      <c r="FQ371" s="1656"/>
      <c r="FR371" s="249"/>
      <c r="FS371" s="216"/>
      <c r="FT371" s="1657"/>
      <c r="FU371" s="1658"/>
      <c r="FV371" s="242"/>
      <c r="FW371" s="343"/>
      <c r="FX371" s="222"/>
      <c r="FY371" s="336"/>
      <c r="FZ371" s="223"/>
      <c r="GA371" s="338"/>
      <c r="GB371" s="204"/>
      <c r="GC371" s="339"/>
      <c r="GD371" s="342"/>
      <c r="GE371" s="199"/>
      <c r="GF371" s="199"/>
      <c r="GG371" s="199"/>
      <c r="GH371" s="199"/>
      <c r="GI371" s="199"/>
      <c r="GJ371" s="199"/>
      <c r="GK371" s="199"/>
      <c r="GO371" s="322"/>
      <c r="GP371" s="1190"/>
      <c r="GQ371" s="1190"/>
      <c r="GS371" s="2879"/>
      <c r="GT371" s="2880"/>
      <c r="GU371" s="2881"/>
    </row>
    <row r="372" spans="1:203" ht="12" customHeight="1">
      <c r="A372" s="1252"/>
      <c r="B372" s="200"/>
      <c r="C372" s="486"/>
      <c r="T372" s="1186"/>
      <c r="U372" s="233"/>
      <c r="W372" s="218"/>
      <c r="X372" s="218"/>
      <c r="Y372" s="216"/>
      <c r="Z372" s="216"/>
      <c r="AA372" s="215"/>
      <c r="AB372" s="216"/>
      <c r="AC372" s="216"/>
      <c r="AD372" s="239"/>
      <c r="AE372" s="216"/>
      <c r="AF372" s="216"/>
      <c r="AG372" s="216"/>
      <c r="AH372" s="216"/>
      <c r="AI372" s="216"/>
      <c r="AJ372" s="216"/>
      <c r="AK372" s="239"/>
      <c r="AL372" s="216"/>
      <c r="AM372" s="216"/>
      <c r="AN372" s="216"/>
      <c r="AO372" s="216"/>
      <c r="AP372" s="216"/>
      <c r="AQ372" s="216"/>
      <c r="AR372" s="216"/>
      <c r="AS372" s="216"/>
      <c r="AT372" s="216"/>
      <c r="AU372" s="216"/>
      <c r="AV372" s="217"/>
      <c r="AW372" s="355"/>
      <c r="AX372" s="217"/>
      <c r="AY372" s="1559"/>
      <c r="AZ372" s="249"/>
      <c r="BA372" s="221"/>
      <c r="BB372" s="300"/>
      <c r="BC372" s="217"/>
      <c r="BD372" s="392"/>
      <c r="BE372" s="1244"/>
      <c r="BF372" s="249"/>
      <c r="BG372" s="252"/>
      <c r="BH372" s="1469"/>
      <c r="BI372" s="216"/>
      <c r="BJ372" s="1469"/>
      <c r="BK372" s="1459"/>
      <c r="BL372" s="260"/>
      <c r="BM372" s="214"/>
      <c r="BN372" s="293"/>
      <c r="BO372" s="217"/>
      <c r="BP372" s="355"/>
      <c r="BQ372" s="217"/>
      <c r="BR372" s="1193"/>
      <c r="BS372" s="249"/>
      <c r="BT372" s="216"/>
      <c r="BU372" s="1195"/>
      <c r="BV372" s="249"/>
      <c r="BW372" s="216"/>
      <c r="BX372" s="1195"/>
      <c r="BY372" s="249"/>
      <c r="BZ372" s="216"/>
      <c r="CA372" s="1195"/>
      <c r="CB372" s="249"/>
      <c r="CC372" s="216"/>
      <c r="CD372" s="1195"/>
      <c r="CE372" s="249"/>
      <c r="CF372" s="216"/>
      <c r="CG372" s="1195"/>
      <c r="CH372" s="249"/>
      <c r="CI372" s="216"/>
      <c r="CJ372" s="1195"/>
      <c r="CK372" s="249"/>
      <c r="CL372" s="216"/>
      <c r="CM372" s="1194"/>
      <c r="CN372" s="1524"/>
      <c r="CO372" s="217"/>
      <c r="CP372" s="1193"/>
      <c r="CQ372" s="293"/>
      <c r="CR372" s="217"/>
      <c r="CS372" s="305"/>
      <c r="CT372" s="249"/>
      <c r="CU372" s="216"/>
      <c r="CV372" s="1193"/>
      <c r="CW372" s="249"/>
      <c r="CX372" s="216"/>
      <c r="CY372" s="305"/>
      <c r="CZ372" s="249"/>
      <c r="DA372" s="216"/>
      <c r="DB372" s="307"/>
      <c r="DC372" s="328"/>
      <c r="DD372" s="322"/>
      <c r="DE372" s="305"/>
      <c r="DF372" s="249"/>
      <c r="DG372" s="216"/>
      <c r="DH372" s="305"/>
      <c r="DI372" s="249"/>
      <c r="DJ372" s="216"/>
      <c r="DK372" s="309"/>
      <c r="DL372" s="293"/>
      <c r="DM372" s="326"/>
      <c r="DN372" s="1256"/>
      <c r="DO372" s="214"/>
      <c r="DP372" s="1257"/>
      <c r="DQ372" s="1258"/>
      <c r="DR372" s="305"/>
      <c r="DS372" s="249"/>
      <c r="DT372" s="216"/>
      <c r="DU372" s="305"/>
      <c r="DV372" s="2520"/>
      <c r="DW372" s="2521"/>
      <c r="DX372" s="305"/>
      <c r="DY372" s="249"/>
      <c r="DZ372" s="221"/>
      <c r="EA372" s="388"/>
      <c r="EB372" s="249"/>
      <c r="EC372" s="216"/>
      <c r="ED372" s="1461"/>
      <c r="EE372" s="249"/>
      <c r="EF372" s="216"/>
      <c r="EG372" s="355"/>
      <c r="EH372" s="1425"/>
      <c r="EI372" s="1470"/>
      <c r="EJ372" s="249"/>
      <c r="EK372" s="221"/>
      <c r="EL372" s="313"/>
      <c r="EM372" s="249"/>
      <c r="EN372" s="221"/>
      <c r="EO372" s="313"/>
      <c r="EP372" s="249"/>
      <c r="EQ372" s="216"/>
      <c r="ER372" s="313"/>
      <c r="ES372" s="249"/>
      <c r="ET372" s="216"/>
      <c r="EU372" s="313"/>
      <c r="EV372" s="249"/>
      <c r="EW372" s="216"/>
      <c r="EX372" s="2505"/>
      <c r="EY372" s="249"/>
      <c r="EZ372" s="221"/>
      <c r="FA372" s="313"/>
      <c r="FB372" s="249"/>
      <c r="FC372" s="221"/>
      <c r="FD372" s="313"/>
      <c r="FE372" s="249"/>
      <c r="FF372" s="221"/>
      <c r="FG372" s="313"/>
      <c r="FH372" s="249"/>
      <c r="FI372" s="216"/>
      <c r="FJ372" s="1435"/>
      <c r="FK372" s="216"/>
      <c r="FL372" s="1268"/>
      <c r="FM372" s="1655"/>
      <c r="FN372" s="1268"/>
      <c r="FO372" s="1655"/>
      <c r="FP372" s="1268"/>
      <c r="FQ372" s="1656"/>
      <c r="FR372" s="249"/>
      <c r="FS372" s="216"/>
      <c r="FT372" s="1657"/>
      <c r="FU372" s="1658"/>
      <c r="FV372" s="242"/>
      <c r="FW372" s="343"/>
      <c r="FX372" s="222"/>
      <c r="FY372" s="336"/>
      <c r="FZ372" s="223"/>
      <c r="GA372" s="338"/>
      <c r="GB372" s="204"/>
      <c r="GC372" s="339"/>
      <c r="GD372" s="342"/>
      <c r="GE372" s="199"/>
      <c r="GF372" s="199"/>
      <c r="GG372" s="199"/>
      <c r="GH372" s="199"/>
      <c r="GI372" s="199"/>
      <c r="GJ372" s="199"/>
      <c r="GK372" s="199"/>
      <c r="GO372" s="322"/>
      <c r="GP372" s="1190"/>
      <c r="GQ372" s="1190"/>
      <c r="GS372" s="2879"/>
      <c r="GT372" s="2880"/>
      <c r="GU372" s="2881"/>
    </row>
    <row r="373" spans="1:203" ht="12" customHeight="1">
      <c r="A373" s="1252"/>
      <c r="B373" s="200"/>
      <c r="C373" s="486"/>
      <c r="T373" s="1186"/>
      <c r="U373" s="233"/>
      <c r="W373" s="218"/>
      <c r="X373" s="218"/>
      <c r="Y373" s="216"/>
      <c r="Z373" s="216"/>
      <c r="AA373" s="215"/>
      <c r="AB373" s="216"/>
      <c r="AC373" s="216"/>
      <c r="AD373" s="239"/>
      <c r="AE373" s="216"/>
      <c r="AF373" s="216"/>
      <c r="AG373" s="216"/>
      <c r="AH373" s="216"/>
      <c r="AI373" s="216"/>
      <c r="AJ373" s="216"/>
      <c r="AK373" s="239"/>
      <c r="AL373" s="216"/>
      <c r="AM373" s="216"/>
      <c r="AN373" s="216"/>
      <c r="AO373" s="216"/>
      <c r="AP373" s="216"/>
      <c r="AQ373" s="216"/>
      <c r="AR373" s="216"/>
      <c r="AS373" s="216"/>
      <c r="AT373" s="216"/>
      <c r="AU373" s="216"/>
      <c r="AV373" s="217"/>
      <c r="AW373" s="355"/>
      <c r="AX373" s="217"/>
      <c r="AY373" s="1559"/>
      <c r="AZ373" s="249"/>
      <c r="BA373" s="221"/>
      <c r="BB373" s="300"/>
      <c r="BC373" s="217"/>
      <c r="BD373" s="392"/>
      <c r="BE373" s="1244"/>
      <c r="BF373" s="249"/>
      <c r="BG373" s="252"/>
      <c r="BH373" s="1469"/>
      <c r="BI373" s="216"/>
      <c r="BJ373" s="1469"/>
      <c r="BK373" s="1459"/>
      <c r="BL373" s="260"/>
      <c r="BM373" s="214"/>
      <c r="BN373" s="293"/>
      <c r="BO373" s="217"/>
      <c r="BP373" s="355"/>
      <c r="BQ373" s="217"/>
      <c r="BR373" s="1193"/>
      <c r="BS373" s="249"/>
      <c r="BT373" s="216"/>
      <c r="BU373" s="1195"/>
      <c r="BV373" s="249"/>
      <c r="BW373" s="216"/>
      <c r="BX373" s="1195"/>
      <c r="BY373" s="249"/>
      <c r="BZ373" s="216"/>
      <c r="CA373" s="1195"/>
      <c r="CB373" s="249"/>
      <c r="CC373" s="216"/>
      <c r="CD373" s="1195"/>
      <c r="CE373" s="249"/>
      <c r="CF373" s="216"/>
      <c r="CG373" s="1195"/>
      <c r="CH373" s="249"/>
      <c r="CI373" s="216"/>
      <c r="CJ373" s="1195"/>
      <c r="CK373" s="249"/>
      <c r="CL373" s="216"/>
      <c r="CM373" s="1194"/>
      <c r="CN373" s="1524"/>
      <c r="CO373" s="217"/>
      <c r="CP373" s="1193"/>
      <c r="CQ373" s="293"/>
      <c r="CR373" s="217"/>
      <c r="CS373" s="305"/>
      <c r="CT373" s="249"/>
      <c r="CU373" s="216"/>
      <c r="CV373" s="1193"/>
      <c r="CW373" s="249"/>
      <c r="CX373" s="216"/>
      <c r="CY373" s="305"/>
      <c r="CZ373" s="249"/>
      <c r="DA373" s="216"/>
      <c r="DB373" s="307"/>
      <c r="DC373" s="328"/>
      <c r="DD373" s="322"/>
      <c r="DE373" s="305"/>
      <c r="DF373" s="249"/>
      <c r="DG373" s="216"/>
      <c r="DH373" s="305"/>
      <c r="DI373" s="249"/>
      <c r="DJ373" s="216"/>
      <c r="DK373" s="309"/>
      <c r="DL373" s="293"/>
      <c r="DM373" s="326"/>
      <c r="DN373" s="1256"/>
      <c r="DO373" s="214"/>
      <c r="DP373" s="1257"/>
      <c r="DQ373" s="1258"/>
      <c r="DR373" s="305"/>
      <c r="DS373" s="249"/>
      <c r="DT373" s="216"/>
      <c r="DU373" s="305"/>
      <c r="DV373" s="2520"/>
      <c r="DW373" s="2521"/>
      <c r="DX373" s="305"/>
      <c r="DY373" s="249"/>
      <c r="DZ373" s="221"/>
      <c r="EA373" s="388"/>
      <c r="EB373" s="249"/>
      <c r="EC373" s="216"/>
      <c r="ED373" s="1461"/>
      <c r="EE373" s="249"/>
      <c r="EF373" s="216"/>
      <c r="EG373" s="355"/>
      <c r="EH373" s="1425"/>
      <c r="EI373" s="1470"/>
      <c r="EJ373" s="249"/>
      <c r="EK373" s="221"/>
      <c r="EL373" s="313"/>
      <c r="EM373" s="249"/>
      <c r="EN373" s="221"/>
      <c r="EO373" s="313"/>
      <c r="EP373" s="249"/>
      <c r="EQ373" s="216"/>
      <c r="ER373" s="313"/>
      <c r="ES373" s="249"/>
      <c r="ET373" s="216"/>
      <c r="EU373" s="313"/>
      <c r="EV373" s="249"/>
      <c r="EW373" s="216"/>
      <c r="EX373" s="2505"/>
      <c r="EY373" s="249"/>
      <c r="EZ373" s="221"/>
      <c r="FA373" s="313"/>
      <c r="FB373" s="249"/>
      <c r="FC373" s="221"/>
      <c r="FD373" s="313"/>
      <c r="FE373" s="249"/>
      <c r="FF373" s="221"/>
      <c r="FG373" s="313"/>
      <c r="FH373" s="249"/>
      <c r="FI373" s="216"/>
      <c r="FJ373" s="1435"/>
      <c r="FK373" s="216"/>
      <c r="FL373" s="1268"/>
      <c r="FM373" s="1655"/>
      <c r="FN373" s="1268"/>
      <c r="FO373" s="1655"/>
      <c r="FP373" s="1268"/>
      <c r="FQ373" s="1656"/>
      <c r="FR373" s="249"/>
      <c r="FS373" s="216"/>
      <c r="FT373" s="1657"/>
      <c r="FU373" s="1658"/>
      <c r="FV373" s="242"/>
      <c r="FW373" s="343"/>
      <c r="FX373" s="222"/>
      <c r="FY373" s="336"/>
      <c r="FZ373" s="223"/>
      <c r="GA373" s="338"/>
      <c r="GB373" s="204"/>
      <c r="GC373" s="339"/>
      <c r="GD373" s="342"/>
      <c r="GE373" s="199"/>
      <c r="GF373" s="199"/>
      <c r="GG373" s="199"/>
      <c r="GH373" s="199"/>
      <c r="GI373" s="199"/>
      <c r="GJ373" s="199"/>
      <c r="GK373" s="199"/>
      <c r="GO373" s="322"/>
      <c r="GP373" s="1190"/>
      <c r="GQ373" s="1190"/>
      <c r="GS373" s="2879"/>
      <c r="GT373" s="2880"/>
      <c r="GU373" s="2881"/>
    </row>
    <row r="374" spans="1:203" ht="12" customHeight="1">
      <c r="A374" s="1252"/>
      <c r="B374" s="200"/>
      <c r="C374" s="486"/>
      <c r="T374" s="1186"/>
      <c r="U374" s="233"/>
      <c r="W374" s="218"/>
      <c r="X374" s="218"/>
      <c r="Y374" s="216"/>
      <c r="Z374" s="216"/>
      <c r="AA374" s="215"/>
      <c r="AB374" s="216"/>
      <c r="AC374" s="216"/>
      <c r="AD374" s="239"/>
      <c r="AE374" s="216"/>
      <c r="AF374" s="216"/>
      <c r="AG374" s="216"/>
      <c r="AH374" s="216"/>
      <c r="AI374" s="216"/>
      <c r="AJ374" s="216"/>
      <c r="AK374" s="239"/>
      <c r="AL374" s="216"/>
      <c r="AM374" s="216"/>
      <c r="AN374" s="216"/>
      <c r="AO374" s="216"/>
      <c r="AP374" s="216"/>
      <c r="AQ374" s="216"/>
      <c r="AR374" s="216"/>
      <c r="AS374" s="216"/>
      <c r="AT374" s="216"/>
      <c r="AU374" s="216"/>
      <c r="AV374" s="217"/>
      <c r="AW374" s="355"/>
      <c r="AX374" s="217"/>
      <c r="AY374" s="1559"/>
      <c r="AZ374" s="249"/>
      <c r="BA374" s="221"/>
      <c r="BB374" s="300"/>
      <c r="BC374" s="217"/>
      <c r="BD374" s="392"/>
      <c r="BE374" s="1244"/>
      <c r="BF374" s="249"/>
      <c r="BG374" s="252"/>
      <c r="BH374" s="1469"/>
      <c r="BI374" s="216"/>
      <c r="BJ374" s="1469"/>
      <c r="BK374" s="1459"/>
      <c r="BL374" s="260"/>
      <c r="BM374" s="214"/>
      <c r="BN374" s="293"/>
      <c r="BO374" s="217"/>
      <c r="BP374" s="355"/>
      <c r="BQ374" s="217"/>
      <c r="BR374" s="1193"/>
      <c r="BS374" s="249"/>
      <c r="BT374" s="216"/>
      <c r="BU374" s="1195"/>
      <c r="BV374" s="249"/>
      <c r="BW374" s="216"/>
      <c r="BX374" s="1195"/>
      <c r="BY374" s="249"/>
      <c r="BZ374" s="216"/>
      <c r="CA374" s="1195"/>
      <c r="CB374" s="249"/>
      <c r="CC374" s="216"/>
      <c r="CD374" s="1195"/>
      <c r="CE374" s="249"/>
      <c r="CF374" s="216"/>
      <c r="CG374" s="1195"/>
      <c r="CH374" s="249"/>
      <c r="CI374" s="216"/>
      <c r="CJ374" s="1195"/>
      <c r="CK374" s="249"/>
      <c r="CL374" s="216"/>
      <c r="CM374" s="1194"/>
      <c r="CN374" s="1524"/>
      <c r="CO374" s="217"/>
      <c r="CP374" s="1193"/>
      <c r="CQ374" s="293"/>
      <c r="CR374" s="217"/>
      <c r="CS374" s="305"/>
      <c r="CT374" s="249"/>
      <c r="CU374" s="216"/>
      <c r="CV374" s="1193"/>
      <c r="CW374" s="249"/>
      <c r="CX374" s="216"/>
      <c r="CY374" s="305"/>
      <c r="CZ374" s="249"/>
      <c r="DA374" s="216"/>
      <c r="DB374" s="307"/>
      <c r="DC374" s="328"/>
      <c r="DD374" s="322"/>
      <c r="DE374" s="305"/>
      <c r="DF374" s="249"/>
      <c r="DG374" s="216"/>
      <c r="DH374" s="305"/>
      <c r="DI374" s="249"/>
      <c r="DJ374" s="216"/>
      <c r="DK374" s="309"/>
      <c r="DL374" s="293"/>
      <c r="DM374" s="326"/>
      <c r="DN374" s="1256"/>
      <c r="DO374" s="214"/>
      <c r="DP374" s="1257"/>
      <c r="DQ374" s="1258"/>
      <c r="DR374" s="305"/>
      <c r="DS374" s="249"/>
      <c r="DT374" s="216"/>
      <c r="DU374" s="305"/>
      <c r="DV374" s="2520"/>
      <c r="DW374" s="2521"/>
      <c r="DX374" s="305"/>
      <c r="DY374" s="249"/>
      <c r="DZ374" s="221"/>
      <c r="EA374" s="388"/>
      <c r="EB374" s="249"/>
      <c r="EC374" s="216"/>
      <c r="ED374" s="1461"/>
      <c r="EE374" s="249"/>
      <c r="EF374" s="216"/>
      <c r="EG374" s="355"/>
      <c r="EH374" s="1425"/>
      <c r="EI374" s="1470"/>
      <c r="EJ374" s="249"/>
      <c r="EK374" s="221"/>
      <c r="EL374" s="313"/>
      <c r="EM374" s="249"/>
      <c r="EN374" s="221"/>
      <c r="EO374" s="313"/>
      <c r="EP374" s="249"/>
      <c r="EQ374" s="216"/>
      <c r="ER374" s="313"/>
      <c r="ES374" s="249"/>
      <c r="ET374" s="216"/>
      <c r="EU374" s="313"/>
      <c r="EV374" s="249"/>
      <c r="EW374" s="216"/>
      <c r="EX374" s="2505"/>
      <c r="EY374" s="249"/>
      <c r="EZ374" s="221"/>
      <c r="FA374" s="313"/>
      <c r="FB374" s="249"/>
      <c r="FC374" s="221"/>
      <c r="FD374" s="313"/>
      <c r="FE374" s="249"/>
      <c r="FF374" s="221"/>
      <c r="FG374" s="313"/>
      <c r="FH374" s="249"/>
      <c r="FI374" s="216"/>
      <c r="FJ374" s="1435"/>
      <c r="FK374" s="216"/>
      <c r="FL374" s="1268"/>
      <c r="FM374" s="1655"/>
      <c r="FN374" s="1268"/>
      <c r="FO374" s="1655"/>
      <c r="FP374" s="1268"/>
      <c r="FQ374" s="1656"/>
      <c r="FR374" s="249"/>
      <c r="FS374" s="216"/>
      <c r="FT374" s="1657"/>
      <c r="FU374" s="1658"/>
      <c r="FV374" s="242"/>
      <c r="FW374" s="343"/>
      <c r="FX374" s="222"/>
      <c r="FY374" s="336"/>
      <c r="FZ374" s="223"/>
      <c r="GA374" s="338"/>
      <c r="GB374" s="204"/>
      <c r="GC374" s="339"/>
      <c r="GD374" s="342"/>
      <c r="GE374" s="199"/>
      <c r="GF374" s="199"/>
      <c r="GG374" s="199"/>
      <c r="GH374" s="199"/>
      <c r="GI374" s="199"/>
      <c r="GJ374" s="199"/>
      <c r="GK374" s="199"/>
      <c r="GO374" s="322"/>
      <c r="GP374" s="1190"/>
      <c r="GQ374" s="1190"/>
      <c r="GS374" s="2879"/>
      <c r="GT374" s="2880"/>
      <c r="GU374" s="2881"/>
    </row>
    <row r="375" spans="1:203" ht="12" customHeight="1">
      <c r="A375" s="1252"/>
      <c r="B375" s="200"/>
      <c r="C375" s="486"/>
      <c r="T375" s="1186"/>
      <c r="U375" s="233"/>
      <c r="W375" s="218"/>
      <c r="X375" s="218"/>
      <c r="Y375" s="216"/>
      <c r="Z375" s="216"/>
      <c r="AA375" s="215"/>
      <c r="AB375" s="216"/>
      <c r="AC375" s="216"/>
      <c r="AD375" s="239"/>
      <c r="AE375" s="216"/>
      <c r="AF375" s="216"/>
      <c r="AG375" s="216"/>
      <c r="AH375" s="216"/>
      <c r="AI375" s="216"/>
      <c r="AJ375" s="216"/>
      <c r="AK375" s="239"/>
      <c r="AL375" s="216"/>
      <c r="AM375" s="216"/>
      <c r="AN375" s="216"/>
      <c r="AO375" s="216"/>
      <c r="AP375" s="216"/>
      <c r="AQ375" s="216"/>
      <c r="AR375" s="216"/>
      <c r="AS375" s="216"/>
      <c r="AT375" s="216"/>
      <c r="AU375" s="216"/>
      <c r="AV375" s="217"/>
      <c r="AW375" s="355"/>
      <c r="AX375" s="217"/>
      <c r="AY375" s="1559"/>
      <c r="AZ375" s="249"/>
      <c r="BA375" s="221"/>
      <c r="BB375" s="300"/>
      <c r="BC375" s="217"/>
      <c r="BD375" s="392"/>
      <c r="BE375" s="1244"/>
      <c r="BF375" s="249"/>
      <c r="BG375" s="252"/>
      <c r="BH375" s="1469"/>
      <c r="BI375" s="216"/>
      <c r="BJ375" s="1469"/>
      <c r="BK375" s="1459"/>
      <c r="BL375" s="260"/>
      <c r="BM375" s="214"/>
      <c r="BN375" s="293"/>
      <c r="BO375" s="217"/>
      <c r="BP375" s="355"/>
      <c r="BQ375" s="217"/>
      <c r="BR375" s="1193"/>
      <c r="BS375" s="249"/>
      <c r="BT375" s="216"/>
      <c r="BU375" s="1195"/>
      <c r="BV375" s="249"/>
      <c r="BW375" s="216"/>
      <c r="BX375" s="1195"/>
      <c r="BY375" s="249"/>
      <c r="BZ375" s="216"/>
      <c r="CA375" s="1195"/>
      <c r="CB375" s="249"/>
      <c r="CC375" s="216"/>
      <c r="CD375" s="1195"/>
      <c r="CE375" s="249"/>
      <c r="CF375" s="216"/>
      <c r="CG375" s="1195"/>
      <c r="CH375" s="249"/>
      <c r="CI375" s="216"/>
      <c r="CJ375" s="1195"/>
      <c r="CK375" s="249"/>
      <c r="CL375" s="216"/>
      <c r="CM375" s="1194"/>
      <c r="CN375" s="1524"/>
      <c r="CO375" s="217"/>
      <c r="CP375" s="1193"/>
      <c r="CQ375" s="293"/>
      <c r="CR375" s="217"/>
      <c r="CS375" s="305"/>
      <c r="CT375" s="249"/>
      <c r="CU375" s="216"/>
      <c r="CV375" s="1193"/>
      <c r="CW375" s="249"/>
      <c r="CX375" s="216"/>
      <c r="CY375" s="305"/>
      <c r="CZ375" s="249"/>
      <c r="DA375" s="216"/>
      <c r="DB375" s="307"/>
      <c r="DC375" s="328"/>
      <c r="DD375" s="322"/>
      <c r="DE375" s="305"/>
      <c r="DF375" s="249"/>
      <c r="DG375" s="216"/>
      <c r="DH375" s="305"/>
      <c r="DI375" s="249"/>
      <c r="DJ375" s="216"/>
      <c r="DK375" s="309"/>
      <c r="DL375" s="293"/>
      <c r="DM375" s="326"/>
      <c r="DN375" s="1256"/>
      <c r="DO375" s="214"/>
      <c r="DP375" s="1257"/>
      <c r="DQ375" s="1258"/>
      <c r="DR375" s="305"/>
      <c r="DS375" s="249"/>
      <c r="DT375" s="216"/>
      <c r="DU375" s="305"/>
      <c r="DV375" s="2520"/>
      <c r="DW375" s="2521"/>
      <c r="DX375" s="305"/>
      <c r="DY375" s="249"/>
      <c r="DZ375" s="221"/>
      <c r="EA375" s="388"/>
      <c r="EB375" s="249"/>
      <c r="EC375" s="216"/>
      <c r="ED375" s="1461"/>
      <c r="EE375" s="249"/>
      <c r="EF375" s="216"/>
      <c r="EG375" s="355"/>
      <c r="EH375" s="1425"/>
      <c r="EI375" s="1470"/>
      <c r="EJ375" s="249"/>
      <c r="EK375" s="221"/>
      <c r="EL375" s="313"/>
      <c r="EM375" s="249"/>
      <c r="EN375" s="221"/>
      <c r="EO375" s="313"/>
      <c r="EP375" s="249"/>
      <c r="EQ375" s="216"/>
      <c r="ER375" s="313"/>
      <c r="ES375" s="249"/>
      <c r="ET375" s="216"/>
      <c r="EU375" s="313"/>
      <c r="EV375" s="249"/>
      <c r="EW375" s="216"/>
      <c r="EX375" s="2505"/>
      <c r="EY375" s="249"/>
      <c r="EZ375" s="221"/>
      <c r="FA375" s="313"/>
      <c r="FB375" s="249"/>
      <c r="FC375" s="221"/>
      <c r="FD375" s="313"/>
      <c r="FE375" s="249"/>
      <c r="FF375" s="221"/>
      <c r="FG375" s="313"/>
      <c r="FH375" s="249"/>
      <c r="FI375" s="216"/>
      <c r="FJ375" s="1435"/>
      <c r="FK375" s="216"/>
      <c r="FL375" s="1268"/>
      <c r="FM375" s="1655"/>
      <c r="FN375" s="1268"/>
      <c r="FO375" s="1655"/>
      <c r="FP375" s="1268"/>
      <c r="FQ375" s="1656"/>
      <c r="FR375" s="249"/>
      <c r="FS375" s="216"/>
      <c r="FT375" s="1657"/>
      <c r="FU375" s="1658"/>
      <c r="FV375" s="242"/>
      <c r="FW375" s="343"/>
      <c r="FX375" s="222"/>
      <c r="FY375" s="336"/>
      <c r="FZ375" s="223"/>
      <c r="GA375" s="338"/>
      <c r="GB375" s="204"/>
      <c r="GC375" s="339"/>
      <c r="GD375" s="342"/>
      <c r="GE375" s="199"/>
      <c r="GF375" s="199"/>
      <c r="GG375" s="199"/>
      <c r="GH375" s="199"/>
      <c r="GI375" s="199"/>
      <c r="GJ375" s="199"/>
      <c r="GK375" s="199"/>
      <c r="GO375" s="322"/>
      <c r="GP375" s="1190"/>
      <c r="GQ375" s="1190"/>
      <c r="GS375" s="2879"/>
      <c r="GT375" s="2880"/>
      <c r="GU375" s="2881"/>
    </row>
    <row r="376" spans="1:203" ht="12" customHeight="1">
      <c r="A376" s="1252"/>
      <c r="B376" s="200"/>
      <c r="C376" s="486"/>
      <c r="T376" s="1186"/>
      <c r="U376" s="233"/>
      <c r="W376" s="218"/>
      <c r="X376" s="218"/>
      <c r="Y376" s="216"/>
      <c r="Z376" s="216"/>
      <c r="AA376" s="215"/>
      <c r="AB376" s="216"/>
      <c r="AC376" s="216"/>
      <c r="AD376" s="239"/>
      <c r="AE376" s="216"/>
      <c r="AF376" s="216"/>
      <c r="AG376" s="216"/>
      <c r="AH376" s="216"/>
      <c r="AI376" s="216"/>
      <c r="AJ376" s="216"/>
      <c r="AK376" s="239"/>
      <c r="AL376" s="216"/>
      <c r="AM376" s="216"/>
      <c r="AN376" s="216"/>
      <c r="AO376" s="216"/>
      <c r="AP376" s="216"/>
      <c r="AQ376" s="216"/>
      <c r="AR376" s="216"/>
      <c r="AS376" s="216"/>
      <c r="AT376" s="216"/>
      <c r="AU376" s="216"/>
      <c r="AV376" s="217"/>
      <c r="AW376" s="355"/>
      <c r="AX376" s="217"/>
      <c r="AY376" s="1559"/>
      <c r="AZ376" s="249"/>
      <c r="BA376" s="221"/>
      <c r="BB376" s="300"/>
      <c r="BC376" s="217"/>
      <c r="BD376" s="392"/>
      <c r="BE376" s="1244"/>
      <c r="BF376" s="249"/>
      <c r="BG376" s="252"/>
      <c r="BH376" s="1469"/>
      <c r="BI376" s="216"/>
      <c r="BJ376" s="1469"/>
      <c r="BK376" s="1459"/>
      <c r="BL376" s="260"/>
      <c r="BM376" s="214"/>
      <c r="BN376" s="293"/>
      <c r="BO376" s="217"/>
      <c r="BP376" s="355"/>
      <c r="BQ376" s="217"/>
      <c r="BR376" s="1193"/>
      <c r="BS376" s="249"/>
      <c r="BT376" s="216"/>
      <c r="BU376" s="1195"/>
      <c r="BV376" s="249"/>
      <c r="BW376" s="216"/>
      <c r="BX376" s="1195"/>
      <c r="BY376" s="249"/>
      <c r="BZ376" s="216"/>
      <c r="CA376" s="1195"/>
      <c r="CB376" s="249"/>
      <c r="CC376" s="216"/>
      <c r="CD376" s="1195"/>
      <c r="CE376" s="249"/>
      <c r="CF376" s="216"/>
      <c r="CG376" s="1195"/>
      <c r="CH376" s="249"/>
      <c r="CI376" s="216"/>
      <c r="CJ376" s="1195"/>
      <c r="CK376" s="249"/>
      <c r="CL376" s="216"/>
      <c r="CM376" s="1194"/>
      <c r="CN376" s="1524"/>
      <c r="CO376" s="217"/>
      <c r="CP376" s="1193"/>
      <c r="CQ376" s="293"/>
      <c r="CR376" s="217"/>
      <c r="CS376" s="305"/>
      <c r="CT376" s="249"/>
      <c r="CU376" s="216"/>
      <c r="CV376" s="1193"/>
      <c r="CW376" s="249"/>
      <c r="CX376" s="216"/>
      <c r="CY376" s="305"/>
      <c r="CZ376" s="249"/>
      <c r="DA376" s="216"/>
      <c r="DB376" s="307"/>
      <c r="DC376" s="328"/>
      <c r="DD376" s="322"/>
      <c r="DE376" s="305"/>
      <c r="DF376" s="249"/>
      <c r="DG376" s="216"/>
      <c r="DH376" s="305"/>
      <c r="DI376" s="249"/>
      <c r="DJ376" s="216"/>
      <c r="DK376" s="309"/>
      <c r="DL376" s="293"/>
      <c r="DM376" s="326"/>
      <c r="DN376" s="1256"/>
      <c r="DO376" s="214"/>
      <c r="DP376" s="1257"/>
      <c r="DQ376" s="1258"/>
      <c r="DR376" s="305"/>
      <c r="DS376" s="249"/>
      <c r="DT376" s="216"/>
      <c r="DU376" s="305"/>
      <c r="DV376" s="2520"/>
      <c r="DW376" s="2521"/>
      <c r="DX376" s="305"/>
      <c r="DY376" s="249"/>
      <c r="DZ376" s="221"/>
      <c r="EA376" s="388"/>
      <c r="EB376" s="249"/>
      <c r="EC376" s="216"/>
      <c r="ED376" s="1461"/>
      <c r="EE376" s="249"/>
      <c r="EF376" s="216"/>
      <c r="EG376" s="355"/>
      <c r="EH376" s="1425"/>
      <c r="EI376" s="1470"/>
      <c r="EJ376" s="249"/>
      <c r="EK376" s="221"/>
      <c r="EL376" s="313"/>
      <c r="EM376" s="249"/>
      <c r="EN376" s="221"/>
      <c r="EO376" s="313"/>
      <c r="EP376" s="249"/>
      <c r="EQ376" s="216"/>
      <c r="ER376" s="313"/>
      <c r="ES376" s="249"/>
      <c r="ET376" s="216"/>
      <c r="EU376" s="313"/>
      <c r="EV376" s="249"/>
      <c r="EW376" s="216"/>
      <c r="EX376" s="2505"/>
      <c r="EY376" s="249"/>
      <c r="EZ376" s="221"/>
      <c r="FA376" s="313"/>
      <c r="FB376" s="249"/>
      <c r="FC376" s="221"/>
      <c r="FD376" s="313"/>
      <c r="FE376" s="249"/>
      <c r="FF376" s="221"/>
      <c r="FG376" s="313"/>
      <c r="FH376" s="249"/>
      <c r="FI376" s="216"/>
      <c r="FJ376" s="1435"/>
      <c r="FK376" s="216"/>
      <c r="FL376" s="1268"/>
      <c r="FM376" s="1655"/>
      <c r="FN376" s="1268"/>
      <c r="FO376" s="1655"/>
      <c r="FP376" s="1268"/>
      <c r="FQ376" s="1656"/>
      <c r="FR376" s="249"/>
      <c r="FS376" s="216"/>
      <c r="FT376" s="1657"/>
      <c r="FU376" s="1658"/>
      <c r="FV376" s="242"/>
      <c r="FW376" s="343"/>
      <c r="FX376" s="222"/>
      <c r="FY376" s="336"/>
      <c r="FZ376" s="223"/>
      <c r="GA376" s="338"/>
      <c r="GB376" s="204"/>
      <c r="GC376" s="339"/>
      <c r="GD376" s="342"/>
      <c r="GE376" s="199"/>
      <c r="GF376" s="199"/>
      <c r="GG376" s="199"/>
      <c r="GH376" s="199"/>
      <c r="GI376" s="199"/>
      <c r="GJ376" s="199"/>
      <c r="GK376" s="199"/>
      <c r="GO376" s="322"/>
      <c r="GP376" s="1190"/>
      <c r="GQ376" s="1190"/>
      <c r="GS376" s="2879"/>
      <c r="GT376" s="2880"/>
      <c r="GU376" s="2881"/>
    </row>
    <row r="377" spans="1:203" ht="12" customHeight="1">
      <c r="A377" s="1252"/>
      <c r="B377" s="200"/>
      <c r="C377" s="486"/>
      <c r="T377" s="1186"/>
      <c r="U377" s="233"/>
      <c r="W377" s="218"/>
      <c r="X377" s="218"/>
      <c r="Y377" s="216"/>
      <c r="Z377" s="216"/>
      <c r="AA377" s="215"/>
      <c r="AB377" s="216"/>
      <c r="AC377" s="216"/>
      <c r="AD377" s="239"/>
      <c r="AE377" s="216"/>
      <c r="AF377" s="216"/>
      <c r="AG377" s="216"/>
      <c r="AH377" s="216"/>
      <c r="AI377" s="216"/>
      <c r="AJ377" s="216"/>
      <c r="AK377" s="239"/>
      <c r="AL377" s="216"/>
      <c r="AM377" s="216"/>
      <c r="AN377" s="216"/>
      <c r="AO377" s="216"/>
      <c r="AP377" s="216"/>
      <c r="AQ377" s="216"/>
      <c r="AR377" s="216"/>
      <c r="AS377" s="216"/>
      <c r="AT377" s="216"/>
      <c r="AU377" s="216"/>
      <c r="AV377" s="217"/>
      <c r="AW377" s="355"/>
      <c r="AX377" s="217"/>
      <c r="AY377" s="1559"/>
      <c r="AZ377" s="249"/>
      <c r="BA377" s="221"/>
      <c r="BB377" s="300"/>
      <c r="BC377" s="217"/>
      <c r="BD377" s="392"/>
      <c r="BE377" s="1244"/>
      <c r="BF377" s="249"/>
      <c r="BG377" s="252"/>
      <c r="BH377" s="1469"/>
      <c r="BI377" s="216"/>
      <c r="BJ377" s="1469"/>
      <c r="BK377" s="1459"/>
      <c r="BL377" s="260"/>
      <c r="BM377" s="214"/>
      <c r="BN377" s="293"/>
      <c r="BO377" s="217"/>
      <c r="BP377" s="355"/>
      <c r="BQ377" s="217"/>
      <c r="BR377" s="1193"/>
      <c r="BS377" s="249"/>
      <c r="BT377" s="216"/>
      <c r="BU377" s="1195"/>
      <c r="BV377" s="249"/>
      <c r="BW377" s="216"/>
      <c r="BX377" s="1195"/>
      <c r="BY377" s="249"/>
      <c r="BZ377" s="216"/>
      <c r="CA377" s="1195"/>
      <c r="CB377" s="249"/>
      <c r="CC377" s="216"/>
      <c r="CD377" s="1195"/>
      <c r="CE377" s="249"/>
      <c r="CF377" s="216"/>
      <c r="CG377" s="1195"/>
      <c r="CH377" s="249"/>
      <c r="CI377" s="216"/>
      <c r="CJ377" s="1195"/>
      <c r="CK377" s="249"/>
      <c r="CL377" s="216"/>
      <c r="CM377" s="1194"/>
      <c r="CN377" s="1524"/>
      <c r="CO377" s="217"/>
      <c r="CP377" s="1193"/>
      <c r="CQ377" s="293"/>
      <c r="CR377" s="217"/>
      <c r="CS377" s="305"/>
      <c r="CT377" s="249"/>
      <c r="CU377" s="216"/>
      <c r="CV377" s="1193"/>
      <c r="CW377" s="249"/>
      <c r="CX377" s="216"/>
      <c r="CY377" s="305"/>
      <c r="CZ377" s="249"/>
      <c r="DA377" s="216"/>
      <c r="DB377" s="307"/>
      <c r="DC377" s="328"/>
      <c r="DD377" s="322"/>
      <c r="DE377" s="305"/>
      <c r="DF377" s="249"/>
      <c r="DG377" s="216"/>
      <c r="DH377" s="305"/>
      <c r="DI377" s="249"/>
      <c r="DJ377" s="216"/>
      <c r="DK377" s="309"/>
      <c r="DL377" s="293"/>
      <c r="DM377" s="326"/>
      <c r="DN377" s="1256"/>
      <c r="DO377" s="214"/>
      <c r="DP377" s="1257"/>
      <c r="DQ377" s="1258"/>
      <c r="DR377" s="305"/>
      <c r="DS377" s="249"/>
      <c r="DT377" s="216"/>
      <c r="DU377" s="305"/>
      <c r="DV377" s="2520"/>
      <c r="DW377" s="2521"/>
      <c r="DX377" s="305"/>
      <c r="DY377" s="249"/>
      <c r="DZ377" s="221"/>
      <c r="EA377" s="388"/>
      <c r="EB377" s="249"/>
      <c r="EC377" s="216"/>
      <c r="ED377" s="1461"/>
      <c r="EE377" s="249"/>
      <c r="EF377" s="216"/>
      <c r="EG377" s="355"/>
      <c r="EH377" s="1425"/>
      <c r="EI377" s="1470"/>
      <c r="EJ377" s="249"/>
      <c r="EK377" s="221"/>
      <c r="EL377" s="313"/>
      <c r="EM377" s="249"/>
      <c r="EN377" s="221"/>
      <c r="EO377" s="313"/>
      <c r="EP377" s="249"/>
      <c r="EQ377" s="216"/>
      <c r="ER377" s="313"/>
      <c r="ES377" s="249"/>
      <c r="ET377" s="216"/>
      <c r="EU377" s="313"/>
      <c r="EV377" s="249"/>
      <c r="EW377" s="216"/>
      <c r="EX377" s="2505"/>
      <c r="EY377" s="249"/>
      <c r="EZ377" s="221"/>
      <c r="FA377" s="313"/>
      <c r="FB377" s="249"/>
      <c r="FC377" s="221"/>
      <c r="FD377" s="313"/>
      <c r="FE377" s="249"/>
      <c r="FF377" s="221"/>
      <c r="FG377" s="313"/>
      <c r="FH377" s="249"/>
      <c r="FI377" s="216"/>
      <c r="FJ377" s="1435"/>
      <c r="FK377" s="216"/>
      <c r="FL377" s="1268"/>
      <c r="FM377" s="1655"/>
      <c r="FN377" s="1268"/>
      <c r="FO377" s="1655"/>
      <c r="FP377" s="1268"/>
      <c r="FQ377" s="1656"/>
      <c r="FR377" s="249"/>
      <c r="FS377" s="216"/>
      <c r="FT377" s="1657"/>
      <c r="FU377" s="1658"/>
      <c r="FV377" s="242"/>
      <c r="FW377" s="343"/>
      <c r="FX377" s="222"/>
      <c r="FY377" s="336"/>
      <c r="FZ377" s="223"/>
      <c r="GA377" s="338"/>
      <c r="GB377" s="204"/>
      <c r="GC377" s="339"/>
      <c r="GD377" s="342"/>
      <c r="GE377" s="199"/>
      <c r="GF377" s="199"/>
      <c r="GG377" s="199"/>
      <c r="GH377" s="199"/>
      <c r="GI377" s="199"/>
      <c r="GJ377" s="199"/>
      <c r="GK377" s="199"/>
      <c r="GO377" s="322"/>
      <c r="GP377" s="1190"/>
      <c r="GQ377" s="1190"/>
      <c r="GS377" s="2879"/>
      <c r="GT377" s="2880"/>
      <c r="GU377" s="2881"/>
    </row>
    <row r="378" spans="1:203" ht="12" customHeight="1">
      <c r="A378" s="1252"/>
      <c r="B378" s="200"/>
      <c r="C378" s="486"/>
      <c r="T378" s="1186"/>
      <c r="U378" s="233"/>
      <c r="W378" s="218"/>
      <c r="X378" s="218"/>
      <c r="Y378" s="216"/>
      <c r="Z378" s="216"/>
      <c r="AA378" s="215"/>
      <c r="AB378" s="216"/>
      <c r="AC378" s="216"/>
      <c r="AD378" s="239"/>
      <c r="AE378" s="216"/>
      <c r="AF378" s="216"/>
      <c r="AG378" s="216"/>
      <c r="AH378" s="216"/>
      <c r="AI378" s="216"/>
      <c r="AJ378" s="216"/>
      <c r="AK378" s="239"/>
      <c r="AL378" s="216"/>
      <c r="AM378" s="216"/>
      <c r="AN378" s="216"/>
      <c r="AO378" s="216"/>
      <c r="AP378" s="216"/>
      <c r="AQ378" s="216"/>
      <c r="AR378" s="216"/>
      <c r="AS378" s="216"/>
      <c r="AT378" s="216"/>
      <c r="AU378" s="216"/>
      <c r="AV378" s="217"/>
      <c r="AW378" s="355"/>
      <c r="AX378" s="217"/>
      <c r="AY378" s="1559"/>
      <c r="AZ378" s="249"/>
      <c r="BA378" s="221"/>
      <c r="BB378" s="300"/>
      <c r="BC378" s="217"/>
      <c r="BD378" s="392"/>
      <c r="BE378" s="1244"/>
      <c r="BF378" s="249"/>
      <c r="BG378" s="252"/>
      <c r="BH378" s="1469"/>
      <c r="BI378" s="216"/>
      <c r="BJ378" s="1469"/>
      <c r="BK378" s="1459"/>
      <c r="BL378" s="260"/>
      <c r="BM378" s="214"/>
      <c r="BN378" s="293"/>
      <c r="BO378" s="217"/>
      <c r="BP378" s="355"/>
      <c r="BQ378" s="217"/>
      <c r="BR378" s="1193"/>
      <c r="BS378" s="249"/>
      <c r="BT378" s="216"/>
      <c r="BU378" s="1195"/>
      <c r="BV378" s="249"/>
      <c r="BW378" s="216"/>
      <c r="BX378" s="1195"/>
      <c r="BY378" s="249"/>
      <c r="BZ378" s="216"/>
      <c r="CA378" s="1195"/>
      <c r="CB378" s="249"/>
      <c r="CC378" s="216"/>
      <c r="CD378" s="1195"/>
      <c r="CE378" s="249"/>
      <c r="CF378" s="216"/>
      <c r="CG378" s="1195"/>
      <c r="CH378" s="249"/>
      <c r="CI378" s="216"/>
      <c r="CJ378" s="1195"/>
      <c r="CK378" s="249"/>
      <c r="CL378" s="216"/>
      <c r="CM378" s="1194"/>
      <c r="CN378" s="1524"/>
      <c r="CO378" s="217"/>
      <c r="CP378" s="1193"/>
      <c r="CQ378" s="293"/>
      <c r="CR378" s="217"/>
      <c r="CS378" s="305"/>
      <c r="CT378" s="249"/>
      <c r="CU378" s="216"/>
      <c r="CV378" s="1193"/>
      <c r="CW378" s="249"/>
      <c r="CX378" s="216"/>
      <c r="CY378" s="305"/>
      <c r="CZ378" s="249"/>
      <c r="DA378" s="216"/>
      <c r="DB378" s="307"/>
      <c r="DC378" s="328"/>
      <c r="DD378" s="322"/>
      <c r="DE378" s="305"/>
      <c r="DF378" s="249"/>
      <c r="DG378" s="216"/>
      <c r="DH378" s="305"/>
      <c r="DI378" s="249"/>
      <c r="DJ378" s="216"/>
      <c r="DK378" s="309"/>
      <c r="DL378" s="293"/>
      <c r="DM378" s="326"/>
      <c r="DN378" s="1256"/>
      <c r="DO378" s="214"/>
      <c r="DP378" s="1257"/>
      <c r="DQ378" s="1258"/>
      <c r="DR378" s="305"/>
      <c r="DS378" s="249"/>
      <c r="DT378" s="216"/>
      <c r="DU378" s="305"/>
      <c r="DV378" s="2520"/>
      <c r="DW378" s="2521"/>
      <c r="DX378" s="305"/>
      <c r="DY378" s="249"/>
      <c r="DZ378" s="221"/>
      <c r="EA378" s="388"/>
      <c r="EB378" s="249"/>
      <c r="EC378" s="216"/>
      <c r="ED378" s="1461"/>
      <c r="EE378" s="249"/>
      <c r="EF378" s="216"/>
      <c r="EG378" s="355"/>
      <c r="EH378" s="1425"/>
      <c r="EI378" s="1470"/>
      <c r="EJ378" s="249"/>
      <c r="EK378" s="221"/>
      <c r="EL378" s="313"/>
      <c r="EM378" s="249"/>
      <c r="EN378" s="221"/>
      <c r="EO378" s="313"/>
      <c r="EP378" s="249"/>
      <c r="EQ378" s="216"/>
      <c r="ER378" s="313"/>
      <c r="ES378" s="249"/>
      <c r="ET378" s="216"/>
      <c r="EU378" s="313"/>
      <c r="EV378" s="249"/>
      <c r="EW378" s="216"/>
      <c r="EX378" s="2505"/>
      <c r="EY378" s="249"/>
      <c r="EZ378" s="221"/>
      <c r="FA378" s="313"/>
      <c r="FB378" s="249"/>
      <c r="FC378" s="221"/>
      <c r="FD378" s="313"/>
      <c r="FE378" s="249"/>
      <c r="FF378" s="221"/>
      <c r="FG378" s="313"/>
      <c r="FH378" s="249"/>
      <c r="FI378" s="216"/>
      <c r="FJ378" s="1435"/>
      <c r="FK378" s="216"/>
      <c r="FL378" s="1268"/>
      <c r="FM378" s="1655"/>
      <c r="FN378" s="1268"/>
      <c r="FO378" s="1655"/>
      <c r="FP378" s="1268"/>
      <c r="FQ378" s="1656"/>
      <c r="FR378" s="249"/>
      <c r="FS378" s="216"/>
      <c r="FT378" s="1657"/>
      <c r="FU378" s="1658"/>
      <c r="FV378" s="242"/>
      <c r="FW378" s="343"/>
      <c r="FX378" s="222"/>
      <c r="FY378" s="336"/>
      <c r="FZ378" s="223"/>
      <c r="GA378" s="338"/>
      <c r="GB378" s="204"/>
      <c r="GC378" s="339"/>
      <c r="GD378" s="342"/>
      <c r="GE378" s="199"/>
      <c r="GF378" s="199"/>
      <c r="GG378" s="199"/>
      <c r="GH378" s="199"/>
      <c r="GI378" s="199"/>
      <c r="GJ378" s="199"/>
      <c r="GK378" s="199"/>
      <c r="GO378" s="322"/>
      <c r="GP378" s="1190"/>
      <c r="GQ378" s="1190"/>
      <c r="GS378" s="2879"/>
      <c r="GT378" s="2880"/>
      <c r="GU378" s="2881"/>
    </row>
    <row r="379" spans="1:203" ht="12" customHeight="1">
      <c r="A379" s="1252"/>
      <c r="B379" s="200"/>
      <c r="C379" s="486"/>
      <c r="T379" s="1186"/>
      <c r="U379" s="233"/>
      <c r="W379" s="218"/>
      <c r="X379" s="218"/>
      <c r="Y379" s="216"/>
      <c r="Z379" s="216"/>
      <c r="AA379" s="215"/>
      <c r="AB379" s="216"/>
      <c r="AC379" s="216"/>
      <c r="AD379" s="239"/>
      <c r="AE379" s="216"/>
      <c r="AF379" s="216"/>
      <c r="AG379" s="216"/>
      <c r="AH379" s="216"/>
      <c r="AI379" s="216"/>
      <c r="AJ379" s="216"/>
      <c r="AK379" s="239"/>
      <c r="AL379" s="216"/>
      <c r="AM379" s="216"/>
      <c r="AN379" s="216"/>
      <c r="AO379" s="216"/>
      <c r="AP379" s="216"/>
      <c r="AQ379" s="216"/>
      <c r="AR379" s="216"/>
      <c r="AS379" s="216"/>
      <c r="AT379" s="216"/>
      <c r="AU379" s="216"/>
      <c r="AV379" s="217"/>
      <c r="AW379" s="355"/>
      <c r="AX379" s="217"/>
      <c r="AY379" s="1559"/>
      <c r="AZ379" s="249"/>
      <c r="BA379" s="221"/>
      <c r="BB379" s="300"/>
      <c r="BC379" s="217"/>
      <c r="BD379" s="392"/>
      <c r="BE379" s="1244"/>
      <c r="BF379" s="249"/>
      <c r="BG379" s="252"/>
      <c r="BH379" s="1469"/>
      <c r="BI379" s="216"/>
      <c r="BJ379" s="1469"/>
      <c r="BK379" s="1459"/>
      <c r="BL379" s="260"/>
      <c r="BM379" s="214"/>
      <c r="BN379" s="293"/>
      <c r="BO379" s="217"/>
      <c r="BP379" s="355"/>
      <c r="BQ379" s="217"/>
      <c r="BR379" s="1193"/>
      <c r="BS379" s="249"/>
      <c r="BT379" s="216"/>
      <c r="BU379" s="1195"/>
      <c r="BV379" s="249"/>
      <c r="BW379" s="216"/>
      <c r="BX379" s="1195"/>
      <c r="BY379" s="249"/>
      <c r="BZ379" s="216"/>
      <c r="CA379" s="1195"/>
      <c r="CB379" s="249"/>
      <c r="CC379" s="216"/>
      <c r="CD379" s="1195"/>
      <c r="CE379" s="249"/>
      <c r="CF379" s="216"/>
      <c r="CG379" s="1195"/>
      <c r="CH379" s="249"/>
      <c r="CI379" s="216"/>
      <c r="CJ379" s="1195"/>
      <c r="CK379" s="249"/>
      <c r="CL379" s="216"/>
      <c r="CM379" s="1194"/>
      <c r="CN379" s="1524"/>
      <c r="CO379" s="217"/>
      <c r="CP379" s="1193"/>
      <c r="CQ379" s="293"/>
      <c r="CR379" s="217"/>
      <c r="CS379" s="305"/>
      <c r="CT379" s="249"/>
      <c r="CU379" s="216"/>
      <c r="CV379" s="1193"/>
      <c r="CW379" s="249"/>
      <c r="CX379" s="216"/>
      <c r="CY379" s="305"/>
      <c r="CZ379" s="249"/>
      <c r="DA379" s="216"/>
      <c r="DB379" s="307"/>
      <c r="DC379" s="328"/>
      <c r="DD379" s="322"/>
      <c r="DE379" s="305"/>
      <c r="DF379" s="249"/>
      <c r="DG379" s="216"/>
      <c r="DH379" s="305"/>
      <c r="DI379" s="249"/>
      <c r="DJ379" s="216"/>
      <c r="DK379" s="309"/>
      <c r="DL379" s="293"/>
      <c r="DM379" s="326"/>
      <c r="DN379" s="1256"/>
      <c r="DO379" s="214"/>
      <c r="DP379" s="1257"/>
      <c r="DQ379" s="1258"/>
      <c r="DR379" s="305"/>
      <c r="DS379" s="249"/>
      <c r="DT379" s="216"/>
      <c r="DU379" s="305"/>
      <c r="DV379" s="2520"/>
      <c r="DW379" s="2521"/>
      <c r="DX379" s="305"/>
      <c r="DY379" s="249"/>
      <c r="DZ379" s="221"/>
      <c r="EA379" s="388"/>
      <c r="EB379" s="249"/>
      <c r="EC379" s="216"/>
      <c r="ED379" s="1461"/>
      <c r="EE379" s="249"/>
      <c r="EF379" s="216"/>
      <c r="EG379" s="355"/>
      <c r="EH379" s="1425"/>
      <c r="EI379" s="1470"/>
      <c r="EJ379" s="249"/>
      <c r="EK379" s="221"/>
      <c r="EL379" s="313"/>
      <c r="EM379" s="249"/>
      <c r="EN379" s="221"/>
      <c r="EO379" s="313"/>
      <c r="EP379" s="249"/>
      <c r="EQ379" s="216"/>
      <c r="ER379" s="313"/>
      <c r="ES379" s="249"/>
      <c r="ET379" s="216"/>
      <c r="EU379" s="313"/>
      <c r="EV379" s="249"/>
      <c r="EW379" s="216"/>
      <c r="EX379" s="2505"/>
      <c r="EY379" s="249"/>
      <c r="EZ379" s="221"/>
      <c r="FA379" s="313"/>
      <c r="FB379" s="249"/>
      <c r="FC379" s="221"/>
      <c r="FD379" s="313"/>
      <c r="FE379" s="249"/>
      <c r="FF379" s="221"/>
      <c r="FG379" s="313"/>
      <c r="FH379" s="249"/>
      <c r="FI379" s="216"/>
      <c r="FJ379" s="1435"/>
      <c r="FK379" s="216"/>
      <c r="FL379" s="1268"/>
      <c r="FM379" s="1655"/>
      <c r="FN379" s="1268"/>
      <c r="FO379" s="1655"/>
      <c r="FP379" s="1268"/>
      <c r="FQ379" s="1656"/>
      <c r="FR379" s="249"/>
      <c r="FS379" s="216"/>
      <c r="FT379" s="1657"/>
      <c r="FU379" s="1658"/>
      <c r="FV379" s="242"/>
      <c r="FW379" s="343"/>
      <c r="FX379" s="222"/>
      <c r="FY379" s="336"/>
      <c r="FZ379" s="223"/>
      <c r="GA379" s="338"/>
      <c r="GB379" s="204"/>
      <c r="GC379" s="339"/>
      <c r="GD379" s="342"/>
      <c r="GE379" s="199"/>
      <c r="GF379" s="199"/>
      <c r="GG379" s="199"/>
      <c r="GH379" s="199"/>
      <c r="GI379" s="199"/>
      <c r="GJ379" s="199"/>
      <c r="GK379" s="199"/>
      <c r="GO379" s="322"/>
      <c r="GP379" s="1190"/>
      <c r="GQ379" s="1190"/>
      <c r="GS379" s="2879"/>
      <c r="GT379" s="2880"/>
      <c r="GU379" s="2881"/>
    </row>
    <row r="380" spans="1:203" ht="12" customHeight="1">
      <c r="A380" s="1252"/>
      <c r="B380" s="200"/>
      <c r="C380" s="486"/>
      <c r="T380" s="1186"/>
      <c r="U380" s="233"/>
      <c r="W380" s="218"/>
      <c r="X380" s="218"/>
      <c r="Y380" s="216"/>
      <c r="Z380" s="216"/>
      <c r="AA380" s="215"/>
      <c r="AB380" s="216"/>
      <c r="AC380" s="216"/>
      <c r="AD380" s="239"/>
      <c r="AE380" s="216"/>
      <c r="AF380" s="216"/>
      <c r="AG380" s="216"/>
      <c r="AH380" s="216"/>
      <c r="AI380" s="216"/>
      <c r="AJ380" s="216"/>
      <c r="AK380" s="239"/>
      <c r="AL380" s="216"/>
      <c r="AM380" s="216"/>
      <c r="AN380" s="216"/>
      <c r="AO380" s="216"/>
      <c r="AP380" s="216"/>
      <c r="AQ380" s="216"/>
      <c r="AR380" s="216"/>
      <c r="AS380" s="216"/>
      <c r="AT380" s="216"/>
      <c r="AU380" s="216"/>
      <c r="AV380" s="217"/>
      <c r="AW380" s="355"/>
      <c r="AX380" s="217"/>
      <c r="AY380" s="1559"/>
      <c r="AZ380" s="249"/>
      <c r="BA380" s="221"/>
      <c r="BB380" s="300"/>
      <c r="BC380" s="217"/>
      <c r="BD380" s="392"/>
      <c r="BE380" s="1244"/>
      <c r="BF380" s="249"/>
      <c r="BG380" s="252"/>
      <c r="BH380" s="1469"/>
      <c r="BI380" s="216"/>
      <c r="BJ380" s="1469"/>
      <c r="BK380" s="1459"/>
      <c r="BL380" s="260"/>
      <c r="BM380" s="214"/>
      <c r="BN380" s="293"/>
      <c r="BO380" s="217"/>
      <c r="BP380" s="355"/>
      <c r="BQ380" s="217"/>
      <c r="BR380" s="1193"/>
      <c r="BS380" s="249"/>
      <c r="BT380" s="216"/>
      <c r="BU380" s="1195"/>
      <c r="BV380" s="249"/>
      <c r="BW380" s="216"/>
      <c r="BX380" s="1195"/>
      <c r="BY380" s="249"/>
      <c r="BZ380" s="216"/>
      <c r="CA380" s="1195"/>
      <c r="CB380" s="249"/>
      <c r="CC380" s="216"/>
      <c r="CD380" s="1195"/>
      <c r="CE380" s="249"/>
      <c r="CF380" s="216"/>
      <c r="CG380" s="1195"/>
      <c r="CH380" s="249"/>
      <c r="CI380" s="216"/>
      <c r="CJ380" s="1195"/>
      <c r="CK380" s="249"/>
      <c r="CL380" s="216"/>
      <c r="CM380" s="1194"/>
      <c r="CN380" s="1524"/>
      <c r="CO380" s="217"/>
      <c r="CP380" s="1193"/>
      <c r="CQ380" s="293"/>
      <c r="CR380" s="217"/>
      <c r="CS380" s="305"/>
      <c r="CT380" s="249"/>
      <c r="CU380" s="216"/>
      <c r="CV380" s="1193"/>
      <c r="CW380" s="249"/>
      <c r="CX380" s="216"/>
      <c r="CY380" s="305"/>
      <c r="CZ380" s="249"/>
      <c r="DA380" s="216"/>
      <c r="DB380" s="307"/>
      <c r="DC380" s="328"/>
      <c r="DD380" s="322"/>
      <c r="DE380" s="305"/>
      <c r="DF380" s="249"/>
      <c r="DG380" s="216"/>
      <c r="DH380" s="305"/>
      <c r="DI380" s="249"/>
      <c r="DJ380" s="216"/>
      <c r="DK380" s="309"/>
      <c r="DL380" s="293"/>
      <c r="DM380" s="326"/>
      <c r="DN380" s="1256"/>
      <c r="DO380" s="214"/>
      <c r="DP380" s="1257"/>
      <c r="DQ380" s="1258"/>
      <c r="DR380" s="305"/>
      <c r="DS380" s="249"/>
      <c r="DT380" s="216"/>
      <c r="DU380" s="305"/>
      <c r="DV380" s="2520"/>
      <c r="DW380" s="2521"/>
      <c r="DX380" s="305"/>
      <c r="DY380" s="249"/>
      <c r="DZ380" s="221"/>
      <c r="EA380" s="388"/>
      <c r="EB380" s="249"/>
      <c r="EC380" s="216"/>
      <c r="ED380" s="1461"/>
      <c r="EE380" s="249"/>
      <c r="EF380" s="216"/>
      <c r="EG380" s="355"/>
      <c r="EH380" s="1425"/>
      <c r="EI380" s="1470"/>
      <c r="EJ380" s="249"/>
      <c r="EK380" s="221"/>
      <c r="EL380" s="313"/>
      <c r="EM380" s="249"/>
      <c r="EN380" s="221"/>
      <c r="EO380" s="313"/>
      <c r="EP380" s="249"/>
      <c r="EQ380" s="216"/>
      <c r="ER380" s="313"/>
      <c r="ES380" s="249"/>
      <c r="ET380" s="216"/>
      <c r="EU380" s="313"/>
      <c r="EV380" s="249"/>
      <c r="EW380" s="216"/>
      <c r="EX380" s="2505"/>
      <c r="EY380" s="249"/>
      <c r="EZ380" s="221"/>
      <c r="FA380" s="313"/>
      <c r="FB380" s="249"/>
      <c r="FC380" s="221"/>
      <c r="FD380" s="313"/>
      <c r="FE380" s="249"/>
      <c r="FF380" s="221"/>
      <c r="FG380" s="313"/>
      <c r="FH380" s="249"/>
      <c r="FI380" s="216"/>
      <c r="FJ380" s="1435"/>
      <c r="FK380" s="216"/>
      <c r="FL380" s="1268"/>
      <c r="FM380" s="1655"/>
      <c r="FN380" s="1268"/>
      <c r="FO380" s="1655"/>
      <c r="FP380" s="1268"/>
      <c r="FQ380" s="1656"/>
      <c r="FR380" s="249"/>
      <c r="FS380" s="216"/>
      <c r="FT380" s="1657"/>
      <c r="FU380" s="1658"/>
      <c r="FV380" s="242"/>
      <c r="FW380" s="343"/>
      <c r="FX380" s="222"/>
      <c r="FY380" s="336"/>
      <c r="FZ380" s="223"/>
      <c r="GA380" s="338"/>
      <c r="GB380" s="204"/>
      <c r="GC380" s="339"/>
      <c r="GD380" s="342"/>
      <c r="GE380" s="199"/>
      <c r="GF380" s="199"/>
      <c r="GG380" s="199"/>
      <c r="GH380" s="199"/>
      <c r="GI380" s="199"/>
      <c r="GJ380" s="199"/>
      <c r="GK380" s="199"/>
      <c r="GO380" s="322"/>
      <c r="GP380" s="1190"/>
      <c r="GQ380" s="1190"/>
      <c r="GS380" s="2879"/>
      <c r="GT380" s="2880"/>
      <c r="GU380" s="2881"/>
    </row>
    <row r="381" spans="1:203" ht="12" customHeight="1">
      <c r="A381" s="1252"/>
      <c r="B381" s="200"/>
      <c r="C381" s="486"/>
      <c r="T381" s="1186"/>
      <c r="U381" s="233"/>
      <c r="W381" s="218"/>
      <c r="X381" s="218"/>
      <c r="Y381" s="216"/>
      <c r="Z381" s="216"/>
      <c r="AA381" s="215"/>
      <c r="AB381" s="216"/>
      <c r="AC381" s="216"/>
      <c r="AD381" s="239"/>
      <c r="AE381" s="216"/>
      <c r="AF381" s="216"/>
      <c r="AG381" s="216"/>
      <c r="AH381" s="216"/>
      <c r="AI381" s="216"/>
      <c r="AJ381" s="216"/>
      <c r="AK381" s="239"/>
      <c r="AL381" s="216"/>
      <c r="AM381" s="216"/>
      <c r="AN381" s="216"/>
      <c r="AO381" s="216"/>
      <c r="AP381" s="216"/>
      <c r="AQ381" s="216"/>
      <c r="AR381" s="216"/>
      <c r="AS381" s="216"/>
      <c r="AT381" s="216"/>
      <c r="AU381" s="216"/>
      <c r="AV381" s="217"/>
      <c r="AW381" s="355"/>
      <c r="AX381" s="217"/>
      <c r="AY381" s="1559"/>
      <c r="AZ381" s="249"/>
      <c r="BA381" s="221"/>
      <c r="BB381" s="300"/>
      <c r="BC381" s="217"/>
      <c r="BD381" s="392"/>
      <c r="BE381" s="1244"/>
      <c r="BF381" s="249"/>
      <c r="BG381" s="252"/>
      <c r="BH381" s="1469"/>
      <c r="BI381" s="216"/>
      <c r="BJ381" s="1469"/>
      <c r="BK381" s="1459"/>
      <c r="BL381" s="260"/>
      <c r="BM381" s="214"/>
      <c r="BN381" s="293"/>
      <c r="BO381" s="217"/>
      <c r="BP381" s="355"/>
      <c r="BQ381" s="217"/>
      <c r="BR381" s="1193"/>
      <c r="BS381" s="249"/>
      <c r="BT381" s="216"/>
      <c r="BU381" s="1195"/>
      <c r="BV381" s="249"/>
      <c r="BW381" s="216"/>
      <c r="BX381" s="1195"/>
      <c r="BY381" s="249"/>
      <c r="BZ381" s="216"/>
      <c r="CA381" s="1195"/>
      <c r="CB381" s="249"/>
      <c r="CC381" s="216"/>
      <c r="CD381" s="1195"/>
      <c r="CE381" s="249"/>
      <c r="CF381" s="216"/>
      <c r="CG381" s="1195"/>
      <c r="CH381" s="249"/>
      <c r="CI381" s="216"/>
      <c r="CJ381" s="1195"/>
      <c r="CK381" s="249"/>
      <c r="CL381" s="216"/>
      <c r="CM381" s="1194"/>
      <c r="CN381" s="1524"/>
      <c r="CO381" s="217"/>
      <c r="CP381" s="1193"/>
      <c r="CQ381" s="293"/>
      <c r="CR381" s="217"/>
      <c r="CS381" s="305"/>
      <c r="CT381" s="249"/>
      <c r="CU381" s="216"/>
      <c r="CV381" s="1193"/>
      <c r="CW381" s="249"/>
      <c r="CX381" s="216"/>
      <c r="CY381" s="305"/>
      <c r="CZ381" s="249"/>
      <c r="DA381" s="216"/>
      <c r="DB381" s="307"/>
      <c r="DC381" s="328"/>
      <c r="DD381" s="322"/>
      <c r="DE381" s="305"/>
      <c r="DF381" s="249"/>
      <c r="DG381" s="216"/>
      <c r="DH381" s="305"/>
      <c r="DI381" s="249"/>
      <c r="DJ381" s="216"/>
      <c r="DK381" s="309"/>
      <c r="DL381" s="293"/>
      <c r="DM381" s="326"/>
      <c r="DN381" s="1256"/>
      <c r="DO381" s="214"/>
      <c r="DP381" s="1257"/>
      <c r="DQ381" s="1258"/>
      <c r="DR381" s="305"/>
      <c r="DS381" s="249"/>
      <c r="DT381" s="216"/>
      <c r="DU381" s="305"/>
      <c r="DV381" s="2520"/>
      <c r="DW381" s="2521"/>
      <c r="DX381" s="305"/>
      <c r="DY381" s="249"/>
      <c r="DZ381" s="221"/>
      <c r="EA381" s="388"/>
      <c r="EB381" s="249"/>
      <c r="EC381" s="216"/>
      <c r="ED381" s="1461"/>
      <c r="EE381" s="249"/>
      <c r="EF381" s="216"/>
      <c r="EG381" s="355"/>
      <c r="EH381" s="1425"/>
      <c r="EI381" s="1470"/>
      <c r="EJ381" s="249"/>
      <c r="EK381" s="221"/>
      <c r="EL381" s="313"/>
      <c r="EM381" s="249"/>
      <c r="EN381" s="221"/>
      <c r="EO381" s="313"/>
      <c r="EP381" s="249"/>
      <c r="EQ381" s="216"/>
      <c r="ER381" s="313"/>
      <c r="ES381" s="249"/>
      <c r="ET381" s="216"/>
      <c r="EU381" s="313"/>
      <c r="EV381" s="249"/>
      <c r="EW381" s="216"/>
      <c r="EX381" s="2505"/>
      <c r="EY381" s="249"/>
      <c r="EZ381" s="221"/>
      <c r="FA381" s="313"/>
      <c r="FB381" s="249"/>
      <c r="FC381" s="221"/>
      <c r="FD381" s="313"/>
      <c r="FE381" s="249"/>
      <c r="FF381" s="221"/>
      <c r="FG381" s="313"/>
      <c r="FH381" s="249"/>
      <c r="FI381" s="216"/>
      <c r="FJ381" s="1435"/>
      <c r="FK381" s="216"/>
      <c r="FL381" s="1268"/>
      <c r="FM381" s="1655"/>
      <c r="FN381" s="1268"/>
      <c r="FO381" s="1655"/>
      <c r="FP381" s="1268"/>
      <c r="FQ381" s="1656"/>
      <c r="FR381" s="249"/>
      <c r="FS381" s="216"/>
      <c r="FT381" s="1657"/>
      <c r="FU381" s="1658"/>
      <c r="FV381" s="242"/>
      <c r="FW381" s="343"/>
      <c r="FX381" s="222"/>
      <c r="FY381" s="336"/>
      <c r="FZ381" s="223"/>
      <c r="GA381" s="338"/>
      <c r="GB381" s="204"/>
      <c r="GC381" s="339"/>
      <c r="GD381" s="342"/>
      <c r="GE381" s="199"/>
      <c r="GF381" s="199"/>
      <c r="GG381" s="199"/>
      <c r="GH381" s="199"/>
      <c r="GI381" s="199"/>
      <c r="GJ381" s="199"/>
      <c r="GK381" s="199"/>
      <c r="GO381" s="322"/>
      <c r="GP381" s="1190"/>
      <c r="GQ381" s="1190"/>
      <c r="GS381" s="2879"/>
      <c r="GT381" s="2880"/>
      <c r="GU381" s="2881"/>
    </row>
    <row r="382" spans="1:203" ht="12" customHeight="1">
      <c r="A382" s="1252"/>
      <c r="B382" s="200"/>
      <c r="C382" s="486"/>
      <c r="T382" s="1186"/>
      <c r="U382" s="233"/>
      <c r="W382" s="218"/>
      <c r="X382" s="218"/>
      <c r="Y382" s="216"/>
      <c r="Z382" s="216"/>
      <c r="AA382" s="215"/>
      <c r="AB382" s="216"/>
      <c r="AC382" s="216"/>
      <c r="AD382" s="239"/>
      <c r="AE382" s="216"/>
      <c r="AF382" s="216"/>
      <c r="AG382" s="216"/>
      <c r="AH382" s="216"/>
      <c r="AI382" s="216"/>
      <c r="AJ382" s="216"/>
      <c r="AK382" s="239"/>
      <c r="AL382" s="216"/>
      <c r="AM382" s="216"/>
      <c r="AN382" s="216"/>
      <c r="AO382" s="216"/>
      <c r="AP382" s="216"/>
      <c r="AQ382" s="216"/>
      <c r="AR382" s="216"/>
      <c r="AS382" s="216"/>
      <c r="AT382" s="216"/>
      <c r="AU382" s="216"/>
      <c r="AV382" s="217"/>
      <c r="AW382" s="355"/>
      <c r="AX382" s="217"/>
      <c r="AY382" s="1559"/>
      <c r="AZ382" s="249"/>
      <c r="BA382" s="221"/>
      <c r="BB382" s="300"/>
      <c r="BC382" s="217"/>
      <c r="BD382" s="392"/>
      <c r="BE382" s="1244"/>
      <c r="BF382" s="249"/>
      <c r="BG382" s="252"/>
      <c r="BH382" s="1469"/>
      <c r="BI382" s="216"/>
      <c r="BJ382" s="1469"/>
      <c r="BK382" s="1459"/>
      <c r="BL382" s="260"/>
      <c r="BM382" s="214"/>
      <c r="BN382" s="293"/>
      <c r="BO382" s="217"/>
      <c r="BP382" s="355"/>
      <c r="BQ382" s="217"/>
      <c r="BR382" s="1193"/>
      <c r="BS382" s="249"/>
      <c r="BT382" s="216"/>
      <c r="BU382" s="1195"/>
      <c r="BV382" s="249"/>
      <c r="BW382" s="216"/>
      <c r="BX382" s="1195"/>
      <c r="BY382" s="249"/>
      <c r="BZ382" s="216"/>
      <c r="CA382" s="1195"/>
      <c r="CB382" s="249"/>
      <c r="CC382" s="216"/>
      <c r="CD382" s="1195"/>
      <c r="CE382" s="249"/>
      <c r="CF382" s="216"/>
      <c r="CG382" s="1195"/>
      <c r="CH382" s="249"/>
      <c r="CI382" s="216"/>
      <c r="CJ382" s="1195"/>
      <c r="CK382" s="249"/>
      <c r="CL382" s="216"/>
      <c r="CM382" s="1194"/>
      <c r="CN382" s="1524"/>
      <c r="CO382" s="217"/>
      <c r="CP382" s="1193"/>
      <c r="CQ382" s="293"/>
      <c r="CR382" s="217"/>
      <c r="CS382" s="305"/>
      <c r="CT382" s="249"/>
      <c r="CU382" s="216"/>
      <c r="CV382" s="1193"/>
      <c r="CW382" s="249"/>
      <c r="CX382" s="216"/>
      <c r="CY382" s="305"/>
      <c r="CZ382" s="249"/>
      <c r="DA382" s="216"/>
      <c r="DB382" s="307"/>
      <c r="DC382" s="328"/>
      <c r="DD382" s="322"/>
      <c r="DE382" s="305"/>
      <c r="DF382" s="249"/>
      <c r="DG382" s="216"/>
      <c r="DH382" s="305"/>
      <c r="DI382" s="249"/>
      <c r="DJ382" s="216"/>
      <c r="DK382" s="309"/>
      <c r="DL382" s="293"/>
      <c r="DM382" s="326"/>
      <c r="DN382" s="1256"/>
      <c r="DO382" s="214"/>
      <c r="DP382" s="1257"/>
      <c r="DQ382" s="1258"/>
      <c r="DR382" s="305"/>
      <c r="DS382" s="249"/>
      <c r="DT382" s="216"/>
      <c r="DU382" s="305"/>
      <c r="DV382" s="2520"/>
      <c r="DW382" s="2521"/>
      <c r="DX382" s="305"/>
      <c r="DY382" s="249"/>
      <c r="DZ382" s="221"/>
      <c r="EA382" s="388"/>
      <c r="EB382" s="249"/>
      <c r="EC382" s="216"/>
      <c r="ED382" s="1461"/>
      <c r="EE382" s="249"/>
      <c r="EF382" s="216"/>
      <c r="EG382" s="355"/>
      <c r="EH382" s="1425"/>
      <c r="EI382" s="1470"/>
      <c r="EJ382" s="249"/>
      <c r="EK382" s="221"/>
      <c r="EL382" s="313"/>
      <c r="EM382" s="249"/>
      <c r="EN382" s="221"/>
      <c r="EO382" s="313"/>
      <c r="EP382" s="249"/>
      <c r="EQ382" s="216"/>
      <c r="ER382" s="313"/>
      <c r="ES382" s="249"/>
      <c r="ET382" s="216"/>
      <c r="EU382" s="313"/>
      <c r="EV382" s="249"/>
      <c r="EW382" s="216"/>
      <c r="EX382" s="2505"/>
      <c r="EY382" s="249"/>
      <c r="EZ382" s="221"/>
      <c r="FA382" s="313"/>
      <c r="FB382" s="249"/>
      <c r="FC382" s="221"/>
      <c r="FD382" s="313"/>
      <c r="FE382" s="249"/>
      <c r="FF382" s="221"/>
      <c r="FG382" s="313"/>
      <c r="FH382" s="249"/>
      <c r="FI382" s="216"/>
      <c r="FJ382" s="1435"/>
      <c r="FK382" s="216"/>
      <c r="FL382" s="1268"/>
      <c r="FM382" s="1655"/>
      <c r="FN382" s="1268"/>
      <c r="FO382" s="1655"/>
      <c r="FP382" s="1268"/>
      <c r="FQ382" s="1656"/>
      <c r="FR382" s="249"/>
      <c r="FS382" s="216"/>
      <c r="FT382" s="1657"/>
      <c r="FU382" s="1658"/>
      <c r="FV382" s="242"/>
      <c r="FW382" s="343"/>
      <c r="FX382" s="222"/>
      <c r="FY382" s="336"/>
      <c r="FZ382" s="223"/>
      <c r="GA382" s="338"/>
      <c r="GB382" s="204"/>
      <c r="GC382" s="339"/>
      <c r="GD382" s="342"/>
      <c r="GE382" s="199"/>
      <c r="GF382" s="199"/>
      <c r="GG382" s="199"/>
      <c r="GH382" s="199"/>
      <c r="GI382" s="199"/>
      <c r="GJ382" s="199"/>
      <c r="GK382" s="199"/>
      <c r="GO382" s="322"/>
      <c r="GP382" s="1190"/>
      <c r="GQ382" s="1190"/>
      <c r="GS382" s="2879"/>
      <c r="GT382" s="2880"/>
      <c r="GU382" s="2881"/>
    </row>
    <row r="383" spans="1:203" ht="12" customHeight="1">
      <c r="A383" s="1252"/>
      <c r="B383" s="200"/>
      <c r="C383" s="486"/>
      <c r="T383" s="1186"/>
      <c r="U383" s="233"/>
      <c r="W383" s="218"/>
      <c r="X383" s="218"/>
      <c r="Y383" s="216"/>
      <c r="Z383" s="216"/>
      <c r="AA383" s="215"/>
      <c r="AB383" s="216"/>
      <c r="AC383" s="216"/>
      <c r="AD383" s="239"/>
      <c r="AE383" s="216"/>
      <c r="AF383" s="216"/>
      <c r="AG383" s="216"/>
      <c r="AH383" s="216"/>
      <c r="AI383" s="216"/>
      <c r="AJ383" s="216"/>
      <c r="AK383" s="239"/>
      <c r="AL383" s="216"/>
      <c r="AM383" s="216"/>
      <c r="AN383" s="216"/>
      <c r="AO383" s="216"/>
      <c r="AP383" s="216"/>
      <c r="AQ383" s="216"/>
      <c r="AR383" s="216"/>
      <c r="AS383" s="216"/>
      <c r="AT383" s="216"/>
      <c r="AU383" s="216"/>
      <c r="AV383" s="217"/>
      <c r="AW383" s="355"/>
      <c r="AX383" s="217"/>
      <c r="AY383" s="1559"/>
      <c r="AZ383" s="249"/>
      <c r="BA383" s="221"/>
      <c r="BB383" s="300"/>
      <c r="BC383" s="217"/>
      <c r="BD383" s="392"/>
      <c r="BE383" s="1244"/>
      <c r="BF383" s="249"/>
      <c r="BG383" s="252"/>
      <c r="BH383" s="1469"/>
      <c r="BI383" s="216"/>
      <c r="BJ383" s="1469"/>
      <c r="BK383" s="1459"/>
      <c r="BL383" s="260"/>
      <c r="BM383" s="214"/>
      <c r="BN383" s="293"/>
      <c r="BO383" s="217"/>
      <c r="BP383" s="355"/>
      <c r="BQ383" s="217"/>
      <c r="BR383" s="1193"/>
      <c r="BS383" s="249"/>
      <c r="BT383" s="216"/>
      <c r="BU383" s="1195"/>
      <c r="BV383" s="249"/>
      <c r="BW383" s="216"/>
      <c r="BX383" s="1195"/>
      <c r="BY383" s="249"/>
      <c r="BZ383" s="216"/>
      <c r="CA383" s="1195"/>
      <c r="CB383" s="249"/>
      <c r="CC383" s="216"/>
      <c r="CD383" s="1195"/>
      <c r="CE383" s="249"/>
      <c r="CF383" s="216"/>
      <c r="CG383" s="1195"/>
      <c r="CH383" s="249"/>
      <c r="CI383" s="216"/>
      <c r="CJ383" s="1195"/>
      <c r="CK383" s="249"/>
      <c r="CL383" s="216"/>
      <c r="CM383" s="1194"/>
      <c r="CN383" s="1524"/>
      <c r="CO383" s="217"/>
      <c r="CP383" s="1193"/>
      <c r="CQ383" s="293"/>
      <c r="CR383" s="217"/>
      <c r="CS383" s="305"/>
      <c r="CT383" s="249"/>
      <c r="CU383" s="216"/>
      <c r="CV383" s="1193"/>
      <c r="CW383" s="249"/>
      <c r="CX383" s="216"/>
      <c r="CY383" s="305"/>
      <c r="CZ383" s="249"/>
      <c r="DA383" s="216"/>
      <c r="DB383" s="307"/>
      <c r="DC383" s="328"/>
      <c r="DD383" s="322"/>
      <c r="DE383" s="305"/>
      <c r="DF383" s="249"/>
      <c r="DG383" s="216"/>
      <c r="DH383" s="305"/>
      <c r="DI383" s="249"/>
      <c r="DJ383" s="216"/>
      <c r="DK383" s="309"/>
      <c r="DL383" s="293"/>
      <c r="DM383" s="326"/>
      <c r="DN383" s="1256"/>
      <c r="DO383" s="214"/>
      <c r="DP383" s="1257"/>
      <c r="DQ383" s="1258"/>
      <c r="DR383" s="305"/>
      <c r="DS383" s="249"/>
      <c r="DT383" s="216"/>
      <c r="DU383" s="305"/>
      <c r="DV383" s="2520"/>
      <c r="DW383" s="2521"/>
      <c r="DX383" s="305"/>
      <c r="DY383" s="249"/>
      <c r="DZ383" s="221"/>
      <c r="EA383" s="388"/>
      <c r="EB383" s="249"/>
      <c r="EC383" s="216"/>
      <c r="ED383" s="1461"/>
      <c r="EE383" s="249"/>
      <c r="EF383" s="216"/>
      <c r="EG383" s="355"/>
      <c r="EH383" s="1425"/>
      <c r="EI383" s="1470"/>
      <c r="EJ383" s="249"/>
      <c r="EK383" s="221"/>
      <c r="EL383" s="313"/>
      <c r="EM383" s="249"/>
      <c r="EN383" s="221"/>
      <c r="EO383" s="313"/>
      <c r="EP383" s="249"/>
      <c r="EQ383" s="216"/>
      <c r="ER383" s="313"/>
      <c r="ES383" s="249"/>
      <c r="ET383" s="216"/>
      <c r="EU383" s="313"/>
      <c r="EV383" s="249"/>
      <c r="EW383" s="216"/>
      <c r="EX383" s="2505"/>
      <c r="EY383" s="249"/>
      <c r="EZ383" s="221"/>
      <c r="FA383" s="313"/>
      <c r="FB383" s="249"/>
      <c r="FC383" s="221"/>
      <c r="FD383" s="313"/>
      <c r="FE383" s="249"/>
      <c r="FF383" s="221"/>
      <c r="FG383" s="313"/>
      <c r="FH383" s="249"/>
      <c r="FI383" s="216"/>
      <c r="FJ383" s="1435"/>
      <c r="FK383" s="216"/>
      <c r="FL383" s="1268"/>
      <c r="FM383" s="1655"/>
      <c r="FN383" s="1268"/>
      <c r="FO383" s="1655"/>
      <c r="FP383" s="1268"/>
      <c r="FQ383" s="1656"/>
      <c r="FR383" s="249"/>
      <c r="FS383" s="216"/>
      <c r="FT383" s="1657"/>
      <c r="FU383" s="1658"/>
      <c r="FV383" s="242"/>
      <c r="FW383" s="343"/>
      <c r="FX383" s="222"/>
      <c r="FY383" s="336"/>
      <c r="FZ383" s="223"/>
      <c r="GA383" s="338"/>
      <c r="GB383" s="204"/>
      <c r="GC383" s="339"/>
      <c r="GD383" s="342"/>
      <c r="GE383" s="199"/>
      <c r="GF383" s="199"/>
      <c r="GG383" s="199"/>
      <c r="GH383" s="199"/>
      <c r="GI383" s="199"/>
      <c r="GJ383" s="199"/>
      <c r="GK383" s="199"/>
      <c r="GO383" s="322"/>
      <c r="GP383" s="1190"/>
      <c r="GQ383" s="1190"/>
      <c r="GS383" s="2879"/>
      <c r="GT383" s="2880"/>
      <c r="GU383" s="2881"/>
    </row>
    <row r="384" spans="1:203" ht="12" customHeight="1">
      <c r="A384" s="1252"/>
      <c r="B384" s="200"/>
      <c r="C384" s="486"/>
      <c r="T384" s="1186"/>
      <c r="U384" s="233"/>
      <c r="W384" s="218"/>
      <c r="X384" s="218"/>
      <c r="Y384" s="216"/>
      <c r="Z384" s="216"/>
      <c r="AA384" s="215"/>
      <c r="AB384" s="216"/>
      <c r="AC384" s="216"/>
      <c r="AD384" s="239"/>
      <c r="AE384" s="216"/>
      <c r="AF384" s="216"/>
      <c r="AG384" s="216"/>
      <c r="AH384" s="216"/>
      <c r="AI384" s="216"/>
      <c r="AJ384" s="216"/>
      <c r="AK384" s="239"/>
      <c r="AL384" s="216"/>
      <c r="AM384" s="216"/>
      <c r="AN384" s="216"/>
      <c r="AO384" s="216"/>
      <c r="AP384" s="216"/>
      <c r="AQ384" s="216"/>
      <c r="AR384" s="216"/>
      <c r="AS384" s="216"/>
      <c r="AT384" s="216"/>
      <c r="AU384" s="216"/>
      <c r="AV384" s="217"/>
      <c r="AW384" s="355"/>
      <c r="AX384" s="217"/>
      <c r="AY384" s="1559"/>
      <c r="AZ384" s="249"/>
      <c r="BA384" s="221"/>
      <c r="BB384" s="300"/>
      <c r="BC384" s="217"/>
      <c r="BD384" s="392"/>
      <c r="BE384" s="1244"/>
      <c r="BF384" s="249"/>
      <c r="BG384" s="252"/>
      <c r="BH384" s="1469"/>
      <c r="BI384" s="216"/>
      <c r="BJ384" s="1469"/>
      <c r="BK384" s="1459"/>
      <c r="BL384" s="260"/>
      <c r="BM384" s="214"/>
      <c r="BN384" s="293"/>
      <c r="BO384" s="217"/>
      <c r="BP384" s="355"/>
      <c r="BQ384" s="217"/>
      <c r="BR384" s="1193"/>
      <c r="BS384" s="249"/>
      <c r="BT384" s="216"/>
      <c r="BU384" s="1195"/>
      <c r="BV384" s="249"/>
      <c r="BW384" s="216"/>
      <c r="BX384" s="1195"/>
      <c r="BY384" s="249"/>
      <c r="BZ384" s="216"/>
      <c r="CA384" s="1195"/>
      <c r="CB384" s="249"/>
      <c r="CC384" s="216"/>
      <c r="CD384" s="1195"/>
      <c r="CE384" s="249"/>
      <c r="CF384" s="216"/>
      <c r="CG384" s="1195"/>
      <c r="CH384" s="249"/>
      <c r="CI384" s="216"/>
      <c r="CJ384" s="1195"/>
      <c r="CK384" s="249"/>
      <c r="CL384" s="216"/>
      <c r="CM384" s="1194"/>
      <c r="CN384" s="1524"/>
      <c r="CO384" s="217"/>
      <c r="CP384" s="1193"/>
      <c r="CQ384" s="293"/>
      <c r="CR384" s="217"/>
      <c r="CS384" s="305"/>
      <c r="CT384" s="249"/>
      <c r="CU384" s="216"/>
      <c r="CV384" s="1193"/>
      <c r="CW384" s="249"/>
      <c r="CX384" s="216"/>
      <c r="CY384" s="305"/>
      <c r="CZ384" s="249"/>
      <c r="DA384" s="216"/>
      <c r="DB384" s="307"/>
      <c r="DC384" s="328"/>
      <c r="DD384" s="322"/>
      <c r="DE384" s="305"/>
      <c r="DF384" s="249"/>
      <c r="DG384" s="216"/>
      <c r="DH384" s="305"/>
      <c r="DI384" s="249"/>
      <c r="DJ384" s="216"/>
      <c r="DK384" s="309"/>
      <c r="DL384" s="293"/>
      <c r="DM384" s="326"/>
      <c r="DN384" s="1256"/>
      <c r="DO384" s="214"/>
      <c r="DP384" s="1257"/>
      <c r="DQ384" s="1258"/>
      <c r="DR384" s="305"/>
      <c r="DS384" s="249"/>
      <c r="DT384" s="216"/>
      <c r="DU384" s="305"/>
      <c r="DV384" s="2520"/>
      <c r="DW384" s="2521"/>
      <c r="DX384" s="305"/>
      <c r="DY384" s="249"/>
      <c r="DZ384" s="221"/>
      <c r="EA384" s="388"/>
      <c r="EB384" s="249"/>
      <c r="EC384" s="216"/>
      <c r="ED384" s="1461"/>
      <c r="EE384" s="249"/>
      <c r="EF384" s="216"/>
      <c r="EG384" s="355"/>
      <c r="EH384" s="1425"/>
      <c r="EI384" s="1470"/>
      <c r="EJ384" s="249"/>
      <c r="EK384" s="221"/>
      <c r="EL384" s="313"/>
      <c r="EM384" s="249"/>
      <c r="EN384" s="221"/>
      <c r="EO384" s="313"/>
      <c r="EP384" s="249"/>
      <c r="EQ384" s="216"/>
      <c r="ER384" s="313"/>
      <c r="ES384" s="249"/>
      <c r="ET384" s="216"/>
      <c r="EU384" s="313"/>
      <c r="EV384" s="249"/>
      <c r="EW384" s="216"/>
      <c r="EX384" s="2505"/>
      <c r="EY384" s="249"/>
      <c r="EZ384" s="221"/>
      <c r="FA384" s="313"/>
      <c r="FB384" s="249"/>
      <c r="FC384" s="221"/>
      <c r="FD384" s="313"/>
      <c r="FE384" s="249"/>
      <c r="FF384" s="221"/>
      <c r="FG384" s="313"/>
      <c r="FH384" s="249"/>
      <c r="FI384" s="216"/>
      <c r="FJ384" s="1435"/>
      <c r="FK384" s="216"/>
      <c r="FL384" s="1268"/>
      <c r="FM384" s="1655"/>
      <c r="FN384" s="1268"/>
      <c r="FO384" s="1655"/>
      <c r="FP384" s="1268"/>
      <c r="FQ384" s="1656"/>
      <c r="FR384" s="249"/>
      <c r="FS384" s="216"/>
      <c r="FT384" s="1657"/>
      <c r="FU384" s="1658"/>
      <c r="FV384" s="242"/>
      <c r="FW384" s="343"/>
      <c r="FX384" s="222"/>
      <c r="FY384" s="336"/>
      <c r="FZ384" s="223"/>
      <c r="GA384" s="338"/>
      <c r="GB384" s="204"/>
      <c r="GC384" s="339"/>
      <c r="GD384" s="342"/>
      <c r="GE384" s="199"/>
      <c r="GF384" s="199"/>
      <c r="GG384" s="199"/>
      <c r="GH384" s="199"/>
      <c r="GI384" s="199"/>
      <c r="GJ384" s="199"/>
      <c r="GK384" s="199"/>
      <c r="GO384" s="322"/>
      <c r="GP384" s="1190"/>
      <c r="GQ384" s="1190"/>
      <c r="GS384" s="2879"/>
      <c r="GT384" s="2880"/>
      <c r="GU384" s="2881"/>
    </row>
    <row r="385" spans="1:203" ht="12" customHeight="1">
      <c r="A385" s="1252"/>
      <c r="B385" s="200"/>
      <c r="C385" s="486"/>
      <c r="T385" s="1186"/>
      <c r="U385" s="233"/>
      <c r="W385" s="218"/>
      <c r="X385" s="218"/>
      <c r="Y385" s="216"/>
      <c r="Z385" s="216"/>
      <c r="AA385" s="215"/>
      <c r="AB385" s="216"/>
      <c r="AC385" s="216"/>
      <c r="AD385" s="239"/>
      <c r="AE385" s="216"/>
      <c r="AF385" s="216"/>
      <c r="AG385" s="216"/>
      <c r="AH385" s="216"/>
      <c r="AI385" s="216"/>
      <c r="AJ385" s="216"/>
      <c r="AK385" s="239"/>
      <c r="AL385" s="216"/>
      <c r="AM385" s="216"/>
      <c r="AN385" s="216"/>
      <c r="AO385" s="216"/>
      <c r="AP385" s="216"/>
      <c r="AQ385" s="216"/>
      <c r="AR385" s="216"/>
      <c r="AS385" s="216"/>
      <c r="AT385" s="216"/>
      <c r="AU385" s="216"/>
      <c r="AV385" s="217"/>
      <c r="AW385" s="355"/>
      <c r="AX385" s="217"/>
      <c r="AY385" s="1559"/>
      <c r="AZ385" s="249"/>
      <c r="BA385" s="221"/>
      <c r="BB385" s="300"/>
      <c r="BC385" s="217"/>
      <c r="BD385" s="392"/>
      <c r="BE385" s="1244"/>
      <c r="BF385" s="249"/>
      <c r="BG385" s="252"/>
      <c r="BH385" s="1469"/>
      <c r="BI385" s="216"/>
      <c r="BJ385" s="1469"/>
      <c r="BK385" s="1459"/>
      <c r="BL385" s="260"/>
      <c r="BM385" s="214"/>
      <c r="BN385" s="293"/>
      <c r="BO385" s="217"/>
      <c r="BP385" s="355"/>
      <c r="BQ385" s="217"/>
      <c r="BR385" s="1193"/>
      <c r="BS385" s="249"/>
      <c r="BT385" s="216"/>
      <c r="BU385" s="1195"/>
      <c r="BV385" s="249"/>
      <c r="BW385" s="216"/>
      <c r="BX385" s="1195"/>
      <c r="BY385" s="249"/>
      <c r="BZ385" s="216"/>
      <c r="CA385" s="1195"/>
      <c r="CB385" s="249"/>
      <c r="CC385" s="216"/>
      <c r="CD385" s="1195"/>
      <c r="CE385" s="249"/>
      <c r="CF385" s="216"/>
      <c r="CG385" s="1195"/>
      <c r="CH385" s="249"/>
      <c r="CI385" s="216"/>
      <c r="CJ385" s="1195"/>
      <c r="CK385" s="249"/>
      <c r="CL385" s="216"/>
      <c r="CM385" s="1194"/>
      <c r="CN385" s="1524"/>
      <c r="CO385" s="217"/>
      <c r="CP385" s="1193"/>
      <c r="CQ385" s="293"/>
      <c r="CR385" s="217"/>
      <c r="CS385" s="305"/>
      <c r="CT385" s="249"/>
      <c r="CU385" s="216"/>
      <c r="CV385" s="1193"/>
      <c r="CW385" s="249"/>
      <c r="CX385" s="216"/>
      <c r="CY385" s="305"/>
      <c r="CZ385" s="249"/>
      <c r="DA385" s="216"/>
      <c r="DB385" s="307"/>
      <c r="DC385" s="328"/>
      <c r="DD385" s="322"/>
      <c r="DE385" s="305"/>
      <c r="DF385" s="249"/>
      <c r="DG385" s="216"/>
      <c r="DH385" s="305"/>
      <c r="DI385" s="249"/>
      <c r="DJ385" s="216"/>
      <c r="DK385" s="309"/>
      <c r="DL385" s="293"/>
      <c r="DM385" s="326"/>
      <c r="DN385" s="1256"/>
      <c r="DO385" s="214"/>
      <c r="DP385" s="1257"/>
      <c r="DQ385" s="1258"/>
      <c r="DR385" s="305"/>
      <c r="DS385" s="249"/>
      <c r="DT385" s="216"/>
      <c r="DU385" s="305"/>
      <c r="DV385" s="2520"/>
      <c r="DW385" s="2521"/>
      <c r="DX385" s="305"/>
      <c r="DY385" s="249"/>
      <c r="DZ385" s="221"/>
      <c r="EA385" s="388"/>
      <c r="EB385" s="249"/>
      <c r="EC385" s="216"/>
      <c r="ED385" s="1461"/>
      <c r="EE385" s="249"/>
      <c r="EF385" s="216"/>
      <c r="EG385" s="355"/>
      <c r="EH385" s="1425"/>
      <c r="EI385" s="1470"/>
      <c r="EJ385" s="249"/>
      <c r="EK385" s="221"/>
      <c r="EL385" s="313"/>
      <c r="EM385" s="249"/>
      <c r="EN385" s="221"/>
      <c r="EO385" s="313"/>
      <c r="EP385" s="249"/>
      <c r="EQ385" s="216"/>
      <c r="ER385" s="313"/>
      <c r="ES385" s="249"/>
      <c r="ET385" s="216"/>
      <c r="EU385" s="313"/>
      <c r="EV385" s="249"/>
      <c r="EW385" s="216"/>
      <c r="EX385" s="2505"/>
      <c r="EY385" s="249"/>
      <c r="EZ385" s="221"/>
      <c r="FA385" s="313"/>
      <c r="FB385" s="249"/>
      <c r="FC385" s="221"/>
      <c r="FD385" s="313"/>
      <c r="FE385" s="249"/>
      <c r="FF385" s="221"/>
      <c r="FG385" s="313"/>
      <c r="FH385" s="249"/>
      <c r="FI385" s="216"/>
      <c r="FJ385" s="1435"/>
      <c r="FK385" s="216"/>
      <c r="FL385" s="1268"/>
      <c r="FM385" s="1655"/>
      <c r="FN385" s="1268"/>
      <c r="FO385" s="1655"/>
      <c r="FP385" s="1268"/>
      <c r="FQ385" s="1656"/>
      <c r="FR385" s="249"/>
      <c r="FS385" s="216"/>
      <c r="FT385" s="1657"/>
      <c r="FU385" s="1658"/>
      <c r="FV385" s="242"/>
      <c r="FW385" s="343"/>
      <c r="FX385" s="222"/>
      <c r="FY385" s="336"/>
      <c r="FZ385" s="223"/>
      <c r="GA385" s="338"/>
      <c r="GB385" s="204"/>
      <c r="GC385" s="339"/>
      <c r="GD385" s="342"/>
      <c r="GE385" s="199"/>
      <c r="GF385" s="199"/>
      <c r="GG385" s="199"/>
      <c r="GH385" s="199"/>
      <c r="GI385" s="199"/>
      <c r="GJ385" s="199"/>
      <c r="GK385" s="199"/>
      <c r="GO385" s="322"/>
      <c r="GP385" s="1190"/>
      <c r="GQ385" s="1190"/>
      <c r="GS385" s="2879"/>
      <c r="GT385" s="2880"/>
      <c r="GU385" s="2881"/>
    </row>
    <row r="386" spans="1:203" ht="12" customHeight="1">
      <c r="A386" s="1252"/>
      <c r="B386" s="200"/>
      <c r="C386" s="486"/>
      <c r="T386" s="1186"/>
      <c r="U386" s="233"/>
      <c r="W386" s="218"/>
      <c r="X386" s="218"/>
      <c r="Y386" s="216"/>
      <c r="Z386" s="216"/>
      <c r="AA386" s="215"/>
      <c r="AB386" s="216"/>
      <c r="AC386" s="216"/>
      <c r="AD386" s="239"/>
      <c r="AE386" s="216"/>
      <c r="AF386" s="216"/>
      <c r="AG386" s="216"/>
      <c r="AH386" s="216"/>
      <c r="AI386" s="216"/>
      <c r="AJ386" s="216"/>
      <c r="AK386" s="239"/>
      <c r="AL386" s="216"/>
      <c r="AM386" s="216"/>
      <c r="AN386" s="216"/>
      <c r="AO386" s="216"/>
      <c r="AP386" s="216"/>
      <c r="AQ386" s="216"/>
      <c r="AR386" s="216"/>
      <c r="AS386" s="216"/>
      <c r="AT386" s="216"/>
      <c r="AU386" s="216"/>
      <c r="AV386" s="217"/>
      <c r="AW386" s="355"/>
      <c r="AX386" s="217"/>
      <c r="AY386" s="1559"/>
      <c r="AZ386" s="249"/>
      <c r="BA386" s="221"/>
      <c r="BB386" s="300"/>
      <c r="BC386" s="217"/>
      <c r="BD386" s="392"/>
      <c r="BE386" s="1244"/>
      <c r="BF386" s="249"/>
      <c r="BG386" s="252"/>
      <c r="BH386" s="1469"/>
      <c r="BI386" s="216"/>
      <c r="BJ386" s="1469"/>
      <c r="BK386" s="1459"/>
      <c r="BL386" s="260"/>
      <c r="BM386" s="214"/>
      <c r="BN386" s="293"/>
      <c r="BO386" s="217"/>
      <c r="BP386" s="355"/>
      <c r="BQ386" s="217"/>
      <c r="BR386" s="1193"/>
      <c r="BS386" s="249"/>
      <c r="BT386" s="216"/>
      <c r="BU386" s="1195"/>
      <c r="BV386" s="249"/>
      <c r="BW386" s="216"/>
      <c r="BX386" s="1195"/>
      <c r="BY386" s="249"/>
      <c r="BZ386" s="216"/>
      <c r="CA386" s="1195"/>
      <c r="CB386" s="249"/>
      <c r="CC386" s="216"/>
      <c r="CD386" s="1195"/>
      <c r="CE386" s="249"/>
      <c r="CF386" s="216"/>
      <c r="CG386" s="1195"/>
      <c r="CH386" s="249"/>
      <c r="CI386" s="216"/>
      <c r="CJ386" s="1195"/>
      <c r="CK386" s="249"/>
      <c r="CL386" s="216"/>
      <c r="CM386" s="1194"/>
      <c r="CN386" s="1524"/>
      <c r="CO386" s="217"/>
      <c r="CP386" s="1193"/>
      <c r="CQ386" s="293"/>
      <c r="CR386" s="217"/>
      <c r="CS386" s="305"/>
      <c r="CT386" s="249"/>
      <c r="CU386" s="216"/>
      <c r="CV386" s="1193"/>
      <c r="CW386" s="249"/>
      <c r="CX386" s="216"/>
      <c r="CY386" s="305"/>
      <c r="CZ386" s="249"/>
      <c r="DA386" s="216"/>
      <c r="DB386" s="307"/>
      <c r="DC386" s="328"/>
      <c r="DD386" s="322"/>
      <c r="DE386" s="305"/>
      <c r="DF386" s="249"/>
      <c r="DG386" s="216"/>
      <c r="DH386" s="305"/>
      <c r="DI386" s="249"/>
      <c r="DJ386" s="216"/>
      <c r="DK386" s="309"/>
      <c r="DL386" s="293"/>
      <c r="DM386" s="326"/>
      <c r="DN386" s="1256"/>
      <c r="DO386" s="214"/>
      <c r="DP386" s="1257"/>
      <c r="DQ386" s="1258"/>
      <c r="DR386" s="305"/>
      <c r="DS386" s="249"/>
      <c r="DT386" s="216"/>
      <c r="DU386" s="305"/>
      <c r="DV386" s="2520"/>
      <c r="DW386" s="2521"/>
      <c r="DX386" s="305"/>
      <c r="DY386" s="249"/>
      <c r="DZ386" s="221"/>
      <c r="EA386" s="388"/>
      <c r="EB386" s="249"/>
      <c r="EC386" s="216"/>
      <c r="ED386" s="1461"/>
      <c r="EE386" s="249"/>
      <c r="EF386" s="216"/>
      <c r="EG386" s="355"/>
      <c r="EH386" s="1425"/>
      <c r="EI386" s="1470"/>
      <c r="EJ386" s="249"/>
      <c r="EK386" s="221"/>
      <c r="EL386" s="313"/>
      <c r="EM386" s="249"/>
      <c r="EN386" s="221"/>
      <c r="EO386" s="313"/>
      <c r="EP386" s="249"/>
      <c r="EQ386" s="216"/>
      <c r="ER386" s="313"/>
      <c r="ES386" s="249"/>
      <c r="ET386" s="216"/>
      <c r="EU386" s="313"/>
      <c r="EV386" s="249"/>
      <c r="EW386" s="216"/>
      <c r="EX386" s="2505"/>
      <c r="EY386" s="249"/>
      <c r="EZ386" s="221"/>
      <c r="FA386" s="313"/>
      <c r="FB386" s="249"/>
      <c r="FC386" s="221"/>
      <c r="FD386" s="313"/>
      <c r="FE386" s="249"/>
      <c r="FF386" s="221"/>
      <c r="FG386" s="313"/>
      <c r="FH386" s="249"/>
      <c r="FI386" s="216"/>
      <c r="FJ386" s="1435"/>
      <c r="FK386" s="216"/>
      <c r="FL386" s="1268"/>
      <c r="FM386" s="1655"/>
      <c r="FN386" s="1268"/>
      <c r="FO386" s="1655"/>
      <c r="FP386" s="1268"/>
      <c r="FQ386" s="1656"/>
      <c r="FR386" s="249"/>
      <c r="FS386" s="216"/>
      <c r="FT386" s="1657"/>
      <c r="FU386" s="1658"/>
      <c r="FV386" s="242"/>
      <c r="FW386" s="343"/>
      <c r="FX386" s="222"/>
      <c r="FY386" s="336"/>
      <c r="FZ386" s="223"/>
      <c r="GA386" s="338"/>
      <c r="GB386" s="204"/>
      <c r="GC386" s="339"/>
      <c r="GD386" s="342"/>
      <c r="GE386" s="199"/>
      <c r="GF386" s="199"/>
      <c r="GG386" s="199"/>
      <c r="GH386" s="199"/>
      <c r="GI386" s="199"/>
      <c r="GJ386" s="199"/>
      <c r="GK386" s="199"/>
      <c r="GO386" s="322"/>
      <c r="GP386" s="1190"/>
      <c r="GQ386" s="1190"/>
      <c r="GS386" s="2879"/>
      <c r="GT386" s="2880"/>
      <c r="GU386" s="2881"/>
    </row>
    <row r="387" spans="1:203" ht="12" customHeight="1">
      <c r="A387" s="1252"/>
      <c r="B387" s="200"/>
      <c r="C387" s="486"/>
      <c r="T387" s="1186"/>
      <c r="U387" s="233"/>
      <c r="W387" s="218"/>
      <c r="X387" s="218"/>
      <c r="Y387" s="216"/>
      <c r="Z387" s="216"/>
      <c r="AA387" s="215"/>
      <c r="AB387" s="216"/>
      <c r="AC387" s="216"/>
      <c r="AD387" s="239"/>
      <c r="AE387" s="216"/>
      <c r="AF387" s="216"/>
      <c r="AG387" s="216"/>
      <c r="AH387" s="216"/>
      <c r="AI387" s="216"/>
      <c r="AJ387" s="216"/>
      <c r="AK387" s="239"/>
      <c r="AL387" s="216"/>
      <c r="AM387" s="216"/>
      <c r="AN387" s="216"/>
      <c r="AO387" s="216"/>
      <c r="AP387" s="216"/>
      <c r="AQ387" s="216"/>
      <c r="AR387" s="216"/>
      <c r="AS387" s="216"/>
      <c r="AT387" s="216"/>
      <c r="AU387" s="216"/>
      <c r="AV387" s="217"/>
      <c r="AW387" s="355"/>
      <c r="AX387" s="217"/>
      <c r="AY387" s="1559"/>
      <c r="AZ387" s="249"/>
      <c r="BA387" s="221"/>
      <c r="BB387" s="300"/>
      <c r="BC387" s="217"/>
      <c r="BD387" s="392"/>
      <c r="BE387" s="1244"/>
      <c r="BF387" s="249"/>
      <c r="BG387" s="252"/>
      <c r="BH387" s="1469"/>
      <c r="BI387" s="216"/>
      <c r="BJ387" s="1469"/>
      <c r="BK387" s="1459"/>
      <c r="BL387" s="260"/>
      <c r="BM387" s="214"/>
      <c r="BN387" s="293"/>
      <c r="BO387" s="217"/>
      <c r="BP387" s="355"/>
      <c r="BQ387" s="217"/>
      <c r="BR387" s="1193"/>
      <c r="BS387" s="249"/>
      <c r="BT387" s="216"/>
      <c r="BU387" s="1195"/>
      <c r="BV387" s="249"/>
      <c r="BW387" s="216"/>
      <c r="BX387" s="1195"/>
      <c r="BY387" s="249"/>
      <c r="BZ387" s="216"/>
      <c r="CA387" s="1195"/>
      <c r="CB387" s="249"/>
      <c r="CC387" s="216"/>
      <c r="CD387" s="1195"/>
      <c r="CE387" s="249"/>
      <c r="CF387" s="216"/>
      <c r="CG387" s="1195"/>
      <c r="CH387" s="249"/>
      <c r="CI387" s="216"/>
      <c r="CJ387" s="1195"/>
      <c r="CK387" s="249"/>
      <c r="CL387" s="216"/>
      <c r="CM387" s="1194"/>
      <c r="CN387" s="1524"/>
      <c r="CO387" s="217"/>
      <c r="CP387" s="1193"/>
      <c r="CQ387" s="293"/>
      <c r="CR387" s="217"/>
      <c r="CS387" s="305"/>
      <c r="CT387" s="249"/>
      <c r="CU387" s="216"/>
      <c r="CV387" s="1193"/>
      <c r="CW387" s="249"/>
      <c r="CX387" s="216"/>
      <c r="CY387" s="305"/>
      <c r="CZ387" s="249"/>
      <c r="DA387" s="216"/>
      <c r="DB387" s="307"/>
      <c r="DC387" s="328"/>
      <c r="DD387" s="322"/>
      <c r="DE387" s="305"/>
      <c r="DF387" s="249"/>
      <c r="DG387" s="216"/>
      <c r="DH387" s="305"/>
      <c r="DI387" s="249"/>
      <c r="DJ387" s="216"/>
      <c r="DK387" s="309"/>
      <c r="DL387" s="293"/>
      <c r="DM387" s="326"/>
      <c r="DN387" s="1256"/>
      <c r="DO387" s="214"/>
      <c r="DP387" s="1257"/>
      <c r="DQ387" s="1258"/>
      <c r="DR387" s="305"/>
      <c r="DS387" s="249"/>
      <c r="DT387" s="216"/>
      <c r="DU387" s="305"/>
      <c r="DV387" s="2520"/>
      <c r="DW387" s="2521"/>
      <c r="DX387" s="305"/>
      <c r="DY387" s="249"/>
      <c r="DZ387" s="221"/>
      <c r="EA387" s="388"/>
      <c r="EB387" s="249"/>
      <c r="EC387" s="216"/>
      <c r="ED387" s="1461"/>
      <c r="EE387" s="249"/>
      <c r="EF387" s="216"/>
      <c r="EG387" s="355"/>
      <c r="EH387" s="1425"/>
      <c r="EI387" s="1470"/>
      <c r="EJ387" s="249"/>
      <c r="EK387" s="221"/>
      <c r="EL387" s="313"/>
      <c r="EM387" s="249"/>
      <c r="EN387" s="221"/>
      <c r="EO387" s="313"/>
      <c r="EP387" s="249"/>
      <c r="EQ387" s="216"/>
      <c r="ER387" s="313"/>
      <c r="ES387" s="249"/>
      <c r="ET387" s="216"/>
      <c r="EU387" s="313"/>
      <c r="EV387" s="249"/>
      <c r="EW387" s="216"/>
      <c r="EX387" s="2505"/>
      <c r="EY387" s="249"/>
      <c r="EZ387" s="221"/>
      <c r="FA387" s="313"/>
      <c r="FB387" s="249"/>
      <c r="FC387" s="221"/>
      <c r="FD387" s="313"/>
      <c r="FE387" s="249"/>
      <c r="FF387" s="221"/>
      <c r="FG387" s="313"/>
      <c r="FH387" s="249"/>
      <c r="FI387" s="216"/>
      <c r="FJ387" s="1435"/>
      <c r="FK387" s="216"/>
      <c r="FL387" s="1268"/>
      <c r="FM387" s="1655"/>
      <c r="FN387" s="1268"/>
      <c r="FO387" s="1655"/>
      <c r="FP387" s="1268"/>
      <c r="FQ387" s="1656"/>
      <c r="FR387" s="249"/>
      <c r="FS387" s="216"/>
      <c r="FT387" s="1657"/>
      <c r="FU387" s="1658"/>
      <c r="FV387" s="242"/>
      <c r="FW387" s="343"/>
      <c r="FX387" s="222"/>
      <c r="FY387" s="336"/>
      <c r="FZ387" s="223"/>
      <c r="GA387" s="338"/>
      <c r="GB387" s="204"/>
      <c r="GC387" s="339"/>
      <c r="GD387" s="342"/>
      <c r="GE387" s="199"/>
      <c r="GF387" s="199"/>
      <c r="GG387" s="199"/>
      <c r="GH387" s="199"/>
      <c r="GI387" s="199"/>
      <c r="GJ387" s="199"/>
      <c r="GK387" s="199"/>
      <c r="GO387" s="322"/>
      <c r="GP387" s="1190"/>
      <c r="GQ387" s="1190"/>
      <c r="GS387" s="2879"/>
      <c r="GT387" s="2880"/>
      <c r="GU387" s="2881"/>
    </row>
    <row r="388" spans="1:203" ht="12" customHeight="1">
      <c r="A388" s="1252"/>
      <c r="B388" s="200"/>
      <c r="C388" s="486"/>
      <c r="T388" s="1186"/>
      <c r="U388" s="233"/>
      <c r="W388" s="218"/>
      <c r="X388" s="218"/>
      <c r="Y388" s="216"/>
      <c r="Z388" s="216"/>
      <c r="AA388" s="215"/>
      <c r="AB388" s="216"/>
      <c r="AC388" s="216"/>
      <c r="AD388" s="239"/>
      <c r="AE388" s="216"/>
      <c r="AF388" s="216"/>
      <c r="AG388" s="216"/>
      <c r="AH388" s="216"/>
      <c r="AI388" s="216"/>
      <c r="AJ388" s="216"/>
      <c r="AK388" s="239"/>
      <c r="AL388" s="216"/>
      <c r="AM388" s="216"/>
      <c r="AN388" s="216"/>
      <c r="AO388" s="216"/>
      <c r="AP388" s="216"/>
      <c r="AQ388" s="216"/>
      <c r="AR388" s="216"/>
      <c r="AS388" s="216"/>
      <c r="AT388" s="216"/>
      <c r="AU388" s="216"/>
      <c r="AV388" s="217"/>
      <c r="AW388" s="355"/>
      <c r="AX388" s="217"/>
      <c r="AY388" s="1559"/>
      <c r="AZ388" s="249"/>
      <c r="BA388" s="221"/>
      <c r="BB388" s="300"/>
      <c r="BC388" s="217"/>
      <c r="BD388" s="392"/>
      <c r="BE388" s="1244"/>
      <c r="BF388" s="249"/>
      <c r="BG388" s="252"/>
      <c r="BH388" s="1469"/>
      <c r="BI388" s="216"/>
      <c r="BJ388" s="1469"/>
      <c r="BK388" s="1459"/>
      <c r="BL388" s="260"/>
      <c r="BM388" s="214"/>
      <c r="BN388" s="293"/>
      <c r="BO388" s="217"/>
      <c r="BP388" s="355"/>
      <c r="BQ388" s="217"/>
      <c r="BR388" s="1193"/>
      <c r="BS388" s="249"/>
      <c r="BT388" s="216"/>
      <c r="BU388" s="1195"/>
      <c r="BV388" s="249"/>
      <c r="BW388" s="216"/>
      <c r="BX388" s="1195"/>
      <c r="BY388" s="249"/>
      <c r="BZ388" s="216"/>
      <c r="CA388" s="1195"/>
      <c r="CB388" s="249"/>
      <c r="CC388" s="216"/>
      <c r="CD388" s="1195"/>
      <c r="CE388" s="249"/>
      <c r="CF388" s="216"/>
      <c r="CG388" s="1195"/>
      <c r="CH388" s="249"/>
      <c r="CI388" s="216"/>
      <c r="CJ388" s="1195"/>
      <c r="CK388" s="249"/>
      <c r="CL388" s="216"/>
      <c r="CM388" s="1194"/>
      <c r="CN388" s="1524"/>
      <c r="CO388" s="217"/>
      <c r="CP388" s="1193"/>
      <c r="CQ388" s="293"/>
      <c r="CR388" s="217"/>
      <c r="CS388" s="305"/>
      <c r="CT388" s="249"/>
      <c r="CU388" s="216"/>
      <c r="CV388" s="1193"/>
      <c r="CW388" s="249"/>
      <c r="CX388" s="216"/>
      <c r="CY388" s="305"/>
      <c r="CZ388" s="249"/>
      <c r="DA388" s="216"/>
      <c r="DB388" s="307"/>
      <c r="DC388" s="328"/>
      <c r="DD388" s="322"/>
      <c r="DE388" s="305"/>
      <c r="DF388" s="249"/>
      <c r="DG388" s="216"/>
      <c r="DH388" s="305"/>
      <c r="DI388" s="249"/>
      <c r="DJ388" s="216"/>
      <c r="DK388" s="309"/>
      <c r="DL388" s="293"/>
      <c r="DM388" s="326"/>
      <c r="DN388" s="1256"/>
      <c r="DO388" s="214"/>
      <c r="DP388" s="1257"/>
      <c r="DQ388" s="1258"/>
      <c r="DR388" s="305"/>
      <c r="DS388" s="249"/>
      <c r="DT388" s="216"/>
      <c r="DU388" s="305"/>
      <c r="DV388" s="2520"/>
      <c r="DW388" s="2521"/>
      <c r="DX388" s="305"/>
      <c r="DY388" s="249"/>
      <c r="DZ388" s="221"/>
      <c r="EA388" s="388"/>
      <c r="EB388" s="249"/>
      <c r="EC388" s="216"/>
      <c r="ED388" s="1461"/>
      <c r="EE388" s="249"/>
      <c r="EF388" s="216"/>
      <c r="EG388" s="355"/>
      <c r="EH388" s="1425"/>
      <c r="EI388" s="1470"/>
      <c r="EJ388" s="249"/>
      <c r="EK388" s="221"/>
      <c r="EL388" s="313"/>
      <c r="EM388" s="249"/>
      <c r="EN388" s="221"/>
      <c r="EO388" s="313"/>
      <c r="EP388" s="249"/>
      <c r="EQ388" s="216"/>
      <c r="ER388" s="313"/>
      <c r="ES388" s="249"/>
      <c r="ET388" s="216"/>
      <c r="EU388" s="313"/>
      <c r="EV388" s="249"/>
      <c r="EW388" s="216"/>
      <c r="EX388" s="2505"/>
      <c r="EY388" s="249"/>
      <c r="EZ388" s="221"/>
      <c r="FA388" s="313"/>
      <c r="FB388" s="249"/>
      <c r="FC388" s="221"/>
      <c r="FD388" s="313"/>
      <c r="FE388" s="249"/>
      <c r="FF388" s="221"/>
      <c r="FG388" s="313"/>
      <c r="FH388" s="249"/>
      <c r="FI388" s="216"/>
      <c r="FJ388" s="1435"/>
      <c r="FK388" s="216"/>
      <c r="FL388" s="1268"/>
      <c r="FM388" s="1655"/>
      <c r="FN388" s="1268"/>
      <c r="FO388" s="1655"/>
      <c r="FP388" s="1268"/>
      <c r="FQ388" s="1656"/>
      <c r="FR388" s="249"/>
      <c r="FS388" s="216"/>
      <c r="FT388" s="1657"/>
      <c r="FU388" s="1658"/>
      <c r="FV388" s="242"/>
      <c r="FW388" s="343"/>
      <c r="FX388" s="222"/>
      <c r="FY388" s="336"/>
      <c r="FZ388" s="223"/>
      <c r="GA388" s="338"/>
      <c r="GB388" s="204"/>
      <c r="GC388" s="339"/>
      <c r="GD388" s="342"/>
      <c r="GE388" s="199"/>
      <c r="GF388" s="199"/>
      <c r="GG388" s="199"/>
      <c r="GH388" s="199"/>
      <c r="GI388" s="199"/>
      <c r="GJ388" s="199"/>
      <c r="GK388" s="199"/>
      <c r="GO388" s="322"/>
      <c r="GP388" s="1190"/>
      <c r="GQ388" s="1190"/>
      <c r="GS388" s="2879"/>
      <c r="GT388" s="2880"/>
      <c r="GU388" s="2881"/>
    </row>
    <row r="389" spans="1:203" ht="12" customHeight="1">
      <c r="A389" s="1252"/>
      <c r="B389" s="200"/>
      <c r="C389" s="486"/>
      <c r="T389" s="1186"/>
      <c r="U389" s="233"/>
      <c r="W389" s="218"/>
      <c r="X389" s="218"/>
      <c r="Y389" s="216"/>
      <c r="Z389" s="216"/>
      <c r="AA389" s="215"/>
      <c r="AB389" s="216"/>
      <c r="AC389" s="216"/>
      <c r="AD389" s="239"/>
      <c r="AE389" s="216"/>
      <c r="AF389" s="216"/>
      <c r="AG389" s="216"/>
      <c r="AH389" s="216"/>
      <c r="AI389" s="216"/>
      <c r="AJ389" s="216"/>
      <c r="AK389" s="239"/>
      <c r="AL389" s="216"/>
      <c r="AM389" s="216"/>
      <c r="AN389" s="216"/>
      <c r="AO389" s="216"/>
      <c r="AP389" s="216"/>
      <c r="AQ389" s="216"/>
      <c r="AR389" s="216"/>
      <c r="AS389" s="216"/>
      <c r="AT389" s="216"/>
      <c r="AU389" s="216"/>
      <c r="AV389" s="217"/>
      <c r="AW389" s="355"/>
      <c r="AX389" s="217"/>
      <c r="AY389" s="1559"/>
      <c r="AZ389" s="249"/>
      <c r="BA389" s="221"/>
      <c r="BB389" s="300"/>
      <c r="BC389" s="217"/>
      <c r="BD389" s="392"/>
      <c r="BE389" s="1244"/>
      <c r="BF389" s="249"/>
      <c r="BG389" s="252"/>
      <c r="BH389" s="1469"/>
      <c r="BI389" s="216"/>
      <c r="BJ389" s="1469"/>
      <c r="BK389" s="1459"/>
      <c r="BL389" s="260"/>
      <c r="BM389" s="214"/>
      <c r="BN389" s="293"/>
      <c r="BO389" s="217"/>
      <c r="BP389" s="355"/>
      <c r="BQ389" s="217"/>
      <c r="BR389" s="1193"/>
      <c r="BS389" s="249"/>
      <c r="BT389" s="216"/>
      <c r="BU389" s="1195"/>
      <c r="BV389" s="249"/>
      <c r="BW389" s="216"/>
      <c r="BX389" s="1195"/>
      <c r="BY389" s="249"/>
      <c r="BZ389" s="216"/>
      <c r="CA389" s="1195"/>
      <c r="CB389" s="249"/>
      <c r="CC389" s="216"/>
      <c r="CD389" s="1195"/>
      <c r="CE389" s="249"/>
      <c r="CF389" s="216"/>
      <c r="CG389" s="1195"/>
      <c r="CH389" s="249"/>
      <c r="CI389" s="216"/>
      <c r="CJ389" s="1195"/>
      <c r="CK389" s="249"/>
      <c r="CL389" s="216"/>
      <c r="CM389" s="1194"/>
      <c r="CN389" s="1524"/>
      <c r="CO389" s="217"/>
      <c r="CP389" s="1193"/>
      <c r="CQ389" s="293"/>
      <c r="CR389" s="217"/>
      <c r="CS389" s="305"/>
      <c r="CT389" s="249"/>
      <c r="CU389" s="216"/>
      <c r="CV389" s="1193"/>
      <c r="CW389" s="249"/>
      <c r="CX389" s="216"/>
      <c r="CY389" s="305"/>
      <c r="CZ389" s="249"/>
      <c r="DA389" s="216"/>
      <c r="DB389" s="307"/>
      <c r="DC389" s="328"/>
      <c r="DD389" s="322"/>
      <c r="DE389" s="305"/>
      <c r="DF389" s="249"/>
      <c r="DG389" s="216"/>
      <c r="DH389" s="305"/>
      <c r="DI389" s="249"/>
      <c r="DJ389" s="216"/>
      <c r="DK389" s="309"/>
      <c r="DL389" s="293"/>
      <c r="DM389" s="326"/>
      <c r="DN389" s="1256"/>
      <c r="DO389" s="214"/>
      <c r="DP389" s="1257"/>
      <c r="DQ389" s="1258"/>
      <c r="DR389" s="305"/>
      <c r="DS389" s="249"/>
      <c r="DT389" s="216"/>
      <c r="DU389" s="305"/>
      <c r="DV389" s="2520"/>
      <c r="DW389" s="2521"/>
      <c r="DX389" s="305"/>
      <c r="DY389" s="249"/>
      <c r="DZ389" s="221"/>
      <c r="EA389" s="388"/>
      <c r="EB389" s="249"/>
      <c r="EC389" s="216"/>
      <c r="ED389" s="1461"/>
      <c r="EE389" s="249"/>
      <c r="EF389" s="216"/>
      <c r="EG389" s="355"/>
      <c r="EH389" s="1425"/>
      <c r="EI389" s="1470"/>
      <c r="EJ389" s="249"/>
      <c r="EK389" s="221"/>
      <c r="EL389" s="313"/>
      <c r="EM389" s="249"/>
      <c r="EN389" s="221"/>
      <c r="EO389" s="313"/>
      <c r="EP389" s="249"/>
      <c r="EQ389" s="216"/>
      <c r="ER389" s="313"/>
      <c r="ES389" s="249"/>
      <c r="ET389" s="216"/>
      <c r="EU389" s="313"/>
      <c r="EV389" s="249"/>
      <c r="EW389" s="216"/>
      <c r="EX389" s="2505"/>
      <c r="EY389" s="249"/>
      <c r="EZ389" s="221"/>
      <c r="FA389" s="313"/>
      <c r="FB389" s="249"/>
      <c r="FC389" s="221"/>
      <c r="FD389" s="313"/>
      <c r="FE389" s="249"/>
      <c r="FF389" s="221"/>
      <c r="FG389" s="313"/>
      <c r="FH389" s="249"/>
      <c r="FI389" s="216"/>
      <c r="FJ389" s="1435"/>
      <c r="FK389" s="216"/>
      <c r="FL389" s="1268"/>
      <c r="FM389" s="1655"/>
      <c r="FN389" s="1268"/>
      <c r="FO389" s="1655"/>
      <c r="FP389" s="1268"/>
      <c r="FQ389" s="1656"/>
      <c r="FR389" s="249"/>
      <c r="FS389" s="216"/>
      <c r="FT389" s="1657"/>
      <c r="FU389" s="1658"/>
      <c r="FV389" s="242"/>
      <c r="FW389" s="343"/>
      <c r="FX389" s="222"/>
      <c r="FY389" s="336"/>
      <c r="FZ389" s="223"/>
      <c r="GA389" s="338"/>
      <c r="GB389" s="204"/>
      <c r="GC389" s="339"/>
      <c r="GD389" s="342"/>
      <c r="GE389" s="199"/>
      <c r="GF389" s="199"/>
      <c r="GG389" s="199"/>
      <c r="GH389" s="199"/>
      <c r="GI389" s="199"/>
      <c r="GJ389" s="199"/>
      <c r="GK389" s="199"/>
      <c r="GO389" s="322"/>
      <c r="GP389" s="1190"/>
      <c r="GQ389" s="1190"/>
      <c r="GS389" s="2879"/>
      <c r="GT389" s="2880"/>
      <c r="GU389" s="2881"/>
    </row>
    <row r="390" spans="1:203" ht="12" customHeight="1">
      <c r="A390" s="1252"/>
      <c r="B390" s="200"/>
      <c r="C390" s="486"/>
      <c r="T390" s="1186"/>
      <c r="U390" s="233"/>
      <c r="W390" s="218"/>
      <c r="X390" s="218"/>
      <c r="Y390" s="216"/>
      <c r="Z390" s="216"/>
      <c r="AA390" s="215"/>
      <c r="AB390" s="216"/>
      <c r="AC390" s="216"/>
      <c r="AD390" s="239"/>
      <c r="AE390" s="216"/>
      <c r="AF390" s="216"/>
      <c r="AG390" s="216"/>
      <c r="AH390" s="216"/>
      <c r="AI390" s="216"/>
      <c r="AJ390" s="216"/>
      <c r="AK390" s="239"/>
      <c r="AL390" s="216"/>
      <c r="AM390" s="216"/>
      <c r="AN390" s="216"/>
      <c r="AO390" s="216"/>
      <c r="AP390" s="216"/>
      <c r="AQ390" s="216"/>
      <c r="AR390" s="216"/>
      <c r="AS390" s="216"/>
      <c r="AT390" s="216"/>
      <c r="AU390" s="216"/>
      <c r="AV390" s="217"/>
      <c r="AW390" s="355"/>
      <c r="AX390" s="217"/>
      <c r="AY390" s="1559"/>
      <c r="AZ390" s="249"/>
      <c r="BA390" s="221"/>
      <c r="BB390" s="300"/>
      <c r="BC390" s="217"/>
      <c r="BD390" s="392"/>
      <c r="BE390" s="1244"/>
      <c r="BF390" s="249"/>
      <c r="BG390" s="252"/>
      <c r="BH390" s="1469"/>
      <c r="BI390" s="216"/>
      <c r="BJ390" s="1469"/>
      <c r="BK390" s="1459"/>
      <c r="BL390" s="260"/>
      <c r="BM390" s="214"/>
      <c r="BN390" s="293"/>
      <c r="BO390" s="217"/>
      <c r="BP390" s="355"/>
      <c r="BQ390" s="217"/>
      <c r="BR390" s="1193"/>
      <c r="BS390" s="249"/>
      <c r="BT390" s="216"/>
      <c r="BU390" s="1195"/>
      <c r="BV390" s="249"/>
      <c r="BW390" s="216"/>
      <c r="BX390" s="1195"/>
      <c r="BY390" s="249"/>
      <c r="BZ390" s="216"/>
      <c r="CA390" s="1195"/>
      <c r="CB390" s="249"/>
      <c r="CC390" s="216"/>
      <c r="CD390" s="1195"/>
      <c r="CE390" s="249"/>
      <c r="CF390" s="216"/>
      <c r="CG390" s="1195"/>
      <c r="CH390" s="249"/>
      <c r="CI390" s="216"/>
      <c r="CJ390" s="1195"/>
      <c r="CK390" s="249"/>
      <c r="CL390" s="216"/>
      <c r="CM390" s="1194"/>
      <c r="CN390" s="1524"/>
      <c r="CO390" s="217"/>
      <c r="CP390" s="1193"/>
      <c r="CQ390" s="293"/>
      <c r="CR390" s="217"/>
      <c r="CS390" s="305"/>
      <c r="CT390" s="249"/>
      <c r="CU390" s="216"/>
      <c r="CV390" s="1193"/>
      <c r="CW390" s="249"/>
      <c r="CX390" s="216"/>
      <c r="CY390" s="305"/>
      <c r="CZ390" s="249"/>
      <c r="DA390" s="216"/>
      <c r="DB390" s="307"/>
      <c r="DC390" s="328"/>
      <c r="DD390" s="322"/>
      <c r="DE390" s="305"/>
      <c r="DF390" s="249"/>
      <c r="DG390" s="216"/>
      <c r="DH390" s="305"/>
      <c r="DI390" s="249"/>
      <c r="DJ390" s="216"/>
      <c r="DK390" s="309"/>
      <c r="DL390" s="293"/>
      <c r="DM390" s="326"/>
      <c r="DN390" s="1256"/>
      <c r="DO390" s="214"/>
      <c r="DP390" s="1257"/>
      <c r="DQ390" s="1258"/>
      <c r="DR390" s="305"/>
      <c r="DS390" s="249"/>
      <c r="DT390" s="216"/>
      <c r="DU390" s="305"/>
      <c r="DV390" s="2520"/>
      <c r="DW390" s="2521"/>
      <c r="DX390" s="305"/>
      <c r="DY390" s="249"/>
      <c r="DZ390" s="221"/>
      <c r="EA390" s="388"/>
      <c r="EB390" s="249"/>
      <c r="EC390" s="216"/>
      <c r="ED390" s="1461"/>
      <c r="EE390" s="249"/>
      <c r="EF390" s="216"/>
      <c r="EG390" s="355"/>
      <c r="EH390" s="1425"/>
      <c r="EI390" s="1470"/>
      <c r="EJ390" s="249"/>
      <c r="EK390" s="221"/>
      <c r="EL390" s="313"/>
      <c r="EM390" s="249"/>
      <c r="EN390" s="221"/>
      <c r="EO390" s="313"/>
      <c r="EP390" s="249"/>
      <c r="EQ390" s="216"/>
      <c r="ER390" s="313"/>
      <c r="ES390" s="249"/>
      <c r="ET390" s="216"/>
      <c r="EU390" s="313"/>
      <c r="EV390" s="249"/>
      <c r="EW390" s="216"/>
      <c r="EX390" s="2505"/>
      <c r="EY390" s="249"/>
      <c r="EZ390" s="221"/>
      <c r="FA390" s="313"/>
      <c r="FB390" s="249"/>
      <c r="FC390" s="221"/>
      <c r="FD390" s="313"/>
      <c r="FE390" s="249"/>
      <c r="FF390" s="221"/>
      <c r="FG390" s="313"/>
      <c r="FH390" s="249"/>
      <c r="FI390" s="216"/>
      <c r="FJ390" s="1435"/>
      <c r="FK390" s="216"/>
      <c r="FL390" s="1268"/>
      <c r="FM390" s="1655"/>
      <c r="FN390" s="1268"/>
      <c r="FO390" s="1655"/>
      <c r="FP390" s="1268"/>
      <c r="FQ390" s="1656"/>
      <c r="FR390" s="249"/>
      <c r="FS390" s="216"/>
      <c r="FT390" s="1657"/>
      <c r="FU390" s="1658"/>
      <c r="FV390" s="242"/>
      <c r="FW390" s="343"/>
      <c r="FX390" s="222"/>
      <c r="FY390" s="336"/>
      <c r="FZ390" s="223"/>
      <c r="GA390" s="338"/>
      <c r="GB390" s="204"/>
      <c r="GC390" s="339"/>
      <c r="GD390" s="342"/>
      <c r="GE390" s="199"/>
      <c r="GF390" s="199"/>
      <c r="GG390" s="199"/>
      <c r="GH390" s="199"/>
      <c r="GI390" s="199"/>
      <c r="GJ390" s="199"/>
      <c r="GK390" s="199"/>
      <c r="GO390" s="322"/>
      <c r="GP390" s="1190"/>
      <c r="GQ390" s="1190"/>
      <c r="GS390" s="2879"/>
      <c r="GT390" s="2880"/>
      <c r="GU390" s="2881"/>
    </row>
    <row r="391" spans="1:203" ht="12" customHeight="1">
      <c r="A391" s="1252"/>
      <c r="B391" s="200"/>
      <c r="C391" s="486"/>
      <c r="T391" s="1186"/>
      <c r="U391" s="233"/>
      <c r="W391" s="218"/>
      <c r="X391" s="218"/>
      <c r="Y391" s="216"/>
      <c r="Z391" s="216"/>
      <c r="AA391" s="215"/>
      <c r="AB391" s="216"/>
      <c r="AC391" s="216"/>
      <c r="AD391" s="239"/>
      <c r="AE391" s="216"/>
      <c r="AF391" s="216"/>
      <c r="AG391" s="216"/>
      <c r="AH391" s="216"/>
      <c r="AI391" s="216"/>
      <c r="AJ391" s="216"/>
      <c r="AK391" s="239"/>
      <c r="AL391" s="216"/>
      <c r="AM391" s="216"/>
      <c r="AN391" s="216"/>
      <c r="AO391" s="216"/>
      <c r="AP391" s="216"/>
      <c r="AQ391" s="216"/>
      <c r="AR391" s="216"/>
      <c r="AS391" s="216"/>
      <c r="AT391" s="216"/>
      <c r="AU391" s="216"/>
      <c r="AV391" s="217"/>
      <c r="AW391" s="355"/>
      <c r="AX391" s="217"/>
      <c r="AY391" s="1559"/>
      <c r="AZ391" s="249"/>
      <c r="BA391" s="221"/>
      <c r="BB391" s="300"/>
      <c r="BC391" s="217"/>
      <c r="BD391" s="392"/>
      <c r="BE391" s="1244"/>
      <c r="BF391" s="249"/>
      <c r="BG391" s="252"/>
      <c r="BH391" s="1469"/>
      <c r="BI391" s="216"/>
      <c r="BJ391" s="1469"/>
      <c r="BK391" s="1459"/>
      <c r="BL391" s="260"/>
      <c r="BM391" s="214"/>
      <c r="BN391" s="293"/>
      <c r="BO391" s="217"/>
      <c r="BP391" s="355"/>
      <c r="BQ391" s="217"/>
      <c r="BR391" s="1193"/>
      <c r="BS391" s="249"/>
      <c r="BT391" s="216"/>
      <c r="BU391" s="1195"/>
      <c r="BV391" s="249"/>
      <c r="BW391" s="216"/>
      <c r="BX391" s="1195"/>
      <c r="BY391" s="249"/>
      <c r="BZ391" s="216"/>
      <c r="CA391" s="1195"/>
      <c r="CB391" s="249"/>
      <c r="CC391" s="216"/>
      <c r="CD391" s="1195"/>
      <c r="CE391" s="249"/>
      <c r="CF391" s="216"/>
      <c r="CG391" s="1195"/>
      <c r="CH391" s="249"/>
      <c r="CI391" s="216"/>
      <c r="CJ391" s="1195"/>
      <c r="CK391" s="249"/>
      <c r="CL391" s="216"/>
      <c r="CM391" s="1194"/>
      <c r="CN391" s="1524"/>
      <c r="CO391" s="217"/>
      <c r="CP391" s="1193"/>
      <c r="CQ391" s="293"/>
      <c r="CR391" s="217"/>
      <c r="CS391" s="305"/>
      <c r="CT391" s="249"/>
      <c r="CU391" s="216"/>
      <c r="CV391" s="1193"/>
      <c r="CW391" s="249"/>
      <c r="CX391" s="216"/>
      <c r="CY391" s="305"/>
      <c r="CZ391" s="249"/>
      <c r="DA391" s="216"/>
      <c r="DB391" s="307"/>
      <c r="DC391" s="328"/>
      <c r="DD391" s="322"/>
      <c r="DE391" s="305"/>
      <c r="DF391" s="249"/>
      <c r="DG391" s="216"/>
      <c r="DH391" s="305"/>
      <c r="DI391" s="249"/>
      <c r="DJ391" s="216"/>
      <c r="DK391" s="309"/>
      <c r="DL391" s="293"/>
      <c r="DM391" s="326"/>
      <c r="DN391" s="1256"/>
      <c r="DO391" s="214"/>
      <c r="DP391" s="1257"/>
      <c r="DQ391" s="1258"/>
      <c r="DR391" s="305"/>
      <c r="DS391" s="249"/>
      <c r="DT391" s="216"/>
      <c r="DU391" s="305"/>
      <c r="DV391" s="2520"/>
      <c r="DW391" s="2521"/>
      <c r="DX391" s="305"/>
      <c r="DY391" s="249"/>
      <c r="DZ391" s="221"/>
      <c r="EA391" s="388"/>
      <c r="EB391" s="249"/>
      <c r="EC391" s="216"/>
      <c r="ED391" s="1461"/>
      <c r="EE391" s="249"/>
      <c r="EF391" s="216"/>
      <c r="EG391" s="355"/>
      <c r="EH391" s="1425"/>
      <c r="EI391" s="1470"/>
      <c r="EJ391" s="249"/>
      <c r="EK391" s="221"/>
      <c r="EL391" s="313"/>
      <c r="EM391" s="249"/>
      <c r="EN391" s="221"/>
      <c r="EO391" s="313"/>
      <c r="EP391" s="249"/>
      <c r="EQ391" s="216"/>
      <c r="ER391" s="313"/>
      <c r="ES391" s="249"/>
      <c r="ET391" s="216"/>
      <c r="EU391" s="313"/>
      <c r="EV391" s="249"/>
      <c r="EW391" s="216"/>
      <c r="EX391" s="2505"/>
      <c r="EY391" s="249"/>
      <c r="EZ391" s="221"/>
      <c r="FA391" s="313"/>
      <c r="FB391" s="249"/>
      <c r="FC391" s="221"/>
      <c r="FD391" s="313"/>
      <c r="FE391" s="249"/>
      <c r="FF391" s="221"/>
      <c r="FG391" s="313"/>
      <c r="FH391" s="249"/>
      <c r="FI391" s="216"/>
      <c r="FJ391" s="1435"/>
      <c r="FK391" s="216"/>
      <c r="FL391" s="1268"/>
      <c r="FM391" s="1655"/>
      <c r="FN391" s="1268"/>
      <c r="FO391" s="1655"/>
      <c r="FP391" s="1268"/>
      <c r="FQ391" s="1656"/>
      <c r="FR391" s="249"/>
      <c r="FS391" s="216"/>
      <c r="FT391" s="1657"/>
      <c r="FU391" s="1658"/>
      <c r="FV391" s="242"/>
      <c r="FW391" s="343"/>
      <c r="FX391" s="222"/>
      <c r="FY391" s="336"/>
      <c r="FZ391" s="223"/>
      <c r="GA391" s="338"/>
      <c r="GB391" s="204"/>
      <c r="GC391" s="339"/>
      <c r="GD391" s="342"/>
      <c r="GE391" s="199"/>
      <c r="GF391" s="199"/>
      <c r="GG391" s="199"/>
      <c r="GH391" s="199"/>
      <c r="GI391" s="199"/>
      <c r="GJ391" s="199"/>
      <c r="GK391" s="199"/>
      <c r="GO391" s="322"/>
      <c r="GP391" s="1190"/>
      <c r="GQ391" s="1190"/>
      <c r="GS391" s="2879"/>
      <c r="GT391" s="2880"/>
      <c r="GU391" s="2881"/>
    </row>
    <row r="392" spans="1:203" ht="12" customHeight="1">
      <c r="A392" s="1252"/>
      <c r="B392" s="200"/>
      <c r="C392" s="486"/>
      <c r="T392" s="1186"/>
      <c r="U392" s="233"/>
      <c r="W392" s="218"/>
      <c r="X392" s="218"/>
      <c r="Y392" s="216"/>
      <c r="Z392" s="216"/>
      <c r="AA392" s="215"/>
      <c r="AB392" s="216"/>
      <c r="AC392" s="216"/>
      <c r="AD392" s="239"/>
      <c r="AE392" s="216"/>
      <c r="AF392" s="216"/>
      <c r="AG392" s="216"/>
      <c r="AH392" s="216"/>
      <c r="AI392" s="216"/>
      <c r="AJ392" s="216"/>
      <c r="AK392" s="239"/>
      <c r="AL392" s="216"/>
      <c r="AM392" s="216"/>
      <c r="AN392" s="216"/>
      <c r="AO392" s="216"/>
      <c r="AP392" s="216"/>
      <c r="AQ392" s="216"/>
      <c r="AR392" s="216"/>
      <c r="AS392" s="216"/>
      <c r="AT392" s="216"/>
      <c r="AU392" s="216"/>
      <c r="AV392" s="217"/>
      <c r="AW392" s="355"/>
      <c r="AX392" s="217"/>
      <c r="AY392" s="1559"/>
      <c r="AZ392" s="249"/>
      <c r="BA392" s="221"/>
      <c r="BB392" s="300"/>
      <c r="BC392" s="217"/>
      <c r="BD392" s="392"/>
      <c r="BE392" s="1244"/>
      <c r="BF392" s="249"/>
      <c r="BG392" s="252"/>
      <c r="BH392" s="1469"/>
      <c r="BI392" s="216"/>
      <c r="BJ392" s="1469"/>
      <c r="BK392" s="1459"/>
      <c r="BL392" s="260"/>
      <c r="BM392" s="214"/>
      <c r="BN392" s="293"/>
      <c r="BO392" s="217"/>
      <c r="BP392" s="355"/>
      <c r="BQ392" s="217"/>
      <c r="BR392" s="1193"/>
      <c r="BS392" s="249"/>
      <c r="BT392" s="216"/>
      <c r="BU392" s="1195"/>
      <c r="BV392" s="249"/>
      <c r="BW392" s="216"/>
      <c r="BX392" s="1195"/>
      <c r="BY392" s="249"/>
      <c r="BZ392" s="216"/>
      <c r="CA392" s="1195"/>
      <c r="CB392" s="249"/>
      <c r="CC392" s="216"/>
      <c r="CD392" s="1195"/>
      <c r="CE392" s="249"/>
      <c r="CF392" s="216"/>
      <c r="CG392" s="1195"/>
      <c r="CH392" s="249"/>
      <c r="CI392" s="216"/>
      <c r="CJ392" s="1195"/>
      <c r="CK392" s="249"/>
      <c r="CL392" s="216"/>
      <c r="CM392" s="1194"/>
      <c r="CN392" s="1524"/>
      <c r="CO392" s="217"/>
      <c r="CP392" s="1193"/>
      <c r="CQ392" s="293"/>
      <c r="CR392" s="217"/>
      <c r="CS392" s="305"/>
      <c r="CT392" s="249"/>
      <c r="CU392" s="216"/>
      <c r="CV392" s="1193"/>
      <c r="CW392" s="249"/>
      <c r="CX392" s="216"/>
      <c r="CY392" s="305"/>
      <c r="CZ392" s="249"/>
      <c r="DA392" s="216"/>
      <c r="DB392" s="307"/>
      <c r="DC392" s="328"/>
      <c r="DD392" s="322"/>
      <c r="DE392" s="305"/>
      <c r="DF392" s="249"/>
      <c r="DG392" s="216"/>
      <c r="DH392" s="305"/>
      <c r="DI392" s="249"/>
      <c r="DJ392" s="216"/>
      <c r="DK392" s="309"/>
      <c r="DL392" s="293"/>
      <c r="DM392" s="326"/>
      <c r="DN392" s="1256"/>
      <c r="DO392" s="214"/>
      <c r="DP392" s="1257"/>
      <c r="DQ392" s="1258"/>
      <c r="DR392" s="305"/>
      <c r="DS392" s="249"/>
      <c r="DT392" s="216"/>
      <c r="DU392" s="305"/>
      <c r="DV392" s="2520"/>
      <c r="DW392" s="2521"/>
      <c r="DX392" s="305"/>
      <c r="DY392" s="249"/>
      <c r="DZ392" s="221"/>
      <c r="EA392" s="388"/>
      <c r="EB392" s="249"/>
      <c r="EC392" s="216"/>
      <c r="ED392" s="1461"/>
      <c r="EE392" s="249"/>
      <c r="EF392" s="216"/>
      <c r="EG392" s="355"/>
      <c r="EH392" s="1425"/>
      <c r="EI392" s="1470"/>
      <c r="EJ392" s="249"/>
      <c r="EK392" s="221"/>
      <c r="EL392" s="313"/>
      <c r="EM392" s="249"/>
      <c r="EN392" s="221"/>
      <c r="EO392" s="313"/>
      <c r="EP392" s="249"/>
      <c r="EQ392" s="216"/>
      <c r="ER392" s="313"/>
      <c r="ES392" s="249"/>
      <c r="ET392" s="216"/>
      <c r="EU392" s="313"/>
      <c r="EV392" s="249"/>
      <c r="EW392" s="216"/>
      <c r="EX392" s="2505"/>
      <c r="EY392" s="249"/>
      <c r="EZ392" s="221"/>
      <c r="FA392" s="313"/>
      <c r="FB392" s="249"/>
      <c r="FC392" s="221"/>
      <c r="FD392" s="313"/>
      <c r="FE392" s="249"/>
      <c r="FF392" s="221"/>
      <c r="FG392" s="313"/>
      <c r="FH392" s="249"/>
      <c r="FI392" s="216"/>
      <c r="FJ392" s="1435"/>
      <c r="FK392" s="216"/>
      <c r="FL392" s="1268"/>
      <c r="FM392" s="1655"/>
      <c r="FN392" s="1268"/>
      <c r="FO392" s="1655"/>
      <c r="FP392" s="1268"/>
      <c r="FQ392" s="1656"/>
      <c r="FR392" s="249"/>
      <c r="FS392" s="216"/>
      <c r="FT392" s="1657"/>
      <c r="FU392" s="1658"/>
      <c r="FV392" s="242"/>
      <c r="FW392" s="343"/>
      <c r="FX392" s="222"/>
      <c r="FY392" s="336"/>
      <c r="FZ392" s="223"/>
      <c r="GA392" s="338"/>
      <c r="GB392" s="204"/>
      <c r="GC392" s="339"/>
      <c r="GD392" s="342"/>
      <c r="GE392" s="199"/>
      <c r="GF392" s="199"/>
      <c r="GG392" s="199"/>
      <c r="GH392" s="199"/>
      <c r="GI392" s="199"/>
      <c r="GJ392" s="199"/>
      <c r="GK392" s="199"/>
      <c r="GO392" s="322"/>
      <c r="GP392" s="1190"/>
      <c r="GQ392" s="1190"/>
      <c r="GS392" s="2879"/>
      <c r="GT392" s="2880"/>
      <c r="GU392" s="2881"/>
    </row>
    <row r="393" spans="1:203" ht="12" customHeight="1">
      <c r="A393" s="1252"/>
      <c r="B393" s="200"/>
      <c r="C393" s="486"/>
      <c r="T393" s="1186"/>
      <c r="U393" s="233"/>
      <c r="W393" s="218"/>
      <c r="X393" s="218"/>
      <c r="Y393" s="216"/>
      <c r="Z393" s="216"/>
      <c r="AA393" s="215"/>
      <c r="AB393" s="216"/>
      <c r="AC393" s="216"/>
      <c r="AD393" s="239"/>
      <c r="AE393" s="216"/>
      <c r="AF393" s="216"/>
      <c r="AG393" s="216"/>
      <c r="AH393" s="216"/>
      <c r="AI393" s="216"/>
      <c r="AJ393" s="216"/>
      <c r="AK393" s="239"/>
      <c r="AL393" s="216"/>
      <c r="AM393" s="216"/>
      <c r="AN393" s="216"/>
      <c r="AO393" s="216"/>
      <c r="AP393" s="216"/>
      <c r="AQ393" s="216"/>
      <c r="AR393" s="216"/>
      <c r="AS393" s="216"/>
      <c r="AT393" s="216"/>
      <c r="AU393" s="216"/>
      <c r="AV393" s="217"/>
      <c r="AW393" s="355"/>
      <c r="AX393" s="217"/>
      <c r="AY393" s="1559"/>
      <c r="AZ393" s="249"/>
      <c r="BA393" s="221"/>
      <c r="BB393" s="300"/>
      <c r="BC393" s="217"/>
      <c r="BD393" s="392"/>
      <c r="BE393" s="1244"/>
      <c r="BF393" s="249"/>
      <c r="BG393" s="252"/>
      <c r="BH393" s="1469"/>
      <c r="BI393" s="216"/>
      <c r="BJ393" s="1469"/>
      <c r="BK393" s="1459"/>
      <c r="BL393" s="260"/>
      <c r="BM393" s="214"/>
      <c r="BN393" s="293"/>
      <c r="BO393" s="217"/>
      <c r="BP393" s="355"/>
      <c r="BQ393" s="217"/>
      <c r="BR393" s="1193"/>
      <c r="BS393" s="249"/>
      <c r="BT393" s="216"/>
      <c r="BU393" s="1195"/>
      <c r="BV393" s="249"/>
      <c r="BW393" s="216"/>
      <c r="BX393" s="1195"/>
      <c r="BY393" s="249"/>
      <c r="BZ393" s="216"/>
      <c r="CA393" s="1195"/>
      <c r="CB393" s="249"/>
      <c r="CC393" s="216"/>
      <c r="CD393" s="1195"/>
      <c r="CE393" s="249"/>
      <c r="CF393" s="216"/>
      <c r="CG393" s="1195"/>
      <c r="CH393" s="249"/>
      <c r="CI393" s="216"/>
      <c r="CJ393" s="1195"/>
      <c r="CK393" s="249"/>
      <c r="CL393" s="216"/>
      <c r="CM393" s="1194"/>
      <c r="CN393" s="1524"/>
      <c r="CO393" s="217"/>
      <c r="CP393" s="1193"/>
      <c r="CQ393" s="293"/>
      <c r="CR393" s="217"/>
      <c r="CS393" s="305"/>
      <c r="CT393" s="249"/>
      <c r="CU393" s="216"/>
      <c r="CV393" s="1193"/>
      <c r="CW393" s="249"/>
      <c r="CX393" s="216"/>
      <c r="CY393" s="305"/>
      <c r="CZ393" s="249"/>
      <c r="DA393" s="216"/>
      <c r="DB393" s="307"/>
      <c r="DC393" s="328"/>
      <c r="DD393" s="322"/>
      <c r="DE393" s="305"/>
      <c r="DF393" s="249"/>
      <c r="DG393" s="216"/>
      <c r="DH393" s="305"/>
      <c r="DI393" s="249"/>
      <c r="DJ393" s="216"/>
      <c r="DK393" s="309"/>
      <c r="DL393" s="293"/>
      <c r="DM393" s="326"/>
      <c r="DN393" s="1256"/>
      <c r="DO393" s="214"/>
      <c r="DP393" s="1257"/>
      <c r="DQ393" s="1258"/>
      <c r="DR393" s="305"/>
      <c r="DS393" s="249"/>
      <c r="DT393" s="216"/>
      <c r="DU393" s="305"/>
      <c r="DV393" s="2520"/>
      <c r="DW393" s="2521"/>
      <c r="DX393" s="305"/>
      <c r="DY393" s="249"/>
      <c r="DZ393" s="221"/>
      <c r="EA393" s="388"/>
      <c r="EB393" s="249"/>
      <c r="EC393" s="216"/>
      <c r="ED393" s="1461"/>
      <c r="EE393" s="249"/>
      <c r="EF393" s="216"/>
      <c r="EG393" s="355"/>
      <c r="EH393" s="1425"/>
      <c r="EI393" s="1470"/>
      <c r="EJ393" s="249"/>
      <c r="EK393" s="221"/>
      <c r="EL393" s="313"/>
      <c r="EM393" s="249"/>
      <c r="EN393" s="221"/>
      <c r="EO393" s="313"/>
      <c r="EP393" s="249"/>
      <c r="EQ393" s="216"/>
      <c r="ER393" s="313"/>
      <c r="ES393" s="249"/>
      <c r="ET393" s="216"/>
      <c r="EU393" s="313"/>
      <c r="EV393" s="249"/>
      <c r="EW393" s="216"/>
      <c r="EX393" s="2505"/>
      <c r="EY393" s="249"/>
      <c r="EZ393" s="221"/>
      <c r="FA393" s="313"/>
      <c r="FB393" s="249"/>
      <c r="FC393" s="221"/>
      <c r="FD393" s="313"/>
      <c r="FE393" s="249"/>
      <c r="FF393" s="221"/>
      <c r="FG393" s="313"/>
      <c r="FH393" s="249"/>
      <c r="FI393" s="216"/>
      <c r="FJ393" s="1435"/>
      <c r="FK393" s="216"/>
      <c r="FL393" s="1268"/>
      <c r="FM393" s="1655"/>
      <c r="FN393" s="1268"/>
      <c r="FO393" s="1655"/>
      <c r="FP393" s="1268"/>
      <c r="FQ393" s="1656"/>
      <c r="FR393" s="249"/>
      <c r="FS393" s="216"/>
      <c r="FT393" s="1657"/>
      <c r="FU393" s="1658"/>
      <c r="FV393" s="242"/>
      <c r="FW393" s="343"/>
      <c r="FX393" s="222"/>
      <c r="FY393" s="336"/>
      <c r="FZ393" s="223"/>
      <c r="GA393" s="338"/>
      <c r="GB393" s="204"/>
      <c r="GC393" s="339"/>
      <c r="GD393" s="342"/>
      <c r="GE393" s="199"/>
      <c r="GF393" s="199"/>
      <c r="GG393" s="199"/>
      <c r="GH393" s="199"/>
      <c r="GI393" s="199"/>
      <c r="GJ393" s="199"/>
      <c r="GK393" s="199"/>
      <c r="GO393" s="322"/>
      <c r="GP393" s="1190"/>
      <c r="GQ393" s="1190"/>
      <c r="GS393" s="2879"/>
      <c r="GT393" s="2880"/>
      <c r="GU393" s="2881"/>
    </row>
    <row r="394" spans="1:203" ht="12" customHeight="1">
      <c r="A394" s="1252"/>
      <c r="B394" s="200"/>
      <c r="C394" s="486"/>
      <c r="T394" s="1186"/>
      <c r="U394" s="233"/>
      <c r="W394" s="218"/>
      <c r="X394" s="218"/>
      <c r="Y394" s="216"/>
      <c r="Z394" s="216"/>
      <c r="AA394" s="215"/>
      <c r="AB394" s="216"/>
      <c r="AC394" s="216"/>
      <c r="AD394" s="239"/>
      <c r="AE394" s="216"/>
      <c r="AF394" s="216"/>
      <c r="AG394" s="216"/>
      <c r="AH394" s="216"/>
      <c r="AI394" s="216"/>
      <c r="AJ394" s="216"/>
      <c r="AK394" s="239"/>
      <c r="AL394" s="216"/>
      <c r="AM394" s="216"/>
      <c r="AN394" s="216"/>
      <c r="AO394" s="216"/>
      <c r="AP394" s="216"/>
      <c r="AQ394" s="216"/>
      <c r="AR394" s="216"/>
      <c r="AS394" s="216"/>
      <c r="AT394" s="216"/>
      <c r="AU394" s="216"/>
      <c r="AV394" s="217"/>
      <c r="AW394" s="355"/>
      <c r="AX394" s="217"/>
      <c r="AY394" s="1559"/>
      <c r="AZ394" s="249"/>
      <c r="BA394" s="221"/>
      <c r="BB394" s="300"/>
      <c r="BC394" s="217"/>
      <c r="BD394" s="392"/>
      <c r="BE394" s="1244"/>
      <c r="BF394" s="249"/>
      <c r="BG394" s="252"/>
      <c r="BH394" s="1469"/>
      <c r="BI394" s="216"/>
      <c r="BJ394" s="1469"/>
      <c r="BK394" s="1459"/>
      <c r="BL394" s="260"/>
      <c r="BM394" s="214"/>
      <c r="BN394" s="293"/>
      <c r="BO394" s="217"/>
      <c r="BP394" s="355"/>
      <c r="BQ394" s="217"/>
      <c r="BR394" s="1193"/>
      <c r="BS394" s="249"/>
      <c r="BT394" s="216"/>
      <c r="BU394" s="1195"/>
      <c r="BV394" s="249"/>
      <c r="BW394" s="216"/>
      <c r="BX394" s="1195"/>
      <c r="BY394" s="249"/>
      <c r="BZ394" s="216"/>
      <c r="CA394" s="1195"/>
      <c r="CB394" s="249"/>
      <c r="CC394" s="216"/>
      <c r="CD394" s="1195"/>
      <c r="CE394" s="249"/>
      <c r="CF394" s="216"/>
      <c r="CG394" s="1195"/>
      <c r="CH394" s="249"/>
      <c r="CI394" s="216"/>
      <c r="CJ394" s="1195"/>
      <c r="CK394" s="249"/>
      <c r="CL394" s="216"/>
      <c r="CM394" s="1194"/>
      <c r="CN394" s="1524"/>
      <c r="CO394" s="217"/>
      <c r="CP394" s="1193"/>
      <c r="CQ394" s="293"/>
      <c r="CR394" s="217"/>
      <c r="CS394" s="305"/>
      <c r="CT394" s="249"/>
      <c r="CU394" s="216"/>
      <c r="CV394" s="1193"/>
      <c r="CW394" s="249"/>
      <c r="CX394" s="216"/>
      <c r="CY394" s="305"/>
      <c r="CZ394" s="249"/>
      <c r="DA394" s="216"/>
      <c r="DB394" s="307"/>
      <c r="DC394" s="328"/>
      <c r="DD394" s="322"/>
      <c r="DE394" s="305"/>
      <c r="DF394" s="249"/>
      <c r="DG394" s="216"/>
      <c r="DH394" s="305"/>
      <c r="DI394" s="249"/>
      <c r="DJ394" s="216"/>
      <c r="DK394" s="309"/>
      <c r="DL394" s="293"/>
      <c r="DM394" s="326"/>
      <c r="DN394" s="1256"/>
      <c r="DO394" s="214"/>
      <c r="DP394" s="1257"/>
      <c r="DQ394" s="1258"/>
      <c r="DR394" s="305"/>
      <c r="DS394" s="249"/>
      <c r="DT394" s="216"/>
      <c r="DU394" s="305"/>
      <c r="DV394" s="2520"/>
      <c r="DW394" s="2521"/>
      <c r="DX394" s="305"/>
      <c r="DY394" s="249"/>
      <c r="DZ394" s="221"/>
      <c r="EA394" s="388"/>
      <c r="EB394" s="249"/>
      <c r="EC394" s="216"/>
      <c r="ED394" s="1461"/>
      <c r="EE394" s="249"/>
      <c r="EF394" s="216"/>
      <c r="EG394" s="355"/>
      <c r="EH394" s="1425"/>
      <c r="EI394" s="1470"/>
      <c r="EJ394" s="249"/>
      <c r="EK394" s="221"/>
      <c r="EL394" s="313"/>
      <c r="EM394" s="249"/>
      <c r="EN394" s="221"/>
      <c r="EO394" s="313"/>
      <c r="EP394" s="249"/>
      <c r="EQ394" s="216"/>
      <c r="ER394" s="313"/>
      <c r="ES394" s="249"/>
      <c r="ET394" s="216"/>
      <c r="EU394" s="313"/>
      <c r="EV394" s="249"/>
      <c r="EW394" s="216"/>
      <c r="EX394" s="2505"/>
      <c r="EY394" s="249"/>
      <c r="EZ394" s="221"/>
      <c r="FA394" s="313"/>
      <c r="FB394" s="249"/>
      <c r="FC394" s="221"/>
      <c r="FD394" s="313"/>
      <c r="FE394" s="249"/>
      <c r="FF394" s="221"/>
      <c r="FG394" s="313"/>
      <c r="FH394" s="249"/>
      <c r="FI394" s="216"/>
      <c r="FJ394" s="1435"/>
      <c r="FK394" s="216"/>
      <c r="FL394" s="1268"/>
      <c r="FM394" s="1655"/>
      <c r="FN394" s="1268"/>
      <c r="FO394" s="1655"/>
      <c r="FP394" s="1268"/>
      <c r="FQ394" s="1656"/>
      <c r="FR394" s="249"/>
      <c r="FS394" s="216"/>
      <c r="FT394" s="1657"/>
      <c r="FU394" s="1658"/>
      <c r="FV394" s="242"/>
      <c r="FW394" s="343"/>
      <c r="FX394" s="222"/>
      <c r="FY394" s="336"/>
      <c r="FZ394" s="223"/>
      <c r="GA394" s="338"/>
      <c r="GB394" s="204"/>
      <c r="GC394" s="339"/>
      <c r="GD394" s="342"/>
      <c r="GE394" s="199"/>
      <c r="GF394" s="199"/>
      <c r="GG394" s="199"/>
      <c r="GH394" s="199"/>
      <c r="GI394" s="199"/>
      <c r="GJ394" s="199"/>
      <c r="GK394" s="199"/>
      <c r="GO394" s="322"/>
      <c r="GP394" s="1190"/>
      <c r="GQ394" s="1190"/>
      <c r="GS394" s="2879"/>
      <c r="GT394" s="2880"/>
      <c r="GU394" s="2881"/>
    </row>
    <row r="395" spans="1:203" ht="12" customHeight="1">
      <c r="A395" s="1252"/>
      <c r="B395" s="200"/>
      <c r="C395" s="486"/>
      <c r="T395" s="1186"/>
      <c r="U395" s="233"/>
      <c r="W395" s="218"/>
      <c r="X395" s="218"/>
      <c r="Y395" s="216"/>
      <c r="Z395" s="216"/>
      <c r="AA395" s="215"/>
      <c r="AB395" s="216"/>
      <c r="AC395" s="216"/>
      <c r="AD395" s="239"/>
      <c r="AE395" s="216"/>
      <c r="AF395" s="216"/>
      <c r="AG395" s="216"/>
      <c r="AH395" s="216"/>
      <c r="AI395" s="216"/>
      <c r="AJ395" s="216"/>
      <c r="AK395" s="239"/>
      <c r="AL395" s="216"/>
      <c r="AM395" s="216"/>
      <c r="AN395" s="216"/>
      <c r="AO395" s="216"/>
      <c r="AP395" s="216"/>
      <c r="AQ395" s="216"/>
      <c r="AR395" s="216"/>
      <c r="AS395" s="216"/>
      <c r="AT395" s="216"/>
      <c r="AU395" s="216"/>
      <c r="AV395" s="217"/>
      <c r="AW395" s="355"/>
      <c r="AX395" s="217"/>
      <c r="AY395" s="1559"/>
      <c r="AZ395" s="249"/>
      <c r="BA395" s="221"/>
      <c r="BB395" s="300"/>
      <c r="BC395" s="217"/>
      <c r="BD395" s="392"/>
      <c r="BE395" s="1244"/>
      <c r="BF395" s="249"/>
      <c r="BG395" s="252"/>
      <c r="BH395" s="1469"/>
      <c r="BI395" s="216"/>
      <c r="BJ395" s="1469"/>
      <c r="BK395" s="1459"/>
      <c r="BL395" s="260"/>
      <c r="BM395" s="214"/>
      <c r="BN395" s="293"/>
      <c r="BO395" s="217"/>
      <c r="BP395" s="355"/>
      <c r="BQ395" s="217"/>
      <c r="BR395" s="1193"/>
      <c r="BS395" s="249"/>
      <c r="BT395" s="216"/>
      <c r="BU395" s="1195"/>
      <c r="BV395" s="249"/>
      <c r="BW395" s="216"/>
      <c r="BX395" s="1195"/>
      <c r="BY395" s="249"/>
      <c r="BZ395" s="216"/>
      <c r="CA395" s="1195"/>
      <c r="CB395" s="249"/>
      <c r="CC395" s="216"/>
      <c r="CD395" s="1195"/>
      <c r="CE395" s="249"/>
      <c r="CF395" s="216"/>
      <c r="CG395" s="1195"/>
      <c r="CH395" s="249"/>
      <c r="CI395" s="216"/>
      <c r="CJ395" s="1195"/>
      <c r="CK395" s="249"/>
      <c r="CL395" s="216"/>
      <c r="CM395" s="1194"/>
      <c r="CN395" s="1524"/>
      <c r="CO395" s="217"/>
      <c r="CP395" s="1193"/>
      <c r="CQ395" s="293"/>
      <c r="CR395" s="217"/>
      <c r="CS395" s="305"/>
      <c r="CT395" s="249"/>
      <c r="CU395" s="216"/>
      <c r="CV395" s="1193"/>
      <c r="CW395" s="249"/>
      <c r="CX395" s="216"/>
      <c r="CY395" s="305"/>
      <c r="CZ395" s="249"/>
      <c r="DA395" s="216"/>
      <c r="DB395" s="307"/>
      <c r="DC395" s="328"/>
      <c r="DD395" s="322"/>
      <c r="DE395" s="305"/>
      <c r="DF395" s="249"/>
      <c r="DG395" s="216"/>
      <c r="DH395" s="305"/>
      <c r="DI395" s="249"/>
      <c r="DJ395" s="216"/>
      <c r="DK395" s="309"/>
      <c r="DL395" s="293"/>
      <c r="DM395" s="326"/>
      <c r="DN395" s="1256"/>
      <c r="DO395" s="214"/>
      <c r="DP395" s="1257"/>
      <c r="DQ395" s="1258"/>
      <c r="DR395" s="305"/>
      <c r="DS395" s="249"/>
      <c r="DT395" s="216"/>
      <c r="DU395" s="305"/>
      <c r="DV395" s="2520"/>
      <c r="DW395" s="2521"/>
      <c r="DX395" s="305"/>
      <c r="DY395" s="249"/>
      <c r="DZ395" s="221"/>
      <c r="EA395" s="388"/>
      <c r="EB395" s="249"/>
      <c r="EC395" s="216"/>
      <c r="ED395" s="1461"/>
      <c r="EE395" s="249"/>
      <c r="EF395" s="216"/>
      <c r="EG395" s="355"/>
      <c r="EH395" s="1425"/>
      <c r="EI395" s="1470"/>
      <c r="EJ395" s="249"/>
      <c r="EK395" s="221"/>
      <c r="EL395" s="313"/>
      <c r="EM395" s="249"/>
      <c r="EN395" s="221"/>
      <c r="EO395" s="313"/>
      <c r="EP395" s="249"/>
      <c r="EQ395" s="216"/>
      <c r="ER395" s="313"/>
      <c r="ES395" s="249"/>
      <c r="ET395" s="216"/>
      <c r="EU395" s="313"/>
      <c r="EV395" s="249"/>
      <c r="EW395" s="216"/>
      <c r="EX395" s="2505"/>
      <c r="EY395" s="249"/>
      <c r="EZ395" s="221"/>
      <c r="FA395" s="313"/>
      <c r="FB395" s="249"/>
      <c r="FC395" s="221"/>
      <c r="FD395" s="313"/>
      <c r="FE395" s="249"/>
      <c r="FF395" s="221"/>
      <c r="FG395" s="313"/>
      <c r="FH395" s="249"/>
      <c r="FI395" s="216"/>
      <c r="FJ395" s="1435"/>
      <c r="FK395" s="216"/>
      <c r="FL395" s="1268"/>
      <c r="FM395" s="1655"/>
      <c r="FN395" s="1268"/>
      <c r="FO395" s="1655"/>
      <c r="FP395" s="1268"/>
      <c r="FQ395" s="1656"/>
      <c r="FR395" s="249"/>
      <c r="FS395" s="216"/>
      <c r="FT395" s="1657"/>
      <c r="FU395" s="1658"/>
      <c r="FV395" s="242"/>
      <c r="FW395" s="343"/>
      <c r="FX395" s="222"/>
      <c r="FY395" s="336"/>
      <c r="FZ395" s="223"/>
      <c r="GA395" s="338"/>
      <c r="GB395" s="204"/>
      <c r="GC395" s="339"/>
      <c r="GD395" s="342"/>
      <c r="GE395" s="199"/>
      <c r="GF395" s="199"/>
      <c r="GG395" s="199"/>
      <c r="GH395" s="199"/>
      <c r="GI395" s="199"/>
      <c r="GJ395" s="199"/>
      <c r="GK395" s="199"/>
      <c r="GO395" s="322"/>
      <c r="GP395" s="1190"/>
      <c r="GQ395" s="1190"/>
      <c r="GS395" s="2879"/>
      <c r="GT395" s="2880"/>
      <c r="GU395" s="2881"/>
    </row>
    <row r="396" spans="1:203" ht="12" customHeight="1">
      <c r="A396" s="1252"/>
      <c r="B396" s="200"/>
      <c r="C396" s="486"/>
      <c r="T396" s="1186"/>
      <c r="U396" s="233"/>
      <c r="W396" s="218"/>
      <c r="X396" s="218"/>
      <c r="Y396" s="216"/>
      <c r="Z396" s="216"/>
      <c r="AA396" s="215"/>
      <c r="AB396" s="216"/>
      <c r="AC396" s="216"/>
      <c r="AD396" s="239"/>
      <c r="AE396" s="216"/>
      <c r="AF396" s="216"/>
      <c r="AG396" s="216"/>
      <c r="AH396" s="216"/>
      <c r="AI396" s="216"/>
      <c r="AJ396" s="216"/>
      <c r="AK396" s="239"/>
      <c r="AL396" s="216"/>
      <c r="AM396" s="216"/>
      <c r="AN396" s="216"/>
      <c r="AO396" s="216"/>
      <c r="AP396" s="216"/>
      <c r="AQ396" s="216"/>
      <c r="AR396" s="216"/>
      <c r="AS396" s="216"/>
      <c r="AT396" s="216"/>
      <c r="AU396" s="216"/>
      <c r="AV396" s="217"/>
      <c r="AW396" s="355"/>
      <c r="AX396" s="217"/>
      <c r="AY396" s="1559"/>
      <c r="AZ396" s="249"/>
      <c r="BA396" s="221"/>
      <c r="BB396" s="300"/>
      <c r="BC396" s="217"/>
      <c r="BD396" s="392"/>
      <c r="BE396" s="1244"/>
      <c r="BF396" s="249"/>
      <c r="BG396" s="252"/>
      <c r="BH396" s="1469"/>
      <c r="BI396" s="216"/>
      <c r="BJ396" s="1469"/>
      <c r="BK396" s="1459"/>
      <c r="BL396" s="260"/>
      <c r="BM396" s="214"/>
      <c r="BN396" s="293"/>
      <c r="BO396" s="217"/>
      <c r="BP396" s="355"/>
      <c r="BQ396" s="217"/>
      <c r="BR396" s="1193"/>
      <c r="BS396" s="249"/>
      <c r="BT396" s="216"/>
      <c r="BU396" s="1195"/>
      <c r="BV396" s="249"/>
      <c r="BW396" s="216"/>
      <c r="BX396" s="1195"/>
      <c r="BY396" s="249"/>
      <c r="BZ396" s="216"/>
      <c r="CA396" s="1195"/>
      <c r="CB396" s="249"/>
      <c r="CC396" s="216"/>
      <c r="CD396" s="1195"/>
      <c r="CE396" s="249"/>
      <c r="CF396" s="216"/>
      <c r="CG396" s="1195"/>
      <c r="CH396" s="249"/>
      <c r="CI396" s="216"/>
      <c r="CJ396" s="1195"/>
      <c r="CK396" s="249"/>
      <c r="CL396" s="216"/>
      <c r="CM396" s="1194"/>
      <c r="CN396" s="1524"/>
      <c r="CO396" s="217"/>
      <c r="CP396" s="1193"/>
      <c r="CQ396" s="293"/>
      <c r="CR396" s="217"/>
      <c r="CS396" s="305"/>
      <c r="CT396" s="249"/>
      <c r="CU396" s="216"/>
      <c r="CV396" s="1193"/>
      <c r="CW396" s="249"/>
      <c r="CX396" s="216"/>
      <c r="CY396" s="305"/>
      <c r="CZ396" s="249"/>
      <c r="DA396" s="216"/>
      <c r="DB396" s="307"/>
      <c r="DC396" s="328"/>
      <c r="DD396" s="322"/>
      <c r="DE396" s="305"/>
      <c r="DF396" s="249"/>
      <c r="DG396" s="216"/>
      <c r="DH396" s="305"/>
      <c r="DI396" s="249"/>
      <c r="DJ396" s="216"/>
      <c r="DK396" s="309"/>
      <c r="DL396" s="293"/>
      <c r="DM396" s="326"/>
      <c r="DN396" s="1256"/>
      <c r="DO396" s="214"/>
      <c r="DP396" s="1257"/>
      <c r="DQ396" s="1258"/>
      <c r="DR396" s="305"/>
      <c r="DS396" s="249"/>
      <c r="DT396" s="216"/>
      <c r="DU396" s="305"/>
      <c r="DV396" s="2520"/>
      <c r="DW396" s="2521"/>
      <c r="DX396" s="305"/>
      <c r="DY396" s="249"/>
      <c r="DZ396" s="221"/>
      <c r="EA396" s="388"/>
      <c r="EB396" s="249"/>
      <c r="EC396" s="216"/>
      <c r="ED396" s="1461"/>
      <c r="EE396" s="249"/>
      <c r="EF396" s="216"/>
      <c r="EG396" s="355"/>
      <c r="EH396" s="1425"/>
      <c r="EI396" s="1470"/>
      <c r="EJ396" s="249"/>
      <c r="EK396" s="221"/>
      <c r="EL396" s="313"/>
      <c r="EM396" s="249"/>
      <c r="EN396" s="221"/>
      <c r="EO396" s="313"/>
      <c r="EP396" s="249"/>
      <c r="EQ396" s="216"/>
      <c r="ER396" s="313"/>
      <c r="ES396" s="249"/>
      <c r="ET396" s="216"/>
      <c r="EU396" s="313"/>
      <c r="EV396" s="249"/>
      <c r="EW396" s="216"/>
      <c r="EX396" s="2505"/>
      <c r="EY396" s="249"/>
      <c r="EZ396" s="221"/>
      <c r="FA396" s="313"/>
      <c r="FB396" s="249"/>
      <c r="FC396" s="221"/>
      <c r="FD396" s="313"/>
      <c r="FE396" s="249"/>
      <c r="FF396" s="221"/>
      <c r="FG396" s="313"/>
      <c r="FH396" s="249"/>
      <c r="FI396" s="216"/>
      <c r="FJ396" s="1435"/>
      <c r="FK396" s="216"/>
      <c r="FL396" s="1268"/>
      <c r="FM396" s="1655"/>
      <c r="FN396" s="1268"/>
      <c r="FO396" s="1655"/>
      <c r="FP396" s="1268"/>
      <c r="FQ396" s="1656"/>
      <c r="FR396" s="249"/>
      <c r="FS396" s="216"/>
      <c r="FT396" s="1657"/>
      <c r="FU396" s="1658"/>
      <c r="FV396" s="242"/>
      <c r="FW396" s="343"/>
      <c r="FX396" s="222"/>
      <c r="FY396" s="336"/>
      <c r="FZ396" s="223"/>
      <c r="GA396" s="338"/>
      <c r="GB396" s="204"/>
      <c r="GC396" s="339"/>
      <c r="GD396" s="342"/>
      <c r="GE396" s="199"/>
      <c r="GF396" s="199"/>
      <c r="GG396" s="199"/>
      <c r="GH396" s="199"/>
      <c r="GI396" s="199"/>
      <c r="GJ396" s="199"/>
      <c r="GK396" s="199"/>
      <c r="GO396" s="322"/>
      <c r="GP396" s="1190"/>
      <c r="GQ396" s="1190"/>
      <c r="GS396" s="2879"/>
      <c r="GT396" s="2880"/>
      <c r="GU396" s="2881"/>
    </row>
    <row r="397" spans="1:203" ht="12" customHeight="1">
      <c r="A397" s="1252"/>
      <c r="B397" s="200"/>
      <c r="C397" s="486"/>
      <c r="T397" s="1186"/>
      <c r="U397" s="233"/>
      <c r="W397" s="218"/>
      <c r="X397" s="218"/>
      <c r="Y397" s="216"/>
      <c r="Z397" s="216"/>
      <c r="AA397" s="215"/>
      <c r="AB397" s="216"/>
      <c r="AC397" s="216"/>
      <c r="AD397" s="239"/>
      <c r="AE397" s="216"/>
      <c r="AF397" s="216"/>
      <c r="AG397" s="216"/>
      <c r="AH397" s="216"/>
      <c r="AI397" s="216"/>
      <c r="AJ397" s="216"/>
      <c r="AK397" s="239"/>
      <c r="AL397" s="216"/>
      <c r="AM397" s="216"/>
      <c r="AN397" s="216"/>
      <c r="AO397" s="216"/>
      <c r="AP397" s="216"/>
      <c r="AQ397" s="216"/>
      <c r="AR397" s="216"/>
      <c r="AS397" s="216"/>
      <c r="AT397" s="216"/>
      <c r="AU397" s="216"/>
      <c r="AV397" s="217"/>
      <c r="AW397" s="355"/>
      <c r="AX397" s="217"/>
      <c r="AY397" s="1559"/>
      <c r="AZ397" s="249"/>
      <c r="BA397" s="221"/>
      <c r="BB397" s="300"/>
      <c r="BC397" s="217"/>
      <c r="BD397" s="392"/>
      <c r="BE397" s="1244"/>
      <c r="BF397" s="249"/>
      <c r="BG397" s="252"/>
      <c r="BH397" s="1469"/>
      <c r="BI397" s="216"/>
      <c r="BJ397" s="1469"/>
      <c r="BK397" s="1459"/>
      <c r="BL397" s="260"/>
      <c r="BM397" s="214"/>
      <c r="BN397" s="293"/>
      <c r="BO397" s="217"/>
      <c r="BP397" s="355"/>
      <c r="BQ397" s="217"/>
      <c r="BR397" s="1193"/>
      <c r="BS397" s="249"/>
      <c r="BT397" s="216"/>
      <c r="BU397" s="1195"/>
      <c r="BV397" s="249"/>
      <c r="BW397" s="216"/>
      <c r="BX397" s="1195"/>
      <c r="BY397" s="249"/>
      <c r="BZ397" s="216"/>
      <c r="CA397" s="1195"/>
      <c r="CB397" s="249"/>
      <c r="CC397" s="216"/>
      <c r="CD397" s="1195"/>
      <c r="CE397" s="249"/>
      <c r="CF397" s="216"/>
      <c r="CG397" s="1195"/>
      <c r="CH397" s="249"/>
      <c r="CI397" s="216"/>
      <c r="CJ397" s="1195"/>
      <c r="CK397" s="249"/>
      <c r="CL397" s="216"/>
      <c r="CM397" s="1194"/>
      <c r="CN397" s="1524"/>
      <c r="CO397" s="217"/>
      <c r="CP397" s="1193"/>
      <c r="CQ397" s="293"/>
      <c r="CR397" s="217"/>
      <c r="CS397" s="305"/>
      <c r="CT397" s="249"/>
      <c r="CU397" s="216"/>
      <c r="CV397" s="1193"/>
      <c r="CW397" s="249"/>
      <c r="CX397" s="216"/>
      <c r="CY397" s="305"/>
      <c r="CZ397" s="249"/>
      <c r="DA397" s="216"/>
      <c r="DB397" s="307"/>
      <c r="DC397" s="328"/>
      <c r="DD397" s="322"/>
      <c r="DE397" s="305"/>
      <c r="DF397" s="249"/>
      <c r="DG397" s="216"/>
      <c r="DH397" s="305"/>
      <c r="DI397" s="249"/>
      <c r="DJ397" s="216"/>
      <c r="DK397" s="309"/>
      <c r="DL397" s="293"/>
      <c r="DM397" s="326"/>
      <c r="DN397" s="1256"/>
      <c r="DO397" s="214"/>
      <c r="DP397" s="1257"/>
      <c r="DQ397" s="1258"/>
      <c r="DR397" s="305"/>
      <c r="DS397" s="249"/>
      <c r="DT397" s="216"/>
      <c r="DU397" s="305"/>
      <c r="DV397" s="2520"/>
      <c r="DW397" s="2521"/>
      <c r="DX397" s="305"/>
      <c r="DY397" s="249"/>
      <c r="DZ397" s="221"/>
      <c r="EA397" s="388"/>
      <c r="EB397" s="249"/>
      <c r="EC397" s="216"/>
      <c r="ED397" s="1461"/>
      <c r="EE397" s="249"/>
      <c r="EF397" s="216"/>
      <c r="EG397" s="355"/>
      <c r="EH397" s="1425"/>
      <c r="EI397" s="1470"/>
      <c r="EJ397" s="249"/>
      <c r="EK397" s="221"/>
      <c r="EL397" s="313"/>
      <c r="EM397" s="249"/>
      <c r="EN397" s="221"/>
      <c r="EO397" s="313"/>
      <c r="EP397" s="249"/>
      <c r="EQ397" s="216"/>
      <c r="ER397" s="313"/>
      <c r="ES397" s="249"/>
      <c r="ET397" s="216"/>
      <c r="EU397" s="313"/>
      <c r="EV397" s="249"/>
      <c r="EW397" s="216"/>
      <c r="EX397" s="2505"/>
      <c r="EY397" s="249"/>
      <c r="EZ397" s="221"/>
      <c r="FA397" s="313"/>
      <c r="FB397" s="249"/>
      <c r="FC397" s="221"/>
      <c r="FD397" s="313"/>
      <c r="FE397" s="249"/>
      <c r="FF397" s="221"/>
      <c r="FG397" s="313"/>
      <c r="FH397" s="249"/>
      <c r="FI397" s="216"/>
      <c r="FJ397" s="1435"/>
      <c r="FK397" s="216"/>
      <c r="FL397" s="1268"/>
      <c r="FM397" s="1655"/>
      <c r="FN397" s="1268"/>
      <c r="FO397" s="1655"/>
      <c r="FP397" s="1268"/>
      <c r="FQ397" s="1656"/>
      <c r="FR397" s="249"/>
      <c r="FS397" s="216"/>
      <c r="FT397" s="1657"/>
      <c r="FU397" s="1658"/>
      <c r="FV397" s="242"/>
      <c r="FW397" s="343"/>
      <c r="FX397" s="222"/>
      <c r="FY397" s="336"/>
      <c r="FZ397" s="223"/>
      <c r="GA397" s="338"/>
      <c r="GB397" s="204"/>
      <c r="GC397" s="339"/>
      <c r="GD397" s="342"/>
      <c r="GE397" s="199"/>
      <c r="GF397" s="199"/>
      <c r="GG397" s="199"/>
      <c r="GH397" s="199"/>
      <c r="GI397" s="199"/>
      <c r="GJ397" s="199"/>
      <c r="GK397" s="199"/>
      <c r="GO397" s="322"/>
      <c r="GP397" s="1190"/>
      <c r="GQ397" s="1190"/>
      <c r="GS397" s="2879"/>
      <c r="GT397" s="2880"/>
      <c r="GU397" s="2881"/>
    </row>
    <row r="398" spans="1:203" ht="12" customHeight="1">
      <c r="A398" s="1252"/>
      <c r="B398" s="200"/>
      <c r="C398" s="486"/>
      <c r="T398" s="1186"/>
      <c r="U398" s="233"/>
      <c r="W398" s="218"/>
      <c r="X398" s="218"/>
      <c r="Y398" s="216"/>
      <c r="Z398" s="216"/>
      <c r="AA398" s="215"/>
      <c r="AB398" s="216"/>
      <c r="AC398" s="216"/>
      <c r="AD398" s="239"/>
      <c r="AE398" s="216"/>
      <c r="AF398" s="216"/>
      <c r="AG398" s="216"/>
      <c r="AH398" s="216"/>
      <c r="AI398" s="216"/>
      <c r="AJ398" s="216"/>
      <c r="AK398" s="239"/>
      <c r="AL398" s="216"/>
      <c r="AM398" s="216"/>
      <c r="AN398" s="216"/>
      <c r="AO398" s="216"/>
      <c r="AP398" s="216"/>
      <c r="AQ398" s="216"/>
      <c r="AR398" s="216"/>
      <c r="AS398" s="216"/>
      <c r="AT398" s="216"/>
      <c r="AU398" s="216"/>
      <c r="AV398" s="217"/>
      <c r="AW398" s="355"/>
      <c r="AX398" s="217"/>
      <c r="AY398" s="1559"/>
      <c r="AZ398" s="249"/>
      <c r="BA398" s="221"/>
      <c r="BB398" s="300"/>
      <c r="BC398" s="217"/>
      <c r="BD398" s="392"/>
      <c r="BE398" s="1244"/>
      <c r="BF398" s="249"/>
      <c r="BG398" s="252"/>
      <c r="BH398" s="1469"/>
      <c r="BI398" s="216"/>
      <c r="BJ398" s="1469"/>
      <c r="BK398" s="1459"/>
      <c r="BL398" s="260"/>
      <c r="BM398" s="214"/>
      <c r="BN398" s="293"/>
      <c r="BO398" s="217"/>
      <c r="BP398" s="355"/>
      <c r="BQ398" s="217"/>
      <c r="BR398" s="1193"/>
      <c r="BS398" s="249"/>
      <c r="BT398" s="216"/>
      <c r="BU398" s="1195"/>
      <c r="BV398" s="249"/>
      <c r="BW398" s="216"/>
      <c r="BX398" s="1195"/>
      <c r="BY398" s="249"/>
      <c r="BZ398" s="216"/>
      <c r="CA398" s="1195"/>
      <c r="CB398" s="249"/>
      <c r="CC398" s="216"/>
      <c r="CD398" s="1195"/>
      <c r="CE398" s="249"/>
      <c r="CF398" s="216"/>
      <c r="CG398" s="1195"/>
      <c r="CH398" s="249"/>
      <c r="CI398" s="216"/>
      <c r="CJ398" s="1195"/>
      <c r="CK398" s="249"/>
      <c r="CL398" s="216"/>
      <c r="CM398" s="1194"/>
      <c r="CN398" s="1524"/>
      <c r="CO398" s="217"/>
      <c r="CP398" s="1193"/>
      <c r="CQ398" s="293"/>
      <c r="CR398" s="217"/>
      <c r="CS398" s="305"/>
      <c r="CT398" s="249"/>
      <c r="CU398" s="216"/>
      <c r="CV398" s="1193"/>
      <c r="CW398" s="249"/>
      <c r="CX398" s="216"/>
      <c r="CY398" s="305"/>
      <c r="CZ398" s="249"/>
      <c r="DA398" s="216"/>
      <c r="DB398" s="307"/>
      <c r="DC398" s="328"/>
      <c r="DD398" s="322"/>
      <c r="DE398" s="305"/>
      <c r="DF398" s="249"/>
      <c r="DG398" s="216"/>
      <c r="DH398" s="305"/>
      <c r="DI398" s="249"/>
      <c r="DJ398" s="216"/>
      <c r="DK398" s="309"/>
      <c r="DL398" s="293"/>
      <c r="DM398" s="326"/>
      <c r="DN398" s="1256"/>
      <c r="DO398" s="214"/>
      <c r="DP398" s="1257"/>
      <c r="DQ398" s="1258"/>
      <c r="DR398" s="305"/>
      <c r="DS398" s="249"/>
      <c r="DT398" s="216"/>
      <c r="DU398" s="305"/>
      <c r="DV398" s="2520"/>
      <c r="DW398" s="2521"/>
      <c r="DX398" s="305"/>
      <c r="DY398" s="249"/>
      <c r="DZ398" s="221"/>
      <c r="EA398" s="388"/>
      <c r="EB398" s="249"/>
      <c r="EC398" s="216"/>
      <c r="ED398" s="1461"/>
      <c r="EE398" s="249"/>
      <c r="EF398" s="216"/>
      <c r="EG398" s="355"/>
      <c r="EH398" s="1425"/>
      <c r="EI398" s="1470"/>
      <c r="EJ398" s="249"/>
      <c r="EK398" s="221"/>
      <c r="EL398" s="313"/>
      <c r="EM398" s="249"/>
      <c r="EN398" s="221"/>
      <c r="EO398" s="313"/>
      <c r="EP398" s="249"/>
      <c r="EQ398" s="216"/>
      <c r="ER398" s="313"/>
      <c r="ES398" s="249"/>
      <c r="ET398" s="216"/>
      <c r="EU398" s="313"/>
      <c r="EV398" s="249"/>
      <c r="EW398" s="216"/>
      <c r="EX398" s="2505"/>
      <c r="EY398" s="249"/>
      <c r="EZ398" s="221"/>
      <c r="FA398" s="313"/>
      <c r="FB398" s="249"/>
      <c r="FC398" s="221"/>
      <c r="FD398" s="313"/>
      <c r="FE398" s="249"/>
      <c r="FF398" s="221"/>
      <c r="FG398" s="313"/>
      <c r="FH398" s="249"/>
      <c r="FI398" s="216"/>
      <c r="FJ398" s="1435"/>
      <c r="FK398" s="216"/>
      <c r="FL398" s="1268"/>
      <c r="FM398" s="1655"/>
      <c r="FN398" s="1268"/>
      <c r="FO398" s="1655"/>
      <c r="FP398" s="1268"/>
      <c r="FQ398" s="1656"/>
      <c r="FR398" s="249"/>
      <c r="FS398" s="216"/>
      <c r="FT398" s="1657"/>
      <c r="FU398" s="1658"/>
      <c r="FV398" s="242"/>
      <c r="FW398" s="343"/>
      <c r="FX398" s="222"/>
      <c r="FY398" s="336"/>
      <c r="FZ398" s="223"/>
      <c r="GA398" s="338"/>
      <c r="GB398" s="204"/>
      <c r="GC398" s="339"/>
      <c r="GD398" s="342"/>
      <c r="GE398" s="199"/>
      <c r="GF398" s="199"/>
      <c r="GG398" s="199"/>
      <c r="GH398" s="199"/>
      <c r="GI398" s="199"/>
      <c r="GJ398" s="199"/>
      <c r="GK398" s="199"/>
      <c r="GO398" s="322"/>
      <c r="GP398" s="1190"/>
      <c r="GQ398" s="1190"/>
      <c r="GS398" s="2879"/>
      <c r="GT398" s="2880"/>
      <c r="GU398" s="2881"/>
    </row>
    <row r="399" spans="1:203" ht="12" customHeight="1">
      <c r="A399" s="1252"/>
      <c r="B399" s="200"/>
      <c r="C399" s="486"/>
      <c r="T399" s="1186"/>
      <c r="U399" s="233"/>
      <c r="W399" s="218"/>
      <c r="X399" s="218"/>
      <c r="Y399" s="216"/>
      <c r="Z399" s="216"/>
      <c r="AA399" s="215"/>
      <c r="AB399" s="216"/>
      <c r="AC399" s="216"/>
      <c r="AD399" s="239"/>
      <c r="AE399" s="216"/>
      <c r="AF399" s="216"/>
      <c r="AG399" s="216"/>
      <c r="AH399" s="216"/>
      <c r="AI399" s="216"/>
      <c r="AJ399" s="216"/>
      <c r="AK399" s="239"/>
      <c r="AL399" s="216"/>
      <c r="AM399" s="216"/>
      <c r="AN399" s="216"/>
      <c r="AO399" s="216"/>
      <c r="AP399" s="216"/>
      <c r="AQ399" s="216"/>
      <c r="AR399" s="216"/>
      <c r="AS399" s="216"/>
      <c r="AT399" s="216"/>
      <c r="AU399" s="216"/>
      <c r="AV399" s="217"/>
      <c r="AW399" s="355"/>
      <c r="AX399" s="217"/>
      <c r="AY399" s="1559"/>
      <c r="AZ399" s="249"/>
      <c r="BA399" s="221"/>
      <c r="BB399" s="300"/>
      <c r="BC399" s="217"/>
      <c r="BD399" s="392"/>
      <c r="BE399" s="1244"/>
      <c r="BF399" s="249"/>
      <c r="BG399" s="252"/>
      <c r="BH399" s="1469"/>
      <c r="BI399" s="216"/>
      <c r="BJ399" s="1469"/>
      <c r="BK399" s="1459"/>
      <c r="BL399" s="260"/>
      <c r="BM399" s="214"/>
      <c r="BN399" s="293"/>
      <c r="BO399" s="217"/>
      <c r="BP399" s="355"/>
      <c r="BQ399" s="217"/>
      <c r="BR399" s="1193"/>
      <c r="BS399" s="249"/>
      <c r="BT399" s="216"/>
      <c r="BU399" s="1195"/>
      <c r="BV399" s="249"/>
      <c r="BW399" s="216"/>
      <c r="BX399" s="1195"/>
      <c r="BY399" s="249"/>
      <c r="BZ399" s="216"/>
      <c r="CA399" s="1195"/>
      <c r="CB399" s="249"/>
      <c r="CC399" s="216"/>
      <c r="CD399" s="1195"/>
      <c r="CE399" s="249"/>
      <c r="CF399" s="216"/>
      <c r="CG399" s="1195"/>
      <c r="CH399" s="249"/>
      <c r="CI399" s="216"/>
      <c r="CJ399" s="1195"/>
      <c r="CK399" s="249"/>
      <c r="CL399" s="216"/>
      <c r="CM399" s="1194"/>
      <c r="CN399" s="1524"/>
      <c r="CO399" s="217"/>
      <c r="CP399" s="1193"/>
      <c r="CQ399" s="293"/>
      <c r="CR399" s="217"/>
      <c r="CS399" s="305"/>
      <c r="CT399" s="249"/>
      <c r="CU399" s="216"/>
      <c r="CV399" s="1193"/>
      <c r="CW399" s="249"/>
      <c r="CX399" s="216"/>
      <c r="CY399" s="305"/>
      <c r="CZ399" s="249"/>
      <c r="DA399" s="216"/>
      <c r="DB399" s="307"/>
      <c r="DC399" s="328"/>
      <c r="DD399" s="322"/>
      <c r="DE399" s="305"/>
      <c r="DF399" s="249"/>
      <c r="DG399" s="216"/>
      <c r="DH399" s="305"/>
      <c r="DI399" s="249"/>
      <c r="DJ399" s="216"/>
      <c r="DK399" s="309"/>
      <c r="DL399" s="293"/>
      <c r="DM399" s="326"/>
      <c r="DN399" s="1256"/>
      <c r="DO399" s="214"/>
      <c r="DP399" s="1257"/>
      <c r="DQ399" s="1258"/>
      <c r="DR399" s="305"/>
      <c r="DS399" s="249"/>
      <c r="DT399" s="216"/>
      <c r="DU399" s="305"/>
      <c r="DV399" s="2520"/>
      <c r="DW399" s="2521"/>
      <c r="DX399" s="305"/>
      <c r="DY399" s="249"/>
      <c r="DZ399" s="221"/>
      <c r="EA399" s="388"/>
      <c r="EB399" s="249"/>
      <c r="EC399" s="216"/>
      <c r="ED399" s="1461"/>
      <c r="EE399" s="249"/>
      <c r="EF399" s="216"/>
      <c r="EG399" s="355"/>
      <c r="EH399" s="1425"/>
      <c r="EI399" s="1470"/>
      <c r="EJ399" s="249"/>
      <c r="EK399" s="221"/>
      <c r="EL399" s="313"/>
      <c r="EM399" s="249"/>
      <c r="EN399" s="221"/>
      <c r="EO399" s="313"/>
      <c r="EP399" s="249"/>
      <c r="EQ399" s="216"/>
      <c r="ER399" s="313"/>
      <c r="ES399" s="249"/>
      <c r="ET399" s="216"/>
      <c r="EU399" s="313"/>
      <c r="EV399" s="249"/>
      <c r="EW399" s="216"/>
      <c r="EX399" s="2505"/>
      <c r="EY399" s="249"/>
      <c r="EZ399" s="221"/>
      <c r="FA399" s="313"/>
      <c r="FB399" s="249"/>
      <c r="FC399" s="221"/>
      <c r="FD399" s="313"/>
      <c r="FE399" s="249"/>
      <c r="FF399" s="221"/>
      <c r="FG399" s="313"/>
      <c r="FH399" s="249"/>
      <c r="FI399" s="216"/>
      <c r="FJ399" s="1435"/>
      <c r="FK399" s="216"/>
      <c r="FL399" s="1268"/>
      <c r="FM399" s="1655"/>
      <c r="FN399" s="1268"/>
      <c r="FO399" s="1655"/>
      <c r="FP399" s="1268"/>
      <c r="FQ399" s="1656"/>
      <c r="FR399" s="249"/>
      <c r="FS399" s="216"/>
      <c r="FT399" s="1657"/>
      <c r="FU399" s="1658"/>
      <c r="FV399" s="242"/>
      <c r="FW399" s="343"/>
      <c r="FX399" s="222"/>
      <c r="FY399" s="336"/>
      <c r="FZ399" s="223"/>
      <c r="GA399" s="338"/>
      <c r="GB399" s="204"/>
      <c r="GC399" s="339"/>
      <c r="GD399" s="342"/>
      <c r="GE399" s="199"/>
      <c r="GF399" s="199"/>
      <c r="GG399" s="199"/>
      <c r="GH399" s="199"/>
      <c r="GI399" s="199"/>
      <c r="GJ399" s="199"/>
      <c r="GK399" s="199"/>
      <c r="GO399" s="322"/>
      <c r="GP399" s="1190"/>
      <c r="GQ399" s="1190"/>
      <c r="GS399" s="2879"/>
      <c r="GT399" s="2880"/>
      <c r="GU399" s="2881"/>
    </row>
    <row r="400" spans="1:203" ht="12" customHeight="1">
      <c r="A400" s="1252"/>
      <c r="B400" s="200"/>
      <c r="C400" s="486"/>
      <c r="T400" s="1186"/>
      <c r="U400" s="233"/>
      <c r="W400" s="218"/>
      <c r="X400" s="218"/>
      <c r="Y400" s="216"/>
      <c r="Z400" s="216"/>
      <c r="AA400" s="215"/>
      <c r="AB400" s="216"/>
      <c r="AC400" s="216"/>
      <c r="AD400" s="239"/>
      <c r="AE400" s="216"/>
      <c r="AF400" s="216"/>
      <c r="AG400" s="216"/>
      <c r="AH400" s="216"/>
      <c r="AI400" s="216"/>
      <c r="AJ400" s="216"/>
      <c r="AK400" s="239"/>
      <c r="AL400" s="216"/>
      <c r="AM400" s="216"/>
      <c r="AN400" s="216"/>
      <c r="AO400" s="216"/>
      <c r="AP400" s="216"/>
      <c r="AQ400" s="216"/>
      <c r="AR400" s="216"/>
      <c r="AS400" s="216"/>
      <c r="AT400" s="216"/>
      <c r="AU400" s="216"/>
      <c r="AV400" s="217"/>
      <c r="AW400" s="355"/>
      <c r="AX400" s="217"/>
      <c r="AY400" s="1559"/>
      <c r="AZ400" s="249"/>
      <c r="BA400" s="221"/>
      <c r="BB400" s="300"/>
      <c r="BC400" s="217"/>
      <c r="BD400" s="392"/>
      <c r="BE400" s="1244"/>
      <c r="BF400" s="249"/>
      <c r="BG400" s="252"/>
      <c r="BH400" s="1469"/>
      <c r="BI400" s="216"/>
      <c r="BJ400" s="1469"/>
      <c r="BK400" s="1459"/>
      <c r="BL400" s="260"/>
      <c r="BM400" s="214"/>
      <c r="BN400" s="293"/>
      <c r="BO400" s="217"/>
      <c r="BP400" s="355"/>
      <c r="BQ400" s="217"/>
      <c r="BR400" s="1193"/>
      <c r="BS400" s="249"/>
      <c r="BT400" s="216"/>
      <c r="BU400" s="1195"/>
      <c r="BV400" s="249"/>
      <c r="BW400" s="216"/>
      <c r="BX400" s="1195"/>
      <c r="BY400" s="249"/>
      <c r="BZ400" s="216"/>
      <c r="CA400" s="1195"/>
      <c r="CB400" s="249"/>
      <c r="CC400" s="216"/>
      <c r="CD400" s="1195"/>
      <c r="CE400" s="249"/>
      <c r="CF400" s="216"/>
      <c r="CG400" s="1195"/>
      <c r="CH400" s="249"/>
      <c r="CI400" s="216"/>
      <c r="CJ400" s="1195"/>
      <c r="CK400" s="249"/>
      <c r="CL400" s="216"/>
      <c r="CM400" s="1194"/>
      <c r="CN400" s="1524"/>
      <c r="CO400" s="217"/>
      <c r="CP400" s="1193"/>
      <c r="CQ400" s="293"/>
      <c r="CR400" s="217"/>
      <c r="CS400" s="305"/>
      <c r="CT400" s="249"/>
      <c r="CU400" s="216"/>
      <c r="CV400" s="1193"/>
      <c r="CW400" s="249"/>
      <c r="CX400" s="216"/>
      <c r="CY400" s="305"/>
      <c r="CZ400" s="249"/>
      <c r="DA400" s="216"/>
      <c r="DB400" s="307"/>
      <c r="DC400" s="328"/>
      <c r="DD400" s="322"/>
      <c r="DE400" s="305"/>
      <c r="DF400" s="249"/>
      <c r="DG400" s="216"/>
      <c r="DH400" s="305"/>
      <c r="DI400" s="249"/>
      <c r="DJ400" s="216"/>
      <c r="DK400" s="309"/>
      <c r="DL400" s="293"/>
      <c r="DM400" s="326"/>
      <c r="DN400" s="1256"/>
      <c r="DO400" s="214"/>
      <c r="DP400" s="1257"/>
      <c r="DQ400" s="1258"/>
      <c r="DR400" s="305"/>
      <c r="DS400" s="249"/>
      <c r="DT400" s="216"/>
      <c r="DU400" s="305"/>
      <c r="DV400" s="2520"/>
      <c r="DW400" s="2521"/>
      <c r="DX400" s="305"/>
      <c r="DY400" s="249"/>
      <c r="DZ400" s="221"/>
      <c r="EA400" s="388"/>
      <c r="EB400" s="249"/>
      <c r="EC400" s="216"/>
      <c r="ED400" s="1461"/>
      <c r="EE400" s="249"/>
      <c r="EF400" s="216"/>
      <c r="EG400" s="355"/>
      <c r="EH400" s="1425"/>
      <c r="EI400" s="1470"/>
      <c r="EJ400" s="249"/>
      <c r="EK400" s="221"/>
      <c r="EL400" s="313"/>
      <c r="EM400" s="249"/>
      <c r="EN400" s="221"/>
      <c r="EO400" s="313"/>
      <c r="EP400" s="249"/>
      <c r="EQ400" s="216"/>
      <c r="ER400" s="313"/>
      <c r="ES400" s="249"/>
      <c r="ET400" s="216"/>
      <c r="EU400" s="313"/>
      <c r="EV400" s="249"/>
      <c r="EW400" s="216"/>
      <c r="EX400" s="2505"/>
      <c r="EY400" s="249"/>
      <c r="EZ400" s="221"/>
      <c r="FA400" s="313"/>
      <c r="FB400" s="249"/>
      <c r="FC400" s="221"/>
      <c r="FD400" s="313"/>
      <c r="FE400" s="249"/>
      <c r="FF400" s="221"/>
      <c r="FG400" s="313"/>
      <c r="FH400" s="249"/>
      <c r="FI400" s="216"/>
      <c r="FJ400" s="1435"/>
      <c r="FK400" s="216"/>
      <c r="FL400" s="1268"/>
      <c r="FM400" s="1655"/>
      <c r="FN400" s="1268"/>
      <c r="FO400" s="1655"/>
      <c r="FP400" s="1268"/>
      <c r="FQ400" s="1656"/>
      <c r="FR400" s="249"/>
      <c r="FS400" s="216"/>
      <c r="FT400" s="1657"/>
      <c r="FU400" s="1658"/>
      <c r="FV400" s="242"/>
      <c r="FW400" s="343"/>
      <c r="FX400" s="222"/>
      <c r="FY400" s="336"/>
      <c r="FZ400" s="223"/>
      <c r="GA400" s="338"/>
      <c r="GB400" s="204"/>
      <c r="GC400" s="339"/>
      <c r="GD400" s="342"/>
      <c r="GE400" s="199"/>
      <c r="GF400" s="199"/>
      <c r="GG400" s="199"/>
      <c r="GH400" s="199"/>
      <c r="GI400" s="199"/>
      <c r="GJ400" s="199"/>
      <c r="GK400" s="199"/>
      <c r="GO400" s="322"/>
      <c r="GP400" s="1190"/>
      <c r="GQ400" s="1190"/>
      <c r="GS400" s="2879"/>
      <c r="GT400" s="2880"/>
      <c r="GU400" s="2881"/>
    </row>
    <row r="401" spans="1:203" ht="12" customHeight="1">
      <c r="A401" s="1252"/>
      <c r="B401" s="200"/>
      <c r="C401" s="486"/>
      <c r="T401" s="1186"/>
      <c r="U401" s="233"/>
      <c r="W401" s="218"/>
      <c r="X401" s="218"/>
      <c r="Y401" s="216"/>
      <c r="Z401" s="216"/>
      <c r="AA401" s="215"/>
      <c r="AB401" s="216"/>
      <c r="AC401" s="216"/>
      <c r="AD401" s="239"/>
      <c r="AE401" s="216"/>
      <c r="AF401" s="216"/>
      <c r="AG401" s="216"/>
      <c r="AH401" s="216"/>
      <c r="AI401" s="216"/>
      <c r="AJ401" s="216"/>
      <c r="AK401" s="239"/>
      <c r="AL401" s="216"/>
      <c r="AM401" s="216"/>
      <c r="AN401" s="216"/>
      <c r="AO401" s="216"/>
      <c r="AP401" s="216"/>
      <c r="AQ401" s="216"/>
      <c r="AR401" s="216"/>
      <c r="AS401" s="216"/>
      <c r="AT401" s="216"/>
      <c r="AU401" s="216"/>
      <c r="AV401" s="217"/>
      <c r="AW401" s="355"/>
      <c r="AX401" s="217"/>
      <c r="AY401" s="1559"/>
      <c r="AZ401" s="249"/>
      <c r="BA401" s="221"/>
      <c r="BB401" s="300"/>
      <c r="BC401" s="217"/>
      <c r="BD401" s="392"/>
      <c r="BE401" s="1244"/>
      <c r="BF401" s="249"/>
      <c r="BG401" s="252"/>
      <c r="BH401" s="1469"/>
      <c r="BI401" s="216"/>
      <c r="BJ401" s="1469"/>
      <c r="BK401" s="1459"/>
      <c r="BL401" s="260"/>
      <c r="BM401" s="214"/>
      <c r="BN401" s="293"/>
      <c r="BO401" s="217"/>
      <c r="BP401" s="355"/>
      <c r="BQ401" s="217"/>
      <c r="BR401" s="1193"/>
      <c r="BS401" s="249"/>
      <c r="BT401" s="216"/>
      <c r="BU401" s="1195"/>
      <c r="BV401" s="249"/>
      <c r="BW401" s="216"/>
      <c r="BX401" s="1195"/>
      <c r="BY401" s="249"/>
      <c r="BZ401" s="216"/>
      <c r="CA401" s="1195"/>
      <c r="CB401" s="249"/>
      <c r="CC401" s="216"/>
      <c r="CD401" s="1195"/>
      <c r="CE401" s="249"/>
      <c r="CF401" s="216"/>
      <c r="CG401" s="1195"/>
      <c r="CH401" s="249"/>
      <c r="CI401" s="216"/>
      <c r="CJ401" s="1195"/>
      <c r="CK401" s="249"/>
      <c r="CL401" s="216"/>
      <c r="CM401" s="1194"/>
      <c r="CN401" s="1524"/>
      <c r="CO401" s="217"/>
      <c r="CP401" s="1193"/>
      <c r="CQ401" s="293"/>
      <c r="CR401" s="217"/>
      <c r="CS401" s="305"/>
      <c r="CT401" s="249"/>
      <c r="CU401" s="216"/>
      <c r="CV401" s="1193"/>
      <c r="CW401" s="249"/>
      <c r="CX401" s="216"/>
      <c r="CY401" s="305"/>
      <c r="CZ401" s="249"/>
      <c r="DA401" s="216"/>
      <c r="DB401" s="307"/>
      <c r="DC401" s="328"/>
      <c r="DD401" s="322"/>
      <c r="DE401" s="305"/>
      <c r="DF401" s="249"/>
      <c r="DG401" s="216"/>
      <c r="DH401" s="305"/>
      <c r="DI401" s="249"/>
      <c r="DJ401" s="216"/>
      <c r="DK401" s="309"/>
      <c r="DL401" s="293"/>
      <c r="DM401" s="326"/>
      <c r="DN401" s="1256"/>
      <c r="DO401" s="214"/>
      <c r="DP401" s="1257"/>
      <c r="DQ401" s="1258"/>
      <c r="DR401" s="305"/>
      <c r="DS401" s="249"/>
      <c r="DT401" s="216"/>
      <c r="DU401" s="305"/>
      <c r="DV401" s="2520"/>
      <c r="DW401" s="2521"/>
      <c r="DX401" s="305"/>
      <c r="DY401" s="249"/>
      <c r="DZ401" s="221"/>
      <c r="EA401" s="388"/>
      <c r="EB401" s="249"/>
      <c r="EC401" s="216"/>
      <c r="ED401" s="1461"/>
      <c r="EE401" s="249"/>
      <c r="EF401" s="216"/>
      <c r="EG401" s="355"/>
      <c r="EH401" s="1425"/>
      <c r="EI401" s="1470"/>
      <c r="EJ401" s="249"/>
      <c r="EK401" s="221"/>
      <c r="EL401" s="313"/>
      <c r="EM401" s="249"/>
      <c r="EN401" s="221"/>
      <c r="EO401" s="313"/>
      <c r="EP401" s="249"/>
      <c r="EQ401" s="216"/>
      <c r="ER401" s="313"/>
      <c r="ES401" s="249"/>
      <c r="ET401" s="216"/>
      <c r="EU401" s="313"/>
      <c r="EV401" s="249"/>
      <c r="EW401" s="216"/>
      <c r="EX401" s="2505"/>
      <c r="EY401" s="249"/>
      <c r="EZ401" s="221"/>
      <c r="FA401" s="313"/>
      <c r="FB401" s="249"/>
      <c r="FC401" s="221"/>
      <c r="FD401" s="313"/>
      <c r="FE401" s="249"/>
      <c r="FF401" s="221"/>
      <c r="FG401" s="313"/>
      <c r="FH401" s="249"/>
      <c r="FI401" s="216"/>
      <c r="FJ401" s="1435"/>
      <c r="FK401" s="216"/>
      <c r="FL401" s="1268"/>
      <c r="FM401" s="1655"/>
      <c r="FN401" s="1268"/>
      <c r="FO401" s="1655"/>
      <c r="FP401" s="1268"/>
      <c r="FQ401" s="1656"/>
      <c r="FR401" s="249"/>
      <c r="FS401" s="216"/>
      <c r="FT401" s="1657"/>
      <c r="FU401" s="1658"/>
      <c r="FV401" s="242"/>
      <c r="FW401" s="343"/>
      <c r="FX401" s="222"/>
      <c r="FY401" s="336"/>
      <c r="FZ401" s="223"/>
      <c r="GA401" s="338"/>
      <c r="GB401" s="204"/>
      <c r="GC401" s="339"/>
      <c r="GD401" s="342"/>
      <c r="GE401" s="199"/>
      <c r="GF401" s="199"/>
      <c r="GG401" s="199"/>
      <c r="GH401" s="199"/>
      <c r="GI401" s="199"/>
      <c r="GJ401" s="199"/>
      <c r="GK401" s="199"/>
      <c r="GO401" s="322"/>
      <c r="GP401" s="1190"/>
      <c r="GQ401" s="1190"/>
      <c r="GS401" s="2879"/>
      <c r="GT401" s="2880"/>
      <c r="GU401" s="2881"/>
    </row>
    <row r="402" spans="1:203" ht="12" customHeight="1">
      <c r="A402" s="1252"/>
      <c r="B402" s="200"/>
      <c r="C402" s="486"/>
      <c r="T402" s="1186"/>
      <c r="U402" s="233"/>
      <c r="W402" s="218"/>
      <c r="X402" s="218"/>
      <c r="Y402" s="216"/>
      <c r="Z402" s="216"/>
      <c r="AA402" s="215"/>
      <c r="AB402" s="216"/>
      <c r="AC402" s="216"/>
      <c r="AD402" s="239"/>
      <c r="AE402" s="216"/>
      <c r="AF402" s="216"/>
      <c r="AG402" s="216"/>
      <c r="AH402" s="216"/>
      <c r="AI402" s="216"/>
      <c r="AJ402" s="216"/>
      <c r="AK402" s="239"/>
      <c r="AL402" s="216"/>
      <c r="AM402" s="216"/>
      <c r="AN402" s="216"/>
      <c r="AO402" s="216"/>
      <c r="AP402" s="216"/>
      <c r="AQ402" s="216"/>
      <c r="AR402" s="216"/>
      <c r="AS402" s="216"/>
      <c r="AT402" s="216"/>
      <c r="AU402" s="216"/>
      <c r="AV402" s="217"/>
      <c r="AW402" s="355"/>
      <c r="AX402" s="217"/>
      <c r="AY402" s="1559"/>
      <c r="AZ402" s="249"/>
      <c r="BA402" s="221"/>
      <c r="BB402" s="300"/>
      <c r="BC402" s="217"/>
      <c r="BD402" s="392"/>
      <c r="BE402" s="1244"/>
      <c r="BF402" s="249"/>
      <c r="BG402" s="252"/>
      <c r="BH402" s="1469"/>
      <c r="BI402" s="216"/>
      <c r="BJ402" s="1469"/>
      <c r="BK402" s="1459"/>
      <c r="BL402" s="260"/>
      <c r="BM402" s="214"/>
      <c r="BN402" s="293"/>
      <c r="BO402" s="217"/>
      <c r="BP402" s="355"/>
      <c r="BQ402" s="217"/>
      <c r="BR402" s="1193"/>
      <c r="BS402" s="249"/>
      <c r="BT402" s="216"/>
      <c r="BU402" s="1195"/>
      <c r="BV402" s="249"/>
      <c r="BW402" s="216"/>
      <c r="BX402" s="1195"/>
      <c r="BY402" s="249"/>
      <c r="BZ402" s="216"/>
      <c r="CA402" s="1195"/>
      <c r="CB402" s="249"/>
      <c r="CC402" s="216"/>
      <c r="CD402" s="1195"/>
      <c r="CE402" s="249"/>
      <c r="CF402" s="216"/>
      <c r="CG402" s="1195"/>
      <c r="CH402" s="249"/>
      <c r="CI402" s="216"/>
      <c r="CJ402" s="1195"/>
      <c r="CK402" s="249"/>
      <c r="CL402" s="216"/>
      <c r="CM402" s="1194"/>
      <c r="CN402" s="1524"/>
      <c r="CO402" s="217"/>
      <c r="CP402" s="1193"/>
      <c r="CQ402" s="293"/>
      <c r="CR402" s="217"/>
      <c r="CS402" s="305"/>
      <c r="CT402" s="249"/>
      <c r="CU402" s="216"/>
      <c r="CV402" s="1193"/>
      <c r="CW402" s="249"/>
      <c r="CX402" s="216"/>
      <c r="CY402" s="305"/>
      <c r="CZ402" s="249"/>
      <c r="DA402" s="216"/>
      <c r="DB402" s="307"/>
      <c r="DC402" s="328"/>
      <c r="DD402" s="322"/>
      <c r="DE402" s="305"/>
      <c r="DF402" s="249"/>
      <c r="DG402" s="216"/>
      <c r="DH402" s="305"/>
      <c r="DI402" s="249"/>
      <c r="DJ402" s="216"/>
      <c r="DK402" s="309"/>
      <c r="DL402" s="293"/>
      <c r="DM402" s="326"/>
      <c r="DN402" s="1256"/>
      <c r="DO402" s="214"/>
      <c r="DP402" s="1257"/>
      <c r="DQ402" s="1258"/>
      <c r="DR402" s="305"/>
      <c r="DS402" s="249"/>
      <c r="DT402" s="216"/>
      <c r="DU402" s="305"/>
      <c r="DV402" s="2520"/>
      <c r="DW402" s="2521"/>
      <c r="DX402" s="305"/>
      <c r="DY402" s="249"/>
      <c r="DZ402" s="221"/>
      <c r="EA402" s="388"/>
      <c r="EB402" s="249"/>
      <c r="EC402" s="216"/>
      <c r="ED402" s="1461"/>
      <c r="EE402" s="249"/>
      <c r="EF402" s="216"/>
      <c r="EG402" s="355"/>
      <c r="EH402" s="1425"/>
      <c r="EI402" s="1470"/>
      <c r="EJ402" s="249"/>
      <c r="EK402" s="221"/>
      <c r="EL402" s="313"/>
      <c r="EM402" s="249"/>
      <c r="EN402" s="221"/>
      <c r="EO402" s="313"/>
      <c r="EP402" s="249"/>
      <c r="EQ402" s="216"/>
      <c r="ER402" s="313"/>
      <c r="ES402" s="249"/>
      <c r="ET402" s="216"/>
      <c r="EU402" s="313"/>
      <c r="EV402" s="249"/>
      <c r="EW402" s="216"/>
      <c r="EX402" s="2505"/>
      <c r="EY402" s="249"/>
      <c r="EZ402" s="221"/>
      <c r="FA402" s="313"/>
      <c r="FB402" s="249"/>
      <c r="FC402" s="221"/>
      <c r="FD402" s="313"/>
      <c r="FE402" s="249"/>
      <c r="FF402" s="221"/>
      <c r="FG402" s="313"/>
      <c r="FH402" s="249"/>
      <c r="FI402" s="216"/>
      <c r="FJ402" s="1435"/>
      <c r="FK402" s="216"/>
      <c r="FL402" s="1268"/>
      <c r="FM402" s="1655"/>
      <c r="FN402" s="1268"/>
      <c r="FO402" s="1655"/>
      <c r="FP402" s="1268"/>
      <c r="FQ402" s="1656"/>
      <c r="FR402" s="249"/>
      <c r="FS402" s="216"/>
      <c r="FT402" s="1657"/>
      <c r="FU402" s="1658"/>
      <c r="FV402" s="242"/>
      <c r="FW402" s="343"/>
      <c r="FX402" s="222"/>
      <c r="FY402" s="336"/>
      <c r="FZ402" s="223"/>
      <c r="GA402" s="338"/>
      <c r="GB402" s="204"/>
      <c r="GC402" s="339"/>
      <c r="GD402" s="342"/>
      <c r="GE402" s="199"/>
      <c r="GF402" s="199"/>
      <c r="GG402" s="199"/>
      <c r="GH402" s="199"/>
      <c r="GI402" s="199"/>
      <c r="GJ402" s="199"/>
      <c r="GK402" s="199"/>
      <c r="GO402" s="322"/>
      <c r="GP402" s="1190"/>
      <c r="GQ402" s="1190"/>
      <c r="GS402" s="2879"/>
      <c r="GT402" s="2880"/>
      <c r="GU402" s="2881"/>
    </row>
    <row r="403" spans="1:203" ht="12" customHeight="1">
      <c r="A403" s="1252"/>
      <c r="B403" s="200"/>
      <c r="C403" s="486"/>
      <c r="T403" s="1186"/>
      <c r="U403" s="233"/>
      <c r="W403" s="218"/>
      <c r="X403" s="218"/>
      <c r="Y403" s="216"/>
      <c r="Z403" s="216"/>
      <c r="AA403" s="215"/>
      <c r="AB403" s="216"/>
      <c r="AC403" s="216"/>
      <c r="AD403" s="239"/>
      <c r="AE403" s="216"/>
      <c r="AF403" s="216"/>
      <c r="AG403" s="216"/>
      <c r="AH403" s="216"/>
      <c r="AI403" s="216"/>
      <c r="AJ403" s="216"/>
      <c r="AK403" s="239"/>
      <c r="AL403" s="216"/>
      <c r="AM403" s="216"/>
      <c r="AN403" s="216"/>
      <c r="AO403" s="216"/>
      <c r="AP403" s="216"/>
      <c r="AQ403" s="216"/>
      <c r="AR403" s="216"/>
      <c r="AS403" s="216"/>
      <c r="AT403" s="216"/>
      <c r="AU403" s="216"/>
      <c r="AV403" s="217"/>
      <c r="AW403" s="355"/>
      <c r="AX403" s="217"/>
      <c r="AY403" s="1559"/>
      <c r="AZ403" s="249"/>
      <c r="BA403" s="221"/>
      <c r="BB403" s="300"/>
      <c r="BC403" s="217"/>
      <c r="BD403" s="392"/>
      <c r="BE403" s="1244"/>
      <c r="BF403" s="249"/>
      <c r="BG403" s="252"/>
      <c r="BH403" s="1469"/>
      <c r="BI403" s="216"/>
      <c r="BJ403" s="1469"/>
      <c r="BK403" s="1459"/>
      <c r="BL403" s="260"/>
      <c r="BM403" s="214"/>
      <c r="BN403" s="293"/>
      <c r="BO403" s="217"/>
      <c r="BP403" s="355"/>
      <c r="BQ403" s="217"/>
      <c r="BR403" s="1193"/>
      <c r="BS403" s="249"/>
      <c r="BT403" s="216"/>
      <c r="BU403" s="1195"/>
      <c r="BV403" s="249"/>
      <c r="BW403" s="216"/>
      <c r="BX403" s="1195"/>
      <c r="BY403" s="249"/>
      <c r="BZ403" s="216"/>
      <c r="CA403" s="1195"/>
      <c r="CB403" s="249"/>
      <c r="CC403" s="216"/>
      <c r="CD403" s="1195"/>
      <c r="CE403" s="249"/>
      <c r="CF403" s="216"/>
      <c r="CG403" s="1195"/>
      <c r="CH403" s="249"/>
      <c r="CI403" s="216"/>
      <c r="CJ403" s="1195"/>
      <c r="CK403" s="249"/>
      <c r="CL403" s="216"/>
      <c r="CM403" s="1194"/>
      <c r="CN403" s="1524"/>
      <c r="CO403" s="217"/>
      <c r="CP403" s="1193"/>
      <c r="CQ403" s="293"/>
      <c r="CR403" s="217"/>
      <c r="CS403" s="305"/>
      <c r="CT403" s="249"/>
      <c r="CU403" s="216"/>
      <c r="CV403" s="1193"/>
      <c r="CW403" s="249"/>
      <c r="CX403" s="216"/>
      <c r="CY403" s="305"/>
      <c r="CZ403" s="249"/>
      <c r="DA403" s="216"/>
      <c r="DB403" s="307"/>
      <c r="DC403" s="328"/>
      <c r="DD403" s="322"/>
      <c r="DE403" s="305"/>
      <c r="DF403" s="249"/>
      <c r="DG403" s="216"/>
      <c r="DH403" s="305"/>
      <c r="DI403" s="249"/>
      <c r="DJ403" s="216"/>
      <c r="DK403" s="309"/>
      <c r="DL403" s="293"/>
      <c r="DM403" s="326"/>
      <c r="DN403" s="1256"/>
      <c r="DO403" s="214"/>
      <c r="DP403" s="1257"/>
      <c r="DQ403" s="1258"/>
      <c r="DR403" s="305"/>
      <c r="DS403" s="249"/>
      <c r="DT403" s="216"/>
      <c r="DU403" s="305"/>
      <c r="DV403" s="2520"/>
      <c r="DW403" s="2521"/>
      <c r="DX403" s="305"/>
      <c r="DY403" s="249"/>
      <c r="DZ403" s="221"/>
      <c r="EA403" s="388"/>
      <c r="EB403" s="249"/>
      <c r="EC403" s="216"/>
      <c r="ED403" s="1461"/>
      <c r="EE403" s="249"/>
      <c r="EF403" s="216"/>
      <c r="EG403" s="355"/>
      <c r="EH403" s="1425"/>
      <c r="EI403" s="1470"/>
      <c r="EJ403" s="249"/>
      <c r="EK403" s="221"/>
      <c r="EL403" s="313"/>
      <c r="EM403" s="249"/>
      <c r="EN403" s="221"/>
      <c r="EO403" s="313"/>
      <c r="EP403" s="249"/>
      <c r="EQ403" s="216"/>
      <c r="ER403" s="313"/>
      <c r="ES403" s="249"/>
      <c r="ET403" s="216"/>
      <c r="EU403" s="313"/>
      <c r="EV403" s="249"/>
      <c r="EW403" s="216"/>
      <c r="EX403" s="2505"/>
      <c r="EY403" s="249"/>
      <c r="EZ403" s="221"/>
      <c r="FA403" s="313"/>
      <c r="FB403" s="249"/>
      <c r="FC403" s="221"/>
      <c r="FD403" s="313"/>
      <c r="FE403" s="249"/>
      <c r="FF403" s="221"/>
      <c r="FG403" s="313"/>
      <c r="FH403" s="249"/>
      <c r="FI403" s="216"/>
      <c r="FJ403" s="1435"/>
      <c r="FK403" s="216"/>
      <c r="FL403" s="1268"/>
      <c r="FM403" s="1655"/>
      <c r="FN403" s="1268"/>
      <c r="FO403" s="1655"/>
      <c r="FP403" s="1268"/>
      <c r="FQ403" s="1656"/>
      <c r="FR403" s="249"/>
      <c r="FS403" s="216"/>
      <c r="FT403" s="1657"/>
      <c r="FU403" s="1658"/>
      <c r="FV403" s="242"/>
      <c r="FW403" s="343"/>
      <c r="FX403" s="222"/>
      <c r="FY403" s="336"/>
      <c r="FZ403" s="223"/>
      <c r="GA403" s="338"/>
      <c r="GB403" s="204"/>
      <c r="GC403" s="339"/>
      <c r="GD403" s="342"/>
      <c r="GE403" s="199"/>
      <c r="GF403" s="199"/>
      <c r="GG403" s="199"/>
      <c r="GH403" s="199"/>
      <c r="GI403" s="199"/>
      <c r="GJ403" s="199"/>
      <c r="GK403" s="199"/>
      <c r="GO403" s="322"/>
      <c r="GP403" s="1190"/>
      <c r="GQ403" s="1190"/>
      <c r="GS403" s="2879"/>
      <c r="GT403" s="2880"/>
      <c r="GU403" s="2881"/>
    </row>
    <row r="404" spans="1:203" ht="12" customHeight="1">
      <c r="A404" s="1252"/>
      <c r="B404" s="200"/>
      <c r="C404" s="486"/>
      <c r="T404" s="1186"/>
      <c r="U404" s="233"/>
      <c r="W404" s="218"/>
      <c r="X404" s="218"/>
      <c r="Y404" s="216"/>
      <c r="Z404" s="216"/>
      <c r="AA404" s="215"/>
      <c r="AB404" s="216"/>
      <c r="AC404" s="216"/>
      <c r="AD404" s="239"/>
      <c r="AE404" s="216"/>
      <c r="AF404" s="216"/>
      <c r="AG404" s="216"/>
      <c r="AH404" s="216"/>
      <c r="AI404" s="216"/>
      <c r="AJ404" s="216"/>
      <c r="AK404" s="239"/>
      <c r="AL404" s="216"/>
      <c r="AM404" s="216"/>
      <c r="AN404" s="216"/>
      <c r="AO404" s="216"/>
      <c r="AP404" s="216"/>
      <c r="AQ404" s="216"/>
      <c r="AR404" s="216"/>
      <c r="AS404" s="216"/>
      <c r="AT404" s="216"/>
      <c r="AU404" s="216"/>
      <c r="AV404" s="217"/>
      <c r="AW404" s="355"/>
      <c r="AX404" s="217"/>
      <c r="AY404" s="1559"/>
      <c r="AZ404" s="249"/>
      <c r="BA404" s="221"/>
      <c r="BB404" s="300"/>
      <c r="BC404" s="217"/>
      <c r="BD404" s="392"/>
      <c r="BE404" s="1244"/>
      <c r="BF404" s="249"/>
      <c r="BG404" s="252"/>
      <c r="BH404" s="1469"/>
      <c r="BI404" s="216"/>
      <c r="BJ404" s="1469"/>
      <c r="BK404" s="1459"/>
      <c r="BL404" s="260"/>
      <c r="BM404" s="214"/>
      <c r="BN404" s="293"/>
      <c r="BO404" s="217"/>
      <c r="BP404" s="355"/>
      <c r="BQ404" s="217"/>
      <c r="BR404" s="1193"/>
      <c r="BS404" s="249"/>
      <c r="BT404" s="216"/>
      <c r="BU404" s="1195"/>
      <c r="BV404" s="249"/>
      <c r="BW404" s="216"/>
      <c r="BX404" s="1195"/>
      <c r="BY404" s="249"/>
      <c r="BZ404" s="216"/>
      <c r="CA404" s="1195"/>
      <c r="CB404" s="249"/>
      <c r="CC404" s="216"/>
      <c r="CD404" s="1195"/>
      <c r="CE404" s="249"/>
      <c r="CF404" s="216"/>
      <c r="CG404" s="1195"/>
      <c r="CH404" s="249"/>
      <c r="CI404" s="216"/>
      <c r="CJ404" s="1195"/>
      <c r="CK404" s="249"/>
      <c r="CL404" s="216"/>
      <c r="CM404" s="1194"/>
      <c r="CN404" s="1524"/>
      <c r="CO404" s="217"/>
      <c r="CP404" s="1193"/>
      <c r="CQ404" s="293"/>
      <c r="CR404" s="217"/>
      <c r="CS404" s="305"/>
      <c r="CT404" s="249"/>
      <c r="CU404" s="216"/>
      <c r="CV404" s="1193"/>
      <c r="CW404" s="249"/>
      <c r="CX404" s="216"/>
      <c r="CY404" s="305"/>
      <c r="CZ404" s="249"/>
      <c r="DA404" s="216"/>
      <c r="DB404" s="307"/>
      <c r="DC404" s="328"/>
      <c r="DD404" s="322"/>
      <c r="DE404" s="305"/>
      <c r="DF404" s="249"/>
      <c r="DG404" s="216"/>
      <c r="DH404" s="305"/>
      <c r="DI404" s="249"/>
      <c r="DJ404" s="216"/>
      <c r="DK404" s="309"/>
      <c r="DL404" s="293"/>
      <c r="DM404" s="326"/>
      <c r="DN404" s="1256"/>
      <c r="DO404" s="214"/>
      <c r="DP404" s="1257"/>
      <c r="DQ404" s="1258"/>
      <c r="DR404" s="305"/>
      <c r="DS404" s="249"/>
      <c r="DT404" s="216"/>
      <c r="DU404" s="305"/>
      <c r="DV404" s="2520"/>
      <c r="DW404" s="2521"/>
      <c r="DX404" s="305"/>
      <c r="DY404" s="249"/>
      <c r="DZ404" s="221"/>
      <c r="EA404" s="388"/>
      <c r="EB404" s="249"/>
      <c r="EC404" s="216"/>
      <c r="ED404" s="1461"/>
      <c r="EE404" s="249"/>
      <c r="EF404" s="216"/>
      <c r="EG404" s="355"/>
      <c r="EH404" s="1425"/>
      <c r="EI404" s="1470"/>
      <c r="EJ404" s="249"/>
      <c r="EK404" s="221"/>
      <c r="EL404" s="313"/>
      <c r="EM404" s="249"/>
      <c r="EN404" s="221"/>
      <c r="EO404" s="313"/>
      <c r="EP404" s="249"/>
      <c r="EQ404" s="216"/>
      <c r="ER404" s="313"/>
      <c r="ES404" s="249"/>
      <c r="ET404" s="216"/>
      <c r="EU404" s="313"/>
      <c r="EV404" s="249"/>
      <c r="EW404" s="216"/>
      <c r="EX404" s="2505"/>
      <c r="EY404" s="249"/>
      <c r="EZ404" s="221"/>
      <c r="FA404" s="313"/>
      <c r="FB404" s="249"/>
      <c r="FC404" s="221"/>
      <c r="FD404" s="313"/>
      <c r="FE404" s="249"/>
      <c r="FF404" s="221"/>
      <c r="FG404" s="313"/>
      <c r="FH404" s="249"/>
      <c r="FI404" s="216"/>
      <c r="FJ404" s="1435"/>
      <c r="FK404" s="216"/>
      <c r="FL404" s="1268"/>
      <c r="FM404" s="1655"/>
      <c r="FN404" s="1268"/>
      <c r="FO404" s="1655"/>
      <c r="FP404" s="1268"/>
      <c r="FQ404" s="1656"/>
      <c r="FR404" s="249"/>
      <c r="FS404" s="216"/>
      <c r="FT404" s="1657"/>
      <c r="FU404" s="1658"/>
      <c r="FV404" s="242"/>
      <c r="FW404" s="343"/>
      <c r="FX404" s="222"/>
      <c r="FY404" s="336"/>
      <c r="FZ404" s="223"/>
      <c r="GA404" s="338"/>
      <c r="GB404" s="204"/>
      <c r="GC404" s="339"/>
      <c r="GD404" s="342"/>
      <c r="GE404" s="199"/>
      <c r="GF404" s="199"/>
      <c r="GG404" s="199"/>
      <c r="GH404" s="199"/>
      <c r="GI404" s="199"/>
      <c r="GJ404" s="199"/>
      <c r="GK404" s="199"/>
      <c r="GO404" s="322"/>
      <c r="GP404" s="1190"/>
      <c r="GQ404" s="1190"/>
      <c r="GS404" s="2879"/>
      <c r="GT404" s="2880"/>
      <c r="GU404" s="2881"/>
    </row>
    <row r="405" spans="1:203" ht="12" customHeight="1">
      <c r="A405" s="1252"/>
      <c r="B405" s="200"/>
      <c r="C405" s="486"/>
      <c r="T405" s="1186"/>
      <c r="U405" s="233"/>
      <c r="W405" s="218"/>
      <c r="X405" s="218"/>
      <c r="Y405" s="216"/>
      <c r="Z405" s="216"/>
      <c r="AA405" s="215"/>
      <c r="AB405" s="216"/>
      <c r="AC405" s="216"/>
      <c r="AD405" s="239"/>
      <c r="AE405" s="216"/>
      <c r="AF405" s="216"/>
      <c r="AG405" s="216"/>
      <c r="AH405" s="216"/>
      <c r="AI405" s="216"/>
      <c r="AJ405" s="216"/>
      <c r="AK405" s="239"/>
      <c r="AL405" s="216"/>
      <c r="AM405" s="216"/>
      <c r="AN405" s="216"/>
      <c r="AO405" s="216"/>
      <c r="AP405" s="216"/>
      <c r="AQ405" s="216"/>
      <c r="AR405" s="216"/>
      <c r="AS405" s="216"/>
      <c r="AT405" s="216"/>
      <c r="AU405" s="216"/>
      <c r="AV405" s="217"/>
      <c r="AW405" s="355"/>
      <c r="AX405" s="217"/>
      <c r="AY405" s="1559"/>
      <c r="AZ405" s="249"/>
      <c r="BA405" s="221"/>
      <c r="BB405" s="300"/>
      <c r="BC405" s="217"/>
      <c r="BD405" s="392"/>
      <c r="BE405" s="1244"/>
      <c r="BF405" s="249"/>
      <c r="BG405" s="252"/>
      <c r="BH405" s="1469"/>
      <c r="BI405" s="216"/>
      <c r="BJ405" s="1469"/>
      <c r="BK405" s="1459"/>
      <c r="BL405" s="260"/>
      <c r="BM405" s="214"/>
      <c r="BN405" s="293"/>
      <c r="BO405" s="217"/>
      <c r="BP405" s="355"/>
      <c r="BQ405" s="217"/>
      <c r="BR405" s="1193"/>
      <c r="BS405" s="249"/>
      <c r="BT405" s="216"/>
      <c r="BU405" s="1195"/>
      <c r="BV405" s="249"/>
      <c r="BW405" s="216"/>
      <c r="BX405" s="1195"/>
      <c r="BY405" s="249"/>
      <c r="BZ405" s="216"/>
      <c r="CA405" s="1195"/>
      <c r="CB405" s="249"/>
      <c r="CC405" s="216"/>
      <c r="CD405" s="1195"/>
      <c r="CE405" s="249"/>
      <c r="CF405" s="216"/>
      <c r="CG405" s="1195"/>
      <c r="CH405" s="249"/>
      <c r="CI405" s="216"/>
      <c r="CJ405" s="1195"/>
      <c r="CK405" s="249"/>
      <c r="CL405" s="216"/>
      <c r="CM405" s="1194"/>
      <c r="CN405" s="1524"/>
      <c r="CO405" s="217"/>
      <c r="CP405" s="1193"/>
      <c r="CQ405" s="293"/>
      <c r="CR405" s="217"/>
      <c r="CS405" s="305"/>
      <c r="CT405" s="249"/>
      <c r="CU405" s="216"/>
      <c r="CV405" s="1193"/>
      <c r="CW405" s="249"/>
      <c r="CX405" s="216"/>
      <c r="CY405" s="305"/>
      <c r="CZ405" s="249"/>
      <c r="DA405" s="216"/>
      <c r="DB405" s="307"/>
      <c r="DC405" s="328"/>
      <c r="DD405" s="322"/>
      <c r="DE405" s="305"/>
      <c r="DF405" s="249"/>
      <c r="DG405" s="216"/>
      <c r="DH405" s="305"/>
      <c r="DI405" s="249"/>
      <c r="DJ405" s="216"/>
      <c r="DK405" s="309"/>
      <c r="DL405" s="293"/>
      <c r="DM405" s="326"/>
      <c r="DN405" s="1256"/>
      <c r="DO405" s="214"/>
      <c r="DP405" s="1257"/>
      <c r="DQ405" s="1258"/>
      <c r="DR405" s="305"/>
      <c r="DS405" s="249"/>
      <c r="DT405" s="216"/>
      <c r="DU405" s="305"/>
      <c r="DV405" s="2520"/>
      <c r="DW405" s="2521"/>
      <c r="DX405" s="305"/>
      <c r="DY405" s="249"/>
      <c r="DZ405" s="221"/>
      <c r="EA405" s="388"/>
      <c r="EB405" s="249"/>
      <c r="EC405" s="216"/>
      <c r="ED405" s="1461"/>
      <c r="EE405" s="249"/>
      <c r="EF405" s="216"/>
      <c r="EG405" s="355"/>
      <c r="EH405" s="1425"/>
      <c r="EI405" s="1470"/>
      <c r="EJ405" s="249"/>
      <c r="EK405" s="221"/>
      <c r="EL405" s="313"/>
      <c r="EM405" s="249"/>
      <c r="EN405" s="221"/>
      <c r="EO405" s="313"/>
      <c r="EP405" s="249"/>
      <c r="EQ405" s="216"/>
      <c r="ER405" s="313"/>
      <c r="ES405" s="249"/>
      <c r="ET405" s="216"/>
      <c r="EU405" s="313"/>
      <c r="EV405" s="249"/>
      <c r="EW405" s="216"/>
      <c r="EX405" s="2505"/>
      <c r="EY405" s="249"/>
      <c r="EZ405" s="221"/>
      <c r="FA405" s="313"/>
      <c r="FB405" s="249"/>
      <c r="FC405" s="221"/>
      <c r="FD405" s="313"/>
      <c r="FE405" s="249"/>
      <c r="FF405" s="221"/>
      <c r="FG405" s="313"/>
      <c r="FH405" s="249"/>
      <c r="FI405" s="216"/>
      <c r="FJ405" s="1435"/>
      <c r="FK405" s="216"/>
      <c r="FL405" s="1268"/>
      <c r="FM405" s="1655"/>
      <c r="FN405" s="1268"/>
      <c r="FO405" s="1655"/>
      <c r="FP405" s="1268"/>
      <c r="FQ405" s="1656"/>
      <c r="FR405" s="249"/>
      <c r="FS405" s="216"/>
      <c r="FT405" s="1657"/>
      <c r="FU405" s="1658"/>
      <c r="FV405" s="242"/>
      <c r="FW405" s="343"/>
      <c r="FX405" s="222"/>
      <c r="FY405" s="336"/>
      <c r="FZ405" s="223"/>
      <c r="GA405" s="338"/>
      <c r="GB405" s="204"/>
      <c r="GC405" s="339"/>
      <c r="GD405" s="342"/>
      <c r="GE405" s="199"/>
      <c r="GF405" s="199"/>
      <c r="GG405" s="199"/>
      <c r="GH405" s="199"/>
      <c r="GI405" s="199"/>
      <c r="GJ405" s="199"/>
      <c r="GK405" s="199"/>
      <c r="GO405" s="322"/>
      <c r="GP405" s="1190"/>
      <c r="GQ405" s="1190"/>
      <c r="GS405" s="2879"/>
      <c r="GT405" s="2880"/>
      <c r="GU405" s="2881"/>
    </row>
    <row r="406" spans="1:203" ht="12" customHeight="1">
      <c r="A406" s="1252"/>
      <c r="B406" s="200"/>
      <c r="C406" s="486"/>
      <c r="T406" s="1186"/>
      <c r="U406" s="233"/>
      <c r="W406" s="218"/>
      <c r="X406" s="218"/>
      <c r="Y406" s="216"/>
      <c r="Z406" s="216"/>
      <c r="AA406" s="215"/>
      <c r="AB406" s="216"/>
      <c r="AC406" s="216"/>
      <c r="AD406" s="239"/>
      <c r="AE406" s="216"/>
      <c r="AF406" s="216"/>
      <c r="AG406" s="216"/>
      <c r="AH406" s="216"/>
      <c r="AI406" s="216"/>
      <c r="AJ406" s="216"/>
      <c r="AK406" s="239"/>
      <c r="AL406" s="216"/>
      <c r="AM406" s="216"/>
      <c r="AN406" s="216"/>
      <c r="AO406" s="216"/>
      <c r="AP406" s="216"/>
      <c r="AQ406" s="216"/>
      <c r="AR406" s="216"/>
      <c r="AS406" s="216"/>
      <c r="AT406" s="216"/>
      <c r="AU406" s="216"/>
      <c r="AV406" s="217"/>
      <c r="AW406" s="355"/>
      <c r="AX406" s="217"/>
      <c r="AY406" s="1559"/>
      <c r="AZ406" s="249"/>
      <c r="BA406" s="221"/>
      <c r="BB406" s="300"/>
      <c r="BC406" s="217"/>
      <c r="BD406" s="392"/>
      <c r="BE406" s="1244"/>
      <c r="BF406" s="249"/>
      <c r="BG406" s="252"/>
      <c r="BH406" s="1469"/>
      <c r="BI406" s="216"/>
      <c r="BJ406" s="1469"/>
      <c r="BK406" s="1459"/>
      <c r="BL406" s="260"/>
      <c r="BM406" s="214"/>
      <c r="BN406" s="293"/>
      <c r="BO406" s="217"/>
      <c r="BP406" s="355"/>
      <c r="BQ406" s="217"/>
      <c r="BR406" s="1193"/>
      <c r="BS406" s="249"/>
      <c r="BT406" s="216"/>
      <c r="BU406" s="1195"/>
      <c r="BV406" s="249"/>
      <c r="BW406" s="216"/>
      <c r="BX406" s="1195"/>
      <c r="BY406" s="249"/>
      <c r="BZ406" s="216"/>
      <c r="CA406" s="1195"/>
      <c r="CB406" s="249"/>
      <c r="CC406" s="216"/>
      <c r="CD406" s="1195"/>
      <c r="CE406" s="249"/>
      <c r="CF406" s="216"/>
      <c r="CG406" s="1195"/>
      <c r="CH406" s="249"/>
      <c r="CI406" s="216"/>
      <c r="CJ406" s="1195"/>
      <c r="CK406" s="249"/>
      <c r="CL406" s="216"/>
      <c r="CM406" s="1194"/>
      <c r="CN406" s="1524"/>
      <c r="CO406" s="217"/>
      <c r="CP406" s="1193"/>
      <c r="CQ406" s="293"/>
      <c r="CR406" s="217"/>
      <c r="CS406" s="305"/>
      <c r="CT406" s="249"/>
      <c r="CU406" s="216"/>
      <c r="CV406" s="1193"/>
      <c r="CW406" s="249"/>
      <c r="CX406" s="216"/>
      <c r="CY406" s="305"/>
      <c r="CZ406" s="249"/>
      <c r="DA406" s="216"/>
      <c r="DB406" s="307"/>
      <c r="DC406" s="328"/>
      <c r="DD406" s="322"/>
      <c r="DE406" s="305"/>
      <c r="DF406" s="249"/>
      <c r="DG406" s="216"/>
      <c r="DH406" s="305"/>
      <c r="DI406" s="249"/>
      <c r="DJ406" s="216"/>
      <c r="DK406" s="309"/>
      <c r="DL406" s="293"/>
      <c r="DM406" s="326"/>
      <c r="DN406" s="1256"/>
      <c r="DO406" s="214"/>
      <c r="DP406" s="1257"/>
      <c r="DQ406" s="1258"/>
      <c r="DR406" s="305"/>
      <c r="DS406" s="249"/>
      <c r="DT406" s="216"/>
      <c r="DU406" s="305"/>
      <c r="DV406" s="2520"/>
      <c r="DW406" s="2521"/>
      <c r="DX406" s="305"/>
      <c r="DY406" s="249"/>
      <c r="DZ406" s="221"/>
      <c r="EA406" s="388"/>
      <c r="EB406" s="249"/>
      <c r="EC406" s="216"/>
      <c r="ED406" s="1461"/>
      <c r="EE406" s="249"/>
      <c r="EF406" s="216"/>
      <c r="EG406" s="355"/>
      <c r="EH406" s="1425"/>
      <c r="EI406" s="1470"/>
      <c r="EJ406" s="249"/>
      <c r="EK406" s="221"/>
      <c r="EL406" s="313"/>
      <c r="EM406" s="249"/>
      <c r="EN406" s="221"/>
      <c r="EO406" s="313"/>
      <c r="EP406" s="249"/>
      <c r="EQ406" s="216"/>
      <c r="ER406" s="313"/>
      <c r="ES406" s="249"/>
      <c r="ET406" s="216"/>
      <c r="EU406" s="313"/>
      <c r="EV406" s="249"/>
      <c r="EW406" s="216"/>
      <c r="EX406" s="2505"/>
      <c r="EY406" s="249"/>
      <c r="EZ406" s="221"/>
      <c r="FA406" s="313"/>
      <c r="FB406" s="249"/>
      <c r="FC406" s="221"/>
      <c r="FD406" s="313"/>
      <c r="FE406" s="249"/>
      <c r="FF406" s="221"/>
      <c r="FG406" s="313"/>
      <c r="FH406" s="249"/>
      <c r="FI406" s="216"/>
      <c r="FJ406" s="1435"/>
      <c r="FK406" s="216"/>
      <c r="FL406" s="1268"/>
      <c r="FM406" s="1655"/>
      <c r="FN406" s="1268"/>
      <c r="FO406" s="1655"/>
      <c r="FP406" s="1268"/>
      <c r="FQ406" s="1656"/>
      <c r="FR406" s="249"/>
      <c r="FS406" s="216"/>
      <c r="FT406" s="1657"/>
      <c r="FU406" s="1658"/>
      <c r="FV406" s="242"/>
      <c r="FW406" s="343"/>
      <c r="FX406" s="222"/>
      <c r="FY406" s="336"/>
      <c r="FZ406" s="223"/>
      <c r="GA406" s="338"/>
      <c r="GB406" s="204"/>
      <c r="GC406" s="339"/>
      <c r="GD406" s="342"/>
      <c r="GE406" s="199"/>
      <c r="GF406" s="199"/>
      <c r="GG406" s="199"/>
      <c r="GH406" s="199"/>
      <c r="GI406" s="199"/>
      <c r="GJ406" s="199"/>
      <c r="GK406" s="199"/>
      <c r="GO406" s="322"/>
      <c r="GP406" s="1190"/>
      <c r="GQ406" s="1190"/>
      <c r="GS406" s="2879"/>
      <c r="GT406" s="2880"/>
      <c r="GU406" s="2881"/>
    </row>
    <row r="407" spans="1:203" ht="12" customHeight="1">
      <c r="A407" s="1252"/>
      <c r="B407" s="200"/>
      <c r="C407" s="486"/>
      <c r="T407" s="1186"/>
      <c r="U407" s="233"/>
      <c r="W407" s="218"/>
      <c r="X407" s="218"/>
      <c r="Y407" s="216"/>
      <c r="Z407" s="216"/>
      <c r="AA407" s="215"/>
      <c r="AB407" s="216"/>
      <c r="AC407" s="216"/>
      <c r="AD407" s="239"/>
      <c r="AE407" s="216"/>
      <c r="AF407" s="216"/>
      <c r="AG407" s="216"/>
      <c r="AH407" s="216"/>
      <c r="AI407" s="216"/>
      <c r="AJ407" s="216"/>
      <c r="AK407" s="239"/>
      <c r="AL407" s="216"/>
      <c r="AM407" s="216"/>
      <c r="AN407" s="216"/>
      <c r="AO407" s="216"/>
      <c r="AP407" s="216"/>
      <c r="AQ407" s="216"/>
      <c r="AR407" s="216"/>
      <c r="AS407" s="216"/>
      <c r="AT407" s="216"/>
      <c r="AU407" s="216"/>
      <c r="AV407" s="217"/>
      <c r="AW407" s="355"/>
      <c r="AX407" s="217"/>
      <c r="AY407" s="1559"/>
      <c r="AZ407" s="249"/>
      <c r="BA407" s="221"/>
      <c r="BB407" s="300"/>
      <c r="BC407" s="217"/>
      <c r="BD407" s="392"/>
      <c r="BE407" s="1244"/>
      <c r="BF407" s="249"/>
      <c r="BG407" s="252"/>
      <c r="BH407" s="1469"/>
      <c r="BI407" s="216"/>
      <c r="BJ407" s="1469"/>
      <c r="BK407" s="1459"/>
      <c r="BL407" s="260"/>
      <c r="BM407" s="214"/>
      <c r="BN407" s="293"/>
      <c r="BO407" s="217"/>
      <c r="BP407" s="355"/>
      <c r="BQ407" s="217"/>
      <c r="BR407" s="1193"/>
      <c r="BS407" s="249"/>
      <c r="BT407" s="216"/>
      <c r="BU407" s="1195"/>
      <c r="BV407" s="249"/>
      <c r="BW407" s="216"/>
      <c r="BX407" s="1195"/>
      <c r="BY407" s="249"/>
      <c r="BZ407" s="216"/>
      <c r="CA407" s="1195"/>
      <c r="CB407" s="249"/>
      <c r="CC407" s="216"/>
      <c r="CD407" s="1195"/>
      <c r="CE407" s="249"/>
      <c r="CF407" s="216"/>
      <c r="CG407" s="1195"/>
      <c r="CH407" s="249"/>
      <c r="CI407" s="216"/>
      <c r="CJ407" s="1195"/>
      <c r="CK407" s="249"/>
      <c r="CL407" s="216"/>
      <c r="CM407" s="1194"/>
      <c r="CN407" s="1524"/>
      <c r="CO407" s="217"/>
      <c r="CP407" s="1193"/>
      <c r="CQ407" s="293"/>
      <c r="CR407" s="217"/>
      <c r="CS407" s="305"/>
      <c r="CT407" s="249"/>
      <c r="CU407" s="216"/>
      <c r="CV407" s="1193"/>
      <c r="CW407" s="249"/>
      <c r="CX407" s="216"/>
      <c r="CY407" s="305"/>
      <c r="CZ407" s="249"/>
      <c r="DA407" s="216"/>
      <c r="DB407" s="307"/>
      <c r="DC407" s="328"/>
      <c r="DD407" s="322"/>
      <c r="DE407" s="305"/>
      <c r="DF407" s="249"/>
      <c r="DG407" s="216"/>
      <c r="DH407" s="305"/>
      <c r="DI407" s="249"/>
      <c r="DJ407" s="216"/>
      <c r="DK407" s="309"/>
      <c r="DL407" s="293"/>
      <c r="DM407" s="326"/>
      <c r="DN407" s="1256"/>
      <c r="DO407" s="214"/>
      <c r="DP407" s="1257"/>
      <c r="DQ407" s="1258"/>
      <c r="DR407" s="305"/>
      <c r="DS407" s="249"/>
      <c r="DT407" s="216"/>
      <c r="DU407" s="305"/>
      <c r="DV407" s="2520"/>
      <c r="DW407" s="2521"/>
      <c r="DX407" s="305"/>
      <c r="DY407" s="249"/>
      <c r="DZ407" s="221"/>
      <c r="EA407" s="388"/>
      <c r="EB407" s="249"/>
      <c r="EC407" s="216"/>
      <c r="ED407" s="1461"/>
      <c r="EE407" s="249"/>
      <c r="EF407" s="216"/>
      <c r="EG407" s="355"/>
      <c r="EH407" s="1425"/>
      <c r="EI407" s="1470"/>
      <c r="EJ407" s="249"/>
      <c r="EK407" s="221"/>
      <c r="EL407" s="313"/>
      <c r="EM407" s="249"/>
      <c r="EN407" s="221"/>
      <c r="EO407" s="313"/>
      <c r="EP407" s="249"/>
      <c r="EQ407" s="216"/>
      <c r="ER407" s="313"/>
      <c r="ES407" s="249"/>
      <c r="ET407" s="216"/>
      <c r="EU407" s="313"/>
      <c r="EV407" s="249"/>
      <c r="EW407" s="216"/>
      <c r="EX407" s="2505"/>
      <c r="EY407" s="249"/>
      <c r="EZ407" s="221"/>
      <c r="FA407" s="313"/>
      <c r="FB407" s="249"/>
      <c r="FC407" s="221"/>
      <c r="FD407" s="313"/>
      <c r="FE407" s="249"/>
      <c r="FF407" s="221"/>
      <c r="FG407" s="313"/>
      <c r="FH407" s="249"/>
      <c r="FI407" s="216"/>
      <c r="FJ407" s="1435"/>
      <c r="FK407" s="216"/>
      <c r="FL407" s="1268"/>
      <c r="FM407" s="1655"/>
      <c r="FN407" s="1268"/>
      <c r="FO407" s="1655"/>
      <c r="FP407" s="1268"/>
      <c r="FQ407" s="1656"/>
      <c r="FR407" s="249"/>
      <c r="FS407" s="216"/>
      <c r="FT407" s="1657"/>
      <c r="FU407" s="1658"/>
      <c r="FV407" s="242"/>
      <c r="FW407" s="343"/>
      <c r="FX407" s="222"/>
      <c r="FY407" s="336"/>
      <c r="FZ407" s="223"/>
      <c r="GA407" s="338"/>
      <c r="GB407" s="204"/>
      <c r="GC407" s="339"/>
      <c r="GD407" s="342"/>
      <c r="GE407" s="199"/>
      <c r="GF407" s="199"/>
      <c r="GG407" s="199"/>
      <c r="GH407" s="199"/>
      <c r="GI407" s="199"/>
      <c r="GJ407" s="199"/>
      <c r="GK407" s="199"/>
      <c r="GO407" s="322"/>
      <c r="GP407" s="1190"/>
      <c r="GQ407" s="1190"/>
      <c r="GS407" s="2879"/>
      <c r="GT407" s="2880"/>
      <c r="GU407" s="2881"/>
    </row>
    <row r="408" spans="1:203" ht="12" customHeight="1">
      <c r="A408" s="1252"/>
      <c r="B408" s="200"/>
      <c r="C408" s="486"/>
      <c r="T408" s="1186"/>
      <c r="U408" s="233"/>
      <c r="W408" s="218"/>
      <c r="X408" s="218"/>
      <c r="Y408" s="216"/>
      <c r="Z408" s="216"/>
      <c r="AA408" s="215"/>
      <c r="AB408" s="216"/>
      <c r="AC408" s="216"/>
      <c r="AD408" s="239"/>
      <c r="AE408" s="216"/>
      <c r="AF408" s="216"/>
      <c r="AG408" s="216"/>
      <c r="AH408" s="216"/>
      <c r="AI408" s="216"/>
      <c r="AJ408" s="216"/>
      <c r="AK408" s="239"/>
      <c r="AL408" s="216"/>
      <c r="AM408" s="216"/>
      <c r="AN408" s="216"/>
      <c r="AO408" s="216"/>
      <c r="AP408" s="216"/>
      <c r="AQ408" s="216"/>
      <c r="AR408" s="216"/>
      <c r="AS408" s="216"/>
      <c r="AT408" s="216"/>
      <c r="AU408" s="216"/>
      <c r="AV408" s="217"/>
      <c r="AW408" s="355"/>
      <c r="AX408" s="217"/>
      <c r="AY408" s="1559"/>
      <c r="AZ408" s="249"/>
      <c r="BA408" s="221"/>
      <c r="BB408" s="300"/>
      <c r="BC408" s="217"/>
      <c r="BD408" s="392"/>
      <c r="BE408" s="1244"/>
      <c r="BF408" s="249"/>
      <c r="BG408" s="252"/>
      <c r="BH408" s="1469"/>
      <c r="BI408" s="216"/>
      <c r="BJ408" s="1469"/>
      <c r="BK408" s="1459"/>
      <c r="BL408" s="260"/>
      <c r="BM408" s="214"/>
      <c r="BN408" s="293"/>
      <c r="BO408" s="217"/>
      <c r="BP408" s="355"/>
      <c r="BQ408" s="217"/>
      <c r="BR408" s="1193"/>
      <c r="BS408" s="249"/>
      <c r="BT408" s="216"/>
      <c r="BU408" s="1195"/>
      <c r="BV408" s="249"/>
      <c r="BW408" s="216"/>
      <c r="BX408" s="1195"/>
      <c r="BY408" s="249"/>
      <c r="BZ408" s="216"/>
      <c r="CA408" s="1195"/>
      <c r="CB408" s="249"/>
      <c r="CC408" s="216"/>
      <c r="CD408" s="1195"/>
      <c r="CE408" s="249"/>
      <c r="CF408" s="216"/>
      <c r="CG408" s="1195"/>
      <c r="CH408" s="249"/>
      <c r="CI408" s="216"/>
      <c r="CJ408" s="1195"/>
      <c r="CK408" s="249"/>
      <c r="CL408" s="216"/>
      <c r="CM408" s="1194"/>
      <c r="CN408" s="1524"/>
      <c r="CO408" s="217"/>
      <c r="CP408" s="1193"/>
      <c r="CQ408" s="293"/>
      <c r="CR408" s="217"/>
      <c r="CS408" s="305"/>
      <c r="CT408" s="249"/>
      <c r="CU408" s="216"/>
      <c r="CV408" s="1193"/>
      <c r="CW408" s="249"/>
      <c r="CX408" s="216"/>
      <c r="CY408" s="305"/>
      <c r="CZ408" s="249"/>
      <c r="DA408" s="216"/>
      <c r="DB408" s="307"/>
      <c r="DC408" s="328"/>
      <c r="DD408" s="322"/>
      <c r="DE408" s="305"/>
      <c r="DF408" s="249"/>
      <c r="DG408" s="216"/>
      <c r="DH408" s="305"/>
      <c r="DI408" s="249"/>
      <c r="DJ408" s="216"/>
      <c r="DK408" s="309"/>
      <c r="DL408" s="293"/>
      <c r="DM408" s="326"/>
      <c r="DN408" s="1256"/>
      <c r="DO408" s="214"/>
      <c r="DP408" s="1257"/>
      <c r="DQ408" s="1258"/>
      <c r="DR408" s="305"/>
      <c r="DS408" s="249"/>
      <c r="DT408" s="216"/>
      <c r="DU408" s="305"/>
      <c r="DV408" s="2520"/>
      <c r="DW408" s="2521"/>
      <c r="DX408" s="305"/>
      <c r="DY408" s="249"/>
      <c r="DZ408" s="221"/>
      <c r="EA408" s="388"/>
      <c r="EB408" s="249"/>
      <c r="EC408" s="216"/>
      <c r="ED408" s="1461"/>
      <c r="EE408" s="249"/>
      <c r="EF408" s="216"/>
      <c r="EG408" s="355"/>
      <c r="EH408" s="1425"/>
      <c r="EI408" s="1470"/>
      <c r="EJ408" s="249"/>
      <c r="EK408" s="221"/>
      <c r="EL408" s="313"/>
      <c r="EM408" s="249"/>
      <c r="EN408" s="221"/>
      <c r="EO408" s="313"/>
      <c r="EP408" s="249"/>
      <c r="EQ408" s="216"/>
      <c r="ER408" s="313"/>
      <c r="ES408" s="249"/>
      <c r="ET408" s="216"/>
      <c r="EU408" s="313"/>
      <c r="EV408" s="249"/>
      <c r="EW408" s="216"/>
      <c r="EX408" s="2505"/>
      <c r="EY408" s="249"/>
      <c r="EZ408" s="221"/>
      <c r="FA408" s="313"/>
      <c r="FB408" s="249"/>
      <c r="FC408" s="221"/>
      <c r="FD408" s="313"/>
      <c r="FE408" s="249"/>
      <c r="FF408" s="221"/>
      <c r="FG408" s="313"/>
      <c r="FH408" s="249"/>
      <c r="FI408" s="216"/>
      <c r="FJ408" s="1435"/>
      <c r="FK408" s="216"/>
      <c r="FL408" s="1268"/>
      <c r="FM408" s="1655"/>
      <c r="FN408" s="1268"/>
      <c r="FO408" s="1655"/>
      <c r="FP408" s="1268"/>
      <c r="FQ408" s="1656"/>
      <c r="FR408" s="249"/>
      <c r="FS408" s="216"/>
      <c r="FT408" s="1657"/>
      <c r="FU408" s="1658"/>
      <c r="FV408" s="242"/>
      <c r="FW408" s="343"/>
      <c r="FX408" s="222"/>
      <c r="FY408" s="336"/>
      <c r="FZ408" s="223"/>
      <c r="GA408" s="338"/>
      <c r="GB408" s="204"/>
      <c r="GC408" s="339"/>
      <c r="GD408" s="342"/>
      <c r="GE408" s="199"/>
      <c r="GF408" s="199"/>
      <c r="GG408" s="199"/>
      <c r="GH408" s="199"/>
      <c r="GI408" s="199"/>
      <c r="GJ408" s="199"/>
      <c r="GK408" s="199"/>
      <c r="GO408" s="322"/>
      <c r="GP408" s="1190"/>
      <c r="GQ408" s="1190"/>
      <c r="GS408" s="2879"/>
      <c r="GT408" s="2880"/>
      <c r="GU408" s="2881"/>
    </row>
    <row r="409" spans="1:203" ht="12" customHeight="1">
      <c r="A409" s="1252"/>
      <c r="B409" s="200"/>
      <c r="C409" s="486"/>
      <c r="T409" s="1186"/>
      <c r="U409" s="233"/>
      <c r="W409" s="218"/>
      <c r="X409" s="218"/>
      <c r="Y409" s="216"/>
      <c r="Z409" s="216"/>
      <c r="AA409" s="215"/>
      <c r="AB409" s="216"/>
      <c r="AC409" s="216"/>
      <c r="AD409" s="239"/>
      <c r="AE409" s="216"/>
      <c r="AF409" s="216"/>
      <c r="AG409" s="216"/>
      <c r="AH409" s="216"/>
      <c r="AI409" s="216"/>
      <c r="AJ409" s="216"/>
      <c r="AK409" s="239"/>
      <c r="AL409" s="216"/>
      <c r="AM409" s="216"/>
      <c r="AN409" s="216"/>
      <c r="AO409" s="216"/>
      <c r="AP409" s="216"/>
      <c r="AQ409" s="216"/>
      <c r="AR409" s="216"/>
      <c r="AS409" s="216"/>
      <c r="AT409" s="216"/>
      <c r="AU409" s="216"/>
      <c r="AV409" s="217"/>
      <c r="AW409" s="355"/>
      <c r="AX409" s="217"/>
      <c r="AY409" s="1559"/>
      <c r="AZ409" s="249"/>
      <c r="BA409" s="221"/>
      <c r="BB409" s="300"/>
      <c r="BC409" s="217"/>
      <c r="BD409" s="392"/>
      <c r="BE409" s="1244"/>
      <c r="BF409" s="249"/>
      <c r="BG409" s="252"/>
      <c r="BH409" s="1469"/>
      <c r="BI409" s="216"/>
      <c r="BJ409" s="1469"/>
      <c r="BK409" s="1459"/>
      <c r="BL409" s="260"/>
      <c r="BM409" s="214"/>
      <c r="BN409" s="293"/>
      <c r="BO409" s="217"/>
      <c r="BP409" s="355"/>
      <c r="BQ409" s="217"/>
      <c r="BR409" s="1193"/>
      <c r="BS409" s="249"/>
      <c r="BT409" s="216"/>
      <c r="BU409" s="1195"/>
      <c r="BV409" s="249"/>
      <c r="BW409" s="216"/>
      <c r="BX409" s="1195"/>
      <c r="BY409" s="249"/>
      <c r="BZ409" s="216"/>
      <c r="CA409" s="1195"/>
      <c r="CB409" s="249"/>
      <c r="CC409" s="216"/>
      <c r="CD409" s="1195"/>
      <c r="CE409" s="249"/>
      <c r="CF409" s="216"/>
      <c r="CG409" s="1195"/>
      <c r="CH409" s="249"/>
      <c r="CI409" s="216"/>
      <c r="CJ409" s="1195"/>
      <c r="CK409" s="249"/>
      <c r="CL409" s="216"/>
      <c r="CM409" s="1194"/>
      <c r="CN409" s="1524"/>
      <c r="CO409" s="217"/>
      <c r="CP409" s="1193"/>
      <c r="CQ409" s="293"/>
      <c r="CR409" s="217"/>
      <c r="CS409" s="305"/>
      <c r="CT409" s="249"/>
      <c r="CU409" s="216"/>
      <c r="CV409" s="1193"/>
      <c r="CW409" s="249"/>
      <c r="CX409" s="216"/>
      <c r="CY409" s="305"/>
      <c r="CZ409" s="249"/>
      <c r="DA409" s="216"/>
      <c r="DB409" s="307"/>
      <c r="DC409" s="328"/>
      <c r="DD409" s="322"/>
      <c r="DE409" s="305"/>
      <c r="DF409" s="249"/>
      <c r="DG409" s="216"/>
      <c r="DH409" s="305"/>
      <c r="DI409" s="249"/>
      <c r="DJ409" s="216"/>
      <c r="DK409" s="309"/>
      <c r="DL409" s="293"/>
      <c r="DM409" s="326"/>
      <c r="DN409" s="1256"/>
      <c r="DO409" s="214"/>
      <c r="DP409" s="1257"/>
      <c r="DQ409" s="1258"/>
      <c r="DR409" s="305"/>
      <c r="DS409" s="249"/>
      <c r="DT409" s="216"/>
      <c r="DU409" s="305"/>
      <c r="DV409" s="2520"/>
      <c r="DW409" s="2521"/>
      <c r="DX409" s="305"/>
      <c r="DY409" s="249"/>
      <c r="DZ409" s="221"/>
      <c r="EA409" s="388"/>
      <c r="EB409" s="249"/>
      <c r="EC409" s="216"/>
      <c r="ED409" s="1461"/>
      <c r="EE409" s="249"/>
      <c r="EF409" s="216"/>
      <c r="EG409" s="355"/>
      <c r="EH409" s="1425"/>
      <c r="EI409" s="1470"/>
      <c r="EJ409" s="249"/>
      <c r="EK409" s="221"/>
      <c r="EL409" s="313"/>
      <c r="EM409" s="249"/>
      <c r="EN409" s="221"/>
      <c r="EO409" s="313"/>
      <c r="EP409" s="249"/>
      <c r="EQ409" s="216"/>
      <c r="ER409" s="313"/>
      <c r="ES409" s="249"/>
      <c r="ET409" s="216"/>
      <c r="EU409" s="313"/>
      <c r="EV409" s="249"/>
      <c r="EW409" s="216"/>
      <c r="EX409" s="2505"/>
      <c r="EY409" s="249"/>
      <c r="EZ409" s="221"/>
      <c r="FA409" s="313"/>
      <c r="FB409" s="249"/>
      <c r="FC409" s="221"/>
      <c r="FD409" s="313"/>
      <c r="FE409" s="249"/>
      <c r="FF409" s="221"/>
      <c r="FG409" s="313"/>
      <c r="FH409" s="249"/>
      <c r="FI409" s="216"/>
      <c r="FJ409" s="1435"/>
      <c r="FK409" s="216"/>
      <c r="FL409" s="1268"/>
      <c r="FM409" s="1655"/>
      <c r="FN409" s="1268"/>
      <c r="FO409" s="1655"/>
      <c r="FP409" s="1268"/>
      <c r="FQ409" s="1656"/>
      <c r="FR409" s="249"/>
      <c r="FS409" s="216"/>
      <c r="FT409" s="1657"/>
      <c r="FU409" s="1658"/>
      <c r="FV409" s="242"/>
      <c r="FW409" s="343"/>
      <c r="FX409" s="222"/>
      <c r="FY409" s="336"/>
      <c r="FZ409" s="223"/>
      <c r="GA409" s="338"/>
      <c r="GB409" s="204"/>
      <c r="GC409" s="339"/>
      <c r="GD409" s="342"/>
      <c r="GE409" s="199"/>
      <c r="GF409" s="199"/>
      <c r="GG409" s="199"/>
      <c r="GH409" s="199"/>
      <c r="GI409" s="199"/>
      <c r="GJ409" s="199"/>
      <c r="GK409" s="199"/>
      <c r="GO409" s="322"/>
      <c r="GP409" s="1190"/>
      <c r="GQ409" s="1190"/>
      <c r="GS409" s="2879"/>
      <c r="GT409" s="2880"/>
      <c r="GU409" s="2881"/>
    </row>
    <row r="410" spans="1:203" ht="12" customHeight="1">
      <c r="A410" s="1252"/>
      <c r="B410" s="200"/>
      <c r="C410" s="486"/>
      <c r="T410" s="1186"/>
      <c r="U410" s="233"/>
      <c r="W410" s="218"/>
      <c r="X410" s="218"/>
      <c r="Y410" s="216"/>
      <c r="Z410" s="216"/>
      <c r="AA410" s="215"/>
      <c r="AB410" s="216"/>
      <c r="AC410" s="216"/>
      <c r="AD410" s="239"/>
      <c r="AE410" s="216"/>
      <c r="AF410" s="216"/>
      <c r="AG410" s="216"/>
      <c r="AH410" s="216"/>
      <c r="AI410" s="216"/>
      <c r="AJ410" s="216"/>
      <c r="AK410" s="239"/>
      <c r="AL410" s="216"/>
      <c r="AM410" s="216"/>
      <c r="AN410" s="216"/>
      <c r="AO410" s="216"/>
      <c r="AP410" s="216"/>
      <c r="AQ410" s="216"/>
      <c r="AR410" s="216"/>
      <c r="AS410" s="216"/>
      <c r="AT410" s="216"/>
      <c r="AU410" s="216"/>
      <c r="AV410" s="217"/>
      <c r="AW410" s="355"/>
      <c r="AX410" s="217"/>
      <c r="AY410" s="1559"/>
      <c r="AZ410" s="249"/>
      <c r="BA410" s="221"/>
      <c r="BB410" s="300"/>
      <c r="BC410" s="217"/>
      <c r="BD410" s="392"/>
      <c r="BE410" s="1244"/>
      <c r="BF410" s="249"/>
      <c r="BG410" s="252"/>
      <c r="BH410" s="1469"/>
      <c r="BI410" s="216"/>
      <c r="BJ410" s="1469"/>
      <c r="BK410" s="1459"/>
      <c r="BL410" s="260"/>
      <c r="BM410" s="214"/>
      <c r="BN410" s="293"/>
      <c r="BO410" s="217"/>
      <c r="BP410" s="355"/>
      <c r="BQ410" s="217"/>
      <c r="BR410" s="1193"/>
      <c r="BS410" s="249"/>
      <c r="BT410" s="216"/>
      <c r="BU410" s="1195"/>
      <c r="BV410" s="249"/>
      <c r="BW410" s="216"/>
      <c r="BX410" s="1195"/>
      <c r="BY410" s="249"/>
      <c r="BZ410" s="216"/>
      <c r="CA410" s="1195"/>
      <c r="CB410" s="249"/>
      <c r="CC410" s="216"/>
      <c r="CD410" s="1195"/>
      <c r="CE410" s="249"/>
      <c r="CF410" s="216"/>
      <c r="CG410" s="1195"/>
      <c r="CH410" s="249"/>
      <c r="CI410" s="216"/>
      <c r="CJ410" s="1195"/>
      <c r="CK410" s="249"/>
      <c r="CL410" s="216"/>
      <c r="CM410" s="1194"/>
      <c r="CN410" s="1524"/>
      <c r="CO410" s="217"/>
      <c r="CP410" s="1193"/>
      <c r="CQ410" s="293"/>
      <c r="CR410" s="217"/>
      <c r="CS410" s="305"/>
      <c r="CT410" s="249"/>
      <c r="CU410" s="216"/>
      <c r="CV410" s="1193"/>
      <c r="CW410" s="249"/>
      <c r="CX410" s="216"/>
      <c r="CY410" s="305"/>
      <c r="CZ410" s="249"/>
      <c r="DA410" s="216"/>
      <c r="DB410" s="307"/>
      <c r="DC410" s="328"/>
      <c r="DD410" s="322"/>
      <c r="DE410" s="305"/>
      <c r="DF410" s="249"/>
      <c r="DG410" s="216"/>
      <c r="DH410" s="305"/>
      <c r="DI410" s="249"/>
      <c r="DJ410" s="216"/>
      <c r="DK410" s="309"/>
      <c r="DL410" s="293"/>
      <c r="DM410" s="326"/>
      <c r="DN410" s="1256"/>
      <c r="DO410" s="214"/>
      <c r="DP410" s="1257"/>
      <c r="DQ410" s="1258"/>
      <c r="DR410" s="305"/>
      <c r="DS410" s="249"/>
      <c r="DT410" s="216"/>
      <c r="DU410" s="305"/>
      <c r="DV410" s="2520"/>
      <c r="DW410" s="2521"/>
      <c r="DX410" s="305"/>
      <c r="DY410" s="249"/>
      <c r="DZ410" s="221"/>
      <c r="EA410" s="388"/>
      <c r="EB410" s="249"/>
      <c r="EC410" s="216"/>
      <c r="ED410" s="1461"/>
      <c r="EE410" s="249"/>
      <c r="EF410" s="216"/>
      <c r="EG410" s="355"/>
      <c r="EH410" s="1425"/>
      <c r="EI410" s="1470"/>
      <c r="EJ410" s="249"/>
      <c r="EK410" s="221"/>
      <c r="EL410" s="313"/>
      <c r="EM410" s="249"/>
      <c r="EN410" s="221"/>
      <c r="EO410" s="313"/>
      <c r="EP410" s="249"/>
      <c r="EQ410" s="216"/>
      <c r="ER410" s="313"/>
      <c r="ES410" s="249"/>
      <c r="ET410" s="216"/>
      <c r="EU410" s="313"/>
      <c r="EV410" s="249"/>
      <c r="EW410" s="216"/>
      <c r="EX410" s="2505"/>
      <c r="EY410" s="249"/>
      <c r="EZ410" s="221"/>
      <c r="FA410" s="313"/>
      <c r="FB410" s="249"/>
      <c r="FC410" s="221"/>
      <c r="FD410" s="313"/>
      <c r="FE410" s="249"/>
      <c r="FF410" s="221"/>
      <c r="FG410" s="313"/>
      <c r="FH410" s="249"/>
      <c r="FI410" s="216"/>
      <c r="FJ410" s="1435"/>
      <c r="FK410" s="216"/>
      <c r="FL410" s="1268"/>
      <c r="FM410" s="1655"/>
      <c r="FN410" s="1268"/>
      <c r="FO410" s="1655"/>
      <c r="FP410" s="1268"/>
      <c r="FQ410" s="1656"/>
      <c r="FR410" s="249"/>
      <c r="FS410" s="216"/>
      <c r="FT410" s="1657"/>
      <c r="FU410" s="1658"/>
      <c r="FV410" s="242"/>
      <c r="FW410" s="343"/>
      <c r="FX410" s="222"/>
      <c r="FY410" s="336"/>
      <c r="FZ410" s="223"/>
      <c r="GA410" s="338"/>
      <c r="GB410" s="204"/>
      <c r="GC410" s="339"/>
      <c r="GD410" s="342"/>
      <c r="GE410" s="199"/>
      <c r="GF410" s="199"/>
      <c r="GG410" s="199"/>
      <c r="GH410" s="199"/>
      <c r="GI410" s="199"/>
      <c r="GJ410" s="199"/>
      <c r="GK410" s="199"/>
      <c r="GO410" s="322"/>
      <c r="GP410" s="1190"/>
      <c r="GQ410" s="1190"/>
      <c r="GS410" s="2879"/>
      <c r="GT410" s="2880"/>
      <c r="GU410" s="2881"/>
    </row>
    <row r="411" spans="1:203" ht="12" customHeight="1">
      <c r="A411" s="1252"/>
      <c r="B411" s="200"/>
      <c r="C411" s="486"/>
      <c r="T411" s="1186"/>
      <c r="U411" s="233"/>
      <c r="W411" s="218"/>
      <c r="X411" s="218"/>
      <c r="Y411" s="216"/>
      <c r="Z411" s="216"/>
      <c r="AA411" s="215"/>
      <c r="AB411" s="216"/>
      <c r="AC411" s="216"/>
      <c r="AD411" s="239"/>
      <c r="AE411" s="216"/>
      <c r="AF411" s="216"/>
      <c r="AG411" s="216"/>
      <c r="AH411" s="216"/>
      <c r="AI411" s="216"/>
      <c r="AJ411" s="216"/>
      <c r="AK411" s="239"/>
      <c r="AL411" s="216"/>
      <c r="AM411" s="216"/>
      <c r="AN411" s="216"/>
      <c r="AO411" s="216"/>
      <c r="AP411" s="216"/>
      <c r="AQ411" s="216"/>
      <c r="AR411" s="216"/>
      <c r="AS411" s="216"/>
      <c r="AT411" s="216"/>
      <c r="AU411" s="216"/>
      <c r="AV411" s="217"/>
      <c r="AW411" s="355"/>
      <c r="AX411" s="217"/>
      <c r="AY411" s="1559"/>
      <c r="AZ411" s="249"/>
      <c r="BA411" s="221"/>
      <c r="BB411" s="300"/>
      <c r="BC411" s="217"/>
      <c r="BD411" s="392"/>
      <c r="BE411" s="1244"/>
      <c r="BF411" s="249"/>
      <c r="BG411" s="252"/>
      <c r="BH411" s="1469"/>
      <c r="BI411" s="216"/>
      <c r="BJ411" s="1469"/>
      <c r="BK411" s="1459"/>
      <c r="BL411" s="260"/>
      <c r="BM411" s="214"/>
      <c r="BN411" s="293"/>
      <c r="BO411" s="217"/>
      <c r="BP411" s="355"/>
      <c r="BQ411" s="217"/>
      <c r="BR411" s="1193"/>
      <c r="BS411" s="249"/>
      <c r="BT411" s="216"/>
      <c r="BU411" s="1195"/>
      <c r="BV411" s="249"/>
      <c r="BW411" s="216"/>
      <c r="BX411" s="1195"/>
      <c r="BY411" s="249"/>
      <c r="BZ411" s="216"/>
      <c r="CA411" s="1195"/>
      <c r="CB411" s="249"/>
      <c r="CC411" s="216"/>
      <c r="CD411" s="1195"/>
      <c r="CE411" s="249"/>
      <c r="CF411" s="216"/>
      <c r="CG411" s="1195"/>
      <c r="CH411" s="249"/>
      <c r="CI411" s="216"/>
      <c r="CJ411" s="1195"/>
      <c r="CK411" s="249"/>
      <c r="CL411" s="216"/>
      <c r="CM411" s="1194"/>
      <c r="CN411" s="1524"/>
      <c r="CO411" s="217"/>
      <c r="CP411" s="1193"/>
      <c r="CQ411" s="293"/>
      <c r="CR411" s="217"/>
      <c r="CS411" s="305"/>
      <c r="CT411" s="249"/>
      <c r="CU411" s="216"/>
      <c r="CV411" s="1193"/>
      <c r="CW411" s="249"/>
      <c r="CX411" s="216"/>
      <c r="CY411" s="305"/>
      <c r="CZ411" s="249"/>
      <c r="DA411" s="216"/>
      <c r="DB411" s="307"/>
      <c r="DC411" s="328"/>
      <c r="DD411" s="322"/>
      <c r="DE411" s="305"/>
      <c r="DF411" s="249"/>
      <c r="DG411" s="216"/>
      <c r="DH411" s="305"/>
      <c r="DI411" s="249"/>
      <c r="DJ411" s="216"/>
      <c r="DK411" s="309"/>
      <c r="DL411" s="293"/>
      <c r="DM411" s="326"/>
      <c r="DN411" s="1256"/>
      <c r="DO411" s="214"/>
      <c r="DP411" s="1257"/>
      <c r="DQ411" s="1258"/>
      <c r="DR411" s="305"/>
      <c r="DS411" s="249"/>
      <c r="DT411" s="216"/>
      <c r="DU411" s="305"/>
      <c r="DV411" s="2520"/>
      <c r="DW411" s="2521"/>
      <c r="DX411" s="305"/>
      <c r="DY411" s="249"/>
      <c r="DZ411" s="221"/>
      <c r="EA411" s="388"/>
      <c r="EB411" s="249"/>
      <c r="EC411" s="216"/>
      <c r="ED411" s="1461"/>
      <c r="EE411" s="249"/>
      <c r="EF411" s="216"/>
      <c r="EG411" s="355"/>
      <c r="EH411" s="1425"/>
      <c r="EI411" s="1470"/>
      <c r="EJ411" s="249"/>
      <c r="EK411" s="221"/>
      <c r="EL411" s="313"/>
      <c r="EM411" s="249"/>
      <c r="EN411" s="221"/>
      <c r="EO411" s="313"/>
      <c r="EP411" s="249"/>
      <c r="EQ411" s="216"/>
      <c r="ER411" s="313"/>
      <c r="ES411" s="249"/>
      <c r="ET411" s="216"/>
      <c r="EU411" s="313"/>
      <c r="EV411" s="249"/>
      <c r="EW411" s="216"/>
      <c r="EX411" s="2505"/>
      <c r="EY411" s="249"/>
      <c r="EZ411" s="221"/>
      <c r="FA411" s="313"/>
      <c r="FB411" s="249"/>
      <c r="FC411" s="221"/>
      <c r="FD411" s="313"/>
      <c r="FE411" s="249"/>
      <c r="FF411" s="221"/>
      <c r="FG411" s="313"/>
      <c r="FH411" s="249"/>
      <c r="FI411" s="216"/>
      <c r="FJ411" s="1435"/>
      <c r="FK411" s="216"/>
      <c r="FL411" s="1268"/>
      <c r="FM411" s="1655"/>
      <c r="FN411" s="1268"/>
      <c r="FO411" s="1655"/>
      <c r="FP411" s="1268"/>
      <c r="FQ411" s="1656"/>
      <c r="FR411" s="249"/>
      <c r="FS411" s="216"/>
      <c r="FT411" s="1657"/>
      <c r="FU411" s="1658"/>
      <c r="FV411" s="242"/>
      <c r="FW411" s="343"/>
      <c r="FX411" s="222"/>
      <c r="FY411" s="336"/>
      <c r="FZ411" s="223"/>
      <c r="GA411" s="338"/>
      <c r="GB411" s="204"/>
      <c r="GC411" s="339"/>
      <c r="GD411" s="342"/>
      <c r="GE411" s="199"/>
      <c r="GF411" s="199"/>
      <c r="GG411" s="199"/>
      <c r="GH411" s="199"/>
      <c r="GI411" s="199"/>
      <c r="GJ411" s="199"/>
      <c r="GK411" s="199"/>
      <c r="GO411" s="322"/>
      <c r="GP411" s="1190"/>
      <c r="GQ411" s="1190"/>
      <c r="GS411" s="2879"/>
      <c r="GT411" s="2880"/>
      <c r="GU411" s="2881"/>
    </row>
    <row r="412" spans="1:203" ht="12" customHeight="1">
      <c r="A412" s="1252"/>
      <c r="B412" s="200"/>
      <c r="C412" s="486"/>
      <c r="T412" s="1186"/>
      <c r="U412" s="233"/>
      <c r="W412" s="218"/>
      <c r="X412" s="218"/>
      <c r="Y412" s="216"/>
      <c r="Z412" s="216"/>
      <c r="AA412" s="215"/>
      <c r="AB412" s="216"/>
      <c r="AC412" s="216"/>
      <c r="AD412" s="239"/>
      <c r="AE412" s="216"/>
      <c r="AF412" s="216"/>
      <c r="AG412" s="216"/>
      <c r="AH412" s="216"/>
      <c r="AI412" s="216"/>
      <c r="AJ412" s="216"/>
      <c r="AK412" s="239"/>
      <c r="AL412" s="216"/>
      <c r="AM412" s="216"/>
      <c r="AN412" s="216"/>
      <c r="AO412" s="216"/>
      <c r="AP412" s="216"/>
      <c r="AQ412" s="216"/>
      <c r="AR412" s="216"/>
      <c r="AS412" s="216"/>
      <c r="AT412" s="216"/>
      <c r="AU412" s="216"/>
      <c r="AV412" s="217"/>
      <c r="AW412" s="355"/>
      <c r="AX412" s="217"/>
      <c r="AY412" s="1559"/>
      <c r="AZ412" s="249"/>
      <c r="BA412" s="221"/>
      <c r="BB412" s="300"/>
      <c r="BC412" s="217"/>
      <c r="BD412" s="392"/>
      <c r="BE412" s="1244"/>
      <c r="BF412" s="249"/>
      <c r="BG412" s="252"/>
      <c r="BH412" s="1469"/>
      <c r="BI412" s="216"/>
      <c r="BJ412" s="1469"/>
      <c r="BK412" s="1459"/>
      <c r="BL412" s="260"/>
      <c r="BM412" s="214"/>
      <c r="BN412" s="293"/>
      <c r="BO412" s="217"/>
      <c r="BP412" s="355"/>
      <c r="BQ412" s="217"/>
      <c r="BR412" s="1193"/>
      <c r="BS412" s="249"/>
      <c r="BT412" s="216"/>
      <c r="BU412" s="1195"/>
      <c r="BV412" s="249"/>
      <c r="BW412" s="216"/>
      <c r="BX412" s="1195"/>
      <c r="BY412" s="249"/>
      <c r="BZ412" s="216"/>
      <c r="CA412" s="1195"/>
      <c r="CB412" s="249"/>
      <c r="CC412" s="216"/>
      <c r="CD412" s="1195"/>
      <c r="CE412" s="249"/>
      <c r="CF412" s="216"/>
      <c r="CG412" s="1195"/>
      <c r="CH412" s="249"/>
      <c r="CI412" s="216"/>
      <c r="CJ412" s="1195"/>
      <c r="CK412" s="249"/>
      <c r="CL412" s="216"/>
      <c r="CM412" s="1194"/>
      <c r="CN412" s="1524"/>
      <c r="CO412" s="217"/>
      <c r="CP412" s="1193"/>
      <c r="CQ412" s="293"/>
      <c r="CR412" s="217"/>
      <c r="CS412" s="305"/>
      <c r="CT412" s="249"/>
      <c r="CU412" s="216"/>
      <c r="CV412" s="1193"/>
      <c r="CW412" s="249"/>
      <c r="CX412" s="216"/>
      <c r="CY412" s="305"/>
      <c r="CZ412" s="249"/>
      <c r="DA412" s="216"/>
      <c r="DB412" s="307"/>
      <c r="DC412" s="328"/>
      <c r="DD412" s="322"/>
      <c r="DE412" s="305"/>
      <c r="DF412" s="249"/>
      <c r="DG412" s="216"/>
      <c r="DH412" s="305"/>
      <c r="DI412" s="249"/>
      <c r="DJ412" s="216"/>
      <c r="DK412" s="309"/>
      <c r="DL412" s="293"/>
      <c r="DM412" s="326"/>
      <c r="DN412" s="1256"/>
      <c r="DO412" s="214"/>
      <c r="DP412" s="1257"/>
      <c r="DQ412" s="1258"/>
      <c r="DR412" s="305"/>
      <c r="DS412" s="249"/>
      <c r="DT412" s="216"/>
      <c r="DU412" s="305"/>
      <c r="DV412" s="2520"/>
      <c r="DW412" s="2521"/>
      <c r="DX412" s="305"/>
      <c r="DY412" s="249"/>
      <c r="DZ412" s="221"/>
      <c r="EA412" s="388"/>
      <c r="EB412" s="249"/>
      <c r="EC412" s="216"/>
      <c r="ED412" s="1461"/>
      <c r="EE412" s="249"/>
      <c r="EF412" s="216"/>
      <c r="EG412" s="355"/>
      <c r="EH412" s="1425"/>
      <c r="EI412" s="1470"/>
      <c r="EJ412" s="249"/>
      <c r="EK412" s="221"/>
      <c r="EL412" s="313"/>
      <c r="EM412" s="249"/>
      <c r="EN412" s="221"/>
      <c r="EO412" s="313"/>
      <c r="EP412" s="249"/>
      <c r="EQ412" s="216"/>
      <c r="ER412" s="313"/>
      <c r="ES412" s="249"/>
      <c r="ET412" s="216"/>
      <c r="EU412" s="313"/>
      <c r="EV412" s="249"/>
      <c r="EW412" s="216"/>
      <c r="EX412" s="2505"/>
      <c r="EY412" s="249"/>
      <c r="EZ412" s="221"/>
      <c r="FA412" s="313"/>
      <c r="FB412" s="249"/>
      <c r="FC412" s="221"/>
      <c r="FD412" s="313"/>
      <c r="FE412" s="249"/>
      <c r="FF412" s="221"/>
      <c r="FG412" s="313"/>
      <c r="FH412" s="249"/>
      <c r="FI412" s="216"/>
      <c r="FJ412" s="1435"/>
      <c r="FK412" s="216"/>
      <c r="FL412" s="1268"/>
      <c r="FM412" s="1655"/>
      <c r="FN412" s="1268"/>
      <c r="FO412" s="1655"/>
      <c r="FP412" s="1268"/>
      <c r="FQ412" s="1656"/>
      <c r="FR412" s="249"/>
      <c r="FS412" s="216"/>
      <c r="FT412" s="1657"/>
      <c r="FU412" s="1658"/>
      <c r="FV412" s="242"/>
      <c r="FW412" s="343"/>
      <c r="FX412" s="222"/>
      <c r="FY412" s="336"/>
      <c r="FZ412" s="223"/>
      <c r="GA412" s="338"/>
      <c r="GB412" s="204"/>
      <c r="GC412" s="339"/>
      <c r="GD412" s="342"/>
      <c r="GE412" s="199"/>
      <c r="GF412" s="199"/>
      <c r="GG412" s="199"/>
      <c r="GH412" s="199"/>
      <c r="GI412" s="199"/>
      <c r="GJ412" s="199"/>
      <c r="GK412" s="199"/>
      <c r="GO412" s="322"/>
      <c r="GP412" s="1190"/>
      <c r="GQ412" s="1190"/>
      <c r="GS412" s="2879"/>
      <c r="GT412" s="2880"/>
      <c r="GU412" s="2881"/>
    </row>
    <row r="413" spans="1:203" ht="12" customHeight="1">
      <c r="A413" s="1252"/>
      <c r="B413" s="200"/>
      <c r="C413" s="486"/>
      <c r="T413" s="1186"/>
      <c r="U413" s="233"/>
      <c r="W413" s="218"/>
      <c r="X413" s="218"/>
      <c r="Y413" s="216"/>
      <c r="Z413" s="216"/>
      <c r="AA413" s="215"/>
      <c r="AB413" s="216"/>
      <c r="AC413" s="216"/>
      <c r="AD413" s="239"/>
      <c r="AE413" s="216"/>
      <c r="AF413" s="216"/>
      <c r="AG413" s="216"/>
      <c r="AH413" s="216"/>
      <c r="AI413" s="216"/>
      <c r="AJ413" s="216"/>
      <c r="AK413" s="239"/>
      <c r="AL413" s="216"/>
      <c r="AM413" s="216"/>
      <c r="AN413" s="216"/>
      <c r="AO413" s="216"/>
      <c r="AP413" s="216"/>
      <c r="AQ413" s="216"/>
      <c r="AR413" s="216"/>
      <c r="AS413" s="216"/>
      <c r="AT413" s="216"/>
      <c r="AU413" s="216"/>
      <c r="AV413" s="217"/>
      <c r="AW413" s="355"/>
      <c r="AX413" s="217"/>
      <c r="AY413" s="1559"/>
      <c r="AZ413" s="249"/>
      <c r="BA413" s="221"/>
      <c r="BB413" s="300"/>
      <c r="BC413" s="217"/>
      <c r="BD413" s="392"/>
      <c r="BE413" s="1244"/>
      <c r="BF413" s="249"/>
      <c r="BG413" s="252"/>
      <c r="BH413" s="1469"/>
      <c r="BI413" s="216"/>
      <c r="BJ413" s="1469"/>
      <c r="BK413" s="1459"/>
      <c r="BL413" s="260"/>
      <c r="BM413" s="214"/>
      <c r="BN413" s="293"/>
      <c r="BO413" s="217"/>
      <c r="BP413" s="355"/>
      <c r="BQ413" s="217"/>
      <c r="BR413" s="1193"/>
      <c r="BS413" s="249"/>
      <c r="BT413" s="216"/>
      <c r="BU413" s="1195"/>
      <c r="BV413" s="249"/>
      <c r="BW413" s="216"/>
      <c r="BX413" s="1195"/>
      <c r="BY413" s="249"/>
      <c r="BZ413" s="216"/>
      <c r="CA413" s="1195"/>
      <c r="CB413" s="249"/>
      <c r="CC413" s="216"/>
      <c r="CD413" s="1195"/>
      <c r="CE413" s="249"/>
      <c r="CF413" s="216"/>
      <c r="CG413" s="1195"/>
      <c r="CH413" s="249"/>
      <c r="CI413" s="216"/>
      <c r="CJ413" s="1195"/>
      <c r="CK413" s="249"/>
      <c r="CL413" s="216"/>
      <c r="CM413" s="1194"/>
      <c r="CN413" s="1524"/>
      <c r="CO413" s="217"/>
      <c r="CP413" s="1193"/>
      <c r="CQ413" s="293"/>
      <c r="CR413" s="217"/>
      <c r="CS413" s="305"/>
      <c r="CT413" s="249"/>
      <c r="CU413" s="216"/>
      <c r="CV413" s="1193"/>
      <c r="CW413" s="249"/>
      <c r="CX413" s="216"/>
      <c r="CY413" s="305"/>
      <c r="CZ413" s="249"/>
      <c r="DA413" s="216"/>
      <c r="DB413" s="307"/>
      <c r="DC413" s="328"/>
      <c r="DD413" s="322"/>
      <c r="DE413" s="305"/>
      <c r="DF413" s="249"/>
      <c r="DG413" s="216"/>
      <c r="DH413" s="305"/>
      <c r="DI413" s="249"/>
      <c r="DJ413" s="216"/>
      <c r="DK413" s="309"/>
      <c r="DL413" s="293"/>
      <c r="DM413" s="326"/>
      <c r="DN413" s="1256"/>
      <c r="DO413" s="214"/>
      <c r="DP413" s="1257"/>
      <c r="DQ413" s="1258"/>
      <c r="DR413" s="305"/>
      <c r="DS413" s="249"/>
      <c r="DT413" s="216"/>
      <c r="DU413" s="305"/>
      <c r="DV413" s="2520"/>
      <c r="DW413" s="2521"/>
      <c r="DX413" s="305"/>
      <c r="DY413" s="249"/>
      <c r="DZ413" s="221"/>
      <c r="EA413" s="388"/>
      <c r="EB413" s="249"/>
      <c r="EC413" s="216"/>
      <c r="ED413" s="1461"/>
      <c r="EE413" s="249"/>
      <c r="EF413" s="216"/>
      <c r="EG413" s="355"/>
      <c r="EH413" s="1425"/>
      <c r="EI413" s="1470"/>
      <c r="EJ413" s="249"/>
      <c r="EK413" s="221"/>
      <c r="EL413" s="313"/>
      <c r="EM413" s="249"/>
      <c r="EN413" s="221"/>
      <c r="EO413" s="313"/>
      <c r="EP413" s="249"/>
      <c r="EQ413" s="216"/>
      <c r="ER413" s="313"/>
      <c r="ES413" s="249"/>
      <c r="ET413" s="216"/>
      <c r="EU413" s="313"/>
      <c r="EV413" s="249"/>
      <c r="EW413" s="216"/>
      <c r="EX413" s="2505"/>
      <c r="EY413" s="249"/>
      <c r="EZ413" s="221"/>
      <c r="FA413" s="313"/>
      <c r="FB413" s="249"/>
      <c r="FC413" s="221"/>
      <c r="FD413" s="313"/>
      <c r="FE413" s="249"/>
      <c r="FF413" s="221"/>
      <c r="FG413" s="313"/>
      <c r="FH413" s="249"/>
      <c r="FI413" s="216"/>
      <c r="FJ413" s="1435"/>
      <c r="FK413" s="216"/>
      <c r="FL413" s="1268"/>
      <c r="FM413" s="1655"/>
      <c r="FN413" s="1268"/>
      <c r="FO413" s="1655"/>
      <c r="FP413" s="1268"/>
      <c r="FQ413" s="1656"/>
      <c r="FR413" s="249"/>
      <c r="FS413" s="216"/>
      <c r="FT413" s="1657"/>
      <c r="FU413" s="1658"/>
      <c r="FV413" s="242"/>
      <c r="FW413" s="343"/>
      <c r="FX413" s="222"/>
      <c r="FY413" s="336"/>
      <c r="FZ413" s="223"/>
      <c r="GA413" s="338"/>
      <c r="GB413" s="204"/>
      <c r="GC413" s="339"/>
      <c r="GD413" s="342"/>
      <c r="GE413" s="199"/>
      <c r="GF413" s="199"/>
      <c r="GG413" s="199"/>
      <c r="GH413" s="199"/>
      <c r="GI413" s="199"/>
      <c r="GJ413" s="199"/>
      <c r="GK413" s="199"/>
      <c r="GO413" s="322"/>
      <c r="GP413" s="1190"/>
      <c r="GQ413" s="1190"/>
      <c r="GS413" s="2879"/>
      <c r="GT413" s="2880"/>
      <c r="GU413" s="2881"/>
    </row>
    <row r="414" spans="1:203" ht="12" customHeight="1">
      <c r="A414" s="1252"/>
      <c r="B414" s="200"/>
      <c r="C414" s="486"/>
      <c r="T414" s="1186"/>
      <c r="U414" s="233"/>
      <c r="W414" s="218"/>
      <c r="X414" s="218"/>
      <c r="Y414" s="216"/>
      <c r="Z414" s="216"/>
      <c r="AA414" s="215"/>
      <c r="AB414" s="216"/>
      <c r="AC414" s="216"/>
      <c r="AD414" s="239"/>
      <c r="AE414" s="216"/>
      <c r="AF414" s="216"/>
      <c r="AG414" s="216"/>
      <c r="AH414" s="216"/>
      <c r="AI414" s="216"/>
      <c r="AJ414" s="216"/>
      <c r="AK414" s="239"/>
      <c r="AL414" s="216"/>
      <c r="AM414" s="216"/>
      <c r="AN414" s="216"/>
      <c r="AO414" s="216"/>
      <c r="AP414" s="216"/>
      <c r="AQ414" s="216"/>
      <c r="AR414" s="216"/>
      <c r="AS414" s="216"/>
      <c r="AT414" s="216"/>
      <c r="AU414" s="216"/>
      <c r="AV414" s="217"/>
      <c r="AW414" s="355"/>
      <c r="AX414" s="217"/>
      <c r="AY414" s="1559"/>
      <c r="AZ414" s="249"/>
      <c r="BA414" s="221"/>
      <c r="BB414" s="300"/>
      <c r="BC414" s="217"/>
      <c r="BD414" s="392"/>
      <c r="BE414" s="1244"/>
      <c r="BF414" s="249"/>
      <c r="BG414" s="252"/>
      <c r="BH414" s="1469"/>
      <c r="BI414" s="216"/>
      <c r="BJ414" s="1469"/>
      <c r="BK414" s="1459"/>
      <c r="BL414" s="260"/>
      <c r="BM414" s="214"/>
      <c r="BN414" s="293"/>
      <c r="BO414" s="217"/>
      <c r="BP414" s="355"/>
      <c r="BQ414" s="217"/>
      <c r="BR414" s="1193"/>
      <c r="BS414" s="249"/>
      <c r="BT414" s="216"/>
      <c r="BU414" s="1195"/>
      <c r="BV414" s="249"/>
      <c r="BW414" s="216"/>
      <c r="BX414" s="1195"/>
      <c r="BY414" s="249"/>
      <c r="BZ414" s="216"/>
      <c r="CA414" s="1195"/>
      <c r="CB414" s="249"/>
      <c r="CC414" s="216"/>
      <c r="CD414" s="1195"/>
      <c r="CE414" s="249"/>
      <c r="CF414" s="216"/>
      <c r="CG414" s="1195"/>
      <c r="CH414" s="249"/>
      <c r="CI414" s="216"/>
      <c r="CJ414" s="1195"/>
      <c r="CK414" s="249"/>
      <c r="CL414" s="216"/>
      <c r="CM414" s="1194"/>
      <c r="CN414" s="1524"/>
      <c r="CO414" s="217"/>
      <c r="CP414" s="1193"/>
      <c r="CQ414" s="293"/>
      <c r="CR414" s="217"/>
      <c r="CS414" s="305"/>
      <c r="CT414" s="249"/>
      <c r="CU414" s="216"/>
      <c r="CV414" s="1193"/>
      <c r="CW414" s="249"/>
      <c r="CX414" s="216"/>
      <c r="CY414" s="305"/>
      <c r="CZ414" s="249"/>
      <c r="DA414" s="216"/>
      <c r="DB414" s="307"/>
      <c r="DC414" s="328"/>
      <c r="DD414" s="322"/>
      <c r="DE414" s="305"/>
      <c r="DF414" s="249"/>
      <c r="DG414" s="216"/>
      <c r="DH414" s="305"/>
      <c r="DI414" s="249"/>
      <c r="DJ414" s="216"/>
      <c r="DK414" s="309"/>
      <c r="DL414" s="293"/>
      <c r="DM414" s="326"/>
      <c r="DN414" s="1256"/>
      <c r="DO414" s="214"/>
      <c r="DP414" s="1257"/>
      <c r="DQ414" s="1258"/>
      <c r="DR414" s="305"/>
      <c r="DS414" s="249"/>
      <c r="DT414" s="216"/>
      <c r="DU414" s="305"/>
      <c r="DV414" s="2520"/>
      <c r="DW414" s="2521"/>
      <c r="DX414" s="305"/>
      <c r="DY414" s="249"/>
      <c r="DZ414" s="221"/>
      <c r="EA414" s="388"/>
      <c r="EB414" s="249"/>
      <c r="EC414" s="216"/>
      <c r="ED414" s="1461"/>
      <c r="EE414" s="249"/>
      <c r="EF414" s="216"/>
      <c r="EG414" s="355"/>
      <c r="EH414" s="1425"/>
      <c r="EI414" s="1470"/>
      <c r="EJ414" s="249"/>
      <c r="EK414" s="221"/>
      <c r="EL414" s="313"/>
      <c r="EM414" s="249"/>
      <c r="EN414" s="221"/>
      <c r="EO414" s="313"/>
      <c r="EP414" s="249"/>
      <c r="EQ414" s="216"/>
      <c r="ER414" s="313"/>
      <c r="ES414" s="249"/>
      <c r="ET414" s="216"/>
      <c r="EU414" s="313"/>
      <c r="EV414" s="249"/>
      <c r="EW414" s="216"/>
      <c r="EX414" s="2505"/>
      <c r="EY414" s="249"/>
      <c r="EZ414" s="221"/>
      <c r="FA414" s="313"/>
      <c r="FB414" s="249"/>
      <c r="FC414" s="221"/>
      <c r="FD414" s="313"/>
      <c r="FE414" s="249"/>
      <c r="FF414" s="221"/>
      <c r="FG414" s="313"/>
      <c r="FH414" s="249"/>
      <c r="FI414" s="216"/>
      <c r="FJ414" s="1435"/>
      <c r="FK414" s="216"/>
      <c r="FL414" s="1268"/>
      <c r="FM414" s="1655"/>
      <c r="FN414" s="1268"/>
      <c r="FO414" s="1655"/>
      <c r="FP414" s="1268"/>
      <c r="FQ414" s="1656"/>
      <c r="FR414" s="249"/>
      <c r="FS414" s="216"/>
      <c r="FT414" s="1657"/>
      <c r="FU414" s="1658"/>
      <c r="FV414" s="242"/>
      <c r="FW414" s="343"/>
      <c r="FX414" s="222"/>
      <c r="FY414" s="336"/>
      <c r="FZ414" s="223"/>
      <c r="GA414" s="338"/>
      <c r="GB414" s="204"/>
      <c r="GC414" s="339"/>
      <c r="GD414" s="342"/>
      <c r="GE414" s="199"/>
      <c r="GF414" s="199"/>
      <c r="GG414" s="199"/>
      <c r="GH414" s="199"/>
      <c r="GI414" s="199"/>
      <c r="GJ414" s="199"/>
      <c r="GK414" s="199"/>
      <c r="GO414" s="322"/>
      <c r="GP414" s="1190"/>
      <c r="GQ414" s="1190"/>
      <c r="GS414" s="2879"/>
      <c r="GT414" s="2880"/>
      <c r="GU414" s="2881"/>
    </row>
    <row r="415" spans="1:203" ht="12" customHeight="1">
      <c r="A415" s="1252"/>
      <c r="B415" s="200"/>
      <c r="C415" s="486"/>
      <c r="T415" s="1186"/>
      <c r="U415" s="233"/>
      <c r="W415" s="218"/>
      <c r="X415" s="218"/>
      <c r="Y415" s="216"/>
      <c r="Z415" s="216"/>
      <c r="AA415" s="215"/>
      <c r="AB415" s="216"/>
      <c r="AC415" s="216"/>
      <c r="AD415" s="239"/>
      <c r="AE415" s="216"/>
      <c r="AF415" s="216"/>
      <c r="AG415" s="216"/>
      <c r="AH415" s="216"/>
      <c r="AI415" s="216"/>
      <c r="AJ415" s="216"/>
      <c r="AK415" s="239"/>
      <c r="AL415" s="216"/>
      <c r="AM415" s="216"/>
      <c r="AN415" s="216"/>
      <c r="AO415" s="216"/>
      <c r="AP415" s="216"/>
      <c r="AQ415" s="216"/>
      <c r="AR415" s="216"/>
      <c r="AS415" s="216"/>
      <c r="AT415" s="216"/>
      <c r="AU415" s="216"/>
      <c r="AV415" s="217"/>
      <c r="AW415" s="355"/>
      <c r="AX415" s="217"/>
      <c r="AY415" s="1559"/>
      <c r="AZ415" s="249"/>
      <c r="BA415" s="221"/>
      <c r="BB415" s="300"/>
      <c r="BC415" s="217"/>
      <c r="BD415" s="392"/>
      <c r="BE415" s="1244"/>
      <c r="BF415" s="249"/>
      <c r="BG415" s="252"/>
      <c r="BH415" s="1469"/>
      <c r="BI415" s="216"/>
      <c r="BJ415" s="1469"/>
      <c r="BK415" s="1459"/>
      <c r="BL415" s="260"/>
      <c r="BM415" s="214"/>
      <c r="BN415" s="293"/>
      <c r="BO415" s="217"/>
      <c r="BP415" s="355"/>
      <c r="BQ415" s="217"/>
      <c r="BR415" s="1193"/>
      <c r="BS415" s="249"/>
      <c r="BT415" s="216"/>
      <c r="BU415" s="1195"/>
      <c r="BV415" s="249"/>
      <c r="BW415" s="216"/>
      <c r="BX415" s="1195"/>
      <c r="BY415" s="249"/>
      <c r="BZ415" s="216"/>
      <c r="CA415" s="1195"/>
      <c r="CB415" s="249"/>
      <c r="CC415" s="216"/>
      <c r="CD415" s="1195"/>
      <c r="CE415" s="249"/>
      <c r="CF415" s="216"/>
      <c r="CG415" s="1195"/>
      <c r="CH415" s="249"/>
      <c r="CI415" s="216"/>
      <c r="CJ415" s="1195"/>
      <c r="CK415" s="249"/>
      <c r="CL415" s="216"/>
      <c r="CM415" s="1194"/>
      <c r="CN415" s="1524"/>
      <c r="CO415" s="217"/>
      <c r="CP415" s="1193"/>
      <c r="CQ415" s="293"/>
      <c r="CR415" s="217"/>
      <c r="CS415" s="305"/>
      <c r="CT415" s="249"/>
      <c r="CU415" s="216"/>
      <c r="CV415" s="1193"/>
      <c r="CW415" s="249"/>
      <c r="CX415" s="216"/>
      <c r="CY415" s="305"/>
      <c r="CZ415" s="249"/>
      <c r="DA415" s="216"/>
      <c r="DB415" s="307"/>
      <c r="DC415" s="328"/>
      <c r="DD415" s="322"/>
      <c r="DE415" s="305"/>
      <c r="DF415" s="249"/>
      <c r="DG415" s="216"/>
      <c r="DH415" s="305"/>
      <c r="DI415" s="249"/>
      <c r="DJ415" s="216"/>
      <c r="DK415" s="309"/>
      <c r="DL415" s="293"/>
      <c r="DM415" s="326"/>
      <c r="DN415" s="1256"/>
      <c r="DO415" s="214"/>
      <c r="DP415" s="1257"/>
      <c r="DQ415" s="1258"/>
      <c r="DR415" s="305"/>
      <c r="DS415" s="249"/>
      <c r="DT415" s="216"/>
      <c r="DU415" s="305"/>
      <c r="DV415" s="2520"/>
      <c r="DW415" s="2521"/>
      <c r="DX415" s="305"/>
      <c r="DY415" s="249"/>
      <c r="DZ415" s="221"/>
      <c r="EA415" s="388"/>
      <c r="EB415" s="249"/>
      <c r="EC415" s="216"/>
      <c r="ED415" s="1461"/>
      <c r="EE415" s="249"/>
      <c r="EF415" s="216"/>
      <c r="EG415" s="355"/>
      <c r="EH415" s="1425"/>
      <c r="EI415" s="1470"/>
      <c r="EJ415" s="249"/>
      <c r="EK415" s="221"/>
      <c r="EL415" s="313"/>
      <c r="EM415" s="249"/>
      <c r="EN415" s="221"/>
      <c r="EO415" s="313"/>
      <c r="EP415" s="249"/>
      <c r="EQ415" s="216"/>
      <c r="ER415" s="313"/>
      <c r="ES415" s="249"/>
      <c r="ET415" s="216"/>
      <c r="EU415" s="313"/>
      <c r="EV415" s="249"/>
      <c r="EW415" s="216"/>
      <c r="EX415" s="2505"/>
      <c r="EY415" s="249"/>
      <c r="EZ415" s="221"/>
      <c r="FA415" s="313"/>
      <c r="FB415" s="249"/>
      <c r="FC415" s="221"/>
      <c r="FD415" s="313"/>
      <c r="FE415" s="249"/>
      <c r="FF415" s="221"/>
      <c r="FG415" s="313"/>
      <c r="FH415" s="249"/>
      <c r="FI415" s="216"/>
      <c r="FJ415" s="1435"/>
      <c r="FK415" s="216"/>
      <c r="FL415" s="1268"/>
      <c r="FM415" s="1655"/>
      <c r="FN415" s="1268"/>
      <c r="FO415" s="1655"/>
      <c r="FP415" s="1268"/>
      <c r="FQ415" s="1656"/>
      <c r="FR415" s="249"/>
      <c r="FS415" s="216"/>
      <c r="FT415" s="1657"/>
      <c r="FU415" s="1658"/>
      <c r="FV415" s="242"/>
      <c r="FW415" s="343"/>
      <c r="FX415" s="222"/>
      <c r="FY415" s="336"/>
      <c r="FZ415" s="223"/>
      <c r="GA415" s="338"/>
      <c r="GB415" s="204"/>
      <c r="GC415" s="339"/>
      <c r="GD415" s="342"/>
      <c r="GE415" s="199"/>
      <c r="GF415" s="199"/>
      <c r="GG415" s="199"/>
      <c r="GH415" s="199"/>
      <c r="GI415" s="199"/>
      <c r="GJ415" s="199"/>
      <c r="GK415" s="199"/>
      <c r="GO415" s="322"/>
      <c r="GP415" s="1190"/>
      <c r="GQ415" s="1190"/>
      <c r="GS415" s="2879"/>
      <c r="GT415" s="2880"/>
      <c r="GU415" s="2881"/>
    </row>
    <row r="416" spans="1:203" ht="12" customHeight="1">
      <c r="A416" s="1252"/>
      <c r="B416" s="200"/>
      <c r="C416" s="486"/>
      <c r="T416" s="1186"/>
      <c r="U416" s="233"/>
      <c r="W416" s="218"/>
      <c r="X416" s="218"/>
      <c r="Y416" s="216"/>
      <c r="Z416" s="216"/>
      <c r="AA416" s="215"/>
      <c r="AB416" s="216"/>
      <c r="AC416" s="216"/>
      <c r="AD416" s="239"/>
      <c r="AE416" s="216"/>
      <c r="AF416" s="216"/>
      <c r="AG416" s="216"/>
      <c r="AH416" s="216"/>
      <c r="AI416" s="216"/>
      <c r="AJ416" s="216"/>
      <c r="AK416" s="239"/>
      <c r="AL416" s="216"/>
      <c r="AM416" s="216"/>
      <c r="AN416" s="216"/>
      <c r="AO416" s="216"/>
      <c r="AP416" s="216"/>
      <c r="AQ416" s="216"/>
      <c r="AR416" s="216"/>
      <c r="AS416" s="216"/>
      <c r="AT416" s="216"/>
      <c r="AU416" s="216"/>
      <c r="AV416" s="217"/>
      <c r="AW416" s="355"/>
      <c r="AX416" s="217"/>
      <c r="AY416" s="1559"/>
      <c r="AZ416" s="249"/>
      <c r="BA416" s="221"/>
      <c r="BB416" s="300"/>
      <c r="BC416" s="217"/>
      <c r="BD416" s="392"/>
      <c r="BE416" s="1244"/>
      <c r="BF416" s="249"/>
      <c r="BG416" s="252"/>
      <c r="BH416" s="1469"/>
      <c r="BI416" s="216"/>
      <c r="BJ416" s="1469"/>
      <c r="BK416" s="1459"/>
      <c r="BL416" s="260"/>
      <c r="BM416" s="214"/>
      <c r="BN416" s="293"/>
      <c r="BO416" s="217"/>
      <c r="BP416" s="355"/>
      <c r="BQ416" s="217"/>
      <c r="BR416" s="1193"/>
      <c r="BS416" s="249"/>
      <c r="BT416" s="216"/>
      <c r="BU416" s="1195"/>
      <c r="BV416" s="249"/>
      <c r="BW416" s="216"/>
      <c r="BX416" s="1195"/>
      <c r="BY416" s="249"/>
      <c r="BZ416" s="216"/>
      <c r="CA416" s="1195"/>
      <c r="CB416" s="249"/>
      <c r="CC416" s="216"/>
      <c r="CD416" s="1195"/>
      <c r="CE416" s="249"/>
      <c r="CF416" s="216"/>
      <c r="CG416" s="1195"/>
      <c r="CH416" s="249"/>
      <c r="CI416" s="216"/>
      <c r="CJ416" s="1195"/>
      <c r="CK416" s="249"/>
      <c r="CL416" s="216"/>
      <c r="CM416" s="1194"/>
      <c r="CN416" s="1524"/>
      <c r="CO416" s="217"/>
      <c r="CP416" s="1193"/>
      <c r="CQ416" s="293"/>
      <c r="CR416" s="217"/>
      <c r="CS416" s="305"/>
      <c r="CT416" s="249"/>
      <c r="CU416" s="216"/>
      <c r="CV416" s="1193"/>
      <c r="CW416" s="249"/>
      <c r="CX416" s="216"/>
      <c r="CY416" s="305"/>
      <c r="CZ416" s="249"/>
      <c r="DA416" s="216"/>
      <c r="DB416" s="307"/>
      <c r="DC416" s="328"/>
      <c r="DD416" s="322"/>
      <c r="DE416" s="305"/>
      <c r="DF416" s="249"/>
      <c r="DG416" s="216"/>
      <c r="DH416" s="305"/>
      <c r="DI416" s="249"/>
      <c r="DJ416" s="216"/>
      <c r="DK416" s="309"/>
      <c r="DL416" s="293"/>
      <c r="DM416" s="326"/>
      <c r="DN416" s="1256"/>
      <c r="DO416" s="214"/>
      <c r="DP416" s="1257"/>
      <c r="DQ416" s="1258"/>
      <c r="DR416" s="305"/>
      <c r="DS416" s="249"/>
      <c r="DT416" s="216"/>
      <c r="DU416" s="305"/>
      <c r="DV416" s="2520"/>
      <c r="DW416" s="2521"/>
      <c r="DX416" s="305"/>
      <c r="DY416" s="249"/>
      <c r="DZ416" s="221"/>
      <c r="EA416" s="388"/>
      <c r="EB416" s="249"/>
      <c r="EC416" s="216"/>
      <c r="ED416" s="1461"/>
      <c r="EE416" s="249"/>
      <c r="EF416" s="216"/>
      <c r="EG416" s="355"/>
      <c r="EH416" s="1425"/>
      <c r="EI416" s="1470"/>
      <c r="EJ416" s="249"/>
      <c r="EK416" s="221"/>
      <c r="EL416" s="313"/>
      <c r="EM416" s="249"/>
      <c r="EN416" s="221"/>
      <c r="EO416" s="313"/>
      <c r="EP416" s="249"/>
      <c r="EQ416" s="216"/>
      <c r="ER416" s="313"/>
      <c r="ES416" s="249"/>
      <c r="ET416" s="216"/>
      <c r="EU416" s="313"/>
      <c r="EV416" s="249"/>
      <c r="EW416" s="216"/>
      <c r="EX416" s="2505"/>
      <c r="EY416" s="249"/>
      <c r="EZ416" s="221"/>
      <c r="FA416" s="313"/>
      <c r="FB416" s="249"/>
      <c r="FC416" s="221"/>
      <c r="FD416" s="313"/>
      <c r="FE416" s="249"/>
      <c r="FF416" s="221"/>
      <c r="FG416" s="313"/>
      <c r="FH416" s="249"/>
      <c r="FI416" s="216"/>
      <c r="FJ416" s="1435"/>
      <c r="FK416" s="216"/>
      <c r="FL416" s="1268"/>
      <c r="FM416" s="1655"/>
      <c r="FN416" s="1268"/>
      <c r="FO416" s="1655"/>
      <c r="FP416" s="1268"/>
      <c r="FQ416" s="1656"/>
      <c r="FR416" s="249"/>
      <c r="FS416" s="216"/>
      <c r="FT416" s="1657"/>
      <c r="FU416" s="1658"/>
      <c r="FV416" s="242"/>
      <c r="FW416" s="343"/>
      <c r="FX416" s="222"/>
      <c r="FY416" s="336"/>
      <c r="FZ416" s="223"/>
      <c r="GA416" s="338"/>
      <c r="GB416" s="204"/>
      <c r="GC416" s="339"/>
      <c r="GD416" s="342"/>
      <c r="GE416" s="199"/>
      <c r="GF416" s="199"/>
      <c r="GG416" s="199"/>
      <c r="GH416" s="199"/>
      <c r="GI416" s="199"/>
      <c r="GJ416" s="199"/>
      <c r="GK416" s="199"/>
      <c r="GO416" s="322"/>
      <c r="GP416" s="1190"/>
      <c r="GQ416" s="1190"/>
      <c r="GS416" s="2879"/>
      <c r="GT416" s="2880"/>
      <c r="GU416" s="2881"/>
    </row>
    <row r="417" spans="1:203" ht="12" customHeight="1">
      <c r="A417" s="1252"/>
      <c r="B417" s="200"/>
      <c r="C417" s="486"/>
      <c r="T417" s="1186"/>
      <c r="U417" s="233"/>
      <c r="W417" s="218"/>
      <c r="X417" s="218"/>
      <c r="Y417" s="216"/>
      <c r="Z417" s="216"/>
      <c r="AA417" s="215"/>
      <c r="AB417" s="216"/>
      <c r="AC417" s="216"/>
      <c r="AD417" s="239"/>
      <c r="AE417" s="216"/>
      <c r="AF417" s="216"/>
      <c r="AG417" s="216"/>
      <c r="AH417" s="216"/>
      <c r="AI417" s="216"/>
      <c r="AJ417" s="216"/>
      <c r="AK417" s="239"/>
      <c r="AL417" s="216"/>
      <c r="AM417" s="216"/>
      <c r="AN417" s="216"/>
      <c r="AO417" s="216"/>
      <c r="AP417" s="216"/>
      <c r="AQ417" s="216"/>
      <c r="AR417" s="216"/>
      <c r="AS417" s="216"/>
      <c r="AT417" s="216"/>
      <c r="AU417" s="216"/>
      <c r="AV417" s="217"/>
      <c r="AW417" s="355"/>
      <c r="AX417" s="217"/>
      <c r="AY417" s="1559"/>
      <c r="AZ417" s="249"/>
      <c r="BA417" s="221"/>
      <c r="BB417" s="300"/>
      <c r="BC417" s="217"/>
      <c r="BD417" s="392"/>
      <c r="BE417" s="1244"/>
      <c r="BF417" s="249"/>
      <c r="BG417" s="252"/>
      <c r="BH417" s="1469"/>
      <c r="BI417" s="216"/>
      <c r="BJ417" s="1469"/>
      <c r="BK417" s="1459"/>
      <c r="BL417" s="260"/>
      <c r="BM417" s="214"/>
      <c r="BN417" s="293"/>
      <c r="BO417" s="217"/>
      <c r="BP417" s="355"/>
      <c r="BQ417" s="217"/>
      <c r="BR417" s="1193"/>
      <c r="BS417" s="249"/>
      <c r="BT417" s="216"/>
      <c r="BU417" s="1195"/>
      <c r="BV417" s="249"/>
      <c r="BW417" s="216"/>
      <c r="BX417" s="1195"/>
      <c r="BY417" s="249"/>
      <c r="BZ417" s="216"/>
      <c r="CA417" s="1195"/>
      <c r="CB417" s="249"/>
      <c r="CC417" s="216"/>
      <c r="CD417" s="1195"/>
      <c r="CE417" s="249"/>
      <c r="CF417" s="216"/>
      <c r="CG417" s="1195"/>
      <c r="CH417" s="249"/>
      <c r="CI417" s="216"/>
      <c r="CJ417" s="1195"/>
      <c r="CK417" s="249"/>
      <c r="CL417" s="216"/>
      <c r="CM417" s="1194"/>
      <c r="CN417" s="1524"/>
      <c r="CO417" s="217"/>
      <c r="CP417" s="1193"/>
      <c r="CQ417" s="293"/>
      <c r="CR417" s="217"/>
      <c r="CS417" s="305"/>
      <c r="CT417" s="249"/>
      <c r="CU417" s="216"/>
      <c r="CV417" s="1193"/>
      <c r="CW417" s="249"/>
      <c r="CX417" s="216"/>
      <c r="CY417" s="305"/>
      <c r="CZ417" s="249"/>
      <c r="DA417" s="216"/>
      <c r="DB417" s="307"/>
      <c r="DC417" s="328"/>
      <c r="DD417" s="322"/>
      <c r="DE417" s="305"/>
      <c r="DF417" s="249"/>
      <c r="DG417" s="216"/>
      <c r="DH417" s="305"/>
      <c r="DI417" s="249"/>
      <c r="DJ417" s="216"/>
      <c r="DK417" s="309"/>
      <c r="DL417" s="293"/>
      <c r="DM417" s="326"/>
      <c r="DN417" s="1256"/>
      <c r="DO417" s="214"/>
      <c r="DP417" s="1257"/>
      <c r="DQ417" s="1258"/>
      <c r="DR417" s="305"/>
      <c r="DS417" s="249"/>
      <c r="DT417" s="216"/>
      <c r="DU417" s="305"/>
      <c r="DV417" s="2520"/>
      <c r="DW417" s="2521"/>
      <c r="DX417" s="305"/>
      <c r="DY417" s="249"/>
      <c r="DZ417" s="221"/>
      <c r="EA417" s="388"/>
      <c r="EB417" s="249"/>
      <c r="EC417" s="216"/>
      <c r="ED417" s="1461"/>
      <c r="EE417" s="249"/>
      <c r="EF417" s="216"/>
      <c r="EG417" s="355"/>
      <c r="EH417" s="1425"/>
      <c r="EI417" s="1470"/>
      <c r="EJ417" s="249"/>
      <c r="EK417" s="221"/>
      <c r="EL417" s="313"/>
      <c r="EM417" s="249"/>
      <c r="EN417" s="221"/>
      <c r="EO417" s="313"/>
      <c r="EP417" s="249"/>
      <c r="EQ417" s="216"/>
      <c r="ER417" s="313"/>
      <c r="ES417" s="249"/>
      <c r="ET417" s="216"/>
      <c r="EU417" s="313"/>
      <c r="EV417" s="249"/>
      <c r="EW417" s="216"/>
      <c r="EX417" s="2505"/>
      <c r="EY417" s="249"/>
      <c r="EZ417" s="221"/>
      <c r="FA417" s="313"/>
      <c r="FB417" s="249"/>
      <c r="FC417" s="221"/>
      <c r="FD417" s="313"/>
      <c r="FE417" s="249"/>
      <c r="FF417" s="221"/>
      <c r="FG417" s="313"/>
      <c r="FH417" s="249"/>
      <c r="FI417" s="216"/>
      <c r="FJ417" s="1435"/>
      <c r="FK417" s="216"/>
      <c r="FL417" s="1268"/>
      <c r="FM417" s="1655"/>
      <c r="FN417" s="1268"/>
      <c r="FO417" s="1655"/>
      <c r="FP417" s="1268"/>
      <c r="FQ417" s="1656"/>
      <c r="FR417" s="249"/>
      <c r="FS417" s="216"/>
      <c r="FT417" s="1657"/>
      <c r="FU417" s="1658"/>
      <c r="FV417" s="242"/>
      <c r="FW417" s="343"/>
      <c r="FX417" s="222"/>
      <c r="FY417" s="336"/>
      <c r="FZ417" s="223"/>
      <c r="GA417" s="338"/>
      <c r="GB417" s="204"/>
      <c r="GC417" s="339"/>
      <c r="GD417" s="342"/>
      <c r="GE417" s="199"/>
      <c r="GF417" s="199"/>
      <c r="GG417" s="199"/>
      <c r="GH417" s="199"/>
      <c r="GI417" s="199"/>
      <c r="GJ417" s="199"/>
      <c r="GK417" s="199"/>
      <c r="GO417" s="322"/>
      <c r="GP417" s="1190"/>
      <c r="GQ417" s="1190"/>
      <c r="GS417" s="2879"/>
      <c r="GT417" s="2880"/>
      <c r="GU417" s="2881"/>
    </row>
    <row r="418" spans="1:203" ht="12" customHeight="1">
      <c r="A418" s="1252"/>
      <c r="B418" s="200"/>
      <c r="C418" s="486"/>
      <c r="T418" s="1186"/>
      <c r="U418" s="233"/>
      <c r="W418" s="218"/>
      <c r="X418" s="218"/>
      <c r="Y418" s="216"/>
      <c r="Z418" s="216"/>
      <c r="AA418" s="215"/>
      <c r="AB418" s="216"/>
      <c r="AC418" s="216"/>
      <c r="AD418" s="239"/>
      <c r="AE418" s="216"/>
      <c r="AF418" s="216"/>
      <c r="AG418" s="216"/>
      <c r="AH418" s="216"/>
      <c r="AI418" s="216"/>
      <c r="AJ418" s="216"/>
      <c r="AK418" s="239"/>
      <c r="AL418" s="216"/>
      <c r="AM418" s="216"/>
      <c r="AN418" s="216"/>
      <c r="AO418" s="216"/>
      <c r="AP418" s="216"/>
      <c r="AQ418" s="216"/>
      <c r="AR418" s="216"/>
      <c r="AS418" s="216"/>
      <c r="AT418" s="216"/>
      <c r="AU418" s="216"/>
      <c r="AV418" s="217"/>
      <c r="AW418" s="355"/>
      <c r="AX418" s="217"/>
      <c r="AY418" s="1559"/>
      <c r="AZ418" s="249"/>
      <c r="BA418" s="221"/>
      <c r="BB418" s="300"/>
      <c r="BC418" s="217"/>
      <c r="BD418" s="392"/>
      <c r="BE418" s="1244"/>
      <c r="BF418" s="249"/>
      <c r="BG418" s="252"/>
      <c r="BH418" s="1469"/>
      <c r="BI418" s="216"/>
      <c r="BJ418" s="1469"/>
      <c r="BK418" s="1459"/>
      <c r="BL418" s="260"/>
      <c r="BM418" s="214"/>
      <c r="BN418" s="293"/>
      <c r="BO418" s="217"/>
      <c r="BP418" s="355"/>
      <c r="BQ418" s="217"/>
      <c r="BR418" s="1193"/>
      <c r="BS418" s="249"/>
      <c r="BT418" s="216"/>
      <c r="BU418" s="1195"/>
      <c r="BV418" s="249"/>
      <c r="BW418" s="216"/>
      <c r="BX418" s="1195"/>
      <c r="BY418" s="249"/>
      <c r="BZ418" s="216"/>
      <c r="CA418" s="1195"/>
      <c r="CB418" s="249"/>
      <c r="CC418" s="216"/>
      <c r="CD418" s="1195"/>
      <c r="CE418" s="249"/>
      <c r="CF418" s="216"/>
      <c r="CG418" s="1195"/>
      <c r="CH418" s="249"/>
      <c r="CI418" s="216"/>
      <c r="CJ418" s="1195"/>
      <c r="CK418" s="249"/>
      <c r="CL418" s="216"/>
      <c r="CM418" s="1194"/>
      <c r="CN418" s="1524"/>
      <c r="CO418" s="217"/>
      <c r="CP418" s="1193"/>
      <c r="CQ418" s="293"/>
      <c r="CR418" s="217"/>
      <c r="CS418" s="305"/>
      <c r="CT418" s="249"/>
      <c r="CU418" s="216"/>
      <c r="CV418" s="1193"/>
      <c r="CW418" s="249"/>
      <c r="CX418" s="216"/>
      <c r="CY418" s="305"/>
      <c r="CZ418" s="249"/>
      <c r="DA418" s="216"/>
      <c r="DB418" s="307"/>
      <c r="DC418" s="328"/>
      <c r="DD418" s="322"/>
      <c r="DE418" s="305"/>
      <c r="DF418" s="249"/>
      <c r="DG418" s="216"/>
      <c r="DH418" s="305"/>
      <c r="DI418" s="249"/>
      <c r="DJ418" s="216"/>
      <c r="DK418" s="309"/>
      <c r="DL418" s="293"/>
      <c r="DM418" s="326"/>
      <c r="DN418" s="1256"/>
      <c r="DO418" s="214"/>
      <c r="DP418" s="1257"/>
      <c r="DQ418" s="1258"/>
      <c r="DR418" s="305"/>
      <c r="DS418" s="249"/>
      <c r="DT418" s="216"/>
      <c r="DU418" s="305"/>
      <c r="DV418" s="2520"/>
      <c r="DW418" s="2521"/>
      <c r="DX418" s="305"/>
      <c r="DY418" s="249"/>
      <c r="DZ418" s="221"/>
      <c r="EA418" s="388"/>
      <c r="EB418" s="249"/>
      <c r="EC418" s="216"/>
      <c r="ED418" s="1461"/>
      <c r="EE418" s="249"/>
      <c r="EF418" s="216"/>
      <c r="EG418" s="355"/>
      <c r="EH418" s="1425"/>
      <c r="EI418" s="1470"/>
      <c r="EJ418" s="249"/>
      <c r="EK418" s="221"/>
      <c r="EL418" s="313"/>
      <c r="EM418" s="249"/>
      <c r="EN418" s="221"/>
      <c r="EO418" s="313"/>
      <c r="EP418" s="249"/>
      <c r="EQ418" s="216"/>
      <c r="ER418" s="313"/>
      <c r="ES418" s="249"/>
      <c r="ET418" s="216"/>
      <c r="EU418" s="313"/>
      <c r="EV418" s="249"/>
      <c r="EW418" s="216"/>
      <c r="EX418" s="2505"/>
      <c r="EY418" s="249"/>
      <c r="EZ418" s="221"/>
      <c r="FA418" s="313"/>
      <c r="FB418" s="249"/>
      <c r="FC418" s="221"/>
      <c r="FD418" s="313"/>
      <c r="FE418" s="249"/>
      <c r="FF418" s="221"/>
      <c r="FG418" s="313"/>
      <c r="FH418" s="249"/>
      <c r="FI418" s="216"/>
      <c r="FJ418" s="1435"/>
      <c r="FK418" s="216"/>
      <c r="FL418" s="1268"/>
      <c r="FM418" s="1655"/>
      <c r="FN418" s="1268"/>
      <c r="FO418" s="1655"/>
      <c r="FP418" s="1268"/>
      <c r="FQ418" s="1656"/>
      <c r="FR418" s="249"/>
      <c r="FS418" s="216"/>
      <c r="FT418" s="1657"/>
      <c r="FU418" s="1658"/>
      <c r="FV418" s="242"/>
      <c r="FW418" s="343"/>
      <c r="FX418" s="222"/>
      <c r="FY418" s="336"/>
      <c r="FZ418" s="223"/>
      <c r="GA418" s="338"/>
      <c r="GB418" s="204"/>
      <c r="GC418" s="339"/>
      <c r="GD418" s="342"/>
      <c r="GE418" s="199"/>
      <c r="GF418" s="199"/>
      <c r="GG418" s="199"/>
      <c r="GH418" s="199"/>
      <c r="GI418" s="199"/>
      <c r="GJ418" s="199"/>
      <c r="GK418" s="199"/>
      <c r="GO418" s="322"/>
      <c r="GP418" s="1190"/>
      <c r="GQ418" s="1190"/>
      <c r="GS418" s="2879"/>
      <c r="GT418" s="2880"/>
      <c r="GU418" s="2881"/>
    </row>
    <row r="419" spans="1:203" ht="12" customHeight="1">
      <c r="A419" s="1252"/>
      <c r="B419" s="200"/>
      <c r="C419" s="486"/>
      <c r="T419" s="1186"/>
      <c r="U419" s="233"/>
      <c r="W419" s="218"/>
      <c r="X419" s="218"/>
      <c r="Y419" s="216"/>
      <c r="Z419" s="216"/>
      <c r="AA419" s="215"/>
      <c r="AB419" s="216"/>
      <c r="AC419" s="216"/>
      <c r="AD419" s="239"/>
      <c r="AE419" s="216"/>
      <c r="AF419" s="216"/>
      <c r="AG419" s="216"/>
      <c r="AH419" s="216"/>
      <c r="AI419" s="216"/>
      <c r="AJ419" s="216"/>
      <c r="AK419" s="239"/>
      <c r="AL419" s="216"/>
      <c r="AM419" s="216"/>
      <c r="AN419" s="216"/>
      <c r="AO419" s="216"/>
      <c r="AP419" s="216"/>
      <c r="AQ419" s="216"/>
      <c r="AR419" s="216"/>
      <c r="AS419" s="216"/>
      <c r="AT419" s="216"/>
      <c r="AU419" s="216"/>
      <c r="AV419" s="217"/>
      <c r="AW419" s="355"/>
      <c r="AX419" s="217"/>
      <c r="AY419" s="1559"/>
      <c r="AZ419" s="249"/>
      <c r="BA419" s="221"/>
      <c r="BB419" s="300"/>
      <c r="BC419" s="217"/>
      <c r="BD419" s="392"/>
      <c r="BE419" s="1244"/>
      <c r="BF419" s="249"/>
      <c r="BG419" s="252"/>
      <c r="BH419" s="1469"/>
      <c r="BI419" s="216"/>
      <c r="BJ419" s="1469"/>
      <c r="BK419" s="1459"/>
      <c r="BL419" s="260"/>
      <c r="BM419" s="214"/>
      <c r="BN419" s="293"/>
      <c r="BO419" s="217"/>
      <c r="BP419" s="355"/>
      <c r="BQ419" s="217"/>
      <c r="BR419" s="1193"/>
      <c r="BS419" s="249"/>
      <c r="BT419" s="216"/>
      <c r="BU419" s="1195"/>
      <c r="BV419" s="249"/>
      <c r="BW419" s="216"/>
      <c r="BX419" s="1195"/>
      <c r="BY419" s="249"/>
      <c r="BZ419" s="216"/>
      <c r="CA419" s="1195"/>
      <c r="CB419" s="249"/>
      <c r="CC419" s="216"/>
      <c r="CD419" s="1195"/>
      <c r="CE419" s="249"/>
      <c r="CF419" s="216"/>
      <c r="CG419" s="1195"/>
      <c r="CH419" s="249"/>
      <c r="CI419" s="216"/>
      <c r="CJ419" s="1195"/>
      <c r="CK419" s="249"/>
      <c r="CL419" s="216"/>
      <c r="CM419" s="1194"/>
      <c r="CN419" s="1524"/>
      <c r="CO419" s="217"/>
      <c r="CP419" s="1193"/>
      <c r="CQ419" s="293"/>
      <c r="CR419" s="217"/>
      <c r="CS419" s="305"/>
      <c r="CT419" s="249"/>
      <c r="CU419" s="216"/>
      <c r="CV419" s="1193"/>
      <c r="CW419" s="249"/>
      <c r="CX419" s="216"/>
      <c r="CY419" s="305"/>
      <c r="CZ419" s="249"/>
      <c r="DA419" s="216"/>
      <c r="DB419" s="307"/>
      <c r="DC419" s="328"/>
      <c r="DD419" s="322"/>
      <c r="DE419" s="305"/>
      <c r="DF419" s="249"/>
      <c r="DG419" s="216"/>
      <c r="DH419" s="305"/>
      <c r="DI419" s="249"/>
      <c r="DJ419" s="216"/>
      <c r="DK419" s="309"/>
      <c r="DL419" s="293"/>
      <c r="DM419" s="326"/>
      <c r="DN419" s="1256"/>
      <c r="DO419" s="214"/>
      <c r="DP419" s="1257"/>
      <c r="DQ419" s="1258"/>
      <c r="DR419" s="305"/>
      <c r="DS419" s="249"/>
      <c r="DT419" s="216"/>
      <c r="DU419" s="305"/>
      <c r="DV419" s="2520"/>
      <c r="DW419" s="2521"/>
      <c r="DX419" s="305"/>
      <c r="DY419" s="249"/>
      <c r="DZ419" s="221"/>
      <c r="EA419" s="388"/>
      <c r="EB419" s="249"/>
      <c r="EC419" s="216"/>
      <c r="ED419" s="1461"/>
      <c r="EE419" s="249"/>
      <c r="EF419" s="216"/>
      <c r="EG419" s="355"/>
      <c r="EH419" s="1425"/>
      <c r="EI419" s="1470"/>
      <c r="EJ419" s="249"/>
      <c r="EK419" s="221"/>
      <c r="EL419" s="313"/>
      <c r="EM419" s="249"/>
      <c r="EN419" s="221"/>
      <c r="EO419" s="313"/>
      <c r="EP419" s="249"/>
      <c r="EQ419" s="216"/>
      <c r="ER419" s="313"/>
      <c r="ES419" s="249"/>
      <c r="ET419" s="216"/>
      <c r="EU419" s="313"/>
      <c r="EV419" s="249"/>
      <c r="EW419" s="216"/>
      <c r="EX419" s="2505"/>
      <c r="EY419" s="249"/>
      <c r="EZ419" s="221"/>
      <c r="FA419" s="313"/>
      <c r="FB419" s="249"/>
      <c r="FC419" s="221"/>
      <c r="FD419" s="313"/>
      <c r="FE419" s="249"/>
      <c r="FF419" s="221"/>
      <c r="FG419" s="313"/>
      <c r="FH419" s="249"/>
      <c r="FI419" s="216"/>
      <c r="FJ419" s="1435"/>
      <c r="FK419" s="216"/>
      <c r="FL419" s="1268"/>
      <c r="FM419" s="1655"/>
      <c r="FN419" s="1268"/>
      <c r="FO419" s="1655"/>
      <c r="FP419" s="1268"/>
      <c r="FQ419" s="1656"/>
      <c r="FR419" s="249"/>
      <c r="FS419" s="216"/>
      <c r="FT419" s="1657"/>
      <c r="FU419" s="1658"/>
      <c r="FV419" s="242"/>
      <c r="FW419" s="343"/>
      <c r="FX419" s="222"/>
      <c r="FY419" s="336"/>
      <c r="FZ419" s="223"/>
      <c r="GA419" s="338"/>
      <c r="GB419" s="204"/>
      <c r="GC419" s="339"/>
      <c r="GD419" s="342"/>
      <c r="GE419" s="199"/>
      <c r="GF419" s="199"/>
      <c r="GG419" s="199"/>
      <c r="GH419" s="199"/>
      <c r="GI419" s="199"/>
      <c r="GJ419" s="199"/>
      <c r="GK419" s="199"/>
      <c r="GO419" s="322"/>
      <c r="GP419" s="1190"/>
      <c r="GQ419" s="1190"/>
      <c r="GS419" s="2879"/>
      <c r="GT419" s="2880"/>
      <c r="GU419" s="2881"/>
    </row>
    <row r="420" spans="1:203" ht="12" customHeight="1">
      <c r="A420" s="1252"/>
      <c r="B420" s="200"/>
      <c r="C420" s="486"/>
      <c r="T420" s="1186"/>
      <c r="U420" s="233"/>
      <c r="W420" s="218"/>
      <c r="X420" s="218"/>
      <c r="Y420" s="216"/>
      <c r="Z420" s="216"/>
      <c r="AA420" s="215"/>
      <c r="AB420" s="216"/>
      <c r="AC420" s="216"/>
      <c r="AD420" s="239"/>
      <c r="AE420" s="216"/>
      <c r="AF420" s="216"/>
      <c r="AG420" s="216"/>
      <c r="AH420" s="216"/>
      <c r="AI420" s="216"/>
      <c r="AJ420" s="216"/>
      <c r="AK420" s="239"/>
      <c r="AL420" s="216"/>
      <c r="AM420" s="216"/>
      <c r="AN420" s="216"/>
      <c r="AO420" s="216"/>
      <c r="AP420" s="216"/>
      <c r="AQ420" s="216"/>
      <c r="AR420" s="216"/>
      <c r="AS420" s="216"/>
      <c r="AT420" s="216"/>
      <c r="AU420" s="216"/>
      <c r="AV420" s="217"/>
      <c r="AW420" s="355"/>
      <c r="AX420" s="217"/>
      <c r="AY420" s="1559"/>
      <c r="AZ420" s="249"/>
      <c r="BA420" s="221"/>
      <c r="BB420" s="300"/>
      <c r="BC420" s="217"/>
      <c r="BD420" s="392"/>
      <c r="BE420" s="1244"/>
      <c r="BF420" s="249"/>
      <c r="BG420" s="252"/>
      <c r="BH420" s="1469"/>
      <c r="BI420" s="216"/>
      <c r="BJ420" s="1469"/>
      <c r="BK420" s="1459"/>
      <c r="BL420" s="260"/>
      <c r="BM420" s="214"/>
      <c r="BN420" s="293"/>
      <c r="BO420" s="217"/>
      <c r="BP420" s="355"/>
      <c r="BQ420" s="217"/>
      <c r="BR420" s="1193"/>
      <c r="BS420" s="249"/>
      <c r="BT420" s="216"/>
      <c r="BU420" s="1195"/>
      <c r="BV420" s="249"/>
      <c r="BW420" s="216"/>
      <c r="BX420" s="1195"/>
      <c r="BY420" s="249"/>
      <c r="BZ420" s="216"/>
      <c r="CA420" s="1195"/>
      <c r="CB420" s="249"/>
      <c r="CC420" s="216"/>
      <c r="CD420" s="1195"/>
      <c r="CE420" s="249"/>
      <c r="CF420" s="216"/>
      <c r="CG420" s="1195"/>
      <c r="CH420" s="249"/>
      <c r="CI420" s="216"/>
      <c r="CJ420" s="1195"/>
      <c r="CK420" s="249"/>
      <c r="CL420" s="216"/>
      <c r="CM420" s="1194"/>
      <c r="CN420" s="1524"/>
      <c r="CO420" s="217"/>
      <c r="CP420" s="1193"/>
      <c r="CQ420" s="293"/>
      <c r="CR420" s="217"/>
      <c r="CS420" s="305"/>
      <c r="CT420" s="249"/>
      <c r="CU420" s="216"/>
      <c r="CV420" s="1193"/>
      <c r="CW420" s="249"/>
      <c r="CX420" s="216"/>
      <c r="CY420" s="305"/>
      <c r="CZ420" s="249"/>
      <c r="DA420" s="216"/>
      <c r="DB420" s="307"/>
      <c r="DC420" s="328"/>
      <c r="DD420" s="322"/>
      <c r="DE420" s="305"/>
      <c r="DF420" s="249"/>
      <c r="DG420" s="216"/>
      <c r="DH420" s="305"/>
      <c r="DI420" s="249"/>
      <c r="DJ420" s="216"/>
      <c r="DK420" s="309"/>
      <c r="DL420" s="293"/>
      <c r="DM420" s="326"/>
      <c r="DN420" s="1256"/>
      <c r="DO420" s="214"/>
      <c r="DP420" s="1257"/>
      <c r="DQ420" s="1258"/>
      <c r="DR420" s="305"/>
      <c r="DS420" s="249"/>
      <c r="DT420" s="216"/>
      <c r="DU420" s="305"/>
      <c r="DV420" s="2520"/>
      <c r="DW420" s="2521"/>
      <c r="DX420" s="305"/>
      <c r="DY420" s="249"/>
      <c r="DZ420" s="221"/>
      <c r="EA420" s="388"/>
      <c r="EB420" s="249"/>
      <c r="EC420" s="216"/>
      <c r="ED420" s="1461"/>
      <c r="EE420" s="249"/>
      <c r="EF420" s="216"/>
      <c r="EG420" s="355"/>
      <c r="EH420" s="1425"/>
      <c r="EI420" s="1470"/>
      <c r="EJ420" s="249"/>
      <c r="EK420" s="221"/>
      <c r="EL420" s="313"/>
      <c r="EM420" s="249"/>
      <c r="EN420" s="221"/>
      <c r="EO420" s="313"/>
      <c r="EP420" s="249"/>
      <c r="EQ420" s="216"/>
      <c r="ER420" s="313"/>
      <c r="ES420" s="249"/>
      <c r="ET420" s="216"/>
      <c r="EU420" s="313"/>
      <c r="EV420" s="249"/>
      <c r="EW420" s="216"/>
      <c r="EX420" s="2505"/>
      <c r="EY420" s="249"/>
      <c r="EZ420" s="221"/>
      <c r="FA420" s="313"/>
      <c r="FB420" s="249"/>
      <c r="FC420" s="221"/>
      <c r="FD420" s="313"/>
      <c r="FE420" s="249"/>
      <c r="FF420" s="221"/>
      <c r="FG420" s="313"/>
      <c r="FH420" s="249"/>
      <c r="FI420" s="216"/>
      <c r="FJ420" s="1435"/>
      <c r="FK420" s="216"/>
      <c r="FL420" s="1268"/>
      <c r="FM420" s="1655"/>
      <c r="FN420" s="1268"/>
      <c r="FO420" s="1655"/>
      <c r="FP420" s="1268"/>
      <c r="FQ420" s="1656"/>
      <c r="FR420" s="249"/>
      <c r="FS420" s="216"/>
      <c r="FT420" s="1657"/>
      <c r="FU420" s="1658"/>
      <c r="FV420" s="242"/>
      <c r="FW420" s="343"/>
      <c r="FX420" s="222"/>
      <c r="FY420" s="336"/>
      <c r="FZ420" s="223"/>
      <c r="GA420" s="338"/>
      <c r="GB420" s="204"/>
      <c r="GC420" s="339"/>
      <c r="GD420" s="342"/>
      <c r="GE420" s="199"/>
      <c r="GF420" s="199"/>
      <c r="GG420" s="199"/>
      <c r="GH420" s="199"/>
      <c r="GI420" s="199"/>
      <c r="GJ420" s="199"/>
      <c r="GK420" s="199"/>
      <c r="GO420" s="322"/>
      <c r="GP420" s="1190"/>
      <c r="GQ420" s="1190"/>
      <c r="GS420" s="2879"/>
      <c r="GT420" s="2880"/>
      <c r="GU420" s="2881"/>
    </row>
    <row r="421" spans="1:203" ht="12" customHeight="1">
      <c r="A421" s="1252"/>
      <c r="B421" s="200"/>
      <c r="C421" s="486"/>
      <c r="T421" s="1186"/>
      <c r="U421" s="233"/>
      <c r="W421" s="218"/>
      <c r="X421" s="218"/>
      <c r="Y421" s="216"/>
      <c r="Z421" s="216"/>
      <c r="AA421" s="215"/>
      <c r="AB421" s="216"/>
      <c r="AC421" s="216"/>
      <c r="AD421" s="239"/>
      <c r="AE421" s="216"/>
      <c r="AF421" s="216"/>
      <c r="AG421" s="216"/>
      <c r="AH421" s="216"/>
      <c r="AI421" s="216"/>
      <c r="AJ421" s="216"/>
      <c r="AK421" s="239"/>
      <c r="AL421" s="216"/>
      <c r="AM421" s="216"/>
      <c r="AN421" s="216"/>
      <c r="AO421" s="216"/>
      <c r="AP421" s="216"/>
      <c r="AQ421" s="216"/>
      <c r="AR421" s="216"/>
      <c r="AS421" s="216"/>
      <c r="AT421" s="216"/>
      <c r="AU421" s="216"/>
      <c r="AV421" s="217"/>
      <c r="AW421" s="355"/>
      <c r="AX421" s="217"/>
      <c r="AY421" s="1559"/>
      <c r="AZ421" s="249"/>
      <c r="BA421" s="221"/>
      <c r="BB421" s="300"/>
      <c r="BC421" s="217"/>
      <c r="BD421" s="392"/>
      <c r="BE421" s="1244"/>
      <c r="BF421" s="249"/>
      <c r="BG421" s="252"/>
      <c r="BH421" s="1469"/>
      <c r="BI421" s="216"/>
      <c r="BJ421" s="1469"/>
      <c r="BK421" s="1459"/>
      <c r="BL421" s="260"/>
      <c r="BM421" s="214"/>
      <c r="BN421" s="293"/>
      <c r="BO421" s="217"/>
      <c r="BP421" s="355"/>
      <c r="BQ421" s="217"/>
      <c r="BR421" s="1193"/>
      <c r="BS421" s="249"/>
      <c r="BT421" s="216"/>
      <c r="BU421" s="1195"/>
      <c r="BV421" s="249"/>
      <c r="BW421" s="216"/>
      <c r="BX421" s="1195"/>
      <c r="BY421" s="249"/>
      <c r="BZ421" s="216"/>
      <c r="CA421" s="1195"/>
      <c r="CB421" s="249"/>
      <c r="CC421" s="216"/>
      <c r="CD421" s="1195"/>
      <c r="CE421" s="249"/>
      <c r="CF421" s="216"/>
      <c r="CG421" s="1195"/>
      <c r="CH421" s="249"/>
      <c r="CI421" s="216"/>
      <c r="CJ421" s="1195"/>
      <c r="CK421" s="249"/>
      <c r="CL421" s="216"/>
      <c r="CM421" s="1194"/>
      <c r="CN421" s="1524"/>
      <c r="CO421" s="217"/>
      <c r="CP421" s="1193"/>
      <c r="CQ421" s="293"/>
      <c r="CR421" s="217"/>
      <c r="CS421" s="305"/>
      <c r="CT421" s="249"/>
      <c r="CU421" s="216"/>
      <c r="CV421" s="1193"/>
      <c r="CW421" s="249"/>
      <c r="CX421" s="216"/>
      <c r="CY421" s="305"/>
      <c r="CZ421" s="249"/>
      <c r="DA421" s="216"/>
      <c r="DB421" s="307"/>
      <c r="DC421" s="328"/>
      <c r="DD421" s="322"/>
      <c r="DE421" s="305"/>
      <c r="DF421" s="249"/>
      <c r="DG421" s="216"/>
      <c r="DH421" s="305"/>
      <c r="DI421" s="249"/>
      <c r="DJ421" s="216"/>
      <c r="DK421" s="309"/>
      <c r="DL421" s="293"/>
      <c r="DM421" s="326"/>
      <c r="DN421" s="1256"/>
      <c r="DO421" s="214"/>
      <c r="DP421" s="1257"/>
      <c r="DQ421" s="1258"/>
      <c r="DR421" s="305"/>
      <c r="DS421" s="249"/>
      <c r="DT421" s="216"/>
      <c r="DU421" s="305"/>
      <c r="DV421" s="2520"/>
      <c r="DW421" s="2521"/>
      <c r="DX421" s="305"/>
      <c r="DY421" s="249"/>
      <c r="DZ421" s="221"/>
      <c r="EA421" s="388"/>
      <c r="EB421" s="249"/>
      <c r="EC421" s="216"/>
      <c r="ED421" s="1461"/>
      <c r="EE421" s="249"/>
      <c r="EF421" s="216"/>
      <c r="EG421" s="355"/>
      <c r="EH421" s="1425"/>
      <c r="EI421" s="1470"/>
      <c r="EJ421" s="249"/>
      <c r="EK421" s="221"/>
      <c r="EL421" s="313"/>
      <c r="EM421" s="249"/>
      <c r="EN421" s="221"/>
      <c r="EO421" s="313"/>
      <c r="EP421" s="249"/>
      <c r="EQ421" s="216"/>
      <c r="ER421" s="313"/>
      <c r="ES421" s="249"/>
      <c r="ET421" s="216"/>
      <c r="EU421" s="313"/>
      <c r="EV421" s="249"/>
      <c r="EW421" s="216"/>
      <c r="EX421" s="2505"/>
      <c r="EY421" s="249"/>
      <c r="EZ421" s="221"/>
      <c r="FA421" s="313"/>
      <c r="FB421" s="249"/>
      <c r="FC421" s="221"/>
      <c r="FD421" s="313"/>
      <c r="FE421" s="249"/>
      <c r="FF421" s="221"/>
      <c r="FG421" s="313"/>
      <c r="FH421" s="249"/>
      <c r="FI421" s="216"/>
      <c r="FJ421" s="1435"/>
      <c r="FK421" s="216"/>
      <c r="FL421" s="1268"/>
      <c r="FM421" s="1655"/>
      <c r="FN421" s="1268"/>
      <c r="FO421" s="1655"/>
      <c r="FP421" s="1268"/>
      <c r="FQ421" s="1656"/>
      <c r="FR421" s="249"/>
      <c r="FS421" s="216"/>
      <c r="FT421" s="1657"/>
      <c r="FU421" s="1658"/>
      <c r="FV421" s="242"/>
      <c r="FW421" s="343"/>
      <c r="FX421" s="222"/>
      <c r="FY421" s="336"/>
      <c r="FZ421" s="223"/>
      <c r="GA421" s="338"/>
      <c r="GB421" s="204"/>
      <c r="GC421" s="339"/>
      <c r="GD421" s="342"/>
      <c r="GE421" s="199"/>
      <c r="GF421" s="199"/>
      <c r="GG421" s="199"/>
      <c r="GH421" s="199"/>
      <c r="GI421" s="199"/>
      <c r="GJ421" s="199"/>
      <c r="GK421" s="199"/>
      <c r="GO421" s="322"/>
      <c r="GP421" s="1190"/>
      <c r="GQ421" s="1190"/>
      <c r="GS421" s="2879"/>
      <c r="GT421" s="2880"/>
      <c r="GU421" s="2881"/>
    </row>
    <row r="422" spans="1:203" ht="12" customHeight="1">
      <c r="A422" s="1252"/>
      <c r="B422" s="200"/>
      <c r="C422" s="486"/>
      <c r="T422" s="1186"/>
      <c r="U422" s="233"/>
      <c r="W422" s="218"/>
      <c r="X422" s="218"/>
      <c r="Y422" s="216"/>
      <c r="Z422" s="216"/>
      <c r="AA422" s="215"/>
      <c r="AB422" s="216"/>
      <c r="AC422" s="216"/>
      <c r="AD422" s="239"/>
      <c r="AE422" s="216"/>
      <c r="AF422" s="216"/>
      <c r="AG422" s="216"/>
      <c r="AH422" s="216"/>
      <c r="AI422" s="216"/>
      <c r="AJ422" s="216"/>
      <c r="AK422" s="239"/>
      <c r="AL422" s="216"/>
      <c r="AM422" s="216"/>
      <c r="AN422" s="216"/>
      <c r="AO422" s="216"/>
      <c r="AP422" s="216"/>
      <c r="AQ422" s="216"/>
      <c r="AR422" s="216"/>
      <c r="AS422" s="216"/>
      <c r="AT422" s="216"/>
      <c r="AU422" s="216"/>
      <c r="AV422" s="217"/>
      <c r="AW422" s="355"/>
      <c r="AX422" s="217"/>
      <c r="AY422" s="1559"/>
      <c r="AZ422" s="249"/>
      <c r="BA422" s="221"/>
      <c r="BB422" s="300"/>
      <c r="BC422" s="217"/>
      <c r="BD422" s="392"/>
      <c r="BE422" s="1244"/>
      <c r="BF422" s="249"/>
      <c r="BG422" s="252"/>
      <c r="BH422" s="1469"/>
      <c r="BI422" s="216"/>
      <c r="BJ422" s="1469"/>
      <c r="BK422" s="1459"/>
      <c r="BL422" s="260"/>
      <c r="BM422" s="214"/>
      <c r="BN422" s="293"/>
      <c r="BO422" s="217"/>
      <c r="BP422" s="355"/>
      <c r="BQ422" s="217"/>
      <c r="BR422" s="1193"/>
      <c r="BS422" s="249"/>
      <c r="BT422" s="216"/>
      <c r="BU422" s="1195"/>
      <c r="BV422" s="249"/>
      <c r="BW422" s="216"/>
      <c r="BX422" s="1195"/>
      <c r="BY422" s="249"/>
      <c r="BZ422" s="216"/>
      <c r="CA422" s="1195"/>
      <c r="CB422" s="249"/>
      <c r="CC422" s="216"/>
      <c r="CD422" s="1195"/>
      <c r="CE422" s="249"/>
      <c r="CF422" s="216"/>
      <c r="CG422" s="1195"/>
      <c r="CH422" s="249"/>
      <c r="CI422" s="216"/>
      <c r="CJ422" s="1195"/>
      <c r="CK422" s="249"/>
      <c r="CL422" s="216"/>
      <c r="CM422" s="1194"/>
      <c r="CN422" s="1524"/>
      <c r="CO422" s="217"/>
      <c r="CP422" s="1193"/>
      <c r="CQ422" s="293"/>
      <c r="CR422" s="217"/>
      <c r="CS422" s="305"/>
      <c r="CT422" s="249"/>
      <c r="CU422" s="216"/>
      <c r="CV422" s="1193"/>
      <c r="CW422" s="249"/>
      <c r="CX422" s="216"/>
      <c r="CY422" s="305"/>
      <c r="CZ422" s="249"/>
      <c r="DA422" s="216"/>
      <c r="DB422" s="307"/>
      <c r="DC422" s="328"/>
      <c r="DD422" s="322"/>
      <c r="DE422" s="305"/>
      <c r="DF422" s="249"/>
      <c r="DG422" s="216"/>
      <c r="DH422" s="305"/>
      <c r="DI422" s="249"/>
      <c r="DJ422" s="216"/>
      <c r="DK422" s="309"/>
      <c r="DL422" s="293"/>
      <c r="DM422" s="326"/>
      <c r="DN422" s="1256"/>
      <c r="DO422" s="214"/>
      <c r="DP422" s="1257"/>
      <c r="DQ422" s="1258"/>
      <c r="DR422" s="305"/>
      <c r="DS422" s="249"/>
      <c r="DT422" s="216"/>
      <c r="DU422" s="305"/>
      <c r="DV422" s="2520"/>
      <c r="DW422" s="2521"/>
      <c r="DX422" s="305"/>
      <c r="DY422" s="249"/>
      <c r="DZ422" s="221"/>
      <c r="EA422" s="388"/>
      <c r="EB422" s="249"/>
      <c r="EC422" s="216"/>
      <c r="ED422" s="1461"/>
      <c r="EE422" s="249"/>
      <c r="EF422" s="216"/>
      <c r="EG422" s="355"/>
      <c r="EH422" s="1425"/>
      <c r="EI422" s="1470"/>
      <c r="EJ422" s="249"/>
      <c r="EK422" s="221"/>
      <c r="EL422" s="313"/>
      <c r="EM422" s="249"/>
      <c r="EN422" s="221"/>
      <c r="EO422" s="313"/>
      <c r="EP422" s="249"/>
      <c r="EQ422" s="216"/>
      <c r="ER422" s="313"/>
      <c r="ES422" s="249"/>
      <c r="ET422" s="216"/>
      <c r="EU422" s="313"/>
      <c r="EV422" s="249"/>
      <c r="EW422" s="216"/>
      <c r="EX422" s="2505"/>
      <c r="EY422" s="249"/>
      <c r="EZ422" s="221"/>
      <c r="FA422" s="313"/>
      <c r="FB422" s="249"/>
      <c r="FC422" s="221"/>
      <c r="FD422" s="313"/>
      <c r="FE422" s="249"/>
      <c r="FF422" s="221"/>
      <c r="FG422" s="313"/>
      <c r="FH422" s="249"/>
      <c r="FI422" s="216"/>
      <c r="FJ422" s="1435"/>
      <c r="FK422" s="216"/>
      <c r="FL422" s="1268"/>
      <c r="FM422" s="1655"/>
      <c r="FN422" s="1268"/>
      <c r="FO422" s="1655"/>
      <c r="FP422" s="1268"/>
      <c r="FQ422" s="1656"/>
      <c r="FR422" s="249"/>
      <c r="FS422" s="216"/>
      <c r="FT422" s="1657"/>
      <c r="FU422" s="1658"/>
      <c r="FV422" s="242"/>
      <c r="FW422" s="343"/>
      <c r="FX422" s="222"/>
      <c r="FY422" s="336"/>
      <c r="FZ422" s="223"/>
      <c r="GA422" s="338"/>
      <c r="GB422" s="204"/>
      <c r="GC422" s="339"/>
      <c r="GD422" s="342"/>
      <c r="GE422" s="199"/>
      <c r="GF422" s="199"/>
      <c r="GG422" s="199"/>
      <c r="GH422" s="199"/>
      <c r="GI422" s="199"/>
      <c r="GJ422" s="199"/>
      <c r="GK422" s="199"/>
      <c r="GO422" s="322"/>
      <c r="GP422" s="1190"/>
      <c r="GQ422" s="1190"/>
      <c r="GS422" s="2879"/>
      <c r="GT422" s="2880"/>
      <c r="GU422" s="2881"/>
    </row>
    <row r="423" spans="1:203" ht="12" customHeight="1">
      <c r="A423" s="1252"/>
      <c r="B423" s="200"/>
      <c r="C423" s="486"/>
      <c r="T423" s="1186"/>
      <c r="U423" s="233"/>
      <c r="W423" s="218"/>
      <c r="X423" s="218"/>
      <c r="Y423" s="216"/>
      <c r="Z423" s="216"/>
      <c r="AA423" s="215"/>
      <c r="AB423" s="216"/>
      <c r="AC423" s="216"/>
      <c r="AD423" s="239"/>
      <c r="AE423" s="216"/>
      <c r="AF423" s="216"/>
      <c r="AG423" s="216"/>
      <c r="AH423" s="216"/>
      <c r="AI423" s="216"/>
      <c r="AJ423" s="216"/>
      <c r="AK423" s="239"/>
      <c r="AL423" s="216"/>
      <c r="AM423" s="216"/>
      <c r="AN423" s="216"/>
      <c r="AO423" s="216"/>
      <c r="AP423" s="216"/>
      <c r="AQ423" s="216"/>
      <c r="AR423" s="216"/>
      <c r="AS423" s="216"/>
      <c r="AT423" s="216"/>
      <c r="AU423" s="216"/>
      <c r="AV423" s="217"/>
      <c r="AW423" s="355"/>
      <c r="AX423" s="217"/>
      <c r="AY423" s="1559"/>
      <c r="AZ423" s="249"/>
      <c r="BA423" s="221"/>
      <c r="BB423" s="300"/>
      <c r="BC423" s="217"/>
      <c r="BD423" s="392"/>
      <c r="BE423" s="1244"/>
      <c r="BF423" s="249"/>
      <c r="BG423" s="252"/>
      <c r="BH423" s="1469"/>
      <c r="BI423" s="216"/>
      <c r="BJ423" s="1469"/>
      <c r="BK423" s="1459"/>
      <c r="BL423" s="260"/>
      <c r="BM423" s="214"/>
      <c r="BN423" s="293"/>
      <c r="BO423" s="217"/>
      <c r="BP423" s="355"/>
      <c r="BQ423" s="217"/>
      <c r="BR423" s="1193"/>
      <c r="BS423" s="249"/>
      <c r="BT423" s="216"/>
      <c r="BU423" s="1195"/>
      <c r="BV423" s="249"/>
      <c r="BW423" s="216"/>
      <c r="BX423" s="1195"/>
      <c r="BY423" s="249"/>
      <c r="BZ423" s="216"/>
      <c r="CA423" s="1195"/>
      <c r="CB423" s="249"/>
      <c r="CC423" s="216"/>
      <c r="CD423" s="1195"/>
      <c r="CE423" s="249"/>
      <c r="CF423" s="216"/>
      <c r="CG423" s="1195"/>
      <c r="CH423" s="249"/>
      <c r="CI423" s="216"/>
      <c r="CJ423" s="1195"/>
      <c r="CK423" s="249"/>
      <c r="CL423" s="216"/>
      <c r="CM423" s="1194"/>
      <c r="CN423" s="1524"/>
      <c r="CO423" s="217"/>
      <c r="CP423" s="1193"/>
      <c r="CQ423" s="293"/>
      <c r="CR423" s="217"/>
      <c r="CS423" s="305"/>
      <c r="CT423" s="249"/>
      <c r="CU423" s="216"/>
      <c r="CV423" s="1193"/>
      <c r="CW423" s="249"/>
      <c r="CX423" s="216"/>
      <c r="CY423" s="305"/>
      <c r="CZ423" s="249"/>
      <c r="DA423" s="216"/>
      <c r="DB423" s="307"/>
      <c r="DC423" s="328"/>
      <c r="DD423" s="322"/>
      <c r="DE423" s="305"/>
      <c r="DF423" s="249"/>
      <c r="DG423" s="216"/>
      <c r="DH423" s="305"/>
      <c r="DI423" s="249"/>
      <c r="DJ423" s="216"/>
      <c r="DK423" s="309"/>
      <c r="DL423" s="293"/>
      <c r="DM423" s="326"/>
      <c r="DN423" s="1256"/>
      <c r="DO423" s="214"/>
      <c r="DP423" s="1257"/>
      <c r="DQ423" s="1258"/>
      <c r="DR423" s="305"/>
      <c r="DS423" s="249"/>
      <c r="DT423" s="216"/>
      <c r="DU423" s="305"/>
      <c r="DV423" s="2520"/>
      <c r="DW423" s="2521"/>
      <c r="DX423" s="305"/>
      <c r="DY423" s="249"/>
      <c r="DZ423" s="221"/>
      <c r="EA423" s="388"/>
      <c r="EB423" s="249"/>
      <c r="EC423" s="216"/>
      <c r="ED423" s="1461"/>
      <c r="EE423" s="249"/>
      <c r="EF423" s="216"/>
      <c r="EG423" s="355"/>
      <c r="EH423" s="1425"/>
      <c r="EI423" s="1470"/>
      <c r="EJ423" s="249"/>
      <c r="EK423" s="221"/>
      <c r="EL423" s="313"/>
      <c r="EM423" s="249"/>
      <c r="EN423" s="221"/>
      <c r="EO423" s="313"/>
      <c r="EP423" s="249"/>
      <c r="EQ423" s="216"/>
      <c r="ER423" s="313"/>
      <c r="ES423" s="249"/>
      <c r="ET423" s="216"/>
      <c r="EU423" s="313"/>
      <c r="EV423" s="249"/>
      <c r="EW423" s="216"/>
      <c r="EX423" s="2505"/>
      <c r="EY423" s="249"/>
      <c r="EZ423" s="221"/>
      <c r="FA423" s="313"/>
      <c r="FB423" s="249"/>
      <c r="FC423" s="221"/>
      <c r="FD423" s="313"/>
      <c r="FE423" s="249"/>
      <c r="FF423" s="221"/>
      <c r="FG423" s="313"/>
      <c r="FH423" s="249"/>
      <c r="FI423" s="216"/>
      <c r="FJ423" s="1435"/>
      <c r="FK423" s="216"/>
      <c r="FL423" s="1268"/>
      <c r="FM423" s="1655"/>
      <c r="FN423" s="1268"/>
      <c r="FO423" s="1655"/>
      <c r="FP423" s="1268"/>
      <c r="FQ423" s="1656"/>
      <c r="FR423" s="249"/>
      <c r="FS423" s="216"/>
      <c r="FT423" s="1657"/>
      <c r="FU423" s="1658"/>
      <c r="FV423" s="242"/>
      <c r="FW423" s="343"/>
      <c r="FX423" s="222"/>
      <c r="FY423" s="336"/>
      <c r="FZ423" s="223"/>
      <c r="GA423" s="338"/>
      <c r="GB423" s="204"/>
      <c r="GC423" s="339"/>
      <c r="GD423" s="342"/>
      <c r="GE423" s="199"/>
      <c r="GF423" s="199"/>
      <c r="GG423" s="199"/>
      <c r="GH423" s="199"/>
      <c r="GI423" s="199"/>
      <c r="GJ423" s="199"/>
      <c r="GK423" s="199"/>
      <c r="GO423" s="322"/>
      <c r="GP423" s="1190"/>
      <c r="GQ423" s="1190"/>
      <c r="GS423" s="2879"/>
      <c r="GT423" s="2880"/>
      <c r="GU423" s="2881"/>
    </row>
    <row r="424" spans="1:203" ht="12" customHeight="1">
      <c r="A424" s="1252"/>
      <c r="B424" s="200"/>
      <c r="C424" s="486"/>
      <c r="T424" s="1186"/>
      <c r="U424" s="233"/>
      <c r="W424" s="218"/>
      <c r="X424" s="218"/>
      <c r="Y424" s="216"/>
      <c r="Z424" s="216"/>
      <c r="AA424" s="215"/>
      <c r="AB424" s="216"/>
      <c r="AC424" s="216"/>
      <c r="AD424" s="239"/>
      <c r="AE424" s="216"/>
      <c r="AF424" s="216"/>
      <c r="AG424" s="216"/>
      <c r="AH424" s="216"/>
      <c r="AI424" s="216"/>
      <c r="AJ424" s="216"/>
      <c r="AK424" s="239"/>
      <c r="AL424" s="216"/>
      <c r="AM424" s="216"/>
      <c r="AN424" s="216"/>
      <c r="AO424" s="216"/>
      <c r="AP424" s="216"/>
      <c r="AQ424" s="216"/>
      <c r="AR424" s="216"/>
      <c r="AS424" s="216"/>
      <c r="AT424" s="216"/>
      <c r="AU424" s="216"/>
      <c r="AV424" s="217"/>
      <c r="AW424" s="355"/>
      <c r="AX424" s="217"/>
      <c r="AY424" s="1559"/>
      <c r="AZ424" s="249"/>
      <c r="BA424" s="221"/>
      <c r="BB424" s="300"/>
      <c r="BC424" s="217"/>
      <c r="BD424" s="392"/>
      <c r="BE424" s="1244"/>
      <c r="BF424" s="249"/>
      <c r="BG424" s="252"/>
      <c r="BH424" s="1469"/>
      <c r="BI424" s="216"/>
      <c r="BJ424" s="1469"/>
      <c r="BK424" s="1459"/>
      <c r="BL424" s="260"/>
      <c r="BM424" s="214"/>
      <c r="BN424" s="293"/>
      <c r="BO424" s="217"/>
      <c r="BP424" s="355"/>
      <c r="BQ424" s="217"/>
      <c r="BR424" s="1193"/>
      <c r="BS424" s="249"/>
      <c r="BT424" s="216"/>
      <c r="BU424" s="1195"/>
      <c r="BV424" s="249"/>
      <c r="BW424" s="216"/>
      <c r="BX424" s="1195"/>
      <c r="BY424" s="249"/>
      <c r="BZ424" s="216"/>
      <c r="CA424" s="1195"/>
      <c r="CB424" s="249"/>
      <c r="CC424" s="216"/>
      <c r="CD424" s="1195"/>
      <c r="CE424" s="249"/>
      <c r="CF424" s="216"/>
      <c r="CG424" s="1195"/>
      <c r="CH424" s="249"/>
      <c r="CI424" s="216"/>
      <c r="CJ424" s="1195"/>
      <c r="CK424" s="249"/>
      <c r="CL424" s="216"/>
      <c r="CM424" s="1194"/>
      <c r="CN424" s="1524"/>
      <c r="CO424" s="217"/>
      <c r="CP424" s="1193"/>
      <c r="CQ424" s="293"/>
      <c r="CR424" s="217"/>
      <c r="CS424" s="305"/>
      <c r="CT424" s="249"/>
      <c r="CU424" s="216"/>
      <c r="CV424" s="1193"/>
      <c r="CW424" s="249"/>
      <c r="CX424" s="216"/>
      <c r="CY424" s="305"/>
      <c r="CZ424" s="249"/>
      <c r="DA424" s="216"/>
      <c r="DB424" s="307"/>
      <c r="DC424" s="328"/>
      <c r="DD424" s="322"/>
      <c r="DE424" s="305"/>
      <c r="DF424" s="249"/>
      <c r="DG424" s="216"/>
      <c r="DH424" s="305"/>
      <c r="DI424" s="249"/>
      <c r="DJ424" s="216"/>
      <c r="DK424" s="309"/>
      <c r="DL424" s="293"/>
      <c r="DM424" s="326"/>
      <c r="DN424" s="1256"/>
      <c r="DO424" s="214"/>
      <c r="DP424" s="1257"/>
      <c r="DQ424" s="1258"/>
      <c r="DR424" s="305"/>
      <c r="DS424" s="249"/>
      <c r="DT424" s="216"/>
      <c r="DU424" s="305"/>
      <c r="DV424" s="2520"/>
      <c r="DW424" s="2521"/>
      <c r="DX424" s="305"/>
      <c r="DY424" s="249"/>
      <c r="DZ424" s="221"/>
      <c r="EA424" s="388"/>
      <c r="EB424" s="249"/>
      <c r="EC424" s="216"/>
      <c r="ED424" s="1461"/>
      <c r="EE424" s="249"/>
      <c r="EF424" s="216"/>
      <c r="EG424" s="355"/>
      <c r="EH424" s="1425"/>
      <c r="EI424" s="1470"/>
      <c r="EJ424" s="249"/>
      <c r="EK424" s="221"/>
      <c r="EL424" s="313"/>
      <c r="EM424" s="249"/>
      <c r="EN424" s="221"/>
      <c r="EO424" s="313"/>
      <c r="EP424" s="249"/>
      <c r="EQ424" s="216"/>
      <c r="ER424" s="313"/>
      <c r="ES424" s="249"/>
      <c r="ET424" s="216"/>
      <c r="EU424" s="313"/>
      <c r="EV424" s="249"/>
      <c r="EW424" s="216"/>
      <c r="EX424" s="2505"/>
      <c r="EY424" s="249"/>
      <c r="EZ424" s="221"/>
      <c r="FA424" s="313"/>
      <c r="FB424" s="249"/>
      <c r="FC424" s="221"/>
      <c r="FD424" s="313"/>
      <c r="FE424" s="249"/>
      <c r="FF424" s="221"/>
      <c r="FG424" s="313"/>
      <c r="FH424" s="249"/>
      <c r="FI424" s="216"/>
      <c r="FJ424" s="1435"/>
      <c r="FK424" s="216"/>
      <c r="FL424" s="1268"/>
      <c r="FM424" s="1655"/>
      <c r="FN424" s="1268"/>
      <c r="FO424" s="1655"/>
      <c r="FP424" s="1268"/>
      <c r="FQ424" s="1656"/>
      <c r="FR424" s="249"/>
      <c r="FS424" s="216"/>
      <c r="FT424" s="1657"/>
      <c r="FU424" s="1658"/>
      <c r="FV424" s="242"/>
      <c r="FW424" s="343"/>
      <c r="FX424" s="222"/>
      <c r="FY424" s="336"/>
      <c r="FZ424" s="223"/>
      <c r="GA424" s="338"/>
      <c r="GB424" s="204"/>
      <c r="GC424" s="339"/>
      <c r="GD424" s="342"/>
      <c r="GE424" s="199"/>
      <c r="GF424" s="199"/>
      <c r="GG424" s="199"/>
      <c r="GH424" s="199"/>
      <c r="GI424" s="199"/>
      <c r="GJ424" s="199"/>
      <c r="GK424" s="199"/>
      <c r="GO424" s="322"/>
      <c r="GP424" s="1190"/>
      <c r="GQ424" s="1190"/>
      <c r="GS424" s="2879"/>
      <c r="GT424" s="2880"/>
      <c r="GU424" s="2881"/>
    </row>
    <row r="425" spans="1:203" ht="12" customHeight="1">
      <c r="A425" s="1252"/>
      <c r="B425" s="200"/>
      <c r="C425" s="486"/>
      <c r="T425" s="1186"/>
      <c r="U425" s="233"/>
      <c r="W425" s="218"/>
      <c r="X425" s="218"/>
      <c r="Y425" s="216"/>
      <c r="Z425" s="216"/>
      <c r="AA425" s="215"/>
      <c r="AB425" s="216"/>
      <c r="AC425" s="216"/>
      <c r="AD425" s="239"/>
      <c r="AE425" s="216"/>
      <c r="AF425" s="216"/>
      <c r="AG425" s="216"/>
      <c r="AH425" s="216"/>
      <c r="AI425" s="216"/>
      <c r="AJ425" s="216"/>
      <c r="AK425" s="239"/>
      <c r="AL425" s="216"/>
      <c r="AM425" s="216"/>
      <c r="AN425" s="216"/>
      <c r="AO425" s="216"/>
      <c r="AP425" s="216"/>
      <c r="AQ425" s="216"/>
      <c r="AR425" s="216"/>
      <c r="AS425" s="216"/>
      <c r="AT425" s="216"/>
      <c r="AU425" s="216"/>
      <c r="AV425" s="217"/>
      <c r="AW425" s="355"/>
      <c r="AX425" s="217"/>
      <c r="AY425" s="1559"/>
      <c r="AZ425" s="249"/>
      <c r="BA425" s="221"/>
      <c r="BB425" s="300"/>
      <c r="BC425" s="217"/>
      <c r="BD425" s="392"/>
      <c r="BE425" s="1244"/>
      <c r="BF425" s="249"/>
      <c r="BG425" s="252"/>
      <c r="BH425" s="1469"/>
      <c r="BI425" s="216"/>
      <c r="BJ425" s="1469"/>
      <c r="BK425" s="1459"/>
      <c r="BL425" s="260"/>
      <c r="BM425" s="214"/>
      <c r="BN425" s="293"/>
      <c r="BO425" s="217"/>
      <c r="BP425" s="355"/>
      <c r="BQ425" s="217"/>
      <c r="BR425" s="1193"/>
      <c r="BS425" s="249"/>
      <c r="BT425" s="216"/>
      <c r="BU425" s="1195"/>
      <c r="BV425" s="249"/>
      <c r="BW425" s="216"/>
      <c r="BX425" s="1195"/>
      <c r="BY425" s="249"/>
      <c r="BZ425" s="216"/>
      <c r="CA425" s="1195"/>
      <c r="CB425" s="249"/>
      <c r="CC425" s="216"/>
      <c r="CD425" s="1195"/>
      <c r="CE425" s="249"/>
      <c r="CF425" s="216"/>
      <c r="CG425" s="1195"/>
      <c r="CH425" s="249"/>
      <c r="CI425" s="216"/>
      <c r="CJ425" s="1195"/>
      <c r="CK425" s="249"/>
      <c r="CL425" s="216"/>
      <c r="CM425" s="1194"/>
      <c r="CN425" s="1524"/>
      <c r="CO425" s="217"/>
      <c r="CP425" s="1193"/>
      <c r="CQ425" s="293"/>
      <c r="CR425" s="217"/>
      <c r="CS425" s="305"/>
      <c r="CT425" s="249"/>
      <c r="CU425" s="216"/>
      <c r="CV425" s="1193"/>
      <c r="CW425" s="249"/>
      <c r="CX425" s="216"/>
      <c r="CY425" s="305"/>
      <c r="CZ425" s="249"/>
      <c r="DA425" s="216"/>
      <c r="DB425" s="307"/>
      <c r="DC425" s="328"/>
      <c r="DD425" s="322"/>
      <c r="DE425" s="305"/>
      <c r="DF425" s="249"/>
      <c r="DG425" s="216"/>
      <c r="DH425" s="305"/>
      <c r="DI425" s="249"/>
      <c r="DJ425" s="216"/>
      <c r="DK425" s="309"/>
      <c r="DL425" s="293"/>
      <c r="DM425" s="326"/>
      <c r="DN425" s="1256"/>
      <c r="DO425" s="214"/>
      <c r="DP425" s="1257"/>
      <c r="DQ425" s="1258"/>
      <c r="DR425" s="305"/>
      <c r="DS425" s="249"/>
      <c r="DT425" s="216"/>
      <c r="DU425" s="305"/>
      <c r="DV425" s="2520"/>
      <c r="DW425" s="2521"/>
      <c r="DX425" s="305"/>
      <c r="DY425" s="249"/>
      <c r="DZ425" s="221"/>
      <c r="EA425" s="388"/>
      <c r="EB425" s="249"/>
      <c r="EC425" s="216"/>
      <c r="ED425" s="1461"/>
      <c r="EE425" s="249"/>
      <c r="EF425" s="216"/>
      <c r="EG425" s="355"/>
      <c r="EH425" s="1425"/>
      <c r="EI425" s="1470"/>
      <c r="EJ425" s="249"/>
      <c r="EK425" s="221"/>
      <c r="EL425" s="313"/>
      <c r="EM425" s="249"/>
      <c r="EN425" s="221"/>
      <c r="EO425" s="313"/>
      <c r="EP425" s="249"/>
      <c r="EQ425" s="216"/>
      <c r="ER425" s="313"/>
      <c r="ES425" s="249"/>
      <c r="ET425" s="216"/>
      <c r="EU425" s="313"/>
      <c r="EV425" s="249"/>
      <c r="EW425" s="216"/>
      <c r="EX425" s="2505"/>
      <c r="EY425" s="249"/>
      <c r="EZ425" s="221"/>
      <c r="FA425" s="313"/>
      <c r="FB425" s="249"/>
      <c r="FC425" s="221"/>
      <c r="FD425" s="313"/>
      <c r="FE425" s="249"/>
      <c r="FF425" s="221"/>
      <c r="FG425" s="313"/>
      <c r="FH425" s="249"/>
      <c r="FI425" s="216"/>
      <c r="FJ425" s="1435"/>
      <c r="FK425" s="216"/>
      <c r="FL425" s="1268"/>
      <c r="FM425" s="1655"/>
      <c r="FN425" s="1268"/>
      <c r="FO425" s="1655"/>
      <c r="FP425" s="1268"/>
      <c r="FQ425" s="1656"/>
      <c r="FR425" s="249"/>
      <c r="FS425" s="216"/>
      <c r="FT425" s="1657"/>
      <c r="FU425" s="1658"/>
      <c r="FV425" s="242"/>
      <c r="FW425" s="343"/>
      <c r="FX425" s="222"/>
      <c r="FY425" s="336"/>
      <c r="FZ425" s="223"/>
      <c r="GA425" s="338"/>
      <c r="GB425" s="204"/>
      <c r="GC425" s="339"/>
      <c r="GD425" s="342"/>
      <c r="GE425" s="199"/>
      <c r="GF425" s="199"/>
      <c r="GG425" s="199"/>
      <c r="GH425" s="199"/>
      <c r="GI425" s="199"/>
      <c r="GJ425" s="199"/>
      <c r="GK425" s="199"/>
      <c r="GO425" s="322"/>
      <c r="GP425" s="1190"/>
      <c r="GQ425" s="1190"/>
      <c r="GS425" s="2879"/>
      <c r="GT425" s="2880"/>
      <c r="GU425" s="2881"/>
    </row>
    <row r="426" spans="1:203" ht="12" customHeight="1">
      <c r="A426" s="1252"/>
      <c r="B426" s="200"/>
      <c r="C426" s="486"/>
      <c r="T426" s="1186"/>
      <c r="U426" s="233"/>
      <c r="W426" s="218"/>
      <c r="X426" s="218"/>
      <c r="Y426" s="216"/>
      <c r="Z426" s="216"/>
      <c r="AA426" s="215"/>
      <c r="AB426" s="216"/>
      <c r="AC426" s="216"/>
      <c r="AD426" s="239"/>
      <c r="AE426" s="216"/>
      <c r="AF426" s="216"/>
      <c r="AG426" s="216"/>
      <c r="AH426" s="216"/>
      <c r="AI426" s="216"/>
      <c r="AJ426" s="216"/>
      <c r="AK426" s="239"/>
      <c r="AL426" s="216"/>
      <c r="AM426" s="216"/>
      <c r="AN426" s="216"/>
      <c r="AO426" s="216"/>
      <c r="AP426" s="216"/>
      <c r="AQ426" s="216"/>
      <c r="AR426" s="216"/>
      <c r="AS426" s="216"/>
      <c r="AT426" s="216"/>
      <c r="AU426" s="216"/>
      <c r="AV426" s="217"/>
      <c r="AW426" s="355"/>
      <c r="AX426" s="217"/>
      <c r="AY426" s="1559"/>
      <c r="AZ426" s="249"/>
      <c r="BA426" s="221"/>
      <c r="BB426" s="300"/>
      <c r="BC426" s="217"/>
      <c r="BD426" s="392"/>
      <c r="BE426" s="1244"/>
      <c r="BF426" s="249"/>
      <c r="BG426" s="252"/>
      <c r="BH426" s="1469"/>
      <c r="BI426" s="216"/>
      <c r="BJ426" s="1469"/>
      <c r="BK426" s="1459"/>
      <c r="BL426" s="260"/>
      <c r="BM426" s="214"/>
      <c r="BN426" s="293"/>
      <c r="BO426" s="217"/>
      <c r="BP426" s="355"/>
      <c r="BQ426" s="217"/>
      <c r="BR426" s="1193"/>
      <c r="BS426" s="249"/>
      <c r="BT426" s="216"/>
      <c r="BU426" s="1195"/>
      <c r="BV426" s="249"/>
      <c r="BW426" s="216"/>
      <c r="BX426" s="1195"/>
      <c r="BY426" s="249"/>
      <c r="BZ426" s="216"/>
      <c r="CA426" s="1195"/>
      <c r="CB426" s="249"/>
      <c r="CC426" s="216"/>
      <c r="CD426" s="1195"/>
      <c r="CE426" s="249"/>
      <c r="CF426" s="216"/>
      <c r="CG426" s="1195"/>
      <c r="CH426" s="249"/>
      <c r="CI426" s="216"/>
      <c r="CJ426" s="1195"/>
      <c r="CK426" s="249"/>
      <c r="CL426" s="216"/>
      <c r="CM426" s="1194"/>
      <c r="CN426" s="1524"/>
      <c r="CO426" s="217"/>
      <c r="CP426" s="1193"/>
      <c r="CQ426" s="293"/>
      <c r="CR426" s="217"/>
      <c r="CS426" s="305"/>
      <c r="CT426" s="249"/>
      <c r="CU426" s="216"/>
      <c r="CV426" s="1193"/>
      <c r="CW426" s="249"/>
      <c r="CX426" s="216"/>
      <c r="CY426" s="305"/>
      <c r="CZ426" s="249"/>
      <c r="DA426" s="216"/>
      <c r="DB426" s="307"/>
      <c r="DC426" s="328"/>
      <c r="DD426" s="322"/>
      <c r="DE426" s="305"/>
      <c r="DF426" s="249"/>
      <c r="DG426" s="216"/>
      <c r="DH426" s="305"/>
      <c r="DI426" s="249"/>
      <c r="DJ426" s="216"/>
      <c r="DK426" s="309"/>
      <c r="DL426" s="293"/>
      <c r="DM426" s="326"/>
      <c r="DN426" s="1256"/>
      <c r="DO426" s="214"/>
      <c r="DP426" s="1257"/>
      <c r="DQ426" s="1258"/>
      <c r="DR426" s="305"/>
      <c r="DS426" s="249"/>
      <c r="DT426" s="216"/>
      <c r="DU426" s="305"/>
      <c r="DV426" s="2520"/>
      <c r="DW426" s="2521"/>
      <c r="DX426" s="305"/>
      <c r="DY426" s="249"/>
      <c r="DZ426" s="221"/>
      <c r="EA426" s="388"/>
      <c r="EB426" s="249"/>
      <c r="EC426" s="216"/>
      <c r="ED426" s="1461"/>
      <c r="EE426" s="249"/>
      <c r="EF426" s="216"/>
      <c r="EG426" s="355"/>
      <c r="EH426" s="1425"/>
      <c r="EI426" s="1470"/>
      <c r="EJ426" s="249"/>
      <c r="EK426" s="221"/>
      <c r="EL426" s="313"/>
      <c r="EM426" s="249"/>
      <c r="EN426" s="221"/>
      <c r="EO426" s="313"/>
      <c r="EP426" s="249"/>
      <c r="EQ426" s="216"/>
      <c r="ER426" s="313"/>
      <c r="ES426" s="249"/>
      <c r="ET426" s="216"/>
      <c r="EU426" s="313"/>
      <c r="EV426" s="249"/>
      <c r="EW426" s="216"/>
      <c r="EX426" s="2505"/>
      <c r="EY426" s="249"/>
      <c r="EZ426" s="221"/>
      <c r="FA426" s="313"/>
      <c r="FB426" s="249"/>
      <c r="FC426" s="221"/>
      <c r="FD426" s="313"/>
      <c r="FE426" s="249"/>
      <c r="FF426" s="221"/>
      <c r="FG426" s="313"/>
      <c r="FH426" s="249"/>
      <c r="FI426" s="216"/>
      <c r="FJ426" s="1435"/>
      <c r="FK426" s="216"/>
      <c r="FL426" s="1268"/>
      <c r="FM426" s="1655"/>
      <c r="FN426" s="1268"/>
      <c r="FO426" s="1655"/>
      <c r="FP426" s="1268"/>
      <c r="FQ426" s="1656"/>
      <c r="FR426" s="249"/>
      <c r="FS426" s="216"/>
      <c r="FT426" s="1657"/>
      <c r="FU426" s="1658"/>
      <c r="FV426" s="242"/>
      <c r="FW426" s="343"/>
      <c r="FX426" s="222"/>
      <c r="FY426" s="336"/>
      <c r="FZ426" s="223"/>
      <c r="GA426" s="338"/>
      <c r="GB426" s="204"/>
      <c r="GC426" s="339"/>
      <c r="GD426" s="342"/>
      <c r="GE426" s="199"/>
      <c r="GF426" s="199"/>
      <c r="GG426" s="199"/>
      <c r="GH426" s="199"/>
      <c r="GI426" s="199"/>
      <c r="GJ426" s="199"/>
      <c r="GK426" s="199"/>
      <c r="GO426" s="322"/>
      <c r="GP426" s="1190"/>
      <c r="GQ426" s="1190"/>
      <c r="GS426" s="2879"/>
      <c r="GT426" s="2880"/>
      <c r="GU426" s="2881"/>
    </row>
    <row r="427" spans="1:203" ht="12" customHeight="1">
      <c r="A427" s="1252"/>
      <c r="B427" s="200"/>
      <c r="C427" s="486"/>
      <c r="T427" s="1186"/>
      <c r="U427" s="233"/>
      <c r="W427" s="218"/>
      <c r="X427" s="218"/>
      <c r="Y427" s="216"/>
      <c r="Z427" s="216"/>
      <c r="AA427" s="215"/>
      <c r="AB427" s="216"/>
      <c r="AC427" s="216"/>
      <c r="AD427" s="239"/>
      <c r="AE427" s="216"/>
      <c r="AF427" s="216"/>
      <c r="AG427" s="216"/>
      <c r="AH427" s="216"/>
      <c r="AI427" s="216"/>
      <c r="AJ427" s="216"/>
      <c r="AK427" s="239"/>
      <c r="AL427" s="216"/>
      <c r="AM427" s="216"/>
      <c r="AN427" s="216"/>
      <c r="AO427" s="216"/>
      <c r="AP427" s="216"/>
      <c r="AQ427" s="216"/>
      <c r="AR427" s="216"/>
      <c r="AS427" s="216"/>
      <c r="AT427" s="216"/>
      <c r="AU427" s="216"/>
      <c r="AV427" s="217"/>
      <c r="AW427" s="355"/>
      <c r="AX427" s="217"/>
      <c r="AY427" s="1559"/>
      <c r="AZ427" s="249"/>
      <c r="BA427" s="221"/>
      <c r="BB427" s="300"/>
      <c r="BC427" s="217"/>
      <c r="BD427" s="392"/>
      <c r="BE427" s="1244"/>
      <c r="BF427" s="249"/>
      <c r="BG427" s="252"/>
      <c r="BH427" s="1469"/>
      <c r="BI427" s="216"/>
      <c r="BJ427" s="1469"/>
      <c r="BK427" s="1459"/>
      <c r="BL427" s="260"/>
      <c r="BM427" s="214"/>
      <c r="BN427" s="293"/>
      <c r="BO427" s="217"/>
      <c r="BP427" s="355"/>
      <c r="BQ427" s="217"/>
      <c r="BR427" s="1193"/>
      <c r="BS427" s="249"/>
      <c r="BT427" s="216"/>
      <c r="BU427" s="1195"/>
      <c r="BV427" s="249"/>
      <c r="BW427" s="216"/>
      <c r="BX427" s="1195"/>
      <c r="BY427" s="249"/>
      <c r="BZ427" s="216"/>
      <c r="CA427" s="1195"/>
      <c r="CB427" s="249"/>
      <c r="CC427" s="216"/>
      <c r="CD427" s="1195"/>
      <c r="CE427" s="249"/>
      <c r="CF427" s="216"/>
      <c r="CG427" s="1195"/>
      <c r="CH427" s="249"/>
      <c r="CI427" s="216"/>
      <c r="CJ427" s="1195"/>
      <c r="CK427" s="249"/>
      <c r="CL427" s="216"/>
      <c r="CM427" s="1194"/>
      <c r="CN427" s="1524"/>
      <c r="CO427" s="217"/>
      <c r="CP427" s="1193"/>
      <c r="CQ427" s="293"/>
      <c r="CR427" s="217"/>
      <c r="CS427" s="305"/>
      <c r="CT427" s="249"/>
      <c r="CU427" s="216"/>
      <c r="CV427" s="1193"/>
      <c r="CW427" s="249"/>
      <c r="CX427" s="216"/>
      <c r="CY427" s="305"/>
      <c r="CZ427" s="249"/>
      <c r="DA427" s="216"/>
      <c r="DB427" s="307"/>
      <c r="DC427" s="328"/>
      <c r="DD427" s="322"/>
      <c r="DE427" s="305"/>
      <c r="DF427" s="249"/>
      <c r="DG427" s="216"/>
      <c r="DH427" s="305"/>
      <c r="DI427" s="249"/>
      <c r="DJ427" s="216"/>
      <c r="DK427" s="309"/>
      <c r="DL427" s="293"/>
      <c r="DM427" s="326"/>
      <c r="DN427" s="1256"/>
      <c r="DO427" s="214"/>
      <c r="DP427" s="1257"/>
      <c r="DQ427" s="1258"/>
      <c r="DR427" s="305"/>
      <c r="DS427" s="249"/>
      <c r="DT427" s="216"/>
      <c r="DU427" s="305"/>
      <c r="DV427" s="2520"/>
      <c r="DW427" s="2521"/>
      <c r="DX427" s="305"/>
      <c r="DY427" s="249"/>
      <c r="DZ427" s="221"/>
      <c r="EA427" s="388"/>
      <c r="EB427" s="249"/>
      <c r="EC427" s="216"/>
      <c r="ED427" s="1461"/>
      <c r="EE427" s="249"/>
      <c r="EF427" s="216"/>
      <c r="EG427" s="355"/>
      <c r="EH427" s="1425"/>
      <c r="EI427" s="1470"/>
      <c r="EJ427" s="249"/>
      <c r="EK427" s="221"/>
      <c r="EL427" s="313"/>
      <c r="EM427" s="249"/>
      <c r="EN427" s="221"/>
      <c r="EO427" s="313"/>
      <c r="EP427" s="249"/>
      <c r="EQ427" s="216"/>
      <c r="ER427" s="313"/>
      <c r="ES427" s="249"/>
      <c r="ET427" s="216"/>
      <c r="EU427" s="313"/>
      <c r="EV427" s="249"/>
      <c r="EW427" s="216"/>
      <c r="EX427" s="2505"/>
      <c r="EY427" s="249"/>
      <c r="EZ427" s="221"/>
      <c r="FA427" s="313"/>
      <c r="FB427" s="249"/>
      <c r="FC427" s="221"/>
      <c r="FD427" s="313"/>
      <c r="FE427" s="249"/>
      <c r="FF427" s="221"/>
      <c r="FG427" s="313"/>
      <c r="FH427" s="249"/>
      <c r="FI427" s="216"/>
      <c r="FJ427" s="1435"/>
      <c r="FK427" s="216"/>
      <c r="FL427" s="1268"/>
      <c r="FM427" s="1655"/>
      <c r="FN427" s="1268"/>
      <c r="FO427" s="1655"/>
      <c r="FP427" s="1268"/>
      <c r="FQ427" s="1656"/>
      <c r="FR427" s="249"/>
      <c r="FS427" s="216"/>
      <c r="FT427" s="1657"/>
      <c r="FU427" s="1658"/>
      <c r="FV427" s="242"/>
      <c r="FW427" s="343"/>
      <c r="FX427" s="222"/>
      <c r="FY427" s="336"/>
      <c r="FZ427" s="223"/>
      <c r="GA427" s="338"/>
      <c r="GB427" s="204"/>
      <c r="GC427" s="339"/>
      <c r="GD427" s="342"/>
      <c r="GE427" s="199"/>
      <c r="GF427" s="199"/>
      <c r="GG427" s="199"/>
      <c r="GH427" s="199"/>
      <c r="GI427" s="199"/>
      <c r="GJ427" s="199"/>
      <c r="GK427" s="199"/>
      <c r="GO427" s="322"/>
      <c r="GP427" s="1190"/>
      <c r="GQ427" s="1190"/>
      <c r="GS427" s="2879"/>
      <c r="GT427" s="2880"/>
      <c r="GU427" s="2881"/>
    </row>
    <row r="428" spans="1:203" ht="12" customHeight="1">
      <c r="A428" s="1252"/>
      <c r="B428" s="200"/>
      <c r="C428" s="486"/>
      <c r="T428" s="1186"/>
      <c r="U428" s="233"/>
      <c r="W428" s="218"/>
      <c r="X428" s="218"/>
      <c r="Y428" s="216"/>
      <c r="Z428" s="216"/>
      <c r="AA428" s="215"/>
      <c r="AB428" s="216"/>
      <c r="AC428" s="216"/>
      <c r="AD428" s="239"/>
      <c r="AE428" s="216"/>
      <c r="AF428" s="216"/>
      <c r="AG428" s="216"/>
      <c r="AH428" s="216"/>
      <c r="AI428" s="216"/>
      <c r="AJ428" s="216"/>
      <c r="AK428" s="239"/>
      <c r="AL428" s="216"/>
      <c r="AM428" s="216"/>
      <c r="AN428" s="216"/>
      <c r="AO428" s="216"/>
      <c r="AP428" s="216"/>
      <c r="AQ428" s="216"/>
      <c r="AR428" s="216"/>
      <c r="AS428" s="216"/>
      <c r="AT428" s="216"/>
      <c r="AU428" s="216"/>
      <c r="AV428" s="217"/>
      <c r="AW428" s="355"/>
      <c r="AX428" s="217"/>
      <c r="AY428" s="1559"/>
      <c r="AZ428" s="249"/>
      <c r="BA428" s="221"/>
      <c r="BB428" s="300"/>
      <c r="BC428" s="217"/>
      <c r="BD428" s="392"/>
      <c r="BE428" s="1244"/>
      <c r="BF428" s="249"/>
      <c r="BG428" s="252"/>
      <c r="BH428" s="1469"/>
      <c r="BI428" s="216"/>
      <c r="BJ428" s="1469"/>
      <c r="BK428" s="1459"/>
      <c r="BL428" s="260"/>
      <c r="BM428" s="214"/>
      <c r="BN428" s="293"/>
      <c r="BO428" s="217"/>
      <c r="BP428" s="355"/>
      <c r="BQ428" s="217"/>
      <c r="BR428" s="1193"/>
      <c r="BS428" s="249"/>
      <c r="BT428" s="216"/>
      <c r="BU428" s="1195"/>
      <c r="BV428" s="249"/>
      <c r="BW428" s="216"/>
      <c r="BX428" s="1195"/>
      <c r="BY428" s="249"/>
      <c r="BZ428" s="216"/>
      <c r="CA428" s="1195"/>
      <c r="CB428" s="249"/>
      <c r="CC428" s="216"/>
      <c r="CD428" s="1195"/>
      <c r="CE428" s="249"/>
      <c r="CF428" s="216"/>
      <c r="CG428" s="1195"/>
      <c r="CH428" s="249"/>
      <c r="CI428" s="216"/>
      <c r="CJ428" s="1195"/>
      <c r="CK428" s="249"/>
      <c r="CL428" s="216"/>
      <c r="CM428" s="1194"/>
      <c r="CN428" s="1524"/>
      <c r="CO428" s="217"/>
      <c r="CP428" s="1193"/>
      <c r="CQ428" s="293"/>
      <c r="CR428" s="217"/>
      <c r="CS428" s="305"/>
      <c r="CT428" s="249"/>
      <c r="CU428" s="216"/>
      <c r="CV428" s="1193"/>
      <c r="CW428" s="249"/>
      <c r="CX428" s="216"/>
      <c r="CY428" s="305"/>
      <c r="CZ428" s="249"/>
      <c r="DA428" s="216"/>
      <c r="DB428" s="307"/>
      <c r="DC428" s="328"/>
      <c r="DD428" s="322"/>
      <c r="DE428" s="305"/>
      <c r="DF428" s="249"/>
      <c r="DG428" s="216"/>
      <c r="DH428" s="305"/>
      <c r="DI428" s="249"/>
      <c r="DJ428" s="216"/>
      <c r="DK428" s="309"/>
      <c r="DL428" s="293"/>
      <c r="DM428" s="326"/>
      <c r="DN428" s="1256"/>
      <c r="DO428" s="214"/>
      <c r="DP428" s="1257"/>
      <c r="DQ428" s="1258"/>
      <c r="DR428" s="305"/>
      <c r="DS428" s="249"/>
      <c r="DT428" s="216"/>
      <c r="DU428" s="305"/>
      <c r="DV428" s="2520"/>
      <c r="DW428" s="2521"/>
      <c r="DX428" s="305"/>
      <c r="DY428" s="249"/>
      <c r="DZ428" s="221"/>
      <c r="EA428" s="388"/>
      <c r="EB428" s="249"/>
      <c r="EC428" s="216"/>
      <c r="ED428" s="1461"/>
      <c r="EE428" s="249"/>
      <c r="EF428" s="216"/>
      <c r="EG428" s="355"/>
      <c r="EH428" s="1425"/>
      <c r="EI428" s="1470"/>
      <c r="EJ428" s="249"/>
      <c r="EK428" s="221"/>
      <c r="EL428" s="313"/>
      <c r="EM428" s="249"/>
      <c r="EN428" s="221"/>
      <c r="EO428" s="313"/>
      <c r="EP428" s="249"/>
      <c r="EQ428" s="216"/>
      <c r="ER428" s="313"/>
      <c r="ES428" s="249"/>
      <c r="ET428" s="216"/>
      <c r="EU428" s="313"/>
      <c r="EV428" s="249"/>
      <c r="EW428" s="216"/>
      <c r="EX428" s="2505"/>
      <c r="EY428" s="249"/>
      <c r="EZ428" s="221"/>
      <c r="FA428" s="313"/>
      <c r="FB428" s="249"/>
      <c r="FC428" s="221"/>
      <c r="FD428" s="313"/>
      <c r="FE428" s="249"/>
      <c r="FF428" s="221"/>
      <c r="FG428" s="313"/>
      <c r="FH428" s="249"/>
      <c r="FI428" s="216"/>
      <c r="FJ428" s="1435"/>
      <c r="FK428" s="216"/>
      <c r="FL428" s="1268"/>
      <c r="FM428" s="1655"/>
      <c r="FN428" s="1268"/>
      <c r="FO428" s="1655"/>
      <c r="FP428" s="1268"/>
      <c r="FQ428" s="1656"/>
      <c r="FR428" s="249"/>
      <c r="FS428" s="216"/>
      <c r="FT428" s="1657"/>
      <c r="FU428" s="1658"/>
      <c r="FV428" s="242"/>
      <c r="FW428" s="343"/>
      <c r="FX428" s="222"/>
      <c r="FY428" s="336"/>
      <c r="FZ428" s="223"/>
      <c r="GA428" s="338"/>
      <c r="GB428" s="204"/>
      <c r="GC428" s="339"/>
      <c r="GD428" s="342"/>
      <c r="GE428" s="199"/>
      <c r="GF428" s="199"/>
      <c r="GG428" s="199"/>
      <c r="GH428" s="199"/>
      <c r="GI428" s="199"/>
      <c r="GJ428" s="199"/>
      <c r="GK428" s="199"/>
      <c r="GO428" s="322"/>
      <c r="GP428" s="1190"/>
      <c r="GQ428" s="1190"/>
      <c r="GS428" s="2879"/>
      <c r="GT428" s="2880"/>
      <c r="GU428" s="2881"/>
    </row>
    <row r="429" spans="1:203" ht="12" customHeight="1">
      <c r="A429" s="1252"/>
      <c r="B429" s="200"/>
      <c r="C429" s="486"/>
      <c r="T429" s="1186"/>
      <c r="U429" s="233"/>
      <c r="W429" s="218"/>
      <c r="X429" s="218"/>
      <c r="Y429" s="216"/>
      <c r="Z429" s="216"/>
      <c r="AA429" s="215"/>
      <c r="AB429" s="216"/>
      <c r="AC429" s="216"/>
      <c r="AD429" s="239"/>
      <c r="AE429" s="216"/>
      <c r="AF429" s="216"/>
      <c r="AG429" s="216"/>
      <c r="AH429" s="216"/>
      <c r="AI429" s="216"/>
      <c r="AJ429" s="216"/>
      <c r="AK429" s="239"/>
      <c r="AL429" s="216"/>
      <c r="AM429" s="216"/>
      <c r="AN429" s="216"/>
      <c r="AO429" s="216"/>
      <c r="AP429" s="216"/>
      <c r="AQ429" s="216"/>
      <c r="AR429" s="216"/>
      <c r="AS429" s="216"/>
      <c r="AT429" s="216"/>
      <c r="AU429" s="216"/>
      <c r="AV429" s="217"/>
      <c r="AW429" s="355"/>
      <c r="AX429" s="217"/>
      <c r="AY429" s="1559"/>
      <c r="AZ429" s="249"/>
      <c r="BA429" s="221"/>
      <c r="BB429" s="300"/>
      <c r="BC429" s="217"/>
      <c r="BD429" s="392"/>
      <c r="BE429" s="1244"/>
      <c r="BF429" s="249"/>
      <c r="BG429" s="252"/>
      <c r="BH429" s="1469"/>
      <c r="BI429" s="216"/>
      <c r="BJ429" s="1469"/>
      <c r="BK429" s="1459"/>
      <c r="BL429" s="260"/>
      <c r="BM429" s="214"/>
      <c r="BN429" s="293"/>
      <c r="BO429" s="217"/>
      <c r="BP429" s="355"/>
      <c r="BQ429" s="217"/>
      <c r="BR429" s="1193"/>
      <c r="BS429" s="249"/>
      <c r="BT429" s="216"/>
      <c r="BU429" s="1195"/>
      <c r="BV429" s="249"/>
      <c r="BW429" s="216"/>
      <c r="BX429" s="1195"/>
      <c r="BY429" s="249"/>
      <c r="BZ429" s="216"/>
      <c r="CA429" s="1195"/>
      <c r="CB429" s="249"/>
      <c r="CC429" s="216"/>
      <c r="CD429" s="1195"/>
      <c r="CE429" s="249"/>
      <c r="CF429" s="216"/>
      <c r="CG429" s="1195"/>
      <c r="CH429" s="249"/>
      <c r="CI429" s="216"/>
      <c r="CJ429" s="1195"/>
      <c r="CK429" s="249"/>
      <c r="CL429" s="216"/>
      <c r="CM429" s="1194"/>
      <c r="CN429" s="1524"/>
      <c r="CO429" s="217"/>
      <c r="CP429" s="1193"/>
      <c r="CQ429" s="293"/>
      <c r="CR429" s="217"/>
      <c r="CS429" s="305"/>
      <c r="CT429" s="249"/>
      <c r="CU429" s="216"/>
      <c r="CV429" s="1193"/>
      <c r="CW429" s="249"/>
      <c r="CX429" s="216"/>
      <c r="CY429" s="305"/>
      <c r="CZ429" s="249"/>
      <c r="DA429" s="216"/>
      <c r="DB429" s="307"/>
      <c r="DC429" s="328"/>
      <c r="DD429" s="322"/>
      <c r="DE429" s="305"/>
      <c r="DF429" s="249"/>
      <c r="DG429" s="216"/>
      <c r="DH429" s="305"/>
      <c r="DI429" s="249"/>
      <c r="DJ429" s="216"/>
      <c r="DK429" s="309"/>
      <c r="DL429" s="293"/>
      <c r="DM429" s="326"/>
      <c r="DN429" s="1256"/>
      <c r="DO429" s="214"/>
      <c r="DP429" s="1257"/>
      <c r="DQ429" s="1258"/>
      <c r="DR429" s="305"/>
      <c r="DS429" s="249"/>
      <c r="DT429" s="216"/>
      <c r="DU429" s="305"/>
      <c r="DV429" s="2520"/>
      <c r="DW429" s="2521"/>
      <c r="DX429" s="305"/>
      <c r="DY429" s="249"/>
      <c r="DZ429" s="221"/>
      <c r="EA429" s="388"/>
      <c r="EB429" s="249"/>
      <c r="EC429" s="216"/>
      <c r="ED429" s="1461"/>
      <c r="EE429" s="249"/>
      <c r="EF429" s="216"/>
      <c r="EG429" s="355"/>
      <c r="EH429" s="1425"/>
      <c r="EI429" s="1470"/>
      <c r="EJ429" s="249"/>
      <c r="EK429" s="221"/>
      <c r="EL429" s="313"/>
      <c r="EM429" s="249"/>
      <c r="EN429" s="221"/>
      <c r="EO429" s="313"/>
      <c r="EP429" s="249"/>
      <c r="EQ429" s="216"/>
      <c r="ER429" s="313"/>
      <c r="ES429" s="249"/>
      <c r="ET429" s="216"/>
      <c r="EU429" s="313"/>
      <c r="EV429" s="249"/>
      <c r="EW429" s="216"/>
      <c r="EX429" s="2505"/>
      <c r="EY429" s="249"/>
      <c r="EZ429" s="221"/>
      <c r="FA429" s="313"/>
      <c r="FB429" s="249"/>
      <c r="FC429" s="221"/>
      <c r="FD429" s="313"/>
      <c r="FE429" s="249"/>
      <c r="FF429" s="221"/>
      <c r="FG429" s="313"/>
      <c r="FH429" s="249"/>
      <c r="FI429" s="216"/>
      <c r="FJ429" s="1435"/>
      <c r="FK429" s="216"/>
      <c r="FL429" s="1268"/>
      <c r="FM429" s="1655"/>
      <c r="FN429" s="1268"/>
      <c r="FO429" s="1655"/>
      <c r="FP429" s="1268"/>
      <c r="FQ429" s="1656"/>
      <c r="FR429" s="249"/>
      <c r="FS429" s="216"/>
      <c r="FT429" s="1657"/>
      <c r="FU429" s="1658"/>
      <c r="FV429" s="242"/>
      <c r="FW429" s="343"/>
      <c r="FX429" s="222"/>
      <c r="FY429" s="336"/>
      <c r="FZ429" s="223"/>
      <c r="GA429" s="338"/>
      <c r="GB429" s="204"/>
      <c r="GC429" s="339"/>
      <c r="GD429" s="342"/>
      <c r="GE429" s="199"/>
      <c r="GF429" s="199"/>
      <c r="GG429" s="199"/>
      <c r="GH429" s="199"/>
      <c r="GI429" s="199"/>
      <c r="GJ429" s="199"/>
      <c r="GK429" s="199"/>
      <c r="GO429" s="322"/>
      <c r="GP429" s="1190"/>
      <c r="GQ429" s="1190"/>
      <c r="GS429" s="2879"/>
      <c r="GT429" s="2880"/>
      <c r="GU429" s="2881"/>
    </row>
    <row r="430" spans="1:203" ht="12" customHeight="1">
      <c r="A430" s="1252"/>
      <c r="B430" s="200"/>
      <c r="C430" s="486"/>
      <c r="T430" s="1186"/>
      <c r="U430" s="233"/>
      <c r="W430" s="218"/>
      <c r="X430" s="218"/>
      <c r="Y430" s="216"/>
      <c r="Z430" s="216"/>
      <c r="AA430" s="215"/>
      <c r="AB430" s="216"/>
      <c r="AC430" s="216"/>
      <c r="AD430" s="239"/>
      <c r="AE430" s="216"/>
      <c r="AF430" s="216"/>
      <c r="AG430" s="216"/>
      <c r="AH430" s="216"/>
      <c r="AI430" s="216"/>
      <c r="AJ430" s="216"/>
      <c r="AK430" s="239"/>
      <c r="AL430" s="216"/>
      <c r="AM430" s="216"/>
      <c r="AN430" s="216"/>
      <c r="AO430" s="216"/>
      <c r="AP430" s="216"/>
      <c r="AQ430" s="216"/>
      <c r="AR430" s="216"/>
      <c r="AS430" s="216"/>
      <c r="AT430" s="216"/>
      <c r="AU430" s="216"/>
      <c r="AV430" s="217"/>
      <c r="AW430" s="355"/>
      <c r="AX430" s="217"/>
      <c r="AY430" s="1559"/>
      <c r="AZ430" s="249"/>
      <c r="BA430" s="221"/>
      <c r="BB430" s="300"/>
      <c r="BC430" s="217"/>
      <c r="BD430" s="392"/>
      <c r="BE430" s="1244"/>
      <c r="BF430" s="249"/>
      <c r="BG430" s="252"/>
      <c r="BH430" s="1469"/>
      <c r="BI430" s="216"/>
      <c r="BJ430" s="1469"/>
      <c r="BK430" s="1459"/>
      <c r="BL430" s="260"/>
      <c r="BM430" s="214"/>
      <c r="BN430" s="293"/>
      <c r="BO430" s="217"/>
      <c r="BP430" s="355"/>
      <c r="BQ430" s="217"/>
      <c r="BR430" s="1193"/>
      <c r="BS430" s="249"/>
      <c r="BT430" s="216"/>
      <c r="BU430" s="1195"/>
      <c r="BV430" s="249"/>
      <c r="BW430" s="216"/>
      <c r="BX430" s="1195"/>
      <c r="BY430" s="249"/>
      <c r="BZ430" s="216"/>
      <c r="CA430" s="1195"/>
      <c r="CB430" s="249"/>
      <c r="CC430" s="216"/>
      <c r="CD430" s="1195"/>
      <c r="CE430" s="249"/>
      <c r="CF430" s="216"/>
      <c r="CG430" s="1195"/>
      <c r="CH430" s="249"/>
      <c r="CI430" s="216"/>
      <c r="CJ430" s="1195"/>
      <c r="CK430" s="249"/>
      <c r="CL430" s="216"/>
      <c r="CM430" s="1194"/>
      <c r="CN430" s="1524"/>
      <c r="CO430" s="217"/>
      <c r="CP430" s="1193"/>
      <c r="CQ430" s="293"/>
      <c r="CR430" s="217"/>
      <c r="CS430" s="305"/>
      <c r="CT430" s="249"/>
      <c r="CU430" s="216"/>
      <c r="CV430" s="1193"/>
      <c r="CW430" s="249"/>
      <c r="CX430" s="216"/>
      <c r="CY430" s="305"/>
      <c r="CZ430" s="249"/>
      <c r="DA430" s="216"/>
      <c r="DB430" s="307"/>
      <c r="DC430" s="328"/>
      <c r="DD430" s="322"/>
      <c r="DE430" s="305"/>
      <c r="DF430" s="249"/>
      <c r="DG430" s="216"/>
      <c r="DH430" s="305"/>
      <c r="DI430" s="249"/>
      <c r="DJ430" s="216"/>
      <c r="DK430" s="309"/>
      <c r="DL430" s="293"/>
      <c r="DM430" s="326"/>
      <c r="DN430" s="1256"/>
      <c r="DO430" s="214"/>
      <c r="DP430" s="1257"/>
      <c r="DQ430" s="1258"/>
      <c r="DR430" s="305"/>
      <c r="DS430" s="249"/>
      <c r="DT430" s="216"/>
      <c r="DU430" s="305"/>
      <c r="DV430" s="2520"/>
      <c r="DW430" s="2521"/>
      <c r="DX430" s="305"/>
      <c r="DY430" s="249"/>
      <c r="DZ430" s="221"/>
      <c r="EA430" s="388"/>
      <c r="EB430" s="249"/>
      <c r="EC430" s="216"/>
      <c r="ED430" s="1461"/>
      <c r="EE430" s="249"/>
      <c r="EF430" s="216"/>
      <c r="EG430" s="355"/>
      <c r="EH430" s="1425"/>
      <c r="EI430" s="1470"/>
      <c r="EJ430" s="249"/>
      <c r="EK430" s="221"/>
      <c r="EL430" s="313"/>
      <c r="EM430" s="249"/>
      <c r="EN430" s="221"/>
      <c r="EO430" s="313"/>
      <c r="EP430" s="249"/>
      <c r="EQ430" s="216"/>
      <c r="ER430" s="313"/>
      <c r="ES430" s="249"/>
      <c r="ET430" s="216"/>
      <c r="EU430" s="313"/>
      <c r="EV430" s="249"/>
      <c r="EW430" s="216"/>
      <c r="EX430" s="2505"/>
      <c r="EY430" s="249"/>
      <c r="EZ430" s="221"/>
      <c r="FA430" s="313"/>
      <c r="FB430" s="249"/>
      <c r="FC430" s="221"/>
      <c r="FD430" s="313"/>
      <c r="FE430" s="249"/>
      <c r="FF430" s="221"/>
      <c r="FG430" s="313"/>
      <c r="FH430" s="249"/>
      <c r="FI430" s="216"/>
      <c r="FJ430" s="1435"/>
      <c r="FK430" s="216"/>
      <c r="FL430" s="1268"/>
      <c r="FM430" s="1655"/>
      <c r="FN430" s="1268"/>
      <c r="FO430" s="1655"/>
      <c r="FP430" s="1268"/>
      <c r="FQ430" s="1656"/>
      <c r="FR430" s="249"/>
      <c r="FS430" s="216"/>
      <c r="FT430" s="1657"/>
      <c r="FU430" s="1658"/>
      <c r="FV430" s="242"/>
      <c r="FW430" s="343"/>
      <c r="FX430" s="222"/>
      <c r="FY430" s="336"/>
      <c r="FZ430" s="223"/>
      <c r="GA430" s="338"/>
      <c r="GB430" s="204"/>
      <c r="GC430" s="339"/>
      <c r="GD430" s="342"/>
      <c r="GE430" s="199"/>
      <c r="GF430" s="199"/>
      <c r="GG430" s="199"/>
      <c r="GH430" s="199"/>
      <c r="GI430" s="199"/>
      <c r="GJ430" s="199"/>
      <c r="GK430" s="199"/>
      <c r="GO430" s="322"/>
      <c r="GP430" s="1190"/>
      <c r="GQ430" s="1190"/>
      <c r="GS430" s="2879"/>
      <c r="GT430" s="2880"/>
      <c r="GU430" s="2881"/>
    </row>
    <row r="431" spans="1:203" ht="12" customHeight="1">
      <c r="A431" s="1252"/>
      <c r="B431" s="200"/>
      <c r="C431" s="486"/>
      <c r="T431" s="1186"/>
      <c r="U431" s="233"/>
      <c r="W431" s="218"/>
      <c r="X431" s="218"/>
      <c r="Y431" s="216"/>
      <c r="Z431" s="216"/>
      <c r="AA431" s="215"/>
      <c r="AB431" s="216"/>
      <c r="AC431" s="216"/>
      <c r="AD431" s="239"/>
      <c r="AE431" s="216"/>
      <c r="AF431" s="216"/>
      <c r="AG431" s="216"/>
      <c r="AH431" s="216"/>
      <c r="AI431" s="216"/>
      <c r="AJ431" s="216"/>
      <c r="AK431" s="239"/>
      <c r="AL431" s="216"/>
      <c r="AM431" s="216"/>
      <c r="AN431" s="216"/>
      <c r="AO431" s="216"/>
      <c r="AP431" s="216"/>
      <c r="AQ431" s="216"/>
      <c r="AR431" s="216"/>
      <c r="AS431" s="216"/>
      <c r="AT431" s="216"/>
      <c r="AU431" s="216"/>
      <c r="AV431" s="217"/>
      <c r="AW431" s="355"/>
      <c r="AX431" s="217"/>
      <c r="AY431" s="1559"/>
      <c r="AZ431" s="249"/>
      <c r="BA431" s="221"/>
      <c r="BB431" s="300"/>
      <c r="BC431" s="217"/>
      <c r="BD431" s="392"/>
      <c r="BE431" s="1244"/>
      <c r="BF431" s="249"/>
      <c r="BG431" s="252"/>
      <c r="BH431" s="1469"/>
      <c r="BI431" s="216"/>
      <c r="BJ431" s="1469"/>
      <c r="BK431" s="1459"/>
      <c r="BL431" s="260"/>
      <c r="BM431" s="214"/>
      <c r="BN431" s="293"/>
      <c r="BO431" s="217"/>
      <c r="BP431" s="355"/>
      <c r="BQ431" s="217"/>
      <c r="BR431" s="1193"/>
      <c r="BS431" s="249"/>
      <c r="BT431" s="216"/>
      <c r="BU431" s="1195"/>
      <c r="BV431" s="249"/>
      <c r="BW431" s="216"/>
      <c r="BX431" s="1195"/>
      <c r="BY431" s="249"/>
      <c r="BZ431" s="216"/>
      <c r="CA431" s="1195"/>
      <c r="CB431" s="249"/>
      <c r="CC431" s="216"/>
      <c r="CD431" s="1195"/>
      <c r="CE431" s="249"/>
      <c r="CF431" s="216"/>
      <c r="CG431" s="1195"/>
      <c r="CH431" s="249"/>
      <c r="CI431" s="216"/>
      <c r="CJ431" s="1195"/>
      <c r="CK431" s="249"/>
      <c r="CL431" s="216"/>
      <c r="CM431" s="1194"/>
      <c r="CN431" s="1524"/>
      <c r="CO431" s="217"/>
      <c r="CP431" s="1193"/>
      <c r="CQ431" s="293"/>
      <c r="CR431" s="217"/>
      <c r="CS431" s="305"/>
      <c r="CT431" s="249"/>
      <c r="CU431" s="216"/>
      <c r="CV431" s="1193"/>
      <c r="CW431" s="249"/>
      <c r="CX431" s="216"/>
      <c r="CY431" s="305"/>
      <c r="CZ431" s="249"/>
      <c r="DA431" s="216"/>
      <c r="DB431" s="307"/>
      <c r="DC431" s="328"/>
      <c r="DD431" s="322"/>
      <c r="DE431" s="305"/>
      <c r="DF431" s="249"/>
      <c r="DG431" s="216"/>
      <c r="DH431" s="305"/>
      <c r="DI431" s="249"/>
      <c r="DJ431" s="216"/>
      <c r="DK431" s="309"/>
      <c r="DL431" s="293"/>
      <c r="DM431" s="326"/>
      <c r="DN431" s="1256"/>
      <c r="DO431" s="214"/>
      <c r="DP431" s="1257"/>
      <c r="DQ431" s="1258"/>
      <c r="DR431" s="305"/>
      <c r="DS431" s="249"/>
      <c r="DT431" s="216"/>
      <c r="DU431" s="305"/>
      <c r="DV431" s="2520"/>
      <c r="DW431" s="2521"/>
      <c r="DX431" s="305"/>
      <c r="DY431" s="249"/>
      <c r="DZ431" s="221"/>
      <c r="EA431" s="388"/>
      <c r="EB431" s="249"/>
      <c r="EC431" s="216"/>
      <c r="ED431" s="1461"/>
      <c r="EE431" s="249"/>
      <c r="EF431" s="216"/>
      <c r="EG431" s="355"/>
      <c r="EH431" s="1425"/>
      <c r="EI431" s="1470"/>
      <c r="EJ431" s="249"/>
      <c r="EK431" s="221"/>
      <c r="EL431" s="313"/>
      <c r="EM431" s="249"/>
      <c r="EN431" s="221"/>
      <c r="EO431" s="313"/>
      <c r="EP431" s="249"/>
      <c r="EQ431" s="216"/>
      <c r="ER431" s="313"/>
      <c r="ES431" s="249"/>
      <c r="ET431" s="216"/>
      <c r="EU431" s="313"/>
      <c r="EV431" s="249"/>
      <c r="EW431" s="216"/>
      <c r="EX431" s="2505"/>
      <c r="EY431" s="249"/>
      <c r="EZ431" s="221"/>
      <c r="FA431" s="313"/>
      <c r="FB431" s="249"/>
      <c r="FC431" s="221"/>
      <c r="FD431" s="313"/>
      <c r="FE431" s="249"/>
      <c r="FF431" s="221"/>
      <c r="FG431" s="313"/>
      <c r="FH431" s="249"/>
      <c r="FI431" s="216"/>
      <c r="FJ431" s="1435"/>
      <c r="FK431" s="216"/>
      <c r="FL431" s="1268"/>
      <c r="FM431" s="1655"/>
      <c r="FN431" s="1268"/>
      <c r="FO431" s="1655"/>
      <c r="FP431" s="1268"/>
      <c r="FQ431" s="1656"/>
      <c r="FR431" s="249"/>
      <c r="FS431" s="216"/>
      <c r="FT431" s="1657"/>
      <c r="FU431" s="1658"/>
      <c r="FV431" s="242"/>
      <c r="FW431" s="343"/>
      <c r="FX431" s="222"/>
      <c r="FY431" s="336"/>
      <c r="FZ431" s="223"/>
      <c r="GA431" s="338"/>
      <c r="GB431" s="204"/>
      <c r="GC431" s="339"/>
      <c r="GD431" s="342"/>
      <c r="GE431" s="199"/>
      <c r="GF431" s="199"/>
      <c r="GG431" s="199"/>
      <c r="GH431" s="199"/>
      <c r="GI431" s="199"/>
      <c r="GJ431" s="199"/>
      <c r="GK431" s="199"/>
      <c r="GO431" s="322"/>
      <c r="GP431" s="1190"/>
      <c r="GQ431" s="1190"/>
      <c r="GS431" s="2879"/>
      <c r="GT431" s="2880"/>
      <c r="GU431" s="2881"/>
    </row>
    <row r="432" spans="1:203" ht="12" customHeight="1">
      <c r="A432" s="1252"/>
      <c r="B432" s="200"/>
      <c r="C432" s="486"/>
      <c r="T432" s="1186"/>
      <c r="U432" s="233"/>
      <c r="W432" s="218"/>
      <c r="X432" s="218"/>
      <c r="Y432" s="216"/>
      <c r="Z432" s="216"/>
      <c r="AA432" s="215"/>
      <c r="AB432" s="216"/>
      <c r="AC432" s="216"/>
      <c r="AD432" s="239"/>
      <c r="AE432" s="216"/>
      <c r="AF432" s="216"/>
      <c r="AG432" s="216"/>
      <c r="AH432" s="216"/>
      <c r="AI432" s="216"/>
      <c r="AJ432" s="216"/>
      <c r="AK432" s="239"/>
      <c r="AL432" s="216"/>
      <c r="AM432" s="216"/>
      <c r="AN432" s="216"/>
      <c r="AO432" s="216"/>
      <c r="AP432" s="216"/>
      <c r="AQ432" s="216"/>
      <c r="AR432" s="216"/>
      <c r="AS432" s="216"/>
      <c r="AT432" s="216"/>
      <c r="AU432" s="216"/>
      <c r="AV432" s="217"/>
      <c r="AW432" s="355"/>
      <c r="AX432" s="217"/>
      <c r="AY432" s="1559"/>
      <c r="AZ432" s="249"/>
      <c r="BA432" s="221"/>
      <c r="BB432" s="300"/>
      <c r="BC432" s="217"/>
      <c r="BD432" s="392"/>
      <c r="BE432" s="1244"/>
      <c r="BF432" s="249"/>
      <c r="BG432" s="252"/>
      <c r="BH432" s="1469"/>
      <c r="BI432" s="216"/>
      <c r="BJ432" s="1469"/>
      <c r="BK432" s="1459"/>
      <c r="BL432" s="260"/>
      <c r="BM432" s="214"/>
      <c r="BN432" s="293"/>
      <c r="BO432" s="217"/>
      <c r="BP432" s="355"/>
      <c r="BQ432" s="217"/>
      <c r="BR432" s="1193"/>
      <c r="BS432" s="249"/>
      <c r="BT432" s="216"/>
      <c r="BU432" s="1195"/>
      <c r="BV432" s="249"/>
      <c r="BW432" s="216"/>
      <c r="BX432" s="1195"/>
      <c r="BY432" s="249"/>
      <c r="BZ432" s="216"/>
      <c r="CA432" s="1195"/>
      <c r="CB432" s="249"/>
      <c r="CC432" s="216"/>
      <c r="CD432" s="1195"/>
      <c r="CE432" s="249"/>
      <c r="CF432" s="216"/>
      <c r="CG432" s="1195"/>
      <c r="CH432" s="249"/>
      <c r="CI432" s="216"/>
      <c r="CJ432" s="1195"/>
      <c r="CK432" s="249"/>
      <c r="CL432" s="216"/>
      <c r="CM432" s="1194"/>
      <c r="CN432" s="1524"/>
      <c r="CO432" s="217"/>
      <c r="CP432" s="1193"/>
      <c r="CQ432" s="293"/>
      <c r="CR432" s="217"/>
      <c r="CS432" s="305"/>
      <c r="CT432" s="249"/>
      <c r="CU432" s="216"/>
      <c r="CV432" s="1193"/>
      <c r="CW432" s="249"/>
      <c r="CX432" s="216"/>
      <c r="CY432" s="305"/>
      <c r="CZ432" s="249"/>
      <c r="DA432" s="216"/>
      <c r="DB432" s="307"/>
      <c r="DC432" s="328"/>
      <c r="DD432" s="322"/>
      <c r="DE432" s="305"/>
      <c r="DF432" s="249"/>
      <c r="DG432" s="216"/>
      <c r="DH432" s="305"/>
      <c r="DI432" s="249"/>
      <c r="DJ432" s="216"/>
      <c r="DK432" s="309"/>
      <c r="DL432" s="293"/>
      <c r="DM432" s="326"/>
      <c r="DN432" s="1256"/>
      <c r="DO432" s="214"/>
      <c r="DP432" s="1257"/>
      <c r="DQ432" s="1258"/>
      <c r="DR432" s="305"/>
      <c r="DS432" s="249"/>
      <c r="DT432" s="216"/>
      <c r="DU432" s="305"/>
      <c r="DV432" s="2520"/>
      <c r="DW432" s="2521"/>
      <c r="DX432" s="305"/>
      <c r="DY432" s="249"/>
      <c r="DZ432" s="221"/>
      <c r="EA432" s="388"/>
      <c r="EB432" s="249"/>
      <c r="EC432" s="216"/>
      <c r="ED432" s="1461"/>
      <c r="EE432" s="249"/>
      <c r="EF432" s="216"/>
      <c r="EG432" s="355"/>
      <c r="EH432" s="1425"/>
      <c r="EI432" s="1470"/>
      <c r="EJ432" s="249"/>
      <c r="EK432" s="221"/>
      <c r="EL432" s="313"/>
      <c r="EM432" s="249"/>
      <c r="EN432" s="221"/>
      <c r="EO432" s="313"/>
      <c r="EP432" s="249"/>
      <c r="EQ432" s="216"/>
      <c r="ER432" s="313"/>
      <c r="ES432" s="249"/>
      <c r="ET432" s="216"/>
      <c r="EU432" s="313"/>
      <c r="EV432" s="249"/>
      <c r="EW432" s="216"/>
      <c r="EX432" s="2505"/>
      <c r="EY432" s="249"/>
      <c r="EZ432" s="221"/>
      <c r="FA432" s="313"/>
      <c r="FB432" s="249"/>
      <c r="FC432" s="221"/>
      <c r="FD432" s="313"/>
      <c r="FE432" s="249"/>
      <c r="FF432" s="221"/>
      <c r="FG432" s="313"/>
      <c r="FH432" s="249"/>
      <c r="FI432" s="216"/>
      <c r="FJ432" s="1435"/>
      <c r="FK432" s="216"/>
      <c r="FL432" s="1268"/>
      <c r="FM432" s="1655"/>
      <c r="FN432" s="1268"/>
      <c r="FO432" s="1655"/>
      <c r="FP432" s="1268"/>
      <c r="FQ432" s="1656"/>
      <c r="FR432" s="249"/>
      <c r="FS432" s="216"/>
      <c r="FT432" s="1657"/>
      <c r="FU432" s="1658"/>
      <c r="FV432" s="242"/>
      <c r="FW432" s="343"/>
      <c r="FX432" s="222"/>
      <c r="FY432" s="336"/>
      <c r="FZ432" s="223"/>
      <c r="GA432" s="338"/>
      <c r="GB432" s="204"/>
      <c r="GC432" s="339"/>
      <c r="GD432" s="342"/>
      <c r="GE432" s="199"/>
      <c r="GF432" s="199"/>
      <c r="GG432" s="199"/>
      <c r="GH432" s="199"/>
      <c r="GI432" s="199"/>
      <c r="GJ432" s="199"/>
      <c r="GK432" s="199"/>
      <c r="GO432" s="322"/>
      <c r="GP432" s="1190"/>
      <c r="GQ432" s="1190"/>
      <c r="GS432" s="2879"/>
      <c r="GT432" s="2880"/>
      <c r="GU432" s="2881"/>
    </row>
    <row r="433" spans="1:203" ht="12" customHeight="1">
      <c r="A433" s="1252"/>
      <c r="B433" s="200"/>
      <c r="C433" s="486"/>
      <c r="T433" s="1186"/>
      <c r="U433" s="233"/>
      <c r="W433" s="218"/>
      <c r="X433" s="218"/>
      <c r="Y433" s="216"/>
      <c r="Z433" s="216"/>
      <c r="AA433" s="215"/>
      <c r="AB433" s="216"/>
      <c r="AC433" s="216"/>
      <c r="AD433" s="239"/>
      <c r="AE433" s="216"/>
      <c r="AF433" s="216"/>
      <c r="AG433" s="216"/>
      <c r="AH433" s="216"/>
      <c r="AI433" s="216"/>
      <c r="AJ433" s="216"/>
      <c r="AK433" s="239"/>
      <c r="AL433" s="216"/>
      <c r="AM433" s="216"/>
      <c r="AN433" s="216"/>
      <c r="AO433" s="216"/>
      <c r="AP433" s="216"/>
      <c r="AQ433" s="216"/>
      <c r="AR433" s="216"/>
      <c r="AS433" s="216"/>
      <c r="AT433" s="216"/>
      <c r="AU433" s="216"/>
      <c r="AV433" s="217"/>
      <c r="AW433" s="355"/>
      <c r="AX433" s="217"/>
      <c r="AY433" s="1559"/>
      <c r="AZ433" s="249"/>
      <c r="BA433" s="221"/>
      <c r="BB433" s="300"/>
      <c r="BC433" s="217"/>
      <c r="BD433" s="392"/>
      <c r="BE433" s="1244"/>
      <c r="BF433" s="249"/>
      <c r="BG433" s="252"/>
      <c r="BH433" s="1469"/>
      <c r="BI433" s="216"/>
      <c r="BJ433" s="1469"/>
      <c r="BK433" s="1459"/>
      <c r="BL433" s="260"/>
      <c r="BM433" s="214"/>
      <c r="BN433" s="293"/>
      <c r="BO433" s="217"/>
      <c r="BP433" s="355"/>
      <c r="BQ433" s="217"/>
      <c r="BR433" s="1193"/>
      <c r="BS433" s="249"/>
      <c r="BT433" s="216"/>
      <c r="BU433" s="1195"/>
      <c r="BV433" s="249"/>
      <c r="BW433" s="216"/>
      <c r="BX433" s="1195"/>
      <c r="BY433" s="249"/>
      <c r="BZ433" s="216"/>
      <c r="CA433" s="1195"/>
      <c r="CB433" s="249"/>
      <c r="CC433" s="216"/>
      <c r="CD433" s="1195"/>
      <c r="CE433" s="249"/>
      <c r="CF433" s="216"/>
      <c r="CG433" s="1195"/>
      <c r="CH433" s="249"/>
      <c r="CI433" s="216"/>
      <c r="CJ433" s="1195"/>
      <c r="CK433" s="249"/>
      <c r="CL433" s="216"/>
      <c r="CM433" s="1194"/>
      <c r="CN433" s="1524"/>
      <c r="CO433" s="217"/>
      <c r="CP433" s="1193"/>
      <c r="CQ433" s="293"/>
      <c r="CR433" s="217"/>
      <c r="CS433" s="305"/>
      <c r="CT433" s="249"/>
      <c r="CU433" s="216"/>
      <c r="CV433" s="1193"/>
      <c r="CW433" s="249"/>
      <c r="CX433" s="216"/>
      <c r="CY433" s="305"/>
      <c r="CZ433" s="249"/>
      <c r="DA433" s="216"/>
      <c r="DB433" s="307"/>
      <c r="DC433" s="328"/>
      <c r="DD433" s="322"/>
      <c r="DE433" s="305"/>
      <c r="DF433" s="249"/>
      <c r="DG433" s="216"/>
      <c r="DH433" s="305"/>
      <c r="DI433" s="249"/>
      <c r="DJ433" s="216"/>
      <c r="DK433" s="309"/>
      <c r="DL433" s="293"/>
      <c r="DM433" s="326"/>
      <c r="DN433" s="1256"/>
      <c r="DO433" s="214"/>
      <c r="DP433" s="1257"/>
      <c r="DQ433" s="1258"/>
      <c r="DR433" s="305"/>
      <c r="DS433" s="249"/>
      <c r="DT433" s="216"/>
      <c r="DU433" s="305"/>
      <c r="DV433" s="2520"/>
      <c r="DW433" s="2521"/>
      <c r="DX433" s="305"/>
      <c r="DY433" s="249"/>
      <c r="DZ433" s="221"/>
      <c r="EA433" s="388"/>
      <c r="EB433" s="249"/>
      <c r="EC433" s="216"/>
      <c r="ED433" s="1461"/>
      <c r="EE433" s="249"/>
      <c r="EF433" s="216"/>
      <c r="EG433" s="355"/>
      <c r="EH433" s="1425"/>
      <c r="EI433" s="1470"/>
      <c r="EJ433" s="249"/>
      <c r="EK433" s="221"/>
      <c r="EL433" s="313"/>
      <c r="EM433" s="249"/>
      <c r="EN433" s="221"/>
      <c r="EO433" s="313"/>
      <c r="EP433" s="249"/>
      <c r="EQ433" s="216"/>
      <c r="ER433" s="313"/>
      <c r="ES433" s="249"/>
      <c r="ET433" s="216"/>
      <c r="EU433" s="313"/>
      <c r="EV433" s="249"/>
      <c r="EW433" s="216"/>
      <c r="EX433" s="2505"/>
      <c r="EY433" s="249"/>
      <c r="EZ433" s="221"/>
      <c r="FA433" s="313"/>
      <c r="FB433" s="249"/>
      <c r="FC433" s="221"/>
      <c r="FD433" s="313"/>
      <c r="FE433" s="249"/>
      <c r="FF433" s="221"/>
      <c r="FG433" s="313"/>
      <c r="FH433" s="249"/>
      <c r="FI433" s="216"/>
      <c r="FJ433" s="1435"/>
      <c r="FK433" s="216"/>
      <c r="FL433" s="1268"/>
      <c r="FM433" s="1655"/>
      <c r="FN433" s="1268"/>
      <c r="FO433" s="1655"/>
      <c r="FP433" s="1268"/>
      <c r="FQ433" s="1656"/>
      <c r="FR433" s="249"/>
      <c r="FS433" s="216"/>
      <c r="FT433" s="1657"/>
      <c r="FU433" s="1658"/>
      <c r="FV433" s="242"/>
      <c r="FW433" s="343"/>
      <c r="FX433" s="222"/>
      <c r="FY433" s="336"/>
      <c r="FZ433" s="223"/>
      <c r="GA433" s="338"/>
      <c r="GB433" s="204"/>
      <c r="GC433" s="339"/>
      <c r="GD433" s="342"/>
      <c r="GE433" s="199"/>
      <c r="GF433" s="199"/>
      <c r="GG433" s="199"/>
      <c r="GH433" s="199"/>
      <c r="GI433" s="199"/>
      <c r="GJ433" s="199"/>
      <c r="GK433" s="199"/>
      <c r="GO433" s="322"/>
      <c r="GP433" s="1190"/>
      <c r="GQ433" s="1190"/>
      <c r="GS433" s="2879"/>
      <c r="GT433" s="2880"/>
      <c r="GU433" s="2881"/>
    </row>
    <row r="434" spans="1:203" ht="12" customHeight="1">
      <c r="A434" s="1252"/>
      <c r="B434" s="200"/>
      <c r="C434" s="486"/>
      <c r="T434" s="1186"/>
      <c r="U434" s="233"/>
      <c r="W434" s="218"/>
      <c r="X434" s="218"/>
      <c r="Y434" s="216"/>
      <c r="Z434" s="216"/>
      <c r="AA434" s="215"/>
      <c r="AB434" s="216"/>
      <c r="AC434" s="216"/>
      <c r="AD434" s="239"/>
      <c r="AE434" s="216"/>
      <c r="AF434" s="216"/>
      <c r="AG434" s="216"/>
      <c r="AH434" s="216"/>
      <c r="AI434" s="216"/>
      <c r="AJ434" s="216"/>
      <c r="AK434" s="239"/>
      <c r="AL434" s="216"/>
      <c r="AM434" s="216"/>
      <c r="AN434" s="216"/>
      <c r="AO434" s="216"/>
      <c r="AP434" s="216"/>
      <c r="AQ434" s="216"/>
      <c r="AR434" s="216"/>
      <c r="AS434" s="216"/>
      <c r="AT434" s="216"/>
      <c r="AU434" s="216"/>
      <c r="AV434" s="217"/>
      <c r="AW434" s="355"/>
      <c r="AX434" s="217"/>
      <c r="AY434" s="1559"/>
      <c r="AZ434" s="249"/>
      <c r="BA434" s="221"/>
      <c r="BB434" s="300"/>
      <c r="BC434" s="217"/>
      <c r="BD434" s="392"/>
      <c r="BE434" s="1244"/>
      <c r="BF434" s="249"/>
      <c r="BG434" s="252"/>
      <c r="BH434" s="1469"/>
      <c r="BI434" s="216"/>
      <c r="BJ434" s="1469"/>
      <c r="BK434" s="1459"/>
      <c r="BL434" s="260"/>
      <c r="BM434" s="214"/>
      <c r="BN434" s="293"/>
      <c r="BO434" s="217"/>
      <c r="BP434" s="355"/>
      <c r="BQ434" s="217"/>
      <c r="BR434" s="1193"/>
      <c r="BS434" s="249"/>
      <c r="BT434" s="216"/>
      <c r="BU434" s="1195"/>
      <c r="BV434" s="249"/>
      <c r="BW434" s="216"/>
      <c r="BX434" s="1195"/>
      <c r="BY434" s="249"/>
      <c r="BZ434" s="216"/>
      <c r="CA434" s="1195"/>
      <c r="CB434" s="249"/>
      <c r="CC434" s="216"/>
      <c r="CD434" s="1195"/>
      <c r="CE434" s="249"/>
      <c r="CF434" s="216"/>
      <c r="CG434" s="1195"/>
      <c r="CH434" s="249"/>
      <c r="CI434" s="216"/>
      <c r="CJ434" s="1195"/>
      <c r="CK434" s="249"/>
      <c r="CL434" s="216"/>
      <c r="CM434" s="1194"/>
      <c r="CN434" s="1524"/>
      <c r="CO434" s="217"/>
      <c r="CP434" s="1193"/>
      <c r="CQ434" s="293"/>
      <c r="CR434" s="217"/>
      <c r="CS434" s="305"/>
      <c r="CT434" s="249"/>
      <c r="CU434" s="216"/>
      <c r="CV434" s="1193"/>
      <c r="CW434" s="249"/>
      <c r="CX434" s="216"/>
      <c r="CY434" s="305"/>
      <c r="CZ434" s="249"/>
      <c r="DA434" s="216"/>
      <c r="DB434" s="307"/>
      <c r="DC434" s="328"/>
      <c r="DD434" s="322"/>
      <c r="DE434" s="305"/>
      <c r="DF434" s="249"/>
      <c r="DG434" s="216"/>
      <c r="DH434" s="305"/>
      <c r="DI434" s="249"/>
      <c r="DJ434" s="216"/>
      <c r="DK434" s="309"/>
      <c r="DL434" s="293"/>
      <c r="DM434" s="326"/>
      <c r="DN434" s="1256"/>
      <c r="DO434" s="214"/>
      <c r="DP434" s="1257"/>
      <c r="DQ434" s="1258"/>
      <c r="DR434" s="305"/>
      <c r="DS434" s="249"/>
      <c r="DT434" s="216"/>
      <c r="DU434" s="305"/>
      <c r="DV434" s="2520"/>
      <c r="DW434" s="2521"/>
      <c r="DX434" s="305"/>
      <c r="DY434" s="249"/>
      <c r="DZ434" s="221"/>
      <c r="EA434" s="388"/>
      <c r="EB434" s="249"/>
      <c r="EC434" s="216"/>
      <c r="ED434" s="1461"/>
      <c r="EE434" s="249"/>
      <c r="EF434" s="216"/>
      <c r="EG434" s="355"/>
      <c r="EH434" s="1425"/>
      <c r="EI434" s="1470"/>
      <c r="EJ434" s="249"/>
      <c r="EK434" s="221"/>
      <c r="EL434" s="313"/>
      <c r="EM434" s="249"/>
      <c r="EN434" s="221"/>
      <c r="EO434" s="313"/>
      <c r="EP434" s="249"/>
      <c r="EQ434" s="216"/>
      <c r="ER434" s="313"/>
      <c r="ES434" s="249"/>
      <c r="ET434" s="216"/>
      <c r="EU434" s="313"/>
      <c r="EV434" s="249"/>
      <c r="EW434" s="216"/>
      <c r="EX434" s="2505"/>
      <c r="EY434" s="249"/>
      <c r="EZ434" s="221"/>
      <c r="FA434" s="313"/>
      <c r="FB434" s="249"/>
      <c r="FC434" s="221"/>
      <c r="FD434" s="313"/>
      <c r="FE434" s="249"/>
      <c r="FF434" s="221"/>
      <c r="FG434" s="313"/>
      <c r="FH434" s="249"/>
      <c r="FI434" s="216"/>
      <c r="FJ434" s="1435"/>
      <c r="FK434" s="216"/>
      <c r="FL434" s="1268"/>
      <c r="FM434" s="1655"/>
      <c r="FN434" s="1268"/>
      <c r="FO434" s="1655"/>
      <c r="FP434" s="1268"/>
      <c r="FQ434" s="1656"/>
      <c r="FR434" s="249"/>
      <c r="FS434" s="216"/>
      <c r="FT434" s="1657"/>
      <c r="FU434" s="1658"/>
      <c r="FV434" s="242"/>
      <c r="FW434" s="343"/>
      <c r="FX434" s="222"/>
      <c r="FY434" s="336"/>
      <c r="FZ434" s="223"/>
      <c r="GA434" s="338"/>
      <c r="GB434" s="204"/>
      <c r="GC434" s="339"/>
      <c r="GD434" s="342"/>
      <c r="GE434" s="199"/>
      <c r="GF434" s="199"/>
      <c r="GG434" s="199"/>
      <c r="GH434" s="199"/>
      <c r="GI434" s="199"/>
      <c r="GJ434" s="199"/>
      <c r="GK434" s="199"/>
      <c r="GO434" s="322"/>
      <c r="GP434" s="1190"/>
      <c r="GQ434" s="1190"/>
      <c r="GS434" s="2879"/>
      <c r="GT434" s="2880"/>
      <c r="GU434" s="2881"/>
    </row>
    <row r="435" spans="1:203" ht="12" customHeight="1">
      <c r="A435" s="1252"/>
      <c r="B435" s="200"/>
      <c r="C435" s="486"/>
      <c r="T435" s="1186"/>
      <c r="U435" s="233"/>
      <c r="W435" s="218"/>
      <c r="X435" s="218"/>
      <c r="Y435" s="216"/>
      <c r="Z435" s="216"/>
      <c r="AA435" s="215"/>
      <c r="AB435" s="216"/>
      <c r="AC435" s="216"/>
      <c r="AD435" s="239"/>
      <c r="AE435" s="216"/>
      <c r="AF435" s="216"/>
      <c r="AG435" s="216"/>
      <c r="AH435" s="216"/>
      <c r="AI435" s="216"/>
      <c r="AJ435" s="216"/>
      <c r="AK435" s="239"/>
      <c r="AL435" s="216"/>
      <c r="AM435" s="216"/>
      <c r="AN435" s="216"/>
      <c r="AO435" s="216"/>
      <c r="AP435" s="216"/>
      <c r="AQ435" s="216"/>
      <c r="AR435" s="216"/>
      <c r="AS435" s="216"/>
      <c r="AT435" s="216"/>
      <c r="AU435" s="216"/>
      <c r="AV435" s="217"/>
      <c r="AW435" s="355"/>
      <c r="AX435" s="217"/>
      <c r="AY435" s="1559"/>
      <c r="AZ435" s="249"/>
      <c r="BA435" s="221"/>
      <c r="BB435" s="300"/>
      <c r="BC435" s="217"/>
      <c r="BD435" s="392"/>
      <c r="BE435" s="1244"/>
      <c r="BF435" s="249"/>
      <c r="BG435" s="252"/>
      <c r="BH435" s="1469"/>
      <c r="BI435" s="216"/>
      <c r="BJ435" s="1469"/>
      <c r="BK435" s="1459"/>
      <c r="BL435" s="260"/>
      <c r="BM435" s="214"/>
      <c r="BN435" s="293"/>
      <c r="BO435" s="217"/>
      <c r="BP435" s="355"/>
      <c r="BQ435" s="217"/>
      <c r="BR435" s="1193"/>
      <c r="BS435" s="249"/>
      <c r="BT435" s="216"/>
      <c r="BU435" s="1195"/>
      <c r="BV435" s="249"/>
      <c r="BW435" s="216"/>
      <c r="BX435" s="1195"/>
      <c r="BY435" s="249"/>
      <c r="BZ435" s="216"/>
      <c r="CA435" s="1195"/>
      <c r="CB435" s="249"/>
      <c r="CC435" s="216"/>
      <c r="CD435" s="1195"/>
      <c r="CE435" s="249"/>
      <c r="CF435" s="216"/>
      <c r="CG435" s="1195"/>
      <c r="CH435" s="249"/>
      <c r="CI435" s="216"/>
      <c r="CJ435" s="1195"/>
      <c r="CK435" s="249"/>
      <c r="CL435" s="216"/>
      <c r="CM435" s="1194"/>
      <c r="CN435" s="1524"/>
      <c r="CO435" s="217"/>
      <c r="CP435" s="1193"/>
      <c r="CQ435" s="293"/>
      <c r="CR435" s="217"/>
      <c r="CS435" s="305"/>
      <c r="CT435" s="249"/>
      <c r="CU435" s="216"/>
      <c r="CV435" s="1193"/>
      <c r="CW435" s="249"/>
      <c r="CX435" s="216"/>
      <c r="CY435" s="305"/>
      <c r="CZ435" s="249"/>
      <c r="DA435" s="216"/>
      <c r="DB435" s="307"/>
      <c r="DC435" s="328"/>
      <c r="DD435" s="322"/>
      <c r="DE435" s="305"/>
      <c r="DF435" s="249"/>
      <c r="DG435" s="216"/>
      <c r="DH435" s="305"/>
      <c r="DI435" s="249"/>
      <c r="DJ435" s="216"/>
      <c r="DK435" s="309"/>
      <c r="DL435" s="293"/>
      <c r="DM435" s="326"/>
      <c r="DN435" s="1256"/>
      <c r="DO435" s="214"/>
      <c r="DP435" s="1257"/>
      <c r="DQ435" s="1258"/>
      <c r="DR435" s="305"/>
      <c r="DS435" s="249"/>
      <c r="DT435" s="216"/>
      <c r="DU435" s="305"/>
      <c r="DV435" s="2520"/>
      <c r="DW435" s="2521"/>
      <c r="DX435" s="305"/>
      <c r="DY435" s="249"/>
      <c r="DZ435" s="221"/>
      <c r="EA435" s="388"/>
      <c r="EB435" s="249"/>
      <c r="EC435" s="216"/>
      <c r="ED435" s="1461"/>
      <c r="EE435" s="249"/>
      <c r="EF435" s="216"/>
      <c r="EG435" s="355"/>
      <c r="EH435" s="1425"/>
      <c r="EI435" s="1470"/>
      <c r="EJ435" s="249"/>
      <c r="EK435" s="221"/>
      <c r="EL435" s="313"/>
      <c r="EM435" s="249"/>
      <c r="EN435" s="221"/>
      <c r="EO435" s="313"/>
      <c r="EP435" s="249"/>
      <c r="EQ435" s="216"/>
      <c r="ER435" s="313"/>
      <c r="ES435" s="249"/>
      <c r="ET435" s="216"/>
      <c r="EU435" s="313"/>
      <c r="EV435" s="249"/>
      <c r="EW435" s="216"/>
      <c r="EX435" s="2505"/>
      <c r="EY435" s="249"/>
      <c r="EZ435" s="221"/>
      <c r="FA435" s="313"/>
      <c r="FB435" s="249"/>
      <c r="FC435" s="221"/>
      <c r="FD435" s="313"/>
      <c r="FE435" s="249"/>
      <c r="FF435" s="221"/>
      <c r="FG435" s="313"/>
      <c r="FH435" s="249"/>
      <c r="FI435" s="216"/>
      <c r="FJ435" s="1435"/>
      <c r="FK435" s="216"/>
      <c r="FL435" s="1268"/>
      <c r="FM435" s="1655"/>
      <c r="FN435" s="1268"/>
      <c r="FO435" s="1655"/>
      <c r="FP435" s="1268"/>
      <c r="FQ435" s="1656"/>
      <c r="FR435" s="249"/>
      <c r="FS435" s="216"/>
      <c r="FT435" s="1657"/>
      <c r="FU435" s="1658"/>
      <c r="FV435" s="242"/>
      <c r="FW435" s="343"/>
      <c r="FX435" s="222"/>
      <c r="FY435" s="336"/>
      <c r="FZ435" s="223"/>
      <c r="GA435" s="338"/>
      <c r="GB435" s="204"/>
      <c r="GC435" s="339"/>
      <c r="GD435" s="342"/>
      <c r="GE435" s="199"/>
      <c r="GF435" s="199"/>
      <c r="GG435" s="199"/>
      <c r="GH435" s="199"/>
      <c r="GI435" s="199"/>
      <c r="GJ435" s="199"/>
      <c r="GK435" s="199"/>
      <c r="GO435" s="322"/>
      <c r="GP435" s="1190"/>
      <c r="GQ435" s="1190"/>
      <c r="GS435" s="2879"/>
      <c r="GT435" s="2880"/>
      <c r="GU435" s="2881"/>
    </row>
    <row r="436" spans="1:203" ht="12" customHeight="1">
      <c r="A436" s="1252"/>
      <c r="B436" s="200"/>
      <c r="C436" s="486"/>
      <c r="T436" s="1186"/>
      <c r="U436" s="233"/>
      <c r="W436" s="218"/>
      <c r="X436" s="218"/>
      <c r="Y436" s="216"/>
      <c r="Z436" s="216"/>
      <c r="AA436" s="215"/>
      <c r="AB436" s="216"/>
      <c r="AC436" s="216"/>
      <c r="AD436" s="239"/>
      <c r="AE436" s="216"/>
      <c r="AF436" s="216"/>
      <c r="AG436" s="216"/>
      <c r="AH436" s="216"/>
      <c r="AI436" s="216"/>
      <c r="AJ436" s="216"/>
      <c r="AK436" s="239"/>
      <c r="AL436" s="216"/>
      <c r="AM436" s="216"/>
      <c r="AN436" s="216"/>
      <c r="AO436" s="216"/>
      <c r="AP436" s="216"/>
      <c r="AQ436" s="216"/>
      <c r="AR436" s="216"/>
      <c r="AS436" s="216"/>
      <c r="AT436" s="216"/>
      <c r="AU436" s="216"/>
      <c r="AV436" s="217"/>
      <c r="AW436" s="355"/>
      <c r="AX436" s="217"/>
      <c r="AY436" s="1559"/>
      <c r="AZ436" s="249"/>
      <c r="BA436" s="221"/>
      <c r="BB436" s="300"/>
      <c r="BC436" s="217"/>
      <c r="BD436" s="392"/>
      <c r="BE436" s="1244"/>
      <c r="BF436" s="249"/>
      <c r="BG436" s="252"/>
      <c r="BH436" s="1469"/>
      <c r="BI436" s="216"/>
      <c r="BJ436" s="1469"/>
      <c r="BK436" s="1459"/>
      <c r="BL436" s="260"/>
      <c r="BM436" s="214"/>
      <c r="BN436" s="293"/>
      <c r="BO436" s="217"/>
      <c r="BP436" s="355"/>
      <c r="BQ436" s="217"/>
      <c r="BR436" s="1193"/>
      <c r="BS436" s="249"/>
      <c r="BT436" s="216"/>
      <c r="BU436" s="1195"/>
      <c r="BV436" s="249"/>
      <c r="BW436" s="216"/>
      <c r="BX436" s="1195"/>
      <c r="BY436" s="249"/>
      <c r="BZ436" s="216"/>
      <c r="CA436" s="1195"/>
      <c r="CB436" s="249"/>
      <c r="CC436" s="216"/>
      <c r="CD436" s="1195"/>
      <c r="CE436" s="249"/>
      <c r="CF436" s="216"/>
      <c r="CG436" s="1195"/>
      <c r="CH436" s="249"/>
      <c r="CI436" s="216"/>
      <c r="CJ436" s="1195"/>
      <c r="CK436" s="249"/>
      <c r="CL436" s="216"/>
      <c r="CM436" s="1194"/>
      <c r="CN436" s="1524"/>
      <c r="CO436" s="217"/>
      <c r="CP436" s="1193"/>
      <c r="CQ436" s="293"/>
      <c r="CR436" s="217"/>
      <c r="CS436" s="305"/>
      <c r="CT436" s="249"/>
      <c r="CU436" s="216"/>
      <c r="CV436" s="1193"/>
      <c r="CW436" s="249"/>
      <c r="CX436" s="216"/>
      <c r="CY436" s="305"/>
      <c r="CZ436" s="249"/>
      <c r="DA436" s="216"/>
      <c r="DB436" s="307"/>
      <c r="DC436" s="328"/>
      <c r="DD436" s="322"/>
      <c r="DE436" s="305"/>
      <c r="DF436" s="249"/>
      <c r="DG436" s="216"/>
      <c r="DH436" s="305"/>
      <c r="DI436" s="249"/>
      <c r="DJ436" s="216"/>
      <c r="DK436" s="309"/>
      <c r="DL436" s="293"/>
      <c r="DM436" s="326"/>
      <c r="DN436" s="1256"/>
      <c r="DO436" s="214"/>
      <c r="DP436" s="1257"/>
      <c r="DQ436" s="1258"/>
      <c r="DR436" s="305"/>
      <c r="DS436" s="249"/>
      <c r="DT436" s="216"/>
      <c r="DU436" s="305"/>
      <c r="DV436" s="2520"/>
      <c r="DW436" s="2521"/>
      <c r="DX436" s="305"/>
      <c r="DY436" s="249"/>
      <c r="DZ436" s="221"/>
      <c r="EA436" s="388"/>
      <c r="EB436" s="249"/>
      <c r="EC436" s="216"/>
      <c r="ED436" s="1461"/>
      <c r="EE436" s="249"/>
      <c r="EF436" s="216"/>
      <c r="EG436" s="355"/>
      <c r="EH436" s="1425"/>
      <c r="EI436" s="1470"/>
      <c r="EJ436" s="249"/>
      <c r="EK436" s="221"/>
      <c r="EL436" s="313"/>
      <c r="EM436" s="249"/>
      <c r="EN436" s="221"/>
      <c r="EO436" s="313"/>
      <c r="EP436" s="249"/>
      <c r="EQ436" s="216"/>
      <c r="ER436" s="313"/>
      <c r="ES436" s="249"/>
      <c r="ET436" s="216"/>
      <c r="EU436" s="313"/>
      <c r="EV436" s="249"/>
      <c r="EW436" s="216"/>
      <c r="EX436" s="2505"/>
      <c r="EY436" s="249"/>
      <c r="EZ436" s="221"/>
      <c r="FA436" s="313"/>
      <c r="FB436" s="249"/>
      <c r="FC436" s="221"/>
      <c r="FD436" s="313"/>
      <c r="FE436" s="249"/>
      <c r="FF436" s="221"/>
      <c r="FG436" s="313"/>
      <c r="FH436" s="249"/>
      <c r="FI436" s="216"/>
      <c r="FJ436" s="1435"/>
      <c r="FK436" s="216"/>
      <c r="FL436" s="1268"/>
      <c r="FM436" s="1655"/>
      <c r="FN436" s="1268"/>
      <c r="FO436" s="1655"/>
      <c r="FP436" s="1268"/>
      <c r="FQ436" s="1656"/>
      <c r="FR436" s="249"/>
      <c r="FS436" s="216"/>
      <c r="FT436" s="1657"/>
      <c r="FU436" s="1658"/>
      <c r="FV436" s="242"/>
      <c r="FW436" s="343"/>
      <c r="FX436" s="222"/>
      <c r="FY436" s="336"/>
      <c r="FZ436" s="223"/>
      <c r="GA436" s="338"/>
      <c r="GB436" s="204"/>
      <c r="GC436" s="339"/>
      <c r="GD436" s="342"/>
      <c r="GE436" s="199"/>
      <c r="GF436" s="199"/>
      <c r="GG436" s="199"/>
      <c r="GH436" s="199"/>
      <c r="GI436" s="199"/>
      <c r="GJ436" s="199"/>
      <c r="GK436" s="199"/>
      <c r="GO436" s="322"/>
      <c r="GP436" s="1190"/>
      <c r="GQ436" s="1190"/>
      <c r="GS436" s="2879"/>
      <c r="GT436" s="2880"/>
      <c r="GU436" s="2881"/>
    </row>
    <row r="437" spans="1:203" ht="12" customHeight="1">
      <c r="A437" s="1252"/>
      <c r="B437" s="200"/>
      <c r="C437" s="486"/>
      <c r="T437" s="1186"/>
      <c r="U437" s="233"/>
      <c r="W437" s="218"/>
      <c r="X437" s="218"/>
      <c r="Y437" s="216"/>
      <c r="Z437" s="216"/>
      <c r="AA437" s="215"/>
      <c r="AB437" s="216"/>
      <c r="AC437" s="216"/>
      <c r="AD437" s="239"/>
      <c r="AE437" s="216"/>
      <c r="AF437" s="216"/>
      <c r="AG437" s="216"/>
      <c r="AH437" s="216"/>
      <c r="AI437" s="216"/>
      <c r="AJ437" s="216"/>
      <c r="AK437" s="239"/>
      <c r="AL437" s="216"/>
      <c r="AM437" s="216"/>
      <c r="AN437" s="216"/>
      <c r="AO437" s="216"/>
      <c r="AP437" s="216"/>
      <c r="AQ437" s="216"/>
      <c r="AR437" s="216"/>
      <c r="AS437" s="216"/>
      <c r="AT437" s="216"/>
      <c r="AU437" s="216"/>
      <c r="AV437" s="217"/>
      <c r="AW437" s="355"/>
      <c r="AX437" s="217"/>
      <c r="AY437" s="1559"/>
      <c r="AZ437" s="249"/>
      <c r="BA437" s="221"/>
      <c r="BB437" s="300"/>
      <c r="BC437" s="217"/>
      <c r="BD437" s="392"/>
      <c r="BE437" s="1244"/>
      <c r="BF437" s="249"/>
      <c r="BG437" s="252"/>
      <c r="BH437" s="1469"/>
      <c r="BI437" s="216"/>
      <c r="BJ437" s="1469"/>
      <c r="BK437" s="1459"/>
      <c r="BL437" s="260"/>
      <c r="BM437" s="214"/>
      <c r="BN437" s="293"/>
      <c r="BO437" s="217"/>
      <c r="BP437" s="355"/>
      <c r="BQ437" s="217"/>
      <c r="BR437" s="1193"/>
      <c r="BS437" s="249"/>
      <c r="BT437" s="216"/>
      <c r="BU437" s="1195"/>
      <c r="BV437" s="249"/>
      <c r="BW437" s="216"/>
      <c r="BX437" s="1195"/>
      <c r="BY437" s="249"/>
      <c r="BZ437" s="216"/>
      <c r="CA437" s="1195"/>
      <c r="CB437" s="249"/>
      <c r="CC437" s="216"/>
      <c r="CD437" s="1195"/>
      <c r="CE437" s="249"/>
      <c r="CF437" s="216"/>
      <c r="CG437" s="1195"/>
      <c r="CH437" s="249"/>
      <c r="CI437" s="216"/>
      <c r="CJ437" s="1195"/>
      <c r="CK437" s="249"/>
      <c r="CL437" s="216"/>
      <c r="CM437" s="1194"/>
      <c r="CN437" s="1524"/>
      <c r="CO437" s="217"/>
      <c r="CP437" s="1193"/>
      <c r="CQ437" s="293"/>
      <c r="CR437" s="217"/>
      <c r="CS437" s="305"/>
      <c r="CT437" s="249"/>
      <c r="CU437" s="216"/>
      <c r="CV437" s="1193"/>
      <c r="CW437" s="249"/>
      <c r="CX437" s="216"/>
      <c r="CY437" s="305"/>
      <c r="CZ437" s="249"/>
      <c r="DA437" s="216"/>
      <c r="DB437" s="307"/>
      <c r="DC437" s="328"/>
      <c r="DD437" s="322"/>
      <c r="DE437" s="305"/>
      <c r="DF437" s="249"/>
      <c r="DG437" s="216"/>
      <c r="DH437" s="305"/>
      <c r="DI437" s="249"/>
      <c r="DJ437" s="216"/>
      <c r="DK437" s="309"/>
      <c r="DL437" s="293"/>
      <c r="DM437" s="326"/>
      <c r="DN437" s="1256"/>
      <c r="DO437" s="214"/>
      <c r="DP437" s="1257"/>
      <c r="DQ437" s="1258"/>
      <c r="DR437" s="305"/>
      <c r="DS437" s="249"/>
      <c r="DT437" s="216"/>
      <c r="DU437" s="305"/>
      <c r="DV437" s="2520"/>
      <c r="DW437" s="2521"/>
      <c r="DX437" s="305"/>
      <c r="DY437" s="249"/>
      <c r="DZ437" s="221"/>
      <c r="EA437" s="388"/>
      <c r="EB437" s="249"/>
      <c r="EC437" s="216"/>
      <c r="ED437" s="1461"/>
      <c r="EE437" s="249"/>
      <c r="EF437" s="216"/>
      <c r="EG437" s="355"/>
      <c r="EH437" s="1425"/>
      <c r="EI437" s="1470"/>
      <c r="EJ437" s="249"/>
      <c r="EK437" s="221"/>
      <c r="EL437" s="313"/>
      <c r="EM437" s="249"/>
      <c r="EN437" s="221"/>
      <c r="EO437" s="313"/>
      <c r="EP437" s="249"/>
      <c r="EQ437" s="216"/>
      <c r="ER437" s="313"/>
      <c r="ES437" s="249"/>
      <c r="ET437" s="216"/>
      <c r="EU437" s="313"/>
      <c r="EV437" s="249"/>
      <c r="EW437" s="216"/>
      <c r="EX437" s="2505"/>
      <c r="EY437" s="249"/>
      <c r="EZ437" s="221"/>
      <c r="FA437" s="313"/>
      <c r="FB437" s="249"/>
      <c r="FC437" s="221"/>
      <c r="FD437" s="313"/>
      <c r="FE437" s="249"/>
      <c r="FF437" s="221"/>
      <c r="FG437" s="313"/>
      <c r="FH437" s="249"/>
      <c r="FI437" s="216"/>
      <c r="FJ437" s="1435"/>
      <c r="FK437" s="216"/>
      <c r="FL437" s="1268"/>
      <c r="FM437" s="1655"/>
      <c r="FN437" s="1268"/>
      <c r="FO437" s="1655"/>
      <c r="FP437" s="1268"/>
      <c r="FQ437" s="1656"/>
      <c r="FR437" s="249"/>
      <c r="FS437" s="216"/>
      <c r="FT437" s="1657"/>
      <c r="FU437" s="1658"/>
      <c r="FV437" s="242"/>
      <c r="FW437" s="343"/>
      <c r="FX437" s="222"/>
      <c r="FY437" s="336"/>
      <c r="FZ437" s="223"/>
      <c r="GA437" s="338"/>
      <c r="GB437" s="204"/>
      <c r="GC437" s="339"/>
      <c r="GD437" s="342"/>
      <c r="GE437" s="199"/>
      <c r="GF437" s="199"/>
      <c r="GG437" s="199"/>
      <c r="GH437" s="199"/>
      <c r="GI437" s="199"/>
      <c r="GJ437" s="199"/>
      <c r="GK437" s="199"/>
      <c r="GO437" s="322"/>
      <c r="GP437" s="1190"/>
      <c r="GQ437" s="1190"/>
      <c r="GS437" s="2879"/>
      <c r="GT437" s="2880"/>
      <c r="GU437" s="2881"/>
    </row>
    <row r="438" spans="1:203" ht="12" customHeight="1">
      <c r="A438" s="1252"/>
      <c r="B438" s="200"/>
      <c r="C438" s="486"/>
      <c r="T438" s="1186"/>
      <c r="U438" s="233"/>
      <c r="W438" s="218"/>
      <c r="X438" s="218"/>
      <c r="Y438" s="216"/>
      <c r="Z438" s="216"/>
      <c r="AA438" s="215"/>
      <c r="AB438" s="216"/>
      <c r="AC438" s="216"/>
      <c r="AD438" s="239"/>
      <c r="AE438" s="216"/>
      <c r="AF438" s="216"/>
      <c r="AG438" s="216"/>
      <c r="AH438" s="216"/>
      <c r="AI438" s="216"/>
      <c r="AJ438" s="216"/>
      <c r="AK438" s="239"/>
      <c r="AL438" s="216"/>
      <c r="AM438" s="216"/>
      <c r="AN438" s="216"/>
      <c r="AO438" s="216"/>
      <c r="AP438" s="216"/>
      <c r="AQ438" s="216"/>
      <c r="AR438" s="216"/>
      <c r="AS438" s="216"/>
      <c r="AT438" s="216"/>
      <c r="AU438" s="216"/>
      <c r="AV438" s="217"/>
      <c r="AW438" s="355"/>
      <c r="AX438" s="217"/>
      <c r="AY438" s="1559"/>
      <c r="AZ438" s="249"/>
      <c r="BA438" s="221"/>
      <c r="BB438" s="300"/>
      <c r="BC438" s="217"/>
      <c r="BD438" s="392"/>
      <c r="BE438" s="1244"/>
      <c r="BF438" s="249"/>
      <c r="BG438" s="252"/>
      <c r="BH438" s="1469"/>
      <c r="BI438" s="216"/>
      <c r="BJ438" s="1469"/>
      <c r="BK438" s="1459"/>
      <c r="BL438" s="260"/>
      <c r="BM438" s="214"/>
      <c r="BN438" s="293"/>
      <c r="BO438" s="217"/>
      <c r="BP438" s="355"/>
      <c r="BQ438" s="217"/>
      <c r="BR438" s="1193"/>
      <c r="BS438" s="249"/>
      <c r="BT438" s="216"/>
      <c r="BU438" s="1195"/>
      <c r="BV438" s="249"/>
      <c r="BW438" s="216"/>
      <c r="BX438" s="1195"/>
      <c r="BY438" s="249"/>
      <c r="BZ438" s="216"/>
      <c r="CA438" s="1195"/>
      <c r="CB438" s="249"/>
      <c r="CC438" s="216"/>
      <c r="CD438" s="1195"/>
      <c r="CE438" s="249"/>
      <c r="CF438" s="216"/>
      <c r="CG438" s="1195"/>
      <c r="CH438" s="249"/>
      <c r="CI438" s="216"/>
      <c r="CJ438" s="1195"/>
      <c r="CK438" s="249"/>
      <c r="CL438" s="216"/>
      <c r="CM438" s="1194"/>
      <c r="CN438" s="1524"/>
      <c r="CO438" s="217"/>
      <c r="CP438" s="1193"/>
      <c r="CQ438" s="293"/>
      <c r="CR438" s="217"/>
      <c r="CS438" s="305"/>
      <c r="CT438" s="249"/>
      <c r="CU438" s="216"/>
      <c r="CV438" s="1193"/>
      <c r="CW438" s="249"/>
      <c r="CX438" s="216"/>
      <c r="CY438" s="305"/>
      <c r="CZ438" s="249"/>
      <c r="DA438" s="216"/>
      <c r="DB438" s="307"/>
      <c r="DC438" s="328"/>
      <c r="DD438" s="322"/>
      <c r="DE438" s="305"/>
      <c r="DF438" s="249"/>
      <c r="DG438" s="216"/>
      <c r="DH438" s="305"/>
      <c r="DI438" s="249"/>
      <c r="DJ438" s="216"/>
      <c r="DK438" s="309"/>
      <c r="DL438" s="293"/>
      <c r="DM438" s="326"/>
      <c r="DN438" s="1256"/>
      <c r="DO438" s="214"/>
      <c r="DP438" s="1257"/>
      <c r="DQ438" s="1258"/>
      <c r="DR438" s="305"/>
      <c r="DS438" s="249"/>
      <c r="DT438" s="216"/>
      <c r="DU438" s="305"/>
      <c r="DV438" s="2520"/>
      <c r="DW438" s="2521"/>
      <c r="DX438" s="305"/>
      <c r="DY438" s="249"/>
      <c r="DZ438" s="221"/>
      <c r="EA438" s="388"/>
      <c r="EB438" s="249"/>
      <c r="EC438" s="216"/>
      <c r="ED438" s="1461"/>
      <c r="EE438" s="249"/>
      <c r="EF438" s="216"/>
      <c r="EG438" s="355"/>
      <c r="EH438" s="1425"/>
      <c r="EI438" s="1470"/>
      <c r="EJ438" s="249"/>
      <c r="EK438" s="221"/>
      <c r="EL438" s="313"/>
      <c r="EM438" s="249"/>
      <c r="EN438" s="221"/>
      <c r="EO438" s="313"/>
      <c r="EP438" s="249"/>
      <c r="EQ438" s="216"/>
      <c r="ER438" s="313"/>
      <c r="ES438" s="249"/>
      <c r="ET438" s="216"/>
      <c r="EU438" s="313"/>
      <c r="EV438" s="249"/>
      <c r="EW438" s="216"/>
      <c r="EX438" s="2505"/>
      <c r="EY438" s="249"/>
      <c r="EZ438" s="221"/>
      <c r="FA438" s="313"/>
      <c r="FB438" s="249"/>
      <c r="FC438" s="221"/>
      <c r="FD438" s="313"/>
      <c r="FE438" s="249"/>
      <c r="FF438" s="221"/>
      <c r="FG438" s="313"/>
      <c r="FH438" s="249"/>
      <c r="FI438" s="216"/>
      <c r="FJ438" s="1435"/>
      <c r="FK438" s="216"/>
      <c r="FL438" s="1268"/>
      <c r="FM438" s="1655"/>
      <c r="FN438" s="1268"/>
      <c r="FO438" s="1655"/>
      <c r="FP438" s="1268"/>
      <c r="FQ438" s="1656"/>
      <c r="FR438" s="249"/>
      <c r="FS438" s="216"/>
      <c r="FT438" s="1657"/>
      <c r="FU438" s="1658"/>
      <c r="FV438" s="242"/>
      <c r="FW438" s="343"/>
      <c r="FX438" s="222"/>
      <c r="FY438" s="336"/>
      <c r="FZ438" s="223"/>
      <c r="GA438" s="338"/>
      <c r="GB438" s="204"/>
      <c r="GC438" s="339"/>
      <c r="GD438" s="342"/>
      <c r="GE438" s="199"/>
      <c r="GF438" s="199"/>
      <c r="GG438" s="199"/>
      <c r="GH438" s="199"/>
      <c r="GI438" s="199"/>
      <c r="GJ438" s="199"/>
      <c r="GK438" s="199"/>
      <c r="GO438" s="322"/>
      <c r="GP438" s="1190"/>
      <c r="GQ438" s="1190"/>
      <c r="GS438" s="2879"/>
      <c r="GT438" s="2880"/>
      <c r="GU438" s="2881"/>
    </row>
    <row r="439" spans="1:203" ht="12" customHeight="1">
      <c r="A439" s="1252"/>
      <c r="B439" s="200"/>
      <c r="C439" s="486"/>
      <c r="T439" s="1186"/>
      <c r="U439" s="233"/>
      <c r="W439" s="218"/>
      <c r="X439" s="218"/>
      <c r="Y439" s="216"/>
      <c r="Z439" s="216"/>
      <c r="AA439" s="215"/>
      <c r="AB439" s="216"/>
      <c r="AC439" s="216"/>
      <c r="AD439" s="239"/>
      <c r="AE439" s="216"/>
      <c r="AF439" s="216"/>
      <c r="AG439" s="216"/>
      <c r="AH439" s="216"/>
      <c r="AI439" s="216"/>
      <c r="AJ439" s="216"/>
      <c r="AK439" s="239"/>
      <c r="AL439" s="216"/>
      <c r="AM439" s="216"/>
      <c r="AN439" s="216"/>
      <c r="AO439" s="216"/>
      <c r="AP439" s="216"/>
      <c r="AQ439" s="216"/>
      <c r="AR439" s="216"/>
      <c r="AS439" s="216"/>
      <c r="AT439" s="216"/>
      <c r="AU439" s="216"/>
      <c r="AV439" s="217"/>
      <c r="AW439" s="355"/>
      <c r="AX439" s="217"/>
      <c r="AY439" s="1559"/>
      <c r="AZ439" s="249"/>
      <c r="BA439" s="221"/>
      <c r="BB439" s="300"/>
      <c r="BC439" s="217"/>
      <c r="BD439" s="392"/>
      <c r="BE439" s="1244"/>
      <c r="BF439" s="249"/>
      <c r="BG439" s="252"/>
      <c r="BH439" s="1469"/>
      <c r="BI439" s="216"/>
      <c r="BJ439" s="1469"/>
      <c r="BK439" s="1459"/>
      <c r="BL439" s="260"/>
      <c r="BM439" s="214"/>
      <c r="BN439" s="293"/>
      <c r="BO439" s="217"/>
      <c r="BP439" s="355"/>
      <c r="BQ439" s="217"/>
      <c r="BR439" s="1193"/>
      <c r="BS439" s="249"/>
      <c r="BT439" s="216"/>
      <c r="BU439" s="1195"/>
      <c r="BV439" s="249"/>
      <c r="BW439" s="216"/>
      <c r="BX439" s="1195"/>
      <c r="BY439" s="249"/>
      <c r="BZ439" s="216"/>
      <c r="CA439" s="1195"/>
      <c r="CB439" s="249"/>
      <c r="CC439" s="216"/>
      <c r="CD439" s="1195"/>
      <c r="CE439" s="249"/>
      <c r="CF439" s="216"/>
      <c r="CG439" s="1195"/>
      <c r="CH439" s="249"/>
      <c r="CI439" s="216"/>
      <c r="CJ439" s="1195"/>
      <c r="CK439" s="249"/>
      <c r="CL439" s="216"/>
      <c r="CM439" s="1194"/>
      <c r="CN439" s="1524"/>
      <c r="CO439" s="217"/>
      <c r="CP439" s="1193"/>
      <c r="CQ439" s="293"/>
      <c r="CR439" s="217"/>
      <c r="CS439" s="305"/>
      <c r="CT439" s="249"/>
      <c r="CU439" s="216"/>
      <c r="CV439" s="1193"/>
      <c r="CW439" s="249"/>
      <c r="CX439" s="216"/>
      <c r="CY439" s="305"/>
      <c r="CZ439" s="249"/>
      <c r="DA439" s="216"/>
      <c r="DB439" s="307"/>
      <c r="DC439" s="328"/>
      <c r="DD439" s="322"/>
      <c r="DE439" s="305"/>
      <c r="DF439" s="249"/>
      <c r="DG439" s="216"/>
      <c r="DH439" s="305"/>
      <c r="DI439" s="249"/>
      <c r="DJ439" s="216"/>
      <c r="DK439" s="309"/>
      <c r="DL439" s="293"/>
      <c r="DM439" s="326"/>
      <c r="DN439" s="1256"/>
      <c r="DO439" s="214"/>
      <c r="DP439" s="1257"/>
      <c r="DQ439" s="1258"/>
      <c r="DR439" s="305"/>
      <c r="DS439" s="249"/>
      <c r="DT439" s="216"/>
      <c r="DU439" s="305"/>
      <c r="DV439" s="2520"/>
      <c r="DW439" s="2521"/>
      <c r="DX439" s="305"/>
      <c r="DY439" s="249"/>
      <c r="DZ439" s="221"/>
      <c r="EA439" s="388"/>
      <c r="EB439" s="249"/>
      <c r="EC439" s="216"/>
      <c r="ED439" s="1461"/>
      <c r="EE439" s="249"/>
      <c r="EF439" s="216"/>
      <c r="EG439" s="355"/>
      <c r="EH439" s="1425"/>
      <c r="EI439" s="1470"/>
      <c r="EJ439" s="249"/>
      <c r="EK439" s="221"/>
      <c r="EL439" s="313"/>
      <c r="EM439" s="249"/>
      <c r="EN439" s="221"/>
      <c r="EO439" s="313"/>
      <c r="EP439" s="249"/>
      <c r="EQ439" s="216"/>
      <c r="ER439" s="313"/>
      <c r="ES439" s="249"/>
      <c r="ET439" s="216"/>
      <c r="EU439" s="313"/>
      <c r="EV439" s="249"/>
      <c r="EW439" s="216"/>
      <c r="EX439" s="2505"/>
      <c r="EY439" s="249"/>
      <c r="EZ439" s="221"/>
      <c r="FA439" s="313"/>
      <c r="FB439" s="249"/>
      <c r="FC439" s="221"/>
      <c r="FD439" s="313"/>
      <c r="FE439" s="249"/>
      <c r="FF439" s="221"/>
      <c r="FG439" s="313"/>
      <c r="FH439" s="249"/>
      <c r="FI439" s="216"/>
      <c r="FJ439" s="1435"/>
      <c r="FK439" s="216"/>
      <c r="FL439" s="1268"/>
      <c r="FM439" s="1655"/>
      <c r="FN439" s="1268"/>
      <c r="FO439" s="1655"/>
      <c r="FP439" s="1268"/>
      <c r="FQ439" s="1656"/>
      <c r="FR439" s="249"/>
      <c r="FS439" s="216"/>
      <c r="FT439" s="1657"/>
      <c r="FU439" s="1658"/>
      <c r="FV439" s="242"/>
      <c r="FW439" s="343"/>
      <c r="FX439" s="222"/>
      <c r="FY439" s="336"/>
      <c r="FZ439" s="223"/>
      <c r="GA439" s="338"/>
      <c r="GB439" s="204"/>
      <c r="GC439" s="339"/>
      <c r="GD439" s="342"/>
      <c r="GE439" s="199"/>
      <c r="GF439" s="199"/>
      <c r="GG439" s="199"/>
      <c r="GH439" s="199"/>
      <c r="GI439" s="199"/>
      <c r="GJ439" s="199"/>
      <c r="GK439" s="199"/>
      <c r="GO439" s="322"/>
      <c r="GP439" s="1190"/>
      <c r="GQ439" s="1190"/>
      <c r="GS439" s="2879"/>
      <c r="GT439" s="2880"/>
      <c r="GU439" s="2881"/>
    </row>
    <row r="440" spans="1:203" ht="12" customHeight="1">
      <c r="A440" s="1252"/>
      <c r="B440" s="200"/>
      <c r="C440" s="486"/>
      <c r="T440" s="1186"/>
      <c r="U440" s="233"/>
      <c r="W440" s="218"/>
      <c r="X440" s="218"/>
      <c r="Y440" s="216"/>
      <c r="Z440" s="216"/>
      <c r="AA440" s="215"/>
      <c r="AB440" s="216"/>
      <c r="AC440" s="216"/>
      <c r="AD440" s="239"/>
      <c r="AE440" s="216"/>
      <c r="AF440" s="216"/>
      <c r="AG440" s="216"/>
      <c r="AH440" s="216"/>
      <c r="AI440" s="216"/>
      <c r="AJ440" s="216"/>
      <c r="AK440" s="239"/>
      <c r="AL440" s="216"/>
      <c r="AM440" s="216"/>
      <c r="AN440" s="216"/>
      <c r="AO440" s="216"/>
      <c r="AP440" s="216"/>
      <c r="AQ440" s="216"/>
      <c r="AR440" s="216"/>
      <c r="AS440" s="216"/>
      <c r="AT440" s="216"/>
      <c r="AU440" s="216"/>
      <c r="AV440" s="217"/>
      <c r="AW440" s="355"/>
      <c r="AX440" s="217"/>
      <c r="AY440" s="1559"/>
      <c r="AZ440" s="249"/>
      <c r="BA440" s="221"/>
      <c r="BB440" s="300"/>
      <c r="BC440" s="217"/>
      <c r="BD440" s="392"/>
      <c r="BE440" s="1244"/>
      <c r="BF440" s="249"/>
      <c r="BG440" s="252"/>
      <c r="BH440" s="1469"/>
      <c r="BI440" s="216"/>
      <c r="BJ440" s="1469"/>
      <c r="BK440" s="1459"/>
      <c r="BL440" s="260"/>
      <c r="BM440" s="214"/>
      <c r="BN440" s="293"/>
      <c r="BO440" s="217"/>
      <c r="BP440" s="355"/>
      <c r="BQ440" s="217"/>
      <c r="BR440" s="1193"/>
      <c r="BS440" s="249"/>
      <c r="BT440" s="216"/>
      <c r="BU440" s="1195"/>
      <c r="BV440" s="249"/>
      <c r="BW440" s="216"/>
      <c r="BX440" s="1195"/>
      <c r="BY440" s="249"/>
      <c r="BZ440" s="216"/>
      <c r="CA440" s="1195"/>
      <c r="CB440" s="249"/>
      <c r="CC440" s="216"/>
      <c r="CD440" s="1195"/>
      <c r="CE440" s="249"/>
      <c r="CF440" s="216"/>
      <c r="CG440" s="1195"/>
      <c r="CH440" s="249"/>
      <c r="CI440" s="216"/>
      <c r="CJ440" s="1195"/>
      <c r="CK440" s="249"/>
      <c r="CL440" s="216"/>
      <c r="CM440" s="1194"/>
      <c r="CN440" s="1524"/>
      <c r="CO440" s="217"/>
      <c r="CP440" s="1193"/>
      <c r="CQ440" s="293"/>
      <c r="CR440" s="217"/>
      <c r="CS440" s="305"/>
      <c r="CT440" s="249"/>
      <c r="CU440" s="216"/>
      <c r="CV440" s="1193"/>
      <c r="CW440" s="249"/>
      <c r="CX440" s="216"/>
      <c r="CY440" s="305"/>
      <c r="CZ440" s="249"/>
      <c r="DA440" s="216"/>
      <c r="DB440" s="307"/>
      <c r="DC440" s="328"/>
      <c r="DD440" s="322"/>
      <c r="DE440" s="305"/>
      <c r="DF440" s="249"/>
      <c r="DG440" s="216"/>
      <c r="DH440" s="305"/>
      <c r="DI440" s="249"/>
      <c r="DJ440" s="216"/>
      <c r="DK440" s="309"/>
      <c r="DL440" s="293"/>
      <c r="DM440" s="326"/>
      <c r="DN440" s="1256"/>
      <c r="DO440" s="214"/>
      <c r="DP440" s="1257"/>
      <c r="DQ440" s="1258"/>
      <c r="DR440" s="305"/>
      <c r="DS440" s="249"/>
      <c r="DT440" s="216"/>
      <c r="DU440" s="305"/>
      <c r="DV440" s="2520"/>
      <c r="DW440" s="2521"/>
      <c r="DX440" s="305"/>
      <c r="DY440" s="249"/>
      <c r="DZ440" s="221"/>
      <c r="EA440" s="388"/>
      <c r="EB440" s="249"/>
      <c r="EC440" s="216"/>
      <c r="ED440" s="1461"/>
      <c r="EE440" s="249"/>
      <c r="EF440" s="216"/>
      <c r="EG440" s="355"/>
      <c r="EH440" s="1425"/>
      <c r="EI440" s="1470"/>
      <c r="EJ440" s="249"/>
      <c r="EK440" s="221"/>
      <c r="EL440" s="313"/>
      <c r="EM440" s="249"/>
      <c r="EN440" s="221"/>
      <c r="EO440" s="313"/>
      <c r="EP440" s="249"/>
      <c r="EQ440" s="216"/>
      <c r="ER440" s="313"/>
      <c r="ES440" s="249"/>
      <c r="ET440" s="216"/>
      <c r="EU440" s="313"/>
      <c r="EV440" s="249"/>
      <c r="EW440" s="216"/>
      <c r="EX440" s="2505"/>
      <c r="EY440" s="249"/>
      <c r="EZ440" s="221"/>
      <c r="FA440" s="313"/>
      <c r="FB440" s="249"/>
      <c r="FC440" s="221"/>
      <c r="FD440" s="313"/>
      <c r="FE440" s="249"/>
      <c r="FF440" s="221"/>
      <c r="FG440" s="313"/>
      <c r="FH440" s="249"/>
      <c r="FI440" s="216"/>
      <c r="FJ440" s="1435"/>
      <c r="FK440" s="216"/>
      <c r="FL440" s="1268"/>
      <c r="FM440" s="1655"/>
      <c r="FN440" s="1268"/>
      <c r="FO440" s="1655"/>
      <c r="FP440" s="1268"/>
      <c r="FQ440" s="1656"/>
      <c r="FR440" s="249"/>
      <c r="FS440" s="216"/>
      <c r="FT440" s="1657"/>
      <c r="FU440" s="1658"/>
      <c r="FV440" s="242"/>
      <c r="FW440" s="343"/>
      <c r="FX440" s="222"/>
      <c r="FY440" s="336"/>
      <c r="FZ440" s="223"/>
      <c r="GA440" s="338"/>
      <c r="GB440" s="204"/>
      <c r="GC440" s="339"/>
      <c r="GD440" s="342"/>
      <c r="GE440" s="199"/>
      <c r="GF440" s="199"/>
      <c r="GG440" s="199"/>
      <c r="GH440" s="199"/>
      <c r="GI440" s="199"/>
      <c r="GJ440" s="199"/>
      <c r="GK440" s="199"/>
      <c r="GO440" s="322"/>
      <c r="GP440" s="1190"/>
      <c r="GQ440" s="1190"/>
      <c r="GS440" s="2879"/>
      <c r="GT440" s="2880"/>
      <c r="GU440" s="2881"/>
    </row>
    <row r="441" spans="1:203" ht="12" customHeight="1">
      <c r="A441" s="1252"/>
      <c r="B441" s="200"/>
      <c r="C441" s="486"/>
      <c r="T441" s="1186"/>
      <c r="U441" s="233"/>
      <c r="W441" s="218"/>
      <c r="X441" s="218"/>
      <c r="Y441" s="216"/>
      <c r="Z441" s="216"/>
      <c r="AA441" s="215"/>
      <c r="AB441" s="216"/>
      <c r="AC441" s="216"/>
      <c r="AD441" s="239"/>
      <c r="AE441" s="216"/>
      <c r="AF441" s="216"/>
      <c r="AG441" s="216"/>
      <c r="AH441" s="216"/>
      <c r="AI441" s="216"/>
      <c r="AJ441" s="216"/>
      <c r="AK441" s="239"/>
      <c r="AL441" s="216"/>
      <c r="AM441" s="216"/>
      <c r="AN441" s="216"/>
      <c r="AO441" s="216"/>
      <c r="AP441" s="216"/>
      <c r="AQ441" s="216"/>
      <c r="AR441" s="216"/>
      <c r="AS441" s="216"/>
      <c r="AT441" s="216"/>
      <c r="AU441" s="216"/>
      <c r="AV441" s="217"/>
      <c r="AW441" s="355"/>
      <c r="AX441" s="217"/>
      <c r="AY441" s="1559"/>
      <c r="AZ441" s="249"/>
      <c r="BA441" s="221"/>
      <c r="BB441" s="300"/>
      <c r="BC441" s="217"/>
      <c r="BD441" s="392"/>
      <c r="BE441" s="1244"/>
      <c r="BF441" s="249"/>
      <c r="BG441" s="252"/>
      <c r="BH441" s="1469"/>
      <c r="BI441" s="216"/>
      <c r="BJ441" s="1469"/>
      <c r="BK441" s="1459"/>
      <c r="BL441" s="260"/>
      <c r="BM441" s="214"/>
      <c r="BN441" s="293"/>
      <c r="BO441" s="217"/>
      <c r="BP441" s="355"/>
      <c r="BQ441" s="217"/>
      <c r="BR441" s="1193"/>
      <c r="BS441" s="249"/>
      <c r="BT441" s="216"/>
      <c r="BU441" s="1195"/>
      <c r="BV441" s="249"/>
      <c r="BW441" s="216"/>
      <c r="BX441" s="1195"/>
      <c r="BY441" s="249"/>
      <c r="BZ441" s="216"/>
      <c r="CA441" s="1195"/>
      <c r="CB441" s="249"/>
      <c r="CC441" s="216"/>
      <c r="CD441" s="1195"/>
      <c r="CE441" s="249"/>
      <c r="CF441" s="216"/>
      <c r="CG441" s="1195"/>
      <c r="CH441" s="249"/>
      <c r="CI441" s="216"/>
      <c r="CJ441" s="1195"/>
      <c r="CK441" s="249"/>
      <c r="CL441" s="216"/>
      <c r="CM441" s="1194"/>
      <c r="CN441" s="1524"/>
      <c r="CO441" s="217"/>
      <c r="CP441" s="1193"/>
      <c r="CQ441" s="293"/>
      <c r="CR441" s="217"/>
      <c r="CS441" s="305"/>
      <c r="CT441" s="249"/>
      <c r="CU441" s="216"/>
      <c r="CV441" s="1193"/>
      <c r="CW441" s="249"/>
      <c r="CX441" s="216"/>
      <c r="CY441" s="305"/>
      <c r="CZ441" s="249"/>
      <c r="DA441" s="216"/>
      <c r="DB441" s="307"/>
      <c r="DC441" s="328"/>
      <c r="DD441" s="322"/>
      <c r="DE441" s="305"/>
      <c r="DF441" s="249"/>
      <c r="DG441" s="216"/>
      <c r="DH441" s="305"/>
      <c r="DI441" s="249"/>
      <c r="DJ441" s="216"/>
      <c r="DK441" s="309"/>
      <c r="DL441" s="293"/>
      <c r="DM441" s="326"/>
      <c r="DN441" s="1256"/>
      <c r="DO441" s="214"/>
      <c r="DP441" s="1257"/>
      <c r="DQ441" s="1258"/>
      <c r="DR441" s="305"/>
      <c r="DS441" s="249"/>
      <c r="DT441" s="216"/>
      <c r="DU441" s="305"/>
      <c r="DV441" s="2520"/>
      <c r="DW441" s="2521"/>
      <c r="DX441" s="305"/>
      <c r="DY441" s="249"/>
      <c r="DZ441" s="221"/>
      <c r="EA441" s="388"/>
      <c r="EB441" s="249"/>
      <c r="EC441" s="216"/>
      <c r="ED441" s="1461"/>
      <c r="EE441" s="249"/>
      <c r="EF441" s="216"/>
      <c r="EG441" s="355"/>
      <c r="EH441" s="1425"/>
      <c r="EI441" s="1470"/>
      <c r="EJ441" s="249"/>
      <c r="EK441" s="221"/>
      <c r="EL441" s="313"/>
      <c r="EM441" s="249"/>
      <c r="EN441" s="221"/>
      <c r="EO441" s="313"/>
      <c r="EP441" s="249"/>
      <c r="EQ441" s="216"/>
      <c r="ER441" s="313"/>
      <c r="ES441" s="249"/>
      <c r="ET441" s="216"/>
      <c r="EU441" s="313"/>
      <c r="EV441" s="249"/>
      <c r="EW441" s="216"/>
      <c r="EX441" s="2505"/>
      <c r="EY441" s="249"/>
      <c r="EZ441" s="221"/>
      <c r="FA441" s="313"/>
      <c r="FB441" s="249"/>
      <c r="FC441" s="221"/>
      <c r="FD441" s="313"/>
      <c r="FE441" s="249"/>
      <c r="FF441" s="221"/>
      <c r="FG441" s="313"/>
      <c r="FH441" s="249"/>
      <c r="FI441" s="216"/>
      <c r="FJ441" s="1435"/>
      <c r="FK441" s="216"/>
      <c r="FL441" s="1268"/>
      <c r="FM441" s="1655"/>
      <c r="FN441" s="1268"/>
      <c r="FO441" s="1655"/>
      <c r="FP441" s="1268"/>
      <c r="FQ441" s="1656"/>
      <c r="FR441" s="249"/>
      <c r="FS441" s="216"/>
      <c r="FT441" s="1657"/>
      <c r="FU441" s="1658"/>
      <c r="FV441" s="242"/>
      <c r="FW441" s="343"/>
      <c r="FX441" s="222"/>
      <c r="FY441" s="336"/>
      <c r="FZ441" s="223"/>
      <c r="GA441" s="338"/>
      <c r="GB441" s="204"/>
      <c r="GC441" s="339"/>
      <c r="GD441" s="342"/>
      <c r="GE441" s="199"/>
      <c r="GF441" s="199"/>
      <c r="GG441" s="199"/>
      <c r="GH441" s="199"/>
      <c r="GI441" s="199"/>
      <c r="GJ441" s="199"/>
      <c r="GK441" s="199"/>
      <c r="GO441" s="322"/>
      <c r="GP441" s="1190"/>
      <c r="GQ441" s="1190"/>
      <c r="GS441" s="2879"/>
      <c r="GT441" s="2880"/>
      <c r="GU441" s="2881"/>
    </row>
    <row r="442" spans="1:203" ht="12" customHeight="1">
      <c r="A442" s="1252"/>
      <c r="B442" s="200"/>
      <c r="C442" s="486"/>
      <c r="T442" s="1186"/>
      <c r="U442" s="233"/>
      <c r="W442" s="218"/>
      <c r="X442" s="218"/>
      <c r="Y442" s="216"/>
      <c r="Z442" s="216"/>
      <c r="AA442" s="215"/>
      <c r="AB442" s="216"/>
      <c r="AC442" s="216"/>
      <c r="AD442" s="239"/>
      <c r="AE442" s="216"/>
      <c r="AF442" s="216"/>
      <c r="AG442" s="216"/>
      <c r="AH442" s="216"/>
      <c r="AI442" s="216"/>
      <c r="AJ442" s="216"/>
      <c r="AK442" s="239"/>
      <c r="AL442" s="216"/>
      <c r="AM442" s="216"/>
      <c r="AN442" s="216"/>
      <c r="AO442" s="216"/>
      <c r="AP442" s="216"/>
      <c r="AQ442" s="216"/>
      <c r="AR442" s="216"/>
      <c r="AS442" s="216"/>
      <c r="AT442" s="216"/>
      <c r="AU442" s="216"/>
      <c r="AV442" s="217"/>
      <c r="AW442" s="355"/>
      <c r="AX442" s="217"/>
      <c r="AY442" s="1559"/>
      <c r="AZ442" s="249"/>
      <c r="BA442" s="221"/>
      <c r="BB442" s="300"/>
      <c r="BC442" s="217"/>
      <c r="BD442" s="392"/>
      <c r="BE442" s="1244"/>
      <c r="BF442" s="249"/>
      <c r="BG442" s="252"/>
      <c r="BH442" s="1469"/>
      <c r="BI442" s="216"/>
      <c r="BJ442" s="1469"/>
      <c r="BK442" s="1459"/>
      <c r="BL442" s="260"/>
      <c r="BM442" s="214"/>
      <c r="BN442" s="293"/>
      <c r="BO442" s="217"/>
      <c r="BP442" s="355"/>
      <c r="BQ442" s="217"/>
      <c r="BR442" s="1193"/>
      <c r="BS442" s="249"/>
      <c r="BT442" s="216"/>
      <c r="BU442" s="1195"/>
      <c r="BV442" s="249"/>
      <c r="BW442" s="216"/>
      <c r="BX442" s="1195"/>
      <c r="BY442" s="249"/>
      <c r="BZ442" s="216"/>
      <c r="CA442" s="1195"/>
      <c r="CB442" s="249"/>
      <c r="CC442" s="216"/>
      <c r="CD442" s="1195"/>
      <c r="CE442" s="249"/>
      <c r="CF442" s="216"/>
      <c r="CG442" s="1195"/>
      <c r="CH442" s="249"/>
      <c r="CI442" s="216"/>
      <c r="CJ442" s="1195"/>
      <c r="CK442" s="249"/>
      <c r="CL442" s="216"/>
      <c r="CM442" s="1194"/>
      <c r="CN442" s="1524"/>
      <c r="CO442" s="217"/>
      <c r="CP442" s="1193"/>
      <c r="CQ442" s="293"/>
      <c r="CR442" s="217"/>
      <c r="CS442" s="305"/>
      <c r="CT442" s="249"/>
      <c r="CU442" s="216"/>
      <c r="CV442" s="1193"/>
      <c r="CW442" s="249"/>
      <c r="CX442" s="216"/>
      <c r="CY442" s="305"/>
      <c r="CZ442" s="249"/>
      <c r="DA442" s="216"/>
      <c r="DB442" s="307"/>
      <c r="DC442" s="328"/>
      <c r="DD442" s="322"/>
      <c r="DE442" s="305"/>
      <c r="DF442" s="249"/>
      <c r="DG442" s="216"/>
      <c r="DH442" s="305"/>
      <c r="DI442" s="249"/>
      <c r="DJ442" s="216"/>
      <c r="DK442" s="309"/>
      <c r="DL442" s="293"/>
      <c r="DM442" s="326"/>
      <c r="DN442" s="1256"/>
      <c r="DO442" s="214"/>
      <c r="DP442" s="1257"/>
      <c r="DQ442" s="1258"/>
      <c r="DR442" s="305"/>
      <c r="DS442" s="249"/>
      <c r="DT442" s="216"/>
      <c r="DU442" s="305"/>
      <c r="DV442" s="2520"/>
      <c r="DW442" s="2521"/>
      <c r="DX442" s="305"/>
      <c r="DY442" s="249"/>
      <c r="DZ442" s="221"/>
      <c r="EA442" s="388"/>
      <c r="EB442" s="249"/>
      <c r="EC442" s="216"/>
      <c r="ED442" s="1461"/>
      <c r="EE442" s="249"/>
      <c r="EF442" s="216"/>
      <c r="EG442" s="355"/>
      <c r="EH442" s="1425"/>
      <c r="EI442" s="1470"/>
      <c r="EJ442" s="249"/>
      <c r="EK442" s="221"/>
      <c r="EL442" s="313"/>
      <c r="EM442" s="249"/>
      <c r="EN442" s="221"/>
      <c r="EO442" s="313"/>
      <c r="EP442" s="249"/>
      <c r="EQ442" s="216"/>
      <c r="ER442" s="313"/>
      <c r="ES442" s="249"/>
      <c r="ET442" s="216"/>
      <c r="EU442" s="313"/>
      <c r="EV442" s="249"/>
      <c r="EW442" s="216"/>
      <c r="EX442" s="2505"/>
      <c r="EY442" s="249"/>
      <c r="EZ442" s="221"/>
      <c r="FA442" s="313"/>
      <c r="FB442" s="249"/>
      <c r="FC442" s="221"/>
      <c r="FD442" s="313"/>
      <c r="FE442" s="249"/>
      <c r="FF442" s="221"/>
      <c r="FG442" s="313"/>
      <c r="FH442" s="249"/>
      <c r="FI442" s="216"/>
      <c r="FJ442" s="1435"/>
      <c r="FK442" s="216"/>
      <c r="FL442" s="1268"/>
      <c r="FM442" s="1655"/>
      <c r="FN442" s="1268"/>
      <c r="FO442" s="1655"/>
      <c r="FP442" s="1268"/>
      <c r="FQ442" s="1656"/>
      <c r="FR442" s="249"/>
      <c r="FS442" s="216"/>
      <c r="FT442" s="1657"/>
      <c r="FU442" s="1658"/>
      <c r="FV442" s="242"/>
      <c r="FW442" s="343"/>
      <c r="FX442" s="222"/>
      <c r="FY442" s="336"/>
      <c r="FZ442" s="223"/>
      <c r="GA442" s="338"/>
      <c r="GB442" s="204"/>
      <c r="GC442" s="339"/>
      <c r="GD442" s="342"/>
      <c r="GE442" s="199"/>
      <c r="GF442" s="199"/>
      <c r="GG442" s="199"/>
      <c r="GH442" s="199"/>
      <c r="GI442" s="199"/>
      <c r="GJ442" s="199"/>
      <c r="GK442" s="199"/>
      <c r="GO442" s="322"/>
      <c r="GP442" s="1190"/>
      <c r="GQ442" s="1190"/>
      <c r="GS442" s="2879"/>
      <c r="GT442" s="2880"/>
      <c r="GU442" s="2881"/>
    </row>
    <row r="443" spans="1:203" ht="12" customHeight="1">
      <c r="A443" s="1252"/>
      <c r="B443" s="200"/>
      <c r="C443" s="486"/>
      <c r="T443" s="1186"/>
      <c r="U443" s="233"/>
      <c r="W443" s="218"/>
      <c r="X443" s="218"/>
      <c r="Y443" s="216"/>
      <c r="Z443" s="216"/>
      <c r="AA443" s="215"/>
      <c r="AB443" s="216"/>
      <c r="AC443" s="216"/>
      <c r="AD443" s="239"/>
      <c r="AE443" s="216"/>
      <c r="AF443" s="216"/>
      <c r="AG443" s="216"/>
      <c r="AH443" s="216"/>
      <c r="AI443" s="216"/>
      <c r="AJ443" s="216"/>
      <c r="AK443" s="239"/>
      <c r="AL443" s="216"/>
      <c r="AM443" s="216"/>
      <c r="AN443" s="216"/>
      <c r="AO443" s="216"/>
      <c r="AP443" s="216"/>
      <c r="AQ443" s="216"/>
      <c r="AR443" s="216"/>
      <c r="AS443" s="216"/>
      <c r="AT443" s="216"/>
      <c r="AU443" s="216"/>
      <c r="AV443" s="217"/>
      <c r="AW443" s="355"/>
      <c r="AX443" s="217"/>
      <c r="AY443" s="1559"/>
      <c r="AZ443" s="249"/>
      <c r="BA443" s="221"/>
      <c r="BB443" s="300"/>
      <c r="BC443" s="217"/>
      <c r="BD443" s="392"/>
      <c r="BE443" s="1244"/>
      <c r="BF443" s="249"/>
      <c r="BG443" s="252"/>
      <c r="BH443" s="1469"/>
      <c r="BI443" s="216"/>
      <c r="BJ443" s="1469"/>
      <c r="BK443" s="1459"/>
      <c r="BL443" s="260"/>
      <c r="BM443" s="214"/>
      <c r="BN443" s="293"/>
      <c r="BO443" s="217"/>
      <c r="BP443" s="355"/>
      <c r="BQ443" s="217"/>
      <c r="BR443" s="1193"/>
      <c r="BS443" s="249"/>
      <c r="BT443" s="216"/>
      <c r="BU443" s="1195"/>
      <c r="BV443" s="249"/>
      <c r="BW443" s="216"/>
      <c r="BX443" s="1195"/>
      <c r="BY443" s="249"/>
      <c r="BZ443" s="216"/>
      <c r="CA443" s="1195"/>
      <c r="CB443" s="249"/>
      <c r="CC443" s="216"/>
      <c r="CD443" s="1195"/>
      <c r="CE443" s="249"/>
      <c r="CF443" s="216"/>
      <c r="CG443" s="1195"/>
      <c r="CH443" s="249"/>
      <c r="CI443" s="216"/>
      <c r="CJ443" s="1195"/>
      <c r="CK443" s="249"/>
      <c r="CL443" s="216"/>
      <c r="CM443" s="1194"/>
      <c r="CN443" s="1524"/>
      <c r="CO443" s="217"/>
      <c r="CP443" s="1193"/>
      <c r="CQ443" s="293"/>
      <c r="CR443" s="217"/>
      <c r="CS443" s="305"/>
      <c r="CT443" s="249"/>
      <c r="CU443" s="216"/>
      <c r="CV443" s="1193"/>
      <c r="CW443" s="249"/>
      <c r="CX443" s="216"/>
      <c r="CY443" s="305"/>
      <c r="CZ443" s="249"/>
      <c r="DA443" s="216"/>
      <c r="DB443" s="307"/>
      <c r="DC443" s="328"/>
      <c r="DD443" s="322"/>
      <c r="DE443" s="305"/>
      <c r="DF443" s="249"/>
      <c r="DG443" s="216"/>
      <c r="DH443" s="305"/>
      <c r="DI443" s="249"/>
      <c r="DJ443" s="216"/>
      <c r="DK443" s="309"/>
      <c r="DL443" s="293"/>
      <c r="DM443" s="326"/>
      <c r="DN443" s="1256"/>
      <c r="DO443" s="214"/>
      <c r="DP443" s="1257"/>
      <c r="DQ443" s="1258"/>
      <c r="DR443" s="305"/>
      <c r="DS443" s="249"/>
      <c r="DT443" s="216"/>
      <c r="DU443" s="305"/>
      <c r="DV443" s="2520"/>
      <c r="DW443" s="2521"/>
      <c r="DX443" s="305"/>
      <c r="DY443" s="249"/>
      <c r="DZ443" s="221"/>
      <c r="EA443" s="388"/>
      <c r="EB443" s="249"/>
      <c r="EC443" s="216"/>
      <c r="ED443" s="1461"/>
      <c r="EE443" s="249"/>
      <c r="EF443" s="216"/>
      <c r="EG443" s="355"/>
      <c r="EH443" s="1425"/>
      <c r="EI443" s="1470"/>
      <c r="EJ443" s="249"/>
      <c r="EK443" s="221"/>
      <c r="EL443" s="313"/>
      <c r="EM443" s="249"/>
      <c r="EN443" s="221"/>
      <c r="EO443" s="313"/>
      <c r="EP443" s="249"/>
      <c r="EQ443" s="216"/>
      <c r="ER443" s="313"/>
      <c r="ES443" s="249"/>
      <c r="ET443" s="216"/>
      <c r="EU443" s="313"/>
      <c r="EV443" s="249"/>
      <c r="EW443" s="216"/>
      <c r="EX443" s="2505"/>
      <c r="EY443" s="249"/>
      <c r="EZ443" s="221"/>
      <c r="FA443" s="313"/>
      <c r="FB443" s="249"/>
      <c r="FC443" s="221"/>
      <c r="FD443" s="313"/>
      <c r="FE443" s="249"/>
      <c r="FF443" s="221"/>
      <c r="FG443" s="313"/>
      <c r="FH443" s="249"/>
      <c r="FI443" s="216"/>
      <c r="FJ443" s="1435"/>
      <c r="FK443" s="216"/>
      <c r="FL443" s="1268"/>
      <c r="FM443" s="1655"/>
      <c r="FN443" s="1268"/>
      <c r="FO443" s="1655"/>
      <c r="FP443" s="1268"/>
      <c r="FQ443" s="1656"/>
      <c r="FR443" s="249"/>
      <c r="FS443" s="216"/>
      <c r="FT443" s="1657"/>
      <c r="FU443" s="1658"/>
      <c r="FV443" s="242"/>
      <c r="FW443" s="343"/>
      <c r="FX443" s="222"/>
      <c r="FY443" s="336"/>
      <c r="FZ443" s="223"/>
      <c r="GA443" s="338"/>
      <c r="GB443" s="204"/>
      <c r="GC443" s="339"/>
      <c r="GD443" s="342"/>
      <c r="GE443" s="199"/>
      <c r="GF443" s="199"/>
      <c r="GG443" s="199"/>
      <c r="GH443" s="199"/>
      <c r="GI443" s="199"/>
      <c r="GJ443" s="199"/>
      <c r="GK443" s="199"/>
      <c r="GO443" s="322"/>
      <c r="GP443" s="1190"/>
      <c r="GQ443" s="1190"/>
      <c r="GS443" s="2879"/>
      <c r="GT443" s="2880"/>
      <c r="GU443" s="2881"/>
    </row>
    <row r="444" spans="1:203" ht="12" customHeight="1">
      <c r="A444" s="1252"/>
      <c r="B444" s="200"/>
      <c r="C444" s="486"/>
      <c r="T444" s="1186"/>
      <c r="U444" s="233"/>
      <c r="W444" s="218"/>
      <c r="X444" s="218"/>
      <c r="Y444" s="216"/>
      <c r="Z444" s="216"/>
      <c r="AA444" s="215"/>
      <c r="AB444" s="216"/>
      <c r="AC444" s="216"/>
      <c r="AD444" s="239"/>
      <c r="AE444" s="216"/>
      <c r="AF444" s="216"/>
      <c r="AG444" s="216"/>
      <c r="AH444" s="216"/>
      <c r="AI444" s="216"/>
      <c r="AJ444" s="216"/>
      <c r="AK444" s="239"/>
      <c r="AL444" s="216"/>
      <c r="AM444" s="216"/>
      <c r="AN444" s="216"/>
      <c r="AO444" s="216"/>
      <c r="AP444" s="216"/>
      <c r="AQ444" s="216"/>
      <c r="AR444" s="216"/>
      <c r="AS444" s="216"/>
      <c r="AT444" s="216"/>
      <c r="AU444" s="216"/>
      <c r="AV444" s="217"/>
      <c r="AW444" s="355"/>
      <c r="AX444" s="217"/>
      <c r="AY444" s="1559"/>
      <c r="AZ444" s="249"/>
      <c r="BA444" s="221"/>
      <c r="BB444" s="300"/>
      <c r="BC444" s="217"/>
      <c r="BD444" s="392"/>
      <c r="BE444" s="1244"/>
      <c r="BF444" s="249"/>
      <c r="BG444" s="252"/>
      <c r="BH444" s="1469"/>
      <c r="BI444" s="216"/>
      <c r="BJ444" s="1469"/>
      <c r="BK444" s="1459"/>
      <c r="BL444" s="260"/>
      <c r="BM444" s="214"/>
      <c r="BN444" s="293"/>
      <c r="BO444" s="217"/>
      <c r="BP444" s="355"/>
      <c r="BQ444" s="217"/>
      <c r="BR444" s="1193"/>
      <c r="BS444" s="249"/>
      <c r="BT444" s="216"/>
      <c r="BU444" s="1195"/>
      <c r="BV444" s="249"/>
      <c r="BW444" s="216"/>
      <c r="BX444" s="1195"/>
      <c r="BY444" s="249"/>
      <c r="BZ444" s="216"/>
      <c r="CA444" s="1195"/>
      <c r="CB444" s="249"/>
      <c r="CC444" s="216"/>
      <c r="CD444" s="1195"/>
      <c r="CE444" s="249"/>
      <c r="CF444" s="216"/>
      <c r="CG444" s="1195"/>
      <c r="CH444" s="249"/>
      <c r="CI444" s="216"/>
      <c r="CJ444" s="1195"/>
      <c r="CK444" s="249"/>
      <c r="CL444" s="216"/>
      <c r="CM444" s="1194"/>
      <c r="CN444" s="1524"/>
      <c r="CO444" s="217"/>
      <c r="CP444" s="1193"/>
      <c r="CQ444" s="293"/>
      <c r="CR444" s="217"/>
      <c r="CS444" s="305"/>
      <c r="CT444" s="249"/>
      <c r="CU444" s="216"/>
      <c r="CV444" s="1193"/>
      <c r="CW444" s="249"/>
      <c r="CX444" s="216"/>
      <c r="CY444" s="305"/>
      <c r="CZ444" s="249"/>
      <c r="DA444" s="216"/>
      <c r="DB444" s="307"/>
      <c r="DC444" s="328"/>
      <c r="DD444" s="322"/>
      <c r="DE444" s="305"/>
      <c r="DF444" s="249"/>
      <c r="DG444" s="216"/>
      <c r="DH444" s="305"/>
      <c r="DI444" s="249"/>
      <c r="DJ444" s="216"/>
      <c r="DK444" s="309"/>
      <c r="DL444" s="293"/>
      <c r="DM444" s="326"/>
      <c r="DN444" s="1256"/>
      <c r="DO444" s="214"/>
      <c r="DP444" s="1257"/>
      <c r="DQ444" s="1258"/>
      <c r="DR444" s="305"/>
      <c r="DS444" s="249"/>
      <c r="DT444" s="216"/>
      <c r="DU444" s="305"/>
      <c r="DV444" s="2520"/>
      <c r="DW444" s="2521"/>
      <c r="DX444" s="305"/>
      <c r="DY444" s="249"/>
      <c r="DZ444" s="221"/>
      <c r="EA444" s="388"/>
      <c r="EB444" s="249"/>
      <c r="EC444" s="216"/>
      <c r="ED444" s="1461"/>
      <c r="EE444" s="249"/>
      <c r="EF444" s="216"/>
      <c r="EG444" s="355"/>
      <c r="EH444" s="1425"/>
      <c r="EI444" s="1470"/>
      <c r="EJ444" s="249"/>
      <c r="EK444" s="221"/>
      <c r="EL444" s="313"/>
      <c r="EM444" s="249"/>
      <c r="EN444" s="221"/>
      <c r="EO444" s="313"/>
      <c r="EP444" s="249"/>
      <c r="EQ444" s="216"/>
      <c r="ER444" s="313"/>
      <c r="ES444" s="249"/>
      <c r="ET444" s="216"/>
      <c r="EU444" s="313"/>
      <c r="EV444" s="249"/>
      <c r="EW444" s="216"/>
      <c r="EX444" s="2505"/>
      <c r="EY444" s="249"/>
      <c r="EZ444" s="221"/>
      <c r="FA444" s="313"/>
      <c r="FB444" s="249"/>
      <c r="FC444" s="221"/>
      <c r="FD444" s="313"/>
      <c r="FE444" s="249"/>
      <c r="FF444" s="221"/>
      <c r="FG444" s="313"/>
      <c r="FH444" s="249"/>
      <c r="FI444" s="216"/>
      <c r="FJ444" s="1435"/>
      <c r="FK444" s="216"/>
      <c r="FL444" s="1268"/>
      <c r="FM444" s="1655"/>
      <c r="FN444" s="1268"/>
      <c r="FO444" s="1655"/>
      <c r="FP444" s="1268"/>
      <c r="FQ444" s="1656"/>
      <c r="FR444" s="249"/>
      <c r="FS444" s="216"/>
      <c r="FT444" s="1657"/>
      <c r="FU444" s="1658"/>
      <c r="FV444" s="242"/>
      <c r="FW444" s="343"/>
      <c r="FX444" s="222"/>
      <c r="FY444" s="336"/>
      <c r="FZ444" s="223"/>
      <c r="GA444" s="338"/>
      <c r="GB444" s="204"/>
      <c r="GC444" s="339"/>
      <c r="GD444" s="342"/>
      <c r="GE444" s="199"/>
      <c r="GF444" s="199"/>
      <c r="GG444" s="199"/>
      <c r="GH444" s="199"/>
      <c r="GI444" s="199"/>
      <c r="GJ444" s="199"/>
      <c r="GK444" s="199"/>
      <c r="GO444" s="322"/>
      <c r="GP444" s="1190"/>
      <c r="GQ444" s="1190"/>
      <c r="GS444" s="2879"/>
      <c r="GT444" s="2880"/>
      <c r="GU444" s="2881"/>
    </row>
    <row r="445" spans="1:203" ht="12" customHeight="1">
      <c r="A445" s="1252"/>
      <c r="B445" s="200"/>
      <c r="C445" s="486"/>
      <c r="T445" s="1186"/>
      <c r="U445" s="233"/>
      <c r="W445" s="218"/>
      <c r="X445" s="218"/>
      <c r="Y445" s="216"/>
      <c r="Z445" s="216"/>
      <c r="AA445" s="215"/>
      <c r="AB445" s="216"/>
      <c r="AC445" s="216"/>
      <c r="AD445" s="239"/>
      <c r="AE445" s="216"/>
      <c r="AF445" s="216"/>
      <c r="AG445" s="216"/>
      <c r="AH445" s="216"/>
      <c r="AI445" s="216"/>
      <c r="AJ445" s="216"/>
      <c r="AK445" s="239"/>
      <c r="AL445" s="216"/>
      <c r="AM445" s="216"/>
      <c r="AN445" s="216"/>
      <c r="AO445" s="216"/>
      <c r="AP445" s="216"/>
      <c r="AQ445" s="216"/>
      <c r="AR445" s="216"/>
      <c r="AS445" s="216"/>
      <c r="AT445" s="216"/>
      <c r="AU445" s="216"/>
      <c r="AV445" s="217"/>
      <c r="AW445" s="355"/>
      <c r="AX445" s="217"/>
      <c r="AY445" s="1559"/>
      <c r="AZ445" s="249"/>
      <c r="BA445" s="221"/>
      <c r="BB445" s="300"/>
      <c r="BC445" s="217"/>
      <c r="BD445" s="392"/>
      <c r="BE445" s="1244"/>
      <c r="BF445" s="249"/>
      <c r="BG445" s="252"/>
      <c r="BH445" s="1469"/>
      <c r="BI445" s="216"/>
      <c r="BJ445" s="1469"/>
      <c r="BK445" s="1459"/>
      <c r="BL445" s="260"/>
      <c r="BM445" s="214"/>
      <c r="BN445" s="293"/>
      <c r="BO445" s="217"/>
      <c r="BP445" s="355"/>
      <c r="BQ445" s="217"/>
      <c r="BR445" s="1193"/>
      <c r="BS445" s="249"/>
      <c r="BT445" s="216"/>
      <c r="BU445" s="1195"/>
      <c r="BV445" s="249"/>
      <c r="BW445" s="216"/>
      <c r="BX445" s="1195"/>
      <c r="BY445" s="249"/>
      <c r="BZ445" s="216"/>
      <c r="CA445" s="1195"/>
      <c r="CB445" s="249"/>
      <c r="CC445" s="216"/>
      <c r="CD445" s="1195"/>
      <c r="CE445" s="249"/>
      <c r="CF445" s="216"/>
      <c r="CG445" s="1195"/>
      <c r="CH445" s="249"/>
      <c r="CI445" s="216"/>
      <c r="CJ445" s="1195"/>
      <c r="CK445" s="249"/>
      <c r="CL445" s="216"/>
      <c r="CM445" s="1194"/>
      <c r="CN445" s="1524"/>
      <c r="CO445" s="217"/>
      <c r="CP445" s="1193"/>
      <c r="CQ445" s="293"/>
      <c r="CR445" s="217"/>
      <c r="CS445" s="305"/>
      <c r="CT445" s="249"/>
      <c r="CU445" s="216"/>
      <c r="CV445" s="1193"/>
      <c r="CW445" s="249"/>
      <c r="CX445" s="216"/>
      <c r="CY445" s="305"/>
      <c r="CZ445" s="249"/>
      <c r="DA445" s="216"/>
      <c r="DB445" s="307"/>
      <c r="DC445" s="328"/>
      <c r="DD445" s="322"/>
      <c r="DE445" s="305"/>
      <c r="DF445" s="249"/>
      <c r="DG445" s="216"/>
      <c r="DH445" s="305"/>
      <c r="DI445" s="249"/>
      <c r="DJ445" s="216"/>
      <c r="DK445" s="309"/>
      <c r="DL445" s="293"/>
      <c r="DM445" s="326"/>
      <c r="DN445" s="1256"/>
      <c r="DO445" s="214"/>
      <c r="DP445" s="1257"/>
      <c r="DQ445" s="1258"/>
      <c r="DR445" s="305"/>
      <c r="DS445" s="249"/>
      <c r="DT445" s="216"/>
      <c r="DU445" s="305"/>
      <c r="DV445" s="2520"/>
      <c r="DW445" s="2521"/>
      <c r="DX445" s="305"/>
      <c r="DY445" s="249"/>
      <c r="DZ445" s="221"/>
      <c r="EA445" s="388"/>
      <c r="EB445" s="249"/>
      <c r="EC445" s="216"/>
      <c r="ED445" s="1461"/>
      <c r="EE445" s="249"/>
      <c r="EF445" s="216"/>
      <c r="EG445" s="355"/>
      <c r="EH445" s="1425"/>
      <c r="EI445" s="1470"/>
      <c r="EJ445" s="249"/>
      <c r="EK445" s="221"/>
      <c r="EL445" s="313"/>
      <c r="EM445" s="249"/>
      <c r="EN445" s="221"/>
      <c r="EO445" s="313"/>
      <c r="EP445" s="249"/>
      <c r="EQ445" s="216"/>
      <c r="ER445" s="313"/>
      <c r="ES445" s="249"/>
      <c r="ET445" s="216"/>
      <c r="EU445" s="313"/>
      <c r="EV445" s="249"/>
      <c r="EW445" s="216"/>
      <c r="EX445" s="2505"/>
      <c r="EY445" s="249"/>
      <c r="EZ445" s="221"/>
      <c r="FA445" s="313"/>
      <c r="FB445" s="249"/>
      <c r="FC445" s="221"/>
      <c r="FD445" s="313"/>
      <c r="FE445" s="249"/>
      <c r="FF445" s="221"/>
      <c r="FG445" s="313"/>
      <c r="FH445" s="249"/>
      <c r="FI445" s="216"/>
      <c r="FJ445" s="1435"/>
      <c r="FK445" s="216"/>
      <c r="FL445" s="1268"/>
      <c r="FM445" s="1655"/>
      <c r="FN445" s="1268"/>
      <c r="FO445" s="1655"/>
      <c r="FP445" s="1268"/>
      <c r="FQ445" s="1656"/>
      <c r="FR445" s="249"/>
      <c r="FS445" s="216"/>
      <c r="FT445" s="1657"/>
      <c r="FU445" s="1658"/>
      <c r="FV445" s="242"/>
      <c r="FW445" s="343"/>
      <c r="FX445" s="222"/>
      <c r="FY445" s="336"/>
      <c r="FZ445" s="223"/>
      <c r="GA445" s="338"/>
      <c r="GB445" s="204"/>
      <c r="GC445" s="339"/>
      <c r="GD445" s="342"/>
      <c r="GE445" s="199"/>
      <c r="GF445" s="199"/>
      <c r="GG445" s="199"/>
      <c r="GH445" s="199"/>
      <c r="GI445" s="199"/>
      <c r="GJ445" s="199"/>
      <c r="GK445" s="199"/>
      <c r="GO445" s="322"/>
      <c r="GP445" s="1190"/>
      <c r="GQ445" s="1190"/>
      <c r="GS445" s="2879"/>
      <c r="GT445" s="2880"/>
      <c r="GU445" s="2881"/>
    </row>
    <row r="446" spans="1:203" ht="12" customHeight="1">
      <c r="A446" s="1252"/>
      <c r="B446" s="200"/>
      <c r="C446" s="486"/>
      <c r="T446" s="1186"/>
      <c r="U446" s="233"/>
      <c r="W446" s="218"/>
      <c r="X446" s="218"/>
      <c r="Y446" s="216"/>
      <c r="Z446" s="216"/>
      <c r="AA446" s="215"/>
      <c r="AB446" s="216"/>
      <c r="AC446" s="216"/>
      <c r="AD446" s="239"/>
      <c r="AE446" s="216"/>
      <c r="AF446" s="216"/>
      <c r="AG446" s="216"/>
      <c r="AH446" s="216"/>
      <c r="AI446" s="216"/>
      <c r="AJ446" s="216"/>
      <c r="AK446" s="239"/>
      <c r="AL446" s="216"/>
      <c r="AM446" s="216"/>
      <c r="AN446" s="216"/>
      <c r="AO446" s="216"/>
      <c r="AP446" s="216"/>
      <c r="AQ446" s="216"/>
      <c r="AR446" s="216"/>
      <c r="AS446" s="216"/>
      <c r="AT446" s="216"/>
      <c r="AU446" s="216"/>
      <c r="AV446" s="217"/>
      <c r="AW446" s="355"/>
      <c r="AX446" s="217"/>
      <c r="AY446" s="1559"/>
      <c r="AZ446" s="249"/>
      <c r="BA446" s="221"/>
      <c r="BB446" s="300"/>
      <c r="BC446" s="217"/>
      <c r="BD446" s="392"/>
      <c r="BE446" s="1244"/>
      <c r="BF446" s="249"/>
      <c r="BG446" s="252"/>
      <c r="BH446" s="1469"/>
      <c r="BI446" s="216"/>
      <c r="BJ446" s="1469"/>
      <c r="BK446" s="1459"/>
      <c r="BL446" s="260"/>
      <c r="BM446" s="214"/>
      <c r="BN446" s="293"/>
      <c r="BO446" s="217"/>
      <c r="BP446" s="355"/>
      <c r="BQ446" s="217"/>
      <c r="BR446" s="1193"/>
      <c r="BS446" s="249"/>
      <c r="BT446" s="216"/>
      <c r="BU446" s="1195"/>
      <c r="BV446" s="249"/>
      <c r="BW446" s="216"/>
      <c r="BX446" s="1195"/>
      <c r="BY446" s="249"/>
      <c r="BZ446" s="216"/>
      <c r="CA446" s="1195"/>
      <c r="CB446" s="249"/>
      <c r="CC446" s="216"/>
      <c r="CD446" s="1195"/>
      <c r="CE446" s="249"/>
      <c r="CF446" s="216"/>
      <c r="CG446" s="1195"/>
      <c r="CH446" s="249"/>
      <c r="CI446" s="216"/>
      <c r="CJ446" s="1195"/>
      <c r="CK446" s="249"/>
      <c r="CL446" s="216"/>
      <c r="CM446" s="1194"/>
      <c r="CN446" s="1524"/>
      <c r="CO446" s="217"/>
      <c r="CP446" s="1193"/>
      <c r="CQ446" s="293"/>
      <c r="CR446" s="217"/>
      <c r="CS446" s="305"/>
      <c r="CT446" s="249"/>
      <c r="CU446" s="216"/>
      <c r="CV446" s="1193"/>
      <c r="CW446" s="249"/>
      <c r="CX446" s="216"/>
      <c r="CY446" s="305"/>
      <c r="CZ446" s="249"/>
      <c r="DA446" s="216"/>
      <c r="DB446" s="307"/>
      <c r="DC446" s="328"/>
      <c r="DD446" s="322"/>
      <c r="DE446" s="305"/>
      <c r="DF446" s="249"/>
      <c r="DG446" s="216"/>
      <c r="DH446" s="305"/>
      <c r="DI446" s="249"/>
      <c r="DJ446" s="216"/>
      <c r="DK446" s="309"/>
      <c r="DL446" s="293"/>
      <c r="DM446" s="326"/>
      <c r="DN446" s="1256"/>
      <c r="DO446" s="214"/>
      <c r="DP446" s="1257"/>
      <c r="DQ446" s="1258"/>
      <c r="DR446" s="305"/>
      <c r="DS446" s="249"/>
      <c r="DT446" s="216"/>
      <c r="DU446" s="305"/>
      <c r="DV446" s="2520"/>
      <c r="DW446" s="2521"/>
      <c r="DX446" s="305"/>
      <c r="DY446" s="249"/>
      <c r="DZ446" s="221"/>
      <c r="EA446" s="388"/>
      <c r="EB446" s="249"/>
      <c r="EC446" s="216"/>
      <c r="ED446" s="1461"/>
      <c r="EE446" s="249"/>
      <c r="EF446" s="216"/>
      <c r="EG446" s="355"/>
      <c r="EH446" s="1425"/>
      <c r="EI446" s="1470"/>
      <c r="EJ446" s="249"/>
      <c r="EK446" s="221"/>
      <c r="EL446" s="313"/>
      <c r="EM446" s="249"/>
      <c r="EN446" s="221"/>
      <c r="EO446" s="313"/>
      <c r="EP446" s="249"/>
      <c r="EQ446" s="216"/>
      <c r="ER446" s="313"/>
      <c r="ES446" s="249"/>
      <c r="ET446" s="216"/>
      <c r="EU446" s="313"/>
      <c r="EV446" s="249"/>
      <c r="EW446" s="216"/>
      <c r="EX446" s="2505"/>
      <c r="EY446" s="249"/>
      <c r="EZ446" s="221"/>
      <c r="FA446" s="313"/>
      <c r="FB446" s="249"/>
      <c r="FC446" s="221"/>
      <c r="FD446" s="313"/>
      <c r="FE446" s="249"/>
      <c r="FF446" s="221"/>
      <c r="FG446" s="313"/>
      <c r="FH446" s="249"/>
      <c r="FI446" s="216"/>
      <c r="FJ446" s="1435"/>
      <c r="FK446" s="216"/>
      <c r="FL446" s="1268"/>
      <c r="FM446" s="1655"/>
      <c r="FN446" s="1268"/>
      <c r="FO446" s="1655"/>
      <c r="FP446" s="1268"/>
      <c r="FQ446" s="1656"/>
      <c r="FR446" s="249"/>
      <c r="FS446" s="216"/>
      <c r="FT446" s="1657"/>
      <c r="FU446" s="1658"/>
      <c r="FV446" s="242"/>
      <c r="FW446" s="343"/>
      <c r="FX446" s="222"/>
      <c r="FY446" s="336"/>
      <c r="FZ446" s="223"/>
      <c r="GA446" s="338"/>
      <c r="GB446" s="204"/>
      <c r="GC446" s="339"/>
      <c r="GD446" s="342"/>
      <c r="GE446" s="199"/>
      <c r="GF446" s="199"/>
      <c r="GG446" s="199"/>
      <c r="GH446" s="199"/>
      <c r="GI446" s="199"/>
      <c r="GJ446" s="199"/>
      <c r="GK446" s="199"/>
      <c r="GO446" s="322"/>
      <c r="GP446" s="1190"/>
      <c r="GQ446" s="1190"/>
      <c r="GS446" s="2879"/>
      <c r="GT446" s="2880"/>
      <c r="GU446" s="2881"/>
    </row>
    <row r="447" spans="1:203" ht="12" customHeight="1">
      <c r="A447" s="1252"/>
      <c r="B447" s="200"/>
      <c r="C447" s="486"/>
      <c r="T447" s="1186"/>
      <c r="U447" s="233"/>
      <c r="W447" s="218"/>
      <c r="X447" s="218"/>
      <c r="Y447" s="216"/>
      <c r="Z447" s="216"/>
      <c r="AA447" s="215"/>
      <c r="AB447" s="216"/>
      <c r="AC447" s="216"/>
      <c r="AD447" s="239"/>
      <c r="AE447" s="216"/>
      <c r="AF447" s="216"/>
      <c r="AG447" s="216"/>
      <c r="AH447" s="216"/>
      <c r="AI447" s="216"/>
      <c r="AJ447" s="216"/>
      <c r="AK447" s="239"/>
      <c r="AL447" s="216"/>
      <c r="AM447" s="216"/>
      <c r="AN447" s="216"/>
      <c r="AO447" s="216"/>
      <c r="AP447" s="216"/>
      <c r="AQ447" s="216"/>
      <c r="AR447" s="216"/>
      <c r="AS447" s="216"/>
      <c r="AT447" s="216"/>
      <c r="AU447" s="216"/>
      <c r="AV447" s="217"/>
      <c r="AW447" s="355"/>
      <c r="AX447" s="217"/>
      <c r="AY447" s="1559"/>
      <c r="AZ447" s="249"/>
      <c r="BA447" s="221"/>
      <c r="BB447" s="300"/>
      <c r="BC447" s="217"/>
      <c r="BD447" s="392"/>
      <c r="BE447" s="1244"/>
      <c r="BF447" s="249"/>
      <c r="BG447" s="252"/>
      <c r="BH447" s="1469"/>
      <c r="BI447" s="216"/>
      <c r="BJ447" s="1469"/>
      <c r="BK447" s="1459"/>
      <c r="BL447" s="260"/>
      <c r="BM447" s="214"/>
      <c r="BN447" s="293"/>
      <c r="BO447" s="217"/>
      <c r="BP447" s="355"/>
      <c r="BQ447" s="217"/>
      <c r="BR447" s="1193"/>
      <c r="BS447" s="249"/>
      <c r="BT447" s="216"/>
      <c r="BU447" s="1195"/>
      <c r="BV447" s="249"/>
      <c r="BW447" s="216"/>
      <c r="BX447" s="1195"/>
      <c r="BY447" s="249"/>
      <c r="BZ447" s="216"/>
      <c r="CA447" s="1195"/>
      <c r="CB447" s="249"/>
      <c r="CC447" s="216"/>
      <c r="CD447" s="1195"/>
      <c r="CE447" s="249"/>
      <c r="CF447" s="216"/>
      <c r="CG447" s="1195"/>
      <c r="CH447" s="249"/>
      <c r="CI447" s="216"/>
      <c r="CJ447" s="1195"/>
      <c r="CK447" s="249"/>
      <c r="CL447" s="216"/>
      <c r="CM447" s="1194"/>
      <c r="CN447" s="1524"/>
      <c r="CO447" s="217"/>
      <c r="CP447" s="1193"/>
      <c r="CQ447" s="293"/>
      <c r="CR447" s="217"/>
      <c r="CS447" s="305"/>
      <c r="CT447" s="249"/>
      <c r="CU447" s="216"/>
      <c r="CV447" s="1193"/>
      <c r="CW447" s="249"/>
      <c r="CX447" s="216"/>
      <c r="CY447" s="305"/>
      <c r="CZ447" s="249"/>
      <c r="DA447" s="216"/>
      <c r="DB447" s="307"/>
      <c r="DC447" s="328"/>
      <c r="DD447" s="322"/>
      <c r="DE447" s="305"/>
      <c r="DF447" s="249"/>
      <c r="DG447" s="216"/>
      <c r="DH447" s="305"/>
      <c r="DI447" s="249"/>
      <c r="DJ447" s="216"/>
      <c r="DK447" s="309"/>
      <c r="DL447" s="293"/>
      <c r="DM447" s="326"/>
      <c r="DN447" s="1256"/>
      <c r="DO447" s="214"/>
      <c r="DP447" s="1257"/>
      <c r="DQ447" s="1258"/>
      <c r="DR447" s="305"/>
      <c r="DS447" s="249"/>
      <c r="DT447" s="216"/>
      <c r="DU447" s="305"/>
      <c r="DV447" s="2520"/>
      <c r="DW447" s="2521"/>
      <c r="DX447" s="305"/>
      <c r="DY447" s="249"/>
      <c r="DZ447" s="221"/>
      <c r="EA447" s="388"/>
      <c r="EB447" s="249"/>
      <c r="EC447" s="216"/>
      <c r="ED447" s="1461"/>
      <c r="EE447" s="249"/>
      <c r="EF447" s="216"/>
      <c r="EG447" s="355"/>
      <c r="EH447" s="1425"/>
      <c r="EI447" s="1470"/>
      <c r="EJ447" s="249"/>
      <c r="EK447" s="221"/>
      <c r="EL447" s="313"/>
      <c r="EM447" s="249"/>
      <c r="EN447" s="221"/>
      <c r="EO447" s="313"/>
      <c r="EP447" s="249"/>
      <c r="EQ447" s="216"/>
      <c r="ER447" s="313"/>
      <c r="ES447" s="249"/>
      <c r="ET447" s="216"/>
      <c r="EU447" s="313"/>
      <c r="EV447" s="249"/>
      <c r="EW447" s="216"/>
      <c r="EX447" s="2505"/>
      <c r="EY447" s="249"/>
      <c r="EZ447" s="221"/>
      <c r="FA447" s="313"/>
      <c r="FB447" s="249"/>
      <c r="FC447" s="221"/>
      <c r="FD447" s="313"/>
      <c r="FE447" s="249"/>
      <c r="FF447" s="221"/>
      <c r="FG447" s="313"/>
      <c r="FH447" s="249"/>
      <c r="FI447" s="216"/>
      <c r="FJ447" s="1435"/>
      <c r="FK447" s="216"/>
      <c r="FL447" s="1268"/>
      <c r="FM447" s="1655"/>
      <c r="FN447" s="1268"/>
      <c r="FO447" s="1655"/>
      <c r="FP447" s="1268"/>
      <c r="FQ447" s="1656"/>
      <c r="FR447" s="249"/>
      <c r="FS447" s="216"/>
      <c r="FT447" s="1657"/>
      <c r="FU447" s="1658"/>
      <c r="FV447" s="242"/>
      <c r="FW447" s="343"/>
      <c r="FX447" s="222"/>
      <c r="FY447" s="336"/>
      <c r="FZ447" s="223"/>
      <c r="GA447" s="338"/>
      <c r="GB447" s="204"/>
      <c r="GC447" s="339"/>
      <c r="GD447" s="342"/>
      <c r="GE447" s="199"/>
      <c r="GF447" s="199"/>
      <c r="GG447" s="199"/>
      <c r="GH447" s="199"/>
      <c r="GI447" s="199"/>
      <c r="GJ447" s="199"/>
      <c r="GK447" s="199"/>
      <c r="GO447" s="322"/>
      <c r="GP447" s="1190"/>
      <c r="GQ447" s="1190"/>
      <c r="GS447" s="2879"/>
      <c r="GT447" s="2880"/>
      <c r="GU447" s="2881"/>
    </row>
    <row r="448" spans="1:203" ht="12" customHeight="1">
      <c r="A448" s="1252"/>
      <c r="B448" s="200"/>
      <c r="C448" s="486"/>
      <c r="T448" s="1186"/>
      <c r="U448" s="233"/>
      <c r="W448" s="218"/>
      <c r="X448" s="218"/>
      <c r="Y448" s="216"/>
      <c r="Z448" s="216"/>
      <c r="AA448" s="215"/>
      <c r="AB448" s="216"/>
      <c r="AC448" s="216"/>
      <c r="AD448" s="239"/>
      <c r="AE448" s="216"/>
      <c r="AF448" s="216"/>
      <c r="AG448" s="216"/>
      <c r="AH448" s="216"/>
      <c r="AI448" s="216"/>
      <c r="AJ448" s="216"/>
      <c r="AK448" s="239"/>
      <c r="AL448" s="216"/>
      <c r="AM448" s="216"/>
      <c r="AN448" s="216"/>
      <c r="AO448" s="216"/>
      <c r="AP448" s="216"/>
      <c r="AQ448" s="216"/>
      <c r="AR448" s="216"/>
      <c r="AS448" s="216"/>
      <c r="AT448" s="216"/>
      <c r="AU448" s="216"/>
      <c r="AV448" s="217"/>
      <c r="AW448" s="355"/>
      <c r="AX448" s="217"/>
      <c r="AY448" s="1559"/>
      <c r="AZ448" s="249"/>
      <c r="BA448" s="221"/>
      <c r="BB448" s="300"/>
      <c r="BC448" s="217"/>
      <c r="BD448" s="392"/>
      <c r="BE448" s="1244"/>
      <c r="BF448" s="249"/>
      <c r="BG448" s="252"/>
      <c r="BH448" s="1469"/>
      <c r="BI448" s="216"/>
      <c r="BJ448" s="1469"/>
      <c r="BK448" s="1459"/>
      <c r="BL448" s="260"/>
      <c r="BM448" s="214"/>
      <c r="BN448" s="293"/>
      <c r="BO448" s="217"/>
      <c r="BP448" s="355"/>
      <c r="BQ448" s="217"/>
      <c r="BR448" s="1193"/>
      <c r="BS448" s="249"/>
      <c r="BT448" s="216"/>
      <c r="BU448" s="1195"/>
      <c r="BV448" s="249"/>
      <c r="BW448" s="216"/>
      <c r="BX448" s="1195"/>
      <c r="BY448" s="249"/>
      <c r="BZ448" s="216"/>
      <c r="CA448" s="1195"/>
      <c r="CB448" s="249"/>
      <c r="CC448" s="216"/>
      <c r="CD448" s="1195"/>
      <c r="CE448" s="249"/>
      <c r="CF448" s="216"/>
      <c r="CG448" s="1195"/>
      <c r="CH448" s="249"/>
      <c r="CI448" s="216"/>
      <c r="CJ448" s="1195"/>
      <c r="CK448" s="249"/>
      <c r="CL448" s="216"/>
      <c r="CM448" s="1194"/>
      <c r="CN448" s="1524"/>
      <c r="CO448" s="217"/>
      <c r="CP448" s="1193"/>
      <c r="CQ448" s="293"/>
      <c r="CR448" s="217"/>
      <c r="CS448" s="305"/>
      <c r="CT448" s="249"/>
      <c r="CU448" s="216"/>
      <c r="CV448" s="1193"/>
      <c r="CW448" s="249"/>
      <c r="CX448" s="216"/>
      <c r="CY448" s="305"/>
      <c r="CZ448" s="249"/>
      <c r="DA448" s="216"/>
      <c r="DB448" s="307"/>
      <c r="DC448" s="328"/>
      <c r="DD448" s="322"/>
      <c r="DE448" s="305"/>
      <c r="DF448" s="249"/>
      <c r="DG448" s="216"/>
      <c r="DH448" s="305"/>
      <c r="DI448" s="249"/>
      <c r="DJ448" s="216"/>
      <c r="DK448" s="309"/>
      <c r="DL448" s="293"/>
      <c r="DM448" s="326"/>
      <c r="DN448" s="1256"/>
      <c r="DO448" s="214"/>
      <c r="DP448" s="1257"/>
      <c r="DQ448" s="1258"/>
      <c r="DR448" s="305"/>
      <c r="DS448" s="249"/>
      <c r="DT448" s="216"/>
      <c r="DU448" s="305"/>
      <c r="DV448" s="2520"/>
      <c r="DW448" s="2521"/>
      <c r="DX448" s="305"/>
      <c r="DY448" s="249"/>
      <c r="DZ448" s="221"/>
      <c r="EA448" s="388"/>
      <c r="EB448" s="249"/>
      <c r="EC448" s="216"/>
      <c r="ED448" s="1461"/>
      <c r="EE448" s="249"/>
      <c r="EF448" s="216"/>
      <c r="EG448" s="355"/>
      <c r="EH448" s="1425"/>
      <c r="EI448" s="1470"/>
      <c r="EJ448" s="249"/>
      <c r="EK448" s="221"/>
      <c r="EL448" s="313"/>
      <c r="EM448" s="249"/>
      <c r="EN448" s="221"/>
      <c r="EO448" s="313"/>
      <c r="EP448" s="249"/>
      <c r="EQ448" s="216"/>
      <c r="ER448" s="313"/>
      <c r="ES448" s="249"/>
      <c r="ET448" s="216"/>
      <c r="EU448" s="313"/>
      <c r="EV448" s="249"/>
      <c r="EW448" s="216"/>
      <c r="EX448" s="2505"/>
      <c r="EY448" s="249"/>
      <c r="EZ448" s="221"/>
      <c r="FA448" s="313"/>
      <c r="FB448" s="249"/>
      <c r="FC448" s="221"/>
      <c r="FD448" s="313"/>
      <c r="FE448" s="249"/>
      <c r="FF448" s="221"/>
      <c r="FG448" s="313"/>
      <c r="FH448" s="249"/>
      <c r="FI448" s="216"/>
      <c r="FJ448" s="1435"/>
      <c r="FK448" s="216"/>
      <c r="FL448" s="1268"/>
      <c r="FM448" s="1655"/>
      <c r="FN448" s="1268"/>
      <c r="FO448" s="1655"/>
      <c r="FP448" s="1268"/>
      <c r="FQ448" s="1656"/>
      <c r="FR448" s="249"/>
      <c r="FS448" s="216"/>
      <c r="FT448" s="1657"/>
      <c r="FU448" s="1658"/>
      <c r="FV448" s="242"/>
      <c r="FW448" s="343"/>
      <c r="FX448" s="222"/>
      <c r="FY448" s="336"/>
      <c r="FZ448" s="223"/>
      <c r="GA448" s="338"/>
      <c r="GB448" s="204"/>
      <c r="GC448" s="339"/>
      <c r="GD448" s="342"/>
      <c r="GE448" s="199"/>
      <c r="GF448" s="199"/>
      <c r="GG448" s="199"/>
      <c r="GH448" s="199"/>
      <c r="GI448" s="199"/>
      <c r="GJ448" s="199"/>
      <c r="GK448" s="199"/>
      <c r="GO448" s="322"/>
      <c r="GP448" s="1190"/>
      <c r="GQ448" s="1190"/>
      <c r="GS448" s="2879"/>
      <c r="GT448" s="2880"/>
      <c r="GU448" s="2881"/>
    </row>
    <row r="449" spans="1:203" ht="12" customHeight="1">
      <c r="A449" s="1252"/>
      <c r="B449" s="200"/>
      <c r="C449" s="486"/>
      <c r="T449" s="1186"/>
      <c r="U449" s="233"/>
      <c r="W449" s="218"/>
      <c r="X449" s="218"/>
      <c r="Y449" s="216"/>
      <c r="Z449" s="216"/>
      <c r="AA449" s="215"/>
      <c r="AB449" s="216"/>
      <c r="AC449" s="216"/>
      <c r="AD449" s="239"/>
      <c r="AE449" s="216"/>
      <c r="AF449" s="216"/>
      <c r="AG449" s="216"/>
      <c r="AH449" s="216"/>
      <c r="AI449" s="216"/>
      <c r="AJ449" s="216"/>
      <c r="AK449" s="239"/>
      <c r="AL449" s="216"/>
      <c r="AM449" s="216"/>
      <c r="AN449" s="216"/>
      <c r="AO449" s="216"/>
      <c r="AP449" s="216"/>
      <c r="AQ449" s="216"/>
      <c r="AR449" s="216"/>
      <c r="AS449" s="216"/>
      <c r="AT449" s="216"/>
      <c r="AU449" s="216"/>
      <c r="AV449" s="217"/>
      <c r="AW449" s="355"/>
      <c r="AX449" s="217"/>
      <c r="AY449" s="1559"/>
      <c r="AZ449" s="249"/>
      <c r="BA449" s="221"/>
      <c r="BB449" s="300"/>
      <c r="BC449" s="217"/>
      <c r="BD449" s="392"/>
      <c r="BE449" s="1244"/>
      <c r="BF449" s="249"/>
      <c r="BG449" s="252"/>
      <c r="BH449" s="1469"/>
      <c r="BI449" s="216"/>
      <c r="BJ449" s="1469"/>
      <c r="BK449" s="1459"/>
      <c r="BL449" s="260"/>
      <c r="BM449" s="214"/>
      <c r="BN449" s="293"/>
      <c r="BO449" s="217"/>
      <c r="BP449" s="355"/>
      <c r="BQ449" s="217"/>
      <c r="BR449" s="1193"/>
      <c r="BS449" s="249"/>
      <c r="BT449" s="216"/>
      <c r="BU449" s="1195"/>
      <c r="BV449" s="249"/>
      <c r="BW449" s="216"/>
      <c r="BX449" s="1195"/>
      <c r="BY449" s="249"/>
      <c r="BZ449" s="216"/>
      <c r="CA449" s="1195"/>
      <c r="CB449" s="249"/>
      <c r="CC449" s="216"/>
      <c r="CD449" s="1195"/>
      <c r="CE449" s="249"/>
      <c r="CF449" s="216"/>
      <c r="CG449" s="1195"/>
      <c r="CH449" s="249"/>
      <c r="CI449" s="216"/>
      <c r="CJ449" s="1195"/>
      <c r="CK449" s="249"/>
      <c r="CL449" s="216"/>
      <c r="CM449" s="1194"/>
      <c r="CN449" s="1524"/>
      <c r="CO449" s="217"/>
      <c r="CP449" s="1193"/>
      <c r="CQ449" s="293"/>
      <c r="CR449" s="217"/>
      <c r="CS449" s="305"/>
      <c r="CT449" s="249"/>
      <c r="CU449" s="216"/>
      <c r="CV449" s="1193"/>
      <c r="CW449" s="249"/>
      <c r="CX449" s="216"/>
      <c r="CY449" s="305"/>
      <c r="CZ449" s="249"/>
      <c r="DA449" s="216"/>
      <c r="DB449" s="307"/>
      <c r="DC449" s="328"/>
      <c r="DD449" s="322"/>
      <c r="DE449" s="305"/>
      <c r="DF449" s="249"/>
      <c r="DG449" s="216"/>
      <c r="DH449" s="305"/>
      <c r="DI449" s="249"/>
      <c r="DJ449" s="216"/>
      <c r="DK449" s="309"/>
      <c r="DL449" s="293"/>
      <c r="DM449" s="326"/>
      <c r="DN449" s="1256"/>
      <c r="DO449" s="214"/>
      <c r="DP449" s="1257"/>
      <c r="DQ449" s="1258"/>
      <c r="DR449" s="305"/>
      <c r="DS449" s="249"/>
      <c r="DT449" s="216"/>
      <c r="DU449" s="305"/>
      <c r="DV449" s="2520"/>
      <c r="DW449" s="2521"/>
      <c r="DX449" s="305"/>
      <c r="DY449" s="249"/>
      <c r="DZ449" s="221"/>
      <c r="EA449" s="388"/>
      <c r="EB449" s="249"/>
      <c r="EC449" s="216"/>
      <c r="ED449" s="1461"/>
      <c r="EE449" s="249"/>
      <c r="EF449" s="216"/>
      <c r="EG449" s="355"/>
      <c r="EH449" s="1425"/>
      <c r="EI449" s="1470"/>
      <c r="EJ449" s="249"/>
      <c r="EK449" s="221"/>
      <c r="EL449" s="313"/>
      <c r="EM449" s="249"/>
      <c r="EN449" s="221"/>
      <c r="EO449" s="313"/>
      <c r="EP449" s="249"/>
      <c r="EQ449" s="216"/>
      <c r="ER449" s="313"/>
      <c r="ES449" s="249"/>
      <c r="ET449" s="216"/>
      <c r="EU449" s="313"/>
      <c r="EV449" s="249"/>
      <c r="EW449" s="216"/>
      <c r="EX449" s="2505"/>
      <c r="EY449" s="249"/>
      <c r="EZ449" s="221"/>
      <c r="FA449" s="313"/>
      <c r="FB449" s="249"/>
      <c r="FC449" s="221"/>
      <c r="FD449" s="313"/>
      <c r="FE449" s="249"/>
      <c r="FF449" s="221"/>
      <c r="FG449" s="313"/>
      <c r="FH449" s="249"/>
      <c r="FI449" s="216"/>
      <c r="FJ449" s="1435"/>
      <c r="FK449" s="216"/>
      <c r="FL449" s="1268"/>
      <c r="FM449" s="1655"/>
      <c r="FN449" s="1268"/>
      <c r="FO449" s="1655"/>
      <c r="FP449" s="1268"/>
      <c r="FQ449" s="1656"/>
      <c r="FR449" s="249"/>
      <c r="FS449" s="216"/>
      <c r="FT449" s="1657"/>
      <c r="FU449" s="1658"/>
      <c r="FV449" s="242"/>
      <c r="FW449" s="343"/>
      <c r="FX449" s="222"/>
      <c r="FY449" s="336"/>
      <c r="FZ449" s="223"/>
      <c r="GA449" s="338"/>
      <c r="GB449" s="204"/>
      <c r="GC449" s="339"/>
      <c r="GD449" s="342"/>
      <c r="GE449" s="199"/>
      <c r="GF449" s="199"/>
      <c r="GG449" s="199"/>
      <c r="GH449" s="199"/>
      <c r="GI449" s="199"/>
      <c r="GJ449" s="199"/>
      <c r="GK449" s="199"/>
      <c r="GO449" s="322"/>
      <c r="GP449" s="1190"/>
      <c r="GQ449" s="1190"/>
      <c r="GS449" s="2879"/>
      <c r="GT449" s="2880"/>
      <c r="GU449" s="2881"/>
    </row>
    <row r="450" spans="1:203" ht="12" customHeight="1">
      <c r="A450" s="1252"/>
      <c r="B450" s="200"/>
      <c r="C450" s="486"/>
      <c r="T450" s="1186"/>
      <c r="U450" s="233"/>
      <c r="W450" s="218"/>
      <c r="X450" s="218"/>
      <c r="Y450" s="216"/>
      <c r="Z450" s="216"/>
      <c r="AA450" s="215"/>
      <c r="AB450" s="216"/>
      <c r="AC450" s="216"/>
      <c r="AD450" s="239"/>
      <c r="AE450" s="216"/>
      <c r="AF450" s="216"/>
      <c r="AG450" s="216"/>
      <c r="AH450" s="216"/>
      <c r="AI450" s="216"/>
      <c r="AJ450" s="216"/>
      <c r="AK450" s="239"/>
      <c r="AL450" s="216"/>
      <c r="AM450" s="216"/>
      <c r="AN450" s="216"/>
      <c r="AO450" s="216"/>
      <c r="AP450" s="216"/>
      <c r="AQ450" s="216"/>
      <c r="AR450" s="216"/>
      <c r="AS450" s="216"/>
      <c r="AT450" s="216"/>
      <c r="AU450" s="216"/>
      <c r="AV450" s="217"/>
      <c r="AW450" s="355"/>
      <c r="AX450" s="217"/>
      <c r="AY450" s="1559"/>
      <c r="AZ450" s="249"/>
      <c r="BA450" s="221"/>
      <c r="BB450" s="300"/>
      <c r="BC450" s="217"/>
      <c r="BD450" s="392"/>
      <c r="BE450" s="1244"/>
      <c r="BF450" s="249"/>
      <c r="BG450" s="252"/>
      <c r="BH450" s="1469"/>
      <c r="BI450" s="216"/>
      <c r="BJ450" s="1469"/>
      <c r="BK450" s="1459"/>
      <c r="BL450" s="260"/>
      <c r="BM450" s="214"/>
      <c r="BN450" s="293"/>
      <c r="BO450" s="217"/>
      <c r="BP450" s="355"/>
      <c r="BQ450" s="217"/>
      <c r="BR450" s="1193"/>
      <c r="BS450" s="249"/>
      <c r="BT450" s="216"/>
      <c r="BU450" s="1195"/>
      <c r="BV450" s="249"/>
      <c r="BW450" s="216"/>
      <c r="BX450" s="1195"/>
      <c r="BY450" s="249"/>
      <c r="BZ450" s="216"/>
      <c r="CA450" s="1195"/>
      <c r="CB450" s="249"/>
      <c r="CC450" s="216"/>
      <c r="CD450" s="1195"/>
      <c r="CE450" s="249"/>
      <c r="CF450" s="216"/>
      <c r="CG450" s="1195"/>
      <c r="CH450" s="249"/>
      <c r="CI450" s="216"/>
      <c r="CJ450" s="1195"/>
      <c r="CK450" s="249"/>
      <c r="CL450" s="216"/>
      <c r="CM450" s="1194"/>
      <c r="CN450" s="1524"/>
      <c r="CO450" s="217"/>
      <c r="CP450" s="1193"/>
      <c r="CQ450" s="293"/>
      <c r="CR450" s="217"/>
      <c r="CS450" s="305"/>
      <c r="CT450" s="249"/>
      <c r="CU450" s="216"/>
      <c r="CV450" s="1193"/>
      <c r="CW450" s="249"/>
      <c r="CX450" s="216"/>
      <c r="CY450" s="305"/>
      <c r="CZ450" s="249"/>
      <c r="DA450" s="216"/>
      <c r="DB450" s="307"/>
      <c r="DC450" s="328"/>
      <c r="DD450" s="322"/>
      <c r="DE450" s="305"/>
      <c r="DF450" s="249"/>
      <c r="DG450" s="216"/>
      <c r="DH450" s="305"/>
      <c r="DI450" s="249"/>
      <c r="DJ450" s="216"/>
      <c r="DK450" s="309"/>
      <c r="DL450" s="293"/>
      <c r="DM450" s="326"/>
      <c r="DN450" s="1256"/>
      <c r="DO450" s="214"/>
      <c r="DP450" s="1257"/>
      <c r="DQ450" s="1258"/>
      <c r="DR450" s="305"/>
      <c r="DS450" s="249"/>
      <c r="DT450" s="216"/>
      <c r="DU450" s="305"/>
      <c r="DV450" s="2520"/>
      <c r="DW450" s="2521"/>
      <c r="DX450" s="305"/>
      <c r="DY450" s="249"/>
      <c r="DZ450" s="221"/>
      <c r="EA450" s="388"/>
      <c r="EB450" s="249"/>
      <c r="EC450" s="216"/>
      <c r="ED450" s="1461"/>
      <c r="EE450" s="249"/>
      <c r="EF450" s="216"/>
      <c r="EG450" s="355"/>
      <c r="EH450" s="1425"/>
      <c r="EI450" s="1470"/>
      <c r="EJ450" s="249"/>
      <c r="EK450" s="221"/>
      <c r="EL450" s="313"/>
      <c r="EM450" s="249"/>
      <c r="EN450" s="221"/>
      <c r="EO450" s="313"/>
      <c r="EP450" s="249"/>
      <c r="EQ450" s="216"/>
      <c r="ER450" s="313"/>
      <c r="ES450" s="249"/>
      <c r="ET450" s="216"/>
      <c r="EU450" s="313"/>
      <c r="EV450" s="249"/>
      <c r="EW450" s="216"/>
      <c r="EX450" s="2505"/>
      <c r="EY450" s="249"/>
      <c r="EZ450" s="221"/>
      <c r="FA450" s="313"/>
      <c r="FB450" s="249"/>
      <c r="FC450" s="221"/>
      <c r="FD450" s="313"/>
      <c r="FE450" s="249"/>
      <c r="FF450" s="221"/>
      <c r="FG450" s="313"/>
      <c r="FH450" s="249"/>
      <c r="FI450" s="216"/>
      <c r="FJ450" s="1435"/>
      <c r="FK450" s="216"/>
      <c r="FL450" s="1268"/>
      <c r="FM450" s="1655"/>
      <c r="FN450" s="1268"/>
      <c r="FO450" s="1655"/>
      <c r="FP450" s="1268"/>
      <c r="FQ450" s="1656"/>
      <c r="FR450" s="249"/>
      <c r="FS450" s="216"/>
      <c r="FT450" s="1657"/>
      <c r="FU450" s="1658"/>
      <c r="FV450" s="242"/>
      <c r="FW450" s="343"/>
      <c r="FX450" s="222"/>
      <c r="FY450" s="336"/>
      <c r="FZ450" s="223"/>
      <c r="GA450" s="338"/>
      <c r="GB450" s="204"/>
      <c r="GC450" s="339"/>
      <c r="GD450" s="342"/>
      <c r="GE450" s="199"/>
      <c r="GF450" s="199"/>
      <c r="GG450" s="199"/>
      <c r="GH450" s="199"/>
      <c r="GI450" s="199"/>
      <c r="GJ450" s="199"/>
      <c r="GK450" s="199"/>
      <c r="GO450" s="322"/>
      <c r="GP450" s="1190"/>
      <c r="GQ450" s="1190"/>
      <c r="GS450" s="2879"/>
      <c r="GT450" s="2880"/>
      <c r="GU450" s="2881"/>
    </row>
    <row r="451" spans="1:203" ht="12" customHeight="1">
      <c r="A451" s="1252"/>
      <c r="B451" s="200"/>
      <c r="C451" s="486"/>
      <c r="T451" s="1186"/>
      <c r="U451" s="233"/>
      <c r="W451" s="218"/>
      <c r="X451" s="218"/>
      <c r="Y451" s="216"/>
      <c r="Z451" s="216"/>
      <c r="AA451" s="215"/>
      <c r="AB451" s="216"/>
      <c r="AC451" s="216"/>
      <c r="AD451" s="239"/>
      <c r="AE451" s="216"/>
      <c r="AF451" s="216"/>
      <c r="AG451" s="216"/>
      <c r="AH451" s="216"/>
      <c r="AI451" s="216"/>
      <c r="AJ451" s="216"/>
      <c r="AK451" s="239"/>
      <c r="AL451" s="216"/>
      <c r="AM451" s="216"/>
      <c r="AN451" s="216"/>
      <c r="AO451" s="216"/>
      <c r="AP451" s="216"/>
      <c r="AQ451" s="216"/>
      <c r="AR451" s="216"/>
      <c r="AS451" s="216"/>
      <c r="AT451" s="216"/>
      <c r="AU451" s="216"/>
      <c r="AV451" s="217"/>
      <c r="AW451" s="355"/>
      <c r="AX451" s="217"/>
      <c r="AY451" s="1559"/>
      <c r="AZ451" s="249"/>
      <c r="BA451" s="221"/>
      <c r="BB451" s="300"/>
      <c r="BC451" s="217"/>
      <c r="BD451" s="392"/>
      <c r="BE451" s="1244"/>
      <c r="BF451" s="249"/>
      <c r="BG451" s="252"/>
      <c r="BH451" s="1469"/>
      <c r="BI451" s="216"/>
      <c r="BJ451" s="1469"/>
      <c r="BK451" s="1459"/>
      <c r="BL451" s="260"/>
      <c r="BM451" s="214"/>
      <c r="BN451" s="293"/>
      <c r="BO451" s="217"/>
      <c r="BP451" s="355"/>
      <c r="BQ451" s="217"/>
      <c r="BR451" s="1193"/>
      <c r="BS451" s="249"/>
      <c r="BT451" s="216"/>
      <c r="BU451" s="1195"/>
      <c r="BV451" s="249"/>
      <c r="BW451" s="216"/>
      <c r="BX451" s="1195"/>
      <c r="BY451" s="249"/>
      <c r="BZ451" s="216"/>
      <c r="CA451" s="1195"/>
      <c r="CB451" s="249"/>
      <c r="CC451" s="216"/>
      <c r="CD451" s="1195"/>
      <c r="CE451" s="249"/>
      <c r="CF451" s="216"/>
      <c r="CG451" s="1195"/>
      <c r="CH451" s="249"/>
      <c r="CI451" s="216"/>
      <c r="CJ451" s="1195"/>
      <c r="CK451" s="249"/>
      <c r="CL451" s="216"/>
      <c r="CM451" s="1194"/>
      <c r="CN451" s="1524"/>
      <c r="CO451" s="217"/>
      <c r="CP451" s="1193"/>
      <c r="CQ451" s="293"/>
      <c r="CR451" s="217"/>
      <c r="CS451" s="305"/>
      <c r="CT451" s="249"/>
      <c r="CU451" s="216"/>
      <c r="CV451" s="1193"/>
      <c r="CW451" s="249"/>
      <c r="CX451" s="216"/>
      <c r="CY451" s="305"/>
      <c r="CZ451" s="249"/>
      <c r="DA451" s="216"/>
      <c r="DB451" s="307"/>
      <c r="DC451" s="328"/>
      <c r="DD451" s="322"/>
      <c r="DE451" s="305"/>
      <c r="DF451" s="249"/>
      <c r="DG451" s="216"/>
      <c r="DH451" s="305"/>
      <c r="DI451" s="249"/>
      <c r="DJ451" s="216"/>
      <c r="DK451" s="309"/>
      <c r="DL451" s="293"/>
      <c r="DM451" s="326"/>
      <c r="DN451" s="1256"/>
      <c r="DO451" s="214"/>
      <c r="DP451" s="1257"/>
      <c r="DQ451" s="1258"/>
      <c r="DR451" s="305"/>
      <c r="DS451" s="249"/>
      <c r="DT451" s="216"/>
      <c r="DU451" s="305"/>
      <c r="DV451" s="2520"/>
      <c r="DW451" s="2521"/>
      <c r="DX451" s="305"/>
      <c r="DY451" s="249"/>
      <c r="DZ451" s="221"/>
      <c r="EA451" s="388"/>
      <c r="EB451" s="249"/>
      <c r="EC451" s="216"/>
      <c r="ED451" s="1461"/>
      <c r="EE451" s="249"/>
      <c r="EF451" s="216"/>
      <c r="EG451" s="355"/>
      <c r="EH451" s="1425"/>
      <c r="EI451" s="1470"/>
      <c r="EJ451" s="249"/>
      <c r="EK451" s="221"/>
      <c r="EL451" s="313"/>
      <c r="EM451" s="249"/>
      <c r="EN451" s="221"/>
      <c r="EO451" s="313"/>
      <c r="EP451" s="249"/>
      <c r="EQ451" s="216"/>
      <c r="ER451" s="313"/>
      <c r="ES451" s="249"/>
      <c r="ET451" s="216"/>
      <c r="EU451" s="313"/>
      <c r="EV451" s="249"/>
      <c r="EW451" s="216"/>
      <c r="EX451" s="2505"/>
      <c r="EY451" s="249"/>
      <c r="EZ451" s="221"/>
      <c r="FA451" s="313"/>
      <c r="FB451" s="249"/>
      <c r="FC451" s="221"/>
      <c r="FD451" s="313"/>
      <c r="FE451" s="249"/>
      <c r="FF451" s="221"/>
      <c r="FG451" s="313"/>
      <c r="FH451" s="249"/>
      <c r="FI451" s="216"/>
      <c r="FJ451" s="1435"/>
      <c r="FK451" s="216"/>
      <c r="FL451" s="1268"/>
      <c r="FM451" s="1655"/>
      <c r="FN451" s="1268"/>
      <c r="FO451" s="1655"/>
      <c r="FP451" s="1268"/>
      <c r="FQ451" s="1656"/>
      <c r="FR451" s="249"/>
      <c r="FS451" s="216"/>
      <c r="FT451" s="1657"/>
      <c r="FU451" s="1658"/>
      <c r="FV451" s="242"/>
      <c r="FW451" s="343"/>
      <c r="FX451" s="222"/>
      <c r="FY451" s="336"/>
      <c r="FZ451" s="223"/>
      <c r="GA451" s="338"/>
      <c r="GB451" s="204"/>
      <c r="GC451" s="339"/>
      <c r="GD451" s="342"/>
      <c r="GE451" s="199"/>
      <c r="GF451" s="199"/>
      <c r="GG451" s="199"/>
      <c r="GH451" s="199"/>
      <c r="GI451" s="199"/>
      <c r="GJ451" s="199"/>
      <c r="GK451" s="199"/>
      <c r="GO451" s="322"/>
      <c r="GP451" s="1190"/>
      <c r="GQ451" s="1190"/>
      <c r="GS451" s="2879"/>
      <c r="GT451" s="2880"/>
      <c r="GU451" s="2881"/>
    </row>
    <row r="452" spans="1:203" ht="12" customHeight="1">
      <c r="A452" s="1252"/>
      <c r="B452" s="200"/>
      <c r="C452" s="486"/>
      <c r="T452" s="1186"/>
      <c r="U452" s="233"/>
      <c r="W452" s="218"/>
      <c r="X452" s="218"/>
      <c r="Y452" s="216"/>
      <c r="Z452" s="216"/>
      <c r="AA452" s="215"/>
      <c r="AB452" s="216"/>
      <c r="AC452" s="216"/>
      <c r="AD452" s="239"/>
      <c r="AE452" s="216"/>
      <c r="AF452" s="216"/>
      <c r="AG452" s="216"/>
      <c r="AH452" s="216"/>
      <c r="AI452" s="216"/>
      <c r="AJ452" s="216"/>
      <c r="AK452" s="239"/>
      <c r="AL452" s="216"/>
      <c r="AM452" s="216"/>
      <c r="AN452" s="216"/>
      <c r="AO452" s="216"/>
      <c r="AP452" s="216"/>
      <c r="AQ452" s="216"/>
      <c r="AR452" s="216"/>
      <c r="AS452" s="216"/>
      <c r="AT452" s="216"/>
      <c r="AU452" s="216"/>
      <c r="AV452" s="217"/>
      <c r="AW452" s="355"/>
      <c r="AX452" s="217"/>
      <c r="AY452" s="1559"/>
      <c r="AZ452" s="249"/>
      <c r="BA452" s="221"/>
      <c r="BB452" s="300"/>
      <c r="BC452" s="217"/>
      <c r="BD452" s="392"/>
      <c r="BE452" s="1244"/>
      <c r="BF452" s="249"/>
      <c r="BG452" s="252"/>
      <c r="BH452" s="1469"/>
      <c r="BI452" s="216"/>
      <c r="BJ452" s="1469"/>
      <c r="BK452" s="1459"/>
      <c r="BL452" s="260"/>
      <c r="BM452" s="214"/>
      <c r="BN452" s="293"/>
      <c r="BO452" s="217"/>
      <c r="BP452" s="355"/>
      <c r="BQ452" s="217"/>
      <c r="BR452" s="1193"/>
      <c r="BS452" s="249"/>
      <c r="BT452" s="216"/>
      <c r="BU452" s="1195"/>
      <c r="BV452" s="249"/>
      <c r="BW452" s="216"/>
      <c r="BX452" s="1195"/>
      <c r="BY452" s="249"/>
      <c r="BZ452" s="216"/>
      <c r="CA452" s="1195"/>
      <c r="CB452" s="249"/>
      <c r="CC452" s="216"/>
      <c r="CD452" s="1195"/>
      <c r="CE452" s="249"/>
      <c r="CF452" s="216"/>
      <c r="CG452" s="1195"/>
      <c r="CH452" s="249"/>
      <c r="CI452" s="216"/>
      <c r="CJ452" s="1195"/>
      <c r="CK452" s="249"/>
      <c r="CL452" s="216"/>
      <c r="CM452" s="1194"/>
      <c r="CN452" s="1524"/>
      <c r="CO452" s="217"/>
      <c r="CP452" s="1193"/>
      <c r="CQ452" s="293"/>
      <c r="CR452" s="217"/>
      <c r="CS452" s="305"/>
      <c r="CT452" s="249"/>
      <c r="CU452" s="216"/>
      <c r="CV452" s="1193"/>
      <c r="CW452" s="249"/>
      <c r="CX452" s="216"/>
      <c r="CY452" s="305"/>
      <c r="CZ452" s="249"/>
      <c r="DA452" s="216"/>
      <c r="DB452" s="307"/>
      <c r="DC452" s="328"/>
      <c r="DD452" s="322"/>
      <c r="DE452" s="305"/>
      <c r="DF452" s="249"/>
      <c r="DG452" s="216"/>
      <c r="DH452" s="305"/>
      <c r="DI452" s="249"/>
      <c r="DJ452" s="216"/>
      <c r="DK452" s="309"/>
      <c r="DL452" s="293"/>
      <c r="DM452" s="326"/>
      <c r="DN452" s="1256"/>
      <c r="DO452" s="214"/>
      <c r="DP452" s="1257"/>
      <c r="DQ452" s="1258"/>
      <c r="DR452" s="305"/>
      <c r="DS452" s="249"/>
      <c r="DT452" s="216"/>
      <c r="DU452" s="305"/>
      <c r="DV452" s="2520"/>
      <c r="DW452" s="2521"/>
      <c r="DX452" s="305"/>
      <c r="DY452" s="249"/>
      <c r="DZ452" s="221"/>
      <c r="EA452" s="388"/>
      <c r="EB452" s="249"/>
      <c r="EC452" s="216"/>
      <c r="ED452" s="1461"/>
      <c r="EE452" s="249"/>
      <c r="EF452" s="216"/>
      <c r="EG452" s="355"/>
      <c r="EH452" s="1425"/>
      <c r="EI452" s="1470"/>
      <c r="EJ452" s="249"/>
      <c r="EK452" s="221"/>
      <c r="EL452" s="313"/>
      <c r="EM452" s="249"/>
      <c r="EN452" s="221"/>
      <c r="EO452" s="313"/>
      <c r="EP452" s="249"/>
      <c r="EQ452" s="216"/>
      <c r="ER452" s="313"/>
      <c r="ES452" s="249"/>
      <c r="ET452" s="216"/>
      <c r="EU452" s="313"/>
      <c r="EV452" s="249"/>
      <c r="EW452" s="216"/>
      <c r="EX452" s="2505"/>
      <c r="EY452" s="249"/>
      <c r="EZ452" s="221"/>
      <c r="FA452" s="313"/>
      <c r="FB452" s="249"/>
      <c r="FC452" s="221"/>
      <c r="FD452" s="313"/>
      <c r="FE452" s="249"/>
      <c r="FF452" s="221"/>
      <c r="FG452" s="313"/>
      <c r="FH452" s="249"/>
      <c r="FI452" s="216"/>
      <c r="FJ452" s="1435"/>
      <c r="FK452" s="216"/>
      <c r="FL452" s="1268"/>
      <c r="FM452" s="1655"/>
      <c r="FN452" s="1268"/>
      <c r="FO452" s="1655"/>
      <c r="FP452" s="1268"/>
      <c r="FQ452" s="1656"/>
      <c r="FR452" s="249"/>
      <c r="FS452" s="216"/>
      <c r="FT452" s="1657"/>
      <c r="FU452" s="1658"/>
      <c r="FV452" s="242"/>
      <c r="FW452" s="343"/>
      <c r="FX452" s="222"/>
      <c r="FY452" s="336"/>
      <c r="FZ452" s="223"/>
      <c r="GA452" s="338"/>
      <c r="GB452" s="204"/>
      <c r="GC452" s="339"/>
      <c r="GD452" s="342"/>
      <c r="GE452" s="199"/>
      <c r="GF452" s="199"/>
      <c r="GG452" s="199"/>
      <c r="GH452" s="199"/>
      <c r="GI452" s="199"/>
      <c r="GJ452" s="199"/>
      <c r="GK452" s="199"/>
      <c r="GO452" s="322"/>
      <c r="GP452" s="1190"/>
      <c r="GQ452" s="1190"/>
      <c r="GS452" s="2879"/>
      <c r="GT452" s="2880"/>
      <c r="GU452" s="2881"/>
    </row>
    <row r="453" spans="1:203" ht="12" customHeight="1">
      <c r="A453" s="1252"/>
      <c r="B453" s="200"/>
      <c r="C453" s="486"/>
      <c r="T453" s="1186"/>
      <c r="U453" s="233"/>
      <c r="W453" s="218"/>
      <c r="X453" s="218"/>
      <c r="Y453" s="216"/>
      <c r="Z453" s="216"/>
      <c r="AA453" s="215"/>
      <c r="AB453" s="216"/>
      <c r="AC453" s="216"/>
      <c r="AD453" s="239"/>
      <c r="AE453" s="216"/>
      <c r="AF453" s="216"/>
      <c r="AG453" s="216"/>
      <c r="AH453" s="216"/>
      <c r="AI453" s="216"/>
      <c r="AJ453" s="216"/>
      <c r="AK453" s="239"/>
      <c r="AL453" s="216"/>
      <c r="AM453" s="216"/>
      <c r="AN453" s="216"/>
      <c r="AO453" s="216"/>
      <c r="AP453" s="216"/>
      <c r="AQ453" s="216"/>
      <c r="AR453" s="216"/>
      <c r="AS453" s="216"/>
      <c r="AT453" s="216"/>
      <c r="AU453" s="216"/>
      <c r="AV453" s="217"/>
      <c r="AW453" s="355"/>
      <c r="AX453" s="217"/>
      <c r="AY453" s="1559"/>
      <c r="AZ453" s="249"/>
      <c r="BA453" s="221"/>
      <c r="BB453" s="300"/>
      <c r="BC453" s="217"/>
      <c r="BD453" s="392"/>
      <c r="BE453" s="1244"/>
      <c r="BF453" s="249"/>
      <c r="BG453" s="252"/>
      <c r="BH453" s="1469"/>
      <c r="BI453" s="216"/>
      <c r="BJ453" s="1469"/>
      <c r="BK453" s="1459"/>
      <c r="BL453" s="260"/>
      <c r="BM453" s="214"/>
      <c r="BN453" s="293"/>
      <c r="BO453" s="217"/>
      <c r="BP453" s="355"/>
      <c r="BQ453" s="217"/>
      <c r="BR453" s="1193"/>
      <c r="BS453" s="249"/>
      <c r="BT453" s="216"/>
      <c r="BU453" s="1195"/>
      <c r="BV453" s="249"/>
      <c r="BW453" s="216"/>
      <c r="BX453" s="1195"/>
      <c r="BY453" s="249"/>
      <c r="BZ453" s="216"/>
      <c r="CA453" s="1195"/>
      <c r="CB453" s="249"/>
      <c r="CC453" s="216"/>
      <c r="CD453" s="1195"/>
      <c r="CE453" s="249"/>
      <c r="CF453" s="216"/>
      <c r="CG453" s="1195"/>
      <c r="CH453" s="249"/>
      <c r="CI453" s="216"/>
      <c r="CJ453" s="1195"/>
      <c r="CK453" s="249"/>
      <c r="CL453" s="216"/>
      <c r="CM453" s="1194"/>
      <c r="CN453" s="1524"/>
      <c r="CO453" s="217"/>
      <c r="CP453" s="1193"/>
      <c r="CQ453" s="293"/>
      <c r="CR453" s="217"/>
      <c r="CS453" s="305"/>
      <c r="CT453" s="249"/>
      <c r="CU453" s="216"/>
      <c r="CV453" s="1193"/>
      <c r="CW453" s="249"/>
      <c r="CX453" s="216"/>
      <c r="CY453" s="305"/>
      <c r="CZ453" s="249"/>
      <c r="DA453" s="216"/>
      <c r="DB453" s="307"/>
      <c r="DC453" s="328"/>
      <c r="DD453" s="322"/>
      <c r="DE453" s="305"/>
      <c r="DF453" s="249"/>
      <c r="DG453" s="216"/>
      <c r="DH453" s="305"/>
      <c r="DI453" s="249"/>
      <c r="DJ453" s="216"/>
      <c r="DK453" s="309"/>
      <c r="DL453" s="293"/>
      <c r="DM453" s="326"/>
      <c r="DN453" s="1256"/>
      <c r="DO453" s="214"/>
      <c r="DP453" s="1257"/>
      <c r="DQ453" s="1258"/>
      <c r="DR453" s="305"/>
      <c r="DS453" s="249"/>
      <c r="DT453" s="216"/>
      <c r="DU453" s="305"/>
      <c r="DV453" s="2520"/>
      <c r="DW453" s="2521"/>
      <c r="DX453" s="305"/>
      <c r="DY453" s="249"/>
      <c r="DZ453" s="221"/>
      <c r="EA453" s="388"/>
      <c r="EB453" s="249"/>
      <c r="EC453" s="216"/>
      <c r="ED453" s="1461"/>
      <c r="EE453" s="249"/>
      <c r="EF453" s="216"/>
      <c r="EG453" s="355"/>
      <c r="EH453" s="1425"/>
      <c r="EI453" s="1470"/>
      <c r="EJ453" s="249"/>
      <c r="EK453" s="221"/>
      <c r="EL453" s="313"/>
      <c r="EM453" s="249"/>
      <c r="EN453" s="221"/>
      <c r="EO453" s="313"/>
      <c r="EP453" s="249"/>
      <c r="EQ453" s="216"/>
      <c r="ER453" s="313"/>
      <c r="ES453" s="249"/>
      <c r="ET453" s="216"/>
      <c r="EU453" s="313"/>
      <c r="EV453" s="249"/>
      <c r="EW453" s="216"/>
      <c r="EX453" s="2505"/>
      <c r="EY453" s="249"/>
      <c r="EZ453" s="221"/>
      <c r="FA453" s="313"/>
      <c r="FB453" s="249"/>
      <c r="FC453" s="221"/>
      <c r="FD453" s="313"/>
      <c r="FE453" s="249"/>
      <c r="FF453" s="221"/>
      <c r="FG453" s="313"/>
      <c r="FH453" s="249"/>
      <c r="FI453" s="216"/>
      <c r="FJ453" s="1435"/>
      <c r="FK453" s="216"/>
      <c r="FL453" s="1268"/>
      <c r="FM453" s="1655"/>
      <c r="FN453" s="1268"/>
      <c r="FO453" s="1655"/>
      <c r="FP453" s="1268"/>
      <c r="FQ453" s="1656"/>
      <c r="FR453" s="249"/>
      <c r="FS453" s="216"/>
      <c r="FT453" s="1657"/>
      <c r="FU453" s="1658"/>
      <c r="FV453" s="242"/>
      <c r="FW453" s="343"/>
      <c r="FX453" s="222"/>
      <c r="FY453" s="336"/>
      <c r="FZ453" s="223"/>
      <c r="GA453" s="338"/>
      <c r="GB453" s="204"/>
      <c r="GC453" s="339"/>
      <c r="GD453" s="342"/>
      <c r="GE453" s="199"/>
      <c r="GF453" s="199"/>
      <c r="GG453" s="199"/>
      <c r="GH453" s="199"/>
      <c r="GI453" s="199"/>
      <c r="GJ453" s="199"/>
      <c r="GK453" s="199"/>
      <c r="GO453" s="322"/>
      <c r="GP453" s="1190"/>
      <c r="GQ453" s="1190"/>
      <c r="GS453" s="2879"/>
      <c r="GT453" s="2880"/>
      <c r="GU453" s="2881"/>
    </row>
    <row r="454" spans="1:203" ht="12" customHeight="1">
      <c r="A454" s="1252"/>
      <c r="B454" s="200"/>
      <c r="C454" s="486"/>
      <c r="T454" s="1186"/>
      <c r="U454" s="233"/>
      <c r="W454" s="218"/>
      <c r="X454" s="218"/>
      <c r="Y454" s="216"/>
      <c r="Z454" s="216"/>
      <c r="AA454" s="215"/>
      <c r="AB454" s="216"/>
      <c r="AC454" s="216"/>
      <c r="AD454" s="239"/>
      <c r="AE454" s="216"/>
      <c r="AF454" s="216"/>
      <c r="AG454" s="216"/>
      <c r="AH454" s="216"/>
      <c r="AI454" s="216"/>
      <c r="AJ454" s="216"/>
      <c r="AK454" s="239"/>
      <c r="AL454" s="216"/>
      <c r="AM454" s="216"/>
      <c r="AN454" s="216"/>
      <c r="AO454" s="216"/>
      <c r="AP454" s="216"/>
      <c r="AQ454" s="216"/>
      <c r="AR454" s="216"/>
      <c r="AS454" s="216"/>
      <c r="AT454" s="216"/>
      <c r="AU454" s="216"/>
      <c r="AV454" s="217"/>
      <c r="AW454" s="355"/>
      <c r="AX454" s="217"/>
      <c r="AY454" s="1559"/>
      <c r="AZ454" s="249"/>
      <c r="BA454" s="221"/>
      <c r="BB454" s="300"/>
      <c r="BC454" s="217"/>
      <c r="BD454" s="392"/>
      <c r="BE454" s="1244"/>
      <c r="BF454" s="249"/>
      <c r="BG454" s="252"/>
      <c r="BH454" s="1469"/>
      <c r="BI454" s="216"/>
      <c r="BJ454" s="1469"/>
      <c r="BK454" s="1459"/>
      <c r="BL454" s="260"/>
      <c r="BM454" s="214"/>
      <c r="BN454" s="293"/>
      <c r="BO454" s="217"/>
      <c r="BP454" s="355"/>
      <c r="BQ454" s="217"/>
      <c r="BR454" s="1193"/>
      <c r="BS454" s="249"/>
      <c r="BT454" s="216"/>
      <c r="BU454" s="1195"/>
      <c r="BV454" s="249"/>
      <c r="BW454" s="216"/>
      <c r="BX454" s="1195"/>
      <c r="BY454" s="249"/>
      <c r="BZ454" s="216"/>
      <c r="CA454" s="1195"/>
      <c r="CB454" s="249"/>
      <c r="CC454" s="216"/>
      <c r="CD454" s="1195"/>
      <c r="CE454" s="249"/>
      <c r="CF454" s="216"/>
      <c r="CG454" s="1195"/>
      <c r="CH454" s="249"/>
      <c r="CI454" s="216"/>
      <c r="CJ454" s="1195"/>
      <c r="CK454" s="249"/>
      <c r="CL454" s="216"/>
      <c r="CM454" s="1194"/>
      <c r="CN454" s="1524"/>
      <c r="CO454" s="217"/>
      <c r="CP454" s="1193"/>
      <c r="CQ454" s="293"/>
      <c r="CR454" s="217"/>
      <c r="CS454" s="305"/>
      <c r="CT454" s="249"/>
      <c r="CU454" s="216"/>
      <c r="CV454" s="1193"/>
      <c r="CW454" s="249"/>
      <c r="CX454" s="216"/>
      <c r="CY454" s="305"/>
      <c r="CZ454" s="249"/>
      <c r="DA454" s="216"/>
      <c r="DB454" s="307"/>
      <c r="DC454" s="328"/>
      <c r="DD454" s="322"/>
      <c r="DE454" s="305"/>
      <c r="DF454" s="249"/>
      <c r="DG454" s="216"/>
      <c r="DH454" s="305"/>
      <c r="DI454" s="249"/>
      <c r="DJ454" s="216"/>
      <c r="DK454" s="309"/>
      <c r="DL454" s="293"/>
      <c r="DM454" s="326"/>
      <c r="DN454" s="1256"/>
      <c r="DO454" s="214"/>
      <c r="DP454" s="1257"/>
      <c r="DQ454" s="1258"/>
      <c r="DR454" s="305"/>
      <c r="DS454" s="249"/>
      <c r="DT454" s="216"/>
      <c r="DU454" s="305"/>
      <c r="DV454" s="2520"/>
      <c r="DW454" s="2521"/>
      <c r="DX454" s="305"/>
      <c r="DY454" s="249"/>
      <c r="DZ454" s="221"/>
      <c r="EA454" s="388"/>
      <c r="EB454" s="249"/>
      <c r="EC454" s="216"/>
      <c r="ED454" s="1461"/>
      <c r="EE454" s="249"/>
      <c r="EF454" s="216"/>
      <c r="EG454" s="355"/>
      <c r="EH454" s="1425"/>
      <c r="EI454" s="1470"/>
      <c r="EJ454" s="249"/>
      <c r="EK454" s="221"/>
      <c r="EL454" s="313"/>
      <c r="EM454" s="249"/>
      <c r="EN454" s="221"/>
      <c r="EO454" s="313"/>
      <c r="EP454" s="249"/>
      <c r="EQ454" s="216"/>
      <c r="ER454" s="313"/>
      <c r="ES454" s="249"/>
      <c r="ET454" s="216"/>
      <c r="EU454" s="313"/>
      <c r="EV454" s="249"/>
      <c r="EW454" s="216"/>
      <c r="EX454" s="2505"/>
      <c r="EY454" s="249"/>
      <c r="EZ454" s="221"/>
      <c r="FA454" s="313"/>
      <c r="FB454" s="249"/>
      <c r="FC454" s="221"/>
      <c r="FD454" s="313"/>
      <c r="FE454" s="249"/>
      <c r="FF454" s="221"/>
      <c r="FG454" s="313"/>
      <c r="FH454" s="249"/>
      <c r="FI454" s="216"/>
      <c r="FJ454" s="1435"/>
      <c r="FK454" s="216"/>
      <c r="FL454" s="1268"/>
      <c r="FM454" s="1655"/>
      <c r="FN454" s="1268"/>
      <c r="FO454" s="1655"/>
      <c r="FP454" s="1268"/>
      <c r="FQ454" s="1656"/>
      <c r="FR454" s="249"/>
      <c r="FS454" s="216"/>
      <c r="FT454" s="1657"/>
      <c r="FU454" s="1658"/>
      <c r="FV454" s="242"/>
      <c r="FW454" s="343"/>
      <c r="FX454" s="222"/>
      <c r="FY454" s="336"/>
      <c r="FZ454" s="223"/>
      <c r="GA454" s="338"/>
      <c r="GB454" s="204"/>
      <c r="GC454" s="339"/>
      <c r="GD454" s="342"/>
      <c r="GE454" s="199"/>
      <c r="GF454" s="199"/>
      <c r="GG454" s="199"/>
      <c r="GH454" s="199"/>
      <c r="GI454" s="199"/>
      <c r="GJ454" s="199"/>
      <c r="GK454" s="199"/>
      <c r="GO454" s="322"/>
      <c r="GP454" s="1190"/>
      <c r="GQ454" s="1190"/>
      <c r="GS454" s="2879"/>
      <c r="GT454" s="2880"/>
      <c r="GU454" s="2881"/>
    </row>
    <row r="455" spans="1:203" ht="12" customHeight="1">
      <c r="A455" s="1252"/>
      <c r="B455" s="200"/>
      <c r="C455" s="486"/>
      <c r="T455" s="1186"/>
      <c r="U455" s="233"/>
      <c r="W455" s="218"/>
      <c r="X455" s="218"/>
      <c r="Y455" s="216"/>
      <c r="Z455" s="216"/>
      <c r="AA455" s="215"/>
      <c r="AB455" s="216"/>
      <c r="AC455" s="216"/>
      <c r="AD455" s="239"/>
      <c r="AE455" s="216"/>
      <c r="AF455" s="216"/>
      <c r="AG455" s="216"/>
      <c r="AH455" s="216"/>
      <c r="AI455" s="216"/>
      <c r="AJ455" s="216"/>
      <c r="AK455" s="239"/>
      <c r="AL455" s="216"/>
      <c r="AM455" s="216"/>
      <c r="AN455" s="216"/>
      <c r="AO455" s="216"/>
      <c r="AP455" s="216"/>
      <c r="AQ455" s="216"/>
      <c r="AR455" s="216"/>
      <c r="AS455" s="216"/>
      <c r="AT455" s="216"/>
      <c r="AU455" s="216"/>
      <c r="AV455" s="217"/>
      <c r="AW455" s="355"/>
      <c r="AX455" s="217"/>
      <c r="AY455" s="1559"/>
      <c r="AZ455" s="249"/>
      <c r="BA455" s="221"/>
      <c r="BB455" s="300"/>
      <c r="BC455" s="217"/>
      <c r="BD455" s="392"/>
      <c r="BE455" s="1244"/>
      <c r="BF455" s="249"/>
      <c r="BG455" s="252"/>
      <c r="BH455" s="1469"/>
      <c r="BI455" s="216"/>
      <c r="BJ455" s="1469"/>
      <c r="BK455" s="1459"/>
      <c r="BL455" s="260"/>
      <c r="BM455" s="214"/>
      <c r="BN455" s="293"/>
      <c r="BO455" s="217"/>
      <c r="BP455" s="355"/>
      <c r="BQ455" s="217"/>
      <c r="BR455" s="1193"/>
      <c r="BS455" s="249"/>
      <c r="BT455" s="216"/>
      <c r="BU455" s="1195"/>
      <c r="BV455" s="249"/>
      <c r="BW455" s="216"/>
      <c r="BX455" s="1195"/>
      <c r="BY455" s="249"/>
      <c r="BZ455" s="216"/>
      <c r="CA455" s="1195"/>
      <c r="CB455" s="249"/>
      <c r="CC455" s="216"/>
      <c r="CD455" s="1195"/>
      <c r="CE455" s="249"/>
      <c r="CF455" s="216"/>
      <c r="CG455" s="1195"/>
      <c r="CH455" s="249"/>
      <c r="CI455" s="216"/>
      <c r="CJ455" s="1195"/>
      <c r="CK455" s="249"/>
      <c r="CL455" s="216"/>
      <c r="CM455" s="1194"/>
      <c r="CN455" s="1524"/>
      <c r="CO455" s="217"/>
      <c r="CP455" s="1193"/>
      <c r="CQ455" s="293"/>
      <c r="CR455" s="217"/>
      <c r="CS455" s="305"/>
      <c r="CT455" s="249"/>
      <c r="CU455" s="216"/>
      <c r="CV455" s="1193"/>
      <c r="CW455" s="249"/>
      <c r="CX455" s="216"/>
      <c r="CY455" s="305"/>
      <c r="CZ455" s="249"/>
      <c r="DA455" s="216"/>
      <c r="DB455" s="307"/>
      <c r="DC455" s="328"/>
      <c r="DD455" s="322"/>
      <c r="DE455" s="305"/>
      <c r="DF455" s="249"/>
      <c r="DG455" s="216"/>
      <c r="DH455" s="305"/>
      <c r="DI455" s="249"/>
      <c r="DJ455" s="216"/>
      <c r="DK455" s="309"/>
      <c r="DL455" s="293"/>
      <c r="DM455" s="326"/>
      <c r="DN455" s="1256"/>
      <c r="DO455" s="214"/>
      <c r="DP455" s="1257"/>
      <c r="DQ455" s="1258"/>
      <c r="DR455" s="305"/>
      <c r="DS455" s="249"/>
      <c r="DT455" s="216"/>
      <c r="DU455" s="305"/>
      <c r="DV455" s="2520"/>
      <c r="DW455" s="2521"/>
      <c r="DX455" s="305"/>
      <c r="DY455" s="249"/>
      <c r="DZ455" s="221"/>
      <c r="EA455" s="388"/>
      <c r="EB455" s="249"/>
      <c r="EC455" s="216"/>
      <c r="ED455" s="1461"/>
      <c r="EE455" s="249"/>
      <c r="EF455" s="216"/>
      <c r="EG455" s="355"/>
      <c r="EH455" s="1425"/>
      <c r="EI455" s="1470"/>
      <c r="EJ455" s="249"/>
      <c r="EK455" s="221"/>
      <c r="EL455" s="313"/>
      <c r="EM455" s="249"/>
      <c r="EN455" s="221"/>
      <c r="EO455" s="313"/>
      <c r="EP455" s="249"/>
      <c r="EQ455" s="216"/>
      <c r="ER455" s="313"/>
      <c r="ES455" s="249"/>
      <c r="ET455" s="216"/>
      <c r="EU455" s="313"/>
      <c r="EV455" s="249"/>
      <c r="EW455" s="216"/>
      <c r="EX455" s="2505"/>
      <c r="EY455" s="249"/>
      <c r="EZ455" s="221"/>
      <c r="FA455" s="313"/>
      <c r="FB455" s="249"/>
      <c r="FC455" s="221"/>
      <c r="FD455" s="313"/>
      <c r="FE455" s="249"/>
      <c r="FF455" s="221"/>
      <c r="FG455" s="313"/>
      <c r="FH455" s="249"/>
      <c r="FI455" s="216"/>
      <c r="FJ455" s="1435"/>
      <c r="FK455" s="216"/>
      <c r="FL455" s="1268"/>
      <c r="FM455" s="1655"/>
      <c r="FN455" s="1268"/>
      <c r="FO455" s="1655"/>
      <c r="FP455" s="1268"/>
      <c r="FQ455" s="1656"/>
      <c r="FR455" s="249"/>
      <c r="FS455" s="216"/>
      <c r="FT455" s="1657"/>
      <c r="FU455" s="1658"/>
      <c r="FV455" s="242"/>
      <c r="FW455" s="343"/>
      <c r="FX455" s="222"/>
      <c r="FY455" s="336"/>
      <c r="FZ455" s="223"/>
      <c r="GA455" s="338"/>
      <c r="GB455" s="204"/>
      <c r="GC455" s="339"/>
      <c r="GD455" s="342"/>
      <c r="GE455" s="199"/>
      <c r="GF455" s="199"/>
      <c r="GG455" s="199"/>
      <c r="GH455" s="199"/>
      <c r="GI455" s="199"/>
      <c r="GJ455" s="199"/>
      <c r="GK455" s="199"/>
      <c r="GO455" s="322"/>
      <c r="GP455" s="1190"/>
      <c r="GQ455" s="1190"/>
      <c r="GS455" s="2879"/>
      <c r="GT455" s="2880"/>
      <c r="GU455" s="2881"/>
    </row>
    <row r="456" spans="1:203" ht="12" customHeight="1">
      <c r="A456" s="1252"/>
      <c r="B456" s="200"/>
      <c r="C456" s="486"/>
      <c r="T456" s="1186"/>
      <c r="U456" s="233"/>
      <c r="W456" s="218"/>
      <c r="X456" s="218"/>
      <c r="Y456" s="216"/>
      <c r="Z456" s="216"/>
      <c r="AA456" s="215"/>
      <c r="AB456" s="216"/>
      <c r="AC456" s="216"/>
      <c r="AD456" s="239"/>
      <c r="AE456" s="216"/>
      <c r="AF456" s="216"/>
      <c r="AG456" s="216"/>
      <c r="AH456" s="216"/>
      <c r="AI456" s="216"/>
      <c r="AJ456" s="216"/>
      <c r="AK456" s="239"/>
      <c r="AL456" s="216"/>
      <c r="AM456" s="216"/>
      <c r="AN456" s="216"/>
      <c r="AO456" s="216"/>
      <c r="AP456" s="216"/>
      <c r="AQ456" s="216"/>
      <c r="AR456" s="216"/>
      <c r="AS456" s="216"/>
      <c r="AT456" s="216"/>
      <c r="AU456" s="216"/>
      <c r="AV456" s="217"/>
      <c r="AW456" s="355"/>
      <c r="AX456" s="217"/>
      <c r="AY456" s="1559"/>
      <c r="AZ456" s="249"/>
      <c r="BA456" s="221"/>
      <c r="BB456" s="300"/>
      <c r="BC456" s="217"/>
      <c r="BD456" s="392"/>
      <c r="BE456" s="1244"/>
      <c r="BF456" s="249"/>
      <c r="BG456" s="252"/>
      <c r="BH456" s="1469"/>
      <c r="BI456" s="216"/>
      <c r="BJ456" s="1469"/>
      <c r="BK456" s="1459"/>
      <c r="BL456" s="260"/>
      <c r="BM456" s="214"/>
      <c r="BN456" s="293"/>
      <c r="BO456" s="217"/>
      <c r="BP456" s="355"/>
      <c r="BQ456" s="217"/>
      <c r="BR456" s="1193"/>
      <c r="BS456" s="249"/>
      <c r="BT456" s="216"/>
      <c r="BU456" s="1195"/>
      <c r="BV456" s="249"/>
      <c r="BW456" s="216"/>
      <c r="BX456" s="1195"/>
      <c r="BY456" s="249"/>
      <c r="BZ456" s="216"/>
      <c r="CA456" s="1195"/>
      <c r="CB456" s="249"/>
      <c r="CC456" s="216"/>
      <c r="CD456" s="1195"/>
      <c r="CE456" s="249"/>
      <c r="CF456" s="216"/>
      <c r="CG456" s="1195"/>
      <c r="CH456" s="249"/>
      <c r="CI456" s="216"/>
      <c r="CJ456" s="1195"/>
      <c r="CK456" s="249"/>
      <c r="CL456" s="216"/>
      <c r="CM456" s="1194"/>
      <c r="CN456" s="1524"/>
      <c r="CO456" s="217"/>
      <c r="CP456" s="1193"/>
      <c r="CQ456" s="293"/>
      <c r="CR456" s="217"/>
      <c r="CS456" s="305"/>
      <c r="CT456" s="249"/>
      <c r="CU456" s="216"/>
      <c r="CV456" s="1193"/>
      <c r="CW456" s="249"/>
      <c r="CX456" s="216"/>
      <c r="CY456" s="305"/>
      <c r="CZ456" s="249"/>
      <c r="DA456" s="216"/>
      <c r="DB456" s="307"/>
      <c r="DC456" s="328"/>
      <c r="DD456" s="322"/>
      <c r="DE456" s="305"/>
      <c r="DF456" s="249"/>
      <c r="DG456" s="216"/>
      <c r="DH456" s="305"/>
      <c r="DI456" s="249"/>
      <c r="DJ456" s="216"/>
      <c r="DK456" s="309"/>
      <c r="DL456" s="293"/>
      <c r="DM456" s="326"/>
      <c r="DN456" s="1256"/>
      <c r="DO456" s="214"/>
      <c r="DP456" s="1257"/>
      <c r="DQ456" s="1258"/>
      <c r="DR456" s="305"/>
      <c r="DS456" s="249"/>
      <c r="DT456" s="216"/>
      <c r="DU456" s="305"/>
      <c r="DV456" s="2520"/>
      <c r="DW456" s="2521"/>
      <c r="DX456" s="305"/>
      <c r="DY456" s="249"/>
      <c r="DZ456" s="221"/>
      <c r="EA456" s="388"/>
      <c r="EB456" s="249"/>
      <c r="EC456" s="216"/>
      <c r="ED456" s="1461"/>
      <c r="EE456" s="249"/>
      <c r="EF456" s="216"/>
      <c r="EG456" s="355"/>
      <c r="EH456" s="1425"/>
      <c r="EI456" s="1470"/>
      <c r="EJ456" s="249"/>
      <c r="EK456" s="221"/>
      <c r="EL456" s="313"/>
      <c r="EM456" s="249"/>
      <c r="EN456" s="221"/>
      <c r="EO456" s="313"/>
      <c r="EP456" s="249"/>
      <c r="EQ456" s="216"/>
      <c r="ER456" s="313"/>
      <c r="ES456" s="249"/>
      <c r="ET456" s="216"/>
      <c r="EU456" s="313"/>
      <c r="EV456" s="249"/>
      <c r="EW456" s="216"/>
      <c r="EX456" s="2505"/>
      <c r="EY456" s="249"/>
      <c r="EZ456" s="221"/>
      <c r="FA456" s="313"/>
      <c r="FB456" s="249"/>
      <c r="FC456" s="221"/>
      <c r="FD456" s="313"/>
      <c r="FE456" s="249"/>
      <c r="FF456" s="221"/>
      <c r="FG456" s="313"/>
      <c r="FH456" s="249"/>
      <c r="FI456" s="216"/>
      <c r="FJ456" s="1435"/>
      <c r="FK456" s="216"/>
      <c r="FL456" s="1268"/>
      <c r="FM456" s="1655"/>
      <c r="FN456" s="1268"/>
      <c r="FO456" s="1655"/>
      <c r="FP456" s="1268"/>
      <c r="FQ456" s="1656"/>
      <c r="FR456" s="249"/>
      <c r="FS456" s="216"/>
      <c r="FT456" s="1657"/>
      <c r="FU456" s="1658"/>
      <c r="FV456" s="242"/>
      <c r="FW456" s="343"/>
      <c r="FX456" s="222"/>
      <c r="FY456" s="336"/>
      <c r="FZ456" s="223"/>
      <c r="GA456" s="338"/>
      <c r="GB456" s="204"/>
      <c r="GC456" s="339"/>
      <c r="GD456" s="342"/>
      <c r="GE456" s="199"/>
      <c r="GF456" s="199"/>
      <c r="GG456" s="199"/>
      <c r="GH456" s="199"/>
      <c r="GI456" s="199"/>
      <c r="GJ456" s="199"/>
      <c r="GK456" s="199"/>
      <c r="GO456" s="322"/>
      <c r="GP456" s="1190"/>
      <c r="GQ456" s="1190"/>
      <c r="GS456" s="2879"/>
      <c r="GT456" s="2880"/>
      <c r="GU456" s="2881"/>
    </row>
    <row r="457" spans="1:203" ht="12" customHeight="1">
      <c r="A457" s="1252"/>
      <c r="B457" s="200"/>
      <c r="C457" s="486"/>
      <c r="T457" s="1186"/>
      <c r="U457" s="233"/>
      <c r="W457" s="218"/>
      <c r="X457" s="218"/>
      <c r="Y457" s="216"/>
      <c r="Z457" s="216"/>
      <c r="AA457" s="215"/>
      <c r="AB457" s="216"/>
      <c r="AC457" s="216"/>
      <c r="AD457" s="239"/>
      <c r="AE457" s="216"/>
      <c r="AF457" s="216"/>
      <c r="AG457" s="216"/>
      <c r="AH457" s="216"/>
      <c r="AI457" s="216"/>
      <c r="AJ457" s="216"/>
      <c r="AK457" s="239"/>
      <c r="AL457" s="216"/>
      <c r="AM457" s="216"/>
      <c r="AN457" s="216"/>
      <c r="AO457" s="216"/>
      <c r="AP457" s="216"/>
      <c r="AQ457" s="216"/>
      <c r="AR457" s="216"/>
      <c r="AS457" s="216"/>
      <c r="AT457" s="216"/>
      <c r="AU457" s="216"/>
      <c r="AV457" s="217"/>
      <c r="AW457" s="355"/>
      <c r="AX457" s="217"/>
      <c r="AY457" s="1559"/>
      <c r="AZ457" s="249"/>
      <c r="BA457" s="221"/>
      <c r="BB457" s="300"/>
      <c r="BC457" s="217"/>
      <c r="BD457" s="392"/>
      <c r="BE457" s="1244"/>
      <c r="BF457" s="249"/>
      <c r="BG457" s="252"/>
      <c r="BH457" s="1469"/>
      <c r="BI457" s="216"/>
      <c r="BJ457" s="1469"/>
      <c r="BK457" s="1459"/>
      <c r="BL457" s="260"/>
      <c r="BM457" s="214"/>
      <c r="BN457" s="293"/>
      <c r="BO457" s="217"/>
      <c r="BP457" s="355"/>
      <c r="BQ457" s="217"/>
      <c r="BR457" s="1193"/>
      <c r="BS457" s="249"/>
      <c r="BT457" s="216"/>
      <c r="BU457" s="1195"/>
      <c r="BV457" s="249"/>
      <c r="BW457" s="216"/>
      <c r="BX457" s="1195"/>
      <c r="BY457" s="249"/>
      <c r="BZ457" s="216"/>
      <c r="CA457" s="1195"/>
      <c r="CB457" s="249"/>
      <c r="CC457" s="216"/>
      <c r="CD457" s="1195"/>
      <c r="CE457" s="249"/>
      <c r="CF457" s="216"/>
      <c r="CG457" s="1195"/>
      <c r="CH457" s="249"/>
      <c r="CI457" s="216"/>
      <c r="CJ457" s="1195"/>
      <c r="CK457" s="249"/>
      <c r="CL457" s="216"/>
      <c r="CM457" s="1194"/>
      <c r="CN457" s="1524"/>
      <c r="CO457" s="217"/>
      <c r="CP457" s="1193"/>
      <c r="CQ457" s="293"/>
      <c r="CR457" s="217"/>
      <c r="CS457" s="305"/>
      <c r="CT457" s="249"/>
      <c r="CU457" s="216"/>
      <c r="CV457" s="1193"/>
      <c r="CW457" s="249"/>
      <c r="CX457" s="216"/>
      <c r="CY457" s="305"/>
      <c r="CZ457" s="249"/>
      <c r="DA457" s="216"/>
      <c r="DB457" s="307"/>
      <c r="DC457" s="328"/>
      <c r="DD457" s="322"/>
      <c r="DE457" s="305"/>
      <c r="DF457" s="249"/>
      <c r="DG457" s="216"/>
      <c r="DH457" s="305"/>
      <c r="DI457" s="249"/>
      <c r="DJ457" s="216"/>
      <c r="DK457" s="309"/>
      <c r="DL457" s="293"/>
      <c r="DM457" s="326"/>
      <c r="DN457" s="1256"/>
      <c r="DO457" s="214"/>
      <c r="DP457" s="1257"/>
      <c r="DQ457" s="1258"/>
      <c r="DR457" s="305"/>
      <c r="DS457" s="249"/>
      <c r="DT457" s="216"/>
      <c r="DU457" s="305"/>
      <c r="DV457" s="2520"/>
      <c r="DW457" s="2521"/>
      <c r="DX457" s="305"/>
      <c r="DY457" s="249"/>
      <c r="DZ457" s="221"/>
      <c r="EA457" s="388"/>
      <c r="EB457" s="249"/>
      <c r="EC457" s="216"/>
      <c r="ED457" s="1461"/>
      <c r="EE457" s="249"/>
      <c r="EF457" s="216"/>
      <c r="EG457" s="355"/>
      <c r="EH457" s="1425"/>
      <c r="EI457" s="1470"/>
      <c r="EJ457" s="249"/>
      <c r="EK457" s="221"/>
      <c r="EL457" s="313"/>
      <c r="EM457" s="249"/>
      <c r="EN457" s="221"/>
      <c r="EO457" s="313"/>
      <c r="EP457" s="249"/>
      <c r="EQ457" s="216"/>
      <c r="ER457" s="313"/>
      <c r="ES457" s="249"/>
      <c r="ET457" s="216"/>
      <c r="EU457" s="313"/>
      <c r="EV457" s="249"/>
      <c r="EW457" s="216"/>
      <c r="EX457" s="2505"/>
      <c r="EY457" s="249"/>
      <c r="EZ457" s="221"/>
      <c r="FA457" s="313"/>
      <c r="FB457" s="249"/>
      <c r="FC457" s="221"/>
      <c r="FD457" s="313"/>
      <c r="FE457" s="249"/>
      <c r="FF457" s="221"/>
      <c r="FG457" s="313"/>
      <c r="FH457" s="249"/>
      <c r="FI457" s="216"/>
      <c r="FJ457" s="1435"/>
      <c r="FK457" s="216"/>
      <c r="FL457" s="1268"/>
      <c r="FM457" s="1655"/>
      <c r="FN457" s="1268"/>
      <c r="FO457" s="1655"/>
      <c r="FP457" s="1268"/>
      <c r="FQ457" s="1656"/>
      <c r="FR457" s="249"/>
      <c r="FS457" s="216"/>
      <c r="FT457" s="1657"/>
      <c r="FU457" s="1658"/>
      <c r="FV457" s="242"/>
      <c r="FW457" s="343"/>
      <c r="FX457" s="222"/>
      <c r="FY457" s="336"/>
      <c r="FZ457" s="223"/>
      <c r="GA457" s="338"/>
      <c r="GB457" s="204"/>
      <c r="GC457" s="339"/>
      <c r="GD457" s="342"/>
      <c r="GE457" s="199"/>
      <c r="GF457" s="199"/>
      <c r="GG457" s="199"/>
      <c r="GH457" s="199"/>
      <c r="GI457" s="199"/>
      <c r="GJ457" s="199"/>
      <c r="GK457" s="199"/>
      <c r="GO457" s="322"/>
      <c r="GP457" s="1190"/>
      <c r="GQ457" s="1190"/>
      <c r="GS457" s="2879"/>
      <c r="GT457" s="2880"/>
      <c r="GU457" s="2881"/>
    </row>
    <row r="458" spans="1:203" ht="12" customHeight="1">
      <c r="A458" s="1252"/>
      <c r="B458" s="200"/>
      <c r="C458" s="486"/>
      <c r="T458" s="1186"/>
      <c r="U458" s="233"/>
      <c r="W458" s="218"/>
      <c r="X458" s="218"/>
      <c r="Y458" s="216"/>
      <c r="Z458" s="216"/>
      <c r="AA458" s="215"/>
      <c r="AB458" s="216"/>
      <c r="AC458" s="216"/>
      <c r="AD458" s="239"/>
      <c r="AE458" s="216"/>
      <c r="AF458" s="216"/>
      <c r="AG458" s="216"/>
      <c r="AH458" s="216"/>
      <c r="AI458" s="216"/>
      <c r="AJ458" s="216"/>
      <c r="AK458" s="239"/>
      <c r="AL458" s="216"/>
      <c r="AM458" s="216"/>
      <c r="AN458" s="216"/>
      <c r="AO458" s="216"/>
      <c r="AP458" s="216"/>
      <c r="AQ458" s="216"/>
      <c r="AR458" s="216"/>
      <c r="AS458" s="216"/>
      <c r="AT458" s="216"/>
      <c r="AU458" s="216"/>
      <c r="AV458" s="217"/>
      <c r="AW458" s="355"/>
      <c r="AX458" s="217"/>
      <c r="AY458" s="1559"/>
      <c r="AZ458" s="249"/>
      <c r="BA458" s="221"/>
      <c r="BB458" s="300"/>
      <c r="BC458" s="217"/>
      <c r="BD458" s="392"/>
      <c r="BE458" s="1244"/>
      <c r="BF458" s="249"/>
      <c r="BG458" s="252"/>
      <c r="BH458" s="1469"/>
      <c r="BI458" s="216"/>
      <c r="BJ458" s="1469"/>
      <c r="BK458" s="1459"/>
      <c r="BL458" s="260"/>
      <c r="BM458" s="214"/>
      <c r="BN458" s="293"/>
      <c r="BO458" s="217"/>
      <c r="BP458" s="355"/>
      <c r="BQ458" s="217"/>
      <c r="BR458" s="1193"/>
      <c r="BS458" s="249"/>
      <c r="BT458" s="216"/>
      <c r="BU458" s="1195"/>
      <c r="BV458" s="249"/>
      <c r="BW458" s="216"/>
      <c r="BX458" s="1195"/>
      <c r="BY458" s="249"/>
      <c r="BZ458" s="216"/>
      <c r="CA458" s="1195"/>
      <c r="CB458" s="249"/>
      <c r="CC458" s="216"/>
      <c r="CD458" s="1195"/>
      <c r="CE458" s="249"/>
      <c r="CF458" s="216"/>
      <c r="CG458" s="1195"/>
      <c r="CH458" s="249"/>
      <c r="CI458" s="216"/>
      <c r="CJ458" s="1195"/>
      <c r="CK458" s="249"/>
      <c r="CL458" s="216"/>
      <c r="CM458" s="1194"/>
      <c r="CN458" s="1524"/>
      <c r="CO458" s="217"/>
      <c r="CP458" s="1193"/>
      <c r="CQ458" s="293"/>
      <c r="CR458" s="217"/>
      <c r="CS458" s="305"/>
      <c r="CT458" s="249"/>
      <c r="CU458" s="216"/>
      <c r="CV458" s="1193"/>
      <c r="CW458" s="249"/>
      <c r="CX458" s="216"/>
      <c r="CY458" s="305"/>
      <c r="CZ458" s="249"/>
      <c r="DA458" s="216"/>
      <c r="DB458" s="307"/>
      <c r="DC458" s="328"/>
      <c r="DD458" s="322"/>
      <c r="DE458" s="305"/>
      <c r="DF458" s="249"/>
      <c r="DG458" s="216"/>
      <c r="DH458" s="305"/>
      <c r="DI458" s="249"/>
      <c r="DJ458" s="216"/>
      <c r="DK458" s="309"/>
      <c r="DL458" s="293"/>
      <c r="DM458" s="326"/>
      <c r="DN458" s="1256"/>
      <c r="DO458" s="214"/>
      <c r="DP458" s="1257"/>
      <c r="DQ458" s="1258"/>
      <c r="DR458" s="305"/>
      <c r="DS458" s="249"/>
      <c r="DT458" s="216"/>
      <c r="DU458" s="305"/>
      <c r="DV458" s="2520"/>
      <c r="DW458" s="2521"/>
      <c r="DX458" s="305"/>
      <c r="DY458" s="249"/>
      <c r="DZ458" s="221"/>
      <c r="EA458" s="388"/>
      <c r="EB458" s="249"/>
      <c r="EC458" s="216"/>
      <c r="ED458" s="1461"/>
      <c r="EE458" s="249"/>
      <c r="EF458" s="216"/>
      <c r="EG458" s="355"/>
      <c r="EH458" s="1425"/>
      <c r="EI458" s="1470"/>
      <c r="EJ458" s="249"/>
      <c r="EK458" s="221"/>
      <c r="EL458" s="313"/>
      <c r="EM458" s="249"/>
      <c r="EN458" s="221"/>
      <c r="EO458" s="313"/>
      <c r="EP458" s="249"/>
      <c r="EQ458" s="216"/>
      <c r="ER458" s="313"/>
      <c r="ES458" s="249"/>
      <c r="ET458" s="216"/>
      <c r="EU458" s="313"/>
      <c r="EV458" s="249"/>
      <c r="EW458" s="216"/>
      <c r="EX458" s="2505"/>
      <c r="EY458" s="249"/>
      <c r="EZ458" s="221"/>
      <c r="FA458" s="313"/>
      <c r="FB458" s="249"/>
      <c r="FC458" s="221"/>
      <c r="FD458" s="313"/>
      <c r="FE458" s="249"/>
      <c r="FF458" s="221"/>
      <c r="FG458" s="313"/>
      <c r="FH458" s="249"/>
      <c r="FI458" s="216"/>
      <c r="FJ458" s="1435"/>
      <c r="FK458" s="216"/>
      <c r="FL458" s="1268"/>
      <c r="FM458" s="1655"/>
      <c r="FN458" s="1268"/>
      <c r="FO458" s="1655"/>
      <c r="FP458" s="1268"/>
      <c r="FQ458" s="1656"/>
      <c r="FR458" s="249"/>
      <c r="FS458" s="216"/>
      <c r="FT458" s="1657"/>
      <c r="FU458" s="1658"/>
      <c r="FV458" s="242"/>
      <c r="FW458" s="343"/>
      <c r="FX458" s="222"/>
      <c r="FY458" s="336"/>
      <c r="FZ458" s="223"/>
      <c r="GA458" s="338"/>
      <c r="GB458" s="204"/>
      <c r="GC458" s="339"/>
      <c r="GD458" s="342"/>
      <c r="GE458" s="199"/>
      <c r="GF458" s="199"/>
      <c r="GG458" s="199"/>
      <c r="GH458" s="199"/>
      <c r="GI458" s="199"/>
      <c r="GJ458" s="199"/>
      <c r="GK458" s="199"/>
      <c r="GO458" s="322"/>
      <c r="GP458" s="1190"/>
      <c r="GQ458" s="1190"/>
      <c r="GS458" s="2879"/>
      <c r="GT458" s="2880"/>
      <c r="GU458" s="2881"/>
    </row>
    <row r="459" spans="1:203" ht="12" customHeight="1">
      <c r="A459" s="1252"/>
      <c r="B459" s="200"/>
      <c r="C459" s="486"/>
      <c r="T459" s="1186"/>
      <c r="U459" s="233"/>
      <c r="W459" s="218"/>
      <c r="X459" s="218"/>
      <c r="Y459" s="216"/>
      <c r="Z459" s="216"/>
      <c r="AA459" s="215"/>
      <c r="AB459" s="216"/>
      <c r="AC459" s="216"/>
      <c r="AD459" s="239"/>
      <c r="AE459" s="216"/>
      <c r="AF459" s="216"/>
      <c r="AG459" s="216"/>
      <c r="AH459" s="216"/>
      <c r="AI459" s="216"/>
      <c r="AJ459" s="216"/>
      <c r="AK459" s="239"/>
      <c r="AL459" s="216"/>
      <c r="AM459" s="216"/>
      <c r="AN459" s="216"/>
      <c r="AO459" s="216"/>
      <c r="AP459" s="216"/>
      <c r="AQ459" s="216"/>
      <c r="AR459" s="216"/>
      <c r="AS459" s="216"/>
      <c r="AT459" s="216"/>
      <c r="AU459" s="216"/>
      <c r="AV459" s="217"/>
      <c r="AW459" s="355"/>
      <c r="AX459" s="217"/>
      <c r="AY459" s="1559"/>
      <c r="AZ459" s="249"/>
      <c r="BA459" s="221"/>
      <c r="BB459" s="300"/>
      <c r="BC459" s="217"/>
      <c r="BD459" s="392"/>
      <c r="BE459" s="1244"/>
      <c r="BF459" s="249"/>
      <c r="BG459" s="252"/>
      <c r="BH459" s="1469"/>
      <c r="BI459" s="216"/>
      <c r="BJ459" s="1469"/>
      <c r="BK459" s="1459"/>
      <c r="BL459" s="260"/>
      <c r="BM459" s="214"/>
      <c r="BN459" s="293"/>
      <c r="BO459" s="217"/>
      <c r="BP459" s="355"/>
      <c r="BQ459" s="217"/>
      <c r="BR459" s="1193"/>
      <c r="BS459" s="249"/>
      <c r="BT459" s="216"/>
      <c r="BU459" s="1195"/>
      <c r="BV459" s="249"/>
      <c r="BW459" s="216"/>
      <c r="BX459" s="1195"/>
      <c r="BY459" s="249"/>
      <c r="BZ459" s="216"/>
      <c r="CA459" s="1195"/>
      <c r="CB459" s="249"/>
      <c r="CC459" s="216"/>
      <c r="CD459" s="1195"/>
      <c r="CE459" s="249"/>
      <c r="CF459" s="216"/>
      <c r="CG459" s="1195"/>
      <c r="CH459" s="249"/>
      <c r="CI459" s="216"/>
      <c r="CJ459" s="1195"/>
      <c r="CK459" s="249"/>
      <c r="CL459" s="216"/>
      <c r="CM459" s="1194"/>
      <c r="CN459" s="1524"/>
      <c r="CO459" s="217"/>
      <c r="CP459" s="1193"/>
      <c r="CQ459" s="293"/>
      <c r="CR459" s="217"/>
      <c r="CS459" s="305"/>
      <c r="CT459" s="249"/>
      <c r="CU459" s="216"/>
      <c r="CV459" s="1193"/>
      <c r="CW459" s="249"/>
      <c r="CX459" s="216"/>
      <c r="CY459" s="305"/>
      <c r="CZ459" s="249"/>
      <c r="DA459" s="216"/>
      <c r="DB459" s="307"/>
      <c r="DC459" s="328"/>
      <c r="DD459" s="322"/>
      <c r="DE459" s="305"/>
      <c r="DF459" s="249"/>
      <c r="DG459" s="216"/>
      <c r="DH459" s="305"/>
      <c r="DI459" s="249"/>
      <c r="DJ459" s="216"/>
      <c r="DK459" s="309"/>
      <c r="DL459" s="293"/>
      <c r="DM459" s="326"/>
      <c r="DN459" s="1256"/>
      <c r="DO459" s="214"/>
      <c r="DP459" s="1257"/>
      <c r="DQ459" s="1258"/>
      <c r="DR459" s="305"/>
      <c r="DS459" s="249"/>
      <c r="DT459" s="216"/>
      <c r="DU459" s="305"/>
      <c r="DV459" s="2520"/>
      <c r="DW459" s="2521"/>
      <c r="DX459" s="305"/>
      <c r="DY459" s="249"/>
      <c r="DZ459" s="221"/>
      <c r="EA459" s="388"/>
      <c r="EB459" s="249"/>
      <c r="EC459" s="216"/>
      <c r="ED459" s="1461"/>
      <c r="EE459" s="249"/>
      <c r="EF459" s="216"/>
      <c r="EG459" s="355"/>
      <c r="EH459" s="1425"/>
      <c r="EI459" s="1470"/>
      <c r="EJ459" s="249"/>
      <c r="EK459" s="221"/>
      <c r="EL459" s="313"/>
      <c r="EM459" s="249"/>
      <c r="EN459" s="221"/>
      <c r="EO459" s="313"/>
      <c r="EP459" s="249"/>
      <c r="EQ459" s="216"/>
      <c r="ER459" s="313"/>
      <c r="ES459" s="249"/>
      <c r="ET459" s="216"/>
      <c r="EU459" s="313"/>
      <c r="EV459" s="249"/>
      <c r="EW459" s="216"/>
      <c r="EX459" s="2505"/>
      <c r="EY459" s="249"/>
      <c r="EZ459" s="221"/>
      <c r="FA459" s="313"/>
      <c r="FB459" s="249"/>
      <c r="FC459" s="221"/>
      <c r="FD459" s="313"/>
      <c r="FE459" s="249"/>
      <c r="FF459" s="221"/>
      <c r="FG459" s="313"/>
      <c r="FH459" s="249"/>
      <c r="FI459" s="216"/>
      <c r="FJ459" s="1435"/>
      <c r="FK459" s="216"/>
      <c r="FL459" s="1268"/>
      <c r="FM459" s="1655"/>
      <c r="FN459" s="1268"/>
      <c r="FO459" s="1655"/>
      <c r="FP459" s="1268"/>
      <c r="FQ459" s="1656"/>
      <c r="FR459" s="249"/>
      <c r="FS459" s="216"/>
      <c r="FT459" s="1657"/>
      <c r="FU459" s="1658"/>
      <c r="FV459" s="242"/>
      <c r="FW459" s="343"/>
      <c r="FX459" s="222"/>
      <c r="FY459" s="336"/>
      <c r="FZ459" s="223"/>
      <c r="GA459" s="338"/>
      <c r="GB459" s="204"/>
      <c r="GC459" s="339"/>
      <c r="GD459" s="342"/>
      <c r="GE459" s="199"/>
      <c r="GF459" s="199"/>
      <c r="GG459" s="199"/>
      <c r="GH459" s="199"/>
      <c r="GI459" s="199"/>
      <c r="GJ459" s="199"/>
      <c r="GK459" s="199"/>
      <c r="GO459" s="322"/>
      <c r="GP459" s="1190"/>
      <c r="GQ459" s="1190"/>
      <c r="GS459" s="2879"/>
      <c r="GT459" s="2880"/>
      <c r="GU459" s="2881"/>
    </row>
    <row r="460" spans="1:203" ht="12" customHeight="1">
      <c r="A460" s="1252"/>
      <c r="B460" s="200"/>
      <c r="C460" s="486"/>
      <c r="T460" s="1186"/>
      <c r="U460" s="233"/>
      <c r="W460" s="218"/>
      <c r="X460" s="218"/>
      <c r="Y460" s="216"/>
      <c r="Z460" s="216"/>
      <c r="AA460" s="215"/>
      <c r="AB460" s="216"/>
      <c r="AC460" s="216"/>
      <c r="AD460" s="239"/>
      <c r="AE460" s="216"/>
      <c r="AF460" s="216"/>
      <c r="AG460" s="216"/>
      <c r="AH460" s="216"/>
      <c r="AI460" s="216"/>
      <c r="AJ460" s="216"/>
      <c r="AK460" s="239"/>
      <c r="AL460" s="216"/>
      <c r="AM460" s="216"/>
      <c r="AN460" s="216"/>
      <c r="AO460" s="216"/>
      <c r="AP460" s="216"/>
      <c r="AQ460" s="216"/>
      <c r="AR460" s="216"/>
      <c r="AS460" s="216"/>
      <c r="AT460" s="216"/>
      <c r="AU460" s="216"/>
      <c r="AV460" s="217"/>
      <c r="AW460" s="355"/>
      <c r="AX460" s="217"/>
      <c r="AY460" s="1559"/>
      <c r="AZ460" s="249"/>
      <c r="BA460" s="221"/>
      <c r="BB460" s="300"/>
      <c r="BC460" s="217"/>
      <c r="BD460" s="392"/>
      <c r="BE460" s="1244"/>
      <c r="BF460" s="249"/>
      <c r="BG460" s="252"/>
      <c r="BH460" s="1469"/>
      <c r="BI460" s="216"/>
      <c r="BJ460" s="1469"/>
      <c r="BK460" s="1459"/>
      <c r="BL460" s="260"/>
      <c r="BM460" s="214"/>
      <c r="BN460" s="293"/>
      <c r="BO460" s="217"/>
      <c r="BP460" s="355"/>
      <c r="BQ460" s="217"/>
      <c r="BR460" s="1193"/>
      <c r="BS460" s="249"/>
      <c r="BT460" s="216"/>
      <c r="BU460" s="1195"/>
      <c r="BV460" s="249"/>
      <c r="BW460" s="216"/>
      <c r="BX460" s="1195"/>
      <c r="BY460" s="249"/>
      <c r="BZ460" s="216"/>
      <c r="CA460" s="1195"/>
      <c r="CB460" s="249"/>
      <c r="CC460" s="216"/>
      <c r="CD460" s="1195"/>
      <c r="CE460" s="249"/>
      <c r="CF460" s="216"/>
      <c r="CG460" s="1195"/>
      <c r="CH460" s="249"/>
      <c r="CI460" s="216"/>
      <c r="CJ460" s="1195"/>
      <c r="CK460" s="249"/>
      <c r="CL460" s="216"/>
      <c r="CM460" s="1194"/>
      <c r="CN460" s="1524"/>
      <c r="CO460" s="217"/>
      <c r="CP460" s="1193"/>
      <c r="CQ460" s="293"/>
      <c r="CR460" s="217"/>
      <c r="CS460" s="305"/>
      <c r="CT460" s="249"/>
      <c r="CU460" s="216"/>
      <c r="CV460" s="1193"/>
      <c r="CW460" s="249"/>
      <c r="CX460" s="216"/>
      <c r="CY460" s="305"/>
      <c r="CZ460" s="249"/>
      <c r="DA460" s="216"/>
      <c r="DB460" s="307"/>
      <c r="DC460" s="328"/>
      <c r="DD460" s="322"/>
      <c r="DE460" s="305"/>
      <c r="DF460" s="249"/>
      <c r="DG460" s="216"/>
      <c r="DH460" s="305"/>
      <c r="DI460" s="249"/>
      <c r="DJ460" s="216"/>
      <c r="DK460" s="309"/>
      <c r="DL460" s="293"/>
      <c r="DM460" s="326"/>
      <c r="DN460" s="1256"/>
      <c r="DO460" s="214"/>
      <c r="DP460" s="1257"/>
      <c r="DQ460" s="1258"/>
      <c r="DR460" s="305"/>
      <c r="DS460" s="249"/>
      <c r="DT460" s="216"/>
      <c r="DU460" s="305"/>
      <c r="DV460" s="2520"/>
      <c r="DW460" s="2521"/>
      <c r="DX460" s="305"/>
      <c r="DY460" s="249"/>
      <c r="DZ460" s="221"/>
      <c r="EA460" s="388"/>
      <c r="EB460" s="249"/>
      <c r="EC460" s="216"/>
      <c r="ED460" s="1461"/>
      <c r="EE460" s="249"/>
      <c r="EF460" s="216"/>
      <c r="EG460" s="355"/>
      <c r="EH460" s="1425"/>
      <c r="EI460" s="1470"/>
      <c r="EJ460" s="249"/>
      <c r="EK460" s="221"/>
      <c r="EL460" s="313"/>
      <c r="EM460" s="249"/>
      <c r="EN460" s="221"/>
      <c r="EO460" s="313"/>
      <c r="EP460" s="249"/>
      <c r="EQ460" s="216"/>
      <c r="ER460" s="313"/>
      <c r="ES460" s="249"/>
      <c r="ET460" s="216"/>
      <c r="EU460" s="313"/>
      <c r="EV460" s="249"/>
      <c r="EW460" s="216"/>
      <c r="EX460" s="2505"/>
      <c r="EY460" s="249"/>
      <c r="EZ460" s="221"/>
      <c r="FA460" s="313"/>
      <c r="FB460" s="249"/>
      <c r="FC460" s="221"/>
      <c r="FD460" s="313"/>
      <c r="FE460" s="249"/>
      <c r="FF460" s="221"/>
      <c r="FG460" s="313"/>
      <c r="FH460" s="249"/>
      <c r="FI460" s="216"/>
      <c r="FJ460" s="1435"/>
      <c r="FK460" s="216"/>
      <c r="FL460" s="1268"/>
      <c r="FM460" s="1655"/>
      <c r="FN460" s="1268"/>
      <c r="FO460" s="1655"/>
      <c r="FP460" s="1268"/>
      <c r="FQ460" s="1656"/>
      <c r="FR460" s="249"/>
      <c r="FS460" s="216"/>
      <c r="FT460" s="1657"/>
      <c r="FU460" s="1658"/>
      <c r="FV460" s="242"/>
      <c r="FW460" s="343"/>
      <c r="FX460" s="222"/>
      <c r="FY460" s="336"/>
      <c r="FZ460" s="223"/>
      <c r="GA460" s="338"/>
      <c r="GB460" s="204"/>
      <c r="GC460" s="339"/>
      <c r="GD460" s="342"/>
      <c r="GE460" s="199"/>
      <c r="GF460" s="199"/>
      <c r="GG460" s="199"/>
      <c r="GH460" s="199"/>
      <c r="GI460" s="199"/>
      <c r="GJ460" s="199"/>
      <c r="GK460" s="199"/>
      <c r="GO460" s="322"/>
      <c r="GP460" s="1190"/>
      <c r="GQ460" s="1190"/>
      <c r="GS460" s="2879"/>
      <c r="GT460" s="2880"/>
      <c r="GU460" s="2881"/>
    </row>
    <row r="461" spans="1:203" ht="12" customHeight="1">
      <c r="A461" s="1252"/>
      <c r="B461" s="200"/>
      <c r="C461" s="486"/>
      <c r="T461" s="1186"/>
      <c r="U461" s="233"/>
      <c r="W461" s="218"/>
      <c r="X461" s="218"/>
      <c r="Y461" s="216"/>
      <c r="Z461" s="216"/>
      <c r="AA461" s="215"/>
      <c r="AB461" s="216"/>
      <c r="AC461" s="216"/>
      <c r="AD461" s="239"/>
      <c r="AE461" s="216"/>
      <c r="AF461" s="216"/>
      <c r="AG461" s="216"/>
      <c r="AH461" s="216"/>
      <c r="AI461" s="216"/>
      <c r="AJ461" s="216"/>
      <c r="AK461" s="239"/>
      <c r="AL461" s="216"/>
      <c r="AM461" s="216"/>
      <c r="AN461" s="216"/>
      <c r="AO461" s="216"/>
      <c r="AP461" s="216"/>
      <c r="AQ461" s="216"/>
      <c r="AR461" s="216"/>
      <c r="AS461" s="216"/>
      <c r="AT461" s="216"/>
      <c r="AU461" s="216"/>
      <c r="AV461" s="217"/>
      <c r="AW461" s="355"/>
      <c r="AX461" s="217"/>
      <c r="AY461" s="1559"/>
      <c r="AZ461" s="249"/>
      <c r="BA461" s="221"/>
      <c r="BB461" s="300"/>
      <c r="BC461" s="217"/>
      <c r="BD461" s="392"/>
      <c r="BE461" s="1244"/>
      <c r="BF461" s="249"/>
      <c r="BG461" s="252"/>
      <c r="BH461" s="1469"/>
      <c r="BI461" s="216"/>
      <c r="BJ461" s="1469"/>
      <c r="BK461" s="1459"/>
      <c r="BL461" s="260"/>
      <c r="BM461" s="214"/>
      <c r="BN461" s="293"/>
      <c r="BO461" s="217"/>
      <c r="BP461" s="355"/>
      <c r="BQ461" s="217"/>
      <c r="BR461" s="1193"/>
      <c r="BS461" s="249"/>
      <c r="BT461" s="216"/>
      <c r="BU461" s="1195"/>
      <c r="BV461" s="249"/>
      <c r="BW461" s="216"/>
      <c r="BX461" s="1195"/>
      <c r="BY461" s="249"/>
      <c r="BZ461" s="216"/>
      <c r="CA461" s="1195"/>
      <c r="CB461" s="249"/>
      <c r="CC461" s="216"/>
      <c r="CD461" s="1195"/>
      <c r="CE461" s="249"/>
      <c r="CF461" s="216"/>
      <c r="CG461" s="1195"/>
      <c r="CH461" s="249"/>
      <c r="CI461" s="216"/>
      <c r="CJ461" s="1195"/>
      <c r="CK461" s="249"/>
      <c r="CL461" s="216"/>
      <c r="CM461" s="1194"/>
      <c r="CN461" s="1524"/>
      <c r="CO461" s="217"/>
      <c r="CP461" s="1193"/>
      <c r="CQ461" s="293"/>
      <c r="CR461" s="217"/>
      <c r="CS461" s="305"/>
      <c r="CT461" s="249"/>
      <c r="CU461" s="216"/>
      <c r="CV461" s="1193"/>
      <c r="CW461" s="249"/>
      <c r="CX461" s="216"/>
      <c r="CY461" s="305"/>
      <c r="CZ461" s="249"/>
      <c r="DA461" s="216"/>
      <c r="DB461" s="307"/>
      <c r="DC461" s="328"/>
      <c r="DD461" s="322"/>
      <c r="DE461" s="305"/>
      <c r="DF461" s="249"/>
      <c r="DG461" s="216"/>
      <c r="DH461" s="305"/>
      <c r="DI461" s="249"/>
      <c r="DJ461" s="216"/>
      <c r="DK461" s="309"/>
      <c r="DL461" s="293"/>
      <c r="DM461" s="326"/>
      <c r="DN461" s="1256"/>
      <c r="DO461" s="214"/>
      <c r="DP461" s="1257"/>
      <c r="DQ461" s="1258"/>
      <c r="DR461" s="305"/>
      <c r="DS461" s="249"/>
      <c r="DT461" s="216"/>
      <c r="DU461" s="305"/>
      <c r="DV461" s="2520"/>
      <c r="DW461" s="2521"/>
      <c r="DX461" s="305"/>
      <c r="DY461" s="249"/>
      <c r="DZ461" s="221"/>
      <c r="EA461" s="388"/>
      <c r="EB461" s="249"/>
      <c r="EC461" s="216"/>
      <c r="ED461" s="1461"/>
      <c r="EE461" s="249"/>
      <c r="EF461" s="216"/>
      <c r="EG461" s="355"/>
      <c r="EH461" s="1425"/>
      <c r="EI461" s="1470"/>
      <c r="EJ461" s="249"/>
      <c r="EK461" s="221"/>
      <c r="EL461" s="313"/>
      <c r="EM461" s="249"/>
      <c r="EN461" s="221"/>
      <c r="EO461" s="313"/>
      <c r="EP461" s="249"/>
      <c r="EQ461" s="216"/>
      <c r="ER461" s="313"/>
      <c r="ES461" s="249"/>
      <c r="ET461" s="216"/>
      <c r="EU461" s="313"/>
      <c r="EV461" s="249"/>
      <c r="EW461" s="216"/>
      <c r="EX461" s="2505"/>
      <c r="EY461" s="249"/>
      <c r="EZ461" s="221"/>
      <c r="FA461" s="313"/>
      <c r="FB461" s="249"/>
      <c r="FC461" s="221"/>
      <c r="FD461" s="313"/>
      <c r="FE461" s="249"/>
      <c r="FF461" s="221"/>
      <c r="FG461" s="313"/>
      <c r="FH461" s="249"/>
      <c r="FI461" s="216"/>
      <c r="FJ461" s="1435"/>
      <c r="FK461" s="216"/>
      <c r="FL461" s="1268"/>
      <c r="FM461" s="1655"/>
      <c r="FN461" s="1268"/>
      <c r="FO461" s="1655"/>
      <c r="FP461" s="1268"/>
      <c r="FQ461" s="1656"/>
      <c r="FR461" s="249"/>
      <c r="FS461" s="216"/>
      <c r="FT461" s="1657"/>
      <c r="FU461" s="1658"/>
      <c r="FV461" s="242"/>
      <c r="FW461" s="343"/>
      <c r="FX461" s="222"/>
      <c r="FY461" s="336"/>
      <c r="FZ461" s="223"/>
      <c r="GA461" s="338"/>
      <c r="GB461" s="204"/>
      <c r="GC461" s="339"/>
      <c r="GD461" s="342"/>
      <c r="GE461" s="199"/>
      <c r="GF461" s="199"/>
      <c r="GG461" s="199"/>
      <c r="GH461" s="199"/>
      <c r="GI461" s="199"/>
      <c r="GJ461" s="199"/>
      <c r="GK461" s="199"/>
      <c r="GO461" s="322"/>
      <c r="GP461" s="1190"/>
      <c r="GQ461" s="1190"/>
      <c r="GS461" s="2879"/>
      <c r="GT461" s="2880"/>
      <c r="GU461" s="2881"/>
    </row>
    <row r="462" spans="1:203" ht="12" customHeight="1">
      <c r="A462" s="1252"/>
      <c r="B462" s="200"/>
      <c r="C462" s="486"/>
      <c r="T462" s="1186"/>
      <c r="U462" s="233"/>
      <c r="W462" s="218"/>
      <c r="X462" s="218"/>
      <c r="Y462" s="216"/>
      <c r="Z462" s="216"/>
      <c r="AA462" s="215"/>
      <c r="AB462" s="216"/>
      <c r="AC462" s="216"/>
      <c r="AD462" s="239"/>
      <c r="AE462" s="216"/>
      <c r="AF462" s="216"/>
      <c r="AG462" s="216"/>
      <c r="AH462" s="216"/>
      <c r="AI462" s="216"/>
      <c r="AJ462" s="216"/>
      <c r="AK462" s="239"/>
      <c r="AL462" s="216"/>
      <c r="AM462" s="216"/>
      <c r="AN462" s="216"/>
      <c r="AO462" s="216"/>
      <c r="AP462" s="216"/>
      <c r="AQ462" s="216"/>
      <c r="AR462" s="216"/>
      <c r="AS462" s="216"/>
      <c r="AT462" s="216"/>
      <c r="AU462" s="216"/>
      <c r="AV462" s="217"/>
      <c r="AW462" s="355"/>
      <c r="AX462" s="217"/>
      <c r="AY462" s="1559"/>
      <c r="AZ462" s="249"/>
      <c r="BA462" s="221"/>
      <c r="BB462" s="300"/>
      <c r="BC462" s="217"/>
      <c r="BD462" s="392"/>
      <c r="BE462" s="1244"/>
      <c r="BF462" s="249"/>
      <c r="BG462" s="252"/>
      <c r="BH462" s="1469"/>
      <c r="BI462" s="216"/>
      <c r="BJ462" s="1469"/>
      <c r="BK462" s="1459"/>
      <c r="BL462" s="260"/>
      <c r="BM462" s="214"/>
      <c r="BN462" s="293"/>
      <c r="BO462" s="217"/>
      <c r="BP462" s="355"/>
      <c r="BQ462" s="217"/>
      <c r="BR462" s="1193"/>
      <c r="BS462" s="249"/>
      <c r="BT462" s="216"/>
      <c r="BU462" s="1195"/>
      <c r="BV462" s="249"/>
      <c r="BW462" s="216"/>
      <c r="BX462" s="1195"/>
      <c r="BY462" s="249"/>
      <c r="BZ462" s="216"/>
      <c r="CA462" s="1195"/>
      <c r="CB462" s="249"/>
      <c r="CC462" s="216"/>
      <c r="CD462" s="1195"/>
      <c r="CE462" s="249"/>
      <c r="CF462" s="216"/>
      <c r="CG462" s="1195"/>
      <c r="CH462" s="249"/>
      <c r="CI462" s="216"/>
      <c r="CJ462" s="1195"/>
      <c r="CK462" s="249"/>
      <c r="CL462" s="216"/>
      <c r="CM462" s="1194"/>
      <c r="CN462" s="1524"/>
      <c r="CO462" s="217"/>
      <c r="CP462" s="1193"/>
      <c r="CQ462" s="293"/>
      <c r="CR462" s="217"/>
      <c r="CS462" s="305"/>
      <c r="CT462" s="249"/>
      <c r="CU462" s="216"/>
      <c r="CV462" s="1193"/>
      <c r="CW462" s="249"/>
      <c r="CX462" s="216"/>
      <c r="CY462" s="305"/>
      <c r="CZ462" s="249"/>
      <c r="DA462" s="216"/>
      <c r="DB462" s="307"/>
      <c r="DC462" s="328"/>
      <c r="DD462" s="322"/>
      <c r="DE462" s="305"/>
      <c r="DF462" s="249"/>
      <c r="DG462" s="216"/>
      <c r="DH462" s="305"/>
      <c r="DI462" s="249"/>
      <c r="DJ462" s="216"/>
      <c r="DK462" s="309"/>
      <c r="DL462" s="293"/>
      <c r="DM462" s="326"/>
      <c r="DN462" s="1256"/>
      <c r="DO462" s="214"/>
      <c r="DP462" s="1257"/>
      <c r="DQ462" s="1258"/>
      <c r="DR462" s="305"/>
      <c r="DS462" s="249"/>
      <c r="DT462" s="216"/>
      <c r="DU462" s="305"/>
      <c r="DV462" s="2520"/>
      <c r="DW462" s="2521"/>
      <c r="DX462" s="305"/>
      <c r="DY462" s="249"/>
      <c r="DZ462" s="221"/>
      <c r="EA462" s="388"/>
      <c r="EB462" s="249"/>
      <c r="EC462" s="216"/>
      <c r="ED462" s="1461"/>
      <c r="EE462" s="249"/>
      <c r="EF462" s="216"/>
      <c r="EG462" s="355"/>
      <c r="EH462" s="1425"/>
      <c r="EI462" s="1470"/>
      <c r="EJ462" s="249"/>
      <c r="EK462" s="221"/>
      <c r="EL462" s="313"/>
      <c r="EM462" s="249"/>
      <c r="EN462" s="221"/>
      <c r="EO462" s="313"/>
      <c r="EP462" s="249"/>
      <c r="EQ462" s="216"/>
      <c r="ER462" s="313"/>
      <c r="ES462" s="249"/>
      <c r="ET462" s="216"/>
      <c r="EU462" s="313"/>
      <c r="EV462" s="249"/>
      <c r="EW462" s="216"/>
      <c r="EX462" s="2505"/>
      <c r="EY462" s="249"/>
      <c r="EZ462" s="221"/>
      <c r="FA462" s="313"/>
      <c r="FB462" s="249"/>
      <c r="FC462" s="221"/>
      <c r="FD462" s="313"/>
      <c r="FE462" s="249"/>
      <c r="FF462" s="221"/>
      <c r="FG462" s="313"/>
      <c r="FH462" s="249"/>
      <c r="FI462" s="216"/>
      <c r="FJ462" s="1435"/>
      <c r="FK462" s="216"/>
      <c r="FL462" s="1268"/>
      <c r="FM462" s="1655"/>
      <c r="FN462" s="1268"/>
      <c r="FO462" s="1655"/>
      <c r="FP462" s="1268"/>
      <c r="FQ462" s="1656"/>
      <c r="FR462" s="249"/>
      <c r="FS462" s="216"/>
      <c r="FT462" s="1657"/>
      <c r="FU462" s="1658"/>
      <c r="FV462" s="242"/>
      <c r="FW462" s="343"/>
      <c r="FX462" s="222"/>
      <c r="FY462" s="336"/>
      <c r="FZ462" s="223"/>
      <c r="GA462" s="338"/>
      <c r="GB462" s="204"/>
      <c r="GC462" s="339"/>
      <c r="GD462" s="342"/>
      <c r="GE462" s="199"/>
      <c r="GF462" s="199"/>
      <c r="GG462" s="199"/>
      <c r="GH462" s="199"/>
      <c r="GI462" s="199"/>
      <c r="GJ462" s="199"/>
      <c r="GK462" s="199"/>
      <c r="GO462" s="322"/>
      <c r="GP462" s="1190"/>
      <c r="GQ462" s="1190"/>
      <c r="GS462" s="2879"/>
      <c r="GT462" s="2880"/>
      <c r="GU462" s="2881"/>
    </row>
    <row r="463" spans="1:203" ht="12" customHeight="1">
      <c r="A463" s="1252"/>
      <c r="B463" s="200"/>
      <c r="C463" s="486"/>
      <c r="T463" s="1186"/>
      <c r="U463" s="233"/>
      <c r="W463" s="218"/>
      <c r="X463" s="218"/>
      <c r="Y463" s="216"/>
      <c r="Z463" s="216"/>
      <c r="AA463" s="215"/>
      <c r="AB463" s="216"/>
      <c r="AC463" s="216"/>
      <c r="AD463" s="239"/>
      <c r="AE463" s="216"/>
      <c r="AF463" s="216"/>
      <c r="AG463" s="216"/>
      <c r="AH463" s="216"/>
      <c r="AI463" s="216"/>
      <c r="AJ463" s="216"/>
      <c r="AK463" s="239"/>
      <c r="AL463" s="216"/>
      <c r="AM463" s="216"/>
      <c r="AN463" s="216"/>
      <c r="AO463" s="216"/>
      <c r="AP463" s="216"/>
      <c r="AQ463" s="216"/>
      <c r="AR463" s="216"/>
      <c r="AS463" s="216"/>
      <c r="AT463" s="216"/>
      <c r="AU463" s="216"/>
      <c r="AV463" s="217"/>
      <c r="AW463" s="355"/>
      <c r="AX463" s="217"/>
      <c r="AY463" s="1559"/>
      <c r="AZ463" s="249"/>
      <c r="BA463" s="221"/>
      <c r="BB463" s="300"/>
      <c r="BC463" s="217"/>
      <c r="BD463" s="392"/>
      <c r="BE463" s="1244"/>
      <c r="BF463" s="249"/>
      <c r="BG463" s="252"/>
      <c r="BH463" s="1469"/>
      <c r="BI463" s="216"/>
      <c r="BJ463" s="1469"/>
      <c r="BK463" s="1459"/>
      <c r="BL463" s="260"/>
      <c r="BM463" s="214"/>
      <c r="BN463" s="293"/>
      <c r="BO463" s="217"/>
      <c r="BP463" s="355"/>
      <c r="BQ463" s="217"/>
      <c r="BR463" s="1193"/>
      <c r="BS463" s="249"/>
      <c r="BT463" s="216"/>
      <c r="BU463" s="1195"/>
      <c r="BV463" s="249"/>
      <c r="BW463" s="216"/>
      <c r="BX463" s="1195"/>
      <c r="BY463" s="249"/>
      <c r="BZ463" s="216"/>
      <c r="CA463" s="1195"/>
      <c r="CB463" s="249"/>
      <c r="CC463" s="216"/>
      <c r="CD463" s="1195"/>
      <c r="CE463" s="249"/>
      <c r="CF463" s="216"/>
      <c r="CG463" s="1195"/>
      <c r="CH463" s="249"/>
      <c r="CI463" s="216"/>
      <c r="CJ463" s="1195"/>
      <c r="CK463" s="249"/>
      <c r="CL463" s="216"/>
      <c r="CM463" s="1194"/>
      <c r="CN463" s="1524"/>
      <c r="CO463" s="217"/>
      <c r="CP463" s="1193"/>
      <c r="CQ463" s="293"/>
      <c r="CR463" s="217"/>
      <c r="CS463" s="305"/>
      <c r="CT463" s="249"/>
      <c r="CU463" s="216"/>
      <c r="CV463" s="1193"/>
      <c r="CW463" s="249"/>
      <c r="CX463" s="216"/>
      <c r="CY463" s="305"/>
      <c r="CZ463" s="249"/>
      <c r="DA463" s="216"/>
      <c r="DB463" s="307"/>
      <c r="DC463" s="328"/>
      <c r="DD463" s="322"/>
      <c r="DE463" s="305"/>
      <c r="DF463" s="249"/>
      <c r="DG463" s="216"/>
      <c r="DH463" s="305"/>
      <c r="DI463" s="249"/>
      <c r="DJ463" s="216"/>
      <c r="DK463" s="309"/>
      <c r="DL463" s="293"/>
      <c r="DM463" s="326"/>
      <c r="DN463" s="1256"/>
      <c r="DO463" s="214"/>
      <c r="DP463" s="1257"/>
      <c r="DQ463" s="1258"/>
      <c r="DR463" s="305"/>
      <c r="DS463" s="249"/>
      <c r="DT463" s="216"/>
      <c r="DU463" s="305"/>
      <c r="DV463" s="2520"/>
      <c r="DW463" s="2521"/>
      <c r="DX463" s="305"/>
      <c r="DY463" s="249"/>
      <c r="DZ463" s="221"/>
      <c r="EA463" s="388"/>
      <c r="EB463" s="249"/>
      <c r="EC463" s="216"/>
      <c r="ED463" s="1461"/>
      <c r="EE463" s="249"/>
      <c r="EF463" s="216"/>
      <c r="EG463" s="355"/>
      <c r="EH463" s="1425"/>
      <c r="EI463" s="1470"/>
      <c r="EJ463" s="249"/>
      <c r="EK463" s="221"/>
      <c r="EL463" s="313"/>
      <c r="EM463" s="249"/>
      <c r="EN463" s="221"/>
      <c r="EO463" s="313"/>
      <c r="EP463" s="249"/>
      <c r="EQ463" s="216"/>
      <c r="ER463" s="313"/>
      <c r="ES463" s="249"/>
      <c r="ET463" s="216"/>
      <c r="EU463" s="313"/>
      <c r="EV463" s="249"/>
      <c r="EW463" s="216"/>
      <c r="EX463" s="2505"/>
      <c r="EY463" s="249"/>
      <c r="EZ463" s="221"/>
      <c r="FA463" s="313"/>
      <c r="FB463" s="249"/>
      <c r="FC463" s="221"/>
      <c r="FD463" s="313"/>
      <c r="FE463" s="249"/>
      <c r="FF463" s="221"/>
      <c r="FG463" s="313"/>
      <c r="FH463" s="249"/>
      <c r="FI463" s="216"/>
      <c r="FJ463" s="1435"/>
      <c r="FK463" s="216"/>
      <c r="FL463" s="1268"/>
      <c r="FM463" s="1655"/>
      <c r="FN463" s="1268"/>
      <c r="FO463" s="1655"/>
      <c r="FP463" s="1268"/>
      <c r="FQ463" s="1656"/>
      <c r="FR463" s="249"/>
      <c r="FS463" s="216"/>
      <c r="FT463" s="1657"/>
      <c r="FU463" s="1658"/>
      <c r="FV463" s="242"/>
      <c r="FW463" s="343"/>
      <c r="FX463" s="222"/>
      <c r="FY463" s="336"/>
      <c r="FZ463" s="223"/>
      <c r="GA463" s="338"/>
      <c r="GB463" s="204"/>
      <c r="GC463" s="339"/>
      <c r="GD463" s="342"/>
      <c r="GE463" s="199"/>
      <c r="GF463" s="199"/>
      <c r="GG463" s="199"/>
      <c r="GH463" s="199"/>
      <c r="GI463" s="199"/>
      <c r="GJ463" s="199"/>
      <c r="GK463" s="199"/>
      <c r="GO463" s="322"/>
      <c r="GP463" s="1190"/>
      <c r="GQ463" s="1190"/>
      <c r="GS463" s="2879"/>
      <c r="GT463" s="2880"/>
      <c r="GU463" s="2881"/>
    </row>
    <row r="464" spans="1:203" ht="12" customHeight="1">
      <c r="A464" s="1252"/>
      <c r="B464" s="200"/>
      <c r="C464" s="486"/>
      <c r="T464" s="1186"/>
      <c r="U464" s="233"/>
      <c r="W464" s="218"/>
      <c r="X464" s="218"/>
      <c r="Y464" s="216"/>
      <c r="Z464" s="216"/>
      <c r="AA464" s="215"/>
      <c r="AB464" s="216"/>
      <c r="AC464" s="216"/>
      <c r="AD464" s="239"/>
      <c r="AE464" s="216"/>
      <c r="AF464" s="216"/>
      <c r="AG464" s="216"/>
      <c r="AH464" s="216"/>
      <c r="AI464" s="216"/>
      <c r="AJ464" s="216"/>
      <c r="AK464" s="239"/>
      <c r="AL464" s="216"/>
      <c r="AM464" s="216"/>
      <c r="AN464" s="216"/>
      <c r="AO464" s="216"/>
      <c r="AP464" s="216"/>
      <c r="AQ464" s="216"/>
      <c r="AR464" s="216"/>
      <c r="AS464" s="216"/>
      <c r="AT464" s="216"/>
      <c r="AU464" s="216"/>
      <c r="AV464" s="217"/>
      <c r="AW464" s="355"/>
      <c r="AX464" s="217"/>
      <c r="AY464" s="1559"/>
      <c r="AZ464" s="249"/>
      <c r="BA464" s="221"/>
      <c r="BB464" s="300"/>
      <c r="BC464" s="217"/>
      <c r="BD464" s="392"/>
      <c r="BE464" s="1244"/>
      <c r="BF464" s="249"/>
      <c r="BG464" s="252"/>
      <c r="BH464" s="1469"/>
      <c r="BI464" s="216"/>
      <c r="BJ464" s="1469"/>
      <c r="BK464" s="1459"/>
      <c r="BL464" s="260"/>
      <c r="BM464" s="214"/>
      <c r="BN464" s="293"/>
      <c r="BO464" s="217"/>
      <c r="BP464" s="355"/>
      <c r="BQ464" s="217"/>
      <c r="BR464" s="1193"/>
      <c r="BS464" s="249"/>
      <c r="BT464" s="216"/>
      <c r="BU464" s="1195"/>
      <c r="BV464" s="249"/>
      <c r="BW464" s="216"/>
      <c r="BX464" s="1195"/>
      <c r="BY464" s="249"/>
      <c r="BZ464" s="216"/>
      <c r="CA464" s="1195"/>
      <c r="CB464" s="249"/>
      <c r="CC464" s="216"/>
      <c r="CD464" s="1195"/>
      <c r="CE464" s="249"/>
      <c r="CF464" s="216"/>
      <c r="CG464" s="1195"/>
      <c r="CH464" s="249"/>
      <c r="CI464" s="216"/>
      <c r="CJ464" s="1195"/>
      <c r="CK464" s="249"/>
      <c r="CL464" s="216"/>
      <c r="CM464" s="1194"/>
      <c r="CN464" s="1524"/>
      <c r="CO464" s="217"/>
      <c r="CP464" s="1193"/>
      <c r="CQ464" s="293"/>
      <c r="CR464" s="217"/>
      <c r="CS464" s="305"/>
      <c r="CT464" s="249"/>
      <c r="CU464" s="216"/>
      <c r="CV464" s="1193"/>
      <c r="CW464" s="249"/>
      <c r="CX464" s="216"/>
      <c r="CY464" s="305"/>
      <c r="CZ464" s="249"/>
      <c r="DA464" s="216"/>
      <c r="DB464" s="307"/>
      <c r="DC464" s="328"/>
      <c r="DD464" s="322"/>
      <c r="DE464" s="305"/>
      <c r="DF464" s="249"/>
      <c r="DG464" s="216"/>
      <c r="DH464" s="305"/>
      <c r="DI464" s="249"/>
      <c r="DJ464" s="216"/>
      <c r="DK464" s="309"/>
      <c r="DL464" s="293"/>
      <c r="DM464" s="326"/>
      <c r="DN464" s="1256"/>
      <c r="DO464" s="214"/>
      <c r="DP464" s="1257"/>
      <c r="DQ464" s="1258"/>
      <c r="DR464" s="305"/>
      <c r="DS464" s="249"/>
      <c r="DT464" s="216"/>
      <c r="DU464" s="305"/>
      <c r="DV464" s="2520"/>
      <c r="DW464" s="2521"/>
      <c r="DX464" s="305"/>
      <c r="DY464" s="249"/>
      <c r="DZ464" s="221"/>
      <c r="EA464" s="388"/>
      <c r="EB464" s="249"/>
      <c r="EC464" s="216"/>
      <c r="ED464" s="1461"/>
      <c r="EE464" s="249"/>
      <c r="EF464" s="216"/>
      <c r="EG464" s="355"/>
      <c r="EH464" s="1425"/>
      <c r="EI464" s="1470"/>
      <c r="EJ464" s="249"/>
      <c r="EK464" s="221"/>
      <c r="EL464" s="313"/>
      <c r="EM464" s="249"/>
      <c r="EN464" s="221"/>
      <c r="EO464" s="313"/>
      <c r="EP464" s="249"/>
      <c r="EQ464" s="216"/>
      <c r="ER464" s="313"/>
      <c r="ES464" s="249"/>
      <c r="ET464" s="216"/>
      <c r="EU464" s="313"/>
      <c r="EV464" s="249"/>
      <c r="EW464" s="216"/>
      <c r="EX464" s="2505"/>
      <c r="EY464" s="249"/>
      <c r="EZ464" s="221"/>
      <c r="FA464" s="313"/>
      <c r="FB464" s="249"/>
      <c r="FC464" s="221"/>
      <c r="FD464" s="313"/>
      <c r="FE464" s="249"/>
      <c r="FF464" s="221"/>
      <c r="FG464" s="313"/>
      <c r="FH464" s="249"/>
      <c r="FI464" s="216"/>
      <c r="FJ464" s="1435"/>
      <c r="FK464" s="216"/>
      <c r="FL464" s="1268"/>
      <c r="FM464" s="1655"/>
      <c r="FN464" s="1268"/>
      <c r="FO464" s="1655"/>
      <c r="FP464" s="1268"/>
      <c r="FQ464" s="1656"/>
      <c r="FR464" s="249"/>
      <c r="FS464" s="216"/>
      <c r="FT464" s="1657"/>
      <c r="FU464" s="1658"/>
      <c r="FV464" s="242"/>
      <c r="FW464" s="343"/>
      <c r="FX464" s="222"/>
      <c r="FY464" s="336"/>
      <c r="FZ464" s="223"/>
      <c r="GA464" s="338"/>
      <c r="GB464" s="204"/>
      <c r="GC464" s="339"/>
      <c r="GD464" s="342"/>
      <c r="GE464" s="199"/>
      <c r="GF464" s="199"/>
      <c r="GG464" s="199"/>
      <c r="GH464" s="199"/>
      <c r="GI464" s="199"/>
      <c r="GJ464" s="199"/>
      <c r="GK464" s="199"/>
      <c r="GO464" s="322"/>
      <c r="GP464" s="1190"/>
      <c r="GQ464" s="1190"/>
      <c r="GS464" s="2879"/>
      <c r="GT464" s="2880"/>
      <c r="GU464" s="2881"/>
    </row>
    <row r="465" spans="1:203" ht="12" customHeight="1">
      <c r="A465" s="1252"/>
      <c r="B465" s="200"/>
      <c r="C465" s="486"/>
      <c r="T465" s="1186"/>
      <c r="U465" s="233"/>
      <c r="W465" s="218"/>
      <c r="X465" s="218"/>
      <c r="Y465" s="216"/>
      <c r="Z465" s="216"/>
      <c r="AA465" s="215"/>
      <c r="AB465" s="216"/>
      <c r="AC465" s="216"/>
      <c r="AD465" s="239"/>
      <c r="AE465" s="216"/>
      <c r="AF465" s="216"/>
      <c r="AG465" s="216"/>
      <c r="AH465" s="216"/>
      <c r="AI465" s="216"/>
      <c r="AJ465" s="216"/>
      <c r="AK465" s="239"/>
      <c r="AL465" s="216"/>
      <c r="AM465" s="216"/>
      <c r="AN465" s="216"/>
      <c r="AO465" s="216"/>
      <c r="AP465" s="216"/>
      <c r="AQ465" s="216"/>
      <c r="AR465" s="216"/>
      <c r="AS465" s="216"/>
      <c r="AT465" s="216"/>
      <c r="AU465" s="216"/>
      <c r="AV465" s="217"/>
      <c r="AW465" s="355"/>
      <c r="AX465" s="217"/>
      <c r="AY465" s="1559"/>
      <c r="AZ465" s="249"/>
      <c r="BA465" s="221"/>
      <c r="BB465" s="300"/>
      <c r="BC465" s="217"/>
      <c r="BD465" s="392"/>
      <c r="BE465" s="1244"/>
      <c r="BF465" s="249"/>
      <c r="BG465" s="252"/>
      <c r="BH465" s="1469"/>
      <c r="BI465" s="216"/>
      <c r="BJ465" s="1469"/>
      <c r="BK465" s="1459"/>
      <c r="BL465" s="260"/>
      <c r="BM465" s="214"/>
      <c r="BN465" s="293"/>
      <c r="BO465" s="217"/>
      <c r="BP465" s="355"/>
      <c r="BQ465" s="217"/>
      <c r="BR465" s="1193"/>
      <c r="BS465" s="249"/>
      <c r="BT465" s="216"/>
      <c r="BU465" s="1195"/>
      <c r="BV465" s="249"/>
      <c r="BW465" s="216"/>
      <c r="BX465" s="1195"/>
      <c r="BY465" s="249"/>
      <c r="BZ465" s="216"/>
      <c r="CA465" s="1195"/>
      <c r="CB465" s="249"/>
      <c r="CC465" s="216"/>
      <c r="CD465" s="1195"/>
      <c r="CE465" s="249"/>
      <c r="CF465" s="216"/>
      <c r="CG465" s="1195"/>
      <c r="CH465" s="249"/>
      <c r="CI465" s="216"/>
      <c r="CJ465" s="1195"/>
      <c r="CK465" s="249"/>
      <c r="CL465" s="216"/>
      <c r="CM465" s="1194"/>
      <c r="CN465" s="1524"/>
      <c r="CO465" s="217"/>
      <c r="CP465" s="1193"/>
      <c r="CQ465" s="293"/>
      <c r="CR465" s="217"/>
      <c r="CS465" s="305"/>
      <c r="CT465" s="249"/>
      <c r="CU465" s="216"/>
      <c r="CV465" s="1193"/>
      <c r="CW465" s="249"/>
      <c r="CX465" s="216"/>
      <c r="CY465" s="305"/>
      <c r="CZ465" s="249"/>
      <c r="DA465" s="216"/>
      <c r="DB465" s="307"/>
      <c r="DC465" s="328"/>
      <c r="DD465" s="322"/>
      <c r="DE465" s="305"/>
      <c r="DF465" s="249"/>
      <c r="DG465" s="216"/>
      <c r="DH465" s="305"/>
      <c r="DI465" s="249"/>
      <c r="DJ465" s="216"/>
      <c r="DK465" s="309"/>
      <c r="DL465" s="293"/>
      <c r="DM465" s="326"/>
      <c r="DN465" s="1256"/>
      <c r="DO465" s="214"/>
      <c r="DP465" s="1257"/>
      <c r="DQ465" s="1258"/>
      <c r="DR465" s="305"/>
      <c r="DS465" s="249"/>
      <c r="DT465" s="216"/>
      <c r="DU465" s="305"/>
      <c r="DV465" s="2520"/>
      <c r="DW465" s="2521"/>
      <c r="DX465" s="305"/>
      <c r="DY465" s="249"/>
      <c r="DZ465" s="221"/>
      <c r="EA465" s="388"/>
      <c r="EB465" s="249"/>
      <c r="EC465" s="216"/>
      <c r="ED465" s="1461"/>
      <c r="EE465" s="249"/>
      <c r="EF465" s="216"/>
      <c r="EG465" s="355"/>
      <c r="EH465" s="1425"/>
      <c r="EI465" s="1470"/>
      <c r="EJ465" s="249"/>
      <c r="EK465" s="221"/>
      <c r="EL465" s="313"/>
      <c r="EM465" s="249"/>
      <c r="EN465" s="221"/>
      <c r="EO465" s="313"/>
      <c r="EP465" s="249"/>
      <c r="EQ465" s="216"/>
      <c r="ER465" s="313"/>
      <c r="ES465" s="249"/>
      <c r="ET465" s="216"/>
      <c r="EU465" s="313"/>
      <c r="EV465" s="249"/>
      <c r="EW465" s="216"/>
      <c r="EX465" s="2505"/>
      <c r="EY465" s="249"/>
      <c r="EZ465" s="221"/>
      <c r="FA465" s="313"/>
      <c r="FB465" s="249"/>
      <c r="FC465" s="221"/>
      <c r="FD465" s="313"/>
      <c r="FE465" s="249"/>
      <c r="FF465" s="221"/>
      <c r="FG465" s="313"/>
      <c r="FH465" s="249"/>
      <c r="FI465" s="216"/>
      <c r="FJ465" s="1435"/>
      <c r="FK465" s="216"/>
      <c r="FL465" s="1268"/>
      <c r="FM465" s="1655"/>
      <c r="FN465" s="1268"/>
      <c r="FO465" s="1655"/>
      <c r="FP465" s="1268"/>
      <c r="FQ465" s="1656"/>
      <c r="FR465" s="249"/>
      <c r="FS465" s="216"/>
      <c r="FT465" s="1657"/>
      <c r="FU465" s="1658"/>
      <c r="FV465" s="242"/>
      <c r="FW465" s="343"/>
      <c r="FX465" s="222"/>
      <c r="FY465" s="336"/>
      <c r="FZ465" s="223"/>
      <c r="GA465" s="338"/>
      <c r="GB465" s="204"/>
      <c r="GC465" s="339"/>
      <c r="GD465" s="342"/>
      <c r="GE465" s="199"/>
      <c r="GF465" s="199"/>
      <c r="GG465" s="199"/>
      <c r="GH465" s="199"/>
      <c r="GI465" s="199"/>
      <c r="GJ465" s="199"/>
      <c r="GK465" s="199"/>
      <c r="GO465" s="322"/>
      <c r="GP465" s="1190"/>
      <c r="GQ465" s="1190"/>
      <c r="GS465" s="2879"/>
      <c r="GT465" s="2880"/>
      <c r="GU465" s="2881"/>
    </row>
    <row r="466" spans="1:203" ht="12" customHeight="1">
      <c r="A466" s="1252"/>
      <c r="B466" s="200"/>
      <c r="C466" s="486"/>
      <c r="T466" s="1186"/>
      <c r="U466" s="233"/>
      <c r="W466" s="218"/>
      <c r="X466" s="218"/>
      <c r="Y466" s="216"/>
      <c r="Z466" s="216"/>
      <c r="AA466" s="215"/>
      <c r="AB466" s="216"/>
      <c r="AC466" s="216"/>
      <c r="AD466" s="239"/>
      <c r="AE466" s="216"/>
      <c r="AF466" s="216"/>
      <c r="AG466" s="216"/>
      <c r="AH466" s="216"/>
      <c r="AI466" s="216"/>
      <c r="AJ466" s="216"/>
      <c r="AK466" s="239"/>
      <c r="AL466" s="216"/>
      <c r="AM466" s="216"/>
      <c r="AN466" s="216"/>
      <c r="AO466" s="216"/>
      <c r="AP466" s="216"/>
      <c r="AQ466" s="216"/>
      <c r="AR466" s="216"/>
      <c r="AS466" s="216"/>
      <c r="AT466" s="216"/>
      <c r="AU466" s="216"/>
      <c r="AV466" s="217"/>
      <c r="AW466" s="355"/>
      <c r="AX466" s="217"/>
      <c r="AY466" s="1559"/>
      <c r="AZ466" s="249"/>
      <c r="BA466" s="221"/>
      <c r="BB466" s="300"/>
      <c r="BC466" s="217"/>
      <c r="BD466" s="392"/>
      <c r="BE466" s="1244"/>
      <c r="BF466" s="249"/>
      <c r="BG466" s="252"/>
      <c r="BH466" s="1469"/>
      <c r="BI466" s="216"/>
      <c r="BJ466" s="1469"/>
      <c r="BK466" s="1459"/>
      <c r="BL466" s="260"/>
      <c r="BM466" s="214"/>
      <c r="BN466" s="293"/>
      <c r="BO466" s="217"/>
      <c r="BP466" s="355"/>
      <c r="BQ466" s="217"/>
      <c r="BR466" s="1193"/>
      <c r="BS466" s="249"/>
      <c r="BT466" s="216"/>
      <c r="BU466" s="1195"/>
      <c r="BV466" s="249"/>
      <c r="BW466" s="216"/>
      <c r="BX466" s="1195"/>
      <c r="BY466" s="249"/>
      <c r="BZ466" s="216"/>
      <c r="CA466" s="1195"/>
      <c r="CB466" s="249"/>
      <c r="CC466" s="216"/>
      <c r="CD466" s="1195"/>
      <c r="CE466" s="249"/>
      <c r="CF466" s="216"/>
      <c r="CG466" s="1195"/>
      <c r="CH466" s="249"/>
      <c r="CI466" s="216"/>
      <c r="CJ466" s="1195"/>
      <c r="CK466" s="249"/>
      <c r="CL466" s="216"/>
      <c r="CM466" s="1194"/>
      <c r="CN466" s="1524"/>
      <c r="CO466" s="217"/>
      <c r="CP466" s="1193"/>
      <c r="CQ466" s="293"/>
      <c r="CR466" s="217"/>
      <c r="CS466" s="305"/>
      <c r="CT466" s="249"/>
      <c r="CU466" s="216"/>
      <c r="CV466" s="1193"/>
      <c r="CW466" s="249"/>
      <c r="CX466" s="216"/>
      <c r="CY466" s="305"/>
      <c r="CZ466" s="249"/>
      <c r="DA466" s="216"/>
      <c r="DB466" s="307"/>
      <c r="DC466" s="328"/>
      <c r="DD466" s="322"/>
      <c r="DE466" s="305"/>
      <c r="DF466" s="249"/>
      <c r="DG466" s="216"/>
      <c r="DH466" s="305"/>
      <c r="DI466" s="249"/>
      <c r="DJ466" s="216"/>
      <c r="DK466" s="309"/>
      <c r="DL466" s="293"/>
      <c r="DM466" s="326"/>
      <c r="DN466" s="1256"/>
      <c r="DO466" s="214"/>
      <c r="DP466" s="1257"/>
      <c r="DQ466" s="1258"/>
      <c r="DR466" s="305"/>
      <c r="DS466" s="249"/>
      <c r="DT466" s="216"/>
      <c r="DU466" s="305"/>
      <c r="DV466" s="2520"/>
      <c r="DW466" s="2521"/>
      <c r="DX466" s="305"/>
      <c r="DY466" s="249"/>
      <c r="DZ466" s="221"/>
      <c r="EA466" s="388"/>
      <c r="EB466" s="249"/>
      <c r="EC466" s="216"/>
      <c r="ED466" s="1461"/>
      <c r="EE466" s="249"/>
      <c r="EF466" s="216"/>
      <c r="EG466" s="355"/>
      <c r="EH466" s="1425"/>
      <c r="EI466" s="1470"/>
      <c r="EJ466" s="249"/>
      <c r="EK466" s="221"/>
      <c r="EL466" s="313"/>
      <c r="EM466" s="249"/>
      <c r="EN466" s="221"/>
      <c r="EO466" s="313"/>
      <c r="EP466" s="249"/>
      <c r="EQ466" s="216"/>
      <c r="ER466" s="313"/>
      <c r="ES466" s="249"/>
      <c r="ET466" s="216"/>
      <c r="EU466" s="313"/>
      <c r="EV466" s="249"/>
      <c r="EW466" s="216"/>
      <c r="EX466" s="2505"/>
      <c r="EY466" s="249"/>
      <c r="EZ466" s="221"/>
      <c r="FA466" s="313"/>
      <c r="FB466" s="249"/>
      <c r="FC466" s="221"/>
      <c r="FD466" s="313"/>
      <c r="FE466" s="249"/>
      <c r="FF466" s="221"/>
      <c r="FG466" s="313"/>
      <c r="FH466" s="249"/>
      <c r="FI466" s="216"/>
      <c r="FJ466" s="1435"/>
      <c r="FK466" s="216"/>
      <c r="FL466" s="1268"/>
      <c r="FM466" s="1655"/>
      <c r="FN466" s="1268"/>
      <c r="FO466" s="1655"/>
      <c r="FP466" s="1268"/>
      <c r="FQ466" s="1656"/>
      <c r="FR466" s="249"/>
      <c r="FS466" s="216"/>
      <c r="FT466" s="1657"/>
      <c r="FU466" s="1658"/>
      <c r="FV466" s="242"/>
      <c r="FW466" s="343"/>
      <c r="FX466" s="222"/>
      <c r="FY466" s="336"/>
      <c r="FZ466" s="223"/>
      <c r="GA466" s="338"/>
      <c r="GB466" s="204"/>
      <c r="GC466" s="339"/>
      <c r="GD466" s="342"/>
      <c r="GE466" s="199"/>
      <c r="GF466" s="199"/>
      <c r="GG466" s="199"/>
      <c r="GH466" s="199"/>
      <c r="GI466" s="199"/>
      <c r="GJ466" s="199"/>
      <c r="GK466" s="199"/>
      <c r="GO466" s="322"/>
      <c r="GP466" s="1190"/>
      <c r="GQ466" s="1190"/>
      <c r="GS466" s="2879"/>
      <c r="GT466" s="2880"/>
      <c r="GU466" s="2881"/>
    </row>
    <row r="467" spans="1:203" ht="12" customHeight="1">
      <c r="A467" s="1252"/>
      <c r="B467" s="200"/>
      <c r="C467" s="486"/>
      <c r="T467" s="1186"/>
      <c r="U467" s="233"/>
      <c r="W467" s="218"/>
      <c r="X467" s="218"/>
      <c r="Y467" s="216"/>
      <c r="Z467" s="216"/>
      <c r="AA467" s="215"/>
      <c r="AB467" s="216"/>
      <c r="AC467" s="216"/>
      <c r="AD467" s="239"/>
      <c r="AE467" s="216"/>
      <c r="AF467" s="216"/>
      <c r="AG467" s="216"/>
      <c r="AH467" s="216"/>
      <c r="AI467" s="216"/>
      <c r="AJ467" s="216"/>
      <c r="AK467" s="239"/>
      <c r="AL467" s="216"/>
      <c r="AM467" s="216"/>
      <c r="AN467" s="216"/>
      <c r="AO467" s="216"/>
      <c r="AP467" s="216"/>
      <c r="AQ467" s="216"/>
      <c r="AR467" s="216"/>
      <c r="AS467" s="216"/>
      <c r="AT467" s="216"/>
      <c r="AU467" s="216"/>
      <c r="AV467" s="217"/>
      <c r="AW467" s="355"/>
      <c r="AX467" s="217"/>
      <c r="AY467" s="1559"/>
      <c r="AZ467" s="249"/>
      <c r="BA467" s="221"/>
      <c r="BB467" s="300"/>
      <c r="BC467" s="217"/>
      <c r="BD467" s="392"/>
      <c r="BE467" s="1244"/>
      <c r="BF467" s="249"/>
      <c r="BG467" s="252"/>
      <c r="BH467" s="1469"/>
      <c r="BI467" s="216"/>
      <c r="BJ467" s="1469"/>
      <c r="BK467" s="1459"/>
      <c r="BL467" s="260"/>
      <c r="BM467" s="214"/>
      <c r="BN467" s="293"/>
      <c r="BO467" s="217"/>
      <c r="BP467" s="355"/>
      <c r="BQ467" s="217"/>
      <c r="BR467" s="1193"/>
      <c r="BS467" s="249"/>
      <c r="BT467" s="216"/>
      <c r="BU467" s="1195"/>
      <c r="BV467" s="249"/>
      <c r="BW467" s="216"/>
      <c r="BX467" s="1195"/>
      <c r="BY467" s="249"/>
      <c r="BZ467" s="216"/>
      <c r="CA467" s="1195"/>
      <c r="CB467" s="249"/>
      <c r="CC467" s="216"/>
      <c r="CD467" s="1195"/>
      <c r="CE467" s="249"/>
      <c r="CF467" s="216"/>
      <c r="CG467" s="1195"/>
      <c r="CH467" s="249"/>
      <c r="CI467" s="216"/>
      <c r="CJ467" s="1195"/>
      <c r="CK467" s="249"/>
      <c r="CL467" s="216"/>
      <c r="CM467" s="1194"/>
      <c r="CN467" s="1524"/>
      <c r="CO467" s="217"/>
      <c r="CP467" s="1193"/>
      <c r="CQ467" s="293"/>
      <c r="CR467" s="217"/>
      <c r="CS467" s="305"/>
      <c r="CT467" s="249"/>
      <c r="CU467" s="216"/>
      <c r="CV467" s="1193"/>
      <c r="CW467" s="249"/>
      <c r="CX467" s="216"/>
      <c r="CY467" s="305"/>
      <c r="CZ467" s="249"/>
      <c r="DA467" s="216"/>
      <c r="DB467" s="307"/>
      <c r="DC467" s="328"/>
      <c r="DD467" s="322"/>
      <c r="DE467" s="305"/>
      <c r="DF467" s="249"/>
      <c r="DG467" s="216"/>
      <c r="DH467" s="305"/>
      <c r="DI467" s="249"/>
      <c r="DJ467" s="216"/>
      <c r="DK467" s="309"/>
      <c r="DL467" s="293"/>
      <c r="DM467" s="326"/>
      <c r="DN467" s="1256"/>
      <c r="DO467" s="214"/>
      <c r="DP467" s="1257"/>
      <c r="DQ467" s="1258"/>
      <c r="DR467" s="305"/>
      <c r="DS467" s="249"/>
      <c r="DT467" s="216"/>
      <c r="DU467" s="305"/>
      <c r="DV467" s="2520"/>
      <c r="DW467" s="2521"/>
      <c r="DX467" s="305"/>
      <c r="DY467" s="249"/>
      <c r="DZ467" s="221"/>
      <c r="EA467" s="388"/>
      <c r="EB467" s="249"/>
      <c r="EC467" s="216"/>
      <c r="ED467" s="1461"/>
      <c r="EE467" s="249"/>
      <c r="EF467" s="216"/>
      <c r="EG467" s="355"/>
      <c r="EH467" s="1425"/>
      <c r="EI467" s="1470"/>
      <c r="EJ467" s="249"/>
      <c r="EK467" s="221"/>
      <c r="EL467" s="313"/>
      <c r="EM467" s="249"/>
      <c r="EN467" s="221"/>
      <c r="EO467" s="313"/>
      <c r="EP467" s="249"/>
      <c r="EQ467" s="216"/>
      <c r="ER467" s="313"/>
      <c r="ES467" s="249"/>
      <c r="ET467" s="216"/>
      <c r="EU467" s="313"/>
      <c r="EV467" s="249"/>
      <c r="EW467" s="216"/>
      <c r="EX467" s="2505"/>
      <c r="EY467" s="249"/>
      <c r="EZ467" s="221"/>
      <c r="FA467" s="313"/>
      <c r="FB467" s="249"/>
      <c r="FC467" s="221"/>
      <c r="FD467" s="313"/>
      <c r="FE467" s="249"/>
      <c r="FF467" s="221"/>
      <c r="FG467" s="313"/>
      <c r="FH467" s="249"/>
      <c r="FI467" s="216"/>
      <c r="FJ467" s="1435"/>
      <c r="FK467" s="216"/>
      <c r="FL467" s="1268"/>
      <c r="FM467" s="1655"/>
      <c r="FN467" s="1268"/>
      <c r="FO467" s="1655"/>
      <c r="FP467" s="1268"/>
      <c r="FQ467" s="1656"/>
      <c r="FR467" s="249"/>
      <c r="FS467" s="216"/>
      <c r="FT467" s="1657"/>
      <c r="FU467" s="1658"/>
      <c r="FV467" s="242"/>
      <c r="FW467" s="343"/>
      <c r="FX467" s="222"/>
      <c r="FY467" s="336"/>
      <c r="FZ467" s="223"/>
      <c r="GA467" s="338"/>
      <c r="GB467" s="204"/>
      <c r="GC467" s="339"/>
      <c r="GD467" s="342"/>
      <c r="GE467" s="199"/>
      <c r="GF467" s="199"/>
      <c r="GG467" s="199"/>
      <c r="GH467" s="199"/>
      <c r="GI467" s="199"/>
      <c r="GJ467" s="199"/>
      <c r="GK467" s="199"/>
      <c r="GO467" s="322"/>
      <c r="GP467" s="1190"/>
      <c r="GQ467" s="1190"/>
      <c r="GS467" s="2879"/>
      <c r="GT467" s="2880"/>
      <c r="GU467" s="2881"/>
    </row>
    <row r="468" spans="1:203" ht="12" customHeight="1">
      <c r="A468" s="1252"/>
      <c r="B468" s="200"/>
      <c r="C468" s="486"/>
      <c r="T468" s="1186"/>
      <c r="U468" s="233"/>
      <c r="W468" s="218"/>
      <c r="X468" s="218"/>
      <c r="Y468" s="216"/>
      <c r="Z468" s="216"/>
      <c r="AA468" s="215"/>
      <c r="AB468" s="216"/>
      <c r="AC468" s="216"/>
      <c r="AD468" s="239"/>
      <c r="AE468" s="216"/>
      <c r="AF468" s="216"/>
      <c r="AG468" s="216"/>
      <c r="AH468" s="216"/>
      <c r="AI468" s="216"/>
      <c r="AJ468" s="216"/>
      <c r="AK468" s="239"/>
      <c r="AL468" s="216"/>
      <c r="AM468" s="216"/>
      <c r="AN468" s="216"/>
      <c r="AO468" s="216"/>
      <c r="AP468" s="216"/>
      <c r="AQ468" s="216"/>
      <c r="AR468" s="216"/>
      <c r="AS468" s="216"/>
      <c r="AT468" s="216"/>
      <c r="AU468" s="216"/>
      <c r="AV468" s="217"/>
      <c r="AW468" s="355"/>
      <c r="AX468" s="217"/>
      <c r="AY468" s="1559"/>
      <c r="AZ468" s="249"/>
      <c r="BA468" s="221"/>
      <c r="BB468" s="300"/>
      <c r="BC468" s="217"/>
      <c r="BD468" s="392"/>
      <c r="BE468" s="1244"/>
      <c r="BF468" s="249"/>
      <c r="BG468" s="252"/>
      <c r="BH468" s="1469"/>
      <c r="BI468" s="216"/>
      <c r="BJ468" s="1469"/>
      <c r="BK468" s="1459"/>
      <c r="BL468" s="260"/>
      <c r="BM468" s="214"/>
      <c r="BN468" s="293"/>
      <c r="BO468" s="217"/>
      <c r="BP468" s="355"/>
      <c r="BQ468" s="217"/>
      <c r="BR468" s="1193"/>
      <c r="BS468" s="249"/>
      <c r="BT468" s="216"/>
      <c r="BU468" s="1195"/>
      <c r="BV468" s="249"/>
      <c r="BW468" s="216"/>
      <c r="BX468" s="1195"/>
      <c r="BY468" s="249"/>
      <c r="BZ468" s="216"/>
      <c r="CA468" s="1195"/>
      <c r="CB468" s="249"/>
      <c r="CC468" s="216"/>
      <c r="CD468" s="1195"/>
      <c r="CE468" s="249"/>
      <c r="CF468" s="216"/>
      <c r="CG468" s="1195"/>
      <c r="CH468" s="249"/>
      <c r="CI468" s="216"/>
      <c r="CJ468" s="1195"/>
      <c r="CK468" s="249"/>
      <c r="CL468" s="216"/>
      <c r="CM468" s="1194"/>
      <c r="CN468" s="1524"/>
      <c r="CO468" s="217"/>
      <c r="CP468" s="1193"/>
      <c r="CQ468" s="293"/>
      <c r="CR468" s="217"/>
      <c r="CS468" s="305"/>
      <c r="CT468" s="249"/>
      <c r="CU468" s="216"/>
      <c r="CV468" s="1193"/>
      <c r="CW468" s="249"/>
      <c r="CX468" s="216"/>
      <c r="CY468" s="305"/>
      <c r="CZ468" s="249"/>
      <c r="DA468" s="216"/>
      <c r="DB468" s="307"/>
      <c r="DC468" s="328"/>
      <c r="DD468" s="322"/>
      <c r="DE468" s="305"/>
      <c r="DF468" s="249"/>
      <c r="DG468" s="216"/>
      <c r="DH468" s="305"/>
      <c r="DI468" s="249"/>
      <c r="DJ468" s="216"/>
      <c r="DK468" s="309"/>
      <c r="DL468" s="293"/>
      <c r="DM468" s="326"/>
      <c r="DN468" s="1256"/>
      <c r="DO468" s="214"/>
      <c r="DP468" s="1257"/>
      <c r="DQ468" s="1258"/>
      <c r="DR468" s="305"/>
      <c r="DS468" s="249"/>
      <c r="DT468" s="216"/>
      <c r="DU468" s="305"/>
      <c r="DV468" s="2520"/>
      <c r="DW468" s="2521"/>
      <c r="DX468" s="305"/>
      <c r="DY468" s="249"/>
      <c r="DZ468" s="221"/>
      <c r="EA468" s="388"/>
      <c r="EB468" s="249"/>
      <c r="EC468" s="216"/>
      <c r="ED468" s="1461"/>
      <c r="EE468" s="249"/>
      <c r="EF468" s="216"/>
      <c r="EG468" s="355"/>
      <c r="EH468" s="1425"/>
      <c r="EI468" s="1470"/>
      <c r="EJ468" s="249"/>
      <c r="EK468" s="221"/>
      <c r="EL468" s="313"/>
      <c r="EM468" s="249"/>
      <c r="EN468" s="221"/>
      <c r="EO468" s="313"/>
      <c r="EP468" s="249"/>
      <c r="EQ468" s="216"/>
      <c r="ER468" s="313"/>
      <c r="ES468" s="249"/>
      <c r="ET468" s="216"/>
      <c r="EU468" s="313"/>
      <c r="EV468" s="249"/>
      <c r="EW468" s="216"/>
      <c r="EX468" s="2505"/>
      <c r="EY468" s="249"/>
      <c r="EZ468" s="221"/>
      <c r="FA468" s="313"/>
      <c r="FB468" s="249"/>
      <c r="FC468" s="221"/>
      <c r="FD468" s="313"/>
      <c r="FE468" s="249"/>
      <c r="FF468" s="221"/>
      <c r="FG468" s="313"/>
      <c r="FH468" s="249"/>
      <c r="FI468" s="216"/>
      <c r="FJ468" s="1435"/>
      <c r="FK468" s="216"/>
      <c r="FL468" s="1268"/>
      <c r="FM468" s="1655"/>
      <c r="FN468" s="1268"/>
      <c r="FO468" s="1655"/>
      <c r="FP468" s="1268"/>
      <c r="FQ468" s="1656"/>
      <c r="FR468" s="249"/>
      <c r="FS468" s="216"/>
      <c r="FT468" s="1657"/>
      <c r="FU468" s="1658"/>
      <c r="FV468" s="242"/>
      <c r="FW468" s="343"/>
      <c r="FX468" s="222"/>
      <c r="FY468" s="336"/>
      <c r="FZ468" s="223"/>
      <c r="GA468" s="338"/>
      <c r="GB468" s="204"/>
      <c r="GC468" s="339"/>
      <c r="GD468" s="342"/>
      <c r="GE468" s="199"/>
      <c r="GF468" s="199"/>
      <c r="GG468" s="199"/>
      <c r="GH468" s="199"/>
      <c r="GI468" s="199"/>
      <c r="GJ468" s="199"/>
      <c r="GK468" s="199"/>
      <c r="GO468" s="322"/>
      <c r="GP468" s="1190"/>
      <c r="GQ468" s="1190"/>
      <c r="GS468" s="2879"/>
      <c r="GT468" s="2880"/>
      <c r="GU468" s="2881"/>
    </row>
    <row r="469" spans="1:203" ht="12" customHeight="1">
      <c r="A469" s="1252"/>
      <c r="B469" s="200"/>
      <c r="C469" s="486"/>
      <c r="T469" s="1186"/>
      <c r="U469" s="233"/>
      <c r="W469" s="218"/>
      <c r="X469" s="218"/>
      <c r="Y469" s="216"/>
      <c r="Z469" s="216"/>
      <c r="AA469" s="215"/>
      <c r="AB469" s="216"/>
      <c r="AC469" s="216"/>
      <c r="AD469" s="239"/>
      <c r="AE469" s="216"/>
      <c r="AF469" s="216"/>
      <c r="AG469" s="216"/>
      <c r="AH469" s="216"/>
      <c r="AI469" s="216"/>
      <c r="AJ469" s="216"/>
      <c r="AK469" s="239"/>
      <c r="AL469" s="216"/>
      <c r="AM469" s="216"/>
      <c r="AN469" s="216"/>
      <c r="AO469" s="216"/>
      <c r="AP469" s="216"/>
      <c r="AQ469" s="216"/>
      <c r="AR469" s="216"/>
      <c r="AS469" s="216"/>
      <c r="AT469" s="216"/>
      <c r="AU469" s="216"/>
      <c r="AV469" s="217"/>
      <c r="AW469" s="355"/>
      <c r="AX469" s="217"/>
      <c r="AY469" s="1559"/>
      <c r="AZ469" s="249"/>
      <c r="BA469" s="221"/>
      <c r="BB469" s="300"/>
      <c r="BC469" s="217"/>
      <c r="BD469" s="392"/>
      <c r="BE469" s="1244"/>
      <c r="BF469" s="249"/>
      <c r="BG469" s="252"/>
      <c r="BH469" s="1469"/>
      <c r="BI469" s="216"/>
      <c r="BJ469" s="1469"/>
      <c r="BK469" s="1459"/>
      <c r="BL469" s="260"/>
      <c r="BM469" s="214"/>
      <c r="BN469" s="293"/>
      <c r="BO469" s="217"/>
      <c r="BP469" s="355"/>
      <c r="BQ469" s="217"/>
      <c r="BR469" s="1193"/>
      <c r="BS469" s="249"/>
      <c r="BT469" s="216"/>
      <c r="BU469" s="1195"/>
      <c r="BV469" s="249"/>
      <c r="BW469" s="216"/>
      <c r="BX469" s="1195"/>
      <c r="BY469" s="249"/>
      <c r="BZ469" s="216"/>
      <c r="CA469" s="1195"/>
      <c r="CB469" s="249"/>
      <c r="CC469" s="216"/>
      <c r="CD469" s="1195"/>
      <c r="CE469" s="249"/>
      <c r="CF469" s="216"/>
      <c r="CG469" s="1195"/>
      <c r="CH469" s="249"/>
      <c r="CI469" s="216"/>
      <c r="CJ469" s="1195"/>
      <c r="CK469" s="249"/>
      <c r="CL469" s="216"/>
      <c r="CM469" s="1194"/>
      <c r="CN469" s="1524"/>
      <c r="CO469" s="217"/>
      <c r="CP469" s="1193"/>
      <c r="CQ469" s="293"/>
      <c r="CR469" s="217"/>
      <c r="CS469" s="305"/>
      <c r="CT469" s="249"/>
      <c r="CU469" s="216"/>
      <c r="CV469" s="1193"/>
      <c r="CW469" s="249"/>
      <c r="CX469" s="216"/>
      <c r="CY469" s="305"/>
      <c r="CZ469" s="249"/>
      <c r="DA469" s="216"/>
      <c r="DB469" s="307"/>
      <c r="DC469" s="328"/>
      <c r="DD469" s="322"/>
      <c r="DE469" s="305"/>
      <c r="DF469" s="249"/>
      <c r="DG469" s="216"/>
      <c r="DH469" s="305"/>
      <c r="DI469" s="249"/>
      <c r="DJ469" s="216"/>
      <c r="DK469" s="309"/>
      <c r="DL469" s="293"/>
      <c r="DM469" s="326"/>
      <c r="DN469" s="1256"/>
      <c r="DO469" s="214"/>
      <c r="DP469" s="1257"/>
      <c r="DQ469" s="1258"/>
      <c r="DR469" s="305"/>
      <c r="DS469" s="249"/>
      <c r="DT469" s="216"/>
      <c r="DU469" s="305"/>
      <c r="DV469" s="2520"/>
      <c r="DW469" s="2521"/>
      <c r="DX469" s="305"/>
      <c r="DY469" s="249"/>
      <c r="DZ469" s="221"/>
      <c r="EA469" s="388"/>
      <c r="EB469" s="249"/>
      <c r="EC469" s="216"/>
      <c r="ED469" s="1461"/>
      <c r="EE469" s="249"/>
      <c r="EF469" s="216"/>
      <c r="EG469" s="355"/>
      <c r="EH469" s="1425"/>
      <c r="EI469" s="1470"/>
      <c r="EJ469" s="249"/>
      <c r="EK469" s="221"/>
      <c r="EL469" s="313"/>
      <c r="EM469" s="249"/>
      <c r="EN469" s="221"/>
      <c r="EO469" s="313"/>
      <c r="EP469" s="249"/>
      <c r="EQ469" s="216"/>
      <c r="ER469" s="313"/>
      <c r="ES469" s="249"/>
      <c r="ET469" s="216"/>
      <c r="EU469" s="313"/>
      <c r="EV469" s="249"/>
      <c r="EW469" s="216"/>
      <c r="EX469" s="2505"/>
      <c r="EY469" s="249"/>
      <c r="EZ469" s="221"/>
      <c r="FA469" s="313"/>
      <c r="FB469" s="249"/>
      <c r="FC469" s="221"/>
      <c r="FD469" s="313"/>
      <c r="FE469" s="249"/>
      <c r="FF469" s="221"/>
      <c r="FG469" s="313"/>
      <c r="FH469" s="249"/>
      <c r="FI469" s="216"/>
      <c r="FJ469" s="1435"/>
      <c r="FK469" s="216"/>
      <c r="FL469" s="1268"/>
      <c r="FM469" s="1655"/>
      <c r="FN469" s="1268"/>
      <c r="FO469" s="1655"/>
      <c r="FP469" s="1268"/>
      <c r="FQ469" s="1656"/>
      <c r="FR469" s="249"/>
      <c r="FS469" s="216"/>
      <c r="FT469" s="1657"/>
      <c r="FU469" s="1658"/>
      <c r="FV469" s="242"/>
      <c r="FW469" s="343"/>
      <c r="FX469" s="222"/>
      <c r="FY469" s="336"/>
      <c r="FZ469" s="223"/>
      <c r="GA469" s="338"/>
      <c r="GB469" s="204"/>
      <c r="GC469" s="339"/>
      <c r="GD469" s="342"/>
      <c r="GE469" s="199"/>
      <c r="GF469" s="199"/>
      <c r="GG469" s="199"/>
      <c r="GH469" s="199"/>
      <c r="GI469" s="199"/>
      <c r="GJ469" s="199"/>
      <c r="GK469" s="199"/>
      <c r="GO469" s="322"/>
      <c r="GP469" s="1190"/>
      <c r="GQ469" s="1190"/>
      <c r="GS469" s="2879"/>
      <c r="GT469" s="2880"/>
      <c r="GU469" s="2881"/>
    </row>
    <row r="470" spans="1:203" ht="12" customHeight="1">
      <c r="A470" s="1252"/>
      <c r="B470" s="200"/>
      <c r="C470" s="486"/>
      <c r="T470" s="1186"/>
      <c r="U470" s="233"/>
      <c r="W470" s="218"/>
      <c r="X470" s="218"/>
      <c r="Y470" s="216"/>
      <c r="Z470" s="216"/>
      <c r="AA470" s="215"/>
      <c r="AB470" s="216"/>
      <c r="AC470" s="216"/>
      <c r="AD470" s="239"/>
      <c r="AE470" s="216"/>
      <c r="AF470" s="216"/>
      <c r="AG470" s="216"/>
      <c r="AH470" s="216"/>
      <c r="AI470" s="216"/>
      <c r="AJ470" s="216"/>
      <c r="AK470" s="239"/>
      <c r="AL470" s="216"/>
      <c r="AM470" s="216"/>
      <c r="AN470" s="216"/>
      <c r="AO470" s="216"/>
      <c r="AP470" s="216"/>
      <c r="AQ470" s="216"/>
      <c r="AR470" s="216"/>
      <c r="AS470" s="216"/>
      <c r="AT470" s="216"/>
      <c r="AU470" s="216"/>
      <c r="AV470" s="217"/>
      <c r="AW470" s="355"/>
      <c r="AX470" s="217"/>
      <c r="AY470" s="1559"/>
      <c r="AZ470" s="249"/>
      <c r="BA470" s="221"/>
      <c r="BB470" s="300"/>
      <c r="BC470" s="217"/>
      <c r="BD470" s="392"/>
      <c r="BE470" s="1244"/>
      <c r="BF470" s="249"/>
      <c r="BG470" s="252"/>
      <c r="BH470" s="1469"/>
      <c r="BI470" s="216"/>
      <c r="BJ470" s="1469"/>
      <c r="BK470" s="1459"/>
      <c r="BL470" s="260"/>
      <c r="BM470" s="214"/>
      <c r="BN470" s="293"/>
      <c r="BO470" s="217"/>
      <c r="BP470" s="355"/>
      <c r="BQ470" s="217"/>
      <c r="BR470" s="1193"/>
      <c r="BS470" s="249"/>
      <c r="BT470" s="216"/>
      <c r="BU470" s="1195"/>
      <c r="BV470" s="249"/>
      <c r="BW470" s="216"/>
      <c r="BX470" s="1195"/>
      <c r="BY470" s="249"/>
      <c r="BZ470" s="216"/>
      <c r="CA470" s="1195"/>
      <c r="CB470" s="249"/>
      <c r="CC470" s="216"/>
      <c r="CD470" s="1195"/>
      <c r="CE470" s="249"/>
      <c r="CF470" s="216"/>
      <c r="CG470" s="1195"/>
      <c r="CH470" s="249"/>
      <c r="CI470" s="216"/>
      <c r="CJ470" s="1195"/>
      <c r="CK470" s="249"/>
      <c r="CL470" s="216"/>
      <c r="CM470" s="1194"/>
      <c r="CN470" s="1524"/>
      <c r="CO470" s="217"/>
      <c r="CP470" s="1193"/>
      <c r="CQ470" s="293"/>
      <c r="CR470" s="217"/>
      <c r="CS470" s="305"/>
      <c r="CT470" s="249"/>
      <c r="CU470" s="216"/>
      <c r="CV470" s="1193"/>
      <c r="CW470" s="249"/>
      <c r="CX470" s="216"/>
      <c r="CY470" s="305"/>
      <c r="CZ470" s="249"/>
      <c r="DA470" s="216"/>
      <c r="DB470" s="307"/>
      <c r="DC470" s="328"/>
      <c r="DD470" s="322"/>
      <c r="DE470" s="305"/>
      <c r="DF470" s="249"/>
      <c r="DG470" s="216"/>
      <c r="DH470" s="305"/>
      <c r="DI470" s="249"/>
      <c r="DJ470" s="216"/>
      <c r="DK470" s="309"/>
      <c r="DL470" s="293"/>
      <c r="DM470" s="326"/>
      <c r="DN470" s="1256"/>
      <c r="DO470" s="214"/>
      <c r="DP470" s="1257"/>
      <c r="DQ470" s="1258"/>
      <c r="DR470" s="305"/>
      <c r="DS470" s="249"/>
      <c r="DT470" s="216"/>
      <c r="DU470" s="305"/>
      <c r="DV470" s="2520"/>
      <c r="DW470" s="2521"/>
      <c r="DX470" s="305"/>
      <c r="DY470" s="249"/>
      <c r="DZ470" s="221"/>
      <c r="EA470" s="388"/>
      <c r="EB470" s="249"/>
      <c r="EC470" s="216"/>
      <c r="ED470" s="1461"/>
      <c r="EE470" s="249"/>
      <c r="EF470" s="216"/>
      <c r="EG470" s="355"/>
      <c r="EH470" s="1425"/>
      <c r="EI470" s="1470"/>
      <c r="EJ470" s="249"/>
      <c r="EK470" s="221"/>
      <c r="EL470" s="313"/>
      <c r="EM470" s="249"/>
      <c r="EN470" s="221"/>
      <c r="EO470" s="313"/>
      <c r="EP470" s="249"/>
      <c r="EQ470" s="216"/>
      <c r="ER470" s="313"/>
      <c r="ES470" s="249"/>
      <c r="ET470" s="216"/>
      <c r="EU470" s="313"/>
      <c r="EV470" s="249"/>
      <c r="EW470" s="216"/>
      <c r="EX470" s="2505"/>
      <c r="EY470" s="249"/>
      <c r="EZ470" s="221"/>
      <c r="FA470" s="313"/>
      <c r="FB470" s="249"/>
      <c r="FC470" s="221"/>
      <c r="FD470" s="313"/>
      <c r="FE470" s="249"/>
      <c r="FF470" s="221"/>
      <c r="FG470" s="313"/>
      <c r="FH470" s="249"/>
      <c r="FI470" s="216"/>
      <c r="FJ470" s="1435"/>
      <c r="FK470" s="216"/>
      <c r="FL470" s="1268"/>
      <c r="FM470" s="1655"/>
      <c r="FN470" s="1268"/>
      <c r="FO470" s="1655"/>
      <c r="FP470" s="1268"/>
      <c r="FQ470" s="1656"/>
      <c r="FR470" s="249"/>
      <c r="FS470" s="216"/>
      <c r="FT470" s="1657"/>
      <c r="FU470" s="1658"/>
      <c r="FV470" s="242"/>
      <c r="FW470" s="343"/>
      <c r="FX470" s="222"/>
      <c r="FY470" s="336"/>
      <c r="FZ470" s="223"/>
      <c r="GA470" s="338"/>
      <c r="GB470" s="204"/>
      <c r="GC470" s="339"/>
      <c r="GD470" s="342"/>
      <c r="GE470" s="199"/>
      <c r="GF470" s="199"/>
      <c r="GG470" s="199"/>
      <c r="GH470" s="199"/>
      <c r="GI470" s="199"/>
      <c r="GJ470" s="199"/>
      <c r="GK470" s="199"/>
      <c r="GO470" s="322"/>
      <c r="GP470" s="1190"/>
      <c r="GQ470" s="1190"/>
      <c r="GS470" s="2879"/>
      <c r="GT470" s="2880"/>
      <c r="GU470" s="2881"/>
    </row>
    <row r="471" spans="1:203" ht="12" customHeight="1">
      <c r="A471" s="1252"/>
      <c r="B471" s="200"/>
      <c r="C471" s="486"/>
      <c r="T471" s="1186"/>
      <c r="U471" s="233"/>
      <c r="W471" s="218"/>
      <c r="X471" s="218"/>
      <c r="Y471" s="216"/>
      <c r="Z471" s="216"/>
      <c r="AA471" s="215"/>
      <c r="AB471" s="216"/>
      <c r="AC471" s="216"/>
      <c r="AD471" s="239"/>
      <c r="AE471" s="216"/>
      <c r="AF471" s="216"/>
      <c r="AG471" s="216"/>
      <c r="AH471" s="216"/>
      <c r="AI471" s="216"/>
      <c r="AJ471" s="216"/>
      <c r="AK471" s="239"/>
      <c r="AL471" s="216"/>
      <c r="AM471" s="216"/>
      <c r="AN471" s="216"/>
      <c r="AO471" s="216"/>
      <c r="AP471" s="216"/>
      <c r="AQ471" s="216"/>
      <c r="AR471" s="216"/>
      <c r="AS471" s="216"/>
      <c r="AT471" s="216"/>
      <c r="AU471" s="216"/>
      <c r="AV471" s="217"/>
      <c r="AW471" s="355"/>
      <c r="AX471" s="217"/>
      <c r="AY471" s="1559"/>
      <c r="AZ471" s="249"/>
      <c r="BA471" s="221"/>
      <c r="BB471" s="300"/>
      <c r="BC471" s="217"/>
      <c r="BD471" s="392"/>
      <c r="BE471" s="1244"/>
      <c r="BF471" s="249"/>
      <c r="BG471" s="252"/>
      <c r="BH471" s="1469"/>
      <c r="BI471" s="216"/>
      <c r="BJ471" s="1469"/>
      <c r="BK471" s="1459"/>
      <c r="BL471" s="260"/>
      <c r="BM471" s="214"/>
      <c r="BN471" s="293"/>
      <c r="BO471" s="217"/>
      <c r="BP471" s="355"/>
      <c r="BQ471" s="217"/>
      <c r="BR471" s="1193"/>
      <c r="BS471" s="249"/>
      <c r="BT471" s="216"/>
      <c r="BU471" s="1195"/>
      <c r="BV471" s="249"/>
      <c r="BW471" s="216"/>
      <c r="BX471" s="1195"/>
      <c r="BY471" s="249"/>
      <c r="BZ471" s="216"/>
      <c r="CA471" s="1195"/>
      <c r="CB471" s="249"/>
      <c r="CC471" s="216"/>
      <c r="CD471" s="1195"/>
      <c r="CE471" s="249"/>
      <c r="CF471" s="216"/>
      <c r="CG471" s="1195"/>
      <c r="CH471" s="249"/>
      <c r="CI471" s="216"/>
      <c r="CJ471" s="1195"/>
      <c r="CK471" s="249"/>
      <c r="CL471" s="216"/>
      <c r="CM471" s="1194"/>
      <c r="CN471" s="1524"/>
      <c r="CO471" s="217"/>
      <c r="CP471" s="1193"/>
      <c r="CQ471" s="293"/>
      <c r="CR471" s="217"/>
      <c r="CS471" s="305"/>
      <c r="CT471" s="249"/>
      <c r="CU471" s="216"/>
      <c r="CV471" s="1193"/>
      <c r="CW471" s="249"/>
      <c r="CX471" s="216"/>
      <c r="CY471" s="305"/>
      <c r="CZ471" s="249"/>
      <c r="DA471" s="216"/>
      <c r="DB471" s="307"/>
      <c r="DC471" s="328"/>
      <c r="DD471" s="322"/>
      <c r="DE471" s="305"/>
      <c r="DF471" s="249"/>
      <c r="DG471" s="216"/>
      <c r="DH471" s="305"/>
      <c r="DI471" s="249"/>
      <c r="DJ471" s="216"/>
      <c r="DK471" s="309"/>
      <c r="DL471" s="293"/>
      <c r="DM471" s="326"/>
      <c r="DN471" s="1256"/>
      <c r="DO471" s="214"/>
      <c r="DP471" s="1257"/>
      <c r="DQ471" s="1258"/>
      <c r="DR471" s="305"/>
      <c r="DS471" s="249"/>
      <c r="DT471" s="216"/>
      <c r="DU471" s="305"/>
      <c r="DV471" s="2520"/>
      <c r="DW471" s="2521"/>
      <c r="DX471" s="305"/>
      <c r="DY471" s="249"/>
      <c r="DZ471" s="221"/>
      <c r="EA471" s="388"/>
      <c r="EB471" s="249"/>
      <c r="EC471" s="216"/>
      <c r="ED471" s="1461"/>
      <c r="EE471" s="249"/>
      <c r="EF471" s="216"/>
      <c r="EG471" s="355"/>
      <c r="EH471" s="1425"/>
      <c r="EI471" s="1470"/>
      <c r="EJ471" s="249"/>
      <c r="EK471" s="221"/>
      <c r="EL471" s="313"/>
      <c r="EM471" s="249"/>
      <c r="EN471" s="221"/>
      <c r="EO471" s="313"/>
      <c r="EP471" s="249"/>
      <c r="EQ471" s="216"/>
      <c r="ER471" s="313"/>
      <c r="ES471" s="249"/>
      <c r="ET471" s="216"/>
      <c r="EU471" s="313"/>
      <c r="EV471" s="249"/>
      <c r="EW471" s="216"/>
      <c r="EX471" s="2505"/>
      <c r="EY471" s="249"/>
      <c r="EZ471" s="221"/>
      <c r="FA471" s="313"/>
      <c r="FB471" s="249"/>
      <c r="FC471" s="221"/>
      <c r="FD471" s="313"/>
      <c r="FE471" s="249"/>
      <c r="FF471" s="221"/>
      <c r="FG471" s="313"/>
      <c r="FH471" s="249"/>
      <c r="FI471" s="216"/>
      <c r="FJ471" s="1435"/>
      <c r="FK471" s="216"/>
      <c r="FL471" s="1268"/>
      <c r="FM471" s="1655"/>
      <c r="FN471" s="1268"/>
      <c r="FO471" s="1655"/>
      <c r="FP471" s="1268"/>
      <c r="FQ471" s="1656"/>
      <c r="FR471" s="249"/>
      <c r="FS471" s="216"/>
      <c r="FT471" s="1657"/>
      <c r="FU471" s="1658"/>
      <c r="FV471" s="242"/>
      <c r="FW471" s="343"/>
      <c r="FX471" s="222"/>
      <c r="FY471" s="336"/>
      <c r="FZ471" s="223"/>
      <c r="GA471" s="338"/>
      <c r="GB471" s="204"/>
      <c r="GC471" s="339"/>
      <c r="GD471" s="342"/>
      <c r="GE471" s="199"/>
      <c r="GF471" s="199"/>
      <c r="GG471" s="199"/>
      <c r="GH471" s="199"/>
      <c r="GI471" s="199"/>
      <c r="GJ471" s="199"/>
      <c r="GK471" s="199"/>
      <c r="GO471" s="322"/>
      <c r="GP471" s="1190"/>
      <c r="GQ471" s="1190"/>
      <c r="GS471" s="2879"/>
      <c r="GT471" s="2880"/>
      <c r="GU471" s="2881"/>
    </row>
    <row r="472" spans="1:203" ht="12" customHeight="1">
      <c r="A472" s="1252"/>
      <c r="B472" s="200"/>
      <c r="C472" s="486"/>
      <c r="T472" s="1186"/>
      <c r="U472" s="233"/>
      <c r="W472" s="218"/>
      <c r="X472" s="218"/>
      <c r="Y472" s="216"/>
      <c r="Z472" s="216"/>
      <c r="AA472" s="215"/>
      <c r="AB472" s="216"/>
      <c r="AC472" s="216"/>
      <c r="AD472" s="239"/>
      <c r="AE472" s="216"/>
      <c r="AF472" s="216"/>
      <c r="AG472" s="216"/>
      <c r="AH472" s="216"/>
      <c r="AI472" s="216"/>
      <c r="AJ472" s="216"/>
      <c r="AK472" s="239"/>
      <c r="AL472" s="216"/>
      <c r="AM472" s="216"/>
      <c r="AN472" s="216"/>
      <c r="AO472" s="216"/>
      <c r="AP472" s="216"/>
      <c r="AQ472" s="216"/>
      <c r="AR472" s="216"/>
      <c r="AS472" s="216"/>
      <c r="AT472" s="216"/>
      <c r="AU472" s="216"/>
      <c r="AV472" s="217"/>
      <c r="AW472" s="355"/>
      <c r="AX472" s="217"/>
      <c r="AY472" s="1559"/>
      <c r="AZ472" s="249"/>
      <c r="BA472" s="221"/>
      <c r="BB472" s="300"/>
      <c r="BC472" s="217"/>
      <c r="BD472" s="392"/>
      <c r="BE472" s="1244"/>
      <c r="BF472" s="249"/>
      <c r="BG472" s="252"/>
      <c r="BH472" s="1469"/>
      <c r="BI472" s="216"/>
      <c r="BJ472" s="1469"/>
      <c r="BK472" s="1459"/>
      <c r="BL472" s="260"/>
      <c r="BM472" s="214"/>
      <c r="BN472" s="293"/>
      <c r="BO472" s="217"/>
      <c r="BP472" s="355"/>
      <c r="BQ472" s="217"/>
      <c r="BR472" s="1193"/>
      <c r="BS472" s="249"/>
      <c r="BT472" s="216"/>
      <c r="BU472" s="1195"/>
      <c r="BV472" s="249"/>
      <c r="BW472" s="216"/>
      <c r="BX472" s="1195"/>
      <c r="BY472" s="249"/>
      <c r="BZ472" s="216"/>
      <c r="CA472" s="1195"/>
      <c r="CB472" s="249"/>
      <c r="CC472" s="216"/>
      <c r="CD472" s="1195"/>
      <c r="CE472" s="249"/>
      <c r="CF472" s="216"/>
      <c r="CG472" s="1195"/>
      <c r="CH472" s="249"/>
      <c r="CI472" s="216"/>
      <c r="CJ472" s="1195"/>
      <c r="CK472" s="249"/>
      <c r="CL472" s="216"/>
      <c r="CM472" s="1194"/>
      <c r="CN472" s="1524"/>
      <c r="CO472" s="217"/>
      <c r="CP472" s="1193"/>
      <c r="CQ472" s="293"/>
      <c r="CR472" s="217"/>
      <c r="CS472" s="305"/>
      <c r="CT472" s="249"/>
      <c r="CU472" s="216"/>
      <c r="CV472" s="1193"/>
      <c r="CW472" s="249"/>
      <c r="CX472" s="216"/>
      <c r="CY472" s="305"/>
      <c r="CZ472" s="249"/>
      <c r="DA472" s="216"/>
      <c r="DB472" s="307"/>
      <c r="DC472" s="328"/>
      <c r="DD472" s="322"/>
      <c r="DE472" s="305"/>
      <c r="DF472" s="249"/>
      <c r="DG472" s="216"/>
      <c r="DH472" s="305"/>
      <c r="DI472" s="249"/>
      <c r="DJ472" s="216"/>
      <c r="DK472" s="309"/>
      <c r="DL472" s="293"/>
      <c r="DM472" s="326"/>
      <c r="DN472" s="1256"/>
      <c r="DO472" s="214"/>
      <c r="DP472" s="1257"/>
      <c r="DQ472" s="1258"/>
      <c r="DR472" s="305"/>
      <c r="DS472" s="249"/>
      <c r="DT472" s="216"/>
      <c r="DU472" s="305"/>
      <c r="DV472" s="2520"/>
      <c r="DW472" s="2521"/>
      <c r="DX472" s="305"/>
      <c r="DY472" s="249"/>
      <c r="DZ472" s="221"/>
      <c r="EA472" s="388"/>
      <c r="EB472" s="249"/>
      <c r="EC472" s="216"/>
      <c r="ED472" s="1461"/>
      <c r="EE472" s="249"/>
      <c r="EF472" s="216"/>
      <c r="EG472" s="355"/>
      <c r="EH472" s="1425"/>
      <c r="EI472" s="1470"/>
      <c r="EJ472" s="249"/>
      <c r="EK472" s="221"/>
      <c r="EL472" s="313"/>
      <c r="EM472" s="249"/>
      <c r="EN472" s="221"/>
      <c r="EO472" s="313"/>
      <c r="EP472" s="249"/>
      <c r="EQ472" s="216"/>
      <c r="ER472" s="313"/>
      <c r="ES472" s="249"/>
      <c r="ET472" s="216"/>
      <c r="EU472" s="313"/>
      <c r="EV472" s="249"/>
      <c r="EW472" s="216"/>
      <c r="EX472" s="2505"/>
      <c r="EY472" s="249"/>
      <c r="EZ472" s="221"/>
      <c r="FA472" s="313"/>
      <c r="FB472" s="249"/>
      <c r="FC472" s="221"/>
      <c r="FD472" s="313"/>
      <c r="FE472" s="249"/>
      <c r="FF472" s="221"/>
      <c r="FG472" s="313"/>
      <c r="FH472" s="249"/>
      <c r="FI472" s="216"/>
      <c r="FJ472" s="1435"/>
      <c r="FK472" s="216"/>
      <c r="FL472" s="1268"/>
      <c r="FM472" s="1655"/>
      <c r="FN472" s="1268"/>
      <c r="FO472" s="1655"/>
      <c r="FP472" s="1268"/>
      <c r="FQ472" s="1656"/>
      <c r="FR472" s="249"/>
      <c r="FS472" s="216"/>
      <c r="FT472" s="1657"/>
      <c r="FU472" s="1658"/>
      <c r="FV472" s="242"/>
      <c r="FW472" s="343"/>
      <c r="FX472" s="222"/>
      <c r="FY472" s="336"/>
      <c r="FZ472" s="223"/>
      <c r="GA472" s="338"/>
      <c r="GB472" s="204"/>
      <c r="GC472" s="339"/>
      <c r="GD472" s="342"/>
      <c r="GE472" s="199"/>
      <c r="GF472" s="199"/>
      <c r="GG472" s="199"/>
      <c r="GH472" s="199"/>
      <c r="GI472" s="199"/>
      <c r="GJ472" s="199"/>
      <c r="GK472" s="199"/>
      <c r="GO472" s="322"/>
      <c r="GP472" s="1190"/>
      <c r="GQ472" s="1190"/>
      <c r="GS472" s="2879"/>
      <c r="GT472" s="2880"/>
      <c r="GU472" s="2881"/>
    </row>
    <row r="473" spans="1:203" ht="12" customHeight="1">
      <c r="A473" s="1252"/>
      <c r="B473" s="200"/>
      <c r="C473" s="486"/>
      <c r="T473" s="1186"/>
      <c r="U473" s="233"/>
      <c r="W473" s="218"/>
      <c r="X473" s="218"/>
      <c r="Y473" s="216"/>
      <c r="Z473" s="216"/>
      <c r="AA473" s="215"/>
      <c r="AB473" s="216"/>
      <c r="AC473" s="216"/>
      <c r="AD473" s="239"/>
      <c r="AE473" s="216"/>
      <c r="AF473" s="216"/>
      <c r="AG473" s="216"/>
      <c r="AH473" s="216"/>
      <c r="AI473" s="216"/>
      <c r="AJ473" s="216"/>
      <c r="AK473" s="239"/>
      <c r="AL473" s="216"/>
      <c r="AM473" s="216"/>
      <c r="AN473" s="216"/>
      <c r="AO473" s="216"/>
      <c r="AP473" s="216"/>
      <c r="AQ473" s="216"/>
      <c r="AR473" s="216"/>
      <c r="AS473" s="216"/>
      <c r="AT473" s="216"/>
      <c r="AU473" s="216"/>
      <c r="AV473" s="217"/>
      <c r="AW473" s="355"/>
      <c r="AX473" s="217"/>
      <c r="AY473" s="1559"/>
      <c r="AZ473" s="249"/>
      <c r="BA473" s="221"/>
      <c r="BB473" s="300"/>
      <c r="BC473" s="217"/>
      <c r="BD473" s="392"/>
      <c r="BE473" s="1244"/>
      <c r="BF473" s="249"/>
      <c r="BG473" s="252"/>
      <c r="BH473" s="1469"/>
      <c r="BI473" s="216"/>
      <c r="BJ473" s="1469"/>
      <c r="BK473" s="1459"/>
      <c r="BL473" s="260"/>
      <c r="BM473" s="214"/>
      <c r="BN473" s="293"/>
      <c r="BO473" s="217"/>
      <c r="BP473" s="355"/>
      <c r="BQ473" s="217"/>
      <c r="BR473" s="1193"/>
      <c r="BS473" s="249"/>
      <c r="BT473" s="216"/>
      <c r="BU473" s="1195"/>
      <c r="BV473" s="249"/>
      <c r="BW473" s="216"/>
      <c r="BX473" s="1195"/>
      <c r="BY473" s="249"/>
      <c r="BZ473" s="216"/>
      <c r="CA473" s="1195"/>
      <c r="CB473" s="249"/>
      <c r="CC473" s="216"/>
      <c r="CD473" s="1195"/>
      <c r="CE473" s="249"/>
      <c r="CF473" s="216"/>
      <c r="CG473" s="1195"/>
      <c r="CH473" s="249"/>
      <c r="CI473" s="216"/>
      <c r="CJ473" s="1195"/>
      <c r="CK473" s="249"/>
      <c r="CL473" s="216"/>
      <c r="CM473" s="1194"/>
      <c r="CN473" s="1524"/>
      <c r="CO473" s="217"/>
      <c r="CP473" s="1193"/>
      <c r="CQ473" s="293"/>
      <c r="CR473" s="217"/>
      <c r="CS473" s="305"/>
      <c r="CT473" s="249"/>
      <c r="CU473" s="216"/>
      <c r="CV473" s="1193"/>
      <c r="CW473" s="249"/>
      <c r="CX473" s="216"/>
      <c r="CY473" s="305"/>
      <c r="CZ473" s="249"/>
      <c r="DA473" s="216"/>
      <c r="DB473" s="307"/>
      <c r="DC473" s="328"/>
      <c r="DD473" s="322"/>
      <c r="DE473" s="305"/>
      <c r="DF473" s="249"/>
      <c r="DG473" s="216"/>
      <c r="DH473" s="305"/>
      <c r="DI473" s="249"/>
      <c r="DJ473" s="216"/>
      <c r="DK473" s="309"/>
      <c r="DL473" s="293"/>
      <c r="DM473" s="326"/>
      <c r="DN473" s="1256"/>
      <c r="DO473" s="214"/>
      <c r="DP473" s="1257"/>
      <c r="DQ473" s="1258"/>
      <c r="DR473" s="305"/>
      <c r="DS473" s="249"/>
      <c r="DT473" s="216"/>
      <c r="DU473" s="305"/>
      <c r="DV473" s="2520"/>
      <c r="DW473" s="2521"/>
      <c r="DX473" s="305"/>
      <c r="DY473" s="249"/>
      <c r="DZ473" s="221"/>
      <c r="EA473" s="388"/>
      <c r="EB473" s="249"/>
      <c r="EC473" s="216"/>
      <c r="ED473" s="1461"/>
      <c r="EE473" s="249"/>
      <c r="EF473" s="216"/>
      <c r="EG473" s="355"/>
      <c r="EH473" s="1425"/>
      <c r="EI473" s="1470"/>
      <c r="EJ473" s="249"/>
      <c r="EK473" s="221"/>
      <c r="EL473" s="313"/>
      <c r="EM473" s="249"/>
      <c r="EN473" s="221"/>
      <c r="EO473" s="313"/>
      <c r="EP473" s="249"/>
      <c r="EQ473" s="216"/>
      <c r="ER473" s="313"/>
      <c r="ES473" s="249"/>
      <c r="ET473" s="216"/>
      <c r="EU473" s="313"/>
      <c r="EV473" s="249"/>
      <c r="EW473" s="216"/>
      <c r="EX473" s="2505"/>
      <c r="EY473" s="249"/>
      <c r="EZ473" s="221"/>
      <c r="FA473" s="313"/>
      <c r="FB473" s="249"/>
      <c r="FC473" s="221"/>
      <c r="FD473" s="313"/>
      <c r="FE473" s="249"/>
      <c r="FF473" s="221"/>
      <c r="FG473" s="313"/>
      <c r="FH473" s="249"/>
      <c r="FI473" s="216"/>
      <c r="FJ473" s="1435"/>
      <c r="FK473" s="216"/>
      <c r="FL473" s="1268"/>
      <c r="FM473" s="1655"/>
      <c r="FN473" s="1268"/>
      <c r="FO473" s="1655"/>
      <c r="FP473" s="1268"/>
      <c r="FQ473" s="1656"/>
      <c r="FR473" s="249"/>
      <c r="FS473" s="216"/>
      <c r="FT473" s="1657"/>
      <c r="FU473" s="1658"/>
      <c r="FV473" s="242"/>
      <c r="FW473" s="343"/>
      <c r="FX473" s="222"/>
      <c r="FY473" s="336"/>
      <c r="FZ473" s="223"/>
      <c r="GA473" s="338"/>
      <c r="GB473" s="204"/>
      <c r="GC473" s="339"/>
      <c r="GD473" s="342"/>
      <c r="GE473" s="199"/>
      <c r="GF473" s="199"/>
      <c r="GG473" s="199"/>
      <c r="GH473" s="199"/>
      <c r="GI473" s="199"/>
      <c r="GJ473" s="199"/>
      <c r="GK473" s="199"/>
      <c r="GO473" s="322"/>
      <c r="GP473" s="1190"/>
      <c r="GQ473" s="1190"/>
      <c r="GS473" s="2879"/>
      <c r="GT473" s="2880"/>
      <c r="GU473" s="2881"/>
    </row>
    <row r="474" spans="1:203" ht="12" customHeight="1">
      <c r="A474" s="1252"/>
      <c r="B474" s="200"/>
      <c r="C474" s="486"/>
      <c r="T474" s="1186"/>
      <c r="U474" s="233"/>
      <c r="W474" s="218"/>
      <c r="X474" s="218"/>
      <c r="Y474" s="216"/>
      <c r="Z474" s="216"/>
      <c r="AA474" s="215"/>
      <c r="AB474" s="216"/>
      <c r="AC474" s="216"/>
      <c r="AD474" s="239"/>
      <c r="AE474" s="216"/>
      <c r="AF474" s="216"/>
      <c r="AG474" s="216"/>
      <c r="AH474" s="216"/>
      <c r="AI474" s="216"/>
      <c r="AJ474" s="216"/>
      <c r="AK474" s="239"/>
      <c r="AL474" s="216"/>
      <c r="AM474" s="216"/>
      <c r="AN474" s="216"/>
      <c r="AO474" s="216"/>
      <c r="AP474" s="216"/>
      <c r="AQ474" s="216"/>
      <c r="AR474" s="216"/>
      <c r="AS474" s="216"/>
      <c r="AT474" s="216"/>
      <c r="AU474" s="216"/>
      <c r="AV474" s="217"/>
      <c r="AW474" s="355"/>
      <c r="AX474" s="217"/>
      <c r="AY474" s="1559"/>
      <c r="AZ474" s="249"/>
      <c r="BA474" s="221"/>
      <c r="BB474" s="300"/>
      <c r="BC474" s="217"/>
      <c r="BD474" s="392"/>
      <c r="BE474" s="1244"/>
      <c r="BF474" s="249"/>
      <c r="BG474" s="252"/>
      <c r="BH474" s="1469"/>
      <c r="BI474" s="216"/>
      <c r="BJ474" s="1469"/>
      <c r="BK474" s="1459"/>
      <c r="BL474" s="260"/>
      <c r="BM474" s="214"/>
      <c r="BN474" s="293"/>
      <c r="BO474" s="217"/>
      <c r="BP474" s="355"/>
      <c r="BQ474" s="217"/>
      <c r="BR474" s="1193"/>
      <c r="BS474" s="249"/>
      <c r="BT474" s="216"/>
      <c r="BU474" s="1195"/>
      <c r="BV474" s="249"/>
      <c r="BW474" s="216"/>
      <c r="BX474" s="1195"/>
      <c r="BY474" s="249"/>
      <c r="BZ474" s="216"/>
      <c r="CA474" s="1195"/>
      <c r="CB474" s="249"/>
      <c r="CC474" s="216"/>
      <c r="CD474" s="1195"/>
      <c r="CE474" s="249"/>
      <c r="CF474" s="216"/>
      <c r="CG474" s="1195"/>
      <c r="CH474" s="249"/>
      <c r="CI474" s="216"/>
      <c r="CJ474" s="1195"/>
      <c r="CK474" s="249"/>
      <c r="CL474" s="216"/>
      <c r="CM474" s="1194"/>
      <c r="CN474" s="1524"/>
      <c r="CO474" s="217"/>
      <c r="CP474" s="1193"/>
      <c r="CQ474" s="293"/>
      <c r="CR474" s="217"/>
      <c r="CS474" s="305"/>
      <c r="CT474" s="249"/>
      <c r="CU474" s="216"/>
      <c r="CV474" s="1193"/>
      <c r="CW474" s="249"/>
      <c r="CX474" s="216"/>
      <c r="CY474" s="305"/>
      <c r="CZ474" s="249"/>
      <c r="DA474" s="216"/>
      <c r="DB474" s="307"/>
      <c r="DC474" s="328"/>
      <c r="DD474" s="322"/>
      <c r="DE474" s="305"/>
      <c r="DF474" s="249"/>
      <c r="DG474" s="216"/>
      <c r="DH474" s="305"/>
      <c r="DI474" s="249"/>
      <c r="DJ474" s="216"/>
      <c r="DK474" s="309"/>
      <c r="DL474" s="293"/>
      <c r="DM474" s="326"/>
      <c r="DN474" s="1256"/>
      <c r="DO474" s="214"/>
      <c r="DP474" s="1257"/>
      <c r="DQ474" s="1258"/>
      <c r="DR474" s="305"/>
      <c r="DS474" s="249"/>
      <c r="DT474" s="216"/>
      <c r="DU474" s="305"/>
      <c r="DV474" s="2520"/>
      <c r="DW474" s="2521"/>
      <c r="DX474" s="305"/>
      <c r="DY474" s="249"/>
      <c r="DZ474" s="221"/>
      <c r="EA474" s="388"/>
      <c r="EB474" s="249"/>
      <c r="EC474" s="216"/>
      <c r="ED474" s="1461"/>
      <c r="EE474" s="249"/>
      <c r="EF474" s="216"/>
      <c r="EG474" s="355"/>
      <c r="EH474" s="1425"/>
      <c r="EI474" s="1470"/>
      <c r="EJ474" s="249"/>
      <c r="EK474" s="221"/>
      <c r="EL474" s="313"/>
      <c r="EM474" s="249"/>
      <c r="EN474" s="221"/>
      <c r="EO474" s="313"/>
      <c r="EP474" s="249"/>
      <c r="EQ474" s="216"/>
      <c r="ER474" s="313"/>
      <c r="ES474" s="249"/>
      <c r="ET474" s="216"/>
      <c r="EU474" s="313"/>
      <c r="EV474" s="249"/>
      <c r="EW474" s="216"/>
      <c r="EX474" s="2505"/>
      <c r="EY474" s="249"/>
      <c r="EZ474" s="221"/>
      <c r="FA474" s="313"/>
      <c r="FB474" s="249"/>
      <c r="FC474" s="221"/>
      <c r="FD474" s="313"/>
      <c r="FE474" s="249"/>
      <c r="FF474" s="221"/>
      <c r="FG474" s="313"/>
      <c r="FH474" s="249"/>
      <c r="FI474" s="216"/>
      <c r="FJ474" s="1435"/>
      <c r="FK474" s="216"/>
      <c r="FL474" s="1268"/>
      <c r="FM474" s="1655"/>
      <c r="FN474" s="1268"/>
      <c r="FO474" s="1655"/>
      <c r="FP474" s="1268"/>
      <c r="FQ474" s="1656"/>
      <c r="FR474" s="249"/>
      <c r="FS474" s="216"/>
      <c r="FT474" s="1657"/>
      <c r="FU474" s="1658"/>
      <c r="FV474" s="242"/>
      <c r="FW474" s="343"/>
      <c r="FX474" s="222"/>
      <c r="FY474" s="336"/>
      <c r="FZ474" s="223"/>
      <c r="GA474" s="338"/>
      <c r="GB474" s="204"/>
      <c r="GC474" s="339"/>
      <c r="GD474" s="342"/>
      <c r="GE474" s="199"/>
      <c r="GF474" s="199"/>
      <c r="GG474" s="199"/>
      <c r="GH474" s="199"/>
      <c r="GI474" s="199"/>
      <c r="GJ474" s="199"/>
      <c r="GK474" s="199"/>
      <c r="GO474" s="322"/>
      <c r="GP474" s="1190"/>
      <c r="GQ474" s="1190"/>
      <c r="GS474" s="2879"/>
      <c r="GT474" s="2880"/>
      <c r="GU474" s="2881"/>
    </row>
    <row r="475" spans="1:203" ht="12" customHeight="1">
      <c r="A475" s="1252"/>
      <c r="B475" s="200"/>
      <c r="C475" s="486"/>
      <c r="T475" s="1186"/>
      <c r="U475" s="233"/>
      <c r="W475" s="218"/>
      <c r="X475" s="218"/>
      <c r="Y475" s="216"/>
      <c r="Z475" s="216"/>
      <c r="AA475" s="215"/>
      <c r="AB475" s="216"/>
      <c r="AC475" s="216"/>
      <c r="AD475" s="239"/>
      <c r="AE475" s="216"/>
      <c r="AF475" s="216"/>
      <c r="AG475" s="216"/>
      <c r="AH475" s="216"/>
      <c r="AI475" s="216"/>
      <c r="AJ475" s="216"/>
      <c r="AK475" s="239"/>
      <c r="AL475" s="216"/>
      <c r="AM475" s="216"/>
      <c r="AN475" s="216"/>
      <c r="AO475" s="216"/>
      <c r="AP475" s="216"/>
      <c r="AQ475" s="216"/>
      <c r="AR475" s="216"/>
      <c r="AS475" s="216"/>
      <c r="AT475" s="216"/>
      <c r="AU475" s="216"/>
      <c r="AV475" s="217"/>
      <c r="AW475" s="355"/>
      <c r="AX475" s="217"/>
      <c r="AY475" s="1559"/>
      <c r="AZ475" s="249"/>
      <c r="BA475" s="221"/>
      <c r="BB475" s="300"/>
      <c r="BC475" s="217"/>
      <c r="BD475" s="392"/>
      <c r="BE475" s="1244"/>
      <c r="BF475" s="249"/>
      <c r="BG475" s="252"/>
      <c r="BH475" s="1469"/>
      <c r="BI475" s="216"/>
      <c r="BJ475" s="1469"/>
      <c r="BK475" s="1459"/>
      <c r="BL475" s="260"/>
      <c r="BM475" s="214"/>
      <c r="BN475" s="293"/>
      <c r="BO475" s="217"/>
      <c r="BP475" s="355"/>
      <c r="BQ475" s="217"/>
      <c r="BR475" s="1193"/>
      <c r="BS475" s="249"/>
      <c r="BT475" s="216"/>
      <c r="BU475" s="1195"/>
      <c r="BV475" s="249"/>
      <c r="BW475" s="216"/>
      <c r="BX475" s="1195"/>
      <c r="BY475" s="249"/>
      <c r="BZ475" s="216"/>
      <c r="CA475" s="1195"/>
      <c r="CB475" s="249"/>
      <c r="CC475" s="216"/>
      <c r="CD475" s="1195"/>
      <c r="CE475" s="249"/>
      <c r="CF475" s="216"/>
      <c r="CG475" s="1195"/>
      <c r="CH475" s="249"/>
      <c r="CI475" s="216"/>
      <c r="CJ475" s="1195"/>
      <c r="CK475" s="249"/>
      <c r="CL475" s="216"/>
      <c r="CM475" s="1194"/>
      <c r="CN475" s="1524"/>
      <c r="CO475" s="217"/>
      <c r="CP475" s="1193"/>
      <c r="CQ475" s="293"/>
      <c r="CR475" s="217"/>
      <c r="CS475" s="305"/>
      <c r="CT475" s="249"/>
      <c r="CU475" s="216"/>
      <c r="CV475" s="1193"/>
      <c r="CW475" s="249"/>
      <c r="CX475" s="216"/>
      <c r="CY475" s="305"/>
      <c r="CZ475" s="249"/>
      <c r="DA475" s="216"/>
      <c r="DB475" s="307"/>
      <c r="DC475" s="328"/>
      <c r="DD475" s="322"/>
      <c r="DE475" s="305"/>
      <c r="DF475" s="249"/>
      <c r="DG475" s="216"/>
      <c r="DH475" s="305"/>
      <c r="DI475" s="249"/>
      <c r="DJ475" s="216"/>
      <c r="DK475" s="309"/>
      <c r="DL475" s="293"/>
      <c r="DM475" s="326"/>
      <c r="DN475" s="1256"/>
      <c r="DO475" s="214"/>
      <c r="DP475" s="1257"/>
      <c r="DQ475" s="1258"/>
      <c r="DR475" s="305"/>
      <c r="DS475" s="249"/>
      <c r="DT475" s="216"/>
      <c r="DU475" s="305"/>
      <c r="DV475" s="2520"/>
      <c r="DW475" s="2521"/>
      <c r="DX475" s="305"/>
      <c r="DY475" s="249"/>
      <c r="DZ475" s="221"/>
      <c r="EA475" s="388"/>
      <c r="EB475" s="249"/>
      <c r="EC475" s="216"/>
      <c r="ED475" s="1461"/>
      <c r="EE475" s="249"/>
      <c r="EF475" s="216"/>
      <c r="EG475" s="355"/>
      <c r="EH475" s="1425"/>
      <c r="EI475" s="1470"/>
      <c r="EJ475" s="249"/>
      <c r="EK475" s="221"/>
      <c r="EL475" s="313"/>
      <c r="EM475" s="249"/>
      <c r="EN475" s="221"/>
      <c r="EO475" s="313"/>
      <c r="EP475" s="249"/>
      <c r="EQ475" s="216"/>
      <c r="ER475" s="313"/>
      <c r="ES475" s="249"/>
      <c r="ET475" s="216"/>
      <c r="EU475" s="313"/>
      <c r="EV475" s="249"/>
      <c r="EW475" s="216"/>
      <c r="EX475" s="2505"/>
      <c r="EY475" s="249"/>
      <c r="EZ475" s="221"/>
      <c r="FA475" s="313"/>
      <c r="FB475" s="249"/>
      <c r="FC475" s="221"/>
      <c r="FD475" s="313"/>
      <c r="FE475" s="249"/>
      <c r="FF475" s="221"/>
      <c r="FG475" s="313"/>
      <c r="FH475" s="249"/>
      <c r="FI475" s="216"/>
      <c r="FJ475" s="1435"/>
      <c r="FK475" s="216"/>
      <c r="FL475" s="1268"/>
      <c r="FM475" s="1655"/>
      <c r="FN475" s="1268"/>
      <c r="FO475" s="1655"/>
      <c r="FP475" s="1268"/>
      <c r="FQ475" s="1656"/>
      <c r="FR475" s="249"/>
      <c r="FS475" s="216"/>
      <c r="FT475" s="1657"/>
      <c r="FU475" s="1658"/>
      <c r="FV475" s="242"/>
      <c r="FW475" s="343"/>
      <c r="FX475" s="222"/>
      <c r="FY475" s="336"/>
      <c r="FZ475" s="223"/>
      <c r="GA475" s="338"/>
      <c r="GB475" s="204"/>
      <c r="GC475" s="339"/>
      <c r="GD475" s="342"/>
      <c r="GE475" s="199"/>
      <c r="GF475" s="199"/>
      <c r="GG475" s="199"/>
      <c r="GH475" s="199"/>
      <c r="GI475" s="199"/>
      <c r="GJ475" s="199"/>
      <c r="GK475" s="199"/>
      <c r="GO475" s="322"/>
      <c r="GP475" s="1190"/>
      <c r="GQ475" s="1190"/>
      <c r="GS475" s="2879"/>
      <c r="GT475" s="2880"/>
      <c r="GU475" s="2881"/>
    </row>
    <row r="476" spans="1:203" ht="12" customHeight="1">
      <c r="A476" s="1252"/>
      <c r="B476" s="200"/>
      <c r="C476" s="486"/>
      <c r="T476" s="1186"/>
      <c r="U476" s="233"/>
      <c r="W476" s="218"/>
      <c r="X476" s="218"/>
      <c r="Y476" s="216"/>
      <c r="Z476" s="216"/>
      <c r="AA476" s="215"/>
      <c r="AB476" s="216"/>
      <c r="AC476" s="216"/>
      <c r="AD476" s="239"/>
      <c r="AE476" s="216"/>
      <c r="AF476" s="216"/>
      <c r="AG476" s="216"/>
      <c r="AH476" s="216"/>
      <c r="AI476" s="216"/>
      <c r="AJ476" s="216"/>
      <c r="AK476" s="239"/>
      <c r="AL476" s="216"/>
      <c r="AM476" s="216"/>
      <c r="AN476" s="216"/>
      <c r="AO476" s="216"/>
      <c r="AP476" s="216"/>
      <c r="AQ476" s="216"/>
      <c r="AR476" s="216"/>
      <c r="AS476" s="216"/>
      <c r="AT476" s="216"/>
      <c r="AU476" s="216"/>
      <c r="AV476" s="217"/>
      <c r="AW476" s="355"/>
      <c r="AX476" s="217"/>
      <c r="AY476" s="1559"/>
      <c r="AZ476" s="249"/>
      <c r="BA476" s="221"/>
      <c r="BB476" s="300"/>
      <c r="BC476" s="217"/>
      <c r="BD476" s="392"/>
      <c r="BE476" s="1244"/>
      <c r="BF476" s="249"/>
      <c r="BG476" s="252"/>
      <c r="BH476" s="1469"/>
      <c r="BI476" s="216"/>
      <c r="BJ476" s="1469"/>
      <c r="BK476" s="1459"/>
      <c r="BL476" s="260"/>
      <c r="BM476" s="214"/>
      <c r="BN476" s="293"/>
      <c r="BO476" s="217"/>
      <c r="BP476" s="355"/>
      <c r="BQ476" s="217"/>
      <c r="BR476" s="1193"/>
      <c r="BS476" s="249"/>
      <c r="BT476" s="216"/>
      <c r="BU476" s="1195"/>
      <c r="BV476" s="249"/>
      <c r="BW476" s="216"/>
      <c r="BX476" s="1195"/>
      <c r="BY476" s="249"/>
      <c r="BZ476" s="216"/>
      <c r="CA476" s="1195"/>
      <c r="CB476" s="249"/>
      <c r="CC476" s="216"/>
      <c r="CD476" s="1195"/>
      <c r="CE476" s="249"/>
      <c r="CF476" s="216"/>
      <c r="CG476" s="1195"/>
      <c r="CH476" s="249"/>
      <c r="CI476" s="216"/>
      <c r="CJ476" s="1195"/>
      <c r="CK476" s="249"/>
      <c r="CL476" s="216"/>
      <c r="CM476" s="1194"/>
      <c r="CN476" s="1524"/>
      <c r="CO476" s="217"/>
      <c r="CP476" s="1193"/>
      <c r="CQ476" s="293"/>
      <c r="CR476" s="217"/>
      <c r="CS476" s="305"/>
      <c r="CT476" s="249"/>
      <c r="CU476" s="216"/>
      <c r="CV476" s="1193"/>
      <c r="CW476" s="249"/>
      <c r="CX476" s="216"/>
      <c r="CY476" s="305"/>
      <c r="CZ476" s="249"/>
      <c r="DA476" s="216"/>
      <c r="DB476" s="307"/>
      <c r="DC476" s="328"/>
      <c r="DD476" s="322"/>
      <c r="DE476" s="305"/>
      <c r="DF476" s="249"/>
      <c r="DG476" s="216"/>
      <c r="DH476" s="305"/>
      <c r="DI476" s="249"/>
      <c r="DJ476" s="216"/>
      <c r="DK476" s="309"/>
      <c r="DL476" s="293"/>
      <c r="DM476" s="326"/>
      <c r="DN476" s="1256"/>
      <c r="DO476" s="214"/>
      <c r="DP476" s="1257"/>
      <c r="DQ476" s="1258"/>
      <c r="DR476" s="305"/>
      <c r="DS476" s="249"/>
      <c r="DT476" s="216"/>
      <c r="DU476" s="305"/>
      <c r="DV476" s="2520"/>
      <c r="DW476" s="2521"/>
      <c r="DX476" s="305"/>
      <c r="DY476" s="249"/>
      <c r="DZ476" s="221"/>
      <c r="EA476" s="388"/>
      <c r="EB476" s="249"/>
      <c r="EC476" s="216"/>
      <c r="ED476" s="1461"/>
      <c r="EE476" s="249"/>
      <c r="EF476" s="216"/>
      <c r="EG476" s="355"/>
      <c r="EH476" s="1425"/>
      <c r="EI476" s="1470"/>
      <c r="EJ476" s="249"/>
      <c r="EK476" s="221"/>
      <c r="EL476" s="313"/>
      <c r="EM476" s="249"/>
      <c r="EN476" s="221"/>
      <c r="EO476" s="313"/>
      <c r="EP476" s="249"/>
      <c r="EQ476" s="216"/>
      <c r="ER476" s="313"/>
      <c r="ES476" s="249"/>
      <c r="ET476" s="216"/>
      <c r="EU476" s="313"/>
      <c r="EV476" s="249"/>
      <c r="EW476" s="216"/>
      <c r="EX476" s="2505"/>
      <c r="EY476" s="249"/>
      <c r="EZ476" s="221"/>
      <c r="FA476" s="313"/>
      <c r="FB476" s="249"/>
      <c r="FC476" s="221"/>
      <c r="FD476" s="313"/>
      <c r="FE476" s="249"/>
      <c r="FF476" s="221"/>
      <c r="FG476" s="313"/>
      <c r="FH476" s="249"/>
      <c r="FI476" s="216"/>
      <c r="FJ476" s="1435"/>
      <c r="FK476" s="216"/>
      <c r="FL476" s="1268"/>
      <c r="FM476" s="1655"/>
      <c r="FN476" s="1268"/>
      <c r="FO476" s="1655"/>
      <c r="FP476" s="1268"/>
      <c r="FQ476" s="1656"/>
      <c r="FR476" s="249"/>
      <c r="FS476" s="216"/>
      <c r="FT476" s="1657"/>
      <c r="FU476" s="1658"/>
      <c r="FV476" s="242"/>
      <c r="FW476" s="343"/>
      <c r="FX476" s="222"/>
      <c r="FY476" s="336"/>
      <c r="FZ476" s="223"/>
      <c r="GA476" s="338"/>
      <c r="GB476" s="204"/>
      <c r="GC476" s="339"/>
      <c r="GD476" s="342"/>
      <c r="GE476" s="199"/>
      <c r="GF476" s="199"/>
      <c r="GG476" s="199"/>
      <c r="GH476" s="199"/>
      <c r="GI476" s="199"/>
      <c r="GJ476" s="199"/>
      <c r="GK476" s="199"/>
      <c r="GO476" s="322"/>
      <c r="GP476" s="1190"/>
      <c r="GQ476" s="1190"/>
      <c r="GS476" s="2879"/>
      <c r="GT476" s="2880"/>
      <c r="GU476" s="2881"/>
    </row>
    <row r="477" spans="1:203" ht="12" customHeight="1">
      <c r="A477" s="1252"/>
      <c r="B477" s="200"/>
      <c r="C477" s="486"/>
      <c r="T477" s="1186"/>
      <c r="U477" s="233"/>
      <c r="W477" s="218"/>
      <c r="X477" s="218"/>
      <c r="Y477" s="216"/>
      <c r="Z477" s="216"/>
      <c r="AA477" s="215"/>
      <c r="AB477" s="216"/>
      <c r="AC477" s="216"/>
      <c r="AD477" s="239"/>
      <c r="AE477" s="216"/>
      <c r="AF477" s="216"/>
      <c r="AG477" s="216"/>
      <c r="AH477" s="216"/>
      <c r="AI477" s="216"/>
      <c r="AJ477" s="216"/>
      <c r="AK477" s="239"/>
      <c r="AL477" s="216"/>
      <c r="AM477" s="216"/>
      <c r="AN477" s="216"/>
      <c r="AO477" s="216"/>
      <c r="AP477" s="216"/>
      <c r="AQ477" s="216"/>
      <c r="AR477" s="216"/>
      <c r="AS477" s="216"/>
      <c r="AT477" s="216"/>
      <c r="AU477" s="216"/>
      <c r="AV477" s="217"/>
      <c r="AW477" s="355"/>
      <c r="AX477" s="217"/>
      <c r="AY477" s="1559"/>
      <c r="AZ477" s="249"/>
      <c r="BA477" s="221"/>
      <c r="BB477" s="300"/>
      <c r="BC477" s="217"/>
      <c r="BD477" s="392"/>
      <c r="BE477" s="1244"/>
      <c r="BF477" s="249"/>
      <c r="BG477" s="252"/>
      <c r="BH477" s="1469"/>
      <c r="BI477" s="216"/>
      <c r="BJ477" s="1469"/>
      <c r="BK477" s="1459"/>
      <c r="BL477" s="260"/>
      <c r="BM477" s="214"/>
      <c r="BN477" s="293"/>
      <c r="BO477" s="217"/>
      <c r="BP477" s="355"/>
      <c r="BQ477" s="217"/>
      <c r="BR477" s="1193"/>
      <c r="BS477" s="249"/>
      <c r="BT477" s="216"/>
      <c r="BU477" s="1195"/>
      <c r="BV477" s="249"/>
      <c r="BW477" s="216"/>
      <c r="BX477" s="1195"/>
      <c r="BY477" s="249"/>
      <c r="BZ477" s="216"/>
      <c r="CA477" s="1195"/>
      <c r="CB477" s="249"/>
      <c r="CC477" s="216"/>
      <c r="CD477" s="1195"/>
      <c r="CE477" s="249"/>
      <c r="CF477" s="216"/>
      <c r="CG477" s="1195"/>
      <c r="CH477" s="249"/>
      <c r="CI477" s="216"/>
      <c r="CJ477" s="1195"/>
      <c r="CK477" s="249"/>
      <c r="CL477" s="216"/>
      <c r="CM477" s="1194"/>
      <c r="CN477" s="1524"/>
      <c r="CO477" s="217"/>
      <c r="CP477" s="1193"/>
      <c r="CQ477" s="293"/>
      <c r="CR477" s="217"/>
      <c r="CS477" s="305"/>
      <c r="CT477" s="249"/>
      <c r="CU477" s="216"/>
      <c r="CV477" s="1193"/>
      <c r="CW477" s="249"/>
      <c r="CX477" s="216"/>
      <c r="CY477" s="305"/>
      <c r="CZ477" s="249"/>
      <c r="DA477" s="216"/>
      <c r="DB477" s="307"/>
      <c r="DC477" s="328"/>
      <c r="DD477" s="322"/>
      <c r="DE477" s="305"/>
      <c r="DF477" s="249"/>
      <c r="DG477" s="216"/>
      <c r="DH477" s="305"/>
      <c r="DI477" s="249"/>
      <c r="DJ477" s="216"/>
      <c r="DK477" s="309"/>
      <c r="DL477" s="293"/>
      <c r="DM477" s="326"/>
      <c r="DN477" s="1256"/>
      <c r="DO477" s="214"/>
      <c r="DP477" s="1257"/>
      <c r="DQ477" s="1258"/>
      <c r="DR477" s="305"/>
      <c r="DS477" s="249"/>
      <c r="DT477" s="216"/>
      <c r="DU477" s="305"/>
      <c r="DV477" s="2520"/>
      <c r="DW477" s="2521"/>
      <c r="DX477" s="305"/>
      <c r="DY477" s="249"/>
      <c r="DZ477" s="221"/>
      <c r="EA477" s="388"/>
      <c r="EB477" s="249"/>
      <c r="EC477" s="216"/>
      <c r="ED477" s="1461"/>
      <c r="EE477" s="249"/>
      <c r="EF477" s="216"/>
      <c r="EG477" s="355"/>
      <c r="EH477" s="1425"/>
      <c r="EI477" s="1470"/>
      <c r="EJ477" s="249"/>
      <c r="EK477" s="221"/>
      <c r="EL477" s="313"/>
      <c r="EM477" s="249"/>
      <c r="EN477" s="221"/>
      <c r="EO477" s="313"/>
      <c r="EP477" s="249"/>
      <c r="EQ477" s="216"/>
      <c r="ER477" s="313"/>
      <c r="ES477" s="249"/>
      <c r="ET477" s="216"/>
      <c r="EU477" s="313"/>
      <c r="EV477" s="249"/>
      <c r="EW477" s="216"/>
      <c r="EX477" s="2505"/>
      <c r="EY477" s="249"/>
      <c r="EZ477" s="221"/>
      <c r="FA477" s="313"/>
      <c r="FB477" s="249"/>
      <c r="FC477" s="221"/>
      <c r="FD477" s="313"/>
      <c r="FE477" s="249"/>
      <c r="FF477" s="221"/>
      <c r="FG477" s="313"/>
      <c r="FH477" s="249"/>
      <c r="FI477" s="216"/>
      <c r="FJ477" s="1435"/>
      <c r="FK477" s="216"/>
      <c r="FL477" s="1268"/>
      <c r="FM477" s="1655"/>
      <c r="FN477" s="1268"/>
      <c r="FO477" s="1655"/>
      <c r="FP477" s="1268"/>
      <c r="FQ477" s="1656"/>
      <c r="FR477" s="249"/>
      <c r="FS477" s="216"/>
      <c r="FT477" s="1657"/>
      <c r="FU477" s="1658"/>
      <c r="FV477" s="242"/>
      <c r="FW477" s="343"/>
      <c r="FX477" s="222"/>
      <c r="FY477" s="336"/>
      <c r="FZ477" s="223"/>
      <c r="GA477" s="338"/>
      <c r="GB477" s="204"/>
      <c r="GC477" s="339"/>
      <c r="GD477" s="342"/>
      <c r="GE477" s="199"/>
      <c r="GF477" s="199"/>
      <c r="GG477" s="199"/>
      <c r="GH477" s="199"/>
      <c r="GI477" s="199"/>
      <c r="GJ477" s="199"/>
      <c r="GK477" s="199"/>
      <c r="GO477" s="322"/>
      <c r="GP477" s="1190"/>
      <c r="GQ477" s="1190"/>
      <c r="GS477" s="2879"/>
      <c r="GT477" s="2880"/>
      <c r="GU477" s="2881"/>
    </row>
    <row r="478" spans="1:203" ht="12" customHeight="1">
      <c r="A478" s="1252"/>
      <c r="B478" s="200"/>
      <c r="C478" s="486"/>
      <c r="T478" s="1186"/>
      <c r="U478" s="233"/>
      <c r="W478" s="218"/>
      <c r="X478" s="218"/>
      <c r="Y478" s="216"/>
      <c r="Z478" s="216"/>
      <c r="AA478" s="215"/>
      <c r="AB478" s="216"/>
      <c r="AC478" s="216"/>
      <c r="AD478" s="239"/>
      <c r="AE478" s="216"/>
      <c r="AF478" s="216"/>
      <c r="AG478" s="216"/>
      <c r="AH478" s="216"/>
      <c r="AI478" s="216"/>
      <c r="AJ478" s="216"/>
      <c r="AK478" s="239"/>
      <c r="AL478" s="216"/>
      <c r="AM478" s="216"/>
      <c r="AN478" s="216"/>
      <c r="AO478" s="216"/>
      <c r="AP478" s="216"/>
      <c r="AQ478" s="216"/>
      <c r="AR478" s="216"/>
      <c r="AS478" s="216"/>
      <c r="AT478" s="216"/>
      <c r="AU478" s="216"/>
      <c r="AV478" s="217"/>
      <c r="AW478" s="355"/>
      <c r="AX478" s="217"/>
      <c r="AY478" s="1559"/>
      <c r="AZ478" s="249"/>
      <c r="BA478" s="221"/>
      <c r="BB478" s="300"/>
      <c r="BC478" s="217"/>
      <c r="BD478" s="392"/>
      <c r="BE478" s="1244"/>
      <c r="BF478" s="249"/>
      <c r="BG478" s="252"/>
      <c r="BH478" s="1469"/>
      <c r="BI478" s="216"/>
      <c r="BJ478" s="1469"/>
      <c r="BK478" s="1459"/>
      <c r="BL478" s="260"/>
      <c r="BM478" s="214"/>
      <c r="BN478" s="293"/>
      <c r="BO478" s="217"/>
      <c r="BP478" s="355"/>
      <c r="BQ478" s="217"/>
      <c r="BR478" s="1193"/>
      <c r="BS478" s="249"/>
      <c r="BT478" s="216"/>
      <c r="BU478" s="1195"/>
      <c r="BV478" s="249"/>
      <c r="BW478" s="216"/>
      <c r="BX478" s="1195"/>
      <c r="BY478" s="249"/>
      <c r="BZ478" s="216"/>
      <c r="CA478" s="1195"/>
      <c r="CB478" s="249"/>
      <c r="CC478" s="216"/>
      <c r="CD478" s="1195"/>
      <c r="CE478" s="249"/>
      <c r="CF478" s="216"/>
      <c r="CG478" s="1195"/>
      <c r="CH478" s="249"/>
      <c r="CI478" s="216"/>
      <c r="CJ478" s="1195"/>
      <c r="CK478" s="249"/>
      <c r="CL478" s="216"/>
      <c r="CM478" s="1194"/>
      <c r="CN478" s="1524"/>
      <c r="CO478" s="217"/>
      <c r="CP478" s="1193"/>
      <c r="CQ478" s="293"/>
      <c r="CR478" s="217"/>
      <c r="CS478" s="305"/>
      <c r="CT478" s="249"/>
      <c r="CU478" s="216"/>
      <c r="CV478" s="1193"/>
      <c r="CW478" s="249"/>
      <c r="CX478" s="216"/>
      <c r="CY478" s="305"/>
      <c r="CZ478" s="249"/>
      <c r="DA478" s="216"/>
      <c r="DB478" s="307"/>
      <c r="DC478" s="328"/>
      <c r="DD478" s="322"/>
      <c r="DE478" s="305"/>
      <c r="DF478" s="249"/>
      <c r="DG478" s="216"/>
      <c r="DH478" s="305"/>
      <c r="DI478" s="249"/>
      <c r="DJ478" s="216"/>
      <c r="DK478" s="309"/>
      <c r="DL478" s="293"/>
      <c r="DM478" s="326"/>
      <c r="DN478" s="1256"/>
      <c r="DO478" s="214"/>
      <c r="DP478" s="1257"/>
      <c r="DQ478" s="1258"/>
      <c r="DR478" s="305"/>
      <c r="DS478" s="249"/>
      <c r="DT478" s="216"/>
      <c r="DU478" s="305"/>
      <c r="DV478" s="2520"/>
      <c r="DW478" s="2521"/>
      <c r="DX478" s="305"/>
      <c r="DY478" s="249"/>
      <c r="DZ478" s="221"/>
      <c r="EA478" s="388"/>
      <c r="EB478" s="249"/>
      <c r="EC478" s="216"/>
      <c r="ED478" s="1461"/>
      <c r="EE478" s="249"/>
      <c r="EF478" s="216"/>
      <c r="EG478" s="355"/>
      <c r="EH478" s="1425"/>
      <c r="EI478" s="1470"/>
      <c r="EJ478" s="249"/>
      <c r="EK478" s="221"/>
      <c r="EL478" s="313"/>
      <c r="EM478" s="249"/>
      <c r="EN478" s="221"/>
      <c r="EO478" s="313"/>
      <c r="EP478" s="249"/>
      <c r="EQ478" s="216"/>
      <c r="ER478" s="313"/>
      <c r="ES478" s="249"/>
      <c r="ET478" s="216"/>
      <c r="EU478" s="313"/>
      <c r="EV478" s="249"/>
      <c r="EW478" s="216"/>
      <c r="EX478" s="2505"/>
      <c r="EY478" s="249"/>
      <c r="EZ478" s="221"/>
      <c r="FA478" s="313"/>
      <c r="FB478" s="249"/>
      <c r="FC478" s="221"/>
      <c r="FD478" s="313"/>
      <c r="FE478" s="249"/>
      <c r="FF478" s="221"/>
      <c r="FG478" s="313"/>
      <c r="FH478" s="249"/>
      <c r="FI478" s="216"/>
      <c r="FJ478" s="1435"/>
      <c r="FK478" s="216"/>
      <c r="FL478" s="1268"/>
      <c r="FM478" s="1655"/>
      <c r="FN478" s="1268"/>
      <c r="FO478" s="1655"/>
      <c r="FP478" s="1268"/>
      <c r="FQ478" s="1656"/>
      <c r="FR478" s="249"/>
      <c r="FS478" s="216"/>
      <c r="FT478" s="1657"/>
      <c r="FU478" s="1658"/>
      <c r="FV478" s="242"/>
      <c r="FW478" s="343"/>
      <c r="FX478" s="222"/>
      <c r="FY478" s="336"/>
      <c r="FZ478" s="223"/>
      <c r="GA478" s="338"/>
      <c r="GB478" s="204"/>
      <c r="GC478" s="339"/>
      <c r="GD478" s="342"/>
      <c r="GE478" s="199"/>
      <c r="GF478" s="199"/>
      <c r="GG478" s="199"/>
      <c r="GH478" s="199"/>
      <c r="GI478" s="199"/>
      <c r="GJ478" s="199"/>
      <c r="GK478" s="199"/>
      <c r="GO478" s="322"/>
      <c r="GP478" s="1190"/>
      <c r="GQ478" s="1190"/>
      <c r="GS478" s="2879"/>
      <c r="GT478" s="2880"/>
      <c r="GU478" s="2881"/>
    </row>
    <row r="479" spans="1:203" ht="12" customHeight="1">
      <c r="A479" s="1252"/>
      <c r="B479" s="200"/>
      <c r="C479" s="486"/>
      <c r="T479" s="1186"/>
      <c r="U479" s="233"/>
      <c r="W479" s="218"/>
      <c r="X479" s="218"/>
      <c r="Y479" s="216"/>
      <c r="Z479" s="216"/>
      <c r="AA479" s="215"/>
      <c r="AB479" s="216"/>
      <c r="AC479" s="216"/>
      <c r="AD479" s="239"/>
      <c r="AE479" s="216"/>
      <c r="AF479" s="216"/>
      <c r="AG479" s="216"/>
      <c r="AH479" s="216"/>
      <c r="AI479" s="216"/>
      <c r="AJ479" s="216"/>
      <c r="AK479" s="239"/>
      <c r="AL479" s="216"/>
      <c r="AM479" s="216"/>
      <c r="AN479" s="216"/>
      <c r="AO479" s="216"/>
      <c r="AP479" s="216"/>
      <c r="AQ479" s="216"/>
      <c r="AR479" s="216"/>
      <c r="AS479" s="216"/>
      <c r="AT479" s="216"/>
      <c r="AU479" s="216"/>
      <c r="AV479" s="217"/>
      <c r="AW479" s="355"/>
      <c r="AX479" s="217"/>
      <c r="AY479" s="305"/>
      <c r="AZ479" s="249"/>
      <c r="BA479" s="221"/>
      <c r="BB479" s="300"/>
      <c r="BC479" s="217"/>
      <c r="BD479" s="392"/>
      <c r="BE479" s="1244"/>
      <c r="BF479" s="249"/>
      <c r="BG479" s="252"/>
      <c r="BH479" s="1469"/>
      <c r="BI479" s="216"/>
      <c r="BJ479" s="1469"/>
      <c r="BK479" s="1459"/>
      <c r="BL479" s="260"/>
      <c r="BM479" s="214"/>
      <c r="BN479" s="293"/>
      <c r="BO479" s="217"/>
      <c r="BP479" s="355"/>
      <c r="BQ479" s="217"/>
      <c r="BR479" s="1193"/>
      <c r="BS479" s="249"/>
      <c r="BT479" s="216"/>
      <c r="BU479" s="1195"/>
      <c r="BV479" s="249"/>
      <c r="BW479" s="216"/>
      <c r="BX479" s="1195"/>
      <c r="BY479" s="249"/>
      <c r="BZ479" s="216"/>
      <c r="CA479" s="1195"/>
      <c r="CB479" s="249"/>
      <c r="CC479" s="216"/>
      <c r="CD479" s="1195"/>
      <c r="CE479" s="249"/>
      <c r="CF479" s="216"/>
      <c r="CG479" s="1195"/>
      <c r="CH479" s="249"/>
      <c r="CI479" s="216"/>
      <c r="CJ479" s="1195"/>
      <c r="CK479" s="249"/>
      <c r="CL479" s="216"/>
      <c r="CM479" s="1194"/>
      <c r="CN479" s="1524"/>
      <c r="CO479" s="217"/>
      <c r="CP479" s="1193"/>
      <c r="CQ479" s="293"/>
      <c r="CR479" s="217"/>
      <c r="CS479" s="305"/>
      <c r="CT479" s="249"/>
      <c r="CU479" s="216"/>
      <c r="CV479" s="1193"/>
      <c r="CW479" s="249"/>
      <c r="CX479" s="216"/>
      <c r="CY479" s="305"/>
      <c r="CZ479" s="249"/>
      <c r="DA479" s="216"/>
      <c r="DB479" s="307"/>
      <c r="DC479" s="328"/>
      <c r="DD479" s="322"/>
      <c r="DE479" s="305"/>
      <c r="DF479" s="249"/>
      <c r="DG479" s="216"/>
      <c r="DH479" s="305"/>
      <c r="DI479" s="249"/>
      <c r="DJ479" s="216"/>
      <c r="DK479" s="309"/>
      <c r="DL479" s="293"/>
      <c r="DM479" s="326"/>
      <c r="DN479" s="1256"/>
      <c r="DO479" s="214"/>
      <c r="DP479" s="1257"/>
      <c r="DQ479" s="1258"/>
      <c r="DR479" s="305"/>
      <c r="DS479" s="249"/>
      <c r="DT479" s="216"/>
      <c r="DU479" s="305"/>
      <c r="DV479" s="2520"/>
      <c r="DW479" s="2521"/>
      <c r="DX479" s="305"/>
      <c r="DY479" s="249"/>
      <c r="DZ479" s="221"/>
      <c r="EA479" s="388"/>
      <c r="EB479" s="249"/>
      <c r="EC479" s="216"/>
      <c r="ED479" s="1461"/>
      <c r="EE479" s="249"/>
      <c r="EF479" s="216"/>
      <c r="EG479" s="355"/>
      <c r="EH479" s="1425"/>
      <c r="EI479" s="1470"/>
      <c r="EJ479" s="249"/>
      <c r="EK479" s="221"/>
      <c r="EL479" s="313"/>
      <c r="EM479" s="249"/>
      <c r="EN479" s="221"/>
      <c r="EO479" s="313"/>
      <c r="EP479" s="249"/>
      <c r="EQ479" s="216"/>
      <c r="ER479" s="313"/>
      <c r="ES479" s="249"/>
      <c r="ET479" s="216"/>
      <c r="EU479" s="313"/>
      <c r="EV479" s="249"/>
      <c r="EW479" s="216"/>
      <c r="EX479" s="2505"/>
      <c r="EY479" s="249"/>
      <c r="EZ479" s="221"/>
      <c r="FA479" s="313"/>
      <c r="FB479" s="249"/>
      <c r="FC479" s="221"/>
      <c r="FD479" s="313"/>
      <c r="FE479" s="249"/>
      <c r="FF479" s="221"/>
      <c r="FG479" s="313"/>
      <c r="FH479" s="249"/>
      <c r="FI479" s="216"/>
      <c r="FJ479" s="1435"/>
      <c r="FK479" s="216"/>
      <c r="FL479" s="1268"/>
      <c r="FM479" s="1655"/>
      <c r="FN479" s="1268"/>
      <c r="FO479" s="1655"/>
      <c r="FP479" s="1268"/>
      <c r="FQ479" s="1656"/>
      <c r="FR479" s="249"/>
      <c r="FS479" s="216"/>
      <c r="FT479" s="1657"/>
      <c r="FU479" s="1658"/>
      <c r="FV479" s="242"/>
      <c r="FW479" s="343"/>
      <c r="FX479" s="222"/>
      <c r="FY479" s="336"/>
      <c r="FZ479" s="223"/>
      <c r="GA479" s="338"/>
      <c r="GB479" s="204"/>
      <c r="GC479" s="339"/>
      <c r="GD479" s="342"/>
      <c r="GE479" s="199"/>
      <c r="GF479" s="199"/>
      <c r="GG479" s="199"/>
      <c r="GH479" s="199"/>
      <c r="GI479" s="199"/>
      <c r="GJ479" s="199"/>
      <c r="GK479" s="199"/>
      <c r="GO479" s="322"/>
      <c r="GP479" s="1190"/>
      <c r="GQ479" s="1190"/>
      <c r="GS479" s="2879"/>
      <c r="GT479" s="2880"/>
      <c r="GU479" s="2881"/>
    </row>
    <row r="480" spans="1:203" ht="12" customHeight="1">
      <c r="A480" s="1252"/>
      <c r="B480" s="200"/>
      <c r="C480" s="486"/>
      <c r="T480" s="1186"/>
      <c r="U480" s="233"/>
      <c r="W480" s="218"/>
      <c r="X480" s="218"/>
      <c r="Y480" s="216"/>
      <c r="Z480" s="216"/>
      <c r="AA480" s="215"/>
      <c r="AB480" s="216"/>
      <c r="AC480" s="216"/>
      <c r="AD480" s="239"/>
      <c r="AE480" s="216"/>
      <c r="AF480" s="216"/>
      <c r="AG480" s="216"/>
      <c r="AH480" s="216"/>
      <c r="AI480" s="216"/>
      <c r="AJ480" s="216"/>
      <c r="AK480" s="239"/>
      <c r="AL480" s="216"/>
      <c r="AM480" s="216"/>
      <c r="AN480" s="216"/>
      <c r="AO480" s="216"/>
      <c r="AP480" s="216"/>
      <c r="AQ480" s="216"/>
      <c r="AR480" s="216"/>
      <c r="AS480" s="216"/>
      <c r="AT480" s="216"/>
      <c r="AU480" s="216"/>
      <c r="AV480" s="217"/>
      <c r="AW480" s="355"/>
      <c r="AX480" s="217"/>
      <c r="AY480" s="305"/>
      <c r="AZ480" s="249"/>
      <c r="BA480" s="221"/>
      <c r="BB480" s="300"/>
      <c r="BC480" s="217"/>
      <c r="BD480" s="392"/>
      <c r="BE480" s="1244"/>
      <c r="BF480" s="249"/>
      <c r="BG480" s="252"/>
      <c r="BH480" s="1469"/>
      <c r="BI480" s="216"/>
      <c r="BJ480" s="1469"/>
      <c r="BK480" s="1459"/>
      <c r="BL480" s="260"/>
      <c r="BM480" s="214"/>
      <c r="BN480" s="293"/>
      <c r="BO480" s="217"/>
      <c r="BP480" s="355"/>
      <c r="BQ480" s="217"/>
      <c r="BR480" s="1193"/>
      <c r="BS480" s="249"/>
      <c r="BT480" s="216"/>
      <c r="BU480" s="1195"/>
      <c r="BV480" s="249"/>
      <c r="BW480" s="216"/>
      <c r="BX480" s="1195"/>
      <c r="BY480" s="249"/>
      <c r="BZ480" s="216"/>
      <c r="CA480" s="1195"/>
      <c r="CB480" s="249"/>
      <c r="CC480" s="216"/>
      <c r="CD480" s="1195"/>
      <c r="CE480" s="249"/>
      <c r="CF480" s="216"/>
      <c r="CG480" s="1195"/>
      <c r="CH480" s="249"/>
      <c r="CI480" s="216"/>
      <c r="CJ480" s="1195"/>
      <c r="CK480" s="249"/>
      <c r="CL480" s="216"/>
      <c r="CM480" s="1194"/>
      <c r="CN480" s="1524"/>
      <c r="CO480" s="217"/>
      <c r="CP480" s="1193"/>
      <c r="CQ480" s="293"/>
      <c r="CR480" s="217"/>
      <c r="CS480" s="305"/>
      <c r="CT480" s="249"/>
      <c r="CU480" s="216"/>
      <c r="CV480" s="1193"/>
      <c r="CW480" s="249"/>
      <c r="CX480" s="216"/>
      <c r="CY480" s="305"/>
      <c r="CZ480" s="249"/>
      <c r="DA480" s="216"/>
      <c r="DB480" s="307"/>
      <c r="DC480" s="328"/>
      <c r="DD480" s="322"/>
      <c r="DE480" s="305"/>
      <c r="DF480" s="249"/>
      <c r="DG480" s="216"/>
      <c r="DH480" s="305"/>
      <c r="DI480" s="249"/>
      <c r="DJ480" s="216"/>
      <c r="DK480" s="309"/>
      <c r="DL480" s="293"/>
      <c r="DM480" s="326"/>
      <c r="DN480" s="1256"/>
      <c r="DO480" s="214"/>
      <c r="DP480" s="1257"/>
      <c r="DQ480" s="1258"/>
      <c r="DR480" s="305"/>
      <c r="DS480" s="249"/>
      <c r="DT480" s="216"/>
      <c r="DU480" s="305"/>
      <c r="DV480" s="2520"/>
      <c r="DW480" s="2521"/>
      <c r="DX480" s="305"/>
      <c r="DY480" s="249"/>
      <c r="DZ480" s="221"/>
      <c r="EA480" s="388"/>
      <c r="EB480" s="249"/>
      <c r="EC480" s="216"/>
      <c r="ED480" s="1461"/>
      <c r="EE480" s="249"/>
      <c r="EF480" s="216"/>
      <c r="EG480" s="355"/>
      <c r="EH480" s="1425"/>
      <c r="EI480" s="1470"/>
      <c r="EJ480" s="249"/>
      <c r="EK480" s="221"/>
      <c r="EL480" s="313"/>
      <c r="EM480" s="249"/>
      <c r="EN480" s="221"/>
      <c r="EO480" s="313"/>
      <c r="EP480" s="249"/>
      <c r="EQ480" s="216"/>
      <c r="ER480" s="313"/>
      <c r="ES480" s="249"/>
      <c r="ET480" s="216"/>
      <c r="EU480" s="313"/>
      <c r="EV480" s="249"/>
      <c r="EW480" s="216"/>
      <c r="EX480" s="2505"/>
      <c r="EY480" s="249"/>
      <c r="EZ480" s="221"/>
      <c r="FA480" s="313"/>
      <c r="FB480" s="249"/>
      <c r="FC480" s="221"/>
      <c r="FD480" s="313"/>
      <c r="FE480" s="249"/>
      <c r="FF480" s="221"/>
      <c r="FG480" s="313"/>
      <c r="FH480" s="249"/>
      <c r="FI480" s="216"/>
      <c r="FJ480" s="1435"/>
      <c r="FK480" s="216"/>
      <c r="FL480" s="1268"/>
      <c r="FM480" s="1655"/>
      <c r="FN480" s="1268"/>
      <c r="FO480" s="1655"/>
      <c r="FP480" s="1268"/>
      <c r="FQ480" s="1656"/>
      <c r="FR480" s="249"/>
      <c r="FS480" s="216"/>
      <c r="FT480" s="1657"/>
      <c r="FU480" s="1658"/>
      <c r="FV480" s="242"/>
      <c r="FW480" s="343"/>
      <c r="FX480" s="222"/>
      <c r="FY480" s="336"/>
      <c r="FZ480" s="223"/>
      <c r="GA480" s="338"/>
      <c r="GB480" s="204"/>
      <c r="GC480" s="339"/>
      <c r="GD480" s="342"/>
      <c r="GE480" s="199"/>
      <c r="GF480" s="199"/>
      <c r="GG480" s="199"/>
      <c r="GH480" s="199"/>
      <c r="GI480" s="199"/>
      <c r="GJ480" s="199"/>
      <c r="GK480" s="199"/>
      <c r="GO480" s="322"/>
      <c r="GP480" s="1190"/>
      <c r="GQ480" s="1190"/>
      <c r="GS480" s="2879"/>
      <c r="GT480" s="2880"/>
      <c r="GU480" s="2881"/>
    </row>
    <row r="481" spans="1:203" ht="12" customHeight="1">
      <c r="A481" s="1252"/>
      <c r="B481" s="200"/>
      <c r="C481" s="486"/>
      <c r="T481" s="1186"/>
      <c r="U481" s="233"/>
      <c r="W481" s="218"/>
      <c r="X481" s="218"/>
      <c r="Y481" s="216"/>
      <c r="Z481" s="216"/>
      <c r="AA481" s="215"/>
      <c r="AB481" s="216"/>
      <c r="AC481" s="216"/>
      <c r="AD481" s="239"/>
      <c r="AE481" s="216"/>
      <c r="AF481" s="216"/>
      <c r="AG481" s="216"/>
      <c r="AH481" s="216"/>
      <c r="AI481" s="216"/>
      <c r="AJ481" s="216"/>
      <c r="AK481" s="239"/>
      <c r="AL481" s="216"/>
      <c r="AM481" s="216"/>
      <c r="AN481" s="216"/>
      <c r="AO481" s="216"/>
      <c r="AP481" s="216"/>
      <c r="AQ481" s="216"/>
      <c r="AR481" s="216"/>
      <c r="AS481" s="216"/>
      <c r="AT481" s="216"/>
      <c r="AU481" s="216"/>
      <c r="AV481" s="217"/>
      <c r="AW481" s="355"/>
      <c r="AX481" s="217"/>
      <c r="AY481" s="305"/>
      <c r="AZ481" s="249"/>
      <c r="BA481" s="221"/>
      <c r="BB481" s="300"/>
      <c r="BC481" s="217"/>
      <c r="BD481" s="392"/>
      <c r="BE481" s="1244"/>
      <c r="BF481" s="249"/>
      <c r="BG481" s="252"/>
      <c r="BH481" s="1469"/>
      <c r="BI481" s="216"/>
      <c r="BJ481" s="1469"/>
      <c r="BK481" s="1459"/>
      <c r="BL481" s="260"/>
      <c r="BM481" s="214"/>
      <c r="BN481" s="293"/>
      <c r="BO481" s="217"/>
      <c r="BP481" s="355"/>
      <c r="BQ481" s="217"/>
      <c r="BR481" s="1193"/>
      <c r="BS481" s="249"/>
      <c r="BT481" s="216"/>
      <c r="BU481" s="1195"/>
      <c r="BV481" s="249"/>
      <c r="BW481" s="216"/>
      <c r="BX481" s="1195"/>
      <c r="BY481" s="249"/>
      <c r="BZ481" s="216"/>
      <c r="CA481" s="1195"/>
      <c r="CB481" s="249"/>
      <c r="CC481" s="216"/>
      <c r="CD481" s="1195"/>
      <c r="CE481" s="249"/>
      <c r="CF481" s="216"/>
      <c r="CG481" s="1195"/>
      <c r="CH481" s="249"/>
      <c r="CI481" s="216"/>
      <c r="CJ481" s="1195"/>
      <c r="CK481" s="249"/>
      <c r="CL481" s="216"/>
      <c r="CM481" s="1194"/>
      <c r="CN481" s="1524"/>
      <c r="CO481" s="217"/>
      <c r="CP481" s="1193"/>
      <c r="CQ481" s="293"/>
      <c r="CR481" s="217"/>
      <c r="CS481" s="305"/>
      <c r="CT481" s="249"/>
      <c r="CU481" s="216"/>
      <c r="CV481" s="1193"/>
      <c r="CW481" s="249"/>
      <c r="CX481" s="216"/>
      <c r="CY481" s="305"/>
      <c r="CZ481" s="249"/>
      <c r="DA481" s="216"/>
      <c r="DB481" s="307"/>
      <c r="DC481" s="328"/>
      <c r="DD481" s="322"/>
      <c r="DE481" s="305"/>
      <c r="DF481" s="249"/>
      <c r="DG481" s="216"/>
      <c r="DH481" s="305"/>
      <c r="DI481" s="249"/>
      <c r="DJ481" s="216"/>
      <c r="DK481" s="309"/>
      <c r="DL481" s="293"/>
      <c r="DM481" s="326"/>
      <c r="DN481" s="1256"/>
      <c r="DO481" s="214"/>
      <c r="DP481" s="1257"/>
      <c r="DQ481" s="1258"/>
      <c r="DR481" s="305"/>
      <c r="DS481" s="249"/>
      <c r="DT481" s="216"/>
      <c r="DU481" s="305"/>
      <c r="DV481" s="2520"/>
      <c r="DW481" s="2521"/>
      <c r="DX481" s="305"/>
      <c r="DY481" s="249"/>
      <c r="DZ481" s="221"/>
      <c r="EA481" s="388"/>
      <c r="EB481" s="249"/>
      <c r="EC481" s="216"/>
      <c r="ED481" s="1461"/>
      <c r="EE481" s="249"/>
      <c r="EF481" s="216"/>
      <c r="EG481" s="355"/>
      <c r="EH481" s="1425"/>
      <c r="EI481" s="1470"/>
      <c r="EJ481" s="249"/>
      <c r="EK481" s="221"/>
      <c r="EL481" s="313"/>
      <c r="EM481" s="249"/>
      <c r="EN481" s="221"/>
      <c r="EO481" s="313"/>
      <c r="EP481" s="249"/>
      <c r="EQ481" s="216"/>
      <c r="ER481" s="313"/>
      <c r="ES481" s="249"/>
      <c r="ET481" s="216"/>
      <c r="EU481" s="313"/>
      <c r="EV481" s="249"/>
      <c r="EW481" s="216"/>
      <c r="EX481" s="2505"/>
      <c r="EY481" s="249"/>
      <c r="EZ481" s="221"/>
      <c r="FA481" s="313"/>
      <c r="FB481" s="249"/>
      <c r="FC481" s="221"/>
      <c r="FD481" s="313"/>
      <c r="FE481" s="249"/>
      <c r="FF481" s="221"/>
      <c r="FG481" s="313"/>
      <c r="FH481" s="249"/>
      <c r="FI481" s="216"/>
      <c r="FJ481" s="1435"/>
      <c r="FK481" s="216"/>
      <c r="FL481" s="1268"/>
      <c r="FM481" s="1655"/>
      <c r="FN481" s="1268"/>
      <c r="FO481" s="1655"/>
      <c r="FP481" s="1268"/>
      <c r="FQ481" s="1656"/>
      <c r="FR481" s="249"/>
      <c r="FS481" s="216"/>
      <c r="FT481" s="1657"/>
      <c r="FU481" s="1658"/>
      <c r="FV481" s="242"/>
      <c r="FW481" s="343"/>
      <c r="FX481" s="222"/>
      <c r="FY481" s="336"/>
      <c r="FZ481" s="223"/>
      <c r="GA481" s="338"/>
      <c r="GB481" s="204"/>
      <c r="GC481" s="339"/>
      <c r="GD481" s="342"/>
      <c r="GE481" s="199"/>
      <c r="GF481" s="199"/>
      <c r="GG481" s="199"/>
      <c r="GH481" s="199"/>
      <c r="GI481" s="199"/>
      <c r="GJ481" s="199"/>
      <c r="GK481" s="199"/>
      <c r="GO481" s="322"/>
      <c r="GP481" s="1190"/>
      <c r="GQ481" s="1190"/>
      <c r="GS481" s="2879"/>
      <c r="GT481" s="2880"/>
      <c r="GU481" s="2881"/>
    </row>
    <row r="482" spans="1:203" ht="12" customHeight="1">
      <c r="A482" s="1252"/>
      <c r="B482" s="200"/>
      <c r="C482" s="486"/>
      <c r="T482" s="1186"/>
      <c r="U482" s="233"/>
      <c r="W482" s="218"/>
      <c r="X482" s="218"/>
      <c r="Y482" s="216"/>
      <c r="Z482" s="216"/>
      <c r="AA482" s="215"/>
      <c r="AB482" s="216"/>
      <c r="AC482" s="216"/>
      <c r="AD482" s="239"/>
      <c r="AE482" s="216"/>
      <c r="AF482" s="216"/>
      <c r="AG482" s="216"/>
      <c r="AH482" s="216"/>
      <c r="AI482" s="216"/>
      <c r="AJ482" s="216"/>
      <c r="AK482" s="239"/>
      <c r="AL482" s="216"/>
      <c r="AM482" s="216"/>
      <c r="AN482" s="216"/>
      <c r="AO482" s="216"/>
      <c r="AP482" s="216"/>
      <c r="AQ482" s="216"/>
      <c r="AR482" s="216"/>
      <c r="AS482" s="216"/>
      <c r="AT482" s="216"/>
      <c r="AU482" s="216"/>
      <c r="AV482" s="217"/>
      <c r="AW482" s="355"/>
      <c r="AX482" s="217"/>
      <c r="AY482" s="305"/>
      <c r="AZ482" s="249"/>
      <c r="BA482" s="221"/>
      <c r="BB482" s="300"/>
      <c r="BC482" s="217"/>
      <c r="BD482" s="392"/>
      <c r="BE482" s="1244"/>
      <c r="BF482" s="249"/>
      <c r="BG482" s="252"/>
      <c r="BH482" s="1469"/>
      <c r="BI482" s="216"/>
      <c r="BJ482" s="1469"/>
      <c r="BK482" s="1459"/>
      <c r="BL482" s="260"/>
      <c r="BM482" s="214"/>
      <c r="BN482" s="293"/>
      <c r="BO482" s="217"/>
      <c r="BP482" s="355"/>
      <c r="BQ482" s="217"/>
      <c r="BR482" s="1193"/>
      <c r="BS482" s="249"/>
      <c r="BT482" s="216"/>
      <c r="BU482" s="1195"/>
      <c r="BV482" s="249"/>
      <c r="BW482" s="216"/>
      <c r="BX482" s="1195"/>
      <c r="BY482" s="249"/>
      <c r="BZ482" s="216"/>
      <c r="CA482" s="1195"/>
      <c r="CB482" s="249"/>
      <c r="CC482" s="216"/>
      <c r="CD482" s="1195"/>
      <c r="CE482" s="249"/>
      <c r="CF482" s="216"/>
      <c r="CG482" s="1195"/>
      <c r="CH482" s="249"/>
      <c r="CI482" s="216"/>
      <c r="CJ482" s="1195"/>
      <c r="CK482" s="249"/>
      <c r="CL482" s="216"/>
      <c r="CM482" s="1194"/>
      <c r="CN482" s="1524"/>
      <c r="CO482" s="217"/>
      <c r="CP482" s="1193"/>
      <c r="CQ482" s="293"/>
      <c r="CR482" s="217"/>
      <c r="CS482" s="305"/>
      <c r="CT482" s="249"/>
      <c r="CU482" s="216"/>
      <c r="CV482" s="1193"/>
      <c r="CW482" s="249"/>
      <c r="CX482" s="216"/>
      <c r="CY482" s="305"/>
      <c r="CZ482" s="249"/>
      <c r="DA482" s="216"/>
      <c r="DB482" s="307"/>
      <c r="DC482" s="328"/>
      <c r="DD482" s="322"/>
      <c r="DE482" s="305"/>
      <c r="DF482" s="249"/>
      <c r="DG482" s="216"/>
      <c r="DH482" s="305"/>
      <c r="DI482" s="249"/>
      <c r="DJ482" s="216"/>
      <c r="DK482" s="309"/>
      <c r="DL482" s="293"/>
      <c r="DM482" s="326"/>
      <c r="DN482" s="1256"/>
      <c r="DO482" s="214"/>
      <c r="DP482" s="1257"/>
      <c r="DQ482" s="1258"/>
      <c r="DR482" s="305"/>
      <c r="DS482" s="249"/>
      <c r="DT482" s="216"/>
      <c r="DU482" s="305"/>
      <c r="DV482" s="2520"/>
      <c r="DW482" s="2521"/>
      <c r="DX482" s="305"/>
      <c r="DY482" s="249"/>
      <c r="DZ482" s="221"/>
      <c r="EA482" s="388"/>
      <c r="EB482" s="249"/>
      <c r="EC482" s="216"/>
      <c r="ED482" s="1461"/>
      <c r="EE482" s="249"/>
      <c r="EF482" s="216"/>
      <c r="EG482" s="355"/>
      <c r="EH482" s="1425"/>
      <c r="EI482" s="1470"/>
      <c r="EJ482" s="249"/>
      <c r="EK482" s="221"/>
      <c r="EL482" s="313"/>
      <c r="EM482" s="249"/>
      <c r="EN482" s="221"/>
      <c r="EO482" s="313"/>
      <c r="EP482" s="249"/>
      <c r="EQ482" s="216"/>
      <c r="ER482" s="313"/>
      <c r="ES482" s="249"/>
      <c r="ET482" s="216"/>
      <c r="EU482" s="313"/>
      <c r="EV482" s="249"/>
      <c r="EW482" s="216"/>
      <c r="EX482" s="2505"/>
      <c r="EY482" s="249"/>
      <c r="EZ482" s="221"/>
      <c r="FA482" s="313"/>
      <c r="FB482" s="249"/>
      <c r="FC482" s="221"/>
      <c r="FD482" s="313"/>
      <c r="FE482" s="249"/>
      <c r="FF482" s="221"/>
      <c r="FG482" s="313"/>
      <c r="FH482" s="249"/>
      <c r="FI482" s="216"/>
      <c r="FJ482" s="1435"/>
      <c r="FK482" s="216"/>
      <c r="FL482" s="1268"/>
      <c r="FM482" s="1655"/>
      <c r="FN482" s="1268"/>
      <c r="FO482" s="1655"/>
      <c r="FP482" s="1268"/>
      <c r="FQ482" s="1656"/>
      <c r="FR482" s="249"/>
      <c r="FS482" s="216"/>
      <c r="FT482" s="1657"/>
      <c r="FU482" s="1658"/>
      <c r="FV482" s="242"/>
      <c r="FW482" s="343"/>
      <c r="FX482" s="222"/>
      <c r="FY482" s="336"/>
      <c r="FZ482" s="223"/>
      <c r="GA482" s="338"/>
      <c r="GB482" s="204"/>
      <c r="GC482" s="339"/>
      <c r="GD482" s="342"/>
      <c r="GE482" s="199"/>
      <c r="GF482" s="199"/>
      <c r="GG482" s="199"/>
      <c r="GH482" s="199"/>
      <c r="GI482" s="199"/>
      <c r="GJ482" s="199"/>
      <c r="GK482" s="199"/>
      <c r="GO482" s="322"/>
      <c r="GP482" s="1190"/>
      <c r="GQ482" s="1190"/>
      <c r="GS482" s="2879"/>
      <c r="GT482" s="2880"/>
      <c r="GU482" s="2881"/>
    </row>
    <row r="483" spans="1:203" ht="12" customHeight="1">
      <c r="A483" s="1252"/>
      <c r="B483" s="200"/>
      <c r="C483" s="486"/>
      <c r="T483" s="1186"/>
      <c r="U483" s="233"/>
      <c r="W483" s="218"/>
      <c r="X483" s="218"/>
      <c r="Y483" s="216"/>
      <c r="Z483" s="216"/>
      <c r="AA483" s="215"/>
      <c r="AB483" s="216"/>
      <c r="AC483" s="216"/>
      <c r="AD483" s="239"/>
      <c r="AE483" s="216"/>
      <c r="AF483" s="216"/>
      <c r="AG483" s="216"/>
      <c r="AH483" s="216"/>
      <c r="AI483" s="216"/>
      <c r="AJ483" s="216"/>
      <c r="AK483" s="239"/>
      <c r="AL483" s="216"/>
      <c r="AM483" s="216"/>
      <c r="AN483" s="216"/>
      <c r="AO483" s="216"/>
      <c r="AP483" s="216"/>
      <c r="AQ483" s="216"/>
      <c r="AR483" s="216"/>
      <c r="AS483" s="216"/>
      <c r="AT483" s="216"/>
      <c r="AU483" s="216"/>
      <c r="AV483" s="217"/>
      <c r="AW483" s="355"/>
      <c r="AX483" s="217"/>
      <c r="AY483" s="305"/>
      <c r="AZ483" s="249"/>
      <c r="BA483" s="221"/>
      <c r="BB483" s="300"/>
      <c r="BC483" s="217"/>
      <c r="BD483" s="392"/>
      <c r="BE483" s="1244"/>
      <c r="BF483" s="249"/>
      <c r="BG483" s="252"/>
      <c r="BH483" s="1469"/>
      <c r="BI483" s="216"/>
      <c r="BJ483" s="1469"/>
      <c r="BK483" s="1459"/>
      <c r="BL483" s="260"/>
      <c r="BM483" s="214"/>
      <c r="BN483" s="293"/>
      <c r="BO483" s="217"/>
      <c r="BP483" s="355"/>
      <c r="BQ483" s="217"/>
      <c r="BR483" s="1193"/>
      <c r="BS483" s="249"/>
      <c r="BT483" s="216"/>
      <c r="BU483" s="1195"/>
      <c r="BV483" s="249"/>
      <c r="BW483" s="216"/>
      <c r="BX483" s="1195"/>
      <c r="BY483" s="249"/>
      <c r="BZ483" s="216"/>
      <c r="CA483" s="1195"/>
      <c r="CB483" s="249"/>
      <c r="CC483" s="216"/>
      <c r="CD483" s="1195"/>
      <c r="CE483" s="249"/>
      <c r="CF483" s="216"/>
      <c r="CG483" s="1195"/>
      <c r="CH483" s="249"/>
      <c r="CI483" s="216"/>
      <c r="CJ483" s="1195"/>
      <c r="CK483" s="249"/>
      <c r="CL483" s="216"/>
      <c r="CM483" s="1194"/>
      <c r="CN483" s="1524"/>
      <c r="CO483" s="217"/>
      <c r="CP483" s="1193"/>
      <c r="CQ483" s="293"/>
      <c r="CR483" s="217"/>
      <c r="CS483" s="305"/>
      <c r="CT483" s="249"/>
      <c r="CU483" s="216"/>
      <c r="CV483" s="1193"/>
      <c r="CW483" s="249"/>
      <c r="CX483" s="216"/>
      <c r="CY483" s="305"/>
      <c r="CZ483" s="249"/>
      <c r="DA483" s="216"/>
      <c r="DB483" s="307"/>
      <c r="DC483" s="328"/>
      <c r="DD483" s="322"/>
      <c r="DE483" s="305"/>
      <c r="DF483" s="249"/>
      <c r="DG483" s="216"/>
      <c r="DH483" s="305"/>
      <c r="DI483" s="249"/>
      <c r="DJ483" s="216"/>
      <c r="DK483" s="309"/>
      <c r="DL483" s="293"/>
      <c r="DM483" s="326"/>
      <c r="DN483" s="1256"/>
      <c r="DO483" s="214"/>
      <c r="DP483" s="1257"/>
      <c r="DQ483" s="1258"/>
      <c r="DR483" s="305"/>
      <c r="DS483" s="249"/>
      <c r="DT483" s="216"/>
      <c r="DU483" s="305"/>
      <c r="DV483" s="2520"/>
      <c r="DW483" s="2521"/>
      <c r="DX483" s="305"/>
      <c r="DY483" s="249"/>
      <c r="DZ483" s="221"/>
      <c r="EA483" s="388"/>
      <c r="EB483" s="249"/>
      <c r="EC483" s="216"/>
      <c r="ED483" s="1461"/>
      <c r="EE483" s="249"/>
      <c r="EF483" s="216"/>
      <c r="EG483" s="355"/>
      <c r="EH483" s="1425"/>
      <c r="EI483" s="1470"/>
      <c r="EJ483" s="249"/>
      <c r="EK483" s="221"/>
      <c r="EL483" s="313"/>
      <c r="EM483" s="249"/>
      <c r="EN483" s="221"/>
      <c r="EO483" s="313"/>
      <c r="EP483" s="249"/>
      <c r="EQ483" s="216"/>
      <c r="ER483" s="313"/>
      <c r="ES483" s="249"/>
      <c r="ET483" s="216"/>
      <c r="EU483" s="313"/>
      <c r="EV483" s="249"/>
      <c r="EW483" s="216"/>
      <c r="EX483" s="2505"/>
      <c r="EY483" s="249"/>
      <c r="EZ483" s="221"/>
      <c r="FA483" s="313"/>
      <c r="FB483" s="249"/>
      <c r="FC483" s="221"/>
      <c r="FD483" s="313"/>
      <c r="FE483" s="249"/>
      <c r="FF483" s="221"/>
      <c r="FG483" s="313"/>
      <c r="FH483" s="249"/>
      <c r="FI483" s="216"/>
      <c r="FJ483" s="1435"/>
      <c r="FK483" s="216"/>
      <c r="FL483" s="1268"/>
      <c r="FM483" s="1655"/>
      <c r="FN483" s="1268"/>
      <c r="FO483" s="1655"/>
      <c r="FP483" s="1268"/>
      <c r="FQ483" s="1656"/>
      <c r="FR483" s="249"/>
      <c r="FS483" s="216"/>
      <c r="FT483" s="1657"/>
      <c r="FU483" s="1658"/>
      <c r="FV483" s="242"/>
      <c r="FW483" s="343"/>
      <c r="FX483" s="222"/>
      <c r="FY483" s="336"/>
      <c r="FZ483" s="223"/>
      <c r="GA483" s="338"/>
      <c r="GB483" s="204"/>
      <c r="GC483" s="339"/>
      <c r="GD483" s="342"/>
      <c r="GE483" s="199"/>
      <c r="GF483" s="199"/>
      <c r="GG483" s="199"/>
      <c r="GH483" s="199"/>
      <c r="GI483" s="199"/>
      <c r="GJ483" s="199"/>
      <c r="GK483" s="199"/>
      <c r="GO483" s="322"/>
      <c r="GP483" s="1190"/>
      <c r="GQ483" s="1190"/>
      <c r="GS483" s="2879"/>
      <c r="GT483" s="2880"/>
      <c r="GU483" s="2881"/>
    </row>
    <row r="484" spans="1:203" ht="12" customHeight="1">
      <c r="A484" s="1252"/>
      <c r="B484" s="200"/>
      <c r="C484" s="486"/>
      <c r="T484" s="1186"/>
      <c r="U484" s="233"/>
      <c r="W484" s="218"/>
      <c r="X484" s="218"/>
      <c r="Y484" s="216"/>
      <c r="Z484" s="216"/>
      <c r="AA484" s="215"/>
      <c r="AB484" s="216"/>
      <c r="AC484" s="216"/>
      <c r="AD484" s="239"/>
      <c r="AE484" s="216"/>
      <c r="AF484" s="216"/>
      <c r="AG484" s="216"/>
      <c r="AH484" s="216"/>
      <c r="AI484" s="216"/>
      <c r="AJ484" s="216"/>
      <c r="AK484" s="239"/>
      <c r="AL484" s="216"/>
      <c r="AM484" s="216"/>
      <c r="AN484" s="216"/>
      <c r="AO484" s="216"/>
      <c r="AP484" s="216"/>
      <c r="AQ484" s="216"/>
      <c r="AR484" s="216"/>
      <c r="AS484" s="216"/>
      <c r="AT484" s="216"/>
      <c r="AU484" s="216"/>
      <c r="AV484" s="217"/>
      <c r="AW484" s="355"/>
      <c r="AX484" s="217"/>
      <c r="AY484" s="305"/>
      <c r="AZ484" s="249"/>
      <c r="BA484" s="221"/>
      <c r="BB484" s="300"/>
      <c r="BC484" s="217"/>
      <c r="BD484" s="392"/>
      <c r="BE484" s="1244"/>
      <c r="BF484" s="249"/>
      <c r="BG484" s="252"/>
      <c r="BH484" s="1469"/>
      <c r="BI484" s="216"/>
      <c r="BJ484" s="1469"/>
      <c r="BK484" s="1459"/>
      <c r="BL484" s="260"/>
      <c r="BM484" s="214"/>
      <c r="BN484" s="293"/>
      <c r="BO484" s="217"/>
      <c r="BP484" s="355"/>
      <c r="BQ484" s="217"/>
      <c r="BR484" s="1193"/>
      <c r="BS484" s="249"/>
      <c r="BT484" s="216"/>
      <c r="BU484" s="1195"/>
      <c r="BV484" s="249"/>
      <c r="BW484" s="216"/>
      <c r="BX484" s="1195"/>
      <c r="BY484" s="249"/>
      <c r="BZ484" s="216"/>
      <c r="CA484" s="1195"/>
      <c r="CB484" s="249"/>
      <c r="CC484" s="216"/>
      <c r="CD484" s="1195"/>
      <c r="CE484" s="249"/>
      <c r="CF484" s="216"/>
      <c r="CG484" s="1195"/>
      <c r="CH484" s="249"/>
      <c r="CI484" s="216"/>
      <c r="CJ484" s="1195"/>
      <c r="CK484" s="249"/>
      <c r="CL484" s="216"/>
      <c r="CM484" s="1194"/>
      <c r="CN484" s="1524"/>
      <c r="CO484" s="217"/>
      <c r="CP484" s="1193"/>
      <c r="CQ484" s="293"/>
      <c r="CR484" s="217"/>
      <c r="CS484" s="305"/>
      <c r="CT484" s="249"/>
      <c r="CU484" s="216"/>
      <c r="CV484" s="1193"/>
      <c r="CW484" s="249"/>
      <c r="CX484" s="216"/>
      <c r="CY484" s="305"/>
      <c r="CZ484" s="249"/>
      <c r="DA484" s="216"/>
      <c r="DB484" s="307"/>
      <c r="DC484" s="328"/>
      <c r="DD484" s="322"/>
      <c r="DE484" s="305"/>
      <c r="DF484" s="249"/>
      <c r="DG484" s="216"/>
      <c r="DH484" s="305"/>
      <c r="DI484" s="249"/>
      <c r="DJ484" s="216"/>
      <c r="DK484" s="309"/>
      <c r="DL484" s="293"/>
      <c r="DM484" s="326"/>
      <c r="DN484" s="1256"/>
      <c r="DO484" s="214"/>
      <c r="DP484" s="1257"/>
      <c r="DQ484" s="1258"/>
      <c r="DR484" s="305"/>
      <c r="DS484" s="249"/>
      <c r="DT484" s="216"/>
      <c r="DU484" s="305"/>
      <c r="DV484" s="2520"/>
      <c r="DW484" s="2521"/>
      <c r="DX484" s="305"/>
      <c r="DY484" s="249"/>
      <c r="DZ484" s="221"/>
      <c r="EA484" s="388"/>
      <c r="EB484" s="249"/>
      <c r="EC484" s="216"/>
      <c r="ED484" s="1461"/>
      <c r="EE484" s="249"/>
      <c r="EF484" s="216"/>
      <c r="EG484" s="355"/>
      <c r="EH484" s="1425"/>
      <c r="EI484" s="1470"/>
      <c r="EJ484" s="249"/>
      <c r="EK484" s="221"/>
      <c r="EL484" s="313"/>
      <c r="EM484" s="249"/>
      <c r="EN484" s="221"/>
      <c r="EO484" s="313"/>
      <c r="EP484" s="249"/>
      <c r="EQ484" s="216"/>
      <c r="ER484" s="313"/>
      <c r="ES484" s="249"/>
      <c r="ET484" s="216"/>
      <c r="EU484" s="313"/>
      <c r="EV484" s="249"/>
      <c r="EW484" s="216"/>
      <c r="EX484" s="2505"/>
      <c r="EY484" s="249"/>
      <c r="EZ484" s="221"/>
      <c r="FA484" s="313"/>
      <c r="FB484" s="249"/>
      <c r="FC484" s="221"/>
      <c r="FD484" s="313"/>
      <c r="FE484" s="249"/>
      <c r="FF484" s="221"/>
      <c r="FG484" s="313"/>
      <c r="FH484" s="249"/>
      <c r="FI484" s="216"/>
      <c r="FJ484" s="1435"/>
      <c r="FK484" s="216"/>
      <c r="FL484" s="1268"/>
      <c r="FM484" s="1655"/>
      <c r="FN484" s="1268"/>
      <c r="FO484" s="1655"/>
      <c r="FP484" s="1268"/>
      <c r="FQ484" s="1656"/>
      <c r="FR484" s="249"/>
      <c r="FS484" s="216"/>
      <c r="FT484" s="1657"/>
      <c r="FU484" s="1658"/>
      <c r="FV484" s="242"/>
      <c r="FW484" s="343"/>
      <c r="FX484" s="222"/>
      <c r="FY484" s="336"/>
      <c r="FZ484" s="223"/>
      <c r="GA484" s="338"/>
      <c r="GB484" s="204"/>
      <c r="GC484" s="339"/>
      <c r="GD484" s="342"/>
      <c r="GE484" s="199"/>
      <c r="GF484" s="199"/>
      <c r="GG484" s="199"/>
      <c r="GH484" s="199"/>
      <c r="GI484" s="199"/>
      <c r="GJ484" s="199"/>
      <c r="GK484" s="199"/>
      <c r="GO484" s="322"/>
      <c r="GP484" s="1190"/>
      <c r="GQ484" s="1190"/>
      <c r="GS484" s="2879"/>
      <c r="GT484" s="2880"/>
      <c r="GU484" s="2881"/>
    </row>
    <row r="485" spans="1:203" ht="12" customHeight="1">
      <c r="A485" s="1252"/>
      <c r="B485" s="200"/>
      <c r="C485" s="486"/>
      <c r="T485" s="1186"/>
      <c r="U485" s="233"/>
      <c r="W485" s="218"/>
      <c r="X485" s="218"/>
      <c r="Y485" s="216"/>
      <c r="Z485" s="216"/>
      <c r="AA485" s="215"/>
      <c r="AB485" s="216"/>
      <c r="AC485" s="216"/>
      <c r="AD485" s="239"/>
      <c r="AE485" s="216"/>
      <c r="AF485" s="216"/>
      <c r="AG485" s="216"/>
      <c r="AH485" s="216"/>
      <c r="AI485" s="216"/>
      <c r="AJ485" s="216"/>
      <c r="AK485" s="239"/>
      <c r="AL485" s="216"/>
      <c r="AM485" s="216"/>
      <c r="AN485" s="216"/>
      <c r="AO485" s="216"/>
      <c r="AP485" s="216"/>
      <c r="AQ485" s="216"/>
      <c r="AR485" s="216"/>
      <c r="AS485" s="216"/>
      <c r="AT485" s="216"/>
      <c r="AU485" s="216"/>
      <c r="AV485" s="217"/>
      <c r="AW485" s="355"/>
      <c r="AX485" s="217"/>
      <c r="AY485" s="305"/>
      <c r="AZ485" s="249"/>
      <c r="BA485" s="221"/>
      <c r="BB485" s="300"/>
      <c r="BC485" s="217"/>
      <c r="BD485" s="392"/>
      <c r="BE485" s="1244"/>
      <c r="BF485" s="249"/>
      <c r="BG485" s="252"/>
      <c r="BH485" s="1469"/>
      <c r="BI485" s="216"/>
      <c r="BJ485" s="1469"/>
      <c r="BK485" s="1459"/>
      <c r="BL485" s="260"/>
      <c r="BM485" s="214"/>
      <c r="BN485" s="293"/>
      <c r="BO485" s="217"/>
      <c r="BP485" s="355"/>
      <c r="BQ485" s="217"/>
      <c r="BR485" s="1193"/>
      <c r="BS485" s="249"/>
      <c r="BT485" s="216"/>
      <c r="BU485" s="1195"/>
      <c r="BV485" s="249"/>
      <c r="BW485" s="216"/>
      <c r="BX485" s="1195"/>
      <c r="BY485" s="249"/>
      <c r="BZ485" s="216"/>
      <c r="CA485" s="1195"/>
      <c r="CB485" s="249"/>
      <c r="CC485" s="216"/>
      <c r="CD485" s="1195"/>
      <c r="CE485" s="249"/>
      <c r="CF485" s="216"/>
      <c r="CG485" s="1195"/>
      <c r="CH485" s="249"/>
      <c r="CI485" s="216"/>
      <c r="CJ485" s="1195"/>
      <c r="CK485" s="249"/>
      <c r="CL485" s="216"/>
      <c r="CM485" s="1194"/>
      <c r="CN485" s="1524"/>
      <c r="CO485" s="217"/>
      <c r="CP485" s="1193"/>
      <c r="CQ485" s="293"/>
      <c r="CR485" s="217"/>
      <c r="CS485" s="305"/>
      <c r="CT485" s="249"/>
      <c r="CU485" s="216"/>
      <c r="CV485" s="1193"/>
      <c r="CW485" s="249"/>
      <c r="CX485" s="216"/>
      <c r="CY485" s="305"/>
      <c r="CZ485" s="249"/>
      <c r="DA485" s="216"/>
      <c r="DB485" s="307"/>
      <c r="DC485" s="328"/>
      <c r="DD485" s="322"/>
      <c r="DE485" s="305"/>
      <c r="DF485" s="249"/>
      <c r="DG485" s="216"/>
      <c r="DH485" s="305"/>
      <c r="DI485" s="249"/>
      <c r="DJ485" s="216"/>
      <c r="DK485" s="309"/>
      <c r="DL485" s="293"/>
      <c r="DM485" s="326"/>
      <c r="DN485" s="1256"/>
      <c r="DO485" s="214"/>
      <c r="DP485" s="1257"/>
      <c r="DQ485" s="1258"/>
      <c r="DR485" s="305"/>
      <c r="DS485" s="249"/>
      <c r="DT485" s="216"/>
      <c r="DU485" s="305"/>
      <c r="DV485" s="2520"/>
      <c r="DW485" s="2521"/>
      <c r="DX485" s="305"/>
      <c r="DY485" s="249"/>
      <c r="DZ485" s="221"/>
      <c r="EA485" s="388"/>
      <c r="EB485" s="249"/>
      <c r="EC485" s="216"/>
      <c r="ED485" s="1461"/>
      <c r="EE485" s="249"/>
      <c r="EF485" s="216"/>
      <c r="EG485" s="355"/>
      <c r="EH485" s="1425"/>
      <c r="EI485" s="1470"/>
      <c r="EJ485" s="249"/>
      <c r="EK485" s="221"/>
      <c r="EL485" s="313"/>
      <c r="EM485" s="249"/>
      <c r="EN485" s="221"/>
      <c r="EO485" s="313"/>
      <c r="EP485" s="249"/>
      <c r="EQ485" s="216"/>
      <c r="ER485" s="313"/>
      <c r="ES485" s="249"/>
      <c r="ET485" s="216"/>
      <c r="EU485" s="313"/>
      <c r="EV485" s="249"/>
      <c r="EW485" s="216"/>
      <c r="EX485" s="2505"/>
      <c r="EY485" s="249"/>
      <c r="EZ485" s="221"/>
      <c r="FA485" s="313"/>
      <c r="FB485" s="249"/>
      <c r="FC485" s="221"/>
      <c r="FD485" s="313"/>
      <c r="FE485" s="249"/>
      <c r="FF485" s="221"/>
      <c r="FG485" s="313"/>
      <c r="FH485" s="249"/>
      <c r="FI485" s="216"/>
      <c r="FJ485" s="1435"/>
      <c r="FK485" s="216"/>
      <c r="FL485" s="1268"/>
      <c r="FM485" s="1655"/>
      <c r="FN485" s="1268"/>
      <c r="FO485" s="1655"/>
      <c r="FP485" s="1268"/>
      <c r="FQ485" s="1656"/>
      <c r="FR485" s="249"/>
      <c r="FS485" s="216"/>
      <c r="FT485" s="1657"/>
      <c r="FU485" s="1658"/>
      <c r="FV485" s="242"/>
      <c r="FW485" s="343"/>
      <c r="FX485" s="222"/>
      <c r="FY485" s="336"/>
      <c r="FZ485" s="223"/>
      <c r="GA485" s="338"/>
      <c r="GB485" s="204"/>
      <c r="GC485" s="339"/>
      <c r="GD485" s="342"/>
      <c r="GE485" s="199"/>
      <c r="GF485" s="199"/>
      <c r="GG485" s="199"/>
      <c r="GH485" s="199"/>
      <c r="GI485" s="199"/>
      <c r="GJ485" s="199"/>
      <c r="GK485" s="199"/>
      <c r="GO485" s="322"/>
      <c r="GP485" s="1190"/>
      <c r="GQ485" s="1190"/>
      <c r="GS485" s="2879"/>
      <c r="GT485" s="2880"/>
      <c r="GU485" s="2881"/>
    </row>
    <row r="486" spans="1:203" ht="12" customHeight="1">
      <c r="A486" s="1252"/>
      <c r="B486" s="200"/>
      <c r="C486" s="486"/>
      <c r="T486" s="1186"/>
      <c r="U486" s="233"/>
      <c r="W486" s="218"/>
      <c r="X486" s="218"/>
      <c r="Y486" s="216"/>
      <c r="Z486" s="216"/>
      <c r="AA486" s="215"/>
      <c r="AB486" s="216"/>
      <c r="AC486" s="216"/>
      <c r="AD486" s="239"/>
      <c r="AE486" s="216"/>
      <c r="AF486" s="216"/>
      <c r="AG486" s="216"/>
      <c r="AH486" s="216"/>
      <c r="AI486" s="216"/>
      <c r="AJ486" s="216"/>
      <c r="AK486" s="239"/>
      <c r="AL486" s="216"/>
      <c r="AM486" s="216"/>
      <c r="AN486" s="216"/>
      <c r="AO486" s="216"/>
      <c r="AP486" s="216"/>
      <c r="AQ486" s="216"/>
      <c r="AR486" s="216"/>
      <c r="AS486" s="216"/>
      <c r="AT486" s="216"/>
      <c r="AU486" s="216"/>
      <c r="AV486" s="217"/>
      <c r="AW486" s="355"/>
      <c r="AX486" s="217"/>
      <c r="AY486" s="305"/>
      <c r="AZ486" s="249"/>
      <c r="BA486" s="221"/>
      <c r="BB486" s="300"/>
      <c r="BC486" s="217"/>
      <c r="BD486" s="392"/>
      <c r="BE486" s="1244"/>
      <c r="BF486" s="249"/>
      <c r="BG486" s="252"/>
      <c r="BH486" s="1469"/>
      <c r="BI486" s="216"/>
      <c r="BJ486" s="1469"/>
      <c r="BK486" s="1459"/>
      <c r="BL486" s="260"/>
      <c r="BM486" s="214"/>
      <c r="BN486" s="293"/>
      <c r="BO486" s="217"/>
      <c r="BP486" s="355"/>
      <c r="BQ486" s="217"/>
      <c r="BR486" s="1193"/>
      <c r="BS486" s="249"/>
      <c r="BT486" s="216"/>
      <c r="BU486" s="1195"/>
      <c r="BV486" s="249"/>
      <c r="BW486" s="216"/>
      <c r="BX486" s="1195"/>
      <c r="BY486" s="249"/>
      <c r="BZ486" s="216"/>
      <c r="CA486" s="1195"/>
      <c r="CB486" s="249"/>
      <c r="CC486" s="216"/>
      <c r="CD486" s="1195"/>
      <c r="CE486" s="249"/>
      <c r="CF486" s="216"/>
      <c r="CG486" s="1195"/>
      <c r="CH486" s="249"/>
      <c r="CI486" s="216"/>
      <c r="CJ486" s="1195"/>
      <c r="CK486" s="249"/>
      <c r="CL486" s="216"/>
      <c r="CM486" s="1194"/>
      <c r="CN486" s="1524"/>
      <c r="CO486" s="217"/>
      <c r="CP486" s="1193"/>
      <c r="CQ486" s="293"/>
      <c r="CR486" s="217"/>
      <c r="CS486" s="305"/>
      <c r="CT486" s="249"/>
      <c r="CU486" s="216"/>
      <c r="CV486" s="1193"/>
      <c r="CW486" s="249"/>
      <c r="CX486" s="216"/>
      <c r="CY486" s="305"/>
      <c r="CZ486" s="249"/>
      <c r="DA486" s="216"/>
      <c r="DB486" s="307"/>
      <c r="DC486" s="328"/>
      <c r="DD486" s="322"/>
      <c r="DE486" s="305"/>
      <c r="DF486" s="249"/>
      <c r="DG486" s="216"/>
      <c r="DH486" s="305"/>
      <c r="DI486" s="249"/>
      <c r="DJ486" s="216"/>
      <c r="DK486" s="309"/>
      <c r="DL486" s="293"/>
      <c r="DM486" s="326"/>
      <c r="DN486" s="1256"/>
      <c r="DO486" s="214"/>
      <c r="DP486" s="1257"/>
      <c r="DQ486" s="1258"/>
      <c r="DR486" s="305"/>
      <c r="DS486" s="249"/>
      <c r="DT486" s="216"/>
      <c r="DU486" s="305"/>
      <c r="DV486" s="2520"/>
      <c r="DW486" s="2521"/>
      <c r="DX486" s="305"/>
      <c r="DY486" s="249"/>
      <c r="DZ486" s="221"/>
      <c r="EA486" s="388"/>
      <c r="EB486" s="249"/>
      <c r="EC486" s="216"/>
      <c r="ED486" s="1461"/>
      <c r="EE486" s="249"/>
      <c r="EF486" s="216"/>
      <c r="EG486" s="355"/>
      <c r="EH486" s="1425"/>
      <c r="EI486" s="1470"/>
      <c r="EJ486" s="249"/>
      <c r="EK486" s="221"/>
      <c r="EL486" s="313"/>
      <c r="EM486" s="249"/>
      <c r="EN486" s="221"/>
      <c r="EO486" s="313"/>
      <c r="EP486" s="249"/>
      <c r="EQ486" s="216"/>
      <c r="ER486" s="313"/>
      <c r="ES486" s="249"/>
      <c r="ET486" s="216"/>
      <c r="EU486" s="313"/>
      <c r="EV486" s="249"/>
      <c r="EW486" s="216"/>
      <c r="EX486" s="2505"/>
      <c r="EY486" s="249"/>
      <c r="EZ486" s="221"/>
      <c r="FA486" s="313"/>
      <c r="FB486" s="249"/>
      <c r="FC486" s="221"/>
      <c r="FD486" s="313"/>
      <c r="FE486" s="249"/>
      <c r="FF486" s="221"/>
      <c r="FG486" s="313"/>
      <c r="FH486" s="249"/>
      <c r="FI486" s="216"/>
      <c r="FJ486" s="1435"/>
      <c r="FK486" s="216"/>
      <c r="FL486" s="1268"/>
      <c r="FM486" s="1655"/>
      <c r="FN486" s="1268"/>
      <c r="FO486" s="1655"/>
      <c r="FP486" s="1268"/>
      <c r="FQ486" s="1656"/>
      <c r="FR486" s="249"/>
      <c r="FS486" s="216"/>
      <c r="FT486" s="1657"/>
      <c r="FU486" s="1658"/>
      <c r="FV486" s="242"/>
      <c r="FW486" s="343"/>
      <c r="FX486" s="222"/>
      <c r="FY486" s="336"/>
      <c r="FZ486" s="223"/>
      <c r="GA486" s="338"/>
      <c r="GB486" s="204"/>
      <c r="GC486" s="339"/>
      <c r="GD486" s="342"/>
      <c r="GE486" s="199"/>
      <c r="GF486" s="199"/>
      <c r="GG486" s="199"/>
      <c r="GH486" s="199"/>
      <c r="GI486" s="199"/>
      <c r="GJ486" s="199"/>
      <c r="GK486" s="199"/>
      <c r="GO486" s="322"/>
      <c r="GP486" s="1190"/>
      <c r="GQ486" s="1190"/>
      <c r="GS486" s="2879"/>
      <c r="GT486" s="2880"/>
      <c r="GU486" s="2881"/>
    </row>
    <row r="487" spans="1:203" ht="12" customHeight="1">
      <c r="A487" s="1252"/>
      <c r="B487" s="200"/>
      <c r="C487" s="486"/>
      <c r="T487" s="1186"/>
      <c r="U487" s="233"/>
      <c r="W487" s="218"/>
      <c r="X487" s="218"/>
      <c r="Y487" s="216"/>
      <c r="Z487" s="216"/>
      <c r="AA487" s="215"/>
      <c r="AB487" s="216"/>
      <c r="AC487" s="216"/>
      <c r="AD487" s="239"/>
      <c r="AE487" s="216"/>
      <c r="AF487" s="216"/>
      <c r="AG487" s="216"/>
      <c r="AH487" s="216"/>
      <c r="AI487" s="216"/>
      <c r="AJ487" s="216"/>
      <c r="AK487" s="239"/>
      <c r="AL487" s="216"/>
      <c r="AM487" s="216"/>
      <c r="AN487" s="216"/>
      <c r="AO487" s="216"/>
      <c r="AP487" s="216"/>
      <c r="AQ487" s="216"/>
      <c r="AR487" s="216"/>
      <c r="AS487" s="216"/>
      <c r="AT487" s="216"/>
      <c r="AU487" s="216"/>
      <c r="AV487" s="217"/>
      <c r="AW487" s="355"/>
      <c r="AX487" s="217"/>
      <c r="AY487" s="305"/>
      <c r="AZ487" s="249"/>
      <c r="BA487" s="221"/>
      <c r="BB487" s="300"/>
      <c r="BC487" s="217"/>
      <c r="BD487" s="392"/>
      <c r="BE487" s="1244"/>
      <c r="BF487" s="249"/>
      <c r="BG487" s="252"/>
      <c r="BH487" s="1469"/>
      <c r="BI487" s="216"/>
      <c r="BJ487" s="1469"/>
      <c r="BK487" s="1459"/>
      <c r="BL487" s="260"/>
      <c r="BM487" s="214"/>
      <c r="BN487" s="293"/>
      <c r="BO487" s="217"/>
      <c r="BP487" s="355"/>
      <c r="BQ487" s="217"/>
      <c r="BR487" s="1193"/>
      <c r="BS487" s="249"/>
      <c r="BT487" s="216"/>
      <c r="BU487" s="1195"/>
      <c r="BV487" s="249"/>
      <c r="BW487" s="216"/>
      <c r="BX487" s="1195"/>
      <c r="BY487" s="249"/>
      <c r="BZ487" s="216"/>
      <c r="CA487" s="1195"/>
      <c r="CB487" s="249"/>
      <c r="CC487" s="216"/>
      <c r="CD487" s="1195"/>
      <c r="CE487" s="249"/>
      <c r="CF487" s="216"/>
      <c r="CG487" s="1195"/>
      <c r="CH487" s="249"/>
      <c r="CI487" s="216"/>
      <c r="CJ487" s="1195"/>
      <c r="CK487" s="249"/>
      <c r="CL487" s="216"/>
      <c r="CM487" s="1194"/>
      <c r="CN487" s="1524"/>
      <c r="CO487" s="217"/>
      <c r="CP487" s="1193"/>
      <c r="CQ487" s="293"/>
      <c r="CR487" s="217"/>
      <c r="CS487" s="305"/>
      <c r="CT487" s="249"/>
      <c r="CU487" s="216"/>
      <c r="CV487" s="1193"/>
      <c r="CW487" s="249"/>
      <c r="CX487" s="216"/>
      <c r="CY487" s="305"/>
      <c r="CZ487" s="249"/>
      <c r="DA487" s="216"/>
      <c r="DB487" s="307"/>
      <c r="DC487" s="328"/>
      <c r="DD487" s="322"/>
      <c r="DE487" s="305"/>
      <c r="DF487" s="249"/>
      <c r="DG487" s="216"/>
      <c r="DH487" s="305"/>
      <c r="DI487" s="249"/>
      <c r="DJ487" s="216"/>
      <c r="DK487" s="309"/>
      <c r="DL487" s="293"/>
      <c r="DM487" s="326"/>
      <c r="DN487" s="1256"/>
      <c r="DO487" s="214"/>
      <c r="DP487" s="1257"/>
      <c r="DQ487" s="1258"/>
      <c r="DR487" s="305"/>
      <c r="DS487" s="249"/>
      <c r="DT487" s="216"/>
      <c r="DU487" s="305"/>
      <c r="DV487" s="2520"/>
      <c r="DW487" s="2521"/>
      <c r="DX487" s="305"/>
      <c r="DY487" s="249"/>
      <c r="DZ487" s="221"/>
      <c r="EA487" s="388"/>
      <c r="EB487" s="249"/>
      <c r="EC487" s="216"/>
      <c r="ED487" s="1461"/>
      <c r="EE487" s="249"/>
      <c r="EF487" s="216"/>
      <c r="EG487" s="355"/>
      <c r="EH487" s="1425"/>
      <c r="EI487" s="1470"/>
      <c r="EJ487" s="249"/>
      <c r="EK487" s="221"/>
      <c r="EL487" s="313"/>
      <c r="EM487" s="249"/>
      <c r="EN487" s="221"/>
      <c r="EO487" s="313"/>
      <c r="EP487" s="249"/>
      <c r="EQ487" s="216"/>
      <c r="ER487" s="313"/>
      <c r="ES487" s="249"/>
      <c r="ET487" s="216"/>
      <c r="EU487" s="313"/>
      <c r="EV487" s="249"/>
      <c r="EW487" s="216"/>
      <c r="EX487" s="2505"/>
      <c r="EY487" s="249"/>
      <c r="EZ487" s="221"/>
      <c r="FA487" s="313"/>
      <c r="FB487" s="249"/>
      <c r="FC487" s="221"/>
      <c r="FD487" s="313"/>
      <c r="FE487" s="249"/>
      <c r="FF487" s="221"/>
      <c r="FG487" s="313"/>
      <c r="FH487" s="249"/>
      <c r="FI487" s="216"/>
      <c r="FJ487" s="1435"/>
      <c r="FK487" s="216"/>
      <c r="FL487" s="1268"/>
      <c r="FM487" s="1655"/>
      <c r="FN487" s="1268"/>
      <c r="FO487" s="1655"/>
      <c r="FP487" s="1268"/>
      <c r="FQ487" s="1656"/>
      <c r="FR487" s="249"/>
      <c r="FS487" s="216"/>
      <c r="FT487" s="1657"/>
      <c r="FU487" s="1658"/>
      <c r="FV487" s="242"/>
      <c r="FW487" s="343"/>
      <c r="FX487" s="222"/>
      <c r="FY487" s="336"/>
      <c r="FZ487" s="223"/>
      <c r="GA487" s="338"/>
      <c r="GB487" s="204"/>
      <c r="GC487" s="339"/>
      <c r="GD487" s="342"/>
      <c r="GE487" s="199"/>
      <c r="GF487" s="199"/>
      <c r="GG487" s="199"/>
      <c r="GH487" s="199"/>
      <c r="GI487" s="199"/>
      <c r="GJ487" s="199"/>
      <c r="GK487" s="199"/>
      <c r="GO487" s="322"/>
      <c r="GP487" s="1190"/>
      <c r="GQ487" s="1190"/>
      <c r="GS487" s="2879"/>
      <c r="GT487" s="2880"/>
      <c r="GU487" s="2881"/>
    </row>
    <row r="488" spans="1:203" ht="12" customHeight="1">
      <c r="A488" s="1252"/>
      <c r="B488" s="200"/>
      <c r="C488" s="486"/>
      <c r="T488" s="1186"/>
      <c r="U488" s="233"/>
      <c r="W488" s="218"/>
      <c r="X488" s="218"/>
      <c r="Y488" s="216"/>
      <c r="Z488" s="216"/>
      <c r="AA488" s="215"/>
      <c r="AB488" s="216"/>
      <c r="AC488" s="216"/>
      <c r="AD488" s="239"/>
      <c r="AE488" s="216"/>
      <c r="AF488" s="216"/>
      <c r="AG488" s="216"/>
      <c r="AH488" s="216"/>
      <c r="AI488" s="216"/>
      <c r="AJ488" s="216"/>
      <c r="AK488" s="239"/>
      <c r="AL488" s="216"/>
      <c r="AM488" s="216"/>
      <c r="AN488" s="216"/>
      <c r="AO488" s="216"/>
      <c r="AP488" s="216"/>
      <c r="AQ488" s="216"/>
      <c r="AR488" s="216"/>
      <c r="AS488" s="216"/>
      <c r="AT488" s="216"/>
      <c r="AU488" s="216"/>
      <c r="AV488" s="217"/>
      <c r="AW488" s="355"/>
      <c r="AX488" s="217"/>
      <c r="AY488" s="305"/>
      <c r="AZ488" s="249"/>
      <c r="BA488" s="221"/>
      <c r="BB488" s="300"/>
      <c r="BC488" s="217"/>
      <c r="BD488" s="392"/>
      <c r="BE488" s="1244"/>
      <c r="BF488" s="249"/>
      <c r="BG488" s="252"/>
      <c r="BH488" s="1469"/>
      <c r="BI488" s="216"/>
      <c r="BJ488" s="1469"/>
      <c r="BK488" s="1459"/>
      <c r="BL488" s="260"/>
      <c r="BM488" s="214"/>
      <c r="BN488" s="293"/>
      <c r="BO488" s="217"/>
      <c r="BP488" s="355"/>
      <c r="BQ488" s="217"/>
      <c r="BR488" s="1193"/>
      <c r="BS488" s="249"/>
      <c r="BT488" s="216"/>
      <c r="BU488" s="1195"/>
      <c r="BV488" s="249"/>
      <c r="BW488" s="216"/>
      <c r="BX488" s="1195"/>
      <c r="BY488" s="249"/>
      <c r="BZ488" s="216"/>
      <c r="CA488" s="1195"/>
      <c r="CB488" s="249"/>
      <c r="CC488" s="216"/>
      <c r="CD488" s="1195"/>
      <c r="CE488" s="249"/>
      <c r="CF488" s="216"/>
      <c r="CG488" s="1195"/>
      <c r="CH488" s="249"/>
      <c r="CI488" s="216"/>
      <c r="CJ488" s="1195"/>
      <c r="CK488" s="249"/>
      <c r="CL488" s="216"/>
      <c r="CM488" s="1194"/>
      <c r="CN488" s="1524"/>
      <c r="CO488" s="217"/>
      <c r="CP488" s="1193"/>
      <c r="CQ488" s="293"/>
      <c r="CR488" s="217"/>
      <c r="CS488" s="305"/>
      <c r="CT488" s="249"/>
      <c r="CU488" s="216"/>
      <c r="CV488" s="1193"/>
      <c r="CW488" s="249"/>
      <c r="CX488" s="216"/>
      <c r="CY488" s="305"/>
      <c r="CZ488" s="249"/>
      <c r="DA488" s="216"/>
      <c r="DB488" s="307"/>
      <c r="DC488" s="328"/>
      <c r="DD488" s="322"/>
      <c r="DE488" s="305"/>
      <c r="DF488" s="249"/>
      <c r="DG488" s="216"/>
      <c r="DH488" s="305"/>
      <c r="DI488" s="249"/>
      <c r="DJ488" s="216"/>
      <c r="DK488" s="309"/>
      <c r="DL488" s="293"/>
      <c r="DM488" s="326"/>
      <c r="DN488" s="1256"/>
      <c r="DO488" s="214"/>
      <c r="DP488" s="1257"/>
      <c r="DQ488" s="1258"/>
      <c r="DR488" s="305"/>
      <c r="DS488" s="249"/>
      <c r="DT488" s="216"/>
      <c r="DU488" s="305"/>
      <c r="DV488" s="2520"/>
      <c r="DW488" s="2521"/>
      <c r="DX488" s="305"/>
      <c r="DY488" s="249"/>
      <c r="DZ488" s="221"/>
      <c r="EA488" s="388"/>
      <c r="EB488" s="249"/>
      <c r="EC488" s="216"/>
      <c r="ED488" s="1461"/>
      <c r="EE488" s="249"/>
      <c r="EF488" s="216"/>
      <c r="EG488" s="355"/>
      <c r="EH488" s="1425"/>
      <c r="EI488" s="1470"/>
      <c r="EJ488" s="249"/>
      <c r="EK488" s="221"/>
      <c r="EL488" s="313"/>
      <c r="EM488" s="249"/>
      <c r="EN488" s="221"/>
      <c r="EO488" s="313"/>
      <c r="EP488" s="249"/>
      <c r="EQ488" s="216"/>
      <c r="ER488" s="313"/>
      <c r="ES488" s="249"/>
      <c r="ET488" s="216"/>
      <c r="EU488" s="313"/>
      <c r="EV488" s="249"/>
      <c r="EW488" s="216"/>
      <c r="EX488" s="2505"/>
      <c r="EY488" s="249"/>
      <c r="EZ488" s="221"/>
      <c r="FA488" s="313"/>
      <c r="FB488" s="249"/>
      <c r="FC488" s="221"/>
      <c r="FD488" s="313"/>
      <c r="FE488" s="249"/>
      <c r="FF488" s="221"/>
      <c r="FG488" s="313"/>
      <c r="FH488" s="249"/>
      <c r="FI488" s="216"/>
      <c r="FJ488" s="1435"/>
      <c r="FK488" s="216"/>
      <c r="FL488" s="1268"/>
      <c r="FM488" s="1655"/>
      <c r="FN488" s="1268"/>
      <c r="FO488" s="1655"/>
      <c r="FP488" s="1268"/>
      <c r="FQ488" s="1656"/>
      <c r="FR488" s="249"/>
      <c r="FS488" s="216"/>
      <c r="FT488" s="1657"/>
      <c r="FU488" s="1658"/>
      <c r="FV488" s="242"/>
      <c r="FW488" s="343"/>
      <c r="FX488" s="222"/>
      <c r="FY488" s="336"/>
      <c r="FZ488" s="223"/>
      <c r="GA488" s="338"/>
      <c r="GB488" s="204"/>
      <c r="GC488" s="339"/>
      <c r="GD488" s="342"/>
      <c r="GE488" s="199"/>
      <c r="GF488" s="199"/>
      <c r="GG488" s="199"/>
      <c r="GH488" s="199"/>
      <c r="GI488" s="199"/>
      <c r="GJ488" s="199"/>
      <c r="GK488" s="199"/>
      <c r="GO488" s="322"/>
      <c r="GP488" s="1190"/>
      <c r="GQ488" s="1190"/>
      <c r="GS488" s="2879"/>
      <c r="GT488" s="2880"/>
      <c r="GU488" s="2881"/>
    </row>
    <row r="489" spans="1:203" ht="12" customHeight="1">
      <c r="A489" s="1252"/>
      <c r="B489" s="200"/>
      <c r="C489" s="486"/>
      <c r="T489" s="1186"/>
      <c r="U489" s="233"/>
      <c r="W489" s="218"/>
      <c r="X489" s="218"/>
      <c r="Y489" s="216"/>
      <c r="Z489" s="216"/>
      <c r="AA489" s="215"/>
      <c r="AB489" s="216"/>
      <c r="AC489" s="216"/>
      <c r="AD489" s="239"/>
      <c r="AE489" s="216"/>
      <c r="AF489" s="216"/>
      <c r="AG489" s="216"/>
      <c r="AH489" s="216"/>
      <c r="AI489" s="216"/>
      <c r="AJ489" s="216"/>
      <c r="AK489" s="239"/>
      <c r="AL489" s="216"/>
      <c r="AM489" s="216"/>
      <c r="AN489" s="216"/>
      <c r="AO489" s="216"/>
      <c r="AP489" s="216"/>
      <c r="AQ489" s="216"/>
      <c r="AR489" s="216"/>
      <c r="AS489" s="216"/>
      <c r="AT489" s="216"/>
      <c r="AU489" s="216"/>
      <c r="AV489" s="217"/>
      <c r="AW489" s="355"/>
      <c r="AX489" s="217"/>
      <c r="AY489" s="305"/>
      <c r="AZ489" s="249"/>
      <c r="BA489" s="221"/>
      <c r="BB489" s="300"/>
      <c r="BC489" s="217"/>
      <c r="BD489" s="392"/>
      <c r="BE489" s="1244"/>
      <c r="BF489" s="249"/>
      <c r="BG489" s="252"/>
      <c r="BH489" s="1469"/>
      <c r="BI489" s="216"/>
      <c r="BJ489" s="1469"/>
      <c r="BK489" s="1459"/>
      <c r="BL489" s="260"/>
      <c r="BM489" s="214"/>
      <c r="BN489" s="293"/>
      <c r="BO489" s="217"/>
      <c r="BP489" s="355"/>
      <c r="BQ489" s="217"/>
      <c r="BR489" s="1193"/>
      <c r="BS489" s="249"/>
      <c r="BT489" s="216"/>
      <c r="BU489" s="1195"/>
      <c r="BV489" s="249"/>
      <c r="BW489" s="216"/>
      <c r="BX489" s="1195"/>
      <c r="BY489" s="249"/>
      <c r="BZ489" s="216"/>
      <c r="CA489" s="1195"/>
      <c r="CB489" s="249"/>
      <c r="CC489" s="216"/>
      <c r="CD489" s="1195"/>
      <c r="CE489" s="249"/>
      <c r="CF489" s="216"/>
      <c r="CG489" s="1195"/>
      <c r="CH489" s="249"/>
      <c r="CI489" s="216"/>
      <c r="CJ489" s="1195"/>
      <c r="CK489" s="249"/>
      <c r="CL489" s="216"/>
      <c r="CM489" s="1194"/>
      <c r="CN489" s="1524"/>
      <c r="CO489" s="217"/>
      <c r="CP489" s="1193"/>
      <c r="CQ489" s="293"/>
      <c r="CR489" s="217"/>
      <c r="CS489" s="305"/>
      <c r="CT489" s="249"/>
      <c r="CU489" s="216"/>
      <c r="CV489" s="1193"/>
      <c r="CW489" s="249"/>
      <c r="CX489" s="216"/>
      <c r="CY489" s="305"/>
      <c r="CZ489" s="249"/>
      <c r="DA489" s="216"/>
      <c r="DB489" s="307"/>
      <c r="DC489" s="328"/>
      <c r="DD489" s="322"/>
      <c r="DE489" s="305"/>
      <c r="DF489" s="249"/>
      <c r="DG489" s="216"/>
      <c r="DH489" s="305"/>
      <c r="DI489" s="249"/>
      <c r="DJ489" s="216"/>
      <c r="DK489" s="309"/>
      <c r="DL489" s="293"/>
      <c r="DM489" s="326"/>
      <c r="DN489" s="1256"/>
      <c r="DO489" s="214"/>
      <c r="DP489" s="1257"/>
      <c r="DQ489" s="1258"/>
      <c r="DR489" s="305"/>
      <c r="DS489" s="249"/>
      <c r="DT489" s="216"/>
      <c r="DU489" s="305"/>
      <c r="DV489" s="2520"/>
      <c r="DW489" s="2521"/>
      <c r="DX489" s="305"/>
      <c r="DY489" s="249"/>
      <c r="DZ489" s="221"/>
      <c r="EA489" s="388"/>
      <c r="EB489" s="249"/>
      <c r="EC489" s="216"/>
      <c r="ED489" s="1461"/>
      <c r="EE489" s="249"/>
      <c r="EF489" s="216"/>
      <c r="EG489" s="355"/>
      <c r="EH489" s="1425"/>
      <c r="EI489" s="1470"/>
      <c r="EJ489" s="249"/>
      <c r="EK489" s="221"/>
      <c r="EL489" s="313"/>
      <c r="EM489" s="249"/>
      <c r="EN489" s="221"/>
      <c r="EO489" s="313"/>
      <c r="EP489" s="249"/>
      <c r="EQ489" s="216"/>
      <c r="ER489" s="313"/>
      <c r="ES489" s="249"/>
      <c r="ET489" s="216"/>
      <c r="EU489" s="313"/>
      <c r="EV489" s="249"/>
      <c r="EW489" s="216"/>
      <c r="EX489" s="2505"/>
      <c r="EY489" s="249"/>
      <c r="EZ489" s="221"/>
      <c r="FA489" s="313"/>
      <c r="FB489" s="249"/>
      <c r="FC489" s="221"/>
      <c r="FD489" s="313"/>
      <c r="FE489" s="249"/>
      <c r="FF489" s="221"/>
      <c r="FG489" s="313"/>
      <c r="FH489" s="249"/>
      <c r="FI489" s="216"/>
      <c r="FJ489" s="1435"/>
      <c r="FK489" s="216"/>
      <c r="FL489" s="1268"/>
      <c r="FM489" s="1655"/>
      <c r="FN489" s="1268"/>
      <c r="FO489" s="1655"/>
      <c r="FP489" s="1268"/>
      <c r="FQ489" s="1656"/>
      <c r="FR489" s="249"/>
      <c r="FS489" s="216"/>
      <c r="FT489" s="1657"/>
      <c r="FU489" s="1658"/>
      <c r="FV489" s="242"/>
      <c r="FW489" s="343"/>
      <c r="FX489" s="222"/>
      <c r="FY489" s="336"/>
      <c r="FZ489" s="223"/>
      <c r="GA489" s="338"/>
      <c r="GB489" s="204"/>
      <c r="GC489" s="339"/>
      <c r="GD489" s="342"/>
      <c r="GE489" s="199"/>
      <c r="GF489" s="199"/>
      <c r="GG489" s="199"/>
      <c r="GH489" s="199"/>
      <c r="GI489" s="199"/>
      <c r="GJ489" s="199"/>
      <c r="GK489" s="199"/>
      <c r="GO489" s="322"/>
      <c r="GP489" s="1190"/>
      <c r="GQ489" s="1190"/>
      <c r="GS489" s="2879"/>
      <c r="GT489" s="2880"/>
      <c r="GU489" s="2881"/>
    </row>
    <row r="490" spans="1:203" ht="12" customHeight="1">
      <c r="A490" s="1252"/>
      <c r="B490" s="200"/>
      <c r="C490" s="486"/>
      <c r="T490" s="1186"/>
      <c r="U490" s="233"/>
      <c r="W490" s="218"/>
      <c r="X490" s="218"/>
      <c r="Y490" s="216"/>
      <c r="Z490" s="216"/>
      <c r="AA490" s="215"/>
      <c r="AB490" s="216"/>
      <c r="AC490" s="216"/>
      <c r="AD490" s="239"/>
      <c r="AE490" s="216"/>
      <c r="AF490" s="216"/>
      <c r="AG490" s="216"/>
      <c r="AH490" s="216"/>
      <c r="AI490" s="216"/>
      <c r="AJ490" s="216"/>
      <c r="AK490" s="239"/>
      <c r="AL490" s="216"/>
      <c r="AM490" s="216"/>
      <c r="AN490" s="216"/>
      <c r="AO490" s="216"/>
      <c r="AP490" s="216"/>
      <c r="AQ490" s="216"/>
      <c r="AR490" s="216"/>
      <c r="AS490" s="216"/>
      <c r="AT490" s="216"/>
      <c r="AU490" s="216"/>
      <c r="AV490" s="217"/>
      <c r="AW490" s="355"/>
      <c r="AX490" s="217"/>
      <c r="AY490" s="305"/>
      <c r="AZ490" s="249"/>
      <c r="BA490" s="221"/>
      <c r="BB490" s="300"/>
      <c r="BC490" s="217"/>
      <c r="BD490" s="392"/>
      <c r="BE490" s="1244"/>
      <c r="BF490" s="249"/>
      <c r="BG490" s="252"/>
      <c r="BH490" s="1469"/>
      <c r="BI490" s="216"/>
      <c r="BJ490" s="1469"/>
      <c r="BK490" s="1459"/>
      <c r="BL490" s="260"/>
      <c r="BM490" s="214"/>
      <c r="BN490" s="293"/>
      <c r="BO490" s="217"/>
      <c r="BP490" s="355"/>
      <c r="BQ490" s="217"/>
      <c r="BR490" s="1193"/>
      <c r="BS490" s="249"/>
      <c r="BT490" s="216"/>
      <c r="BU490" s="1195"/>
      <c r="BV490" s="249"/>
      <c r="BW490" s="216"/>
      <c r="BX490" s="1195"/>
      <c r="BY490" s="249"/>
      <c r="BZ490" s="216"/>
      <c r="CA490" s="1195"/>
      <c r="CB490" s="249"/>
      <c r="CC490" s="216"/>
      <c r="CD490" s="1195"/>
      <c r="CE490" s="249"/>
      <c r="CF490" s="216"/>
      <c r="CG490" s="1195"/>
      <c r="CH490" s="249"/>
      <c r="CI490" s="216"/>
      <c r="CJ490" s="1195"/>
      <c r="CK490" s="249"/>
      <c r="CL490" s="216"/>
      <c r="CM490" s="1194"/>
      <c r="CN490" s="1524"/>
      <c r="CO490" s="217"/>
      <c r="CP490" s="1193"/>
      <c r="CQ490" s="293"/>
      <c r="CR490" s="217"/>
      <c r="CS490" s="305"/>
      <c r="CT490" s="249"/>
      <c r="CU490" s="216"/>
      <c r="CV490" s="1193"/>
      <c r="CW490" s="249"/>
      <c r="CX490" s="216"/>
      <c r="CY490" s="305"/>
      <c r="CZ490" s="249"/>
      <c r="DA490" s="216"/>
      <c r="DB490" s="307"/>
      <c r="DC490" s="328"/>
      <c r="DD490" s="322"/>
      <c r="DE490" s="305"/>
      <c r="DF490" s="249"/>
      <c r="DG490" s="216"/>
      <c r="DH490" s="305"/>
      <c r="DI490" s="249"/>
      <c r="DJ490" s="216"/>
      <c r="DK490" s="309"/>
      <c r="DL490" s="293"/>
      <c r="DM490" s="326"/>
      <c r="DN490" s="1256"/>
      <c r="DO490" s="214"/>
      <c r="DP490" s="1257"/>
      <c r="DQ490" s="1258"/>
      <c r="DR490" s="305"/>
      <c r="DS490" s="249"/>
      <c r="DT490" s="216"/>
      <c r="DU490" s="305"/>
      <c r="DV490" s="2520"/>
      <c r="DW490" s="2521"/>
      <c r="DX490" s="305"/>
      <c r="DY490" s="249"/>
      <c r="DZ490" s="221"/>
      <c r="EA490" s="388"/>
      <c r="EB490" s="249"/>
      <c r="EC490" s="216"/>
      <c r="ED490" s="1461"/>
      <c r="EE490" s="249"/>
      <c r="EF490" s="216"/>
      <c r="EG490" s="355"/>
      <c r="EH490" s="1425"/>
      <c r="EI490" s="1470"/>
      <c r="EJ490" s="249"/>
      <c r="EK490" s="221"/>
      <c r="EL490" s="313"/>
      <c r="EM490" s="249"/>
      <c r="EN490" s="221"/>
      <c r="EO490" s="313"/>
      <c r="EP490" s="249"/>
      <c r="EQ490" s="216"/>
      <c r="ER490" s="313"/>
      <c r="ES490" s="249"/>
      <c r="ET490" s="216"/>
      <c r="EU490" s="313"/>
      <c r="EV490" s="249"/>
      <c r="EW490" s="216"/>
      <c r="EX490" s="2505"/>
      <c r="EY490" s="249"/>
      <c r="EZ490" s="221"/>
      <c r="FA490" s="313"/>
      <c r="FB490" s="249"/>
      <c r="FC490" s="221"/>
      <c r="FD490" s="313"/>
      <c r="FE490" s="249"/>
      <c r="FF490" s="221"/>
      <c r="FG490" s="313"/>
      <c r="FH490" s="249"/>
      <c r="FI490" s="216"/>
      <c r="FJ490" s="1435"/>
      <c r="FK490" s="216"/>
      <c r="FL490" s="1268"/>
      <c r="FM490" s="1655"/>
      <c r="FN490" s="1268"/>
      <c r="FO490" s="1655"/>
      <c r="FP490" s="1268"/>
      <c r="FQ490" s="1656"/>
      <c r="FR490" s="249"/>
      <c r="FS490" s="216"/>
      <c r="FT490" s="1657"/>
      <c r="FU490" s="1658"/>
      <c r="FV490" s="242"/>
      <c r="FW490" s="343"/>
      <c r="FX490" s="222"/>
      <c r="FY490" s="336"/>
      <c r="FZ490" s="223"/>
      <c r="GA490" s="338"/>
      <c r="GB490" s="204"/>
      <c r="GC490" s="339"/>
      <c r="GD490" s="342"/>
      <c r="GE490" s="199"/>
      <c r="GF490" s="199"/>
      <c r="GG490" s="199"/>
      <c r="GH490" s="199"/>
      <c r="GI490" s="199"/>
      <c r="GJ490" s="199"/>
      <c r="GK490" s="199"/>
      <c r="GO490" s="322"/>
      <c r="GP490" s="1190"/>
      <c r="GQ490" s="1190"/>
      <c r="GS490" s="2879"/>
      <c r="GT490" s="2880"/>
      <c r="GU490" s="2881"/>
    </row>
    <row r="491" spans="1:203" ht="12" customHeight="1">
      <c r="A491" s="1252"/>
      <c r="B491" s="200"/>
      <c r="C491" s="486"/>
      <c r="T491" s="1186"/>
      <c r="U491" s="233"/>
      <c r="W491" s="218"/>
      <c r="X491" s="218"/>
      <c r="Y491" s="216"/>
      <c r="Z491" s="216"/>
      <c r="AA491" s="215"/>
      <c r="AB491" s="216"/>
      <c r="AC491" s="216"/>
      <c r="AD491" s="239"/>
      <c r="AE491" s="216"/>
      <c r="AF491" s="216"/>
      <c r="AG491" s="216"/>
      <c r="AH491" s="216"/>
      <c r="AI491" s="216"/>
      <c r="AJ491" s="216"/>
      <c r="AK491" s="239"/>
      <c r="AL491" s="216"/>
      <c r="AM491" s="216"/>
      <c r="AN491" s="216"/>
      <c r="AO491" s="216"/>
      <c r="AP491" s="216"/>
      <c r="AQ491" s="216"/>
      <c r="AR491" s="216"/>
      <c r="AS491" s="216"/>
      <c r="AT491" s="216"/>
      <c r="AU491" s="216"/>
      <c r="AV491" s="217"/>
      <c r="AW491" s="355"/>
      <c r="AX491" s="217"/>
      <c r="AY491" s="305"/>
      <c r="AZ491" s="249"/>
      <c r="BA491" s="221"/>
      <c r="BB491" s="300"/>
      <c r="BC491" s="217"/>
      <c r="BD491" s="392"/>
      <c r="BE491" s="1244"/>
      <c r="BF491" s="249"/>
      <c r="BG491" s="252"/>
      <c r="BH491" s="1469"/>
      <c r="BI491" s="216"/>
      <c r="BJ491" s="1469"/>
      <c r="BK491" s="1459"/>
      <c r="BL491" s="260"/>
      <c r="BM491" s="214"/>
      <c r="BN491" s="293"/>
      <c r="BO491" s="217"/>
      <c r="BP491" s="355"/>
      <c r="BQ491" s="217"/>
      <c r="BR491" s="1193"/>
      <c r="BS491" s="249"/>
      <c r="BT491" s="216"/>
      <c r="BU491" s="1195"/>
      <c r="BV491" s="249"/>
      <c r="BW491" s="216"/>
      <c r="BX491" s="1195"/>
      <c r="BY491" s="249"/>
      <c r="BZ491" s="216"/>
      <c r="CA491" s="1195"/>
      <c r="CB491" s="249"/>
      <c r="CC491" s="216"/>
      <c r="CD491" s="1195"/>
      <c r="CE491" s="249"/>
      <c r="CF491" s="216"/>
      <c r="CG491" s="1195"/>
      <c r="CH491" s="249"/>
      <c r="CI491" s="216"/>
      <c r="CJ491" s="1195"/>
      <c r="CK491" s="249"/>
      <c r="CL491" s="216"/>
      <c r="CM491" s="1194"/>
      <c r="CN491" s="1524"/>
      <c r="CO491" s="217"/>
      <c r="CP491" s="1193"/>
      <c r="CQ491" s="293"/>
      <c r="CR491" s="217"/>
      <c r="CS491" s="305"/>
      <c r="CT491" s="249"/>
      <c r="CU491" s="216"/>
      <c r="CV491" s="1193"/>
      <c r="CW491" s="249"/>
      <c r="CX491" s="216"/>
      <c r="CY491" s="305"/>
      <c r="CZ491" s="249"/>
      <c r="DA491" s="216"/>
      <c r="DB491" s="307"/>
      <c r="DC491" s="328"/>
      <c r="DD491" s="322"/>
      <c r="DE491" s="305"/>
      <c r="DF491" s="249"/>
      <c r="DG491" s="216"/>
      <c r="DH491" s="305"/>
      <c r="DI491" s="249"/>
      <c r="DJ491" s="216"/>
      <c r="DK491" s="309"/>
      <c r="DL491" s="293"/>
      <c r="DM491" s="326"/>
      <c r="DN491" s="1256"/>
      <c r="DO491" s="214"/>
      <c r="DP491" s="1257"/>
      <c r="DQ491" s="1258"/>
      <c r="DR491" s="305"/>
      <c r="DS491" s="249"/>
      <c r="DT491" s="216"/>
      <c r="DU491" s="305"/>
      <c r="DV491" s="2520"/>
      <c r="DW491" s="2521"/>
      <c r="DX491" s="305"/>
      <c r="DY491" s="249"/>
      <c r="DZ491" s="221"/>
      <c r="EA491" s="388"/>
      <c r="EB491" s="249"/>
      <c r="EC491" s="216"/>
      <c r="ED491" s="1461"/>
      <c r="EE491" s="249"/>
      <c r="EF491" s="216"/>
      <c r="EG491" s="355"/>
      <c r="EH491" s="1425"/>
      <c r="EI491" s="1470"/>
      <c r="EJ491" s="249"/>
      <c r="EK491" s="221"/>
      <c r="EL491" s="313"/>
      <c r="EM491" s="249"/>
      <c r="EN491" s="221"/>
      <c r="EO491" s="313"/>
      <c r="EP491" s="249"/>
      <c r="EQ491" s="216"/>
      <c r="ER491" s="313"/>
      <c r="ES491" s="249"/>
      <c r="ET491" s="216"/>
      <c r="EU491" s="313"/>
      <c r="EV491" s="249"/>
      <c r="EW491" s="216"/>
      <c r="EX491" s="2505"/>
      <c r="EY491" s="249"/>
      <c r="EZ491" s="221"/>
      <c r="FA491" s="313"/>
      <c r="FB491" s="249"/>
      <c r="FC491" s="221"/>
      <c r="FD491" s="313"/>
      <c r="FE491" s="249"/>
      <c r="FF491" s="221"/>
      <c r="FG491" s="313"/>
      <c r="FH491" s="249"/>
      <c r="FI491" s="216"/>
      <c r="FJ491" s="1435"/>
      <c r="FK491" s="216"/>
      <c r="FL491" s="1268"/>
      <c r="FM491" s="1655"/>
      <c r="FN491" s="1268"/>
      <c r="FO491" s="1655"/>
      <c r="FP491" s="1268"/>
      <c r="FQ491" s="1656"/>
      <c r="FR491" s="249"/>
      <c r="FS491" s="216"/>
      <c r="FT491" s="1657"/>
      <c r="FU491" s="1658"/>
      <c r="FV491" s="242"/>
      <c r="FW491" s="343"/>
      <c r="FX491" s="222"/>
      <c r="FY491" s="336"/>
      <c r="FZ491" s="223"/>
      <c r="GA491" s="338"/>
      <c r="GB491" s="204"/>
      <c r="GC491" s="339"/>
      <c r="GD491" s="342"/>
      <c r="GE491" s="199"/>
      <c r="GF491" s="199"/>
      <c r="GG491" s="199"/>
      <c r="GH491" s="199"/>
      <c r="GI491" s="199"/>
      <c r="GJ491" s="199"/>
      <c r="GK491" s="199"/>
      <c r="GO491" s="322"/>
      <c r="GP491" s="1190"/>
      <c r="GQ491" s="1190"/>
      <c r="GS491" s="2879"/>
      <c r="GT491" s="2880"/>
      <c r="GU491" s="2881"/>
    </row>
    <row r="492" spans="1:203" ht="12" customHeight="1">
      <c r="A492" s="1252"/>
      <c r="B492" s="200"/>
      <c r="C492" s="486"/>
      <c r="T492" s="1186"/>
      <c r="U492" s="233"/>
      <c r="W492" s="218"/>
      <c r="X492" s="218"/>
      <c r="Y492" s="216"/>
      <c r="Z492" s="216"/>
      <c r="AA492" s="215"/>
      <c r="AB492" s="216"/>
      <c r="AC492" s="216"/>
      <c r="AD492" s="239"/>
      <c r="AE492" s="216"/>
      <c r="AF492" s="216"/>
      <c r="AG492" s="216"/>
      <c r="AH492" s="216"/>
      <c r="AI492" s="216"/>
      <c r="AJ492" s="216"/>
      <c r="AK492" s="239"/>
      <c r="AL492" s="216"/>
      <c r="AM492" s="216"/>
      <c r="AN492" s="216"/>
      <c r="AO492" s="216"/>
      <c r="AP492" s="216"/>
      <c r="AQ492" s="216"/>
      <c r="AR492" s="216"/>
      <c r="AS492" s="216"/>
      <c r="AT492" s="216"/>
      <c r="AU492" s="216"/>
      <c r="AV492" s="217"/>
      <c r="AW492" s="355"/>
      <c r="AX492" s="217"/>
      <c r="AY492" s="305"/>
      <c r="AZ492" s="249"/>
      <c r="BA492" s="221"/>
      <c r="BB492" s="300"/>
      <c r="BC492" s="217"/>
      <c r="BD492" s="392"/>
      <c r="BE492" s="1244"/>
      <c r="BF492" s="249"/>
      <c r="BG492" s="252"/>
      <c r="BH492" s="1469"/>
      <c r="BI492" s="216"/>
      <c r="BJ492" s="1469"/>
      <c r="BK492" s="1459"/>
      <c r="BL492" s="260"/>
      <c r="BM492" s="214"/>
      <c r="BN492" s="293"/>
      <c r="BO492" s="217"/>
      <c r="BP492" s="355"/>
      <c r="BQ492" s="217"/>
      <c r="BR492" s="1193"/>
      <c r="BS492" s="249"/>
      <c r="BT492" s="216"/>
      <c r="BU492" s="1195"/>
      <c r="BV492" s="249"/>
      <c r="BW492" s="216"/>
      <c r="BX492" s="1195"/>
      <c r="BY492" s="249"/>
      <c r="BZ492" s="216"/>
      <c r="CA492" s="1195"/>
      <c r="CB492" s="249"/>
      <c r="CC492" s="216"/>
      <c r="CD492" s="1195"/>
      <c r="CE492" s="249"/>
      <c r="CF492" s="216"/>
      <c r="CG492" s="1195"/>
      <c r="CH492" s="249"/>
      <c r="CI492" s="216"/>
      <c r="CJ492" s="1195"/>
      <c r="CK492" s="249"/>
      <c r="CL492" s="216"/>
      <c r="CM492" s="1194"/>
      <c r="CN492" s="1524"/>
      <c r="CO492" s="217"/>
      <c r="CP492" s="1193"/>
      <c r="CQ492" s="293"/>
      <c r="CR492" s="217"/>
      <c r="CS492" s="305"/>
      <c r="CT492" s="249"/>
      <c r="CU492" s="216"/>
      <c r="CV492" s="1193"/>
      <c r="CW492" s="249"/>
      <c r="CX492" s="216"/>
      <c r="CY492" s="305"/>
      <c r="CZ492" s="249"/>
      <c r="DA492" s="216"/>
      <c r="DB492" s="307"/>
      <c r="DC492" s="328"/>
      <c r="DD492" s="322"/>
      <c r="DE492" s="305"/>
      <c r="DF492" s="249"/>
      <c r="DG492" s="216"/>
      <c r="DH492" s="305"/>
      <c r="DI492" s="249"/>
      <c r="DJ492" s="216"/>
      <c r="DK492" s="309"/>
      <c r="DL492" s="293"/>
      <c r="DM492" s="326"/>
      <c r="DN492" s="1256"/>
      <c r="DO492" s="214"/>
      <c r="DP492" s="1257"/>
      <c r="DQ492" s="1258"/>
      <c r="DR492" s="305"/>
      <c r="DS492" s="249"/>
      <c r="DT492" s="216"/>
      <c r="DU492" s="305"/>
      <c r="DV492" s="2520"/>
      <c r="DW492" s="2521"/>
      <c r="DX492" s="305"/>
      <c r="DY492" s="249"/>
      <c r="DZ492" s="221"/>
      <c r="EA492" s="388"/>
      <c r="EB492" s="249"/>
      <c r="EC492" s="216"/>
      <c r="ED492" s="1461"/>
      <c r="EE492" s="249"/>
      <c r="EF492" s="216"/>
      <c r="EG492" s="355"/>
      <c r="EH492" s="1425"/>
      <c r="EI492" s="1470"/>
      <c r="EJ492" s="249"/>
      <c r="EK492" s="221"/>
      <c r="EL492" s="313"/>
      <c r="EM492" s="249"/>
      <c r="EN492" s="221"/>
      <c r="EO492" s="313"/>
      <c r="EP492" s="249"/>
      <c r="EQ492" s="216"/>
      <c r="ER492" s="313"/>
      <c r="ES492" s="249"/>
      <c r="ET492" s="216"/>
      <c r="EU492" s="313"/>
      <c r="EV492" s="249"/>
      <c r="EW492" s="216"/>
      <c r="EX492" s="2505"/>
      <c r="EY492" s="249"/>
      <c r="EZ492" s="221"/>
      <c r="FA492" s="313"/>
      <c r="FB492" s="249"/>
      <c r="FC492" s="221"/>
      <c r="FD492" s="313"/>
      <c r="FE492" s="249"/>
      <c r="FF492" s="221"/>
      <c r="FG492" s="313"/>
      <c r="FH492" s="249"/>
      <c r="FI492" s="216"/>
      <c r="FJ492" s="1435"/>
      <c r="FK492" s="216"/>
      <c r="FL492" s="1268"/>
      <c r="FM492" s="1655"/>
      <c r="FN492" s="1268"/>
      <c r="FO492" s="1655"/>
      <c r="FP492" s="1268"/>
      <c r="FQ492" s="1656"/>
      <c r="FR492" s="249"/>
      <c r="FS492" s="216"/>
      <c r="FT492" s="1657"/>
      <c r="FU492" s="1658"/>
      <c r="FV492" s="242"/>
      <c r="FW492" s="343"/>
      <c r="FX492" s="222"/>
      <c r="FY492" s="336"/>
      <c r="FZ492" s="223"/>
      <c r="GA492" s="338"/>
      <c r="GB492" s="204"/>
      <c r="GC492" s="339"/>
      <c r="GD492" s="342"/>
      <c r="GE492" s="199"/>
      <c r="GF492" s="199"/>
      <c r="GG492" s="199"/>
      <c r="GH492" s="199"/>
      <c r="GI492" s="199"/>
      <c r="GJ492" s="199"/>
      <c r="GK492" s="199"/>
      <c r="GO492" s="322"/>
      <c r="GP492" s="1190"/>
      <c r="GQ492" s="1190"/>
      <c r="GS492" s="2879"/>
      <c r="GT492" s="2880"/>
      <c r="GU492" s="2881"/>
    </row>
    <row r="493" spans="1:203" ht="12" customHeight="1">
      <c r="A493" s="1252"/>
      <c r="B493" s="200"/>
      <c r="C493" s="486"/>
      <c r="T493" s="1186"/>
      <c r="U493" s="233"/>
      <c r="W493" s="218"/>
      <c r="X493" s="218"/>
      <c r="Y493" s="216"/>
      <c r="Z493" s="216"/>
      <c r="AA493" s="215"/>
      <c r="AB493" s="216"/>
      <c r="AC493" s="216"/>
      <c r="AD493" s="239"/>
      <c r="AE493" s="216"/>
      <c r="AF493" s="216"/>
      <c r="AG493" s="216"/>
      <c r="AH493" s="216"/>
      <c r="AI493" s="216"/>
      <c r="AJ493" s="216"/>
      <c r="AK493" s="239"/>
      <c r="AL493" s="216"/>
      <c r="AM493" s="216"/>
      <c r="AN493" s="216"/>
      <c r="AO493" s="216"/>
      <c r="AP493" s="216"/>
      <c r="AQ493" s="216"/>
      <c r="AR493" s="216"/>
      <c r="AS493" s="216"/>
      <c r="AT493" s="216"/>
      <c r="AU493" s="216"/>
      <c r="AV493" s="217"/>
      <c r="AW493" s="355"/>
      <c r="AX493" s="217"/>
      <c r="AY493" s="305"/>
      <c r="AZ493" s="249"/>
      <c r="BA493" s="221"/>
      <c r="BB493" s="300"/>
      <c r="BC493" s="217"/>
      <c r="BD493" s="392"/>
      <c r="BE493" s="1244"/>
      <c r="BF493" s="249"/>
      <c r="BG493" s="252"/>
      <c r="BH493" s="1469"/>
      <c r="BI493" s="216"/>
      <c r="BJ493" s="1469"/>
      <c r="BK493" s="1459"/>
      <c r="BL493" s="260"/>
      <c r="BM493" s="214"/>
      <c r="BN493" s="293"/>
      <c r="BO493" s="217"/>
      <c r="BP493" s="355"/>
      <c r="BQ493" s="217"/>
      <c r="BR493" s="1193"/>
      <c r="BS493" s="249"/>
      <c r="BT493" s="216"/>
      <c r="BU493" s="1195"/>
      <c r="BV493" s="249"/>
      <c r="BW493" s="216"/>
      <c r="BX493" s="1195"/>
      <c r="BY493" s="249"/>
      <c r="BZ493" s="216"/>
      <c r="CA493" s="1195"/>
      <c r="CB493" s="249"/>
      <c r="CC493" s="216"/>
      <c r="CD493" s="1195"/>
      <c r="CE493" s="249"/>
      <c r="CF493" s="216"/>
      <c r="CG493" s="1195"/>
      <c r="CH493" s="249"/>
      <c r="CI493" s="216"/>
      <c r="CJ493" s="1195"/>
      <c r="CK493" s="249"/>
      <c r="CL493" s="216"/>
      <c r="CM493" s="1194"/>
      <c r="CN493" s="1524"/>
      <c r="CO493" s="217"/>
      <c r="CP493" s="1193"/>
      <c r="CQ493" s="293"/>
      <c r="CR493" s="217"/>
      <c r="CS493" s="305"/>
      <c r="CT493" s="249"/>
      <c r="CU493" s="216"/>
      <c r="CV493" s="1193"/>
      <c r="CW493" s="249"/>
      <c r="CX493" s="216"/>
      <c r="CY493" s="305"/>
      <c r="CZ493" s="249"/>
      <c r="DA493" s="216"/>
      <c r="DB493" s="307"/>
      <c r="DC493" s="328"/>
      <c r="DD493" s="322"/>
      <c r="DE493" s="305"/>
      <c r="DF493" s="249"/>
      <c r="DG493" s="216"/>
      <c r="DH493" s="305"/>
      <c r="DI493" s="249"/>
      <c r="DJ493" s="216"/>
      <c r="DK493" s="309"/>
      <c r="DL493" s="293"/>
      <c r="DM493" s="326"/>
      <c r="DN493" s="1256"/>
      <c r="DO493" s="214"/>
      <c r="DP493" s="1257"/>
      <c r="DQ493" s="1258"/>
      <c r="DR493" s="305"/>
      <c r="DS493" s="249"/>
      <c r="DT493" s="216"/>
      <c r="DU493" s="305"/>
      <c r="DV493" s="2520"/>
      <c r="DW493" s="2521"/>
      <c r="DX493" s="305"/>
      <c r="DY493" s="249"/>
      <c r="DZ493" s="221"/>
      <c r="EA493" s="388"/>
      <c r="EB493" s="249"/>
      <c r="EC493" s="216"/>
      <c r="ED493" s="1461"/>
      <c r="EE493" s="249"/>
      <c r="EF493" s="216"/>
      <c r="EG493" s="355"/>
      <c r="EH493" s="1425"/>
      <c r="EI493" s="1470"/>
      <c r="EJ493" s="249"/>
      <c r="EK493" s="221"/>
      <c r="EL493" s="313"/>
      <c r="EM493" s="249"/>
      <c r="EN493" s="221"/>
      <c r="EO493" s="313"/>
      <c r="EP493" s="249"/>
      <c r="EQ493" s="216"/>
      <c r="ER493" s="313"/>
      <c r="ES493" s="249"/>
      <c r="ET493" s="216"/>
      <c r="EU493" s="313"/>
      <c r="EV493" s="249"/>
      <c r="EW493" s="216"/>
      <c r="EX493" s="2505"/>
      <c r="EY493" s="249"/>
      <c r="EZ493" s="221"/>
      <c r="FA493" s="313"/>
      <c r="FB493" s="249"/>
      <c r="FC493" s="221"/>
      <c r="FD493" s="313"/>
      <c r="FE493" s="249"/>
      <c r="FF493" s="221"/>
      <c r="FG493" s="313"/>
      <c r="FH493" s="249"/>
      <c r="FI493" s="216"/>
      <c r="FJ493" s="1435"/>
      <c r="FK493" s="216"/>
      <c r="FL493" s="1268"/>
      <c r="FM493" s="1655"/>
      <c r="FN493" s="1268"/>
      <c r="FO493" s="1655"/>
      <c r="FP493" s="1268"/>
      <c r="FQ493" s="1656"/>
      <c r="FR493" s="249"/>
      <c r="FS493" s="216"/>
      <c r="FT493" s="1657"/>
      <c r="FU493" s="1658"/>
      <c r="FV493" s="242"/>
      <c r="FW493" s="343"/>
      <c r="FX493" s="222"/>
      <c r="FY493" s="336"/>
      <c r="FZ493" s="223"/>
      <c r="GA493" s="338"/>
      <c r="GB493" s="204"/>
      <c r="GC493" s="339"/>
      <c r="GD493" s="342"/>
      <c r="GE493" s="199"/>
      <c r="GF493" s="199"/>
      <c r="GG493" s="199"/>
      <c r="GH493" s="199"/>
      <c r="GI493" s="199"/>
      <c r="GJ493" s="199"/>
      <c r="GK493" s="199"/>
      <c r="GO493" s="322"/>
      <c r="GP493" s="1190"/>
      <c r="GQ493" s="1190"/>
      <c r="GS493" s="2879"/>
      <c r="GT493" s="2880"/>
      <c r="GU493" s="2881"/>
    </row>
    <row r="494" spans="1:203" ht="12" customHeight="1">
      <c r="A494" s="1252"/>
      <c r="B494" s="200"/>
      <c r="C494" s="486"/>
      <c r="T494" s="1186"/>
      <c r="U494" s="233"/>
      <c r="W494" s="218"/>
      <c r="X494" s="218"/>
      <c r="Y494" s="216"/>
      <c r="Z494" s="216"/>
      <c r="AA494" s="215"/>
      <c r="AB494" s="216"/>
      <c r="AC494" s="216"/>
      <c r="AD494" s="239"/>
      <c r="AE494" s="216"/>
      <c r="AF494" s="216"/>
      <c r="AG494" s="216"/>
      <c r="AH494" s="216"/>
      <c r="AI494" s="216"/>
      <c r="AJ494" s="216"/>
      <c r="AK494" s="239"/>
      <c r="AL494" s="216"/>
      <c r="AM494" s="216"/>
      <c r="AN494" s="216"/>
      <c r="AO494" s="216"/>
      <c r="AP494" s="216"/>
      <c r="AQ494" s="216"/>
      <c r="AR494" s="216"/>
      <c r="AS494" s="216"/>
      <c r="AT494" s="216"/>
      <c r="AU494" s="216"/>
      <c r="AV494" s="217"/>
      <c r="AW494" s="355"/>
      <c r="AX494" s="217"/>
      <c r="AY494" s="305"/>
      <c r="AZ494" s="249"/>
      <c r="BA494" s="221"/>
      <c r="BB494" s="300"/>
      <c r="BC494" s="217"/>
      <c r="BD494" s="392"/>
      <c r="BE494" s="1244"/>
      <c r="BF494" s="249"/>
      <c r="BG494" s="252"/>
      <c r="BH494" s="1469"/>
      <c r="BI494" s="216"/>
      <c r="BJ494" s="1469"/>
      <c r="BK494" s="1459"/>
      <c r="BL494" s="260"/>
      <c r="BM494" s="214"/>
      <c r="BN494" s="293"/>
      <c r="BO494" s="217"/>
      <c r="BP494" s="355"/>
      <c r="BQ494" s="217"/>
      <c r="BR494" s="1193"/>
      <c r="BS494" s="249"/>
      <c r="BT494" s="216"/>
      <c r="BU494" s="1195"/>
      <c r="BV494" s="249"/>
      <c r="BW494" s="216"/>
      <c r="BX494" s="1195"/>
      <c r="BY494" s="249"/>
      <c r="BZ494" s="216"/>
      <c r="CA494" s="1195"/>
      <c r="CB494" s="249"/>
      <c r="CC494" s="216"/>
      <c r="CD494" s="1195"/>
      <c r="CE494" s="249"/>
      <c r="CF494" s="216"/>
      <c r="CG494" s="1195"/>
      <c r="CH494" s="249"/>
      <c r="CI494" s="216"/>
      <c r="CJ494" s="1195"/>
      <c r="CK494" s="249"/>
      <c r="CL494" s="216"/>
      <c r="CM494" s="1194"/>
      <c r="CN494" s="1524"/>
      <c r="CO494" s="217"/>
      <c r="CP494" s="1193"/>
      <c r="CQ494" s="293"/>
      <c r="CR494" s="217"/>
      <c r="CS494" s="305"/>
      <c r="CT494" s="249"/>
      <c r="CU494" s="216"/>
      <c r="CV494" s="1193"/>
      <c r="CW494" s="249"/>
      <c r="CX494" s="216"/>
      <c r="CY494" s="305"/>
      <c r="CZ494" s="249"/>
      <c r="DA494" s="216"/>
      <c r="DB494" s="307"/>
      <c r="DC494" s="328"/>
      <c r="DD494" s="322"/>
      <c r="DE494" s="305"/>
      <c r="DF494" s="249"/>
      <c r="DG494" s="216"/>
      <c r="DH494" s="305"/>
      <c r="DI494" s="249"/>
      <c r="DJ494" s="216"/>
      <c r="DK494" s="309"/>
      <c r="DL494" s="293"/>
      <c r="DM494" s="326"/>
      <c r="DN494" s="1256"/>
      <c r="DO494" s="214"/>
      <c r="DP494" s="1257"/>
      <c r="DQ494" s="1258"/>
      <c r="DR494" s="305"/>
      <c r="DS494" s="249"/>
      <c r="DT494" s="216"/>
      <c r="DU494" s="305"/>
      <c r="DV494" s="2520"/>
      <c r="DW494" s="2521"/>
      <c r="DX494" s="305"/>
      <c r="DY494" s="249"/>
      <c r="DZ494" s="221"/>
      <c r="EA494" s="388"/>
      <c r="EB494" s="249"/>
      <c r="EC494" s="216"/>
      <c r="ED494" s="1461"/>
      <c r="EE494" s="249"/>
      <c r="EF494" s="216"/>
      <c r="EG494" s="355"/>
      <c r="EH494" s="1425"/>
      <c r="EI494" s="1470"/>
      <c r="EJ494" s="249"/>
      <c r="EK494" s="221"/>
      <c r="EL494" s="313"/>
      <c r="EM494" s="249"/>
      <c r="EN494" s="221"/>
      <c r="EO494" s="313"/>
      <c r="EP494" s="249"/>
      <c r="EQ494" s="216"/>
      <c r="ER494" s="313"/>
      <c r="ES494" s="249"/>
      <c r="ET494" s="216"/>
      <c r="EU494" s="313"/>
      <c r="EV494" s="249"/>
      <c r="EW494" s="216"/>
      <c r="EX494" s="2505"/>
      <c r="EY494" s="249"/>
      <c r="EZ494" s="221"/>
      <c r="FA494" s="313"/>
      <c r="FB494" s="249"/>
      <c r="FC494" s="221"/>
      <c r="FD494" s="313"/>
      <c r="FE494" s="249"/>
      <c r="FF494" s="221"/>
      <c r="FG494" s="313"/>
      <c r="FH494" s="249"/>
      <c r="FI494" s="216"/>
      <c r="FJ494" s="1435"/>
      <c r="FK494" s="216"/>
      <c r="FL494" s="1268"/>
      <c r="FM494" s="1655"/>
      <c r="FN494" s="1268"/>
      <c r="FO494" s="1655"/>
      <c r="FP494" s="1268"/>
      <c r="FQ494" s="1656"/>
      <c r="FR494" s="249"/>
      <c r="FS494" s="216"/>
      <c r="FT494" s="1657"/>
      <c r="FU494" s="1658"/>
      <c r="FV494" s="242"/>
      <c r="FW494" s="343"/>
      <c r="FX494" s="222"/>
      <c r="FY494" s="336"/>
      <c r="FZ494" s="223"/>
      <c r="GA494" s="338"/>
      <c r="GB494" s="204"/>
      <c r="GC494" s="339"/>
      <c r="GD494" s="342"/>
      <c r="GE494" s="199"/>
      <c r="GF494" s="199"/>
      <c r="GG494" s="199"/>
      <c r="GH494" s="199"/>
      <c r="GI494" s="199"/>
      <c r="GJ494" s="199"/>
      <c r="GK494" s="199"/>
      <c r="GO494" s="322"/>
      <c r="GP494" s="1190"/>
      <c r="GQ494" s="1190"/>
      <c r="GS494" s="2879"/>
      <c r="GT494" s="2880"/>
      <c r="GU494" s="2881"/>
    </row>
    <row r="495" spans="1:203" ht="12" customHeight="1">
      <c r="A495" s="1252"/>
      <c r="B495" s="200"/>
      <c r="C495" s="486"/>
      <c r="T495" s="1186"/>
      <c r="U495" s="233"/>
      <c r="W495" s="218"/>
      <c r="X495" s="218"/>
      <c r="Y495" s="216"/>
      <c r="Z495" s="216"/>
      <c r="AA495" s="215"/>
      <c r="AB495" s="216"/>
      <c r="AC495" s="216"/>
      <c r="AD495" s="239"/>
      <c r="AE495" s="216"/>
      <c r="AF495" s="216"/>
      <c r="AG495" s="216"/>
      <c r="AH495" s="216"/>
      <c r="AI495" s="216"/>
      <c r="AJ495" s="216"/>
      <c r="AK495" s="239"/>
      <c r="AL495" s="216"/>
      <c r="AM495" s="216"/>
      <c r="AN495" s="216"/>
      <c r="AO495" s="216"/>
      <c r="AP495" s="216"/>
      <c r="AQ495" s="216"/>
      <c r="AR495" s="216"/>
      <c r="AS495" s="216"/>
      <c r="AT495" s="216"/>
      <c r="AU495" s="216"/>
      <c r="AV495" s="217"/>
      <c r="AW495" s="355"/>
      <c r="AX495" s="217"/>
      <c r="AY495" s="305"/>
      <c r="AZ495" s="249"/>
      <c r="BA495" s="221"/>
      <c r="BB495" s="300"/>
      <c r="BC495" s="217"/>
      <c r="BD495" s="392"/>
      <c r="BE495" s="1244"/>
      <c r="BF495" s="249"/>
      <c r="BG495" s="252"/>
      <c r="BH495" s="1469"/>
      <c r="BI495" s="216"/>
      <c r="BJ495" s="1469"/>
      <c r="BK495" s="1459"/>
      <c r="BL495" s="260"/>
      <c r="BM495" s="214"/>
      <c r="BN495" s="293"/>
      <c r="BO495" s="217"/>
      <c r="BP495" s="355"/>
      <c r="BQ495" s="217"/>
      <c r="BR495" s="1193"/>
      <c r="BS495" s="249"/>
      <c r="BT495" s="216"/>
      <c r="BU495" s="1195"/>
      <c r="BV495" s="249"/>
      <c r="BW495" s="216"/>
      <c r="BX495" s="1195"/>
      <c r="BY495" s="249"/>
      <c r="BZ495" s="216"/>
      <c r="CA495" s="1195"/>
      <c r="CB495" s="249"/>
      <c r="CC495" s="216"/>
      <c r="CD495" s="1195"/>
      <c r="CE495" s="249"/>
      <c r="CF495" s="216"/>
      <c r="CG495" s="1195"/>
      <c r="CH495" s="249"/>
      <c r="CI495" s="216"/>
      <c r="CJ495" s="1195"/>
      <c r="CK495" s="249"/>
      <c r="CL495" s="216"/>
      <c r="CM495" s="1194"/>
      <c r="CN495" s="1524"/>
      <c r="CO495" s="217"/>
      <c r="CP495" s="1193"/>
      <c r="CQ495" s="293"/>
      <c r="CR495" s="217"/>
      <c r="CS495" s="305"/>
      <c r="CT495" s="249"/>
      <c r="CU495" s="216"/>
      <c r="CV495" s="1193"/>
      <c r="CW495" s="249"/>
      <c r="CX495" s="216"/>
      <c r="CY495" s="305"/>
      <c r="CZ495" s="249"/>
      <c r="DA495" s="216"/>
      <c r="DB495" s="307"/>
      <c r="DC495" s="328"/>
      <c r="DD495" s="322"/>
      <c r="DE495" s="305"/>
      <c r="DF495" s="249"/>
      <c r="DG495" s="216"/>
      <c r="DH495" s="305"/>
      <c r="DI495" s="249"/>
      <c r="DJ495" s="216"/>
      <c r="DK495" s="309"/>
      <c r="DL495" s="293"/>
      <c r="DM495" s="326"/>
      <c r="DN495" s="1256"/>
      <c r="DO495" s="214"/>
      <c r="DP495" s="1257"/>
      <c r="DQ495" s="1258"/>
      <c r="DR495" s="305"/>
      <c r="DS495" s="249"/>
      <c r="DT495" s="216"/>
      <c r="DU495" s="305"/>
      <c r="DV495" s="2520"/>
      <c r="DW495" s="2521"/>
      <c r="DX495" s="305"/>
      <c r="DY495" s="249"/>
      <c r="DZ495" s="221"/>
      <c r="EA495" s="388"/>
      <c r="EB495" s="249"/>
      <c r="EC495" s="216"/>
      <c r="ED495" s="1461"/>
      <c r="EE495" s="249"/>
      <c r="EF495" s="216"/>
      <c r="EG495" s="355"/>
      <c r="EH495" s="1425"/>
      <c r="EI495" s="1470"/>
      <c r="EJ495" s="249"/>
      <c r="EK495" s="221"/>
      <c r="EL495" s="313"/>
      <c r="EM495" s="249"/>
      <c r="EN495" s="221"/>
      <c r="EO495" s="313"/>
      <c r="EP495" s="249"/>
      <c r="EQ495" s="216"/>
      <c r="ER495" s="313"/>
      <c r="ES495" s="249"/>
      <c r="ET495" s="216"/>
      <c r="EU495" s="313"/>
      <c r="EV495" s="249"/>
      <c r="EW495" s="216"/>
      <c r="EX495" s="2505"/>
      <c r="EY495" s="249"/>
      <c r="EZ495" s="221"/>
      <c r="FA495" s="313"/>
      <c r="FB495" s="249"/>
      <c r="FC495" s="221"/>
      <c r="FD495" s="313"/>
      <c r="FE495" s="249"/>
      <c r="FF495" s="221"/>
      <c r="FG495" s="313"/>
      <c r="FH495" s="249"/>
      <c r="FI495" s="216"/>
      <c r="FJ495" s="1435"/>
      <c r="FK495" s="216"/>
      <c r="FL495" s="1268"/>
      <c r="FM495" s="1655"/>
      <c r="FN495" s="1268"/>
      <c r="FO495" s="1655"/>
      <c r="FP495" s="1268"/>
      <c r="FQ495" s="1656"/>
      <c r="FR495" s="249"/>
      <c r="FS495" s="216"/>
      <c r="FT495" s="1657"/>
      <c r="FU495" s="1658"/>
      <c r="FV495" s="242"/>
      <c r="FW495" s="343"/>
      <c r="FX495" s="222"/>
      <c r="FY495" s="336"/>
      <c r="FZ495" s="223"/>
      <c r="GA495" s="338"/>
      <c r="GB495" s="204"/>
      <c r="GC495" s="339"/>
      <c r="GD495" s="342"/>
      <c r="GE495" s="199"/>
      <c r="GF495" s="199"/>
      <c r="GG495" s="199"/>
      <c r="GH495" s="199"/>
      <c r="GI495" s="199"/>
      <c r="GJ495" s="199"/>
      <c r="GK495" s="199"/>
      <c r="GO495" s="322"/>
      <c r="GP495" s="1190"/>
      <c r="GQ495" s="1190"/>
      <c r="GS495" s="2879"/>
      <c r="GT495" s="2880"/>
      <c r="GU495" s="2881"/>
    </row>
    <row r="496" spans="1:203" ht="12" customHeight="1">
      <c r="A496" s="1252"/>
      <c r="B496" s="200"/>
      <c r="C496" s="486"/>
      <c r="T496" s="1186"/>
      <c r="U496" s="233"/>
      <c r="W496" s="218"/>
      <c r="X496" s="218"/>
      <c r="Y496" s="216"/>
      <c r="Z496" s="216"/>
      <c r="AA496" s="215"/>
      <c r="AB496" s="216"/>
      <c r="AC496" s="216"/>
      <c r="AD496" s="239"/>
      <c r="AE496" s="216"/>
      <c r="AF496" s="216"/>
      <c r="AG496" s="216"/>
      <c r="AH496" s="216"/>
      <c r="AI496" s="216"/>
      <c r="AJ496" s="216"/>
      <c r="AK496" s="239"/>
      <c r="AL496" s="216"/>
      <c r="AM496" s="216"/>
      <c r="AN496" s="216"/>
      <c r="AO496" s="216"/>
      <c r="AP496" s="216"/>
      <c r="AQ496" s="216"/>
      <c r="AR496" s="216"/>
      <c r="AS496" s="216"/>
      <c r="AT496" s="216"/>
      <c r="AU496" s="216"/>
      <c r="AV496" s="217"/>
      <c r="AW496" s="355"/>
      <c r="AX496" s="217"/>
      <c r="AY496" s="305"/>
      <c r="AZ496" s="249"/>
      <c r="BA496" s="221"/>
      <c r="BB496" s="300"/>
      <c r="BC496" s="217"/>
      <c r="BD496" s="392"/>
      <c r="BE496" s="1244"/>
      <c r="BF496" s="249"/>
      <c r="BG496" s="252"/>
      <c r="BH496" s="1469"/>
      <c r="BI496" s="216"/>
      <c r="BJ496" s="1469"/>
      <c r="BK496" s="1459"/>
      <c r="BL496" s="260"/>
      <c r="BM496" s="214"/>
      <c r="BN496" s="293"/>
      <c r="BO496" s="217"/>
      <c r="BP496" s="355"/>
      <c r="BQ496" s="217"/>
      <c r="BR496" s="1193"/>
      <c r="BS496" s="249"/>
      <c r="BT496" s="216"/>
      <c r="BU496" s="1195"/>
      <c r="BV496" s="249"/>
      <c r="BW496" s="216"/>
      <c r="BX496" s="1195"/>
      <c r="BY496" s="249"/>
      <c r="BZ496" s="216"/>
      <c r="CA496" s="1195"/>
      <c r="CB496" s="249"/>
      <c r="CC496" s="216"/>
      <c r="CD496" s="1195"/>
      <c r="CE496" s="249"/>
      <c r="CF496" s="216"/>
      <c r="CG496" s="1195"/>
      <c r="CH496" s="249"/>
      <c r="CI496" s="216"/>
      <c r="CJ496" s="1195"/>
      <c r="CK496" s="249"/>
      <c r="CL496" s="216"/>
      <c r="CM496" s="1194"/>
      <c r="CN496" s="1524"/>
      <c r="CO496" s="217"/>
      <c r="CP496" s="1193"/>
      <c r="CQ496" s="293"/>
      <c r="CR496" s="217"/>
      <c r="CS496" s="305"/>
      <c r="CT496" s="249"/>
      <c r="CU496" s="216"/>
      <c r="CV496" s="1193"/>
      <c r="CW496" s="249"/>
      <c r="CX496" s="216"/>
      <c r="CY496" s="305"/>
      <c r="CZ496" s="249"/>
      <c r="DA496" s="216"/>
      <c r="DB496" s="307"/>
      <c r="DC496" s="328"/>
      <c r="DD496" s="322"/>
      <c r="DE496" s="305"/>
      <c r="DF496" s="249"/>
      <c r="DG496" s="216"/>
      <c r="DH496" s="305"/>
      <c r="DI496" s="249"/>
      <c r="DJ496" s="216"/>
      <c r="DK496" s="309"/>
      <c r="DL496" s="293"/>
      <c r="DM496" s="326"/>
      <c r="DN496" s="1256"/>
      <c r="DO496" s="214"/>
      <c r="DP496" s="1257"/>
      <c r="DQ496" s="1258"/>
      <c r="DR496" s="305"/>
      <c r="DS496" s="249"/>
      <c r="DT496" s="216"/>
      <c r="DU496" s="305"/>
      <c r="DV496" s="2520"/>
      <c r="DW496" s="2521"/>
      <c r="DX496" s="305"/>
      <c r="DY496" s="249"/>
      <c r="DZ496" s="221"/>
      <c r="EA496" s="388"/>
      <c r="EB496" s="249"/>
      <c r="EC496" s="216"/>
      <c r="ED496" s="1461"/>
      <c r="EE496" s="249"/>
      <c r="EF496" s="216"/>
      <c r="EG496" s="355"/>
      <c r="EH496" s="1425"/>
      <c r="EI496" s="1470"/>
      <c r="EJ496" s="249"/>
      <c r="EK496" s="221"/>
      <c r="EL496" s="313"/>
      <c r="EM496" s="249"/>
      <c r="EN496" s="221"/>
      <c r="EO496" s="313"/>
      <c r="EP496" s="249"/>
      <c r="EQ496" s="216"/>
      <c r="ER496" s="313"/>
      <c r="ES496" s="249"/>
      <c r="ET496" s="216"/>
      <c r="EU496" s="313"/>
      <c r="EV496" s="249"/>
      <c r="EW496" s="216"/>
      <c r="EX496" s="2505"/>
      <c r="EY496" s="249"/>
      <c r="EZ496" s="221"/>
      <c r="FA496" s="313"/>
      <c r="FB496" s="249"/>
      <c r="FC496" s="221"/>
      <c r="FD496" s="313"/>
      <c r="FE496" s="249"/>
      <c r="FF496" s="221"/>
      <c r="FG496" s="313"/>
      <c r="FH496" s="249"/>
      <c r="FI496" s="216"/>
      <c r="FJ496" s="1435"/>
      <c r="FK496" s="216"/>
      <c r="FL496" s="1268"/>
      <c r="FM496" s="1655"/>
      <c r="FN496" s="1268"/>
      <c r="FO496" s="1655"/>
      <c r="FP496" s="1268"/>
      <c r="FQ496" s="1656"/>
      <c r="FR496" s="249"/>
      <c r="FS496" s="216"/>
      <c r="FT496" s="1657"/>
      <c r="FU496" s="1658"/>
      <c r="FV496" s="242"/>
      <c r="FW496" s="343"/>
      <c r="FX496" s="222"/>
      <c r="FY496" s="336"/>
      <c r="FZ496" s="223"/>
      <c r="GA496" s="338"/>
      <c r="GB496" s="204"/>
      <c r="GC496" s="339"/>
      <c r="GD496" s="342"/>
      <c r="GE496" s="199"/>
      <c r="GF496" s="199"/>
      <c r="GG496" s="199"/>
      <c r="GH496" s="199"/>
      <c r="GI496" s="199"/>
      <c r="GJ496" s="199"/>
      <c r="GK496" s="199"/>
      <c r="GO496" s="322"/>
      <c r="GP496" s="1190"/>
      <c r="GQ496" s="1190"/>
      <c r="GS496" s="2879"/>
      <c r="GT496" s="2880"/>
      <c r="GU496" s="2881"/>
    </row>
    <row r="497" spans="1:203" ht="12" customHeight="1">
      <c r="A497" s="1252"/>
      <c r="B497" s="200"/>
      <c r="C497" s="486"/>
      <c r="T497" s="1186"/>
      <c r="U497" s="233"/>
      <c r="W497" s="218"/>
      <c r="X497" s="218"/>
      <c r="Y497" s="216"/>
      <c r="Z497" s="216"/>
      <c r="AA497" s="215"/>
      <c r="AB497" s="216"/>
      <c r="AC497" s="216"/>
      <c r="AD497" s="239"/>
      <c r="AE497" s="216"/>
      <c r="AF497" s="216"/>
      <c r="AG497" s="216"/>
      <c r="AH497" s="216"/>
      <c r="AI497" s="216"/>
      <c r="AJ497" s="216"/>
      <c r="AK497" s="239"/>
      <c r="AL497" s="216"/>
      <c r="AM497" s="216"/>
      <c r="AN497" s="216"/>
      <c r="AO497" s="216"/>
      <c r="AP497" s="216"/>
      <c r="AQ497" s="216"/>
      <c r="AR497" s="216"/>
      <c r="AS497" s="216"/>
      <c r="AT497" s="216"/>
      <c r="AU497" s="216"/>
      <c r="AV497" s="217"/>
      <c r="AW497" s="355"/>
      <c r="AX497" s="217"/>
      <c r="AY497" s="305"/>
      <c r="AZ497" s="249"/>
      <c r="BA497" s="221"/>
      <c r="BB497" s="300"/>
      <c r="BC497" s="217"/>
      <c r="BD497" s="392"/>
      <c r="BE497" s="1244"/>
      <c r="BF497" s="249"/>
      <c r="BG497" s="252"/>
      <c r="BH497" s="1469"/>
      <c r="BI497" s="216"/>
      <c r="BJ497" s="1469"/>
      <c r="BK497" s="1459"/>
      <c r="BL497" s="260"/>
      <c r="BM497" s="214"/>
      <c r="BN497" s="293"/>
      <c r="BO497" s="217"/>
      <c r="BP497" s="355"/>
      <c r="BQ497" s="217"/>
      <c r="BR497" s="1193"/>
      <c r="BS497" s="249"/>
      <c r="BT497" s="216"/>
      <c r="BU497" s="1195"/>
      <c r="BV497" s="249"/>
      <c r="BW497" s="216"/>
      <c r="BX497" s="1195"/>
      <c r="BY497" s="249"/>
      <c r="BZ497" s="216"/>
      <c r="CA497" s="1195"/>
      <c r="CB497" s="249"/>
      <c r="CC497" s="216"/>
      <c r="CD497" s="1195"/>
      <c r="CE497" s="249"/>
      <c r="CF497" s="216"/>
      <c r="CG497" s="1195"/>
      <c r="CH497" s="249"/>
      <c r="CI497" s="216"/>
      <c r="CJ497" s="1195"/>
      <c r="CK497" s="249"/>
      <c r="CL497" s="216"/>
      <c r="CM497" s="1194"/>
      <c r="CN497" s="1524"/>
      <c r="CO497" s="217"/>
      <c r="CP497" s="1193"/>
      <c r="CQ497" s="293"/>
      <c r="CR497" s="217"/>
      <c r="CS497" s="305"/>
      <c r="CT497" s="249"/>
      <c r="CU497" s="216"/>
      <c r="CV497" s="1193"/>
      <c r="CW497" s="249"/>
      <c r="CX497" s="216"/>
      <c r="CY497" s="305"/>
      <c r="CZ497" s="249"/>
      <c r="DA497" s="216"/>
      <c r="DB497" s="307"/>
      <c r="DC497" s="328"/>
      <c r="DD497" s="322"/>
      <c r="DE497" s="305"/>
      <c r="DF497" s="249"/>
      <c r="DG497" s="216"/>
      <c r="DH497" s="305"/>
      <c r="DI497" s="249"/>
      <c r="DJ497" s="216"/>
      <c r="DK497" s="309"/>
      <c r="DL497" s="293"/>
      <c r="DM497" s="326"/>
      <c r="DN497" s="1256"/>
      <c r="DO497" s="214"/>
      <c r="DP497" s="1257"/>
      <c r="DQ497" s="1258"/>
      <c r="DR497" s="305"/>
      <c r="DS497" s="249"/>
      <c r="DT497" s="216"/>
      <c r="DU497" s="305"/>
      <c r="DV497" s="2520"/>
      <c r="DW497" s="2521"/>
      <c r="DX497" s="305"/>
      <c r="DY497" s="249"/>
      <c r="DZ497" s="221"/>
      <c r="EA497" s="388"/>
      <c r="EB497" s="249"/>
      <c r="EC497" s="216"/>
      <c r="ED497" s="1461"/>
      <c r="EE497" s="249"/>
      <c r="EF497" s="216"/>
      <c r="EG497" s="355"/>
      <c r="EH497" s="1425"/>
      <c r="EI497" s="1470"/>
      <c r="EJ497" s="249"/>
      <c r="EK497" s="221"/>
      <c r="EL497" s="313"/>
      <c r="EM497" s="249"/>
      <c r="EN497" s="221"/>
      <c r="EO497" s="313"/>
      <c r="EP497" s="249"/>
      <c r="EQ497" s="216"/>
      <c r="ER497" s="313"/>
      <c r="ES497" s="249"/>
      <c r="ET497" s="216"/>
      <c r="EU497" s="313"/>
      <c r="EV497" s="249"/>
      <c r="EW497" s="216"/>
      <c r="EX497" s="2505"/>
      <c r="EY497" s="249"/>
      <c r="EZ497" s="221"/>
      <c r="FA497" s="313"/>
      <c r="FB497" s="249"/>
      <c r="FC497" s="221"/>
      <c r="FD497" s="313"/>
      <c r="FE497" s="249"/>
      <c r="FF497" s="221"/>
      <c r="FG497" s="313"/>
      <c r="FH497" s="249"/>
      <c r="FI497" s="216"/>
      <c r="FJ497" s="1435"/>
      <c r="FK497" s="216"/>
      <c r="FL497" s="1268"/>
      <c r="FM497" s="1655"/>
      <c r="FN497" s="1268"/>
      <c r="FO497" s="1655"/>
      <c r="FP497" s="1268"/>
      <c r="FQ497" s="1656"/>
      <c r="FR497" s="249"/>
      <c r="FS497" s="216"/>
      <c r="FT497" s="1657"/>
      <c r="FU497" s="1658"/>
      <c r="FV497" s="242"/>
      <c r="FW497" s="343"/>
      <c r="FX497" s="222"/>
      <c r="FY497" s="336"/>
      <c r="FZ497" s="223"/>
      <c r="GA497" s="338"/>
      <c r="GB497" s="204"/>
      <c r="GC497" s="339"/>
      <c r="GD497" s="342"/>
      <c r="GE497" s="199"/>
      <c r="GF497" s="199"/>
      <c r="GG497" s="199"/>
      <c r="GH497" s="199"/>
      <c r="GI497" s="199"/>
      <c r="GJ497" s="199"/>
      <c r="GK497" s="199"/>
      <c r="GO497" s="322"/>
      <c r="GP497" s="1190"/>
      <c r="GQ497" s="1190"/>
      <c r="GS497" s="2879"/>
      <c r="GT497" s="2880"/>
      <c r="GU497" s="2881"/>
    </row>
    <row r="498" spans="1:203" ht="12" customHeight="1">
      <c r="A498" s="1252"/>
      <c r="B498" s="200"/>
      <c r="C498" s="486"/>
      <c r="T498" s="1186"/>
      <c r="U498" s="233"/>
      <c r="W498" s="218"/>
      <c r="X498" s="218"/>
      <c r="Y498" s="216"/>
      <c r="Z498" s="216"/>
      <c r="AA498" s="215"/>
      <c r="AB498" s="216"/>
      <c r="AC498" s="216"/>
      <c r="AD498" s="239"/>
      <c r="AE498" s="216"/>
      <c r="AF498" s="216"/>
      <c r="AG498" s="216"/>
      <c r="AH498" s="216"/>
      <c r="AI498" s="216"/>
      <c r="AJ498" s="216"/>
      <c r="AK498" s="239"/>
      <c r="AL498" s="216"/>
      <c r="AM498" s="216"/>
      <c r="AN498" s="216"/>
      <c r="AO498" s="216"/>
      <c r="AP498" s="216"/>
      <c r="AQ498" s="216"/>
      <c r="AR498" s="216"/>
      <c r="AS498" s="216"/>
      <c r="AT498" s="216"/>
      <c r="AU498" s="216"/>
      <c r="AV498" s="217"/>
      <c r="AW498" s="355"/>
      <c r="AX498" s="217"/>
      <c r="AY498" s="305"/>
      <c r="AZ498" s="249"/>
      <c r="BA498" s="221"/>
      <c r="BB498" s="300"/>
      <c r="BC498" s="217"/>
      <c r="BD498" s="392"/>
      <c r="BE498" s="1244"/>
      <c r="BF498" s="249"/>
      <c r="BG498" s="252"/>
      <c r="BH498" s="1469"/>
      <c r="BI498" s="216"/>
      <c r="BJ498" s="1469"/>
      <c r="BK498" s="1459"/>
      <c r="BL498" s="260"/>
      <c r="BM498" s="214"/>
      <c r="BN498" s="293"/>
      <c r="BO498" s="217"/>
      <c r="BP498" s="355"/>
      <c r="BQ498" s="217"/>
      <c r="BR498" s="1193"/>
      <c r="BS498" s="249"/>
      <c r="BT498" s="216"/>
      <c r="BU498" s="1195"/>
      <c r="BV498" s="249"/>
      <c r="BW498" s="216"/>
      <c r="BX498" s="1195"/>
      <c r="BY498" s="249"/>
      <c r="BZ498" s="216"/>
      <c r="CA498" s="1195"/>
      <c r="CB498" s="249"/>
      <c r="CC498" s="216"/>
      <c r="CD498" s="1195"/>
      <c r="CE498" s="249"/>
      <c r="CF498" s="216"/>
      <c r="CG498" s="1195"/>
      <c r="CH498" s="249"/>
      <c r="CI498" s="216"/>
      <c r="CJ498" s="1195"/>
      <c r="CK498" s="249"/>
      <c r="CL498" s="216"/>
      <c r="CM498" s="1194"/>
      <c r="CN498" s="1524"/>
      <c r="CO498" s="217"/>
      <c r="CP498" s="1193"/>
      <c r="CQ498" s="293"/>
      <c r="CR498" s="217"/>
      <c r="CS498" s="305"/>
      <c r="CT498" s="249"/>
      <c r="CU498" s="216"/>
      <c r="CV498" s="1193"/>
      <c r="CW498" s="249"/>
      <c r="CX498" s="216"/>
      <c r="CY498" s="305"/>
      <c r="CZ498" s="249"/>
      <c r="DA498" s="216"/>
      <c r="DB498" s="307"/>
      <c r="DC498" s="328"/>
      <c r="DD498" s="322"/>
      <c r="DE498" s="305"/>
      <c r="DF498" s="249"/>
      <c r="DG498" s="216"/>
      <c r="DH498" s="305"/>
      <c r="DI498" s="249"/>
      <c r="DJ498" s="216"/>
      <c r="DK498" s="309"/>
      <c r="DL498" s="293"/>
      <c r="DM498" s="326"/>
      <c r="DN498" s="1256"/>
      <c r="DO498" s="214"/>
      <c r="DP498" s="1257"/>
      <c r="DQ498" s="1258"/>
      <c r="DR498" s="305"/>
      <c r="DS498" s="249"/>
      <c r="DT498" s="216"/>
      <c r="DU498" s="305"/>
      <c r="DV498" s="2520"/>
      <c r="DW498" s="2521"/>
      <c r="DX498" s="305"/>
      <c r="DY498" s="249"/>
      <c r="DZ498" s="221"/>
      <c r="EA498" s="388"/>
      <c r="EB498" s="249"/>
      <c r="EC498" s="216"/>
      <c r="ED498" s="1461"/>
      <c r="EE498" s="249"/>
      <c r="EF498" s="216"/>
      <c r="EG498" s="355"/>
      <c r="EH498" s="1425"/>
      <c r="EI498" s="1470"/>
      <c r="EJ498" s="249"/>
      <c r="EK498" s="221"/>
      <c r="EL498" s="313"/>
      <c r="EM498" s="249"/>
      <c r="EN498" s="221"/>
      <c r="EO498" s="313"/>
      <c r="EP498" s="249"/>
      <c r="EQ498" s="216"/>
      <c r="ER498" s="313"/>
      <c r="ES498" s="249"/>
      <c r="ET498" s="216"/>
      <c r="EU498" s="313"/>
      <c r="EV498" s="249"/>
      <c r="EW498" s="216"/>
      <c r="EX498" s="2505"/>
      <c r="EY498" s="249"/>
      <c r="EZ498" s="221"/>
      <c r="FA498" s="313"/>
      <c r="FB498" s="249"/>
      <c r="FC498" s="221"/>
      <c r="FD498" s="313"/>
      <c r="FE498" s="249"/>
      <c r="FF498" s="221"/>
      <c r="FG498" s="313"/>
      <c r="FH498" s="249"/>
      <c r="FI498" s="216"/>
      <c r="FJ498" s="1435"/>
      <c r="FK498" s="216"/>
      <c r="FL498" s="1268"/>
      <c r="FM498" s="1655"/>
      <c r="FN498" s="1268"/>
      <c r="FO498" s="1655"/>
      <c r="FP498" s="1268"/>
      <c r="FQ498" s="1656"/>
      <c r="FR498" s="249"/>
      <c r="FS498" s="216"/>
      <c r="FT498" s="1657"/>
      <c r="FU498" s="1658"/>
      <c r="FV498" s="242"/>
      <c r="FW498" s="343"/>
      <c r="FX498" s="222"/>
      <c r="FY498" s="336"/>
      <c r="FZ498" s="223"/>
      <c r="GA498" s="338"/>
      <c r="GB498" s="204"/>
      <c r="GC498" s="339"/>
      <c r="GD498" s="342"/>
      <c r="GE498" s="199"/>
      <c r="GF498" s="199"/>
      <c r="GG498" s="199"/>
      <c r="GH498" s="199"/>
      <c r="GI498" s="199"/>
      <c r="GJ498" s="199"/>
      <c r="GK498" s="199"/>
      <c r="GO498" s="322"/>
      <c r="GP498" s="1190"/>
      <c r="GQ498" s="1190"/>
      <c r="GS498" s="2879"/>
      <c r="GT498" s="2880"/>
      <c r="GU498" s="2881"/>
    </row>
    <row r="499" spans="1:203" ht="12" customHeight="1">
      <c r="A499" s="1252"/>
      <c r="B499" s="200"/>
      <c r="C499" s="486"/>
      <c r="T499" s="1186"/>
      <c r="U499" s="233"/>
      <c r="W499" s="218"/>
      <c r="X499" s="218"/>
      <c r="Y499" s="216"/>
      <c r="Z499" s="216"/>
      <c r="AA499" s="215"/>
      <c r="AB499" s="216"/>
      <c r="AC499" s="216"/>
      <c r="AD499" s="239"/>
      <c r="AE499" s="216"/>
      <c r="AF499" s="216"/>
      <c r="AG499" s="216"/>
      <c r="AH499" s="216"/>
      <c r="AI499" s="216"/>
      <c r="AJ499" s="216"/>
      <c r="AK499" s="239"/>
      <c r="AL499" s="216"/>
      <c r="AM499" s="216"/>
      <c r="AN499" s="216"/>
      <c r="AO499" s="216"/>
      <c r="AP499" s="216"/>
      <c r="AQ499" s="216"/>
      <c r="AR499" s="216"/>
      <c r="AS499" s="216"/>
      <c r="AT499" s="216"/>
      <c r="AU499" s="216"/>
      <c r="AV499" s="217"/>
      <c r="AW499" s="355"/>
      <c r="AX499" s="217"/>
      <c r="AY499" s="305"/>
      <c r="AZ499" s="249"/>
      <c r="BA499" s="221"/>
      <c r="BB499" s="300"/>
      <c r="BC499" s="217"/>
      <c r="BD499" s="392"/>
      <c r="BE499" s="1244"/>
      <c r="BF499" s="249"/>
      <c r="BG499" s="252"/>
      <c r="BH499" s="1469"/>
      <c r="BI499" s="216"/>
      <c r="BJ499" s="1469"/>
      <c r="BK499" s="1459"/>
      <c r="BL499" s="260"/>
      <c r="BM499" s="214"/>
      <c r="BN499" s="293"/>
      <c r="BO499" s="217"/>
      <c r="BP499" s="355"/>
      <c r="BQ499" s="217"/>
      <c r="BR499" s="1193"/>
      <c r="BS499" s="249"/>
      <c r="BT499" s="216"/>
      <c r="BU499" s="1195"/>
      <c r="BV499" s="249"/>
      <c r="BW499" s="216"/>
      <c r="BX499" s="1195"/>
      <c r="BY499" s="249"/>
      <c r="BZ499" s="216"/>
      <c r="CA499" s="1195"/>
      <c r="CB499" s="249"/>
      <c r="CC499" s="216"/>
      <c r="CD499" s="1195"/>
      <c r="CE499" s="249"/>
      <c r="CF499" s="216"/>
      <c r="CG499" s="1195"/>
      <c r="CH499" s="249"/>
      <c r="CI499" s="216"/>
      <c r="CJ499" s="1195"/>
      <c r="CK499" s="249"/>
      <c r="CL499" s="216"/>
      <c r="CM499" s="1194"/>
      <c r="CN499" s="1524"/>
      <c r="CO499" s="217"/>
      <c r="CP499" s="1193"/>
      <c r="CQ499" s="293"/>
      <c r="CR499" s="217"/>
      <c r="CS499" s="305"/>
      <c r="CT499" s="249"/>
      <c r="CU499" s="216"/>
      <c r="CV499" s="1193"/>
      <c r="CW499" s="249"/>
      <c r="CX499" s="216"/>
      <c r="CY499" s="305"/>
      <c r="CZ499" s="249"/>
      <c r="DA499" s="216"/>
      <c r="DB499" s="307"/>
      <c r="DC499" s="328"/>
      <c r="DD499" s="322"/>
      <c r="DE499" s="305"/>
      <c r="DF499" s="249"/>
      <c r="DG499" s="216"/>
      <c r="DH499" s="305"/>
      <c r="DI499" s="249"/>
      <c r="DJ499" s="216"/>
      <c r="DK499" s="309"/>
      <c r="DL499" s="293"/>
      <c r="DM499" s="326"/>
      <c r="DN499" s="1256"/>
      <c r="DO499" s="214"/>
      <c r="DP499" s="1257"/>
      <c r="DQ499" s="1258"/>
      <c r="DR499" s="305"/>
      <c r="DS499" s="249"/>
      <c r="DT499" s="216"/>
      <c r="DU499" s="305"/>
      <c r="DV499" s="2520"/>
      <c r="DW499" s="2521"/>
      <c r="DX499" s="305"/>
      <c r="DY499" s="249"/>
      <c r="DZ499" s="221"/>
      <c r="EA499" s="388"/>
      <c r="EB499" s="249"/>
      <c r="EC499" s="216"/>
      <c r="ED499" s="1461"/>
      <c r="EE499" s="249"/>
      <c r="EF499" s="216"/>
      <c r="EG499" s="355"/>
      <c r="EH499" s="1425"/>
      <c r="EI499" s="1470"/>
      <c r="EJ499" s="249"/>
      <c r="EK499" s="221"/>
      <c r="EL499" s="313"/>
      <c r="EM499" s="249"/>
      <c r="EN499" s="221"/>
      <c r="EO499" s="313"/>
      <c r="EP499" s="249"/>
      <c r="EQ499" s="216"/>
      <c r="ER499" s="313"/>
      <c r="ES499" s="249"/>
      <c r="ET499" s="216"/>
      <c r="EU499" s="313"/>
      <c r="EV499" s="249"/>
      <c r="EW499" s="216"/>
      <c r="EX499" s="2505"/>
      <c r="EY499" s="249"/>
      <c r="EZ499" s="221"/>
      <c r="FA499" s="313"/>
      <c r="FB499" s="249"/>
      <c r="FC499" s="221"/>
      <c r="FD499" s="313"/>
      <c r="FE499" s="249"/>
      <c r="FF499" s="221"/>
      <c r="FG499" s="313"/>
      <c r="FH499" s="249"/>
      <c r="FI499" s="216"/>
      <c r="FJ499" s="1435"/>
      <c r="FK499" s="216"/>
      <c r="FL499" s="1268"/>
      <c r="FM499" s="1655"/>
      <c r="FN499" s="1268"/>
      <c r="FO499" s="1655"/>
      <c r="FP499" s="1268"/>
      <c r="FQ499" s="1656"/>
      <c r="FR499" s="249"/>
      <c r="FS499" s="216"/>
      <c r="FT499" s="1657"/>
      <c r="FU499" s="1658"/>
      <c r="FV499" s="242"/>
      <c r="FW499" s="343"/>
      <c r="FX499" s="222"/>
      <c r="FY499" s="336"/>
      <c r="FZ499" s="223"/>
      <c r="GA499" s="338"/>
      <c r="GB499" s="204"/>
      <c r="GC499" s="339"/>
      <c r="GD499" s="342"/>
      <c r="GE499" s="199"/>
      <c r="GF499" s="199"/>
      <c r="GG499" s="199"/>
      <c r="GH499" s="199"/>
      <c r="GI499" s="199"/>
      <c r="GJ499" s="199"/>
      <c r="GK499" s="199"/>
      <c r="GO499" s="322"/>
      <c r="GP499" s="1190"/>
      <c r="GQ499" s="1190"/>
      <c r="GS499" s="2879"/>
      <c r="GT499" s="2880"/>
      <c r="GU499" s="2881"/>
    </row>
    <row r="500" spans="1:203" ht="12" customHeight="1">
      <c r="A500" s="1252"/>
      <c r="B500" s="200"/>
      <c r="C500" s="486"/>
      <c r="T500" s="1186"/>
      <c r="U500" s="233"/>
      <c r="W500" s="218"/>
      <c r="X500" s="218"/>
      <c r="Y500" s="216"/>
      <c r="Z500" s="216"/>
      <c r="AA500" s="215"/>
      <c r="AB500" s="216"/>
      <c r="AC500" s="216"/>
      <c r="AD500" s="239"/>
      <c r="AE500" s="216"/>
      <c r="AF500" s="216"/>
      <c r="AG500" s="216"/>
      <c r="AH500" s="216"/>
      <c r="AI500" s="216"/>
      <c r="AJ500" s="216"/>
      <c r="AK500" s="239"/>
      <c r="AL500" s="216"/>
      <c r="AM500" s="216"/>
      <c r="AN500" s="216"/>
      <c r="AO500" s="216"/>
      <c r="AP500" s="216"/>
      <c r="AQ500" s="216"/>
      <c r="AR500" s="216"/>
      <c r="AS500" s="216"/>
      <c r="AT500" s="216"/>
      <c r="AU500" s="216"/>
      <c r="AV500" s="217"/>
      <c r="AW500" s="355"/>
      <c r="AX500" s="217"/>
      <c r="AY500" s="305"/>
      <c r="AZ500" s="249"/>
      <c r="BA500" s="221"/>
      <c r="BB500" s="300"/>
      <c r="BC500" s="217"/>
      <c r="BD500" s="392"/>
      <c r="BE500" s="1244"/>
      <c r="BF500" s="249"/>
      <c r="BG500" s="252"/>
      <c r="BH500" s="1469"/>
      <c r="BI500" s="216"/>
      <c r="BJ500" s="1469"/>
      <c r="BK500" s="1459"/>
      <c r="BL500" s="260"/>
      <c r="BM500" s="214"/>
      <c r="BN500" s="293"/>
      <c r="BO500" s="217"/>
      <c r="BP500" s="355"/>
      <c r="BQ500" s="217"/>
      <c r="BR500" s="1193"/>
      <c r="BS500" s="249"/>
      <c r="BT500" s="216"/>
      <c r="BU500" s="1195"/>
      <c r="BV500" s="249"/>
      <c r="BW500" s="216"/>
      <c r="BX500" s="1195"/>
      <c r="BY500" s="249"/>
      <c r="BZ500" s="216"/>
      <c r="CA500" s="1195"/>
      <c r="CB500" s="249"/>
      <c r="CC500" s="216"/>
      <c r="CD500" s="1195"/>
      <c r="CE500" s="249"/>
      <c r="CF500" s="216"/>
      <c r="CG500" s="1195"/>
      <c r="CH500" s="249"/>
      <c r="CI500" s="216"/>
      <c r="CJ500" s="1195"/>
      <c r="CK500" s="249"/>
      <c r="CL500" s="216"/>
      <c r="CM500" s="1194"/>
      <c r="CN500" s="1524"/>
      <c r="CO500" s="217"/>
      <c r="CP500" s="1193"/>
      <c r="CQ500" s="293"/>
      <c r="CR500" s="217"/>
      <c r="CS500" s="305"/>
      <c r="CT500" s="249"/>
      <c r="CU500" s="216"/>
      <c r="CV500" s="1193"/>
      <c r="CW500" s="249"/>
      <c r="CX500" s="216"/>
      <c r="CY500" s="305"/>
      <c r="CZ500" s="249"/>
      <c r="DA500" s="216"/>
      <c r="DB500" s="307"/>
      <c r="DC500" s="328"/>
      <c r="DD500" s="322"/>
      <c r="DE500" s="305"/>
      <c r="DF500" s="249"/>
      <c r="DG500" s="216"/>
      <c r="DH500" s="305"/>
      <c r="DI500" s="249"/>
      <c r="DJ500" s="216"/>
      <c r="DK500" s="309"/>
      <c r="DL500" s="293"/>
      <c r="DM500" s="326"/>
      <c r="DN500" s="1256"/>
      <c r="DO500" s="214"/>
      <c r="DP500" s="1257"/>
      <c r="DQ500" s="1258"/>
      <c r="DR500" s="305"/>
      <c r="DS500" s="249"/>
      <c r="DT500" s="216"/>
      <c r="DU500" s="305"/>
      <c r="DV500" s="2520"/>
      <c r="DW500" s="2521"/>
      <c r="DX500" s="305"/>
      <c r="DY500" s="249"/>
      <c r="DZ500" s="221"/>
      <c r="EA500" s="388"/>
      <c r="EB500" s="249"/>
      <c r="EC500" s="216"/>
      <c r="ED500" s="1461"/>
      <c r="EE500" s="249"/>
      <c r="EF500" s="216"/>
      <c r="EG500" s="355"/>
      <c r="EH500" s="1425"/>
      <c r="EI500" s="1470"/>
      <c r="EJ500" s="249"/>
      <c r="EK500" s="221"/>
      <c r="EL500" s="313"/>
      <c r="EM500" s="249"/>
      <c r="EN500" s="221"/>
      <c r="EO500" s="313"/>
      <c r="EP500" s="249"/>
      <c r="EQ500" s="216"/>
      <c r="ER500" s="313"/>
      <c r="ES500" s="249"/>
      <c r="ET500" s="216"/>
      <c r="EU500" s="313"/>
      <c r="EV500" s="249"/>
      <c r="EW500" s="216"/>
      <c r="EX500" s="2505"/>
      <c r="EY500" s="249"/>
      <c r="EZ500" s="221"/>
      <c r="FA500" s="313"/>
      <c r="FB500" s="249"/>
      <c r="FC500" s="221"/>
      <c r="FD500" s="313"/>
      <c r="FE500" s="249"/>
      <c r="FF500" s="221"/>
      <c r="FG500" s="313"/>
      <c r="FH500" s="249"/>
      <c r="FI500" s="216"/>
      <c r="FJ500" s="1435"/>
      <c r="FK500" s="216"/>
      <c r="FL500" s="1268"/>
      <c r="FM500" s="1655"/>
      <c r="FN500" s="1268"/>
      <c r="FO500" s="1655"/>
      <c r="FP500" s="1268"/>
      <c r="FQ500" s="1656"/>
      <c r="FR500" s="249"/>
      <c r="FS500" s="216"/>
      <c r="FT500" s="1657"/>
      <c r="FU500" s="1658"/>
      <c r="FV500" s="242"/>
      <c r="FW500" s="343"/>
      <c r="FX500" s="222"/>
      <c r="FY500" s="336"/>
      <c r="FZ500" s="223"/>
      <c r="GA500" s="338"/>
      <c r="GB500" s="204"/>
      <c r="GC500" s="339"/>
      <c r="GD500" s="342"/>
      <c r="GE500" s="199"/>
      <c r="GF500" s="199"/>
      <c r="GG500" s="199"/>
      <c r="GH500" s="199"/>
      <c r="GI500" s="199"/>
      <c r="GJ500" s="199"/>
      <c r="GK500" s="199"/>
      <c r="GO500" s="322"/>
      <c r="GP500" s="1190"/>
      <c r="GQ500" s="1190"/>
      <c r="GS500" s="2879"/>
      <c r="GT500" s="2880"/>
      <c r="GU500" s="2881"/>
    </row>
    <row r="501" spans="1:203" ht="12" customHeight="1">
      <c r="A501" s="1252"/>
      <c r="B501" s="200"/>
      <c r="C501" s="486"/>
      <c r="T501" s="1186"/>
      <c r="U501" s="233"/>
      <c r="W501" s="218"/>
      <c r="X501" s="218"/>
      <c r="Y501" s="216"/>
      <c r="Z501" s="216"/>
      <c r="AA501" s="215"/>
      <c r="AB501" s="216"/>
      <c r="AC501" s="216"/>
      <c r="AD501" s="239"/>
      <c r="AE501" s="216"/>
      <c r="AF501" s="216"/>
      <c r="AG501" s="216"/>
      <c r="AH501" s="216"/>
      <c r="AI501" s="216"/>
      <c r="AJ501" s="216"/>
      <c r="AK501" s="239"/>
      <c r="AL501" s="216"/>
      <c r="AM501" s="216"/>
      <c r="AN501" s="216"/>
      <c r="AO501" s="216"/>
      <c r="AP501" s="216"/>
      <c r="AQ501" s="216"/>
      <c r="AR501" s="216"/>
      <c r="AS501" s="216"/>
      <c r="AT501" s="216"/>
      <c r="AU501" s="216"/>
      <c r="AV501" s="217"/>
      <c r="AW501" s="355"/>
      <c r="AX501" s="217"/>
      <c r="AY501" s="305"/>
      <c r="AZ501" s="249"/>
      <c r="BA501" s="221"/>
      <c r="BB501" s="300"/>
      <c r="BC501" s="217"/>
      <c r="BD501" s="392"/>
      <c r="BE501" s="1244"/>
      <c r="BF501" s="249"/>
      <c r="BG501" s="252"/>
      <c r="BH501" s="1469"/>
      <c r="BI501" s="216"/>
      <c r="BJ501" s="1469"/>
      <c r="BK501" s="1459"/>
      <c r="BL501" s="260"/>
      <c r="BM501" s="214"/>
      <c r="BN501" s="293"/>
      <c r="BO501" s="217"/>
      <c r="BP501" s="355"/>
      <c r="BQ501" s="217"/>
      <c r="BR501" s="1193"/>
      <c r="BS501" s="249"/>
      <c r="BT501" s="216"/>
      <c r="BU501" s="1195"/>
      <c r="BV501" s="249"/>
      <c r="BW501" s="216"/>
      <c r="BX501" s="1195"/>
      <c r="BY501" s="249"/>
      <c r="BZ501" s="216"/>
      <c r="CA501" s="1195"/>
      <c r="CB501" s="249"/>
      <c r="CC501" s="216"/>
      <c r="CD501" s="1195"/>
      <c r="CE501" s="249"/>
      <c r="CF501" s="216"/>
      <c r="CG501" s="1195"/>
      <c r="CH501" s="249"/>
      <c r="CI501" s="216"/>
      <c r="CJ501" s="1195"/>
      <c r="CK501" s="249"/>
      <c r="CL501" s="216"/>
      <c r="CM501" s="1194"/>
      <c r="CN501" s="1524"/>
      <c r="CO501" s="217"/>
      <c r="CP501" s="1193"/>
      <c r="CQ501" s="293"/>
      <c r="CR501" s="217"/>
      <c r="CS501" s="305"/>
      <c r="CT501" s="249"/>
      <c r="CU501" s="216"/>
      <c r="CV501" s="1193"/>
      <c r="CW501" s="249"/>
      <c r="CX501" s="216"/>
      <c r="CY501" s="305"/>
      <c r="CZ501" s="249"/>
      <c r="DA501" s="216"/>
      <c r="DB501" s="307"/>
      <c r="DC501" s="328"/>
      <c r="DD501" s="322"/>
      <c r="DE501" s="305"/>
      <c r="DF501" s="249"/>
      <c r="DG501" s="216"/>
      <c r="DH501" s="305"/>
      <c r="DI501" s="249"/>
      <c r="DJ501" s="216"/>
      <c r="DK501" s="309"/>
      <c r="DL501" s="293"/>
      <c r="DM501" s="326"/>
      <c r="DN501" s="1256"/>
      <c r="DO501" s="214"/>
      <c r="DP501" s="1257"/>
      <c r="DQ501" s="1258"/>
      <c r="DR501" s="305"/>
      <c r="DS501" s="249"/>
      <c r="DT501" s="216"/>
      <c r="DU501" s="305"/>
      <c r="DV501" s="2520"/>
      <c r="DW501" s="2521"/>
      <c r="DX501" s="305"/>
      <c r="DY501" s="249"/>
      <c r="DZ501" s="221"/>
      <c r="EA501" s="388"/>
      <c r="EB501" s="249"/>
      <c r="EC501" s="216"/>
      <c r="ED501" s="1461"/>
      <c r="EE501" s="249"/>
      <c r="EF501" s="216"/>
      <c r="EG501" s="355"/>
      <c r="EH501" s="1425"/>
      <c r="EI501" s="1470"/>
      <c r="EJ501" s="249"/>
      <c r="EK501" s="221"/>
      <c r="EL501" s="313"/>
      <c r="EM501" s="249"/>
      <c r="EN501" s="221"/>
      <c r="EO501" s="313"/>
      <c r="EP501" s="249"/>
      <c r="EQ501" s="216"/>
      <c r="ER501" s="313"/>
      <c r="ES501" s="249"/>
      <c r="ET501" s="216"/>
      <c r="EU501" s="313"/>
      <c r="EV501" s="249"/>
      <c r="EW501" s="216"/>
      <c r="EX501" s="2505"/>
      <c r="EY501" s="249"/>
      <c r="EZ501" s="221"/>
      <c r="FA501" s="313"/>
      <c r="FB501" s="249"/>
      <c r="FC501" s="221"/>
      <c r="FD501" s="313"/>
      <c r="FE501" s="249"/>
      <c r="FF501" s="221"/>
      <c r="FG501" s="313"/>
      <c r="FH501" s="249"/>
      <c r="FI501" s="216"/>
      <c r="FJ501" s="1435"/>
      <c r="FK501" s="216"/>
      <c r="FL501" s="1268"/>
      <c r="FM501" s="1655"/>
      <c r="FN501" s="1268"/>
      <c r="FO501" s="1655"/>
      <c r="FP501" s="1268"/>
      <c r="FQ501" s="1656"/>
      <c r="FR501" s="249"/>
      <c r="FS501" s="216"/>
      <c r="FT501" s="1657"/>
      <c r="FU501" s="1658"/>
      <c r="FV501" s="242"/>
      <c r="FW501" s="343"/>
      <c r="FX501" s="222"/>
      <c r="FY501" s="336"/>
      <c r="FZ501" s="223"/>
      <c r="GA501" s="338"/>
      <c r="GB501" s="204"/>
      <c r="GC501" s="339"/>
      <c r="GD501" s="342"/>
      <c r="GE501" s="199"/>
      <c r="GF501" s="199"/>
      <c r="GG501" s="199"/>
      <c r="GH501" s="199"/>
      <c r="GI501" s="199"/>
      <c r="GJ501" s="199"/>
      <c r="GK501" s="199"/>
      <c r="GO501" s="322"/>
      <c r="GP501" s="1190"/>
      <c r="GQ501" s="1190"/>
      <c r="GS501" s="2879"/>
      <c r="GT501" s="2880"/>
      <c r="GU501" s="2881"/>
    </row>
    <row r="502" spans="1:203" ht="12" customHeight="1">
      <c r="A502" s="1252"/>
      <c r="B502" s="200"/>
      <c r="C502" s="486"/>
      <c r="T502" s="1186"/>
      <c r="U502" s="233"/>
      <c r="W502" s="218"/>
      <c r="X502" s="218"/>
      <c r="Y502" s="216"/>
      <c r="Z502" s="216"/>
      <c r="AA502" s="215"/>
      <c r="AB502" s="216"/>
      <c r="AC502" s="216"/>
      <c r="AD502" s="239"/>
      <c r="AE502" s="216"/>
      <c r="AF502" s="216"/>
      <c r="AG502" s="216"/>
      <c r="AH502" s="216"/>
      <c r="AI502" s="216"/>
      <c r="AJ502" s="216"/>
      <c r="AK502" s="239"/>
      <c r="AL502" s="216"/>
      <c r="AM502" s="216"/>
      <c r="AN502" s="216"/>
      <c r="AO502" s="216"/>
      <c r="AP502" s="216"/>
      <c r="AQ502" s="216"/>
      <c r="AR502" s="216"/>
      <c r="AS502" s="216"/>
      <c r="AT502" s="216"/>
      <c r="AU502" s="216"/>
      <c r="AV502" s="217"/>
      <c r="AW502" s="355"/>
      <c r="AX502" s="217"/>
      <c r="AY502" s="305"/>
      <c r="AZ502" s="249"/>
      <c r="BA502" s="221"/>
      <c r="BB502" s="300"/>
      <c r="BC502" s="217"/>
      <c r="BD502" s="392"/>
      <c r="BE502" s="1244"/>
      <c r="BF502" s="249"/>
      <c r="BG502" s="252"/>
      <c r="BH502" s="1469"/>
      <c r="BI502" s="216"/>
      <c r="BJ502" s="1469"/>
      <c r="BK502" s="1459"/>
      <c r="BL502" s="260"/>
      <c r="BM502" s="214"/>
      <c r="BN502" s="293"/>
      <c r="BO502" s="217"/>
      <c r="BP502" s="355"/>
      <c r="BQ502" s="217"/>
      <c r="BR502" s="1193"/>
      <c r="BS502" s="249"/>
      <c r="BT502" s="216"/>
      <c r="BU502" s="1195"/>
      <c r="BV502" s="249"/>
      <c r="BW502" s="216"/>
      <c r="BX502" s="1195"/>
      <c r="BY502" s="249"/>
      <c r="BZ502" s="216"/>
      <c r="CA502" s="1195"/>
      <c r="CB502" s="249"/>
      <c r="CC502" s="216"/>
      <c r="CD502" s="1195"/>
      <c r="CE502" s="249"/>
      <c r="CF502" s="216"/>
      <c r="CG502" s="1195"/>
      <c r="CH502" s="249"/>
      <c r="CI502" s="216"/>
      <c r="CJ502" s="1195"/>
      <c r="CK502" s="249"/>
      <c r="CL502" s="216"/>
      <c r="CM502" s="1194"/>
      <c r="CN502" s="1524"/>
      <c r="CO502" s="217"/>
      <c r="CP502" s="1193"/>
      <c r="CQ502" s="293"/>
      <c r="CR502" s="217"/>
      <c r="CS502" s="305"/>
      <c r="CT502" s="249"/>
      <c r="CU502" s="216"/>
      <c r="CV502" s="1193"/>
      <c r="CW502" s="249"/>
      <c r="CX502" s="216"/>
      <c r="CY502" s="305"/>
      <c r="CZ502" s="249"/>
      <c r="DA502" s="216"/>
      <c r="DB502" s="307"/>
      <c r="DC502" s="328"/>
      <c r="DD502" s="322"/>
      <c r="DE502" s="305"/>
      <c r="DF502" s="249"/>
      <c r="DG502" s="216"/>
      <c r="DH502" s="305"/>
      <c r="DI502" s="249"/>
      <c r="DJ502" s="216"/>
      <c r="DK502" s="309"/>
      <c r="DL502" s="293"/>
      <c r="DM502" s="326"/>
      <c r="DN502" s="1256"/>
      <c r="DO502" s="214"/>
      <c r="DP502" s="1257"/>
      <c r="DQ502" s="1258"/>
      <c r="DR502" s="305"/>
      <c r="DS502" s="249"/>
      <c r="DT502" s="216"/>
      <c r="DU502" s="305"/>
      <c r="DV502" s="2520"/>
      <c r="DW502" s="2521"/>
      <c r="DX502" s="305"/>
      <c r="DY502" s="249"/>
      <c r="DZ502" s="221"/>
      <c r="EA502" s="388"/>
      <c r="EB502" s="249"/>
      <c r="EC502" s="216"/>
      <c r="ED502" s="1461"/>
      <c r="EE502" s="249"/>
      <c r="EF502" s="216"/>
      <c r="EG502" s="355"/>
      <c r="EH502" s="1425"/>
      <c r="EI502" s="1470"/>
      <c r="EJ502" s="249"/>
      <c r="EK502" s="221"/>
      <c r="EL502" s="313"/>
      <c r="EM502" s="249"/>
      <c r="EN502" s="221"/>
      <c r="EO502" s="313"/>
      <c r="EP502" s="249"/>
      <c r="EQ502" s="216"/>
      <c r="ER502" s="313"/>
      <c r="ES502" s="249"/>
      <c r="ET502" s="216"/>
      <c r="EU502" s="313"/>
      <c r="EV502" s="249"/>
      <c r="EW502" s="216"/>
      <c r="EX502" s="2505"/>
      <c r="EY502" s="249"/>
      <c r="EZ502" s="221"/>
      <c r="FA502" s="313"/>
      <c r="FB502" s="249"/>
      <c r="FC502" s="221"/>
      <c r="FD502" s="313"/>
      <c r="FE502" s="249"/>
      <c r="FF502" s="221"/>
      <c r="FG502" s="313"/>
      <c r="FH502" s="249"/>
      <c r="FI502" s="216"/>
      <c r="FJ502" s="1435"/>
      <c r="FK502" s="216"/>
      <c r="FL502" s="1268"/>
      <c r="FM502" s="1655"/>
      <c r="FN502" s="1268"/>
      <c r="FO502" s="1655"/>
      <c r="FP502" s="1268"/>
      <c r="FQ502" s="1656"/>
      <c r="FR502" s="249"/>
      <c r="FS502" s="216"/>
      <c r="FT502" s="1657"/>
      <c r="FU502" s="1658"/>
      <c r="FV502" s="242"/>
      <c r="FW502" s="343"/>
      <c r="FX502" s="222"/>
      <c r="FY502" s="336"/>
      <c r="FZ502" s="223"/>
      <c r="GA502" s="338"/>
      <c r="GB502" s="204"/>
      <c r="GC502" s="339"/>
      <c r="GD502" s="342"/>
      <c r="GE502" s="199"/>
      <c r="GF502" s="199"/>
      <c r="GG502" s="199"/>
      <c r="GH502" s="199"/>
      <c r="GI502" s="199"/>
      <c r="GJ502" s="199"/>
      <c r="GK502" s="199"/>
      <c r="GO502" s="322"/>
      <c r="GP502" s="1190"/>
      <c r="GQ502" s="1190"/>
      <c r="GS502" s="2879"/>
      <c r="GT502" s="2880"/>
      <c r="GU502" s="2881"/>
    </row>
    <row r="503" spans="1:203" ht="12" customHeight="1">
      <c r="A503" s="1252"/>
      <c r="B503" s="200"/>
      <c r="C503" s="486"/>
      <c r="T503" s="1186"/>
      <c r="U503" s="233"/>
      <c r="W503" s="218"/>
      <c r="X503" s="218"/>
      <c r="Y503" s="216"/>
      <c r="Z503" s="216"/>
      <c r="AA503" s="215"/>
      <c r="AB503" s="216"/>
      <c r="AC503" s="216"/>
      <c r="AD503" s="239"/>
      <c r="AE503" s="216"/>
      <c r="AF503" s="216"/>
      <c r="AG503" s="216"/>
      <c r="AH503" s="216"/>
      <c r="AI503" s="216"/>
      <c r="AJ503" s="216"/>
      <c r="AK503" s="239"/>
      <c r="AL503" s="216"/>
      <c r="AM503" s="216"/>
      <c r="AN503" s="216"/>
      <c r="AO503" s="216"/>
      <c r="AP503" s="216"/>
      <c r="AQ503" s="216"/>
      <c r="AR503" s="216"/>
      <c r="AS503" s="216"/>
      <c r="AT503" s="216"/>
      <c r="AU503" s="216"/>
      <c r="AV503" s="217"/>
      <c r="AW503" s="355"/>
      <c r="AX503" s="217"/>
      <c r="AY503" s="305"/>
      <c r="AZ503" s="249"/>
      <c r="BA503" s="221"/>
      <c r="BB503" s="300"/>
      <c r="BC503" s="217"/>
      <c r="BD503" s="392"/>
      <c r="BE503" s="1244"/>
      <c r="BF503" s="249"/>
      <c r="BG503" s="252"/>
      <c r="BH503" s="1469"/>
      <c r="BI503" s="216"/>
      <c r="BJ503" s="1469"/>
      <c r="BK503" s="1459"/>
      <c r="BL503" s="260"/>
      <c r="BM503" s="214"/>
      <c r="BN503" s="293"/>
      <c r="BO503" s="217"/>
      <c r="BP503" s="355"/>
      <c r="BQ503" s="217"/>
      <c r="BR503" s="1193"/>
      <c r="BS503" s="249"/>
      <c r="BT503" s="216"/>
      <c r="BU503" s="1195"/>
      <c r="BV503" s="249"/>
      <c r="BW503" s="216"/>
      <c r="BX503" s="1195"/>
      <c r="BY503" s="249"/>
      <c r="BZ503" s="216"/>
      <c r="CA503" s="1195"/>
      <c r="CB503" s="249"/>
      <c r="CC503" s="216"/>
      <c r="CD503" s="1195"/>
      <c r="CE503" s="249"/>
      <c r="CF503" s="216"/>
      <c r="CG503" s="1195"/>
      <c r="CH503" s="249"/>
      <c r="CI503" s="216"/>
      <c r="CJ503" s="1195"/>
      <c r="CK503" s="249"/>
      <c r="CL503" s="216"/>
      <c r="CM503" s="1194"/>
      <c r="CN503" s="1524"/>
      <c r="CO503" s="217"/>
      <c r="CP503" s="1193"/>
      <c r="CQ503" s="293"/>
      <c r="CR503" s="217"/>
      <c r="CS503" s="305"/>
      <c r="CT503" s="249"/>
      <c r="CU503" s="216"/>
      <c r="CV503" s="1193"/>
      <c r="CW503" s="249"/>
      <c r="CX503" s="216"/>
      <c r="CY503" s="305"/>
      <c r="CZ503" s="249"/>
      <c r="DA503" s="216"/>
      <c r="DB503" s="307"/>
      <c r="DC503" s="328"/>
      <c r="DD503" s="322"/>
      <c r="DE503" s="305"/>
      <c r="DF503" s="249"/>
      <c r="DG503" s="216"/>
      <c r="DH503" s="305"/>
      <c r="DI503" s="249"/>
      <c r="DJ503" s="216"/>
      <c r="DK503" s="309"/>
      <c r="DL503" s="293"/>
      <c r="DM503" s="326"/>
      <c r="DN503" s="1256"/>
      <c r="DO503" s="214"/>
      <c r="DP503" s="1257"/>
      <c r="DQ503" s="1258"/>
      <c r="DR503" s="305"/>
      <c r="DS503" s="249"/>
      <c r="DT503" s="216"/>
      <c r="DU503" s="305"/>
      <c r="DV503" s="2520"/>
      <c r="DW503" s="2521"/>
      <c r="DX503" s="305"/>
      <c r="DY503" s="249"/>
      <c r="DZ503" s="221"/>
      <c r="EA503" s="388"/>
      <c r="EB503" s="249"/>
      <c r="EC503" s="216"/>
      <c r="ED503" s="1461"/>
      <c r="EE503" s="249"/>
      <c r="EF503" s="216"/>
      <c r="EG503" s="355"/>
      <c r="EH503" s="1425"/>
      <c r="EI503" s="1470"/>
      <c r="EJ503" s="249"/>
      <c r="EK503" s="221"/>
      <c r="EL503" s="313"/>
      <c r="EM503" s="249"/>
      <c r="EN503" s="221"/>
      <c r="EO503" s="313"/>
      <c r="EP503" s="249"/>
      <c r="EQ503" s="216"/>
      <c r="ER503" s="313"/>
      <c r="ES503" s="249"/>
      <c r="ET503" s="216"/>
      <c r="EU503" s="313"/>
      <c r="EV503" s="249"/>
      <c r="EW503" s="216"/>
      <c r="EX503" s="2505"/>
      <c r="EY503" s="249"/>
      <c r="EZ503" s="221"/>
      <c r="FA503" s="313"/>
      <c r="FB503" s="249"/>
      <c r="FC503" s="221"/>
      <c r="FD503" s="313"/>
      <c r="FE503" s="249"/>
      <c r="FF503" s="221"/>
      <c r="FG503" s="313"/>
      <c r="FH503" s="249"/>
      <c r="FI503" s="216"/>
      <c r="FJ503" s="1435"/>
      <c r="FK503" s="216"/>
      <c r="FL503" s="1268"/>
      <c r="FM503" s="1655"/>
      <c r="FN503" s="1268"/>
      <c r="FO503" s="1655"/>
      <c r="FP503" s="1268"/>
      <c r="FQ503" s="1656"/>
      <c r="FR503" s="249"/>
      <c r="FS503" s="216"/>
      <c r="FT503" s="1657"/>
      <c r="FU503" s="1658"/>
      <c r="FV503" s="242"/>
      <c r="FW503" s="343"/>
      <c r="FX503" s="222"/>
      <c r="FY503" s="336"/>
      <c r="FZ503" s="223"/>
      <c r="GA503" s="338"/>
      <c r="GB503" s="204"/>
      <c r="GC503" s="339"/>
      <c r="GD503" s="342"/>
      <c r="GE503" s="199"/>
      <c r="GF503" s="199"/>
      <c r="GG503" s="199"/>
      <c r="GH503" s="199"/>
      <c r="GI503" s="199"/>
      <c r="GJ503" s="199"/>
      <c r="GK503" s="199"/>
      <c r="GO503" s="322"/>
      <c r="GP503" s="1190"/>
      <c r="GQ503" s="1190"/>
      <c r="GS503" s="2879"/>
      <c r="GT503" s="2880"/>
      <c r="GU503" s="2881"/>
    </row>
    <row r="504" spans="1:203" ht="12" customHeight="1">
      <c r="A504" s="1252"/>
      <c r="B504" s="200"/>
      <c r="C504" s="486"/>
      <c r="T504" s="1186"/>
      <c r="U504" s="233"/>
      <c r="W504" s="218"/>
      <c r="X504" s="218"/>
      <c r="Y504" s="216"/>
      <c r="Z504" s="216"/>
      <c r="AA504" s="215"/>
      <c r="AB504" s="216"/>
      <c r="AC504" s="216"/>
      <c r="AD504" s="239"/>
      <c r="AE504" s="216"/>
      <c r="AF504" s="216"/>
      <c r="AG504" s="216"/>
      <c r="AH504" s="216"/>
      <c r="AI504" s="216"/>
      <c r="AJ504" s="216"/>
      <c r="AK504" s="239"/>
      <c r="AL504" s="216"/>
      <c r="AM504" s="216"/>
      <c r="AN504" s="216"/>
      <c r="AO504" s="216"/>
      <c r="AP504" s="216"/>
      <c r="AQ504" s="216"/>
      <c r="AR504" s="216"/>
      <c r="AS504" s="216"/>
      <c r="AT504" s="216"/>
      <c r="AU504" s="216"/>
      <c r="AV504" s="217"/>
      <c r="AW504" s="355"/>
      <c r="AX504" s="217"/>
      <c r="AY504" s="305"/>
      <c r="AZ504" s="249"/>
      <c r="BA504" s="221"/>
      <c r="BB504" s="300"/>
      <c r="BC504" s="217"/>
      <c r="BD504" s="392"/>
      <c r="BE504" s="1244"/>
      <c r="BF504" s="249"/>
      <c r="BG504" s="252"/>
      <c r="BH504" s="1469"/>
      <c r="BI504" s="216"/>
      <c r="BJ504" s="1469"/>
      <c r="BK504" s="1459"/>
      <c r="BL504" s="260"/>
      <c r="BM504" s="214"/>
      <c r="BN504" s="293"/>
      <c r="BO504" s="217"/>
      <c r="BP504" s="355"/>
      <c r="BQ504" s="217"/>
      <c r="BR504" s="1193"/>
      <c r="BS504" s="249"/>
      <c r="BT504" s="216"/>
      <c r="BU504" s="1195"/>
      <c r="BV504" s="249"/>
      <c r="BW504" s="216"/>
      <c r="BX504" s="1195"/>
      <c r="BY504" s="249"/>
      <c r="BZ504" s="216"/>
      <c r="CA504" s="1195"/>
      <c r="CB504" s="249"/>
      <c r="CC504" s="216"/>
      <c r="CD504" s="1195"/>
      <c r="CE504" s="249"/>
      <c r="CF504" s="216"/>
      <c r="CG504" s="1195"/>
      <c r="CH504" s="249"/>
      <c r="CI504" s="216"/>
      <c r="CJ504" s="1195"/>
      <c r="CK504" s="249"/>
      <c r="CL504" s="216"/>
      <c r="CM504" s="1194"/>
      <c r="CN504" s="1524"/>
      <c r="CO504" s="217"/>
      <c r="CP504" s="1193"/>
      <c r="CQ504" s="293"/>
      <c r="CR504" s="217"/>
      <c r="CS504" s="305"/>
      <c r="CT504" s="249"/>
      <c r="CU504" s="216"/>
      <c r="CV504" s="1193"/>
      <c r="CW504" s="249"/>
      <c r="CX504" s="216"/>
      <c r="CY504" s="305"/>
      <c r="CZ504" s="249"/>
      <c r="DA504" s="216"/>
      <c r="DB504" s="307"/>
      <c r="DC504" s="328"/>
      <c r="DD504" s="322"/>
      <c r="DE504" s="305"/>
      <c r="DF504" s="249"/>
      <c r="DG504" s="216"/>
      <c r="DH504" s="305"/>
      <c r="DI504" s="249"/>
      <c r="DJ504" s="216"/>
      <c r="DK504" s="309"/>
      <c r="DL504" s="293"/>
      <c r="DM504" s="326"/>
      <c r="DN504" s="1256"/>
      <c r="DO504" s="214"/>
      <c r="DP504" s="1257"/>
      <c r="DQ504" s="1258"/>
      <c r="DR504" s="305"/>
      <c r="DS504" s="249"/>
      <c r="DT504" s="216"/>
      <c r="DU504" s="305"/>
      <c r="DV504" s="2520"/>
      <c r="DW504" s="2521"/>
      <c r="DX504" s="305"/>
      <c r="DY504" s="249"/>
      <c r="DZ504" s="221"/>
      <c r="EA504" s="388"/>
      <c r="EB504" s="249"/>
      <c r="EC504" s="216"/>
      <c r="ED504" s="1461"/>
      <c r="EE504" s="249"/>
      <c r="EF504" s="216"/>
      <c r="EG504" s="355"/>
      <c r="EH504" s="1425"/>
      <c r="EI504" s="1470"/>
      <c r="EJ504" s="249"/>
      <c r="EK504" s="221"/>
      <c r="EL504" s="313"/>
      <c r="EM504" s="249"/>
      <c r="EN504" s="221"/>
      <c r="EO504" s="313"/>
      <c r="EP504" s="249"/>
      <c r="EQ504" s="216"/>
      <c r="ER504" s="313"/>
      <c r="ES504" s="249"/>
      <c r="ET504" s="216"/>
      <c r="EU504" s="313"/>
      <c r="EV504" s="249"/>
      <c r="EW504" s="216"/>
      <c r="EX504" s="2505"/>
      <c r="EY504" s="249"/>
      <c r="EZ504" s="221"/>
      <c r="FA504" s="313"/>
      <c r="FB504" s="249"/>
      <c r="FC504" s="221"/>
      <c r="FD504" s="313"/>
      <c r="FE504" s="249"/>
      <c r="FF504" s="221"/>
      <c r="FG504" s="313"/>
      <c r="FH504" s="249"/>
      <c r="FI504" s="216"/>
      <c r="FJ504" s="1435"/>
      <c r="FK504" s="216"/>
      <c r="FL504" s="1268"/>
      <c r="FM504" s="1655"/>
      <c r="FN504" s="1268"/>
      <c r="FO504" s="1655"/>
      <c r="FP504" s="1268"/>
      <c r="FQ504" s="1656"/>
      <c r="FR504" s="249"/>
      <c r="FS504" s="216"/>
      <c r="FT504" s="1657"/>
      <c r="FU504" s="1658"/>
      <c r="FV504" s="242"/>
      <c r="FW504" s="343"/>
      <c r="FX504" s="222"/>
      <c r="FY504" s="336"/>
      <c r="FZ504" s="223"/>
      <c r="GA504" s="338"/>
      <c r="GB504" s="204"/>
      <c r="GC504" s="339"/>
      <c r="GD504" s="342"/>
      <c r="GE504" s="199"/>
      <c r="GF504" s="199"/>
      <c r="GG504" s="199"/>
      <c r="GH504" s="199"/>
      <c r="GI504" s="199"/>
      <c r="GJ504" s="199"/>
      <c r="GK504" s="199"/>
      <c r="GO504" s="322"/>
      <c r="GP504" s="1190"/>
      <c r="GQ504" s="1190"/>
      <c r="GS504" s="2879"/>
      <c r="GT504" s="2880"/>
      <c r="GU504" s="2881"/>
    </row>
    <row r="505" spans="1:203" ht="12" customHeight="1">
      <c r="A505" s="1252"/>
      <c r="B505" s="200"/>
      <c r="C505" s="486"/>
      <c r="T505" s="1186"/>
      <c r="U505" s="233"/>
      <c r="W505" s="218"/>
      <c r="X505" s="218"/>
      <c r="Y505" s="216"/>
      <c r="Z505" s="216"/>
      <c r="AA505" s="215"/>
      <c r="AB505" s="216"/>
      <c r="AC505" s="216"/>
      <c r="AD505" s="239"/>
      <c r="AE505" s="216"/>
      <c r="AF505" s="216"/>
      <c r="AG505" s="216"/>
      <c r="AH505" s="216"/>
      <c r="AI505" s="216"/>
      <c r="AJ505" s="216"/>
      <c r="AK505" s="239"/>
      <c r="AL505" s="216"/>
      <c r="AM505" s="216"/>
      <c r="AN505" s="216"/>
      <c r="AO505" s="216"/>
      <c r="AP505" s="216"/>
      <c r="AQ505" s="216"/>
      <c r="AR505" s="216"/>
      <c r="AS505" s="216"/>
      <c r="AT505" s="216"/>
      <c r="AU505" s="216"/>
      <c r="AV505" s="217"/>
      <c r="AW505" s="355"/>
      <c r="AX505" s="217"/>
      <c r="AY505" s="305"/>
      <c r="AZ505" s="249"/>
      <c r="BA505" s="221"/>
      <c r="BB505" s="300"/>
      <c r="BC505" s="217"/>
      <c r="BD505" s="392"/>
      <c r="BE505" s="1244"/>
      <c r="BF505" s="249"/>
      <c r="BG505" s="252"/>
      <c r="BH505" s="1469"/>
      <c r="BI505" s="216"/>
      <c r="BJ505" s="1469"/>
      <c r="BK505" s="1459"/>
      <c r="BL505" s="260"/>
      <c r="BM505" s="214"/>
      <c r="BN505" s="293"/>
      <c r="BO505" s="217"/>
      <c r="BP505" s="355"/>
      <c r="BQ505" s="217"/>
      <c r="BR505" s="1193"/>
      <c r="BS505" s="249"/>
      <c r="BT505" s="216"/>
      <c r="BU505" s="1195"/>
      <c r="BV505" s="249"/>
      <c r="BW505" s="216"/>
      <c r="BX505" s="1195"/>
      <c r="BY505" s="249"/>
      <c r="BZ505" s="216"/>
      <c r="CA505" s="1195"/>
      <c r="CB505" s="249"/>
      <c r="CC505" s="216"/>
      <c r="CD505" s="1195"/>
      <c r="CE505" s="249"/>
      <c r="CF505" s="216"/>
      <c r="CG505" s="1195"/>
      <c r="CH505" s="249"/>
      <c r="CI505" s="216"/>
      <c r="CJ505" s="1195"/>
      <c r="CK505" s="249"/>
      <c r="CL505" s="216"/>
      <c r="CM505" s="1194"/>
      <c r="CN505" s="1524"/>
      <c r="CO505" s="217"/>
      <c r="CP505" s="1193"/>
      <c r="CQ505" s="293"/>
      <c r="CR505" s="217"/>
      <c r="CS505" s="305"/>
      <c r="CT505" s="249"/>
      <c r="CU505" s="216"/>
      <c r="CV505" s="1193"/>
      <c r="CW505" s="249"/>
      <c r="CX505" s="216"/>
      <c r="CY505" s="305"/>
      <c r="CZ505" s="249"/>
      <c r="DA505" s="216"/>
      <c r="DB505" s="307"/>
      <c r="DC505" s="328"/>
      <c r="DD505" s="322"/>
      <c r="DE505" s="305"/>
      <c r="DF505" s="249"/>
      <c r="DG505" s="216"/>
      <c r="DH505" s="305"/>
      <c r="DI505" s="249"/>
      <c r="DJ505" s="216"/>
      <c r="DK505" s="309"/>
      <c r="DL505" s="293"/>
      <c r="DM505" s="326"/>
      <c r="DN505" s="1256"/>
      <c r="DO505" s="214"/>
      <c r="DP505" s="1257"/>
      <c r="DQ505" s="1258"/>
      <c r="DR505" s="305"/>
      <c r="DS505" s="249"/>
      <c r="DT505" s="216"/>
      <c r="DU505" s="305"/>
      <c r="DV505" s="2520"/>
      <c r="DW505" s="2521"/>
      <c r="DX505" s="305"/>
      <c r="DY505" s="249"/>
      <c r="DZ505" s="221"/>
      <c r="EA505" s="388"/>
      <c r="EB505" s="249"/>
      <c r="EC505" s="216"/>
      <c r="ED505" s="1461"/>
      <c r="EE505" s="249"/>
      <c r="EF505" s="216"/>
      <c r="EG505" s="355"/>
      <c r="EH505" s="1425"/>
      <c r="EI505" s="1470"/>
      <c r="EJ505" s="249"/>
      <c r="EK505" s="221"/>
      <c r="EL505" s="313"/>
      <c r="EM505" s="249"/>
      <c r="EN505" s="221"/>
      <c r="EO505" s="313"/>
      <c r="EP505" s="249"/>
      <c r="EQ505" s="216"/>
      <c r="ER505" s="313"/>
      <c r="ES505" s="249"/>
      <c r="ET505" s="216"/>
      <c r="EU505" s="313"/>
      <c r="EV505" s="249"/>
      <c r="EW505" s="216"/>
      <c r="EX505" s="2505"/>
      <c r="EY505" s="249"/>
      <c r="EZ505" s="221"/>
      <c r="FA505" s="313"/>
      <c r="FB505" s="249"/>
      <c r="FC505" s="221"/>
      <c r="FD505" s="313"/>
      <c r="FE505" s="249"/>
      <c r="FF505" s="221"/>
      <c r="FG505" s="313"/>
      <c r="FH505" s="249"/>
      <c r="FI505" s="216"/>
      <c r="FJ505" s="1435"/>
      <c r="FK505" s="216"/>
      <c r="FL505" s="1268"/>
      <c r="FM505" s="1655"/>
      <c r="FN505" s="1268"/>
      <c r="FO505" s="1655"/>
      <c r="FP505" s="1268"/>
      <c r="FQ505" s="1656"/>
      <c r="FR505" s="249"/>
      <c r="FS505" s="216"/>
      <c r="FT505" s="1657"/>
      <c r="FU505" s="1658"/>
      <c r="FV505" s="242"/>
      <c r="FW505" s="343"/>
      <c r="FX505" s="222"/>
      <c r="FY505" s="336"/>
      <c r="FZ505" s="223"/>
      <c r="GA505" s="338"/>
      <c r="GB505" s="204"/>
      <c r="GC505" s="339"/>
      <c r="GD505" s="342"/>
      <c r="GE505" s="199"/>
      <c r="GF505" s="199"/>
      <c r="GG505" s="199"/>
      <c r="GH505" s="199"/>
      <c r="GI505" s="199"/>
      <c r="GJ505" s="199"/>
      <c r="GK505" s="199"/>
      <c r="GO505" s="322"/>
      <c r="GP505" s="1190"/>
      <c r="GQ505" s="1190"/>
      <c r="GS505" s="2879"/>
      <c r="GT505" s="2880"/>
      <c r="GU505" s="2881"/>
    </row>
    <row r="506" spans="1:203" ht="12" customHeight="1">
      <c r="A506" s="1252"/>
      <c r="B506" s="200"/>
      <c r="C506" s="486"/>
      <c r="T506" s="1186"/>
      <c r="U506" s="233"/>
      <c r="W506" s="218"/>
      <c r="X506" s="218"/>
      <c r="Y506" s="216"/>
      <c r="Z506" s="216"/>
      <c r="AA506" s="215"/>
      <c r="AB506" s="216"/>
      <c r="AC506" s="216"/>
      <c r="AD506" s="239"/>
      <c r="AE506" s="216"/>
      <c r="AF506" s="216"/>
      <c r="AG506" s="216"/>
      <c r="AH506" s="216"/>
      <c r="AI506" s="216"/>
      <c r="AJ506" s="216"/>
      <c r="AK506" s="239"/>
      <c r="AL506" s="216"/>
      <c r="AM506" s="216"/>
      <c r="AN506" s="216"/>
      <c r="AO506" s="216"/>
      <c r="AP506" s="216"/>
      <c r="AQ506" s="216"/>
      <c r="AR506" s="216"/>
      <c r="AS506" s="216"/>
      <c r="AT506" s="216"/>
      <c r="AU506" s="216"/>
      <c r="AV506" s="217"/>
      <c r="AW506" s="355"/>
      <c r="AX506" s="217"/>
      <c r="AY506" s="305"/>
      <c r="AZ506" s="249"/>
      <c r="BA506" s="221"/>
      <c r="BB506" s="300"/>
      <c r="BC506" s="217"/>
      <c r="BD506" s="392"/>
      <c r="BE506" s="1244"/>
      <c r="BF506" s="249"/>
      <c r="BG506" s="252"/>
      <c r="BH506" s="1469"/>
      <c r="BI506" s="216"/>
      <c r="BJ506" s="1469"/>
      <c r="BK506" s="1459"/>
      <c r="BL506" s="260"/>
      <c r="BM506" s="214"/>
      <c r="BN506" s="293"/>
      <c r="BO506" s="217"/>
      <c r="BP506" s="355"/>
      <c r="BQ506" s="217"/>
      <c r="BR506" s="1193"/>
      <c r="BS506" s="249"/>
      <c r="BT506" s="216"/>
      <c r="BU506" s="1195"/>
      <c r="BV506" s="249"/>
      <c r="BW506" s="216"/>
      <c r="BX506" s="1195"/>
      <c r="BY506" s="249"/>
      <c r="BZ506" s="216"/>
      <c r="CA506" s="1195"/>
      <c r="CB506" s="249"/>
      <c r="CC506" s="216"/>
      <c r="CD506" s="1195"/>
      <c r="CE506" s="249"/>
      <c r="CF506" s="216"/>
      <c r="CG506" s="1195"/>
      <c r="CH506" s="249"/>
      <c r="CI506" s="216"/>
      <c r="CJ506" s="1195"/>
      <c r="CK506" s="249"/>
      <c r="CL506" s="216"/>
      <c r="CM506" s="1194"/>
      <c r="CN506" s="1524"/>
      <c r="CO506" s="217"/>
      <c r="CP506" s="1193"/>
      <c r="CQ506" s="293"/>
      <c r="CR506" s="217"/>
      <c r="CS506" s="305"/>
      <c r="CT506" s="249"/>
      <c r="CU506" s="216"/>
      <c r="CV506" s="1193"/>
      <c r="CW506" s="249"/>
      <c r="CX506" s="216"/>
      <c r="CY506" s="305"/>
      <c r="CZ506" s="249"/>
      <c r="DA506" s="216"/>
      <c r="DB506" s="307"/>
      <c r="DC506" s="328"/>
      <c r="DD506" s="322"/>
      <c r="DE506" s="305"/>
      <c r="DF506" s="249"/>
      <c r="DG506" s="216"/>
      <c r="DH506" s="305"/>
      <c r="DI506" s="249"/>
      <c r="DJ506" s="216"/>
      <c r="DK506" s="309"/>
      <c r="DL506" s="293"/>
      <c r="DM506" s="326"/>
      <c r="DN506" s="1256"/>
      <c r="DO506" s="214"/>
      <c r="DP506" s="1257"/>
      <c r="DQ506" s="1258"/>
      <c r="DR506" s="305"/>
      <c r="DS506" s="249"/>
      <c r="DT506" s="216"/>
      <c r="DU506" s="305"/>
      <c r="DV506" s="2520"/>
      <c r="DW506" s="2521"/>
      <c r="DX506" s="305"/>
      <c r="DY506" s="249"/>
      <c r="DZ506" s="221"/>
      <c r="EA506" s="388"/>
      <c r="EB506" s="249"/>
      <c r="EC506" s="216"/>
      <c r="ED506" s="1461"/>
      <c r="EE506" s="249"/>
      <c r="EF506" s="216"/>
      <c r="EG506" s="355"/>
      <c r="EH506" s="1425"/>
      <c r="EI506" s="1470"/>
      <c r="EJ506" s="249"/>
      <c r="EK506" s="221"/>
      <c r="EL506" s="313"/>
      <c r="EM506" s="249"/>
      <c r="EN506" s="221"/>
      <c r="EO506" s="313"/>
      <c r="EP506" s="249"/>
      <c r="EQ506" s="216"/>
      <c r="ER506" s="313"/>
      <c r="ES506" s="249"/>
      <c r="ET506" s="216"/>
      <c r="EU506" s="313"/>
      <c r="EV506" s="249"/>
      <c r="EW506" s="216"/>
      <c r="EX506" s="2505"/>
      <c r="EY506" s="249"/>
      <c r="EZ506" s="221"/>
      <c r="FA506" s="313"/>
      <c r="FB506" s="249"/>
      <c r="FC506" s="221"/>
      <c r="FD506" s="313"/>
      <c r="FE506" s="249"/>
      <c r="FF506" s="221"/>
      <c r="FG506" s="313"/>
      <c r="FH506" s="249"/>
      <c r="FI506" s="216"/>
      <c r="FJ506" s="1435"/>
      <c r="FK506" s="216"/>
      <c r="FL506" s="1268"/>
      <c r="FM506" s="1655"/>
      <c r="FN506" s="1268"/>
      <c r="FO506" s="1655"/>
      <c r="FP506" s="1268"/>
      <c r="FQ506" s="1656"/>
      <c r="FR506" s="249"/>
      <c r="FS506" s="216"/>
      <c r="FT506" s="1657"/>
      <c r="FU506" s="1658"/>
      <c r="FV506" s="242"/>
      <c r="FW506" s="343"/>
      <c r="FX506" s="222"/>
      <c r="FY506" s="336"/>
      <c r="FZ506" s="223"/>
      <c r="GA506" s="338"/>
      <c r="GB506" s="204"/>
      <c r="GC506" s="339"/>
      <c r="GD506" s="342"/>
      <c r="GE506" s="199"/>
      <c r="GF506" s="199"/>
      <c r="GG506" s="199"/>
      <c r="GH506" s="199"/>
      <c r="GI506" s="199"/>
      <c r="GJ506" s="199"/>
      <c r="GK506" s="199"/>
      <c r="GO506" s="322"/>
      <c r="GP506" s="1190"/>
      <c r="GQ506" s="1190"/>
      <c r="GS506" s="2879"/>
      <c r="GT506" s="2880"/>
      <c r="GU506" s="2881"/>
    </row>
    <row r="507" spans="1:203" ht="12" customHeight="1">
      <c r="A507" s="1252"/>
      <c r="B507" s="200"/>
      <c r="C507" s="486"/>
      <c r="T507" s="1186"/>
      <c r="U507" s="233"/>
      <c r="W507" s="218"/>
      <c r="X507" s="218"/>
      <c r="Y507" s="216"/>
      <c r="Z507" s="216"/>
      <c r="AA507" s="215"/>
      <c r="AB507" s="216"/>
      <c r="AC507" s="216"/>
      <c r="AD507" s="239"/>
      <c r="AE507" s="216"/>
      <c r="AF507" s="216"/>
      <c r="AG507" s="216"/>
      <c r="AH507" s="216"/>
      <c r="AI507" s="216"/>
      <c r="AJ507" s="216"/>
      <c r="AK507" s="239"/>
      <c r="AL507" s="216"/>
      <c r="AM507" s="216"/>
      <c r="AN507" s="216"/>
      <c r="AO507" s="216"/>
      <c r="AP507" s="216"/>
      <c r="AQ507" s="216"/>
      <c r="AR507" s="216"/>
      <c r="AS507" s="216"/>
      <c r="AT507" s="216"/>
      <c r="AU507" s="216"/>
      <c r="AV507" s="217"/>
      <c r="AW507" s="355"/>
      <c r="AX507" s="217"/>
      <c r="AY507" s="305"/>
      <c r="AZ507" s="249"/>
      <c r="BA507" s="221"/>
      <c r="BB507" s="300"/>
      <c r="BC507" s="217"/>
      <c r="BD507" s="392"/>
      <c r="BE507" s="1244"/>
      <c r="BF507" s="249"/>
      <c r="BG507" s="252"/>
      <c r="BH507" s="1469"/>
      <c r="BI507" s="216"/>
      <c r="BJ507" s="1469"/>
      <c r="BK507" s="1459"/>
      <c r="BL507" s="260"/>
      <c r="BM507" s="214"/>
      <c r="BN507" s="293"/>
      <c r="BO507" s="217"/>
      <c r="BP507" s="355"/>
      <c r="BQ507" s="217"/>
      <c r="BR507" s="1193"/>
      <c r="BS507" s="249"/>
      <c r="BT507" s="216"/>
      <c r="BU507" s="1195"/>
      <c r="BV507" s="249"/>
      <c r="BW507" s="216"/>
      <c r="BX507" s="1195"/>
      <c r="BY507" s="249"/>
      <c r="BZ507" s="216"/>
      <c r="CA507" s="1195"/>
      <c r="CB507" s="249"/>
      <c r="CC507" s="216"/>
      <c r="CD507" s="1195"/>
      <c r="CE507" s="249"/>
      <c r="CF507" s="216"/>
      <c r="CG507" s="1195"/>
      <c r="CH507" s="249"/>
      <c r="CI507" s="216"/>
      <c r="CJ507" s="1195"/>
      <c r="CK507" s="249"/>
      <c r="CL507" s="216"/>
      <c r="CM507" s="1194"/>
      <c r="CN507" s="1524"/>
      <c r="CO507" s="217"/>
      <c r="CP507" s="1193"/>
      <c r="CQ507" s="293"/>
      <c r="CR507" s="217"/>
      <c r="CS507" s="305"/>
      <c r="CT507" s="249"/>
      <c r="CU507" s="216"/>
      <c r="CV507" s="1193"/>
      <c r="CW507" s="249"/>
      <c r="CX507" s="216"/>
      <c r="CY507" s="305"/>
      <c r="CZ507" s="249"/>
      <c r="DA507" s="216"/>
      <c r="DB507" s="307"/>
      <c r="DC507" s="328"/>
      <c r="DD507" s="322"/>
      <c r="DE507" s="305"/>
      <c r="DF507" s="249"/>
      <c r="DG507" s="216"/>
      <c r="DH507" s="305"/>
      <c r="DI507" s="249"/>
      <c r="DJ507" s="216"/>
      <c r="DK507" s="309"/>
      <c r="DL507" s="293"/>
      <c r="DM507" s="326"/>
      <c r="DN507" s="1256"/>
      <c r="DO507" s="214"/>
      <c r="DP507" s="1257"/>
      <c r="DQ507" s="1258"/>
      <c r="DR507" s="305"/>
      <c r="DS507" s="249"/>
      <c r="DT507" s="216"/>
      <c r="DU507" s="305"/>
      <c r="DV507" s="2520"/>
      <c r="DW507" s="2521"/>
      <c r="DX507" s="305"/>
      <c r="DY507" s="249"/>
      <c r="DZ507" s="221"/>
      <c r="EA507" s="388"/>
      <c r="EB507" s="249"/>
      <c r="EC507" s="216"/>
      <c r="ED507" s="1461"/>
      <c r="EE507" s="249"/>
      <c r="EF507" s="216"/>
      <c r="EG507" s="355"/>
      <c r="EH507" s="1425"/>
      <c r="EI507" s="1470"/>
      <c r="EJ507" s="249"/>
      <c r="EK507" s="221"/>
      <c r="EL507" s="313"/>
      <c r="EM507" s="249"/>
      <c r="EN507" s="221"/>
      <c r="EO507" s="313"/>
      <c r="EP507" s="249"/>
      <c r="EQ507" s="216"/>
      <c r="ER507" s="313"/>
      <c r="ES507" s="249"/>
      <c r="ET507" s="216"/>
      <c r="EU507" s="313"/>
      <c r="EV507" s="249"/>
      <c r="EW507" s="216"/>
      <c r="EX507" s="2505"/>
      <c r="EY507" s="249"/>
      <c r="EZ507" s="221"/>
      <c r="FA507" s="313"/>
      <c r="FB507" s="249"/>
      <c r="FC507" s="221"/>
      <c r="FD507" s="313"/>
      <c r="FE507" s="249"/>
      <c r="FF507" s="221"/>
      <c r="FG507" s="313"/>
      <c r="FH507" s="249"/>
      <c r="FI507" s="216"/>
      <c r="FJ507" s="1435"/>
      <c r="FK507" s="216"/>
      <c r="FL507" s="1268"/>
      <c r="FM507" s="1655"/>
      <c r="FN507" s="1268"/>
      <c r="FO507" s="1655"/>
      <c r="FP507" s="1268"/>
      <c r="FQ507" s="1656"/>
      <c r="FR507" s="249"/>
      <c r="FS507" s="216"/>
      <c r="FT507" s="1657"/>
      <c r="FU507" s="1658"/>
      <c r="FV507" s="242"/>
      <c r="FW507" s="343"/>
      <c r="FX507" s="222"/>
      <c r="FY507" s="336"/>
      <c r="FZ507" s="223"/>
      <c r="GA507" s="338"/>
      <c r="GB507" s="204"/>
      <c r="GC507" s="339"/>
      <c r="GD507" s="342"/>
      <c r="GE507" s="199"/>
      <c r="GF507" s="199"/>
      <c r="GG507" s="199"/>
      <c r="GH507" s="199"/>
      <c r="GI507" s="199"/>
      <c r="GJ507" s="199"/>
      <c r="GK507" s="199"/>
      <c r="GO507" s="322"/>
      <c r="GP507" s="1190"/>
      <c r="GQ507" s="1190"/>
      <c r="GS507" s="2879"/>
      <c r="GT507" s="2880"/>
      <c r="GU507" s="2881"/>
    </row>
    <row r="508" spans="1:203" ht="12" customHeight="1">
      <c r="A508" s="1252"/>
      <c r="B508" s="200"/>
      <c r="C508" s="486"/>
      <c r="T508" s="1186"/>
      <c r="U508" s="233"/>
      <c r="W508" s="218"/>
      <c r="X508" s="218"/>
      <c r="Y508" s="216"/>
      <c r="Z508" s="216"/>
      <c r="AA508" s="215"/>
      <c r="AB508" s="216"/>
      <c r="AC508" s="216"/>
      <c r="AD508" s="239"/>
      <c r="AE508" s="216"/>
      <c r="AF508" s="216"/>
      <c r="AG508" s="216"/>
      <c r="AH508" s="216"/>
      <c r="AI508" s="216"/>
      <c r="AJ508" s="216"/>
      <c r="AK508" s="239"/>
      <c r="AL508" s="216"/>
      <c r="AM508" s="216"/>
      <c r="AN508" s="216"/>
      <c r="AO508" s="216"/>
      <c r="AP508" s="216"/>
      <c r="AQ508" s="216"/>
      <c r="AR508" s="216"/>
      <c r="AS508" s="216"/>
      <c r="AT508" s="216"/>
      <c r="AU508" s="216"/>
      <c r="AV508" s="217"/>
      <c r="AW508" s="355"/>
      <c r="AX508" s="217"/>
      <c r="AY508" s="305"/>
      <c r="AZ508" s="249"/>
      <c r="BA508" s="221"/>
      <c r="BB508" s="300"/>
      <c r="BC508" s="217"/>
      <c r="BD508" s="392"/>
      <c r="BE508" s="1244"/>
      <c r="BF508" s="249"/>
      <c r="BG508" s="252"/>
      <c r="BH508" s="1469"/>
      <c r="BI508" s="216"/>
      <c r="BJ508" s="1469"/>
      <c r="BK508" s="1459"/>
      <c r="BL508" s="260"/>
      <c r="BM508" s="214"/>
      <c r="BN508" s="293"/>
      <c r="BO508" s="217"/>
      <c r="BP508" s="355"/>
      <c r="BQ508" s="217"/>
      <c r="BR508" s="1193"/>
      <c r="BS508" s="249"/>
      <c r="BT508" s="216"/>
      <c r="BU508" s="1195"/>
      <c r="BV508" s="249"/>
      <c r="BW508" s="216"/>
      <c r="BX508" s="1195"/>
      <c r="BY508" s="249"/>
      <c r="BZ508" s="216"/>
      <c r="CA508" s="1195"/>
      <c r="CB508" s="249"/>
      <c r="CC508" s="216"/>
      <c r="CD508" s="1195"/>
      <c r="CE508" s="249"/>
      <c r="CF508" s="216"/>
      <c r="CG508" s="1195"/>
      <c r="CH508" s="249"/>
      <c r="CI508" s="216"/>
      <c r="CJ508" s="1195"/>
      <c r="CK508" s="249"/>
      <c r="CL508" s="216"/>
      <c r="CM508" s="1194"/>
      <c r="CN508" s="1524"/>
      <c r="CO508" s="217"/>
      <c r="CP508" s="1193"/>
      <c r="CQ508" s="293"/>
      <c r="CR508" s="217"/>
      <c r="CS508" s="305"/>
      <c r="CT508" s="249"/>
      <c r="CU508" s="216"/>
      <c r="CV508" s="1193"/>
      <c r="CW508" s="249"/>
      <c r="CX508" s="216"/>
      <c r="CY508" s="305"/>
      <c r="CZ508" s="249"/>
      <c r="DA508" s="216"/>
      <c r="DB508" s="307"/>
      <c r="DC508" s="328"/>
      <c r="DD508" s="322"/>
      <c r="DE508" s="305"/>
      <c r="DF508" s="249"/>
      <c r="DG508" s="216"/>
      <c r="DH508" s="305"/>
      <c r="DI508" s="249"/>
      <c r="DJ508" s="216"/>
      <c r="DK508" s="309"/>
      <c r="DL508" s="293"/>
      <c r="DM508" s="326"/>
      <c r="DN508" s="1256"/>
      <c r="DO508" s="214"/>
      <c r="DP508" s="1257"/>
      <c r="DQ508" s="1258"/>
      <c r="DR508" s="305"/>
      <c r="DS508" s="249"/>
      <c r="DT508" s="216"/>
      <c r="DU508" s="305"/>
      <c r="DV508" s="2520"/>
      <c r="DW508" s="2521"/>
      <c r="DX508" s="305"/>
      <c r="DY508" s="249"/>
      <c r="DZ508" s="221"/>
      <c r="EA508" s="388"/>
      <c r="EB508" s="249"/>
      <c r="EC508" s="216"/>
      <c r="ED508" s="1461"/>
      <c r="EE508" s="249"/>
      <c r="EF508" s="216"/>
      <c r="EG508" s="355"/>
      <c r="EH508" s="1425"/>
      <c r="EI508" s="1470"/>
      <c r="EJ508" s="249"/>
      <c r="EK508" s="221"/>
      <c r="EL508" s="313"/>
      <c r="EM508" s="249"/>
      <c r="EN508" s="221"/>
      <c r="EO508" s="313"/>
      <c r="EP508" s="249"/>
      <c r="EQ508" s="216"/>
      <c r="ER508" s="313"/>
      <c r="ES508" s="249"/>
      <c r="ET508" s="216"/>
      <c r="EU508" s="313"/>
      <c r="EV508" s="249"/>
      <c r="EW508" s="216"/>
      <c r="EX508" s="2505"/>
      <c r="EY508" s="249"/>
      <c r="EZ508" s="221"/>
      <c r="FA508" s="313"/>
      <c r="FB508" s="249"/>
      <c r="FC508" s="221"/>
      <c r="FD508" s="313"/>
      <c r="FE508" s="249"/>
      <c r="FF508" s="221"/>
      <c r="FG508" s="313"/>
      <c r="FH508" s="249"/>
      <c r="FI508" s="216"/>
      <c r="FJ508" s="1435"/>
      <c r="FK508" s="216"/>
      <c r="FL508" s="1268"/>
      <c r="FM508" s="1655"/>
      <c r="FN508" s="1268"/>
      <c r="FO508" s="1655"/>
      <c r="FP508" s="1268"/>
      <c r="FQ508" s="1656"/>
      <c r="FR508" s="249"/>
      <c r="FS508" s="216"/>
      <c r="FT508" s="1657"/>
      <c r="FU508" s="1658"/>
      <c r="FV508" s="242"/>
      <c r="FW508" s="343"/>
      <c r="FX508" s="222"/>
      <c r="FY508" s="336"/>
      <c r="FZ508" s="223"/>
      <c r="GA508" s="338"/>
      <c r="GB508" s="204"/>
      <c r="GC508" s="339"/>
      <c r="GD508" s="342"/>
      <c r="GE508" s="199"/>
      <c r="GF508" s="199"/>
      <c r="GG508" s="199"/>
      <c r="GH508" s="199"/>
      <c r="GI508" s="199"/>
      <c r="GJ508" s="199"/>
      <c r="GK508" s="199"/>
      <c r="GO508" s="322"/>
      <c r="GP508" s="1190"/>
      <c r="GQ508" s="1190"/>
      <c r="GS508" s="2879"/>
      <c r="GT508" s="2880"/>
      <c r="GU508" s="2881"/>
    </row>
    <row r="509" spans="1:203" ht="12" customHeight="1">
      <c r="A509" s="1252"/>
      <c r="B509" s="200"/>
      <c r="C509" s="486"/>
      <c r="T509" s="1186"/>
      <c r="U509" s="233"/>
      <c r="W509" s="218"/>
      <c r="X509" s="218"/>
      <c r="Y509" s="216"/>
      <c r="Z509" s="216"/>
      <c r="AA509" s="215"/>
      <c r="AB509" s="216"/>
      <c r="AC509" s="216"/>
      <c r="AD509" s="239"/>
      <c r="AE509" s="216"/>
      <c r="AF509" s="216"/>
      <c r="AG509" s="216"/>
      <c r="AH509" s="216"/>
      <c r="AI509" s="216"/>
      <c r="AJ509" s="216"/>
      <c r="AK509" s="239"/>
      <c r="AL509" s="216"/>
      <c r="AM509" s="216"/>
      <c r="AN509" s="216"/>
      <c r="AO509" s="216"/>
      <c r="AP509" s="216"/>
      <c r="AQ509" s="216"/>
      <c r="AR509" s="216"/>
      <c r="AS509" s="216"/>
      <c r="AT509" s="216"/>
      <c r="AU509" s="216"/>
      <c r="AV509" s="217"/>
      <c r="AW509" s="355"/>
      <c r="AX509" s="217"/>
      <c r="AY509" s="305"/>
      <c r="AZ509" s="249"/>
      <c r="BA509" s="221"/>
      <c r="BB509" s="300"/>
      <c r="BC509" s="217"/>
      <c r="BD509" s="392"/>
      <c r="BE509" s="1244"/>
      <c r="BF509" s="249"/>
      <c r="BG509" s="252"/>
      <c r="BH509" s="1469"/>
      <c r="BI509" s="216"/>
      <c r="BJ509" s="1469"/>
      <c r="BK509" s="1459"/>
      <c r="BL509" s="260"/>
      <c r="BM509" s="214"/>
      <c r="BN509" s="293"/>
      <c r="BO509" s="217"/>
      <c r="BP509" s="355"/>
      <c r="BQ509" s="217"/>
      <c r="BR509" s="1193"/>
      <c r="BS509" s="249"/>
      <c r="BT509" s="216"/>
      <c r="BU509" s="1195"/>
      <c r="BV509" s="249"/>
      <c r="BW509" s="216"/>
      <c r="BX509" s="1195"/>
      <c r="BY509" s="249"/>
      <c r="BZ509" s="216"/>
      <c r="CA509" s="1195"/>
      <c r="CB509" s="249"/>
      <c r="CC509" s="216"/>
      <c r="CD509" s="1195"/>
      <c r="CE509" s="249"/>
      <c r="CF509" s="216"/>
      <c r="CG509" s="1195"/>
      <c r="CH509" s="249"/>
      <c r="CI509" s="216"/>
      <c r="CJ509" s="1195"/>
      <c r="CK509" s="249"/>
      <c r="CL509" s="216"/>
      <c r="CM509" s="1194"/>
      <c r="CN509" s="1524"/>
      <c r="CO509" s="217"/>
      <c r="CP509" s="1193"/>
      <c r="CQ509" s="293"/>
      <c r="CR509" s="217"/>
      <c r="CS509" s="305"/>
      <c r="CT509" s="249"/>
      <c r="CU509" s="216"/>
      <c r="CV509" s="1193"/>
      <c r="CW509" s="249"/>
      <c r="CX509" s="216"/>
      <c r="CY509" s="305"/>
      <c r="CZ509" s="249"/>
      <c r="DA509" s="216"/>
      <c r="DB509" s="307"/>
      <c r="DC509" s="328"/>
      <c r="DD509" s="322"/>
      <c r="DE509" s="305"/>
      <c r="DF509" s="249"/>
      <c r="DG509" s="216"/>
      <c r="DH509" s="305"/>
      <c r="DI509" s="249"/>
      <c r="DJ509" s="216"/>
      <c r="DK509" s="309"/>
      <c r="DL509" s="293"/>
      <c r="DM509" s="326"/>
      <c r="DN509" s="1256"/>
      <c r="DO509" s="214"/>
      <c r="DP509" s="1257"/>
      <c r="DQ509" s="1258"/>
      <c r="DR509" s="305"/>
      <c r="DS509" s="249"/>
      <c r="DT509" s="216"/>
      <c r="DU509" s="305"/>
      <c r="DV509" s="2520"/>
      <c r="DW509" s="2521"/>
      <c r="DX509" s="305"/>
      <c r="DY509" s="249"/>
      <c r="DZ509" s="221"/>
      <c r="EA509" s="388"/>
      <c r="EB509" s="249"/>
      <c r="EC509" s="216"/>
      <c r="ED509" s="1461"/>
      <c r="EE509" s="249"/>
      <c r="EF509" s="216"/>
      <c r="EG509" s="355"/>
      <c r="EH509" s="1425"/>
      <c r="EI509" s="1470"/>
      <c r="EJ509" s="249"/>
      <c r="EK509" s="221"/>
      <c r="EL509" s="313"/>
      <c r="EM509" s="249"/>
      <c r="EN509" s="221"/>
      <c r="EO509" s="313"/>
      <c r="EP509" s="249"/>
      <c r="EQ509" s="216"/>
      <c r="ER509" s="313"/>
      <c r="ES509" s="249"/>
      <c r="ET509" s="216"/>
      <c r="EU509" s="313"/>
      <c r="EV509" s="249"/>
      <c r="EW509" s="216"/>
      <c r="EX509" s="2505"/>
      <c r="EY509" s="249"/>
      <c r="EZ509" s="221"/>
      <c r="FA509" s="313"/>
      <c r="FB509" s="249"/>
      <c r="FC509" s="221"/>
      <c r="FD509" s="313"/>
      <c r="FE509" s="249"/>
      <c r="FF509" s="221"/>
      <c r="FG509" s="313"/>
      <c r="FH509" s="249"/>
      <c r="FI509" s="216"/>
      <c r="FJ509" s="1435"/>
      <c r="FK509" s="216"/>
      <c r="FL509" s="1268"/>
      <c r="FM509" s="1655"/>
      <c r="FN509" s="1268"/>
      <c r="FO509" s="1655"/>
      <c r="FP509" s="1268"/>
      <c r="FQ509" s="1656"/>
      <c r="FR509" s="249"/>
      <c r="FS509" s="216"/>
      <c r="FT509" s="1657"/>
      <c r="FU509" s="1658"/>
      <c r="FV509" s="242"/>
      <c r="FW509" s="343"/>
      <c r="FX509" s="222"/>
      <c r="FY509" s="336"/>
      <c r="FZ509" s="223"/>
      <c r="GA509" s="338"/>
      <c r="GB509" s="204"/>
      <c r="GC509" s="339"/>
      <c r="GD509" s="342"/>
      <c r="GE509" s="199"/>
      <c r="GF509" s="199"/>
      <c r="GG509" s="199"/>
      <c r="GH509" s="199"/>
      <c r="GI509" s="199"/>
      <c r="GJ509" s="199"/>
      <c r="GK509" s="199"/>
      <c r="GO509" s="322"/>
      <c r="GP509" s="1190"/>
      <c r="GQ509" s="1190"/>
      <c r="GS509" s="2879"/>
      <c r="GT509" s="2880"/>
      <c r="GU509" s="2881"/>
    </row>
    <row r="510" spans="1:203" ht="12" customHeight="1">
      <c r="A510" s="1252"/>
      <c r="B510" s="200"/>
      <c r="C510" s="486"/>
      <c r="T510" s="1186"/>
      <c r="U510" s="233"/>
      <c r="W510" s="218"/>
      <c r="X510" s="218"/>
      <c r="Y510" s="216"/>
      <c r="Z510" s="216"/>
      <c r="AA510" s="215"/>
      <c r="AB510" s="216"/>
      <c r="AC510" s="216"/>
      <c r="AD510" s="239"/>
      <c r="AE510" s="216"/>
      <c r="AF510" s="216"/>
      <c r="AG510" s="216"/>
      <c r="AH510" s="216"/>
      <c r="AI510" s="216"/>
      <c r="AJ510" s="216"/>
      <c r="AK510" s="239"/>
      <c r="AL510" s="216"/>
      <c r="AM510" s="216"/>
      <c r="AN510" s="216"/>
      <c r="AO510" s="216"/>
      <c r="AP510" s="216"/>
      <c r="AQ510" s="216"/>
      <c r="AR510" s="216"/>
      <c r="AS510" s="216"/>
      <c r="AT510" s="216"/>
      <c r="AU510" s="216"/>
      <c r="AV510" s="217"/>
      <c r="AW510" s="355"/>
      <c r="AX510" s="217"/>
      <c r="AY510" s="305"/>
      <c r="AZ510" s="249"/>
      <c r="BA510" s="221"/>
      <c r="BB510" s="300"/>
      <c r="BC510" s="217"/>
      <c r="BD510" s="392"/>
      <c r="BE510" s="1244"/>
      <c r="BF510" s="249"/>
      <c r="BG510" s="252"/>
      <c r="BH510" s="1469"/>
      <c r="BI510" s="216"/>
      <c r="BJ510" s="1469"/>
      <c r="BK510" s="1459"/>
      <c r="BL510" s="260"/>
      <c r="BM510" s="214"/>
      <c r="BN510" s="293"/>
      <c r="BO510" s="217"/>
      <c r="BP510" s="355"/>
      <c r="BQ510" s="217"/>
      <c r="BR510" s="1193"/>
      <c r="BS510" s="249"/>
      <c r="BT510" s="216"/>
      <c r="BU510" s="1195"/>
      <c r="BV510" s="249"/>
      <c r="BW510" s="216"/>
      <c r="BX510" s="1195"/>
      <c r="BY510" s="249"/>
      <c r="BZ510" s="216"/>
      <c r="CA510" s="1195"/>
      <c r="CB510" s="249"/>
      <c r="CC510" s="216"/>
      <c r="CD510" s="1195"/>
      <c r="CE510" s="249"/>
      <c r="CF510" s="216"/>
      <c r="CG510" s="1195"/>
      <c r="CH510" s="249"/>
      <c r="CI510" s="216"/>
      <c r="CJ510" s="1195"/>
      <c r="CK510" s="249"/>
      <c r="CL510" s="216"/>
      <c r="CM510" s="1194"/>
      <c r="CN510" s="1524"/>
      <c r="CO510" s="217"/>
      <c r="CP510" s="1193"/>
      <c r="CQ510" s="293"/>
      <c r="CR510" s="217"/>
      <c r="CS510" s="305"/>
      <c r="CT510" s="249"/>
      <c r="CU510" s="216"/>
      <c r="CV510" s="1193"/>
      <c r="CW510" s="249"/>
      <c r="CX510" s="216"/>
      <c r="CY510" s="305"/>
      <c r="CZ510" s="249"/>
      <c r="DA510" s="216"/>
      <c r="DB510" s="307"/>
      <c r="DC510" s="328"/>
      <c r="DD510" s="322"/>
      <c r="DE510" s="305"/>
      <c r="DF510" s="249"/>
      <c r="DG510" s="216"/>
      <c r="DH510" s="305"/>
      <c r="DI510" s="249"/>
      <c r="DJ510" s="216"/>
      <c r="DK510" s="309"/>
      <c r="DL510" s="293"/>
      <c r="DM510" s="326"/>
      <c r="DN510" s="1256"/>
      <c r="DO510" s="214"/>
      <c r="DP510" s="1257"/>
      <c r="DQ510" s="1258"/>
      <c r="DR510" s="305"/>
      <c r="DS510" s="249"/>
      <c r="DT510" s="216"/>
      <c r="DU510" s="305"/>
      <c r="DV510" s="2520"/>
      <c r="DW510" s="2521"/>
      <c r="DX510" s="305"/>
      <c r="DY510" s="249"/>
      <c r="DZ510" s="221"/>
      <c r="EA510" s="388"/>
      <c r="EB510" s="249"/>
      <c r="EC510" s="216"/>
      <c r="ED510" s="1461"/>
      <c r="EE510" s="249"/>
      <c r="EF510" s="216"/>
      <c r="EG510" s="355"/>
      <c r="EH510" s="1425"/>
      <c r="EI510" s="1470"/>
      <c r="EJ510" s="249"/>
      <c r="EK510" s="221"/>
      <c r="EL510" s="313"/>
      <c r="EM510" s="249"/>
      <c r="EN510" s="221"/>
      <c r="EO510" s="313"/>
      <c r="EP510" s="249"/>
      <c r="EQ510" s="216"/>
      <c r="ER510" s="313"/>
      <c r="ES510" s="249"/>
      <c r="ET510" s="216"/>
      <c r="EU510" s="313"/>
      <c r="EV510" s="249"/>
      <c r="EW510" s="216"/>
      <c r="EX510" s="2505"/>
      <c r="EY510" s="249"/>
      <c r="EZ510" s="221"/>
      <c r="FA510" s="313"/>
      <c r="FB510" s="249"/>
      <c r="FC510" s="221"/>
      <c r="FD510" s="313"/>
      <c r="FE510" s="249"/>
      <c r="FF510" s="221"/>
      <c r="FG510" s="313"/>
      <c r="FH510" s="249"/>
      <c r="FI510" s="216"/>
      <c r="FJ510" s="1435"/>
      <c r="FK510" s="216"/>
      <c r="FL510" s="1268"/>
      <c r="FM510" s="1655"/>
      <c r="FN510" s="1268"/>
      <c r="FO510" s="1655"/>
      <c r="FP510" s="1268"/>
      <c r="FQ510" s="1656"/>
      <c r="FR510" s="249"/>
      <c r="FS510" s="216"/>
      <c r="FT510" s="1657"/>
      <c r="FU510" s="1658"/>
      <c r="FV510" s="242"/>
      <c r="FW510" s="343"/>
      <c r="FX510" s="222"/>
      <c r="FY510" s="336"/>
      <c r="FZ510" s="223"/>
      <c r="GA510" s="338"/>
      <c r="GB510" s="204"/>
      <c r="GC510" s="339"/>
      <c r="GD510" s="342"/>
      <c r="GE510" s="199"/>
      <c r="GF510" s="199"/>
      <c r="GG510" s="199"/>
      <c r="GH510" s="199"/>
      <c r="GI510" s="199"/>
      <c r="GJ510" s="199"/>
      <c r="GK510" s="199"/>
      <c r="GO510" s="322"/>
      <c r="GP510" s="1190"/>
      <c r="GQ510" s="1190"/>
      <c r="GS510" s="2879"/>
      <c r="GT510" s="2880"/>
      <c r="GU510" s="2881"/>
    </row>
    <row r="511" spans="1:203" ht="12" customHeight="1">
      <c r="A511" s="1252"/>
      <c r="B511" s="200"/>
      <c r="C511" s="486"/>
      <c r="T511" s="1186"/>
      <c r="U511" s="233"/>
      <c r="W511" s="218"/>
      <c r="X511" s="218"/>
      <c r="Y511" s="216"/>
      <c r="Z511" s="216"/>
      <c r="AA511" s="215"/>
      <c r="AB511" s="216"/>
      <c r="AC511" s="216"/>
      <c r="AD511" s="239"/>
      <c r="AE511" s="216"/>
      <c r="AF511" s="216"/>
      <c r="AG511" s="216"/>
      <c r="AH511" s="216"/>
      <c r="AI511" s="216"/>
      <c r="AJ511" s="216"/>
      <c r="AK511" s="239"/>
      <c r="AL511" s="216"/>
      <c r="AM511" s="216"/>
      <c r="AN511" s="216"/>
      <c r="AO511" s="216"/>
      <c r="AP511" s="216"/>
      <c r="AQ511" s="216"/>
      <c r="AR511" s="216"/>
      <c r="AS511" s="216"/>
      <c r="AT511" s="216"/>
      <c r="AU511" s="216"/>
      <c r="AV511" s="217"/>
      <c r="AW511" s="355"/>
      <c r="AX511" s="217"/>
      <c r="AY511" s="305"/>
      <c r="AZ511" s="249"/>
      <c r="BA511" s="221"/>
      <c r="BB511" s="300"/>
      <c r="BC511" s="217"/>
      <c r="BD511" s="392"/>
      <c r="BE511" s="1244"/>
      <c r="BF511" s="249"/>
      <c r="BG511" s="252"/>
      <c r="BH511" s="1469"/>
      <c r="BI511" s="216"/>
      <c r="BJ511" s="1469"/>
      <c r="BK511" s="1459"/>
      <c r="BL511" s="260"/>
      <c r="BM511" s="214"/>
      <c r="BN511" s="293"/>
      <c r="BO511" s="217"/>
      <c r="BP511" s="355"/>
      <c r="BQ511" s="217"/>
      <c r="BR511" s="1193"/>
      <c r="BS511" s="249"/>
      <c r="BT511" s="216"/>
      <c r="BU511" s="1195"/>
      <c r="BV511" s="249"/>
      <c r="BW511" s="216"/>
      <c r="BX511" s="1195"/>
      <c r="BY511" s="249"/>
      <c r="BZ511" s="216"/>
      <c r="CA511" s="1195"/>
      <c r="CB511" s="249"/>
      <c r="CC511" s="216"/>
      <c r="CD511" s="1195"/>
      <c r="CE511" s="249"/>
      <c r="CF511" s="216"/>
      <c r="CG511" s="1195"/>
      <c r="CH511" s="249"/>
      <c r="CI511" s="216"/>
      <c r="CJ511" s="1195"/>
      <c r="CK511" s="249"/>
      <c r="CL511" s="216"/>
      <c r="CM511" s="1194"/>
      <c r="CN511" s="1524"/>
      <c r="CO511" s="217"/>
      <c r="CP511" s="1193"/>
      <c r="CQ511" s="293"/>
      <c r="CR511" s="217"/>
      <c r="CS511" s="305"/>
      <c r="CT511" s="249"/>
      <c r="CU511" s="216"/>
      <c r="CV511" s="1193"/>
      <c r="CW511" s="249"/>
      <c r="CX511" s="216"/>
      <c r="CY511" s="305"/>
      <c r="CZ511" s="249"/>
      <c r="DA511" s="216"/>
      <c r="DB511" s="307"/>
      <c r="DC511" s="328"/>
      <c r="DD511" s="322"/>
      <c r="DE511" s="305"/>
      <c r="DF511" s="249"/>
      <c r="DG511" s="216"/>
      <c r="DH511" s="305"/>
      <c r="DI511" s="249"/>
      <c r="DJ511" s="216"/>
      <c r="DK511" s="309"/>
      <c r="DL511" s="293"/>
      <c r="DM511" s="326"/>
      <c r="DN511" s="1256"/>
      <c r="DO511" s="214"/>
      <c r="DP511" s="1257"/>
      <c r="DQ511" s="1258"/>
      <c r="DR511" s="305"/>
      <c r="DS511" s="249"/>
      <c r="DT511" s="216"/>
      <c r="DU511" s="305"/>
      <c r="DV511" s="2520"/>
      <c r="DW511" s="2521"/>
      <c r="DX511" s="305"/>
      <c r="DY511" s="249"/>
      <c r="DZ511" s="221"/>
      <c r="EA511" s="388"/>
      <c r="EB511" s="249"/>
      <c r="EC511" s="216"/>
      <c r="ED511" s="1461"/>
      <c r="EE511" s="249"/>
      <c r="EF511" s="216"/>
      <c r="EG511" s="355"/>
      <c r="EH511" s="1425"/>
      <c r="EI511" s="1470"/>
      <c r="EJ511" s="249"/>
      <c r="EK511" s="221"/>
      <c r="EL511" s="313"/>
      <c r="EM511" s="249"/>
      <c r="EN511" s="221"/>
      <c r="EO511" s="313"/>
      <c r="EP511" s="249"/>
      <c r="EQ511" s="216"/>
      <c r="ER511" s="313"/>
      <c r="ES511" s="249"/>
      <c r="ET511" s="216"/>
      <c r="EU511" s="313"/>
      <c r="EV511" s="249"/>
      <c r="EW511" s="216"/>
      <c r="EX511" s="2505"/>
      <c r="EY511" s="249"/>
      <c r="EZ511" s="221"/>
      <c r="FA511" s="313"/>
      <c r="FB511" s="249"/>
      <c r="FC511" s="221"/>
      <c r="FD511" s="313"/>
      <c r="FE511" s="249"/>
      <c r="FF511" s="221"/>
      <c r="FG511" s="313"/>
      <c r="FH511" s="249"/>
      <c r="FI511" s="216"/>
      <c r="FJ511" s="1435"/>
      <c r="FK511" s="216"/>
      <c r="FL511" s="1268"/>
      <c r="FM511" s="1655"/>
      <c r="FN511" s="1268"/>
      <c r="FO511" s="1655"/>
      <c r="FP511" s="1268"/>
      <c r="FQ511" s="1656"/>
      <c r="FR511" s="249"/>
      <c r="FS511" s="216"/>
      <c r="FT511" s="1657"/>
      <c r="FU511" s="1658"/>
      <c r="FV511" s="242"/>
      <c r="FW511" s="343"/>
      <c r="FX511" s="222"/>
      <c r="FY511" s="336"/>
      <c r="FZ511" s="223"/>
      <c r="GA511" s="338"/>
      <c r="GB511" s="204"/>
      <c r="GC511" s="339"/>
      <c r="GD511" s="342"/>
      <c r="GE511" s="199"/>
      <c r="GF511" s="199"/>
      <c r="GG511" s="199"/>
      <c r="GH511" s="199"/>
      <c r="GI511" s="199"/>
      <c r="GJ511" s="199"/>
      <c r="GK511" s="199"/>
      <c r="GO511" s="322"/>
      <c r="GP511" s="1190"/>
      <c r="GQ511" s="1190"/>
      <c r="GS511" s="2879"/>
      <c r="GT511" s="2880"/>
      <c r="GU511" s="2881"/>
    </row>
    <row r="512" spans="1:203" ht="12" customHeight="1">
      <c r="A512" s="1252"/>
      <c r="B512" s="200"/>
      <c r="C512" s="486"/>
      <c r="T512" s="1186"/>
      <c r="U512" s="233"/>
      <c r="W512" s="218"/>
      <c r="X512" s="218"/>
      <c r="Y512" s="216"/>
      <c r="Z512" s="216"/>
      <c r="AA512" s="215"/>
      <c r="AB512" s="216"/>
      <c r="AC512" s="216"/>
      <c r="AD512" s="239"/>
      <c r="AE512" s="216"/>
      <c r="AF512" s="216"/>
      <c r="AG512" s="216"/>
      <c r="AH512" s="216"/>
      <c r="AI512" s="216"/>
      <c r="AJ512" s="216"/>
      <c r="AK512" s="239"/>
      <c r="AL512" s="216"/>
      <c r="AM512" s="216"/>
      <c r="AN512" s="216"/>
      <c r="AO512" s="216"/>
      <c r="AP512" s="216"/>
      <c r="AQ512" s="216"/>
      <c r="AR512" s="216"/>
      <c r="AS512" s="216"/>
      <c r="AT512" s="216"/>
      <c r="AU512" s="216"/>
      <c r="AV512" s="217"/>
      <c r="AW512" s="355"/>
      <c r="AX512" s="217"/>
      <c r="AY512" s="305"/>
      <c r="AZ512" s="249"/>
      <c r="BA512" s="221"/>
      <c r="BB512" s="300"/>
      <c r="BC512" s="217"/>
      <c r="BD512" s="392"/>
      <c r="BE512" s="1244"/>
      <c r="BF512" s="249"/>
      <c r="BG512" s="252"/>
      <c r="BH512" s="1469"/>
      <c r="BI512" s="216"/>
      <c r="BJ512" s="1469"/>
      <c r="BK512" s="1459"/>
      <c r="BL512" s="260"/>
      <c r="BM512" s="214"/>
      <c r="BN512" s="293"/>
      <c r="BO512" s="217"/>
      <c r="BP512" s="355"/>
      <c r="BQ512" s="217"/>
      <c r="BR512" s="1193"/>
      <c r="BS512" s="249"/>
      <c r="BT512" s="216"/>
      <c r="BU512" s="1195"/>
      <c r="BV512" s="249"/>
      <c r="BW512" s="216"/>
      <c r="BX512" s="1195"/>
      <c r="BY512" s="249"/>
      <c r="BZ512" s="216"/>
      <c r="CA512" s="1195"/>
      <c r="CB512" s="249"/>
      <c r="CC512" s="216"/>
      <c r="CD512" s="1195"/>
      <c r="CE512" s="249"/>
      <c r="CF512" s="216"/>
      <c r="CG512" s="1195"/>
      <c r="CH512" s="249"/>
      <c r="CI512" s="216"/>
      <c r="CJ512" s="1195"/>
      <c r="CK512" s="249"/>
      <c r="CL512" s="216"/>
      <c r="CM512" s="1194"/>
      <c r="CN512" s="1524"/>
      <c r="CO512" s="217"/>
      <c r="CP512" s="1193"/>
      <c r="CQ512" s="293"/>
      <c r="CR512" s="217"/>
      <c r="CS512" s="305"/>
      <c r="CT512" s="249"/>
      <c r="CU512" s="216"/>
      <c r="CV512" s="1193"/>
      <c r="CW512" s="249"/>
      <c r="CX512" s="216"/>
      <c r="CY512" s="305"/>
      <c r="CZ512" s="249"/>
      <c r="DA512" s="216"/>
      <c r="DB512" s="307"/>
      <c r="DC512" s="328"/>
      <c r="DD512" s="322"/>
      <c r="DE512" s="305"/>
      <c r="DF512" s="249"/>
      <c r="DG512" s="216"/>
      <c r="DH512" s="305"/>
      <c r="DI512" s="249"/>
      <c r="DJ512" s="216"/>
      <c r="DK512" s="309"/>
      <c r="DL512" s="293"/>
      <c r="DM512" s="326"/>
      <c r="DN512" s="1256"/>
      <c r="DO512" s="214"/>
      <c r="DP512" s="1257"/>
      <c r="DQ512" s="1258"/>
      <c r="DR512" s="305"/>
      <c r="DS512" s="249"/>
      <c r="DT512" s="216"/>
      <c r="DU512" s="305"/>
      <c r="DV512" s="2520"/>
      <c r="DW512" s="2521"/>
      <c r="DX512" s="305"/>
      <c r="DY512" s="249"/>
      <c r="DZ512" s="221"/>
      <c r="EA512" s="388"/>
      <c r="EB512" s="249"/>
      <c r="EC512" s="216"/>
      <c r="ED512" s="1461"/>
      <c r="EE512" s="249"/>
      <c r="EF512" s="216"/>
      <c r="EG512" s="355"/>
      <c r="EH512" s="1425"/>
      <c r="EI512" s="1470"/>
      <c r="EJ512" s="249"/>
      <c r="EK512" s="221"/>
      <c r="EL512" s="313"/>
      <c r="EM512" s="249"/>
      <c r="EN512" s="221"/>
      <c r="EO512" s="313"/>
      <c r="EP512" s="249"/>
      <c r="EQ512" s="216"/>
      <c r="ER512" s="313"/>
      <c r="ES512" s="249"/>
      <c r="ET512" s="216"/>
      <c r="EU512" s="313"/>
      <c r="EV512" s="249"/>
      <c r="EW512" s="216"/>
      <c r="EX512" s="2505"/>
      <c r="EY512" s="249"/>
      <c r="EZ512" s="221"/>
      <c r="FA512" s="313"/>
      <c r="FB512" s="249"/>
      <c r="FC512" s="221"/>
      <c r="FD512" s="313"/>
      <c r="FE512" s="249"/>
      <c r="FF512" s="221"/>
      <c r="FG512" s="313"/>
      <c r="FH512" s="249"/>
      <c r="FI512" s="216"/>
      <c r="FJ512" s="1435"/>
      <c r="FK512" s="216"/>
      <c r="FL512" s="1268"/>
      <c r="FM512" s="1655"/>
      <c r="FN512" s="1268"/>
      <c r="FO512" s="1655"/>
      <c r="FP512" s="1268"/>
      <c r="FQ512" s="1656"/>
      <c r="FR512" s="249"/>
      <c r="FS512" s="216"/>
      <c r="FT512" s="1657"/>
      <c r="FU512" s="1658"/>
      <c r="FV512" s="242"/>
      <c r="FW512" s="343"/>
      <c r="FX512" s="222"/>
      <c r="FY512" s="336"/>
      <c r="FZ512" s="223"/>
      <c r="GA512" s="338"/>
      <c r="GB512" s="204"/>
      <c r="GC512" s="339"/>
      <c r="GD512" s="342"/>
      <c r="GE512" s="199"/>
      <c r="GF512" s="199"/>
      <c r="GG512" s="199"/>
      <c r="GH512" s="199"/>
      <c r="GI512" s="199"/>
      <c r="GJ512" s="199"/>
      <c r="GK512" s="199"/>
      <c r="GO512" s="322"/>
      <c r="GP512" s="1190"/>
      <c r="GQ512" s="1190"/>
      <c r="GS512" s="2879"/>
      <c r="GT512" s="2880"/>
      <c r="GU512" s="2881"/>
    </row>
    <row r="513" spans="1:203" ht="12" customHeight="1">
      <c r="A513" s="1252"/>
      <c r="B513" s="200"/>
      <c r="C513" s="486"/>
      <c r="T513" s="1186"/>
      <c r="U513" s="233"/>
      <c r="W513" s="218"/>
      <c r="X513" s="218"/>
      <c r="Y513" s="216"/>
      <c r="Z513" s="216"/>
      <c r="AA513" s="215"/>
      <c r="AB513" s="216"/>
      <c r="AC513" s="216"/>
      <c r="AD513" s="239"/>
      <c r="AE513" s="216"/>
      <c r="AF513" s="216"/>
      <c r="AG513" s="216"/>
      <c r="AH513" s="216"/>
      <c r="AI513" s="216"/>
      <c r="AJ513" s="216"/>
      <c r="AK513" s="239"/>
      <c r="AL513" s="216"/>
      <c r="AM513" s="216"/>
      <c r="AN513" s="216"/>
      <c r="AO513" s="216"/>
      <c r="AP513" s="216"/>
      <c r="AQ513" s="216"/>
      <c r="AR513" s="216"/>
      <c r="AS513" s="216"/>
      <c r="AT513" s="216"/>
      <c r="AU513" s="216"/>
      <c r="AV513" s="217"/>
      <c r="AW513" s="355"/>
      <c r="AX513" s="217"/>
      <c r="AY513" s="305"/>
      <c r="AZ513" s="249"/>
      <c r="BA513" s="221"/>
      <c r="BB513" s="300"/>
      <c r="BC513" s="217"/>
      <c r="BD513" s="392"/>
      <c r="BE513" s="1244"/>
      <c r="BF513" s="249"/>
      <c r="BG513" s="252"/>
      <c r="BH513" s="1469"/>
      <c r="BI513" s="216"/>
      <c r="BJ513" s="1469"/>
      <c r="BK513" s="1459"/>
      <c r="BL513" s="260"/>
      <c r="BM513" s="214"/>
      <c r="BN513" s="293"/>
      <c r="BO513" s="217"/>
      <c r="BP513" s="355"/>
      <c r="BQ513" s="217"/>
      <c r="BR513" s="1193"/>
      <c r="BS513" s="249"/>
      <c r="BT513" s="216"/>
      <c r="BU513" s="1195"/>
      <c r="BV513" s="249"/>
      <c r="BW513" s="216"/>
      <c r="BX513" s="1195"/>
      <c r="BY513" s="249"/>
      <c r="BZ513" s="216"/>
      <c r="CA513" s="1195"/>
      <c r="CB513" s="249"/>
      <c r="CC513" s="216"/>
      <c r="CD513" s="1195"/>
      <c r="CE513" s="249"/>
      <c r="CF513" s="216"/>
      <c r="CG513" s="1195"/>
      <c r="CH513" s="249"/>
      <c r="CI513" s="216"/>
      <c r="CJ513" s="1195"/>
      <c r="CK513" s="249"/>
      <c r="CL513" s="216"/>
      <c r="CM513" s="1194"/>
      <c r="CN513" s="1524"/>
      <c r="CO513" s="217"/>
      <c r="CP513" s="1193"/>
      <c r="CQ513" s="293"/>
      <c r="CR513" s="217"/>
      <c r="CS513" s="305"/>
      <c r="CT513" s="249"/>
      <c r="CU513" s="216"/>
      <c r="CV513" s="1193"/>
      <c r="CW513" s="249"/>
      <c r="CX513" s="216"/>
      <c r="CY513" s="305"/>
      <c r="CZ513" s="249"/>
      <c r="DA513" s="216"/>
      <c r="DB513" s="307"/>
      <c r="DC513" s="328"/>
      <c r="DD513" s="322"/>
      <c r="DE513" s="305"/>
      <c r="DF513" s="249"/>
      <c r="DG513" s="216"/>
      <c r="DH513" s="305"/>
      <c r="DI513" s="249"/>
      <c r="DJ513" s="216"/>
      <c r="DK513" s="309"/>
      <c r="DL513" s="293"/>
      <c r="DM513" s="326"/>
      <c r="DN513" s="1256"/>
      <c r="DO513" s="214"/>
      <c r="DP513" s="1257"/>
      <c r="DQ513" s="1258"/>
      <c r="DR513" s="305"/>
      <c r="DS513" s="249"/>
      <c r="DT513" s="216"/>
      <c r="DU513" s="305"/>
      <c r="DV513" s="2520"/>
      <c r="DW513" s="2521"/>
      <c r="DX513" s="305"/>
      <c r="DY513" s="249"/>
      <c r="DZ513" s="221"/>
      <c r="EA513" s="388"/>
      <c r="EB513" s="249"/>
      <c r="EC513" s="216"/>
      <c r="ED513" s="1461"/>
      <c r="EE513" s="249"/>
      <c r="EF513" s="216"/>
      <c r="EG513" s="355"/>
      <c r="EH513" s="1425"/>
      <c r="EI513" s="1470"/>
      <c r="EJ513" s="249"/>
      <c r="EK513" s="221"/>
      <c r="EL513" s="313"/>
      <c r="EM513" s="249"/>
      <c r="EN513" s="221"/>
      <c r="EO513" s="313"/>
      <c r="EP513" s="249"/>
      <c r="EQ513" s="216"/>
      <c r="ER513" s="313"/>
      <c r="ES513" s="249"/>
      <c r="ET513" s="216"/>
      <c r="EU513" s="313"/>
      <c r="EV513" s="249"/>
      <c r="EW513" s="216"/>
      <c r="EX513" s="2505"/>
      <c r="EY513" s="249"/>
      <c r="EZ513" s="221"/>
      <c r="FA513" s="313"/>
      <c r="FB513" s="249"/>
      <c r="FC513" s="221"/>
      <c r="FD513" s="313"/>
      <c r="FE513" s="249"/>
      <c r="FF513" s="221"/>
      <c r="FG513" s="313"/>
      <c r="FH513" s="249"/>
      <c r="FI513" s="216"/>
      <c r="FJ513" s="1435"/>
      <c r="FK513" s="216"/>
      <c r="FL513" s="1268"/>
      <c r="FM513" s="1655"/>
      <c r="FN513" s="1268"/>
      <c r="FO513" s="1655"/>
      <c r="FP513" s="1268"/>
      <c r="FQ513" s="1656"/>
      <c r="FR513" s="249"/>
      <c r="FS513" s="216"/>
      <c r="FT513" s="1657"/>
      <c r="FU513" s="1658"/>
      <c r="FV513" s="242"/>
      <c r="FW513" s="343"/>
      <c r="FX513" s="222"/>
      <c r="FY513" s="336"/>
      <c r="FZ513" s="223"/>
      <c r="GA513" s="338"/>
      <c r="GB513" s="204"/>
      <c r="GC513" s="339"/>
      <c r="GD513" s="342"/>
      <c r="GE513" s="199"/>
      <c r="GF513" s="199"/>
      <c r="GG513" s="199"/>
      <c r="GH513" s="199"/>
      <c r="GI513" s="199"/>
      <c r="GJ513" s="199"/>
      <c r="GK513" s="199"/>
      <c r="GO513" s="322"/>
      <c r="GP513" s="1190"/>
      <c r="GQ513" s="1190"/>
      <c r="GS513" s="2879"/>
      <c r="GT513" s="2880"/>
      <c r="GU513" s="2881"/>
    </row>
    <row r="514" spans="1:203" ht="12" customHeight="1">
      <c r="A514" s="1252"/>
      <c r="B514" s="200"/>
      <c r="C514" s="486"/>
      <c r="T514" s="1186"/>
      <c r="U514" s="233"/>
      <c r="W514" s="218"/>
      <c r="X514" s="218"/>
      <c r="Y514" s="216"/>
      <c r="Z514" s="216"/>
      <c r="AA514" s="215"/>
      <c r="AB514" s="216"/>
      <c r="AC514" s="216"/>
      <c r="AD514" s="239"/>
      <c r="AE514" s="216"/>
      <c r="AF514" s="216"/>
      <c r="AG514" s="216"/>
      <c r="AH514" s="216"/>
      <c r="AI514" s="216"/>
      <c r="AJ514" s="216"/>
      <c r="AK514" s="239"/>
      <c r="AL514" s="216"/>
      <c r="AM514" s="216"/>
      <c r="AN514" s="216"/>
      <c r="AO514" s="216"/>
      <c r="AP514" s="216"/>
      <c r="AQ514" s="216"/>
      <c r="AR514" s="216"/>
      <c r="AS514" s="216"/>
      <c r="AT514" s="216"/>
      <c r="AU514" s="216"/>
      <c r="AV514" s="217"/>
      <c r="AW514" s="355"/>
      <c r="AX514" s="217"/>
      <c r="AY514" s="305"/>
      <c r="AZ514" s="249"/>
      <c r="BA514" s="221"/>
      <c r="BB514" s="300"/>
      <c r="BC514" s="217"/>
      <c r="BD514" s="392"/>
      <c r="BE514" s="1244"/>
      <c r="BF514" s="249"/>
      <c r="BG514" s="252"/>
      <c r="BH514" s="1469"/>
      <c r="BI514" s="216"/>
      <c r="BJ514" s="1469"/>
      <c r="BK514" s="1459"/>
      <c r="BL514" s="260"/>
      <c r="BM514" s="214"/>
      <c r="BN514" s="293"/>
      <c r="BO514" s="217"/>
      <c r="BP514" s="355"/>
      <c r="BQ514" s="217"/>
      <c r="BR514" s="1193"/>
      <c r="BS514" s="249"/>
      <c r="BT514" s="216"/>
      <c r="BU514" s="1195"/>
      <c r="BV514" s="249"/>
      <c r="BW514" s="216"/>
      <c r="BX514" s="1195"/>
      <c r="BY514" s="249"/>
      <c r="BZ514" s="216"/>
      <c r="CA514" s="1195"/>
      <c r="CB514" s="249"/>
      <c r="CC514" s="216"/>
      <c r="CD514" s="1195"/>
      <c r="CE514" s="249"/>
      <c r="CF514" s="216"/>
      <c r="CG514" s="1195"/>
      <c r="CH514" s="249"/>
      <c r="CI514" s="216"/>
      <c r="CJ514" s="1195"/>
      <c r="CK514" s="249"/>
      <c r="CL514" s="216"/>
      <c r="CM514" s="1194"/>
      <c r="CN514" s="1524"/>
      <c r="CO514" s="217"/>
      <c r="CP514" s="1193"/>
      <c r="CQ514" s="293"/>
      <c r="CR514" s="217"/>
      <c r="CS514" s="305"/>
      <c r="CT514" s="249"/>
      <c r="CU514" s="216"/>
      <c r="CV514" s="1193"/>
      <c r="CW514" s="249"/>
      <c r="CX514" s="216"/>
      <c r="CY514" s="305"/>
      <c r="CZ514" s="249"/>
      <c r="DA514" s="216"/>
      <c r="DB514" s="307"/>
      <c r="DC514" s="328"/>
      <c r="DD514" s="322"/>
      <c r="DE514" s="305"/>
      <c r="DF514" s="249"/>
      <c r="DG514" s="216"/>
      <c r="DH514" s="305"/>
      <c r="DI514" s="249"/>
      <c r="DJ514" s="216"/>
      <c r="DK514" s="309"/>
      <c r="DL514" s="293"/>
      <c r="DM514" s="326"/>
      <c r="DN514" s="1256"/>
      <c r="DO514" s="214"/>
      <c r="DP514" s="1257"/>
      <c r="DQ514" s="1258"/>
      <c r="DR514" s="305"/>
      <c r="DS514" s="249"/>
      <c r="DT514" s="216"/>
      <c r="DU514" s="305"/>
      <c r="DV514" s="2520"/>
      <c r="DW514" s="2521"/>
      <c r="DX514" s="305"/>
      <c r="DY514" s="249"/>
      <c r="DZ514" s="221"/>
      <c r="EA514" s="388"/>
      <c r="EB514" s="249"/>
      <c r="EC514" s="216"/>
      <c r="ED514" s="1461"/>
      <c r="EE514" s="249"/>
      <c r="EF514" s="216"/>
      <c r="EG514" s="355"/>
      <c r="EH514" s="1425"/>
      <c r="EI514" s="1470"/>
      <c r="EJ514" s="249"/>
      <c r="EK514" s="221"/>
      <c r="EL514" s="313"/>
      <c r="EM514" s="249"/>
      <c r="EN514" s="221"/>
      <c r="EO514" s="313"/>
      <c r="EP514" s="249"/>
      <c r="EQ514" s="216"/>
      <c r="ER514" s="313"/>
      <c r="ES514" s="249"/>
      <c r="ET514" s="216"/>
      <c r="EU514" s="313"/>
      <c r="EV514" s="249"/>
      <c r="EW514" s="216"/>
      <c r="EX514" s="2505"/>
      <c r="EY514" s="249"/>
      <c r="EZ514" s="221"/>
      <c r="FA514" s="313"/>
      <c r="FB514" s="249"/>
      <c r="FC514" s="221"/>
      <c r="FD514" s="313"/>
      <c r="FE514" s="249"/>
      <c r="FF514" s="221"/>
      <c r="FG514" s="313"/>
      <c r="FH514" s="249"/>
      <c r="FI514" s="216"/>
      <c r="FJ514" s="1435"/>
      <c r="FK514" s="216"/>
      <c r="FL514" s="1268"/>
      <c r="FM514" s="1655"/>
      <c r="FN514" s="1268"/>
      <c r="FO514" s="1655"/>
      <c r="FP514" s="1268"/>
      <c r="FQ514" s="1656"/>
      <c r="FR514" s="249"/>
      <c r="FS514" s="216"/>
      <c r="FT514" s="1657"/>
      <c r="FU514" s="1658"/>
      <c r="FV514" s="242"/>
      <c r="FW514" s="343"/>
      <c r="FX514" s="222"/>
      <c r="FY514" s="336"/>
      <c r="FZ514" s="223"/>
      <c r="GA514" s="338"/>
      <c r="GB514" s="204"/>
      <c r="GC514" s="339"/>
      <c r="GD514" s="342"/>
      <c r="GE514" s="199"/>
      <c r="GF514" s="199"/>
      <c r="GG514" s="199"/>
      <c r="GH514" s="199"/>
      <c r="GI514" s="199"/>
      <c r="GJ514" s="199"/>
      <c r="GK514" s="199"/>
      <c r="GO514" s="322"/>
      <c r="GP514" s="1190"/>
      <c r="GQ514" s="1190"/>
      <c r="GS514" s="2879"/>
      <c r="GT514" s="2880"/>
      <c r="GU514" s="2881"/>
    </row>
    <row r="515" spans="1:203" ht="12" customHeight="1">
      <c r="A515" s="1252"/>
      <c r="B515" s="200"/>
      <c r="C515" s="486"/>
      <c r="T515" s="1186"/>
      <c r="U515" s="233"/>
      <c r="W515" s="218"/>
      <c r="X515" s="218"/>
      <c r="Y515" s="216"/>
      <c r="Z515" s="216"/>
      <c r="AA515" s="215"/>
      <c r="AB515" s="216"/>
      <c r="AC515" s="216"/>
      <c r="AD515" s="239"/>
      <c r="AE515" s="216"/>
      <c r="AF515" s="216"/>
      <c r="AG515" s="216"/>
      <c r="AH515" s="216"/>
      <c r="AI515" s="216"/>
      <c r="AJ515" s="216"/>
      <c r="AK515" s="239"/>
      <c r="AL515" s="216"/>
      <c r="AM515" s="216"/>
      <c r="AN515" s="216"/>
      <c r="AO515" s="216"/>
      <c r="AP515" s="216"/>
      <c r="AQ515" s="216"/>
      <c r="AR515" s="216"/>
      <c r="AS515" s="216"/>
      <c r="AT515" s="216"/>
      <c r="AU515" s="216"/>
      <c r="AV515" s="217"/>
      <c r="AW515" s="355"/>
      <c r="AX515" s="217"/>
      <c r="AY515" s="305"/>
      <c r="AZ515" s="249"/>
      <c r="BA515" s="221"/>
      <c r="BB515" s="300"/>
      <c r="BC515" s="217"/>
      <c r="BD515" s="392"/>
      <c r="BE515" s="1244"/>
      <c r="BF515" s="249"/>
      <c r="BG515" s="252"/>
      <c r="BH515" s="1469"/>
      <c r="BI515" s="216"/>
      <c r="BJ515" s="1469"/>
      <c r="BK515" s="1459"/>
      <c r="BL515" s="260"/>
      <c r="BM515" s="214"/>
      <c r="BN515" s="293"/>
      <c r="BO515" s="217"/>
      <c r="BP515" s="355"/>
      <c r="BQ515" s="217"/>
      <c r="BR515" s="1193"/>
      <c r="BS515" s="249"/>
      <c r="BT515" s="216"/>
      <c r="BU515" s="1195"/>
      <c r="BV515" s="249"/>
      <c r="BW515" s="216"/>
      <c r="BX515" s="1195"/>
      <c r="BY515" s="249"/>
      <c r="BZ515" s="216"/>
      <c r="CA515" s="1195"/>
      <c r="CB515" s="249"/>
      <c r="CC515" s="216"/>
      <c r="CD515" s="1195"/>
      <c r="CE515" s="249"/>
      <c r="CF515" s="216"/>
      <c r="CG515" s="1195"/>
      <c r="CH515" s="249"/>
      <c r="CI515" s="216"/>
      <c r="CJ515" s="1195"/>
      <c r="CK515" s="249"/>
      <c r="CL515" s="216"/>
      <c r="CM515" s="1194"/>
      <c r="CN515" s="1524"/>
      <c r="CO515" s="217"/>
      <c r="CP515" s="1193"/>
      <c r="CQ515" s="293"/>
      <c r="CR515" s="217"/>
      <c r="CS515" s="305"/>
      <c r="CT515" s="249"/>
      <c r="CU515" s="216"/>
      <c r="CV515" s="1193"/>
      <c r="CW515" s="249"/>
      <c r="CX515" s="216"/>
      <c r="CY515" s="305"/>
      <c r="CZ515" s="249"/>
      <c r="DA515" s="216"/>
      <c r="DB515" s="307"/>
      <c r="DC515" s="328"/>
      <c r="DD515" s="322"/>
      <c r="DE515" s="305"/>
      <c r="DF515" s="249"/>
      <c r="DG515" s="216"/>
      <c r="DH515" s="305"/>
      <c r="DI515" s="249"/>
      <c r="DJ515" s="216"/>
      <c r="DK515" s="309"/>
      <c r="DL515" s="293"/>
      <c r="DM515" s="326"/>
      <c r="DN515" s="1256"/>
      <c r="DO515" s="214"/>
      <c r="DP515" s="1257"/>
      <c r="DQ515" s="1258"/>
      <c r="DR515" s="305"/>
      <c r="DS515" s="249"/>
      <c r="DT515" s="216"/>
      <c r="DU515" s="305"/>
      <c r="DV515" s="2520"/>
      <c r="DW515" s="2521"/>
      <c r="DX515" s="305"/>
      <c r="DY515" s="249"/>
      <c r="DZ515" s="221"/>
      <c r="EA515" s="388"/>
      <c r="EB515" s="249"/>
      <c r="EC515" s="216"/>
      <c r="ED515" s="1461"/>
      <c r="EE515" s="249"/>
      <c r="EF515" s="216"/>
      <c r="EG515" s="355"/>
      <c r="EH515" s="1425"/>
      <c r="EI515" s="1470"/>
      <c r="EJ515" s="249"/>
      <c r="EK515" s="221"/>
      <c r="EL515" s="313"/>
      <c r="EM515" s="249"/>
      <c r="EN515" s="221"/>
      <c r="EO515" s="313"/>
      <c r="EP515" s="249"/>
      <c r="EQ515" s="216"/>
      <c r="ER515" s="313"/>
      <c r="ES515" s="249"/>
      <c r="ET515" s="216"/>
      <c r="EU515" s="313"/>
      <c r="EV515" s="249"/>
      <c r="EW515" s="216"/>
      <c r="EX515" s="2505"/>
      <c r="EY515" s="249"/>
      <c r="EZ515" s="221"/>
      <c r="FA515" s="313"/>
      <c r="FB515" s="249"/>
      <c r="FC515" s="221"/>
      <c r="FD515" s="313"/>
      <c r="FE515" s="249"/>
      <c r="FF515" s="221"/>
      <c r="FG515" s="313"/>
      <c r="FH515" s="249"/>
      <c r="FI515" s="216"/>
      <c r="FJ515" s="1435"/>
      <c r="FK515" s="216"/>
      <c r="FL515" s="1268"/>
      <c r="FM515" s="1655"/>
      <c r="FN515" s="1268"/>
      <c r="FO515" s="1655"/>
      <c r="FP515" s="1268"/>
      <c r="FQ515" s="1656"/>
      <c r="FR515" s="249"/>
      <c r="FS515" s="216"/>
      <c r="FT515" s="1657"/>
      <c r="FU515" s="1658"/>
      <c r="FV515" s="242"/>
      <c r="FW515" s="343"/>
      <c r="FX515" s="222"/>
      <c r="FY515" s="336"/>
      <c r="FZ515" s="223"/>
      <c r="GA515" s="338"/>
      <c r="GB515" s="204"/>
      <c r="GC515" s="339"/>
      <c r="GD515" s="342"/>
      <c r="GE515" s="199"/>
      <c r="GF515" s="199"/>
      <c r="GG515" s="199"/>
      <c r="GH515" s="199"/>
      <c r="GI515" s="199"/>
      <c r="GJ515" s="199"/>
      <c r="GK515" s="199"/>
      <c r="GO515" s="322"/>
      <c r="GP515" s="1190"/>
      <c r="GQ515" s="1190"/>
      <c r="GS515" s="2879"/>
      <c r="GT515" s="2880"/>
      <c r="GU515" s="2881"/>
    </row>
    <row r="516" spans="1:203" ht="12" customHeight="1">
      <c r="A516" s="1252"/>
      <c r="B516" s="200"/>
      <c r="C516" s="486"/>
      <c r="T516" s="1186"/>
      <c r="U516" s="233"/>
      <c r="W516" s="218"/>
      <c r="X516" s="218"/>
      <c r="Y516" s="216"/>
      <c r="Z516" s="216"/>
      <c r="AA516" s="215"/>
      <c r="AB516" s="216"/>
      <c r="AC516" s="216"/>
      <c r="AD516" s="239"/>
      <c r="AE516" s="216"/>
      <c r="AF516" s="216"/>
      <c r="AG516" s="216"/>
      <c r="AH516" s="216"/>
      <c r="AI516" s="216"/>
      <c r="AJ516" s="216"/>
      <c r="AK516" s="239"/>
      <c r="AL516" s="216"/>
      <c r="AM516" s="216"/>
      <c r="AN516" s="216"/>
      <c r="AO516" s="216"/>
      <c r="AP516" s="216"/>
      <c r="AQ516" s="216"/>
      <c r="AR516" s="216"/>
      <c r="AS516" s="216"/>
      <c r="AT516" s="216"/>
      <c r="AU516" s="216"/>
      <c r="AV516" s="217"/>
      <c r="AW516" s="355"/>
      <c r="AX516" s="217"/>
      <c r="AY516" s="305"/>
      <c r="AZ516" s="249"/>
      <c r="BA516" s="221"/>
      <c r="BB516" s="300"/>
      <c r="BC516" s="217"/>
      <c r="BD516" s="392"/>
      <c r="BE516" s="1244"/>
      <c r="BF516" s="249"/>
      <c r="BG516" s="252"/>
      <c r="BH516" s="1469"/>
      <c r="BI516" s="216"/>
      <c r="BJ516" s="1469"/>
      <c r="BK516" s="1459"/>
      <c r="BL516" s="260"/>
      <c r="BM516" s="214"/>
      <c r="BN516" s="293"/>
      <c r="BO516" s="217"/>
      <c r="BP516" s="355"/>
      <c r="BQ516" s="217"/>
      <c r="BR516" s="1193"/>
      <c r="BS516" s="249"/>
      <c r="BT516" s="216"/>
      <c r="BU516" s="1195"/>
      <c r="BV516" s="249"/>
      <c r="BW516" s="216"/>
      <c r="BX516" s="1195"/>
      <c r="BY516" s="249"/>
      <c r="BZ516" s="216"/>
      <c r="CA516" s="1195"/>
      <c r="CB516" s="249"/>
      <c r="CC516" s="216"/>
      <c r="CD516" s="1195"/>
      <c r="CE516" s="249"/>
      <c r="CF516" s="216"/>
      <c r="CG516" s="1195"/>
      <c r="CH516" s="249"/>
      <c r="CI516" s="216"/>
      <c r="CJ516" s="1195"/>
      <c r="CK516" s="249"/>
      <c r="CL516" s="216"/>
      <c r="CM516" s="1194"/>
      <c r="CN516" s="1524"/>
      <c r="CO516" s="217"/>
      <c r="CP516" s="1193"/>
      <c r="CQ516" s="293"/>
      <c r="CR516" s="217"/>
      <c r="CS516" s="305"/>
      <c r="CT516" s="249"/>
      <c r="CU516" s="216"/>
      <c r="CV516" s="1193"/>
      <c r="CW516" s="249"/>
      <c r="CX516" s="216"/>
      <c r="CY516" s="305"/>
      <c r="CZ516" s="249"/>
      <c r="DA516" s="216"/>
      <c r="DB516" s="307"/>
      <c r="DC516" s="328"/>
      <c r="DD516" s="322"/>
      <c r="DE516" s="305"/>
      <c r="DF516" s="249"/>
      <c r="DG516" s="216"/>
      <c r="DH516" s="305"/>
      <c r="DI516" s="249"/>
      <c r="DJ516" s="216"/>
      <c r="DK516" s="309"/>
      <c r="DL516" s="293"/>
      <c r="DM516" s="326"/>
      <c r="DN516" s="1256"/>
      <c r="DO516" s="214"/>
      <c r="DP516" s="1257"/>
      <c r="DQ516" s="1258"/>
      <c r="DR516" s="305"/>
      <c r="DS516" s="249"/>
      <c r="DT516" s="216"/>
      <c r="DU516" s="305"/>
      <c r="DV516" s="2520"/>
      <c r="DW516" s="2521"/>
      <c r="DX516" s="305"/>
      <c r="DY516" s="249"/>
      <c r="DZ516" s="221"/>
      <c r="EA516" s="388"/>
      <c r="EB516" s="249"/>
      <c r="EC516" s="216"/>
      <c r="ED516" s="1461"/>
      <c r="EE516" s="249"/>
      <c r="EF516" s="216"/>
      <c r="EG516" s="355"/>
      <c r="EH516" s="1425"/>
      <c r="EI516" s="1470"/>
      <c r="EJ516" s="249"/>
      <c r="EK516" s="221"/>
      <c r="EL516" s="313"/>
      <c r="EM516" s="249"/>
      <c r="EN516" s="221"/>
      <c r="EO516" s="313"/>
      <c r="EP516" s="249"/>
      <c r="EQ516" s="216"/>
      <c r="ER516" s="313"/>
      <c r="ES516" s="249"/>
      <c r="ET516" s="216"/>
      <c r="EU516" s="313"/>
      <c r="EV516" s="249"/>
      <c r="EW516" s="216"/>
      <c r="EX516" s="2505"/>
      <c r="EY516" s="249"/>
      <c r="EZ516" s="221"/>
      <c r="FA516" s="313"/>
      <c r="FB516" s="249"/>
      <c r="FC516" s="221"/>
      <c r="FD516" s="313"/>
      <c r="FE516" s="249"/>
      <c r="FF516" s="221"/>
      <c r="FG516" s="313"/>
      <c r="FH516" s="249"/>
      <c r="FI516" s="216"/>
      <c r="FJ516" s="1435"/>
      <c r="FK516" s="216"/>
      <c r="FL516" s="1268"/>
      <c r="FM516" s="1655"/>
      <c r="FN516" s="1268"/>
      <c r="FO516" s="1655"/>
      <c r="FP516" s="1268"/>
      <c r="FQ516" s="1656"/>
      <c r="FR516" s="249"/>
      <c r="FS516" s="216"/>
      <c r="FT516" s="1657"/>
      <c r="FU516" s="1658"/>
      <c r="FV516" s="242"/>
      <c r="FW516" s="343"/>
      <c r="FX516" s="222"/>
      <c r="FY516" s="336"/>
      <c r="FZ516" s="223"/>
      <c r="GA516" s="338"/>
      <c r="GB516" s="204"/>
      <c r="GC516" s="339"/>
      <c r="GD516" s="342"/>
      <c r="GE516" s="199"/>
      <c r="GF516" s="199"/>
      <c r="GG516" s="199"/>
      <c r="GH516" s="199"/>
      <c r="GI516" s="199"/>
      <c r="GJ516" s="199"/>
      <c r="GK516" s="199"/>
      <c r="GO516" s="322"/>
      <c r="GP516" s="1190"/>
      <c r="GQ516" s="1190"/>
      <c r="GS516" s="2879"/>
      <c r="GT516" s="2880"/>
      <c r="GU516" s="2881"/>
    </row>
    <row r="517" spans="1:203" ht="12" customHeight="1">
      <c r="A517" s="1252"/>
      <c r="B517" s="200"/>
      <c r="C517" s="486"/>
      <c r="T517" s="1186"/>
      <c r="U517" s="233"/>
      <c r="W517" s="218"/>
      <c r="X517" s="218"/>
      <c r="Y517" s="216"/>
      <c r="Z517" s="216"/>
      <c r="AA517" s="215"/>
      <c r="AB517" s="216"/>
      <c r="AC517" s="216"/>
      <c r="AD517" s="239"/>
      <c r="AE517" s="216"/>
      <c r="AF517" s="216"/>
      <c r="AG517" s="216"/>
      <c r="AH517" s="216"/>
      <c r="AI517" s="216"/>
      <c r="AJ517" s="216"/>
      <c r="AK517" s="239"/>
      <c r="AL517" s="216"/>
      <c r="AM517" s="216"/>
      <c r="AN517" s="216"/>
      <c r="AO517" s="216"/>
      <c r="AP517" s="216"/>
      <c r="AQ517" s="216"/>
      <c r="AR517" s="216"/>
      <c r="AS517" s="216"/>
      <c r="AT517" s="216"/>
      <c r="AU517" s="216"/>
      <c r="AV517" s="217"/>
      <c r="AW517" s="355"/>
      <c r="AX517" s="217"/>
      <c r="AY517" s="305"/>
      <c r="AZ517" s="249"/>
      <c r="BA517" s="221"/>
      <c r="BB517" s="300"/>
      <c r="BC517" s="217"/>
      <c r="BD517" s="392"/>
      <c r="BE517" s="1244"/>
      <c r="BF517" s="249"/>
      <c r="BG517" s="252"/>
      <c r="BH517" s="1469"/>
      <c r="BI517" s="216"/>
      <c r="BJ517" s="1469"/>
      <c r="BK517" s="1459"/>
      <c r="BL517" s="260"/>
      <c r="BM517" s="214"/>
      <c r="BN517" s="293"/>
      <c r="BO517" s="217"/>
      <c r="BP517" s="355"/>
      <c r="BQ517" s="217"/>
      <c r="BR517" s="1193"/>
      <c r="BS517" s="249"/>
      <c r="BT517" s="216"/>
      <c r="BU517" s="1195"/>
      <c r="BV517" s="249"/>
      <c r="BW517" s="216"/>
      <c r="BX517" s="1195"/>
      <c r="BY517" s="249"/>
      <c r="BZ517" s="216"/>
      <c r="CA517" s="1195"/>
      <c r="CB517" s="249"/>
      <c r="CC517" s="216"/>
      <c r="CD517" s="1195"/>
      <c r="CE517" s="249"/>
      <c r="CF517" s="216"/>
      <c r="CG517" s="1195"/>
      <c r="CH517" s="249"/>
      <c r="CI517" s="216"/>
      <c r="CJ517" s="1195"/>
      <c r="CK517" s="249"/>
      <c r="CL517" s="216"/>
      <c r="CM517" s="1194"/>
      <c r="CN517" s="1524"/>
      <c r="CO517" s="217"/>
      <c r="CP517" s="1193"/>
      <c r="CQ517" s="293"/>
      <c r="CR517" s="217"/>
      <c r="CS517" s="305"/>
      <c r="CT517" s="249"/>
      <c r="CU517" s="216"/>
      <c r="CV517" s="1193"/>
      <c r="CW517" s="249"/>
      <c r="CX517" s="216"/>
      <c r="CY517" s="305"/>
      <c r="CZ517" s="249"/>
      <c r="DA517" s="216"/>
      <c r="DB517" s="307"/>
      <c r="DC517" s="328"/>
      <c r="DD517" s="322"/>
      <c r="DE517" s="305"/>
      <c r="DF517" s="249"/>
      <c r="DG517" s="216"/>
      <c r="DH517" s="305"/>
      <c r="DI517" s="249"/>
      <c r="DJ517" s="216"/>
      <c r="DK517" s="309"/>
      <c r="DL517" s="293"/>
      <c r="DM517" s="326"/>
      <c r="DN517" s="1256"/>
      <c r="DO517" s="214"/>
      <c r="DP517" s="1257"/>
      <c r="DQ517" s="1258"/>
      <c r="DR517" s="305"/>
      <c r="DS517" s="249"/>
      <c r="DT517" s="216"/>
      <c r="DU517" s="305"/>
      <c r="DV517" s="2520"/>
      <c r="DW517" s="2521"/>
      <c r="DX517" s="305"/>
      <c r="DY517" s="249"/>
      <c r="DZ517" s="221"/>
      <c r="EA517" s="388"/>
      <c r="EB517" s="249"/>
      <c r="EC517" s="216"/>
      <c r="ED517" s="1461"/>
      <c r="EE517" s="249"/>
      <c r="EF517" s="216"/>
      <c r="EG517" s="355"/>
      <c r="EH517" s="1425"/>
      <c r="EI517" s="1470"/>
      <c r="EJ517" s="249"/>
      <c r="EK517" s="221"/>
      <c r="EL517" s="313"/>
      <c r="EM517" s="249"/>
      <c r="EN517" s="221"/>
      <c r="EO517" s="313"/>
      <c r="EP517" s="249"/>
      <c r="EQ517" s="216"/>
      <c r="ER517" s="313"/>
      <c r="ES517" s="249"/>
      <c r="ET517" s="216"/>
      <c r="EU517" s="313"/>
      <c r="EV517" s="249"/>
      <c r="EW517" s="216"/>
      <c r="EX517" s="2505"/>
      <c r="EY517" s="249"/>
      <c r="EZ517" s="221"/>
      <c r="FA517" s="313"/>
      <c r="FB517" s="249"/>
      <c r="FC517" s="221"/>
      <c r="FD517" s="313"/>
      <c r="FE517" s="249"/>
      <c r="FF517" s="221"/>
      <c r="FG517" s="313"/>
      <c r="FH517" s="249"/>
      <c r="FI517" s="216"/>
      <c r="FJ517" s="1435"/>
      <c r="FK517" s="216"/>
      <c r="FL517" s="1268"/>
      <c r="FM517" s="1655"/>
      <c r="FN517" s="1268"/>
      <c r="FO517" s="1655"/>
      <c r="FP517" s="1268"/>
      <c r="FQ517" s="1656"/>
      <c r="FR517" s="249"/>
      <c r="FS517" s="216"/>
      <c r="FT517" s="1657"/>
      <c r="FU517" s="1658"/>
      <c r="FV517" s="242"/>
      <c r="FW517" s="343"/>
      <c r="FX517" s="222"/>
      <c r="FY517" s="336"/>
      <c r="FZ517" s="223"/>
      <c r="GA517" s="338"/>
      <c r="GB517" s="204"/>
      <c r="GC517" s="339"/>
      <c r="GD517" s="342"/>
      <c r="GE517" s="199"/>
      <c r="GF517" s="199"/>
      <c r="GG517" s="199"/>
      <c r="GH517" s="199"/>
      <c r="GI517" s="199"/>
      <c r="GJ517" s="199"/>
      <c r="GK517" s="199"/>
      <c r="GO517" s="322"/>
      <c r="GP517" s="1190"/>
      <c r="GQ517" s="1190"/>
      <c r="GS517" s="2879"/>
      <c r="GT517" s="2880"/>
      <c r="GU517" s="2881"/>
    </row>
    <row r="518" spans="1:203" ht="12" customHeight="1">
      <c r="A518" s="1252"/>
      <c r="B518" s="200"/>
      <c r="C518" s="486"/>
      <c r="T518" s="1186"/>
      <c r="U518" s="233"/>
      <c r="W518" s="218"/>
      <c r="X518" s="218"/>
      <c r="Y518" s="216"/>
      <c r="Z518" s="216"/>
      <c r="AA518" s="215"/>
      <c r="AB518" s="216"/>
      <c r="AC518" s="216"/>
      <c r="AD518" s="239"/>
      <c r="AE518" s="216"/>
      <c r="AF518" s="216"/>
      <c r="AG518" s="216"/>
      <c r="AH518" s="216"/>
      <c r="AI518" s="216"/>
      <c r="AJ518" s="216"/>
      <c r="AK518" s="239"/>
      <c r="AL518" s="216"/>
      <c r="AM518" s="216"/>
      <c r="AN518" s="216"/>
      <c r="AO518" s="216"/>
      <c r="AP518" s="216"/>
      <c r="AQ518" s="216"/>
      <c r="AR518" s="216"/>
      <c r="AS518" s="216"/>
      <c r="AT518" s="216"/>
      <c r="AU518" s="216"/>
      <c r="AV518" s="217"/>
      <c r="AW518" s="355"/>
      <c r="AX518" s="217"/>
      <c r="AY518" s="305"/>
      <c r="AZ518" s="249"/>
      <c r="BA518" s="221"/>
      <c r="BB518" s="300"/>
      <c r="BC518" s="217"/>
      <c r="BD518" s="392"/>
      <c r="BE518" s="1244"/>
      <c r="BF518" s="249"/>
      <c r="BG518" s="252"/>
      <c r="BH518" s="1469"/>
      <c r="BI518" s="216"/>
      <c r="BJ518" s="1469"/>
      <c r="BK518" s="1459"/>
      <c r="BL518" s="260"/>
      <c r="BM518" s="214"/>
      <c r="BN518" s="293"/>
      <c r="BO518" s="217"/>
      <c r="BP518" s="355"/>
      <c r="BQ518" s="217"/>
      <c r="BR518" s="1193"/>
      <c r="BS518" s="249"/>
      <c r="BT518" s="216"/>
      <c r="BU518" s="1195"/>
      <c r="BV518" s="249"/>
      <c r="BW518" s="216"/>
      <c r="BX518" s="1195"/>
      <c r="BY518" s="249"/>
      <c r="BZ518" s="216"/>
      <c r="CA518" s="1195"/>
      <c r="CB518" s="249"/>
      <c r="CC518" s="216"/>
      <c r="CD518" s="1195"/>
      <c r="CE518" s="249"/>
      <c r="CF518" s="216"/>
      <c r="CG518" s="1195"/>
      <c r="CH518" s="249"/>
      <c r="CI518" s="216"/>
      <c r="CJ518" s="1195"/>
      <c r="CK518" s="249"/>
      <c r="CL518" s="216"/>
      <c r="CM518" s="1194"/>
      <c r="CN518" s="1524"/>
      <c r="CO518" s="217"/>
      <c r="CP518" s="1193"/>
      <c r="CQ518" s="293"/>
      <c r="CR518" s="217"/>
      <c r="CS518" s="305"/>
      <c r="CT518" s="249"/>
      <c r="CU518" s="216"/>
      <c r="CV518" s="1193"/>
      <c r="CW518" s="249"/>
      <c r="CX518" s="216"/>
      <c r="CY518" s="305"/>
      <c r="CZ518" s="249"/>
      <c r="DA518" s="216"/>
      <c r="DB518" s="307"/>
      <c r="DC518" s="328"/>
      <c r="DD518" s="322"/>
      <c r="DE518" s="305"/>
      <c r="DF518" s="249"/>
      <c r="DG518" s="216"/>
      <c r="DH518" s="305"/>
      <c r="DI518" s="249"/>
      <c r="DJ518" s="216"/>
      <c r="DK518" s="309"/>
      <c r="DL518" s="293"/>
      <c r="DM518" s="326"/>
      <c r="DN518" s="1256"/>
      <c r="DO518" s="214"/>
      <c r="DP518" s="1257"/>
      <c r="DQ518" s="1258"/>
      <c r="DR518" s="305"/>
      <c r="DS518" s="249"/>
      <c r="DT518" s="216"/>
      <c r="DU518" s="305"/>
      <c r="DV518" s="2520"/>
      <c r="DW518" s="2521"/>
      <c r="DX518" s="305"/>
      <c r="DY518" s="249"/>
      <c r="DZ518" s="221"/>
      <c r="EA518" s="388"/>
      <c r="EB518" s="249"/>
      <c r="EC518" s="216"/>
      <c r="ED518" s="1461"/>
      <c r="EE518" s="249"/>
      <c r="EF518" s="216"/>
      <c r="EG518" s="355"/>
      <c r="EH518" s="1425"/>
      <c r="EI518" s="1470"/>
      <c r="EJ518" s="249"/>
      <c r="EK518" s="221"/>
      <c r="EL518" s="313"/>
      <c r="EM518" s="249"/>
      <c r="EN518" s="221"/>
      <c r="EO518" s="313"/>
      <c r="EP518" s="249"/>
      <c r="EQ518" s="216"/>
      <c r="ER518" s="313"/>
      <c r="ES518" s="249"/>
      <c r="ET518" s="216"/>
      <c r="EU518" s="313"/>
      <c r="EV518" s="249"/>
      <c r="EW518" s="216"/>
      <c r="EX518" s="2505"/>
      <c r="EY518" s="249"/>
      <c r="EZ518" s="221"/>
      <c r="FA518" s="313"/>
      <c r="FB518" s="249"/>
      <c r="FC518" s="221"/>
      <c r="FD518" s="313"/>
      <c r="FE518" s="249"/>
      <c r="FF518" s="221"/>
      <c r="FG518" s="313"/>
      <c r="FH518" s="249"/>
      <c r="FI518" s="216"/>
      <c r="FJ518" s="1435"/>
      <c r="FK518" s="216"/>
      <c r="FL518" s="1268"/>
      <c r="FM518" s="1655"/>
      <c r="FN518" s="1268"/>
      <c r="FO518" s="1655"/>
      <c r="FP518" s="1268"/>
      <c r="FQ518" s="1656"/>
      <c r="FR518" s="249"/>
      <c r="FS518" s="216"/>
      <c r="FT518" s="1657"/>
      <c r="FU518" s="1658"/>
      <c r="FV518" s="242"/>
      <c r="FW518" s="343"/>
      <c r="FX518" s="222"/>
      <c r="FY518" s="336"/>
      <c r="FZ518" s="223"/>
      <c r="GA518" s="338"/>
      <c r="GB518" s="204"/>
      <c r="GC518" s="339"/>
      <c r="GD518" s="342"/>
      <c r="GE518" s="199"/>
      <c r="GF518" s="199"/>
      <c r="GG518" s="199"/>
      <c r="GH518" s="199"/>
      <c r="GI518" s="199"/>
      <c r="GJ518" s="199"/>
      <c r="GK518" s="199"/>
      <c r="GO518" s="322"/>
      <c r="GP518" s="1190"/>
      <c r="GQ518" s="1190"/>
      <c r="GS518" s="2879"/>
      <c r="GT518" s="2880"/>
      <c r="GU518" s="2881"/>
    </row>
    <row r="519" spans="1:203" ht="12" customHeight="1">
      <c r="A519" s="1252"/>
      <c r="B519" s="200"/>
      <c r="C519" s="486"/>
      <c r="T519" s="1186"/>
      <c r="U519" s="233"/>
      <c r="W519" s="218"/>
      <c r="X519" s="218"/>
      <c r="Y519" s="216"/>
      <c r="Z519" s="216"/>
      <c r="AA519" s="215"/>
      <c r="AB519" s="216"/>
      <c r="AC519" s="216"/>
      <c r="AD519" s="239"/>
      <c r="AE519" s="216"/>
      <c r="AF519" s="216"/>
      <c r="AG519" s="216"/>
      <c r="AH519" s="216"/>
      <c r="AI519" s="216"/>
      <c r="AJ519" s="216"/>
      <c r="AK519" s="239"/>
      <c r="AL519" s="216"/>
      <c r="AM519" s="216"/>
      <c r="AN519" s="216"/>
      <c r="AO519" s="216"/>
      <c r="AP519" s="216"/>
      <c r="AQ519" s="216"/>
      <c r="AR519" s="216"/>
      <c r="AS519" s="216"/>
      <c r="AT519" s="216"/>
      <c r="AU519" s="216"/>
      <c r="AV519" s="217"/>
      <c r="AW519" s="355"/>
      <c r="AX519" s="217"/>
      <c r="AY519" s="305"/>
      <c r="AZ519" s="249"/>
      <c r="BA519" s="221"/>
      <c r="BB519" s="300"/>
      <c r="BC519" s="217"/>
      <c r="BD519" s="392"/>
      <c r="BE519" s="1244"/>
      <c r="BF519" s="249"/>
      <c r="BG519" s="252"/>
      <c r="BH519" s="1469"/>
      <c r="BI519" s="216"/>
      <c r="BJ519" s="1469"/>
      <c r="BK519" s="1459"/>
      <c r="BL519" s="260"/>
      <c r="BM519" s="214"/>
      <c r="BN519" s="293"/>
      <c r="BO519" s="217"/>
      <c r="BP519" s="355"/>
      <c r="BQ519" s="217"/>
      <c r="BR519" s="1193"/>
      <c r="BS519" s="249"/>
      <c r="BT519" s="216"/>
      <c r="BU519" s="1195"/>
      <c r="BV519" s="249"/>
      <c r="BW519" s="216"/>
      <c r="BX519" s="1195"/>
      <c r="BY519" s="249"/>
      <c r="BZ519" s="216"/>
      <c r="CA519" s="1195"/>
      <c r="CB519" s="249"/>
      <c r="CC519" s="216"/>
      <c r="CD519" s="1195"/>
      <c r="CE519" s="249"/>
      <c r="CF519" s="216"/>
      <c r="CG519" s="1195"/>
      <c r="CH519" s="249"/>
      <c r="CI519" s="216"/>
      <c r="CJ519" s="1195"/>
      <c r="CK519" s="249"/>
      <c r="CL519" s="216"/>
      <c r="CM519" s="1194"/>
      <c r="CN519" s="1524"/>
      <c r="CO519" s="217"/>
      <c r="CP519" s="1193"/>
      <c r="CQ519" s="293"/>
      <c r="CR519" s="217"/>
      <c r="CS519" s="305"/>
      <c r="CT519" s="249"/>
      <c r="CU519" s="216"/>
      <c r="CV519" s="1193"/>
      <c r="CW519" s="249"/>
      <c r="CX519" s="216"/>
      <c r="CY519" s="305"/>
      <c r="CZ519" s="249"/>
      <c r="DA519" s="216"/>
      <c r="DB519" s="307"/>
      <c r="DC519" s="328"/>
      <c r="DD519" s="322"/>
      <c r="DE519" s="305"/>
      <c r="DF519" s="249"/>
      <c r="DG519" s="216"/>
      <c r="DH519" s="305"/>
      <c r="DI519" s="249"/>
      <c r="DJ519" s="216"/>
      <c r="DK519" s="309"/>
      <c r="DL519" s="293"/>
      <c r="DM519" s="326"/>
      <c r="DN519" s="1256"/>
      <c r="DO519" s="214"/>
      <c r="DP519" s="1257"/>
      <c r="DQ519" s="1258"/>
      <c r="DR519" s="305"/>
      <c r="DS519" s="249"/>
      <c r="DT519" s="216"/>
      <c r="DU519" s="305"/>
      <c r="DV519" s="2520"/>
      <c r="DW519" s="2521"/>
      <c r="DX519" s="305"/>
      <c r="DY519" s="249"/>
      <c r="DZ519" s="221"/>
      <c r="EA519" s="388"/>
      <c r="EB519" s="249"/>
      <c r="EC519" s="216"/>
      <c r="ED519" s="1461"/>
      <c r="EE519" s="249"/>
      <c r="EF519" s="216"/>
      <c r="EG519" s="355"/>
      <c r="EH519" s="1425"/>
      <c r="EI519" s="1470"/>
      <c r="EJ519" s="249"/>
      <c r="EK519" s="221"/>
      <c r="EL519" s="313"/>
      <c r="EM519" s="249"/>
      <c r="EN519" s="221"/>
      <c r="EO519" s="313"/>
      <c r="EP519" s="249"/>
      <c r="EQ519" s="216"/>
      <c r="ER519" s="313"/>
      <c r="ES519" s="249"/>
      <c r="ET519" s="216"/>
      <c r="EU519" s="313"/>
      <c r="EV519" s="249"/>
      <c r="EW519" s="216"/>
      <c r="EX519" s="2505"/>
      <c r="EY519" s="249"/>
      <c r="EZ519" s="221"/>
      <c r="FA519" s="313"/>
      <c r="FB519" s="249"/>
      <c r="FC519" s="221"/>
      <c r="FD519" s="313"/>
      <c r="FE519" s="249"/>
      <c r="FF519" s="221"/>
      <c r="FG519" s="313"/>
      <c r="FH519" s="249"/>
      <c r="FI519" s="216"/>
      <c r="FJ519" s="1435"/>
      <c r="FK519" s="216"/>
      <c r="FL519" s="1268"/>
      <c r="FM519" s="1655"/>
      <c r="FN519" s="1268"/>
      <c r="FO519" s="1655"/>
      <c r="FP519" s="1268"/>
      <c r="FQ519" s="1656"/>
      <c r="FR519" s="249"/>
      <c r="FS519" s="216"/>
      <c r="FT519" s="1657"/>
      <c r="FU519" s="1658"/>
      <c r="FV519" s="242"/>
      <c r="FW519" s="343"/>
      <c r="FX519" s="222"/>
      <c r="FY519" s="336"/>
      <c r="FZ519" s="223"/>
      <c r="GA519" s="338"/>
      <c r="GB519" s="204"/>
      <c r="GC519" s="339"/>
      <c r="GD519" s="342"/>
      <c r="GE519" s="199"/>
      <c r="GF519" s="199"/>
      <c r="GG519" s="199"/>
      <c r="GH519" s="199"/>
      <c r="GI519" s="199"/>
      <c r="GJ519" s="199"/>
      <c r="GK519" s="199"/>
      <c r="GO519" s="322"/>
      <c r="GP519" s="1190"/>
      <c r="GQ519" s="1190"/>
      <c r="GS519" s="2879"/>
      <c r="GT519" s="2880"/>
      <c r="GU519" s="2881"/>
    </row>
    <row r="520" spans="1:203" ht="12" customHeight="1">
      <c r="A520" s="1252"/>
      <c r="B520" s="200"/>
      <c r="C520" s="486"/>
      <c r="T520" s="1186"/>
      <c r="U520" s="233"/>
      <c r="W520" s="218"/>
      <c r="X520" s="218"/>
      <c r="Y520" s="216"/>
      <c r="Z520" s="216"/>
      <c r="AA520" s="215"/>
      <c r="AB520" s="216"/>
      <c r="AC520" s="216"/>
      <c r="AD520" s="239"/>
      <c r="AE520" s="216"/>
      <c r="AF520" s="216"/>
      <c r="AG520" s="216"/>
      <c r="AH520" s="216"/>
      <c r="AI520" s="216"/>
      <c r="AJ520" s="216"/>
      <c r="AK520" s="239"/>
      <c r="AL520" s="216"/>
      <c r="AM520" s="216"/>
      <c r="AN520" s="216"/>
      <c r="AO520" s="216"/>
      <c r="AP520" s="216"/>
      <c r="AQ520" s="216"/>
      <c r="AR520" s="216"/>
      <c r="AS520" s="216"/>
      <c r="AT520" s="216"/>
      <c r="AU520" s="216"/>
      <c r="AV520" s="217"/>
      <c r="AW520" s="355"/>
      <c r="AX520" s="217"/>
      <c r="AY520" s="305"/>
      <c r="AZ520" s="249"/>
      <c r="BA520" s="221"/>
      <c r="BB520" s="300"/>
      <c r="BC520" s="217"/>
      <c r="BD520" s="392"/>
      <c r="BE520" s="1244"/>
      <c r="BF520" s="249"/>
      <c r="BG520" s="252"/>
      <c r="BH520" s="1469"/>
      <c r="BI520" s="216"/>
      <c r="BJ520" s="1469"/>
      <c r="BK520" s="1459"/>
      <c r="BL520" s="260"/>
      <c r="BM520" s="214"/>
      <c r="BN520" s="293"/>
      <c r="BO520" s="217"/>
      <c r="BP520" s="355"/>
      <c r="BQ520" s="217"/>
      <c r="BR520" s="1193"/>
      <c r="BS520" s="249"/>
      <c r="BT520" s="216"/>
      <c r="BU520" s="1195"/>
      <c r="BV520" s="249"/>
      <c r="BW520" s="216"/>
      <c r="BX520" s="1195"/>
      <c r="BY520" s="249"/>
      <c r="BZ520" s="216"/>
      <c r="CA520" s="1195"/>
      <c r="CB520" s="249"/>
      <c r="CC520" s="216"/>
      <c r="CD520" s="1195"/>
      <c r="CE520" s="249"/>
      <c r="CF520" s="216"/>
      <c r="CG520" s="1195"/>
      <c r="CH520" s="249"/>
      <c r="CI520" s="216"/>
      <c r="CJ520" s="1195"/>
      <c r="CK520" s="249"/>
      <c r="CL520" s="216"/>
      <c r="CM520" s="1194"/>
      <c r="CN520" s="1524"/>
      <c r="CO520" s="217"/>
      <c r="CP520" s="1193"/>
      <c r="CQ520" s="293"/>
      <c r="CR520" s="217"/>
      <c r="CS520" s="305"/>
      <c r="CT520" s="249"/>
      <c r="CU520" s="216"/>
      <c r="CV520" s="1193"/>
      <c r="CW520" s="249"/>
      <c r="CX520" s="216"/>
      <c r="CY520" s="305"/>
      <c r="CZ520" s="249"/>
      <c r="DA520" s="216"/>
      <c r="DB520" s="307"/>
      <c r="DC520" s="328"/>
      <c r="DD520" s="322"/>
      <c r="DE520" s="305"/>
      <c r="DF520" s="249"/>
      <c r="DG520" s="216"/>
      <c r="DH520" s="305"/>
      <c r="DI520" s="249"/>
      <c r="DJ520" s="216"/>
      <c r="DK520" s="309"/>
      <c r="DL520" s="293"/>
      <c r="DM520" s="326"/>
      <c r="DN520" s="1256"/>
      <c r="DO520" s="214"/>
      <c r="DP520" s="1257"/>
      <c r="DQ520" s="1258"/>
      <c r="DR520" s="305"/>
      <c r="DS520" s="249"/>
      <c r="DT520" s="216"/>
      <c r="DU520" s="305"/>
      <c r="DV520" s="2520"/>
      <c r="DW520" s="2521"/>
      <c r="DX520" s="305"/>
      <c r="DY520" s="249"/>
      <c r="DZ520" s="221"/>
      <c r="EA520" s="388"/>
      <c r="EB520" s="249"/>
      <c r="EC520" s="216"/>
      <c r="ED520" s="1461"/>
      <c r="EE520" s="249"/>
      <c r="EF520" s="216"/>
      <c r="EG520" s="355"/>
      <c r="EH520" s="1425"/>
      <c r="EI520" s="1470"/>
      <c r="EJ520" s="249"/>
      <c r="EK520" s="221"/>
      <c r="EL520" s="313"/>
      <c r="EM520" s="249"/>
      <c r="EN520" s="221"/>
      <c r="EO520" s="313"/>
      <c r="EP520" s="249"/>
      <c r="EQ520" s="216"/>
      <c r="ER520" s="313"/>
      <c r="ES520" s="249"/>
      <c r="ET520" s="216"/>
      <c r="EU520" s="313"/>
      <c r="EV520" s="249"/>
      <c r="EW520" s="216"/>
      <c r="EX520" s="2505"/>
      <c r="EY520" s="249"/>
      <c r="EZ520" s="221"/>
      <c r="FA520" s="313"/>
      <c r="FB520" s="249"/>
      <c r="FC520" s="221"/>
      <c r="FD520" s="313"/>
      <c r="FE520" s="249"/>
      <c r="FF520" s="221"/>
      <c r="FG520" s="313"/>
      <c r="FH520" s="249"/>
      <c r="FI520" s="216"/>
      <c r="FJ520" s="1435"/>
      <c r="FK520" s="216"/>
      <c r="FL520" s="1268"/>
      <c r="FM520" s="1655"/>
      <c r="FN520" s="1268"/>
      <c r="FO520" s="1655"/>
      <c r="FP520" s="1268"/>
      <c r="FQ520" s="1656"/>
      <c r="FR520" s="249"/>
      <c r="FS520" s="216"/>
      <c r="FT520" s="1657"/>
      <c r="FU520" s="1658"/>
      <c r="FV520" s="242"/>
      <c r="FW520" s="343"/>
      <c r="FX520" s="222"/>
      <c r="FY520" s="336"/>
      <c r="FZ520" s="223"/>
      <c r="GA520" s="338"/>
      <c r="GB520" s="204"/>
      <c r="GC520" s="339"/>
      <c r="GD520" s="342"/>
      <c r="GE520" s="199"/>
      <c r="GF520" s="199"/>
      <c r="GG520" s="199"/>
      <c r="GH520" s="199"/>
      <c r="GI520" s="199"/>
      <c r="GJ520" s="199"/>
      <c r="GK520" s="199"/>
      <c r="GO520" s="322"/>
      <c r="GP520" s="1190"/>
      <c r="GQ520" s="1190"/>
      <c r="GS520" s="2879"/>
      <c r="GT520" s="2880"/>
      <c r="GU520" s="2881"/>
    </row>
    <row r="521" spans="1:203" ht="12" customHeight="1">
      <c r="A521" s="1252"/>
      <c r="B521" s="200"/>
      <c r="C521" s="486"/>
      <c r="T521" s="1186"/>
      <c r="U521" s="233"/>
      <c r="W521" s="218"/>
      <c r="X521" s="218"/>
      <c r="Y521" s="216"/>
      <c r="Z521" s="216"/>
      <c r="AA521" s="215"/>
      <c r="AB521" s="216"/>
      <c r="AC521" s="216"/>
      <c r="AD521" s="239"/>
      <c r="AE521" s="216"/>
      <c r="AF521" s="216"/>
      <c r="AG521" s="216"/>
      <c r="AH521" s="216"/>
      <c r="AI521" s="216"/>
      <c r="AJ521" s="216"/>
      <c r="AK521" s="239"/>
      <c r="AL521" s="216"/>
      <c r="AM521" s="216"/>
      <c r="AN521" s="216"/>
      <c r="AO521" s="216"/>
      <c r="AP521" s="216"/>
      <c r="AQ521" s="216"/>
      <c r="AR521" s="216"/>
      <c r="AS521" s="216"/>
      <c r="AT521" s="216"/>
      <c r="AU521" s="216"/>
      <c r="AV521" s="217"/>
      <c r="AW521" s="355"/>
      <c r="AX521" s="217"/>
      <c r="AY521" s="305"/>
      <c r="AZ521" s="249"/>
      <c r="BA521" s="221"/>
      <c r="BB521" s="300"/>
      <c r="BC521" s="217"/>
      <c r="BD521" s="392"/>
      <c r="BE521" s="1244"/>
      <c r="BF521" s="249"/>
      <c r="BG521" s="252"/>
      <c r="BH521" s="1469"/>
      <c r="BI521" s="216"/>
      <c r="BJ521" s="1469"/>
      <c r="BK521" s="1459"/>
      <c r="BL521" s="260"/>
      <c r="BM521" s="214"/>
      <c r="BN521" s="293"/>
      <c r="BO521" s="217"/>
      <c r="BP521" s="355"/>
      <c r="BQ521" s="217"/>
      <c r="BR521" s="1193"/>
      <c r="BS521" s="249"/>
      <c r="BT521" s="216"/>
      <c r="BU521" s="1195"/>
      <c r="BV521" s="249"/>
      <c r="BW521" s="216"/>
      <c r="BX521" s="1195"/>
      <c r="BY521" s="249"/>
      <c r="BZ521" s="216"/>
      <c r="CA521" s="1195"/>
      <c r="CB521" s="249"/>
      <c r="CC521" s="216"/>
      <c r="CD521" s="1195"/>
      <c r="CE521" s="249"/>
      <c r="CF521" s="216"/>
      <c r="CG521" s="1195"/>
      <c r="CH521" s="249"/>
      <c r="CI521" s="216"/>
      <c r="CJ521" s="1195"/>
      <c r="CK521" s="249"/>
      <c r="CL521" s="216"/>
      <c r="CM521" s="1194"/>
      <c r="CN521" s="1524"/>
      <c r="CO521" s="217"/>
      <c r="CP521" s="1193"/>
      <c r="CQ521" s="293"/>
      <c r="CR521" s="217"/>
      <c r="CS521" s="305"/>
      <c r="CT521" s="249"/>
      <c r="CU521" s="216"/>
      <c r="CV521" s="1193"/>
      <c r="CW521" s="249"/>
      <c r="CX521" s="216"/>
      <c r="CY521" s="305"/>
      <c r="CZ521" s="249"/>
      <c r="DA521" s="216"/>
      <c r="DB521" s="307"/>
      <c r="DC521" s="328"/>
      <c r="DD521" s="322"/>
      <c r="DE521" s="305"/>
      <c r="DF521" s="249"/>
      <c r="DG521" s="216"/>
      <c r="DH521" s="305"/>
      <c r="DI521" s="249"/>
      <c r="DJ521" s="216"/>
      <c r="DK521" s="309"/>
      <c r="DL521" s="293"/>
      <c r="DM521" s="326"/>
      <c r="DN521" s="1256"/>
      <c r="DO521" s="214"/>
      <c r="DP521" s="1257"/>
      <c r="DQ521" s="1258"/>
      <c r="DR521" s="305"/>
      <c r="DS521" s="249"/>
      <c r="DT521" s="216"/>
      <c r="DU521" s="305"/>
      <c r="DV521" s="2520"/>
      <c r="DW521" s="2521"/>
      <c r="DX521" s="305"/>
      <c r="DY521" s="249"/>
      <c r="DZ521" s="221"/>
      <c r="EA521" s="388"/>
      <c r="EB521" s="249"/>
      <c r="EC521" s="216"/>
      <c r="ED521" s="1461"/>
      <c r="EE521" s="249"/>
      <c r="EF521" s="216"/>
      <c r="EG521" s="355"/>
      <c r="EH521" s="1425"/>
      <c r="EI521" s="1470"/>
      <c r="EJ521" s="249"/>
      <c r="EK521" s="221"/>
      <c r="EL521" s="313"/>
      <c r="EM521" s="249"/>
      <c r="EN521" s="221"/>
      <c r="EO521" s="313"/>
      <c r="EP521" s="249"/>
      <c r="EQ521" s="216"/>
      <c r="ER521" s="313"/>
      <c r="ES521" s="249"/>
      <c r="ET521" s="216"/>
      <c r="EU521" s="313"/>
      <c r="EV521" s="249"/>
      <c r="EW521" s="216"/>
      <c r="EX521" s="2505"/>
      <c r="EY521" s="249"/>
      <c r="EZ521" s="221"/>
      <c r="FA521" s="313"/>
      <c r="FB521" s="249"/>
      <c r="FC521" s="221"/>
      <c r="FD521" s="313"/>
      <c r="FE521" s="249"/>
      <c r="FF521" s="221"/>
      <c r="FG521" s="313"/>
      <c r="FH521" s="249"/>
      <c r="FI521" s="216"/>
      <c r="FJ521" s="1435"/>
      <c r="FK521" s="216"/>
      <c r="FL521" s="1268"/>
      <c r="FM521" s="1655"/>
      <c r="FN521" s="1268"/>
      <c r="FO521" s="1655"/>
      <c r="FP521" s="1268"/>
      <c r="FQ521" s="1656"/>
      <c r="FR521" s="249"/>
      <c r="FS521" s="216"/>
      <c r="FT521" s="1657"/>
      <c r="FU521" s="1658"/>
      <c r="FV521" s="242"/>
      <c r="FW521" s="343"/>
      <c r="FX521" s="222"/>
      <c r="FY521" s="336"/>
      <c r="FZ521" s="223"/>
      <c r="GA521" s="338"/>
      <c r="GB521" s="204"/>
      <c r="GC521" s="339"/>
      <c r="GD521" s="342"/>
      <c r="GE521" s="199"/>
      <c r="GF521" s="199"/>
      <c r="GG521" s="199"/>
      <c r="GH521" s="199"/>
      <c r="GI521" s="199"/>
      <c r="GJ521" s="199"/>
      <c r="GK521" s="199"/>
      <c r="GO521" s="322"/>
      <c r="GP521" s="1190"/>
      <c r="GQ521" s="1190"/>
      <c r="GS521" s="2879"/>
      <c r="GT521" s="2880"/>
      <c r="GU521" s="2881"/>
    </row>
    <row r="522" spans="1:203" ht="12" customHeight="1">
      <c r="A522" s="1252"/>
      <c r="B522" s="200"/>
      <c r="C522" s="486"/>
      <c r="T522" s="1186"/>
      <c r="U522" s="233"/>
      <c r="W522" s="218"/>
      <c r="X522" s="218"/>
      <c r="Y522" s="216"/>
      <c r="Z522" s="216"/>
      <c r="AA522" s="215"/>
      <c r="AB522" s="216"/>
      <c r="AC522" s="216"/>
      <c r="AD522" s="239"/>
      <c r="AE522" s="216"/>
      <c r="AF522" s="216"/>
      <c r="AG522" s="216"/>
      <c r="AH522" s="216"/>
      <c r="AI522" s="216"/>
      <c r="AJ522" s="216"/>
      <c r="AK522" s="239"/>
      <c r="AL522" s="216"/>
      <c r="AM522" s="216"/>
      <c r="AN522" s="216"/>
      <c r="AO522" s="216"/>
      <c r="AP522" s="216"/>
      <c r="AQ522" s="216"/>
      <c r="AR522" s="216"/>
      <c r="AS522" s="216"/>
      <c r="AT522" s="216"/>
      <c r="AU522" s="216"/>
      <c r="AV522" s="217"/>
      <c r="AW522" s="355"/>
      <c r="AX522" s="217"/>
      <c r="AY522" s="305"/>
      <c r="AZ522" s="249"/>
      <c r="BA522" s="221"/>
      <c r="BB522" s="300"/>
      <c r="BC522" s="217"/>
      <c r="BD522" s="392"/>
      <c r="BE522" s="1244"/>
      <c r="BF522" s="249"/>
      <c r="BG522" s="252"/>
      <c r="BH522" s="1469"/>
      <c r="BI522" s="216"/>
      <c r="BJ522" s="1469"/>
      <c r="BK522" s="1459"/>
      <c r="BL522" s="260"/>
      <c r="BM522" s="214"/>
      <c r="BN522" s="293"/>
      <c r="BO522" s="217"/>
      <c r="BP522" s="355"/>
      <c r="BQ522" s="217"/>
      <c r="BR522" s="1193"/>
      <c r="BS522" s="249"/>
      <c r="BT522" s="216"/>
      <c r="BU522" s="1195"/>
      <c r="BV522" s="249"/>
      <c r="BW522" s="216"/>
      <c r="BX522" s="1195"/>
      <c r="BY522" s="249"/>
      <c r="BZ522" s="216"/>
      <c r="CA522" s="1195"/>
      <c r="CB522" s="249"/>
      <c r="CC522" s="216"/>
      <c r="CD522" s="1195"/>
      <c r="CE522" s="249"/>
      <c r="CF522" s="216"/>
      <c r="CG522" s="1195"/>
      <c r="CH522" s="249"/>
      <c r="CI522" s="216"/>
      <c r="CJ522" s="1195"/>
      <c r="CK522" s="249"/>
      <c r="CL522" s="216"/>
      <c r="CM522" s="1194"/>
      <c r="CN522" s="1524"/>
      <c r="CO522" s="217"/>
      <c r="CP522" s="1193"/>
      <c r="CQ522" s="293"/>
      <c r="CR522" s="217"/>
      <c r="CS522" s="305"/>
      <c r="CT522" s="249"/>
      <c r="CU522" s="216"/>
      <c r="CV522" s="1193"/>
      <c r="CW522" s="249"/>
      <c r="CX522" s="216"/>
      <c r="CY522" s="305"/>
      <c r="CZ522" s="249"/>
      <c r="DA522" s="216"/>
      <c r="DB522" s="307"/>
      <c r="DC522" s="328"/>
      <c r="DD522" s="322"/>
      <c r="DE522" s="305"/>
      <c r="DF522" s="249"/>
      <c r="DG522" s="216"/>
      <c r="DH522" s="305"/>
      <c r="DI522" s="249"/>
      <c r="DJ522" s="216"/>
      <c r="DK522" s="309"/>
      <c r="DL522" s="293"/>
      <c r="DM522" s="326"/>
      <c r="DN522" s="1256"/>
      <c r="DO522" s="214"/>
      <c r="DP522" s="1257"/>
      <c r="DQ522" s="1258"/>
      <c r="DR522" s="305"/>
      <c r="DS522" s="249"/>
      <c r="DT522" s="216"/>
      <c r="DU522" s="305"/>
      <c r="DV522" s="2520"/>
      <c r="DW522" s="2521"/>
      <c r="DX522" s="305"/>
      <c r="DY522" s="249"/>
      <c r="DZ522" s="221"/>
      <c r="EA522" s="388"/>
      <c r="EB522" s="249"/>
      <c r="EC522" s="216"/>
      <c r="ED522" s="1461"/>
      <c r="EE522" s="249"/>
      <c r="EF522" s="216"/>
      <c r="EG522" s="355"/>
      <c r="EH522" s="1425"/>
      <c r="EI522" s="1470"/>
      <c r="EJ522" s="249"/>
      <c r="EK522" s="221"/>
      <c r="EL522" s="313"/>
      <c r="EM522" s="249"/>
      <c r="EN522" s="221"/>
      <c r="EO522" s="313"/>
      <c r="EP522" s="249"/>
      <c r="EQ522" s="216"/>
      <c r="ER522" s="313"/>
      <c r="ES522" s="249"/>
      <c r="ET522" s="216"/>
      <c r="EU522" s="313"/>
      <c r="EV522" s="249"/>
      <c r="EW522" s="216"/>
      <c r="EX522" s="2505"/>
      <c r="EY522" s="249"/>
      <c r="EZ522" s="221"/>
      <c r="FA522" s="313"/>
      <c r="FB522" s="249"/>
      <c r="FC522" s="221"/>
      <c r="FD522" s="313"/>
      <c r="FE522" s="249"/>
      <c r="FF522" s="221"/>
      <c r="FG522" s="313"/>
      <c r="FH522" s="249"/>
      <c r="FI522" s="216"/>
      <c r="FJ522" s="1435"/>
      <c r="FK522" s="216"/>
      <c r="FL522" s="1268"/>
      <c r="FM522" s="1655"/>
      <c r="FN522" s="1268"/>
      <c r="FO522" s="1655"/>
      <c r="FP522" s="1268"/>
      <c r="FQ522" s="1656"/>
      <c r="FR522" s="249"/>
      <c r="FS522" s="216"/>
      <c r="FT522" s="1657"/>
      <c r="FU522" s="1658"/>
      <c r="FV522" s="242"/>
      <c r="FW522" s="343"/>
      <c r="FX522" s="222"/>
      <c r="FY522" s="336"/>
      <c r="FZ522" s="223"/>
      <c r="GA522" s="338"/>
      <c r="GB522" s="204"/>
      <c r="GC522" s="339"/>
      <c r="GD522" s="342"/>
      <c r="GE522" s="199"/>
      <c r="GF522" s="199"/>
      <c r="GG522" s="199"/>
      <c r="GH522" s="199"/>
      <c r="GI522" s="199"/>
      <c r="GJ522" s="199"/>
      <c r="GK522" s="199"/>
      <c r="GO522" s="322"/>
      <c r="GP522" s="1190"/>
      <c r="GQ522" s="1190"/>
      <c r="GS522" s="2879"/>
      <c r="GT522" s="2880"/>
      <c r="GU522" s="2881"/>
    </row>
    <row r="523" spans="1:203" ht="12" customHeight="1">
      <c r="A523" s="1252"/>
      <c r="B523" s="200"/>
      <c r="C523" s="486"/>
      <c r="T523" s="1186"/>
      <c r="U523" s="233"/>
      <c r="W523" s="218"/>
      <c r="X523" s="218"/>
      <c r="Y523" s="216"/>
      <c r="Z523" s="216"/>
      <c r="AA523" s="215"/>
      <c r="AB523" s="216"/>
      <c r="AC523" s="216"/>
      <c r="AD523" s="239"/>
      <c r="AE523" s="216"/>
      <c r="AF523" s="216"/>
      <c r="AG523" s="216"/>
      <c r="AH523" s="216"/>
      <c r="AI523" s="216"/>
      <c r="AJ523" s="216"/>
      <c r="AK523" s="239"/>
      <c r="AL523" s="216"/>
      <c r="AM523" s="216"/>
      <c r="AN523" s="216"/>
      <c r="AO523" s="216"/>
      <c r="AP523" s="216"/>
      <c r="AQ523" s="216"/>
      <c r="AR523" s="216"/>
      <c r="AS523" s="216"/>
      <c r="AT523" s="216"/>
      <c r="AU523" s="216"/>
      <c r="AV523" s="217"/>
      <c r="AW523" s="355"/>
      <c r="AX523" s="217"/>
      <c r="AY523" s="305"/>
      <c r="AZ523" s="249"/>
      <c r="BA523" s="221"/>
      <c r="BB523" s="300"/>
      <c r="BC523" s="217"/>
      <c r="BD523" s="392"/>
      <c r="BE523" s="1244"/>
      <c r="BF523" s="249"/>
      <c r="BG523" s="252"/>
      <c r="BH523" s="1469"/>
      <c r="BI523" s="216"/>
      <c r="BJ523" s="1469"/>
      <c r="BK523" s="1459"/>
      <c r="BL523" s="260"/>
      <c r="BM523" s="214"/>
      <c r="BN523" s="293"/>
      <c r="BO523" s="217"/>
      <c r="BP523" s="355"/>
      <c r="BQ523" s="217"/>
      <c r="BR523" s="1193"/>
      <c r="BS523" s="249"/>
      <c r="BT523" s="216"/>
      <c r="BU523" s="1195"/>
      <c r="BV523" s="249"/>
      <c r="BW523" s="216"/>
      <c r="BX523" s="1195"/>
      <c r="BY523" s="249"/>
      <c r="BZ523" s="216"/>
      <c r="CA523" s="1195"/>
      <c r="CB523" s="249"/>
      <c r="CC523" s="216"/>
      <c r="CD523" s="1195"/>
      <c r="CE523" s="249"/>
      <c r="CF523" s="216"/>
      <c r="CG523" s="1195"/>
      <c r="CH523" s="249"/>
      <c r="CI523" s="216"/>
      <c r="CJ523" s="1195"/>
      <c r="CK523" s="249"/>
      <c r="CL523" s="216"/>
      <c r="CM523" s="1194"/>
      <c r="CN523" s="1524"/>
      <c r="CO523" s="217"/>
      <c r="CP523" s="1193"/>
      <c r="CQ523" s="293"/>
      <c r="CR523" s="217"/>
      <c r="CS523" s="305"/>
      <c r="CT523" s="249"/>
      <c r="CU523" s="216"/>
      <c r="CV523" s="1193"/>
      <c r="CW523" s="249"/>
      <c r="CX523" s="216"/>
      <c r="CY523" s="305"/>
      <c r="CZ523" s="249"/>
      <c r="DA523" s="216"/>
      <c r="DB523" s="307"/>
      <c r="DC523" s="328"/>
      <c r="DD523" s="322"/>
      <c r="DE523" s="305"/>
      <c r="DF523" s="249"/>
      <c r="DG523" s="216"/>
      <c r="DH523" s="305"/>
      <c r="DI523" s="249"/>
      <c r="DJ523" s="216"/>
      <c r="DK523" s="309"/>
      <c r="DL523" s="293"/>
      <c r="DM523" s="326"/>
      <c r="DN523" s="1256"/>
      <c r="DO523" s="214"/>
      <c r="DP523" s="1257"/>
      <c r="DQ523" s="1258"/>
      <c r="DR523" s="305"/>
      <c r="DS523" s="249"/>
      <c r="DT523" s="216"/>
      <c r="DU523" s="305"/>
      <c r="DV523" s="2520"/>
      <c r="DW523" s="2521"/>
      <c r="DX523" s="305"/>
      <c r="DY523" s="249"/>
      <c r="DZ523" s="221"/>
      <c r="EA523" s="388"/>
      <c r="EB523" s="249"/>
      <c r="EC523" s="216"/>
      <c r="ED523" s="1461"/>
      <c r="EE523" s="249"/>
      <c r="EF523" s="216"/>
      <c r="EG523" s="355"/>
      <c r="EH523" s="1425"/>
      <c r="EI523" s="1470"/>
      <c r="EJ523" s="249"/>
      <c r="EK523" s="221"/>
      <c r="EL523" s="313"/>
      <c r="EM523" s="249"/>
      <c r="EN523" s="221"/>
      <c r="EO523" s="313"/>
      <c r="EP523" s="249"/>
      <c r="EQ523" s="216"/>
      <c r="ER523" s="313"/>
      <c r="ES523" s="249"/>
      <c r="ET523" s="216"/>
      <c r="EU523" s="313"/>
      <c r="EV523" s="249"/>
      <c r="EW523" s="216"/>
      <c r="EX523" s="2505"/>
      <c r="EY523" s="249"/>
      <c r="EZ523" s="221"/>
      <c r="FA523" s="313"/>
      <c r="FB523" s="249"/>
      <c r="FC523" s="221"/>
      <c r="FD523" s="313"/>
      <c r="FE523" s="249"/>
      <c r="FF523" s="221"/>
      <c r="FG523" s="313"/>
      <c r="FH523" s="249"/>
      <c r="FI523" s="216"/>
      <c r="FJ523" s="1435"/>
      <c r="FK523" s="216"/>
      <c r="FL523" s="1268"/>
      <c r="FM523" s="1655"/>
      <c r="FN523" s="1268"/>
      <c r="FO523" s="1655"/>
      <c r="FP523" s="1268"/>
      <c r="FQ523" s="1656"/>
      <c r="FR523" s="249"/>
      <c r="FS523" s="216"/>
      <c r="FT523" s="1657"/>
      <c r="FU523" s="1658"/>
      <c r="FV523" s="242"/>
      <c r="FW523" s="343"/>
      <c r="FX523" s="222"/>
      <c r="FY523" s="336"/>
      <c r="FZ523" s="223"/>
      <c r="GA523" s="338"/>
      <c r="GB523" s="204"/>
      <c r="GC523" s="339"/>
      <c r="GD523" s="342"/>
      <c r="GE523" s="199"/>
      <c r="GF523" s="199"/>
      <c r="GG523" s="199"/>
      <c r="GH523" s="199"/>
      <c r="GI523" s="199"/>
      <c r="GJ523" s="199"/>
      <c r="GK523" s="199"/>
      <c r="GO523" s="322"/>
      <c r="GP523" s="1190"/>
      <c r="GQ523" s="1190"/>
      <c r="GS523" s="2879"/>
      <c r="GT523" s="2880"/>
      <c r="GU523" s="2881"/>
    </row>
    <row r="524" spans="1:203" ht="12" customHeight="1">
      <c r="A524" s="1252"/>
      <c r="B524" s="200"/>
      <c r="C524" s="486"/>
      <c r="T524" s="1186"/>
      <c r="U524" s="233"/>
      <c r="W524" s="218"/>
      <c r="X524" s="218"/>
      <c r="Y524" s="216"/>
      <c r="Z524" s="216"/>
      <c r="AA524" s="215"/>
      <c r="AB524" s="216"/>
      <c r="AC524" s="216"/>
      <c r="AD524" s="239"/>
      <c r="AE524" s="216"/>
      <c r="AF524" s="216"/>
      <c r="AG524" s="216"/>
      <c r="AH524" s="216"/>
      <c r="AI524" s="216"/>
      <c r="AJ524" s="216"/>
      <c r="AK524" s="239"/>
      <c r="AL524" s="216"/>
      <c r="AM524" s="216"/>
      <c r="AN524" s="216"/>
      <c r="AO524" s="216"/>
      <c r="AP524" s="216"/>
      <c r="AQ524" s="216"/>
      <c r="AR524" s="216"/>
      <c r="AS524" s="216"/>
      <c r="AT524" s="216"/>
      <c r="AU524" s="216"/>
      <c r="AV524" s="217"/>
      <c r="AW524" s="355"/>
      <c r="AX524" s="217"/>
      <c r="AY524" s="305"/>
      <c r="AZ524" s="249"/>
      <c r="BA524" s="221"/>
      <c r="BB524" s="300"/>
      <c r="BC524" s="217"/>
      <c r="BD524" s="392"/>
      <c r="BE524" s="1244"/>
      <c r="BF524" s="249"/>
      <c r="BG524" s="252"/>
      <c r="BH524" s="1469"/>
      <c r="BI524" s="216"/>
      <c r="BJ524" s="1469"/>
      <c r="BK524" s="1459"/>
      <c r="BL524" s="260"/>
      <c r="BM524" s="214"/>
      <c r="BN524" s="293"/>
      <c r="BO524" s="217"/>
      <c r="BP524" s="355"/>
      <c r="BQ524" s="217"/>
      <c r="BR524" s="1193"/>
      <c r="BS524" s="249"/>
      <c r="BT524" s="216"/>
      <c r="BU524" s="1195"/>
      <c r="BV524" s="249"/>
      <c r="BW524" s="216"/>
      <c r="BX524" s="1195"/>
      <c r="BY524" s="249"/>
      <c r="BZ524" s="216"/>
      <c r="CA524" s="1195"/>
      <c r="CB524" s="249"/>
      <c r="CC524" s="216"/>
      <c r="CD524" s="1195"/>
      <c r="CE524" s="249"/>
      <c r="CF524" s="216"/>
      <c r="CG524" s="1195"/>
      <c r="CH524" s="249"/>
      <c r="CI524" s="216"/>
      <c r="CJ524" s="1195"/>
      <c r="CK524" s="249"/>
      <c r="CL524" s="216"/>
      <c r="CM524" s="1194"/>
      <c r="CN524" s="1524"/>
      <c r="CO524" s="217"/>
      <c r="CP524" s="1193"/>
      <c r="CQ524" s="293"/>
      <c r="CR524" s="217"/>
      <c r="CS524" s="305"/>
      <c r="CT524" s="249"/>
      <c r="CU524" s="216"/>
      <c r="CV524" s="1193"/>
      <c r="CW524" s="249"/>
      <c r="CX524" s="216"/>
      <c r="CY524" s="305"/>
      <c r="CZ524" s="249"/>
      <c r="DA524" s="216"/>
      <c r="DB524" s="307"/>
      <c r="DC524" s="328"/>
      <c r="DD524" s="322"/>
      <c r="DE524" s="305"/>
      <c r="DF524" s="249"/>
      <c r="DG524" s="216"/>
      <c r="DH524" s="305"/>
      <c r="DI524" s="249"/>
      <c r="DJ524" s="216"/>
      <c r="DK524" s="309"/>
      <c r="DL524" s="293"/>
      <c r="DM524" s="326"/>
      <c r="DN524" s="1256"/>
      <c r="DO524" s="214"/>
      <c r="DP524" s="1257"/>
      <c r="DQ524" s="1258"/>
      <c r="DR524" s="305"/>
      <c r="DS524" s="249"/>
      <c r="DT524" s="216"/>
      <c r="DU524" s="305"/>
      <c r="DV524" s="2520"/>
      <c r="DW524" s="2521"/>
      <c r="DX524" s="305"/>
      <c r="DY524" s="249"/>
      <c r="DZ524" s="221"/>
      <c r="EA524" s="388"/>
      <c r="EB524" s="249"/>
      <c r="EC524" s="216"/>
      <c r="ED524" s="1461"/>
      <c r="EE524" s="249"/>
      <c r="EF524" s="216"/>
      <c r="EG524" s="355"/>
      <c r="EH524" s="1425"/>
      <c r="EI524" s="1470"/>
      <c r="EJ524" s="249"/>
      <c r="EK524" s="221"/>
      <c r="EL524" s="313"/>
      <c r="EM524" s="249"/>
      <c r="EN524" s="221"/>
      <c r="EO524" s="313"/>
      <c r="EP524" s="249"/>
      <c r="EQ524" s="216"/>
      <c r="ER524" s="313"/>
      <c r="ES524" s="249"/>
      <c r="ET524" s="216"/>
      <c r="EU524" s="313"/>
      <c r="EV524" s="249"/>
      <c r="EW524" s="216"/>
      <c r="EX524" s="2505"/>
      <c r="EY524" s="249"/>
      <c r="EZ524" s="221"/>
      <c r="FA524" s="313"/>
      <c r="FB524" s="249"/>
      <c r="FC524" s="221"/>
      <c r="FD524" s="313"/>
      <c r="FE524" s="249"/>
      <c r="FF524" s="221"/>
      <c r="FG524" s="313"/>
      <c r="FH524" s="249"/>
      <c r="FI524" s="216"/>
      <c r="FJ524" s="1435"/>
      <c r="FK524" s="216"/>
      <c r="FL524" s="1268"/>
      <c r="FM524" s="1655"/>
      <c r="FN524" s="1268"/>
      <c r="FO524" s="1655"/>
      <c r="FP524" s="1268"/>
      <c r="FQ524" s="1656"/>
      <c r="FR524" s="249"/>
      <c r="FS524" s="216"/>
      <c r="FT524" s="1657"/>
      <c r="FU524" s="1658"/>
      <c r="FV524" s="242"/>
      <c r="FW524" s="343"/>
      <c r="FX524" s="222"/>
      <c r="FY524" s="336"/>
      <c r="FZ524" s="223"/>
      <c r="GA524" s="338"/>
      <c r="GB524" s="204"/>
      <c r="GC524" s="339"/>
      <c r="GD524" s="342"/>
      <c r="GE524" s="199"/>
      <c r="GF524" s="199"/>
      <c r="GG524" s="199"/>
      <c r="GH524" s="199"/>
      <c r="GI524" s="199"/>
      <c r="GJ524" s="199"/>
      <c r="GK524" s="199"/>
      <c r="GO524" s="322"/>
      <c r="GP524" s="1190"/>
      <c r="GQ524" s="1190"/>
      <c r="GS524" s="2879"/>
      <c r="GT524" s="2880"/>
      <c r="GU524" s="2881"/>
    </row>
    <row r="525" spans="1:203" ht="12" customHeight="1">
      <c r="A525" s="1252"/>
      <c r="B525" s="200"/>
      <c r="C525" s="486"/>
      <c r="T525" s="1186"/>
      <c r="U525" s="233"/>
      <c r="W525" s="218"/>
      <c r="X525" s="218"/>
      <c r="Y525" s="216"/>
      <c r="Z525" s="216"/>
      <c r="AA525" s="215"/>
      <c r="AB525" s="216"/>
      <c r="AC525" s="216"/>
      <c r="AD525" s="239"/>
      <c r="AE525" s="216"/>
      <c r="AF525" s="216"/>
      <c r="AG525" s="216"/>
      <c r="AH525" s="216"/>
      <c r="AI525" s="216"/>
      <c r="AJ525" s="216"/>
      <c r="AK525" s="239"/>
      <c r="AL525" s="216"/>
      <c r="AM525" s="216"/>
      <c r="AN525" s="216"/>
      <c r="AO525" s="216"/>
      <c r="AP525" s="216"/>
      <c r="AQ525" s="216"/>
      <c r="AR525" s="216"/>
      <c r="AS525" s="216"/>
      <c r="AT525" s="216"/>
      <c r="AU525" s="216"/>
      <c r="AV525" s="217"/>
      <c r="AW525" s="355"/>
      <c r="AX525" s="217"/>
      <c r="AY525" s="305"/>
      <c r="AZ525" s="249"/>
      <c r="BA525" s="221"/>
      <c r="BB525" s="300"/>
      <c r="BC525" s="217"/>
      <c r="BD525" s="392"/>
      <c r="BE525" s="1244"/>
      <c r="BF525" s="249"/>
      <c r="BG525" s="252"/>
      <c r="BH525" s="1469"/>
      <c r="BI525" s="216"/>
      <c r="BJ525" s="1469"/>
      <c r="BK525" s="1459"/>
      <c r="BL525" s="260"/>
      <c r="BM525" s="214"/>
      <c r="BN525" s="293"/>
      <c r="BO525" s="217"/>
      <c r="BP525" s="355"/>
      <c r="BQ525" s="217"/>
      <c r="BR525" s="1193"/>
      <c r="BS525" s="249"/>
      <c r="BT525" s="216"/>
      <c r="BU525" s="1195"/>
      <c r="BV525" s="249"/>
      <c r="BW525" s="216"/>
      <c r="BX525" s="1195"/>
      <c r="BY525" s="249"/>
      <c r="BZ525" s="216"/>
      <c r="CA525" s="1195"/>
      <c r="CB525" s="249"/>
      <c r="CC525" s="216"/>
      <c r="CD525" s="1195"/>
      <c r="CE525" s="249"/>
      <c r="CF525" s="216"/>
      <c r="CG525" s="1195"/>
      <c r="CH525" s="249"/>
      <c r="CI525" s="216"/>
      <c r="CJ525" s="1195"/>
      <c r="CK525" s="249"/>
      <c r="CL525" s="216"/>
      <c r="CM525" s="1194"/>
      <c r="CN525" s="1524"/>
      <c r="CO525" s="217"/>
      <c r="CP525" s="1193"/>
      <c r="CQ525" s="293"/>
      <c r="CR525" s="217"/>
      <c r="CS525" s="305"/>
      <c r="CT525" s="249"/>
      <c r="CU525" s="216"/>
      <c r="CV525" s="1193"/>
      <c r="CW525" s="249"/>
      <c r="CX525" s="216"/>
      <c r="CY525" s="305"/>
      <c r="CZ525" s="249"/>
      <c r="DA525" s="216"/>
      <c r="DB525" s="307"/>
      <c r="DC525" s="328"/>
      <c r="DD525" s="322"/>
      <c r="DE525" s="305"/>
      <c r="DF525" s="249"/>
      <c r="DG525" s="216"/>
      <c r="DH525" s="305"/>
      <c r="DI525" s="249"/>
      <c r="DJ525" s="216"/>
      <c r="DK525" s="309"/>
      <c r="DL525" s="293"/>
      <c r="DM525" s="326"/>
      <c r="DN525" s="1256"/>
      <c r="DO525" s="214"/>
      <c r="DP525" s="1257"/>
      <c r="DQ525" s="1258"/>
      <c r="DR525" s="305"/>
      <c r="DS525" s="249"/>
      <c r="DT525" s="216"/>
      <c r="DU525" s="305"/>
      <c r="DV525" s="2520"/>
      <c r="DW525" s="2521"/>
      <c r="DX525" s="305"/>
      <c r="DY525" s="249"/>
      <c r="DZ525" s="221"/>
      <c r="EA525" s="388"/>
      <c r="EB525" s="249"/>
      <c r="EC525" s="216"/>
      <c r="ED525" s="1461"/>
      <c r="EE525" s="249"/>
      <c r="EF525" s="216"/>
      <c r="EG525" s="355"/>
      <c r="EH525" s="1425"/>
      <c r="EI525" s="1470"/>
      <c r="EJ525" s="249"/>
      <c r="EK525" s="221"/>
      <c r="EL525" s="313"/>
      <c r="EM525" s="249"/>
      <c r="EN525" s="221"/>
      <c r="EO525" s="313"/>
      <c r="EP525" s="249"/>
      <c r="EQ525" s="216"/>
      <c r="ER525" s="313"/>
      <c r="ES525" s="249"/>
      <c r="ET525" s="216"/>
      <c r="EU525" s="313"/>
      <c r="EV525" s="249"/>
      <c r="EW525" s="216"/>
      <c r="EX525" s="2505"/>
      <c r="EY525" s="249"/>
      <c r="EZ525" s="221"/>
      <c r="FA525" s="313"/>
      <c r="FB525" s="249"/>
      <c r="FC525" s="221"/>
      <c r="FD525" s="313"/>
      <c r="FE525" s="249"/>
      <c r="FF525" s="221"/>
      <c r="FG525" s="313"/>
      <c r="FH525" s="249"/>
      <c r="FI525" s="216"/>
      <c r="FJ525" s="1435"/>
      <c r="FK525" s="216"/>
      <c r="FL525" s="1268"/>
      <c r="FM525" s="1655"/>
      <c r="FN525" s="1268"/>
      <c r="FO525" s="1655"/>
      <c r="FP525" s="1268"/>
      <c r="FQ525" s="1656"/>
      <c r="FR525" s="249"/>
      <c r="FS525" s="216"/>
      <c r="FT525" s="1657"/>
      <c r="FU525" s="1658"/>
      <c r="FV525" s="242"/>
      <c r="FW525" s="343"/>
      <c r="FX525" s="222"/>
      <c r="FY525" s="336"/>
      <c r="FZ525" s="223"/>
      <c r="GA525" s="338"/>
      <c r="GB525" s="204"/>
      <c r="GC525" s="339"/>
      <c r="GD525" s="342"/>
      <c r="GE525" s="199"/>
      <c r="GF525" s="199"/>
      <c r="GG525" s="199"/>
      <c r="GH525" s="199"/>
      <c r="GI525" s="199"/>
      <c r="GJ525" s="199"/>
      <c r="GK525" s="199"/>
      <c r="GO525" s="322"/>
      <c r="GP525" s="1190"/>
      <c r="GQ525" s="1190"/>
      <c r="GS525" s="2879"/>
      <c r="GT525" s="2880"/>
      <c r="GU525" s="2881"/>
    </row>
    <row r="526" spans="1:203" ht="12" customHeight="1">
      <c r="A526" s="1252"/>
      <c r="B526" s="200"/>
      <c r="C526" s="486"/>
      <c r="T526" s="1186"/>
      <c r="U526" s="233"/>
      <c r="W526" s="218"/>
      <c r="X526" s="218"/>
      <c r="Y526" s="216"/>
      <c r="Z526" s="216"/>
      <c r="AA526" s="215"/>
      <c r="AB526" s="216"/>
      <c r="AC526" s="216"/>
      <c r="AD526" s="239"/>
      <c r="AE526" s="216"/>
      <c r="AF526" s="216"/>
      <c r="AG526" s="216"/>
      <c r="AH526" s="216"/>
      <c r="AI526" s="216"/>
      <c r="AJ526" s="216"/>
      <c r="AK526" s="239"/>
      <c r="AL526" s="216"/>
      <c r="AM526" s="216"/>
      <c r="AN526" s="216"/>
      <c r="AO526" s="216"/>
      <c r="AP526" s="216"/>
      <c r="AQ526" s="216"/>
      <c r="AR526" s="216"/>
      <c r="AS526" s="216"/>
      <c r="AT526" s="216"/>
      <c r="AU526" s="216"/>
      <c r="AV526" s="217"/>
      <c r="AW526" s="355"/>
      <c r="AX526" s="217"/>
      <c r="AY526" s="305"/>
      <c r="AZ526" s="249"/>
      <c r="BA526" s="221"/>
      <c r="BB526" s="300"/>
      <c r="BC526" s="217"/>
      <c r="BD526" s="392"/>
      <c r="BE526" s="1244"/>
      <c r="BF526" s="249"/>
      <c r="BG526" s="252"/>
      <c r="BH526" s="1469"/>
      <c r="BI526" s="216"/>
      <c r="BJ526" s="1469"/>
      <c r="BK526" s="1459"/>
      <c r="BL526" s="260"/>
      <c r="BM526" s="214"/>
      <c r="BN526" s="293"/>
      <c r="BO526" s="217"/>
      <c r="BP526" s="355"/>
      <c r="BQ526" s="217"/>
      <c r="BR526" s="1193"/>
      <c r="BS526" s="249"/>
      <c r="BT526" s="216"/>
      <c r="BU526" s="1195"/>
      <c r="BV526" s="249"/>
      <c r="BW526" s="216"/>
      <c r="BX526" s="1195"/>
      <c r="BY526" s="249"/>
      <c r="BZ526" s="216"/>
      <c r="CA526" s="1195"/>
      <c r="CB526" s="249"/>
      <c r="CC526" s="216"/>
      <c r="CD526" s="1195"/>
      <c r="CE526" s="249"/>
      <c r="CF526" s="216"/>
      <c r="CG526" s="1195"/>
      <c r="CH526" s="249"/>
      <c r="CI526" s="216"/>
      <c r="CJ526" s="1195"/>
      <c r="CK526" s="249"/>
      <c r="CL526" s="216"/>
      <c r="CM526" s="1194"/>
      <c r="CN526" s="1524"/>
      <c r="CO526" s="217"/>
      <c r="CP526" s="1193"/>
      <c r="CQ526" s="293"/>
      <c r="CR526" s="217"/>
      <c r="CS526" s="305"/>
      <c r="CT526" s="249"/>
      <c r="CU526" s="216"/>
      <c r="CV526" s="1193"/>
      <c r="CW526" s="249"/>
      <c r="CX526" s="216"/>
      <c r="CY526" s="305"/>
      <c r="CZ526" s="249"/>
      <c r="DA526" s="216"/>
      <c r="DB526" s="307"/>
      <c r="DC526" s="328"/>
      <c r="DD526" s="322"/>
      <c r="DE526" s="305"/>
      <c r="DF526" s="249"/>
      <c r="DG526" s="216"/>
      <c r="DH526" s="305"/>
      <c r="DI526" s="249"/>
      <c r="DJ526" s="216"/>
      <c r="DK526" s="309"/>
      <c r="DL526" s="293"/>
      <c r="DM526" s="326"/>
      <c r="DN526" s="1256"/>
      <c r="DO526" s="214"/>
      <c r="DP526" s="1257"/>
      <c r="DQ526" s="1258"/>
      <c r="DR526" s="305"/>
      <c r="DS526" s="249"/>
      <c r="DT526" s="216"/>
      <c r="DU526" s="305"/>
      <c r="DV526" s="2520"/>
      <c r="DW526" s="2521"/>
      <c r="DX526" s="305"/>
      <c r="DY526" s="249"/>
      <c r="DZ526" s="221"/>
      <c r="EA526" s="388"/>
      <c r="EB526" s="249"/>
      <c r="EC526" s="216"/>
      <c r="ED526" s="1461"/>
      <c r="EE526" s="249"/>
      <c r="EF526" s="216"/>
      <c r="EG526" s="355"/>
      <c r="EH526" s="1425"/>
      <c r="EI526" s="1470"/>
      <c r="EJ526" s="249"/>
      <c r="EK526" s="221"/>
      <c r="EL526" s="313"/>
      <c r="EM526" s="249"/>
      <c r="EN526" s="221"/>
      <c r="EO526" s="313"/>
      <c r="EP526" s="249"/>
      <c r="EQ526" s="216"/>
      <c r="ER526" s="313"/>
      <c r="ES526" s="249"/>
      <c r="ET526" s="216"/>
      <c r="EU526" s="313"/>
      <c r="EV526" s="249"/>
      <c r="EW526" s="216"/>
      <c r="EX526" s="2505"/>
      <c r="EY526" s="249"/>
      <c r="EZ526" s="221"/>
      <c r="FA526" s="313"/>
      <c r="FB526" s="249"/>
      <c r="FC526" s="221"/>
      <c r="FD526" s="313"/>
      <c r="FE526" s="249"/>
      <c r="FF526" s="221"/>
      <c r="FG526" s="313"/>
      <c r="FH526" s="249"/>
      <c r="FI526" s="216"/>
      <c r="FJ526" s="1435"/>
      <c r="FK526" s="216"/>
      <c r="FL526" s="1268"/>
      <c r="FM526" s="1655"/>
      <c r="FN526" s="1268"/>
      <c r="FO526" s="1655"/>
      <c r="FP526" s="1268"/>
      <c r="FQ526" s="1656"/>
      <c r="FR526" s="249"/>
      <c r="FS526" s="216"/>
      <c r="FT526" s="1657"/>
      <c r="FU526" s="1658"/>
      <c r="FV526" s="242"/>
      <c r="FW526" s="343"/>
      <c r="FX526" s="222"/>
      <c r="FY526" s="336"/>
      <c r="FZ526" s="223"/>
      <c r="GA526" s="338"/>
      <c r="GB526" s="204"/>
      <c r="GC526" s="339"/>
      <c r="GD526" s="342"/>
      <c r="GE526" s="199"/>
      <c r="GF526" s="199"/>
      <c r="GG526" s="199"/>
      <c r="GH526" s="199"/>
      <c r="GI526" s="199"/>
      <c r="GJ526" s="199"/>
      <c r="GK526" s="199"/>
      <c r="GO526" s="322"/>
      <c r="GP526" s="1190"/>
      <c r="GQ526" s="1190"/>
      <c r="GS526" s="2879"/>
      <c r="GT526" s="2880"/>
      <c r="GU526" s="2881"/>
    </row>
    <row r="527" spans="1:203" ht="12" customHeight="1">
      <c r="A527" s="1252"/>
      <c r="B527" s="200"/>
      <c r="C527" s="486"/>
      <c r="T527" s="1186"/>
      <c r="U527" s="233"/>
      <c r="W527" s="218"/>
      <c r="X527" s="218"/>
      <c r="Y527" s="216"/>
      <c r="Z527" s="216"/>
      <c r="AA527" s="215"/>
      <c r="AB527" s="216"/>
      <c r="AC527" s="216"/>
      <c r="AD527" s="239"/>
      <c r="AE527" s="216"/>
      <c r="AF527" s="216"/>
      <c r="AG527" s="216"/>
      <c r="AH527" s="216"/>
      <c r="AI527" s="216"/>
      <c r="AJ527" s="216"/>
      <c r="AK527" s="239"/>
      <c r="AL527" s="216"/>
      <c r="AM527" s="216"/>
      <c r="AN527" s="216"/>
      <c r="AO527" s="216"/>
      <c r="AP527" s="216"/>
      <c r="AQ527" s="216"/>
      <c r="AR527" s="216"/>
      <c r="AS527" s="216"/>
      <c r="AT527" s="216"/>
      <c r="AU527" s="216"/>
      <c r="AV527" s="217"/>
      <c r="AW527" s="355"/>
      <c r="AX527" s="217"/>
      <c r="AY527" s="305"/>
      <c r="AZ527" s="249"/>
      <c r="BA527" s="221"/>
      <c r="BB527" s="300"/>
      <c r="BC527" s="217"/>
      <c r="BD527" s="392"/>
      <c r="BE527" s="1244"/>
      <c r="BF527" s="249"/>
      <c r="BG527" s="252"/>
      <c r="BH527" s="1469"/>
      <c r="BI527" s="216"/>
      <c r="BJ527" s="1469"/>
      <c r="BK527" s="1459"/>
      <c r="BL527" s="260"/>
      <c r="BM527" s="214"/>
      <c r="BN527" s="293"/>
      <c r="BO527" s="217"/>
      <c r="BP527" s="355"/>
      <c r="BQ527" s="217"/>
      <c r="BR527" s="1193"/>
      <c r="BS527" s="249"/>
      <c r="BT527" s="216"/>
      <c r="BU527" s="1195"/>
      <c r="BV527" s="249"/>
      <c r="BW527" s="216"/>
      <c r="BX527" s="1195"/>
      <c r="BY527" s="249"/>
      <c r="BZ527" s="216"/>
      <c r="CA527" s="1195"/>
      <c r="CB527" s="249"/>
      <c r="CC527" s="216"/>
      <c r="CD527" s="1195"/>
      <c r="CE527" s="249"/>
      <c r="CF527" s="216"/>
      <c r="CG527" s="1195"/>
      <c r="CH527" s="249"/>
      <c r="CI527" s="216"/>
      <c r="CJ527" s="1195"/>
      <c r="CK527" s="249"/>
      <c r="CL527" s="216"/>
      <c r="CM527" s="1194"/>
      <c r="CN527" s="1524"/>
      <c r="CO527" s="217"/>
      <c r="CP527" s="1193"/>
      <c r="CQ527" s="293"/>
      <c r="CR527" s="217"/>
      <c r="CS527" s="305"/>
      <c r="CT527" s="249"/>
      <c r="CU527" s="216"/>
      <c r="CV527" s="1193"/>
      <c r="CW527" s="249"/>
      <c r="CX527" s="216"/>
      <c r="CY527" s="305"/>
      <c r="CZ527" s="249"/>
      <c r="DA527" s="216"/>
      <c r="DB527" s="307"/>
      <c r="DC527" s="328"/>
      <c r="DD527" s="322"/>
      <c r="DE527" s="305"/>
      <c r="DF527" s="249"/>
      <c r="DG527" s="216"/>
      <c r="DH527" s="305"/>
      <c r="DI527" s="249"/>
      <c r="DJ527" s="216"/>
      <c r="DK527" s="309"/>
      <c r="DL527" s="293"/>
      <c r="DM527" s="326"/>
      <c r="DN527" s="1256"/>
      <c r="DO527" s="214"/>
      <c r="DP527" s="1257"/>
      <c r="DQ527" s="1258"/>
      <c r="DR527" s="305"/>
      <c r="DS527" s="249"/>
      <c r="DT527" s="216"/>
      <c r="DU527" s="305"/>
      <c r="DV527" s="2520"/>
      <c r="DW527" s="2521"/>
      <c r="DX527" s="305"/>
      <c r="DY527" s="249"/>
      <c r="DZ527" s="221"/>
      <c r="EA527" s="388"/>
      <c r="EB527" s="249"/>
      <c r="EC527" s="216"/>
      <c r="ED527" s="1461"/>
      <c r="EE527" s="249"/>
      <c r="EF527" s="216"/>
      <c r="EG527" s="355"/>
      <c r="EH527" s="1425"/>
      <c r="EI527" s="1470"/>
      <c r="EJ527" s="249"/>
      <c r="EK527" s="221"/>
      <c r="EL527" s="313"/>
      <c r="EM527" s="249"/>
      <c r="EN527" s="221"/>
      <c r="EO527" s="313"/>
      <c r="EP527" s="249"/>
      <c r="EQ527" s="216"/>
      <c r="ER527" s="313"/>
      <c r="ES527" s="249"/>
      <c r="ET527" s="216"/>
      <c r="EU527" s="313"/>
      <c r="EV527" s="249"/>
      <c r="EW527" s="216"/>
      <c r="EX527" s="2505"/>
      <c r="EY527" s="249"/>
      <c r="EZ527" s="221"/>
      <c r="FA527" s="313"/>
      <c r="FB527" s="249"/>
      <c r="FC527" s="221"/>
      <c r="FD527" s="313"/>
      <c r="FE527" s="249"/>
      <c r="FF527" s="221"/>
      <c r="FG527" s="313"/>
      <c r="FH527" s="249"/>
      <c r="FI527" s="216"/>
      <c r="FJ527" s="1435"/>
      <c r="FK527" s="216"/>
      <c r="FL527" s="1268"/>
      <c r="FM527" s="1655"/>
      <c r="FN527" s="1268"/>
      <c r="FO527" s="1655"/>
      <c r="FP527" s="1268"/>
      <c r="FQ527" s="1656"/>
      <c r="FR527" s="249"/>
      <c r="FS527" s="216"/>
      <c r="FT527" s="1657"/>
      <c r="FU527" s="1658"/>
      <c r="FV527" s="242"/>
      <c r="FW527" s="343"/>
      <c r="FX527" s="222"/>
      <c r="FY527" s="336"/>
      <c r="FZ527" s="223"/>
      <c r="GA527" s="338"/>
      <c r="GB527" s="204"/>
      <c r="GC527" s="339"/>
      <c r="GD527" s="342"/>
      <c r="GE527" s="199"/>
      <c r="GF527" s="199"/>
      <c r="GG527" s="199"/>
      <c r="GH527" s="199"/>
      <c r="GI527" s="199"/>
      <c r="GJ527" s="199"/>
      <c r="GK527" s="199"/>
      <c r="GO527" s="322"/>
      <c r="GP527" s="1190"/>
      <c r="GQ527" s="1190"/>
      <c r="GS527" s="2879"/>
      <c r="GT527" s="2880"/>
      <c r="GU527" s="2881"/>
    </row>
    <row r="528" spans="1:203" ht="12" customHeight="1">
      <c r="A528" s="1252"/>
      <c r="B528" s="200"/>
      <c r="C528" s="486"/>
      <c r="T528" s="1186"/>
      <c r="U528" s="233"/>
      <c r="W528" s="218"/>
      <c r="X528" s="218"/>
      <c r="Y528" s="216"/>
      <c r="Z528" s="216"/>
      <c r="AA528" s="215"/>
      <c r="AB528" s="216"/>
      <c r="AC528" s="216"/>
      <c r="AD528" s="239"/>
      <c r="AE528" s="216"/>
      <c r="AF528" s="216"/>
      <c r="AG528" s="216"/>
      <c r="AH528" s="216"/>
      <c r="AI528" s="216"/>
      <c r="AJ528" s="216"/>
      <c r="AK528" s="239"/>
      <c r="AL528" s="216"/>
      <c r="AM528" s="216"/>
      <c r="AN528" s="216"/>
      <c r="AO528" s="216"/>
      <c r="AP528" s="216"/>
      <c r="AQ528" s="216"/>
      <c r="AR528" s="216"/>
      <c r="AS528" s="216"/>
      <c r="AT528" s="216"/>
      <c r="AU528" s="216"/>
      <c r="AV528" s="217"/>
      <c r="AW528" s="355"/>
      <c r="AX528" s="217"/>
      <c r="AY528" s="305"/>
      <c r="AZ528" s="249"/>
      <c r="BA528" s="221"/>
      <c r="BB528" s="300"/>
      <c r="BC528" s="217"/>
      <c r="BD528" s="392"/>
      <c r="BE528" s="1244"/>
      <c r="BF528" s="249"/>
      <c r="BG528" s="252"/>
      <c r="BH528" s="1469"/>
      <c r="BI528" s="216"/>
      <c r="BJ528" s="1469"/>
      <c r="BK528" s="1459"/>
      <c r="BL528" s="260"/>
      <c r="BM528" s="214"/>
      <c r="BN528" s="293"/>
      <c r="BO528" s="217"/>
      <c r="BP528" s="355"/>
      <c r="BQ528" s="217"/>
      <c r="BR528" s="1193"/>
      <c r="BS528" s="249"/>
      <c r="BT528" s="216"/>
      <c r="BU528" s="1195"/>
      <c r="BV528" s="249"/>
      <c r="BW528" s="216"/>
      <c r="BX528" s="1195"/>
      <c r="BY528" s="249"/>
      <c r="BZ528" s="216"/>
      <c r="CA528" s="1195"/>
      <c r="CB528" s="249"/>
      <c r="CC528" s="216"/>
      <c r="CD528" s="1195"/>
      <c r="CE528" s="249"/>
      <c r="CF528" s="216"/>
      <c r="CG528" s="1195"/>
      <c r="CH528" s="249"/>
      <c r="CI528" s="216"/>
      <c r="CJ528" s="1195"/>
      <c r="CK528" s="249"/>
      <c r="CL528" s="216"/>
      <c r="CM528" s="1194"/>
      <c r="CN528" s="1524"/>
      <c r="CO528" s="217"/>
      <c r="CP528" s="1193"/>
      <c r="CQ528" s="293"/>
      <c r="CR528" s="217"/>
      <c r="CS528" s="305"/>
      <c r="CT528" s="249"/>
      <c r="CU528" s="216"/>
      <c r="CV528" s="1193"/>
      <c r="CW528" s="249"/>
      <c r="CX528" s="216"/>
      <c r="CY528" s="305"/>
      <c r="CZ528" s="249"/>
      <c r="DA528" s="216"/>
      <c r="DB528" s="307"/>
      <c r="DC528" s="328"/>
      <c r="DD528" s="322"/>
      <c r="DE528" s="305"/>
      <c r="DF528" s="249"/>
      <c r="DG528" s="216"/>
      <c r="DH528" s="305"/>
      <c r="DI528" s="249"/>
      <c r="DJ528" s="216"/>
      <c r="DK528" s="309"/>
      <c r="DL528" s="293"/>
      <c r="DM528" s="326"/>
      <c r="DN528" s="1256"/>
      <c r="DO528" s="214"/>
      <c r="DP528" s="1257"/>
      <c r="DQ528" s="1258"/>
      <c r="DR528" s="305"/>
      <c r="DS528" s="249"/>
      <c r="DT528" s="216"/>
      <c r="DU528" s="305"/>
      <c r="DV528" s="2520"/>
      <c r="DW528" s="2521"/>
      <c r="DX528" s="305"/>
      <c r="DY528" s="249"/>
      <c r="DZ528" s="221"/>
      <c r="EA528" s="388"/>
      <c r="EB528" s="249"/>
      <c r="EC528" s="216"/>
      <c r="ED528" s="1461"/>
      <c r="EE528" s="249"/>
      <c r="EF528" s="216"/>
      <c r="EG528" s="355"/>
      <c r="EH528" s="1425"/>
      <c r="EI528" s="1470"/>
      <c r="EJ528" s="249"/>
      <c r="EK528" s="221"/>
      <c r="EL528" s="313"/>
      <c r="EM528" s="249"/>
      <c r="EN528" s="221"/>
      <c r="EO528" s="313"/>
      <c r="EP528" s="249"/>
      <c r="EQ528" s="216"/>
      <c r="ER528" s="313"/>
      <c r="ES528" s="249"/>
      <c r="ET528" s="216"/>
      <c r="EU528" s="313"/>
      <c r="EV528" s="249"/>
      <c r="EW528" s="216"/>
      <c r="EX528" s="2505"/>
      <c r="EY528" s="249"/>
      <c r="EZ528" s="221"/>
      <c r="FA528" s="313"/>
      <c r="FB528" s="249"/>
      <c r="FC528" s="221"/>
      <c r="FD528" s="313"/>
      <c r="FE528" s="249"/>
      <c r="FF528" s="221"/>
      <c r="FG528" s="313"/>
      <c r="FH528" s="249"/>
      <c r="FI528" s="216"/>
      <c r="FJ528" s="1435"/>
      <c r="FK528" s="216"/>
      <c r="FL528" s="1268"/>
      <c r="FM528" s="1655"/>
      <c r="FN528" s="1268"/>
      <c r="FO528" s="1655"/>
      <c r="FP528" s="1268"/>
      <c r="FQ528" s="1656"/>
      <c r="FR528" s="249"/>
      <c r="FS528" s="216"/>
      <c r="FT528" s="1657"/>
      <c r="FU528" s="1658"/>
      <c r="FV528" s="242"/>
      <c r="FW528" s="343"/>
      <c r="FX528" s="222"/>
      <c r="FY528" s="336"/>
      <c r="FZ528" s="223"/>
      <c r="GA528" s="338"/>
      <c r="GB528" s="204"/>
      <c r="GC528" s="339"/>
      <c r="GD528" s="342"/>
      <c r="GE528" s="199"/>
      <c r="GF528" s="199"/>
      <c r="GG528" s="199"/>
      <c r="GH528" s="199"/>
      <c r="GI528" s="199"/>
      <c r="GJ528" s="199"/>
      <c r="GK528" s="199"/>
      <c r="GO528" s="322"/>
      <c r="GP528" s="1190"/>
      <c r="GQ528" s="1190"/>
      <c r="GS528" s="2879"/>
      <c r="GT528" s="2880"/>
      <c r="GU528" s="2881"/>
    </row>
    <row r="529" spans="1:203" ht="12" customHeight="1">
      <c r="A529" s="1252"/>
      <c r="B529" s="200"/>
      <c r="C529" s="486"/>
      <c r="T529" s="1186"/>
      <c r="U529" s="233"/>
      <c r="W529" s="218"/>
      <c r="X529" s="218"/>
      <c r="Y529" s="216"/>
      <c r="Z529" s="216"/>
      <c r="AA529" s="215"/>
      <c r="AB529" s="216"/>
      <c r="AC529" s="216"/>
      <c r="AD529" s="239"/>
      <c r="AE529" s="216"/>
      <c r="AF529" s="216"/>
      <c r="AG529" s="216"/>
      <c r="AH529" s="216"/>
      <c r="AI529" s="216"/>
      <c r="AJ529" s="216"/>
      <c r="AK529" s="239"/>
      <c r="AL529" s="216"/>
      <c r="AM529" s="216"/>
      <c r="AN529" s="216"/>
      <c r="AO529" s="216"/>
      <c r="AP529" s="216"/>
      <c r="AQ529" s="216"/>
      <c r="AR529" s="216"/>
      <c r="AS529" s="216"/>
      <c r="AT529" s="216"/>
      <c r="AU529" s="216"/>
      <c r="AV529" s="217"/>
      <c r="AW529" s="355"/>
      <c r="AX529" s="217"/>
      <c r="AY529" s="305"/>
      <c r="AZ529" s="249"/>
      <c r="BA529" s="221"/>
      <c r="BB529" s="300"/>
      <c r="BC529" s="217"/>
      <c r="BD529" s="392"/>
      <c r="BE529" s="1244"/>
      <c r="BF529" s="249"/>
      <c r="BG529" s="252"/>
      <c r="BH529" s="1469"/>
      <c r="BI529" s="216"/>
      <c r="BJ529" s="1469"/>
      <c r="BK529" s="1459"/>
      <c r="BL529" s="260"/>
      <c r="BM529" s="214"/>
      <c r="BN529" s="293"/>
      <c r="BO529" s="217"/>
      <c r="BP529" s="355"/>
      <c r="BQ529" s="217"/>
      <c r="BR529" s="1193"/>
      <c r="BS529" s="249"/>
      <c r="BT529" s="216"/>
      <c r="BU529" s="1195"/>
      <c r="BV529" s="249"/>
      <c r="BW529" s="216"/>
      <c r="BX529" s="1195"/>
      <c r="BY529" s="249"/>
      <c r="BZ529" s="216"/>
      <c r="CA529" s="1195"/>
      <c r="CB529" s="249"/>
      <c r="CC529" s="216"/>
      <c r="CD529" s="1195"/>
      <c r="CE529" s="249"/>
      <c r="CF529" s="216"/>
      <c r="CG529" s="1195"/>
      <c r="CH529" s="249"/>
      <c r="CI529" s="216"/>
      <c r="CJ529" s="1195"/>
      <c r="CK529" s="249"/>
      <c r="CL529" s="216"/>
      <c r="CM529" s="1194"/>
      <c r="CN529" s="1524"/>
      <c r="CO529" s="217"/>
      <c r="CP529" s="1193"/>
      <c r="CQ529" s="293"/>
      <c r="CR529" s="217"/>
      <c r="CS529" s="305"/>
      <c r="CT529" s="249"/>
      <c r="CU529" s="216"/>
      <c r="CV529" s="1193"/>
      <c r="CW529" s="249"/>
      <c r="CX529" s="216"/>
      <c r="CY529" s="305"/>
      <c r="CZ529" s="249"/>
      <c r="DA529" s="216"/>
      <c r="DB529" s="307"/>
      <c r="DC529" s="328"/>
      <c r="DD529" s="322"/>
      <c r="DE529" s="305"/>
      <c r="DF529" s="249"/>
      <c r="DG529" s="216"/>
      <c r="DH529" s="305"/>
      <c r="DI529" s="249"/>
      <c r="DJ529" s="216"/>
      <c r="DK529" s="309"/>
      <c r="DL529" s="293"/>
      <c r="DM529" s="326"/>
      <c r="DN529" s="1256"/>
      <c r="DO529" s="214"/>
      <c r="DP529" s="1257"/>
      <c r="DQ529" s="1258"/>
      <c r="DR529" s="305"/>
      <c r="DS529" s="249"/>
      <c r="DT529" s="216"/>
      <c r="DU529" s="305"/>
      <c r="DV529" s="2520"/>
      <c r="DW529" s="2521"/>
      <c r="DX529" s="305"/>
      <c r="DY529" s="249"/>
      <c r="DZ529" s="221"/>
      <c r="EA529" s="388"/>
      <c r="EB529" s="249"/>
      <c r="EC529" s="216"/>
      <c r="ED529" s="1461"/>
      <c r="EE529" s="249"/>
      <c r="EF529" s="216"/>
      <c r="EG529" s="355"/>
      <c r="EH529" s="1425"/>
      <c r="EI529" s="1470"/>
      <c r="EJ529" s="249"/>
      <c r="EK529" s="221"/>
      <c r="EL529" s="313"/>
      <c r="EM529" s="249"/>
      <c r="EN529" s="221"/>
      <c r="EO529" s="313"/>
      <c r="EP529" s="249"/>
      <c r="EQ529" s="216"/>
      <c r="ER529" s="313"/>
      <c r="ES529" s="249"/>
      <c r="ET529" s="216"/>
      <c r="EU529" s="313"/>
      <c r="EV529" s="249"/>
      <c r="EW529" s="216"/>
      <c r="EX529" s="2505"/>
      <c r="EY529" s="249"/>
      <c r="EZ529" s="221"/>
      <c r="FA529" s="313"/>
      <c r="FB529" s="249"/>
      <c r="FC529" s="221"/>
      <c r="FD529" s="313"/>
      <c r="FE529" s="249"/>
      <c r="FF529" s="221"/>
      <c r="FG529" s="313"/>
      <c r="FH529" s="249"/>
      <c r="FI529" s="216"/>
      <c r="FJ529" s="1435"/>
      <c r="FK529" s="216"/>
      <c r="FL529" s="1268"/>
      <c r="FM529" s="1655"/>
      <c r="FN529" s="1268"/>
      <c r="FO529" s="1655"/>
      <c r="FP529" s="1268"/>
      <c r="FQ529" s="1656"/>
      <c r="FR529" s="249"/>
      <c r="FS529" s="216"/>
      <c r="FT529" s="1657"/>
      <c r="FU529" s="1658"/>
      <c r="FV529" s="242"/>
      <c r="FW529" s="343"/>
      <c r="FX529" s="222"/>
      <c r="FY529" s="336"/>
      <c r="FZ529" s="223"/>
      <c r="GA529" s="338"/>
      <c r="GB529" s="204"/>
      <c r="GC529" s="339"/>
      <c r="GD529" s="342"/>
      <c r="GE529" s="199"/>
      <c r="GF529" s="199"/>
      <c r="GG529" s="199"/>
      <c r="GH529" s="199"/>
      <c r="GI529" s="199"/>
      <c r="GJ529" s="199"/>
      <c r="GK529" s="199"/>
      <c r="GO529" s="322"/>
      <c r="GP529" s="1190"/>
      <c r="GQ529" s="1190"/>
      <c r="GS529" s="2879"/>
      <c r="GT529" s="2880"/>
      <c r="GU529" s="2881"/>
    </row>
    <row r="530" spans="1:203" ht="12" customHeight="1">
      <c r="A530" s="1252"/>
      <c r="B530" s="200"/>
      <c r="C530" s="486"/>
      <c r="T530" s="1186"/>
      <c r="U530" s="233"/>
      <c r="W530" s="218"/>
      <c r="X530" s="218"/>
      <c r="Y530" s="216"/>
      <c r="Z530" s="216"/>
      <c r="AA530" s="215"/>
      <c r="AB530" s="216"/>
      <c r="AC530" s="216"/>
      <c r="AD530" s="239"/>
      <c r="AE530" s="216"/>
      <c r="AF530" s="216"/>
      <c r="AG530" s="216"/>
      <c r="AH530" s="216"/>
      <c r="AI530" s="216"/>
      <c r="AJ530" s="216"/>
      <c r="AK530" s="239"/>
      <c r="AL530" s="216"/>
      <c r="AM530" s="216"/>
      <c r="AN530" s="216"/>
      <c r="AO530" s="216"/>
      <c r="AP530" s="216"/>
      <c r="AQ530" s="216"/>
      <c r="AR530" s="216"/>
      <c r="AS530" s="216"/>
      <c r="AT530" s="216"/>
      <c r="AU530" s="216"/>
      <c r="AV530" s="217"/>
      <c r="AW530" s="355"/>
      <c r="AX530" s="217"/>
      <c r="AY530" s="305"/>
      <c r="AZ530" s="249"/>
      <c r="BA530" s="221"/>
      <c r="BB530" s="300"/>
      <c r="BC530" s="217"/>
      <c r="BD530" s="392"/>
      <c r="BE530" s="1244"/>
      <c r="BF530" s="249"/>
      <c r="BG530" s="252"/>
      <c r="BH530" s="1469"/>
      <c r="BI530" s="216"/>
      <c r="BJ530" s="1469"/>
      <c r="BK530" s="1459"/>
      <c r="BL530" s="260"/>
      <c r="BM530" s="214"/>
      <c r="BN530" s="293"/>
      <c r="BO530" s="217"/>
      <c r="BP530" s="355"/>
      <c r="BQ530" s="217"/>
      <c r="BR530" s="1193"/>
      <c r="BS530" s="249"/>
      <c r="BT530" s="216"/>
      <c r="BU530" s="1195"/>
      <c r="BV530" s="249"/>
      <c r="BW530" s="216"/>
      <c r="BX530" s="1195"/>
      <c r="BY530" s="249"/>
      <c r="BZ530" s="216"/>
      <c r="CA530" s="1195"/>
      <c r="CB530" s="249"/>
      <c r="CC530" s="216"/>
      <c r="CD530" s="1195"/>
      <c r="CE530" s="249"/>
      <c r="CF530" s="216"/>
      <c r="CG530" s="1195"/>
      <c r="CH530" s="249"/>
      <c r="CI530" s="216"/>
      <c r="CJ530" s="1195"/>
      <c r="CK530" s="249"/>
      <c r="CL530" s="216"/>
      <c r="CM530" s="1194"/>
      <c r="CN530" s="1524"/>
      <c r="CO530" s="217"/>
      <c r="CP530" s="1193"/>
      <c r="CQ530" s="293"/>
      <c r="CR530" s="217"/>
      <c r="CS530" s="305"/>
      <c r="CT530" s="249"/>
      <c r="CU530" s="216"/>
      <c r="CV530" s="1193"/>
      <c r="CW530" s="249"/>
      <c r="CX530" s="216"/>
      <c r="CY530" s="305"/>
      <c r="CZ530" s="249"/>
      <c r="DA530" s="216"/>
      <c r="DB530" s="307"/>
      <c r="DC530" s="328"/>
      <c r="DD530" s="322"/>
      <c r="DE530" s="305"/>
      <c r="DF530" s="249"/>
      <c r="DG530" s="216"/>
      <c r="DH530" s="305"/>
      <c r="DI530" s="249"/>
      <c r="DJ530" s="216"/>
      <c r="DK530" s="309"/>
      <c r="DL530" s="293"/>
      <c r="DM530" s="326"/>
      <c r="DN530" s="1256"/>
      <c r="DO530" s="214"/>
      <c r="DP530" s="1257"/>
      <c r="DQ530" s="1258"/>
      <c r="DR530" s="305"/>
      <c r="DS530" s="249"/>
      <c r="DT530" s="216"/>
      <c r="DU530" s="305"/>
      <c r="DV530" s="2520"/>
      <c r="DW530" s="2521"/>
      <c r="DX530" s="305"/>
      <c r="DY530" s="249"/>
      <c r="DZ530" s="221"/>
      <c r="EA530" s="388"/>
      <c r="EB530" s="249"/>
      <c r="EC530" s="216"/>
      <c r="ED530" s="1461"/>
      <c r="EE530" s="249"/>
      <c r="EF530" s="216"/>
      <c r="EG530" s="355"/>
      <c r="EH530" s="1425"/>
      <c r="EI530" s="1470"/>
      <c r="EJ530" s="249"/>
      <c r="EK530" s="221"/>
      <c r="EL530" s="313"/>
      <c r="EM530" s="249"/>
      <c r="EN530" s="221"/>
      <c r="EO530" s="313"/>
      <c r="EP530" s="249"/>
      <c r="EQ530" s="216"/>
      <c r="ER530" s="313"/>
      <c r="ES530" s="249"/>
      <c r="ET530" s="216"/>
      <c r="EU530" s="313"/>
      <c r="EV530" s="249"/>
      <c r="EW530" s="216"/>
      <c r="EX530" s="2505"/>
      <c r="EY530" s="249"/>
      <c r="EZ530" s="221"/>
      <c r="FA530" s="313"/>
      <c r="FB530" s="249"/>
      <c r="FC530" s="221"/>
      <c r="FD530" s="313"/>
      <c r="FE530" s="249"/>
      <c r="FF530" s="221"/>
      <c r="FG530" s="313"/>
      <c r="FH530" s="249"/>
      <c r="FI530" s="216"/>
      <c r="FJ530" s="1435"/>
      <c r="FK530" s="216"/>
      <c r="FL530" s="1268"/>
      <c r="FM530" s="1655"/>
      <c r="FN530" s="1268"/>
      <c r="FO530" s="1655"/>
      <c r="FP530" s="1268"/>
      <c r="FQ530" s="1656"/>
      <c r="FR530" s="249"/>
      <c r="FS530" s="216"/>
      <c r="FT530" s="1657"/>
      <c r="FU530" s="1658"/>
      <c r="FV530" s="242"/>
      <c r="FW530" s="343"/>
      <c r="FX530" s="222"/>
      <c r="FY530" s="336"/>
      <c r="FZ530" s="223"/>
      <c r="GA530" s="338"/>
      <c r="GB530" s="204"/>
      <c r="GC530" s="339"/>
      <c r="GD530" s="342"/>
      <c r="GE530" s="199"/>
      <c r="GF530" s="199"/>
      <c r="GG530" s="199"/>
      <c r="GH530" s="199"/>
      <c r="GI530" s="199"/>
      <c r="GJ530" s="199"/>
      <c r="GK530" s="199"/>
      <c r="GO530" s="322"/>
      <c r="GP530" s="1190"/>
      <c r="GQ530" s="1190"/>
      <c r="GS530" s="2879"/>
      <c r="GT530" s="2880"/>
      <c r="GU530" s="2881"/>
    </row>
    <row r="531" spans="1:203" ht="12" customHeight="1">
      <c r="A531" s="1252"/>
      <c r="B531" s="200"/>
      <c r="C531" s="486"/>
      <c r="T531" s="1186"/>
      <c r="U531" s="233"/>
      <c r="W531" s="218"/>
      <c r="X531" s="218"/>
      <c r="Y531" s="216"/>
      <c r="Z531" s="216"/>
      <c r="AA531" s="215"/>
      <c r="AB531" s="216"/>
      <c r="AC531" s="216"/>
      <c r="AD531" s="239"/>
      <c r="AE531" s="216"/>
      <c r="AF531" s="216"/>
      <c r="AG531" s="216"/>
      <c r="AH531" s="216"/>
      <c r="AI531" s="216"/>
      <c r="AJ531" s="216"/>
      <c r="AK531" s="239"/>
      <c r="AL531" s="216"/>
      <c r="AM531" s="216"/>
      <c r="AN531" s="216"/>
      <c r="AO531" s="216"/>
      <c r="AP531" s="216"/>
      <c r="AQ531" s="216"/>
      <c r="AR531" s="216"/>
      <c r="AS531" s="216"/>
      <c r="AT531" s="216"/>
      <c r="AU531" s="216"/>
      <c r="AV531" s="217"/>
      <c r="AW531" s="355"/>
      <c r="AX531" s="217"/>
      <c r="AY531" s="305"/>
      <c r="AZ531" s="249"/>
      <c r="BA531" s="221"/>
      <c r="BB531" s="300"/>
      <c r="BC531" s="217"/>
      <c r="BD531" s="392"/>
      <c r="BE531" s="1244"/>
      <c r="BF531" s="249"/>
      <c r="BG531" s="252"/>
      <c r="BH531" s="1469"/>
      <c r="BI531" s="216"/>
      <c r="BJ531" s="1469"/>
      <c r="BK531" s="1459"/>
      <c r="BL531" s="260"/>
      <c r="BM531" s="214"/>
      <c r="BN531" s="293"/>
      <c r="BO531" s="217"/>
      <c r="BP531" s="355"/>
      <c r="BQ531" s="217"/>
      <c r="BR531" s="1193"/>
      <c r="BS531" s="249"/>
      <c r="BT531" s="216"/>
      <c r="BU531" s="1195"/>
      <c r="BV531" s="249"/>
      <c r="BW531" s="216"/>
      <c r="BX531" s="1195"/>
      <c r="BY531" s="249"/>
      <c r="BZ531" s="216"/>
      <c r="CA531" s="1195"/>
      <c r="CB531" s="249"/>
      <c r="CC531" s="216"/>
      <c r="CD531" s="1195"/>
      <c r="CE531" s="249"/>
      <c r="CF531" s="216"/>
      <c r="CG531" s="1195"/>
      <c r="CH531" s="249"/>
      <c r="CI531" s="216"/>
      <c r="CJ531" s="1195"/>
      <c r="CK531" s="249"/>
      <c r="CL531" s="216"/>
      <c r="CM531" s="1194"/>
      <c r="CN531" s="1524"/>
      <c r="CO531" s="217"/>
      <c r="CP531" s="1193"/>
      <c r="CQ531" s="293"/>
      <c r="CR531" s="217"/>
      <c r="CS531" s="305"/>
      <c r="CT531" s="249"/>
      <c r="CU531" s="216"/>
      <c r="CV531" s="1193"/>
      <c r="CW531" s="249"/>
      <c r="CX531" s="216"/>
      <c r="CY531" s="305"/>
      <c r="CZ531" s="249"/>
      <c r="DA531" s="216"/>
      <c r="DB531" s="307"/>
      <c r="DC531" s="328"/>
      <c r="DD531" s="322"/>
      <c r="DE531" s="305"/>
      <c r="DF531" s="249"/>
      <c r="DG531" s="216"/>
      <c r="DH531" s="305"/>
      <c r="DI531" s="249"/>
      <c r="DJ531" s="216"/>
      <c r="DK531" s="309"/>
      <c r="DL531" s="293"/>
      <c r="DM531" s="326"/>
      <c r="DN531" s="1256"/>
      <c r="DO531" s="214"/>
      <c r="DP531" s="1257"/>
      <c r="DQ531" s="1258"/>
      <c r="DR531" s="305"/>
      <c r="DS531" s="249"/>
      <c r="DT531" s="216"/>
      <c r="DU531" s="305"/>
      <c r="DV531" s="2520"/>
      <c r="DW531" s="2521"/>
      <c r="DX531" s="305"/>
      <c r="DY531" s="249"/>
      <c r="DZ531" s="221"/>
      <c r="EA531" s="388"/>
      <c r="EB531" s="249"/>
      <c r="EC531" s="216"/>
      <c r="ED531" s="1461"/>
      <c r="EE531" s="249"/>
      <c r="EF531" s="216"/>
      <c r="EG531" s="355"/>
      <c r="EH531" s="1425"/>
      <c r="EI531" s="1470"/>
      <c r="EJ531" s="249"/>
      <c r="EK531" s="221"/>
      <c r="EL531" s="313"/>
      <c r="EM531" s="249"/>
      <c r="EN531" s="221"/>
      <c r="EO531" s="313"/>
      <c r="EP531" s="249"/>
      <c r="EQ531" s="216"/>
      <c r="ER531" s="313"/>
      <c r="ES531" s="249"/>
      <c r="ET531" s="216"/>
      <c r="EU531" s="313"/>
      <c r="EV531" s="249"/>
      <c r="EW531" s="216"/>
      <c r="EX531" s="2505"/>
      <c r="EY531" s="249"/>
      <c r="EZ531" s="221"/>
      <c r="FA531" s="313"/>
      <c r="FB531" s="249"/>
      <c r="FC531" s="221"/>
      <c r="FD531" s="313"/>
      <c r="FE531" s="249"/>
      <c r="FF531" s="221"/>
      <c r="FG531" s="313"/>
      <c r="FH531" s="249"/>
      <c r="FI531" s="216"/>
      <c r="FJ531" s="1435"/>
      <c r="FK531" s="216"/>
      <c r="FL531" s="1268"/>
      <c r="FM531" s="1655"/>
      <c r="FN531" s="1268"/>
      <c r="FO531" s="1655"/>
      <c r="FP531" s="1268"/>
      <c r="FQ531" s="1656"/>
      <c r="FR531" s="249"/>
      <c r="FS531" s="216"/>
      <c r="FT531" s="1657"/>
      <c r="FU531" s="1658"/>
      <c r="FV531" s="242"/>
      <c r="FW531" s="343"/>
      <c r="FX531" s="222"/>
      <c r="FY531" s="336"/>
      <c r="FZ531" s="223"/>
      <c r="GA531" s="338"/>
      <c r="GB531" s="204"/>
      <c r="GC531" s="339"/>
      <c r="GD531" s="342"/>
      <c r="GE531" s="199"/>
      <c r="GF531" s="199"/>
      <c r="GG531" s="199"/>
      <c r="GH531" s="199"/>
      <c r="GI531" s="199"/>
      <c r="GJ531" s="199"/>
      <c r="GK531" s="199"/>
      <c r="GO531" s="322"/>
      <c r="GP531" s="1190"/>
      <c r="GQ531" s="1190"/>
      <c r="GS531" s="2879"/>
      <c r="GT531" s="2880"/>
      <c r="GU531" s="2881"/>
    </row>
    <row r="532" spans="1:203" ht="12" customHeight="1">
      <c r="A532" s="1252"/>
      <c r="B532" s="200"/>
      <c r="C532" s="486"/>
      <c r="T532" s="1186"/>
      <c r="U532" s="233"/>
      <c r="W532" s="218"/>
      <c r="X532" s="218"/>
      <c r="Y532" s="216"/>
      <c r="Z532" s="216"/>
      <c r="AA532" s="215"/>
      <c r="AB532" s="216"/>
      <c r="AC532" s="216"/>
      <c r="AD532" s="239"/>
      <c r="AE532" s="216"/>
      <c r="AF532" s="216"/>
      <c r="AG532" s="216"/>
      <c r="AH532" s="216"/>
      <c r="AI532" s="216"/>
      <c r="AJ532" s="216"/>
      <c r="AK532" s="239"/>
      <c r="AL532" s="216"/>
      <c r="AM532" s="216"/>
      <c r="AN532" s="216"/>
      <c r="AO532" s="216"/>
      <c r="AP532" s="216"/>
      <c r="AQ532" s="216"/>
      <c r="AR532" s="216"/>
      <c r="AS532" s="216"/>
      <c r="AT532" s="216"/>
      <c r="AU532" s="216"/>
      <c r="AV532" s="217"/>
      <c r="AW532" s="355"/>
      <c r="AX532" s="217"/>
      <c r="AY532" s="305"/>
      <c r="AZ532" s="249"/>
      <c r="BA532" s="221"/>
      <c r="BB532" s="300"/>
      <c r="BC532" s="217"/>
      <c r="BD532" s="392"/>
      <c r="BE532" s="1244"/>
      <c r="BF532" s="249"/>
      <c r="BG532" s="252"/>
      <c r="BH532" s="1469"/>
      <c r="BI532" s="216"/>
      <c r="BJ532" s="1469"/>
      <c r="BK532" s="1459"/>
      <c r="BL532" s="260"/>
      <c r="BM532" s="214"/>
      <c r="BN532" s="293"/>
      <c r="BO532" s="217"/>
      <c r="BP532" s="355"/>
      <c r="BQ532" s="217"/>
      <c r="BR532" s="1193"/>
      <c r="BS532" s="249"/>
      <c r="BT532" s="216"/>
      <c r="BU532" s="1195"/>
      <c r="BV532" s="249"/>
      <c r="BW532" s="216"/>
      <c r="BX532" s="1195"/>
      <c r="BY532" s="249"/>
      <c r="BZ532" s="216"/>
      <c r="CA532" s="1195"/>
      <c r="CB532" s="249"/>
      <c r="CC532" s="216"/>
      <c r="CD532" s="1195"/>
      <c r="CE532" s="249"/>
      <c r="CF532" s="216"/>
      <c r="CG532" s="1195"/>
      <c r="CH532" s="249"/>
      <c r="CI532" s="216"/>
      <c r="CJ532" s="1195"/>
      <c r="CK532" s="249"/>
      <c r="CL532" s="216"/>
      <c r="CM532" s="1194"/>
      <c r="CN532" s="1524"/>
      <c r="CO532" s="217"/>
      <c r="CP532" s="1193"/>
      <c r="CQ532" s="293"/>
      <c r="CR532" s="217"/>
      <c r="CS532" s="305"/>
      <c r="CT532" s="249"/>
      <c r="CU532" s="216"/>
      <c r="CV532" s="1193"/>
      <c r="CW532" s="249"/>
      <c r="CX532" s="216"/>
      <c r="CY532" s="305"/>
      <c r="CZ532" s="249"/>
      <c r="DA532" s="216"/>
      <c r="DB532" s="307"/>
      <c r="DC532" s="328"/>
      <c r="DD532" s="322"/>
      <c r="DE532" s="305"/>
      <c r="DF532" s="249"/>
      <c r="DG532" s="216"/>
      <c r="DH532" s="305"/>
      <c r="DI532" s="249"/>
      <c r="DJ532" s="216"/>
      <c r="DK532" s="309"/>
      <c r="DL532" s="293"/>
      <c r="DM532" s="326"/>
      <c r="DN532" s="1256"/>
      <c r="DO532" s="214"/>
      <c r="DP532" s="1257"/>
      <c r="DQ532" s="1258"/>
      <c r="DR532" s="305"/>
      <c r="DS532" s="249"/>
      <c r="DT532" s="216"/>
      <c r="DU532" s="305"/>
      <c r="DV532" s="2520"/>
      <c r="DW532" s="2521"/>
      <c r="DX532" s="305"/>
      <c r="DY532" s="249"/>
      <c r="DZ532" s="221"/>
      <c r="EA532" s="388"/>
      <c r="EB532" s="249"/>
      <c r="EC532" s="216"/>
      <c r="ED532" s="1461"/>
      <c r="EE532" s="249"/>
      <c r="EF532" s="216"/>
      <c r="EG532" s="355"/>
      <c r="EH532" s="1425"/>
      <c r="EI532" s="1470"/>
      <c r="EJ532" s="249"/>
      <c r="EK532" s="221"/>
      <c r="EL532" s="313"/>
      <c r="EM532" s="249"/>
      <c r="EN532" s="221"/>
      <c r="EO532" s="313"/>
      <c r="EP532" s="249"/>
      <c r="EQ532" s="216"/>
      <c r="ER532" s="313"/>
      <c r="ES532" s="249"/>
      <c r="ET532" s="216"/>
      <c r="EU532" s="313"/>
      <c r="EV532" s="249"/>
      <c r="EW532" s="216"/>
      <c r="EX532" s="2505"/>
      <c r="EY532" s="249"/>
      <c r="EZ532" s="221"/>
      <c r="FA532" s="313"/>
      <c r="FB532" s="249"/>
      <c r="FC532" s="221"/>
      <c r="FD532" s="313"/>
      <c r="FE532" s="249"/>
      <c r="FF532" s="221"/>
      <c r="FG532" s="313"/>
      <c r="FH532" s="249"/>
      <c r="FI532" s="216"/>
      <c r="FJ532" s="1435"/>
      <c r="FK532" s="216"/>
      <c r="FL532" s="1268"/>
      <c r="FM532" s="1655"/>
      <c r="FN532" s="1268"/>
      <c r="FO532" s="1655"/>
      <c r="FP532" s="1268"/>
      <c r="FQ532" s="1656"/>
      <c r="FR532" s="249"/>
      <c r="FS532" s="216"/>
      <c r="FT532" s="1657"/>
      <c r="FU532" s="1658"/>
      <c r="FV532" s="242"/>
      <c r="FW532" s="343"/>
      <c r="FX532" s="222"/>
      <c r="FY532" s="336"/>
      <c r="FZ532" s="223"/>
      <c r="GA532" s="338"/>
      <c r="GB532" s="204"/>
      <c r="GC532" s="339"/>
      <c r="GD532" s="342"/>
      <c r="GE532" s="199"/>
      <c r="GF532" s="199"/>
      <c r="GG532" s="199"/>
      <c r="GH532" s="199"/>
      <c r="GI532" s="199"/>
      <c r="GJ532" s="199"/>
      <c r="GK532" s="199"/>
      <c r="GO532" s="322"/>
      <c r="GP532" s="1190"/>
      <c r="GQ532" s="1190"/>
      <c r="GS532" s="2879"/>
      <c r="GT532" s="2880"/>
      <c r="GU532" s="2881"/>
    </row>
    <row r="533" spans="1:203" ht="12" customHeight="1">
      <c r="A533" s="1252"/>
      <c r="B533" s="200"/>
      <c r="C533" s="486"/>
      <c r="T533" s="1186"/>
      <c r="U533" s="233"/>
      <c r="W533" s="218"/>
      <c r="X533" s="218"/>
      <c r="Y533" s="216"/>
      <c r="Z533" s="216"/>
      <c r="AA533" s="215"/>
      <c r="AB533" s="216"/>
      <c r="AC533" s="216"/>
      <c r="AD533" s="239"/>
      <c r="AE533" s="216"/>
      <c r="AF533" s="216"/>
      <c r="AG533" s="216"/>
      <c r="AH533" s="216"/>
      <c r="AI533" s="216"/>
      <c r="AJ533" s="216"/>
      <c r="AK533" s="239"/>
      <c r="AL533" s="216"/>
      <c r="AM533" s="216"/>
      <c r="AN533" s="216"/>
      <c r="AO533" s="216"/>
      <c r="AP533" s="216"/>
      <c r="AQ533" s="216"/>
      <c r="AR533" s="216"/>
      <c r="AS533" s="216"/>
      <c r="AT533" s="216"/>
      <c r="AU533" s="216"/>
      <c r="AV533" s="217"/>
      <c r="AW533" s="355"/>
      <c r="AX533" s="217"/>
      <c r="AY533" s="305"/>
      <c r="AZ533" s="249"/>
      <c r="BA533" s="221"/>
      <c r="BB533" s="300"/>
      <c r="BC533" s="217"/>
      <c r="BD533" s="392"/>
      <c r="BE533" s="1244"/>
      <c r="BF533" s="249"/>
      <c r="BG533" s="252"/>
      <c r="BH533" s="1469"/>
      <c r="BI533" s="216"/>
      <c r="BJ533" s="1469"/>
      <c r="BK533" s="1459"/>
      <c r="BL533" s="260"/>
      <c r="BM533" s="214"/>
      <c r="BN533" s="293"/>
      <c r="BO533" s="217"/>
      <c r="BP533" s="355"/>
      <c r="BQ533" s="217"/>
      <c r="BR533" s="1193"/>
      <c r="BS533" s="249"/>
      <c r="BT533" s="216"/>
      <c r="BU533" s="1195"/>
      <c r="BV533" s="249"/>
      <c r="BW533" s="216"/>
      <c r="BX533" s="1195"/>
      <c r="BY533" s="249"/>
      <c r="BZ533" s="216"/>
      <c r="CA533" s="1195"/>
      <c r="CB533" s="249"/>
      <c r="CC533" s="216"/>
      <c r="CD533" s="1195"/>
      <c r="CE533" s="249"/>
      <c r="CF533" s="216"/>
      <c r="CG533" s="1195"/>
      <c r="CH533" s="249"/>
      <c r="CI533" s="216"/>
      <c r="CJ533" s="1195"/>
      <c r="CK533" s="249"/>
      <c r="CL533" s="216"/>
      <c r="CM533" s="1194"/>
      <c r="CN533" s="1524"/>
      <c r="CO533" s="217"/>
      <c r="CP533" s="1193"/>
      <c r="CQ533" s="293"/>
      <c r="CR533" s="217"/>
      <c r="CS533" s="305"/>
      <c r="CT533" s="249"/>
      <c r="CU533" s="216"/>
      <c r="CV533" s="1193"/>
      <c r="CW533" s="249"/>
      <c r="CX533" s="216"/>
      <c r="CY533" s="305"/>
      <c r="CZ533" s="249"/>
      <c r="DA533" s="216"/>
      <c r="DB533" s="307"/>
      <c r="DC533" s="328"/>
      <c r="DD533" s="322"/>
      <c r="DE533" s="305"/>
      <c r="DF533" s="249"/>
      <c r="DG533" s="216"/>
      <c r="DH533" s="305"/>
      <c r="DI533" s="249"/>
      <c r="DJ533" s="216"/>
      <c r="DK533" s="309"/>
      <c r="DL533" s="293"/>
      <c r="DM533" s="326"/>
      <c r="DN533" s="1256"/>
      <c r="DO533" s="214"/>
      <c r="DP533" s="1257"/>
      <c r="DQ533" s="1258"/>
      <c r="DR533" s="305"/>
      <c r="DS533" s="249"/>
      <c r="DT533" s="216"/>
      <c r="DU533" s="305"/>
      <c r="DV533" s="2520"/>
      <c r="DW533" s="2521"/>
      <c r="DX533" s="305"/>
      <c r="DY533" s="249"/>
      <c r="DZ533" s="221"/>
      <c r="EA533" s="388"/>
      <c r="EB533" s="249"/>
      <c r="EC533" s="216"/>
      <c r="ED533" s="1461"/>
      <c r="EE533" s="249"/>
      <c r="EF533" s="216"/>
      <c r="EG533" s="355"/>
      <c r="EH533" s="1425"/>
      <c r="EI533" s="1470"/>
      <c r="EJ533" s="249"/>
      <c r="EK533" s="221"/>
      <c r="EL533" s="313"/>
      <c r="EM533" s="249"/>
      <c r="EN533" s="221"/>
      <c r="EO533" s="313"/>
      <c r="EP533" s="249"/>
      <c r="EQ533" s="216"/>
      <c r="ER533" s="313"/>
      <c r="ES533" s="249"/>
      <c r="ET533" s="216"/>
      <c r="EU533" s="313"/>
      <c r="EV533" s="249"/>
      <c r="EW533" s="216"/>
      <c r="EX533" s="2505"/>
      <c r="EY533" s="249"/>
      <c r="EZ533" s="221"/>
      <c r="FA533" s="313"/>
      <c r="FB533" s="249"/>
      <c r="FC533" s="221"/>
      <c r="FD533" s="313"/>
      <c r="FE533" s="249"/>
      <c r="FF533" s="221"/>
      <c r="FG533" s="313"/>
      <c r="FH533" s="249"/>
      <c r="FI533" s="216"/>
      <c r="FJ533" s="1435"/>
      <c r="FK533" s="216"/>
      <c r="FL533" s="1268"/>
      <c r="FM533" s="1655"/>
      <c r="FN533" s="1268"/>
      <c r="FO533" s="1655"/>
      <c r="FP533" s="1268"/>
      <c r="FQ533" s="1656"/>
      <c r="FR533" s="249"/>
      <c r="FS533" s="216"/>
      <c r="FT533" s="1657"/>
      <c r="FU533" s="1658"/>
      <c r="FV533" s="242"/>
      <c r="FW533" s="343"/>
      <c r="FX533" s="222"/>
      <c r="FY533" s="336"/>
      <c r="FZ533" s="223"/>
      <c r="GA533" s="338"/>
      <c r="GB533" s="204"/>
      <c r="GC533" s="339"/>
      <c r="GD533" s="342"/>
      <c r="GE533" s="199"/>
      <c r="GF533" s="199"/>
      <c r="GG533" s="199"/>
      <c r="GH533" s="199"/>
      <c r="GI533" s="199"/>
      <c r="GJ533" s="199"/>
      <c r="GK533" s="199"/>
      <c r="GO533" s="322"/>
      <c r="GP533" s="1190"/>
      <c r="GQ533" s="1190"/>
      <c r="GS533" s="2879"/>
      <c r="GT533" s="2880"/>
      <c r="GU533" s="2881"/>
    </row>
    <row r="534" spans="1:203" ht="12" customHeight="1">
      <c r="A534" s="1252"/>
      <c r="B534" s="200"/>
      <c r="C534" s="486"/>
      <c r="T534" s="1186"/>
      <c r="U534" s="233"/>
      <c r="W534" s="218"/>
      <c r="X534" s="218"/>
      <c r="Y534" s="216"/>
      <c r="Z534" s="216"/>
      <c r="AA534" s="215"/>
      <c r="AB534" s="216"/>
      <c r="AC534" s="216"/>
      <c r="AD534" s="239"/>
      <c r="AE534" s="216"/>
      <c r="AF534" s="216"/>
      <c r="AG534" s="216"/>
      <c r="AH534" s="216"/>
      <c r="AI534" s="216"/>
      <c r="AJ534" s="216"/>
      <c r="AK534" s="239"/>
      <c r="AL534" s="216"/>
      <c r="AM534" s="216"/>
      <c r="AN534" s="216"/>
      <c r="AO534" s="216"/>
      <c r="AP534" s="216"/>
      <c r="AQ534" s="216"/>
      <c r="AR534" s="216"/>
      <c r="AS534" s="216"/>
      <c r="AT534" s="216"/>
      <c r="AU534" s="216"/>
      <c r="AV534" s="217"/>
      <c r="AW534" s="355"/>
      <c r="AX534" s="217"/>
      <c r="AY534" s="305"/>
      <c r="AZ534" s="249"/>
      <c r="BA534" s="221"/>
      <c r="BB534" s="300"/>
      <c r="BC534" s="217"/>
      <c r="BD534" s="392"/>
      <c r="BE534" s="1244"/>
      <c r="BF534" s="249"/>
      <c r="BG534" s="252"/>
      <c r="BH534" s="1469"/>
      <c r="BI534" s="216"/>
      <c r="BJ534" s="1469"/>
      <c r="BK534" s="1459"/>
      <c r="BL534" s="260"/>
      <c r="BM534" s="214"/>
      <c r="BN534" s="293"/>
      <c r="BO534" s="217"/>
      <c r="BP534" s="355"/>
      <c r="BQ534" s="217"/>
      <c r="BR534" s="1193"/>
      <c r="BS534" s="249"/>
      <c r="BT534" s="216"/>
      <c r="BU534" s="1195"/>
      <c r="BV534" s="249"/>
      <c r="BW534" s="216"/>
      <c r="BX534" s="1195"/>
      <c r="BY534" s="249"/>
      <c r="BZ534" s="216"/>
      <c r="CA534" s="1195"/>
      <c r="CB534" s="249"/>
      <c r="CC534" s="216"/>
      <c r="CD534" s="1195"/>
      <c r="CE534" s="249"/>
      <c r="CF534" s="216"/>
      <c r="CG534" s="1195"/>
      <c r="CH534" s="249"/>
      <c r="CI534" s="216"/>
      <c r="CJ534" s="1195"/>
      <c r="CK534" s="249"/>
      <c r="CL534" s="216"/>
      <c r="CM534" s="1194"/>
      <c r="CN534" s="1524"/>
      <c r="CO534" s="217"/>
      <c r="CP534" s="1193"/>
      <c r="CQ534" s="293"/>
      <c r="CR534" s="217"/>
      <c r="CS534" s="305"/>
      <c r="CT534" s="249"/>
      <c r="CU534" s="216"/>
      <c r="CV534" s="1193"/>
      <c r="CW534" s="249"/>
      <c r="CX534" s="216"/>
      <c r="CY534" s="305"/>
      <c r="CZ534" s="249"/>
      <c r="DA534" s="216"/>
      <c r="DB534" s="307"/>
      <c r="DC534" s="328"/>
      <c r="DD534" s="322"/>
      <c r="DE534" s="305"/>
      <c r="DF534" s="249"/>
      <c r="DG534" s="216"/>
      <c r="DH534" s="305"/>
      <c r="DI534" s="249"/>
      <c r="DJ534" s="216"/>
      <c r="DK534" s="309"/>
      <c r="DL534" s="293"/>
      <c r="DM534" s="326"/>
      <c r="DN534" s="1256"/>
      <c r="DO534" s="214"/>
      <c r="DP534" s="1257"/>
      <c r="DQ534" s="1258"/>
      <c r="DR534" s="305"/>
      <c r="DS534" s="249"/>
      <c r="DT534" s="216"/>
      <c r="DU534" s="305"/>
      <c r="DV534" s="2520"/>
      <c r="DW534" s="2521"/>
      <c r="DX534" s="305"/>
      <c r="DY534" s="249"/>
      <c r="DZ534" s="221"/>
      <c r="EA534" s="388"/>
      <c r="EB534" s="249"/>
      <c r="EC534" s="216"/>
      <c r="ED534" s="1461"/>
      <c r="EE534" s="249"/>
      <c r="EF534" s="216"/>
      <c r="EG534" s="355"/>
      <c r="EH534" s="1425"/>
      <c r="EI534" s="1470"/>
      <c r="EJ534" s="249"/>
      <c r="EK534" s="221"/>
      <c r="EL534" s="313"/>
      <c r="EM534" s="249"/>
      <c r="EN534" s="221"/>
      <c r="EO534" s="313"/>
      <c r="EP534" s="249"/>
      <c r="EQ534" s="216"/>
      <c r="ER534" s="313"/>
      <c r="ES534" s="249"/>
      <c r="ET534" s="216"/>
      <c r="EU534" s="313"/>
      <c r="EV534" s="249"/>
      <c r="EW534" s="216"/>
      <c r="EX534" s="2505"/>
      <c r="EY534" s="249"/>
      <c r="EZ534" s="221"/>
      <c r="FA534" s="313"/>
      <c r="FB534" s="249"/>
      <c r="FC534" s="221"/>
      <c r="FD534" s="313"/>
      <c r="FE534" s="249"/>
      <c r="FF534" s="221"/>
      <c r="FG534" s="313"/>
      <c r="FH534" s="249"/>
      <c r="FI534" s="216"/>
      <c r="FJ534" s="1435"/>
      <c r="FK534" s="216"/>
      <c r="FL534" s="1268"/>
      <c r="FM534" s="1655"/>
      <c r="FN534" s="1268"/>
      <c r="FO534" s="1655"/>
      <c r="FP534" s="1268"/>
      <c r="FQ534" s="1656"/>
      <c r="FR534" s="249"/>
      <c r="FS534" s="216"/>
      <c r="FT534" s="1657"/>
      <c r="FU534" s="1658"/>
      <c r="FV534" s="242"/>
      <c r="FW534" s="343"/>
      <c r="FX534" s="222"/>
      <c r="FY534" s="336"/>
      <c r="FZ534" s="223"/>
      <c r="GA534" s="338"/>
      <c r="GB534" s="204"/>
      <c r="GC534" s="339"/>
      <c r="GD534" s="342"/>
      <c r="GE534" s="199"/>
      <c r="GF534" s="199"/>
      <c r="GG534" s="199"/>
      <c r="GH534" s="199"/>
      <c r="GI534" s="199"/>
      <c r="GJ534" s="199"/>
      <c r="GK534" s="199"/>
      <c r="GO534" s="322"/>
      <c r="GP534" s="1190"/>
      <c r="GQ534" s="1190"/>
      <c r="GS534" s="2879"/>
      <c r="GT534" s="2880"/>
      <c r="GU534" s="2881"/>
    </row>
    <row r="535" spans="1:203" ht="12" customHeight="1">
      <c r="A535" s="1252"/>
      <c r="B535" s="200"/>
      <c r="C535" s="486"/>
      <c r="T535" s="1186"/>
      <c r="U535" s="233"/>
      <c r="W535" s="218"/>
      <c r="X535" s="218"/>
      <c r="Y535" s="216"/>
      <c r="Z535" s="216"/>
      <c r="AA535" s="215"/>
      <c r="AB535" s="216"/>
      <c r="AC535" s="216"/>
      <c r="AD535" s="239"/>
      <c r="AE535" s="216"/>
      <c r="AF535" s="216"/>
      <c r="AG535" s="216"/>
      <c r="AH535" s="216"/>
      <c r="AI535" s="216"/>
      <c r="AJ535" s="216"/>
      <c r="AK535" s="239"/>
      <c r="AL535" s="216"/>
      <c r="AM535" s="216"/>
      <c r="AN535" s="216"/>
      <c r="AO535" s="216"/>
      <c r="AP535" s="216"/>
      <c r="AQ535" s="216"/>
      <c r="AR535" s="216"/>
      <c r="AS535" s="216"/>
      <c r="AT535" s="216"/>
      <c r="AU535" s="216"/>
      <c r="AV535" s="217"/>
      <c r="AW535" s="355"/>
      <c r="AX535" s="217"/>
      <c r="AY535" s="305"/>
      <c r="AZ535" s="249"/>
      <c r="BA535" s="221"/>
      <c r="BB535" s="300"/>
      <c r="BC535" s="217"/>
      <c r="BD535" s="392"/>
      <c r="BE535" s="1244"/>
      <c r="BF535" s="249"/>
      <c r="BG535" s="252"/>
      <c r="BH535" s="1469"/>
      <c r="BI535" s="216"/>
      <c r="BJ535" s="1469"/>
      <c r="BK535" s="1459"/>
      <c r="BL535" s="260"/>
      <c r="BM535" s="214"/>
      <c r="BN535" s="293"/>
      <c r="BO535" s="217"/>
      <c r="BP535" s="355"/>
      <c r="BQ535" s="217"/>
      <c r="BR535" s="1193"/>
      <c r="BS535" s="249"/>
      <c r="BT535" s="216"/>
      <c r="BU535" s="1195"/>
      <c r="BV535" s="249"/>
      <c r="BW535" s="216"/>
      <c r="BX535" s="1195"/>
      <c r="BY535" s="249"/>
      <c r="BZ535" s="216"/>
      <c r="CA535" s="1195"/>
      <c r="CB535" s="249"/>
      <c r="CC535" s="216"/>
      <c r="CD535" s="1195"/>
      <c r="CE535" s="249"/>
      <c r="CF535" s="216"/>
      <c r="CG535" s="1195"/>
      <c r="CH535" s="249"/>
      <c r="CI535" s="216"/>
      <c r="CJ535" s="1195"/>
      <c r="CK535" s="249"/>
      <c r="CL535" s="216"/>
      <c r="CM535" s="1194"/>
      <c r="CN535" s="1524"/>
      <c r="CO535" s="217"/>
      <c r="CP535" s="1193"/>
      <c r="CQ535" s="293"/>
      <c r="CR535" s="217"/>
      <c r="CS535" s="305"/>
      <c r="CT535" s="249"/>
      <c r="CU535" s="216"/>
      <c r="CV535" s="1193"/>
      <c r="CW535" s="249"/>
      <c r="CX535" s="216"/>
      <c r="CY535" s="305"/>
      <c r="CZ535" s="249"/>
      <c r="DA535" s="216"/>
      <c r="DB535" s="307"/>
      <c r="DC535" s="328"/>
      <c r="DD535" s="322"/>
      <c r="DE535" s="305"/>
      <c r="DF535" s="249"/>
      <c r="DG535" s="216"/>
      <c r="DH535" s="305"/>
      <c r="DI535" s="249"/>
      <c r="DJ535" s="216"/>
      <c r="DK535" s="309"/>
      <c r="DL535" s="293"/>
      <c r="DM535" s="326"/>
      <c r="DN535" s="1256"/>
      <c r="DO535" s="214"/>
      <c r="DP535" s="1257"/>
      <c r="DQ535" s="1258"/>
      <c r="DR535" s="305"/>
      <c r="DS535" s="249"/>
      <c r="DT535" s="216"/>
      <c r="DU535" s="305"/>
      <c r="DV535" s="2520"/>
      <c r="DW535" s="2521"/>
      <c r="DX535" s="305"/>
      <c r="DY535" s="249"/>
      <c r="DZ535" s="221"/>
      <c r="EA535" s="388"/>
      <c r="EB535" s="249"/>
      <c r="EC535" s="216"/>
      <c r="ED535" s="1461"/>
      <c r="EE535" s="249"/>
      <c r="EF535" s="216"/>
      <c r="EG535" s="355"/>
      <c r="EH535" s="1425"/>
      <c r="EI535" s="1470"/>
      <c r="EJ535" s="249"/>
      <c r="EK535" s="221"/>
      <c r="EL535" s="313"/>
      <c r="EM535" s="249"/>
      <c r="EN535" s="221"/>
      <c r="EO535" s="313"/>
      <c r="EP535" s="249"/>
      <c r="EQ535" s="216"/>
      <c r="ER535" s="313"/>
      <c r="ES535" s="249"/>
      <c r="ET535" s="216"/>
      <c r="EU535" s="313"/>
      <c r="EV535" s="249"/>
      <c r="EW535" s="216"/>
      <c r="EX535" s="2505"/>
      <c r="EY535" s="249"/>
      <c r="EZ535" s="221"/>
      <c r="FA535" s="313"/>
      <c r="FB535" s="249"/>
      <c r="FC535" s="221"/>
      <c r="FD535" s="313"/>
      <c r="FE535" s="249"/>
      <c r="FF535" s="221"/>
      <c r="FG535" s="313"/>
      <c r="FH535" s="249"/>
      <c r="FI535" s="216"/>
      <c r="FJ535" s="1435"/>
      <c r="FK535" s="216"/>
      <c r="FL535" s="1268"/>
      <c r="FM535" s="1655"/>
      <c r="FN535" s="1268"/>
      <c r="FO535" s="1655"/>
      <c r="FP535" s="1268"/>
      <c r="FQ535" s="1656"/>
      <c r="FR535" s="249"/>
      <c r="FS535" s="216"/>
      <c r="FT535" s="1657"/>
      <c r="FU535" s="1658"/>
      <c r="FV535" s="242"/>
      <c r="FW535" s="343"/>
      <c r="FX535" s="222"/>
      <c r="FY535" s="336"/>
      <c r="FZ535" s="223"/>
      <c r="GA535" s="338"/>
      <c r="GB535" s="204"/>
      <c r="GC535" s="339"/>
      <c r="GD535" s="342"/>
      <c r="GE535" s="199"/>
      <c r="GF535" s="199"/>
      <c r="GG535" s="199"/>
      <c r="GH535" s="199"/>
      <c r="GI535" s="199"/>
      <c r="GJ535" s="199"/>
      <c r="GK535" s="199"/>
      <c r="GO535" s="322"/>
      <c r="GP535" s="1190"/>
      <c r="GQ535" s="1190"/>
      <c r="GS535" s="2879"/>
      <c r="GT535" s="2880"/>
      <c r="GU535" s="2881"/>
    </row>
    <row r="536" spans="1:203" ht="12" customHeight="1">
      <c r="A536" s="1252"/>
      <c r="B536" s="200"/>
      <c r="C536" s="486"/>
      <c r="T536" s="1186"/>
      <c r="U536" s="233"/>
      <c r="W536" s="218"/>
      <c r="X536" s="218"/>
      <c r="Y536" s="216"/>
      <c r="Z536" s="216"/>
      <c r="AA536" s="215"/>
      <c r="AB536" s="216"/>
      <c r="AC536" s="216"/>
      <c r="AD536" s="239"/>
      <c r="AE536" s="216"/>
      <c r="AF536" s="216"/>
      <c r="AG536" s="216"/>
      <c r="AH536" s="216"/>
      <c r="AI536" s="216"/>
      <c r="AJ536" s="216"/>
      <c r="AK536" s="239"/>
      <c r="AL536" s="216"/>
      <c r="AM536" s="216"/>
      <c r="AN536" s="216"/>
      <c r="AO536" s="216"/>
      <c r="AP536" s="216"/>
      <c r="AQ536" s="216"/>
      <c r="AR536" s="216"/>
      <c r="AS536" s="216"/>
      <c r="AT536" s="216"/>
      <c r="AU536" s="216"/>
      <c r="AV536" s="217"/>
      <c r="AW536" s="355"/>
      <c r="AX536" s="217"/>
      <c r="AY536" s="305"/>
      <c r="AZ536" s="249"/>
      <c r="BA536" s="221"/>
      <c r="BB536" s="300"/>
      <c r="BC536" s="217"/>
      <c r="BD536" s="392"/>
      <c r="BE536" s="1244"/>
      <c r="BF536" s="249"/>
      <c r="BG536" s="252"/>
      <c r="BH536" s="1469"/>
      <c r="BI536" s="216"/>
      <c r="BJ536" s="1469"/>
      <c r="BK536" s="1459"/>
      <c r="BL536" s="260"/>
      <c r="BM536" s="214"/>
      <c r="BN536" s="293"/>
      <c r="BO536" s="217"/>
      <c r="BP536" s="355"/>
      <c r="BQ536" s="217"/>
      <c r="BR536" s="1193"/>
      <c r="BS536" s="249"/>
      <c r="BT536" s="216"/>
      <c r="BU536" s="1195"/>
      <c r="BV536" s="249"/>
      <c r="BW536" s="216"/>
      <c r="BX536" s="1195"/>
      <c r="BY536" s="249"/>
      <c r="BZ536" s="216"/>
      <c r="CA536" s="1195"/>
      <c r="CB536" s="249"/>
      <c r="CC536" s="216"/>
      <c r="CD536" s="1195"/>
      <c r="CE536" s="249"/>
      <c r="CF536" s="216"/>
      <c r="CG536" s="1195"/>
      <c r="CH536" s="249"/>
      <c r="CI536" s="216"/>
      <c r="CJ536" s="1195"/>
      <c r="CK536" s="249"/>
      <c r="CL536" s="216"/>
      <c r="CM536" s="1194"/>
      <c r="CN536" s="1524"/>
      <c r="CO536" s="217"/>
      <c r="CP536" s="1193"/>
      <c r="CQ536" s="293"/>
      <c r="CR536" s="217"/>
      <c r="CS536" s="305"/>
      <c r="CT536" s="249"/>
      <c r="CU536" s="216"/>
      <c r="CV536" s="1193"/>
      <c r="CW536" s="249"/>
      <c r="CX536" s="216"/>
      <c r="CY536" s="305"/>
      <c r="CZ536" s="249"/>
      <c r="DA536" s="216"/>
      <c r="DB536" s="307"/>
      <c r="DC536" s="328"/>
      <c r="DD536" s="322"/>
      <c r="DE536" s="305"/>
      <c r="DF536" s="249"/>
      <c r="DG536" s="216"/>
      <c r="DH536" s="305"/>
      <c r="DI536" s="249"/>
      <c r="DJ536" s="216"/>
      <c r="DK536" s="309"/>
      <c r="DL536" s="293"/>
      <c r="DM536" s="326"/>
      <c r="DN536" s="1256"/>
      <c r="DO536" s="214"/>
      <c r="DP536" s="1257"/>
      <c r="DQ536" s="1258"/>
      <c r="DR536" s="305"/>
      <c r="DS536" s="249"/>
      <c r="DT536" s="216"/>
      <c r="DU536" s="305"/>
      <c r="DV536" s="2520"/>
      <c r="DW536" s="2521"/>
      <c r="DX536" s="305"/>
      <c r="DY536" s="249"/>
      <c r="DZ536" s="221"/>
      <c r="EA536" s="388"/>
      <c r="EB536" s="249"/>
      <c r="EC536" s="216"/>
      <c r="ED536" s="1461"/>
      <c r="EE536" s="249"/>
      <c r="EF536" s="216"/>
      <c r="EG536" s="355"/>
      <c r="EH536" s="1425"/>
      <c r="EI536" s="1470"/>
      <c r="EJ536" s="249"/>
      <c r="EK536" s="221"/>
      <c r="EL536" s="313"/>
      <c r="EM536" s="249"/>
      <c r="EN536" s="221"/>
      <c r="EO536" s="313"/>
      <c r="EP536" s="249"/>
      <c r="EQ536" s="216"/>
      <c r="ER536" s="313"/>
      <c r="ES536" s="249"/>
      <c r="ET536" s="216"/>
      <c r="EU536" s="313"/>
      <c r="EV536" s="249"/>
      <c r="EW536" s="216"/>
      <c r="EX536" s="2505"/>
      <c r="EY536" s="249"/>
      <c r="EZ536" s="221"/>
      <c r="FA536" s="313"/>
      <c r="FB536" s="249"/>
      <c r="FC536" s="221"/>
      <c r="FD536" s="313"/>
      <c r="FE536" s="249"/>
      <c r="FF536" s="221"/>
      <c r="FG536" s="313"/>
      <c r="FH536" s="249"/>
      <c r="FI536" s="216"/>
      <c r="FJ536" s="1435"/>
      <c r="FK536" s="216"/>
      <c r="FL536" s="1268"/>
      <c r="FM536" s="1655"/>
      <c r="FN536" s="1268"/>
      <c r="FO536" s="1655"/>
      <c r="FP536" s="1268"/>
      <c r="FQ536" s="1656"/>
      <c r="FR536" s="249"/>
      <c r="FS536" s="216"/>
      <c r="FT536" s="1657"/>
      <c r="FU536" s="1658"/>
      <c r="FV536" s="242"/>
      <c r="FW536" s="343"/>
      <c r="FX536" s="222"/>
      <c r="FY536" s="336"/>
      <c r="FZ536" s="223"/>
      <c r="GA536" s="338"/>
      <c r="GB536" s="204"/>
      <c r="GC536" s="339"/>
      <c r="GD536" s="342"/>
      <c r="GE536" s="199"/>
      <c r="GF536" s="199"/>
      <c r="GG536" s="199"/>
      <c r="GH536" s="199"/>
      <c r="GI536" s="199"/>
      <c r="GJ536" s="199"/>
      <c r="GK536" s="199"/>
      <c r="GO536" s="322"/>
      <c r="GP536" s="1190"/>
      <c r="GQ536" s="1190"/>
      <c r="GS536" s="2879"/>
      <c r="GT536" s="2880"/>
      <c r="GU536" s="2881"/>
    </row>
    <row r="537" spans="1:203" ht="12" customHeight="1">
      <c r="A537" s="1252"/>
      <c r="B537" s="200"/>
      <c r="C537" s="486"/>
      <c r="T537" s="1186"/>
      <c r="U537" s="233"/>
      <c r="W537" s="218"/>
      <c r="X537" s="218"/>
      <c r="Y537" s="216"/>
      <c r="Z537" s="216"/>
      <c r="AA537" s="215"/>
      <c r="AB537" s="216"/>
      <c r="AC537" s="216"/>
      <c r="AD537" s="239"/>
      <c r="AE537" s="216"/>
      <c r="AF537" s="216"/>
      <c r="AG537" s="216"/>
      <c r="AH537" s="216"/>
      <c r="AI537" s="216"/>
      <c r="AJ537" s="216"/>
      <c r="AK537" s="239"/>
      <c r="AL537" s="216"/>
      <c r="AM537" s="216"/>
      <c r="AN537" s="216"/>
      <c r="AO537" s="216"/>
      <c r="AP537" s="216"/>
      <c r="AQ537" s="216"/>
      <c r="AR537" s="216"/>
      <c r="AS537" s="216"/>
      <c r="AT537" s="216"/>
      <c r="AU537" s="216"/>
      <c r="AV537" s="217"/>
      <c r="AW537" s="355"/>
      <c r="AX537" s="217"/>
      <c r="AY537" s="305"/>
      <c r="AZ537" s="249"/>
      <c r="BA537" s="221"/>
      <c r="BB537" s="300"/>
      <c r="BC537" s="217"/>
      <c r="BD537" s="392"/>
      <c r="BE537" s="1244"/>
      <c r="BF537" s="249"/>
      <c r="BG537" s="252"/>
      <c r="BH537" s="1469"/>
      <c r="BI537" s="216"/>
      <c r="BJ537" s="1469"/>
      <c r="BK537" s="1459"/>
      <c r="BL537" s="260"/>
      <c r="BM537" s="214"/>
      <c r="BN537" s="293"/>
      <c r="BO537" s="217"/>
      <c r="BP537" s="355"/>
      <c r="BQ537" s="217"/>
      <c r="BR537" s="1193"/>
      <c r="BS537" s="249"/>
      <c r="BT537" s="216"/>
      <c r="BU537" s="1195"/>
      <c r="BV537" s="249"/>
      <c r="BW537" s="216"/>
      <c r="BX537" s="1195"/>
      <c r="BY537" s="249"/>
      <c r="BZ537" s="216"/>
      <c r="CA537" s="1195"/>
      <c r="CB537" s="249"/>
      <c r="CC537" s="216"/>
      <c r="CD537" s="1195"/>
      <c r="CE537" s="249"/>
      <c r="CF537" s="216"/>
      <c r="CG537" s="1195"/>
      <c r="CH537" s="249"/>
      <c r="CI537" s="216"/>
      <c r="CJ537" s="1195"/>
      <c r="CK537" s="249"/>
      <c r="CL537" s="216"/>
      <c r="CM537" s="1194"/>
      <c r="CN537" s="1524"/>
      <c r="CO537" s="217"/>
      <c r="CP537" s="1193"/>
      <c r="CQ537" s="293"/>
      <c r="CR537" s="217"/>
      <c r="CS537" s="305"/>
      <c r="CT537" s="249"/>
      <c r="CU537" s="216"/>
      <c r="CV537" s="1193"/>
      <c r="CW537" s="249"/>
      <c r="CX537" s="216"/>
      <c r="CY537" s="305"/>
      <c r="CZ537" s="249"/>
      <c r="DA537" s="216"/>
      <c r="DB537" s="307"/>
      <c r="DC537" s="328"/>
      <c r="DD537" s="322"/>
      <c r="DE537" s="305"/>
      <c r="DF537" s="249"/>
      <c r="DG537" s="216"/>
      <c r="DH537" s="305"/>
      <c r="DI537" s="249"/>
      <c r="DJ537" s="216"/>
      <c r="DK537" s="309"/>
      <c r="DL537" s="293"/>
      <c r="DM537" s="326"/>
      <c r="DN537" s="1256"/>
      <c r="DO537" s="214"/>
      <c r="DP537" s="1257"/>
      <c r="DQ537" s="1258"/>
      <c r="DR537" s="305"/>
      <c r="DS537" s="249"/>
      <c r="DT537" s="216"/>
      <c r="DU537" s="305"/>
      <c r="DV537" s="2520"/>
      <c r="DW537" s="2521"/>
      <c r="DX537" s="305"/>
      <c r="DY537" s="249"/>
      <c r="DZ537" s="221"/>
      <c r="EA537" s="388"/>
      <c r="EB537" s="249"/>
      <c r="EC537" s="216"/>
      <c r="ED537" s="1461"/>
      <c r="EE537" s="249"/>
      <c r="EF537" s="216"/>
      <c r="EG537" s="355"/>
      <c r="EH537" s="1425"/>
      <c r="EI537" s="1470"/>
      <c r="EJ537" s="249"/>
      <c r="EK537" s="221"/>
      <c r="EL537" s="313"/>
      <c r="EM537" s="249"/>
      <c r="EN537" s="221"/>
      <c r="EO537" s="313"/>
      <c r="EP537" s="249"/>
      <c r="EQ537" s="216"/>
      <c r="ER537" s="313"/>
      <c r="ES537" s="249"/>
      <c r="ET537" s="216"/>
      <c r="EU537" s="313"/>
      <c r="EV537" s="249"/>
      <c r="EW537" s="216"/>
      <c r="EX537" s="2505"/>
      <c r="EY537" s="249"/>
      <c r="EZ537" s="221"/>
      <c r="FA537" s="313"/>
      <c r="FB537" s="249"/>
      <c r="FC537" s="221"/>
      <c r="FD537" s="313"/>
      <c r="FE537" s="249"/>
      <c r="FF537" s="221"/>
      <c r="FG537" s="313"/>
      <c r="FH537" s="249"/>
      <c r="FI537" s="216"/>
      <c r="FJ537" s="1435"/>
      <c r="FK537" s="216"/>
      <c r="FL537" s="1268"/>
      <c r="FM537" s="1655"/>
      <c r="FN537" s="1268"/>
      <c r="FO537" s="1655"/>
      <c r="FP537" s="1268"/>
      <c r="FQ537" s="1656"/>
      <c r="FR537" s="249"/>
      <c r="FS537" s="216"/>
      <c r="FT537" s="1657"/>
      <c r="FU537" s="1658"/>
      <c r="FV537" s="242"/>
      <c r="FW537" s="343"/>
      <c r="FX537" s="222"/>
      <c r="FY537" s="336"/>
      <c r="FZ537" s="223"/>
      <c r="GA537" s="338"/>
      <c r="GB537" s="204"/>
      <c r="GC537" s="339"/>
      <c r="GD537" s="342"/>
      <c r="GE537" s="199"/>
      <c r="GF537" s="199"/>
      <c r="GG537" s="199"/>
      <c r="GH537" s="199"/>
      <c r="GI537" s="199"/>
      <c r="GJ537" s="199"/>
      <c r="GK537" s="199"/>
      <c r="GO537" s="322"/>
      <c r="GP537" s="1190"/>
      <c r="GQ537" s="1190"/>
      <c r="GS537" s="2879"/>
      <c r="GT537" s="2880"/>
      <c r="GU537" s="2881"/>
    </row>
    <row r="538" spans="1:203" ht="12" customHeight="1">
      <c r="A538" s="1252"/>
      <c r="B538" s="200"/>
      <c r="C538" s="486"/>
      <c r="T538" s="1186"/>
      <c r="U538" s="233"/>
      <c r="W538" s="218"/>
      <c r="X538" s="218"/>
      <c r="Y538" s="216"/>
      <c r="Z538" s="216"/>
      <c r="AA538" s="215"/>
      <c r="AB538" s="216"/>
      <c r="AC538" s="216"/>
      <c r="AD538" s="239"/>
      <c r="AE538" s="216"/>
      <c r="AF538" s="216"/>
      <c r="AG538" s="216"/>
      <c r="AH538" s="216"/>
      <c r="AI538" s="216"/>
      <c r="AJ538" s="216"/>
      <c r="AK538" s="239"/>
      <c r="AL538" s="216"/>
      <c r="AM538" s="216"/>
      <c r="AN538" s="216"/>
      <c r="AO538" s="216"/>
      <c r="AP538" s="216"/>
      <c r="AQ538" s="216"/>
      <c r="AR538" s="216"/>
      <c r="AS538" s="216"/>
      <c r="AT538" s="216"/>
      <c r="AU538" s="216"/>
      <c r="AV538" s="217"/>
      <c r="AW538" s="355"/>
      <c r="AX538" s="217"/>
      <c r="AY538" s="305"/>
      <c r="AZ538" s="249"/>
      <c r="BA538" s="221"/>
      <c r="BB538" s="300"/>
      <c r="BC538" s="217"/>
      <c r="BD538" s="392"/>
      <c r="BE538" s="1244"/>
      <c r="BF538" s="249"/>
      <c r="BG538" s="252"/>
      <c r="BH538" s="1469"/>
      <c r="BI538" s="216"/>
      <c r="BJ538" s="1469"/>
      <c r="BK538" s="1459"/>
      <c r="BL538" s="260"/>
      <c r="BM538" s="214"/>
      <c r="BN538" s="293"/>
      <c r="BO538" s="217"/>
      <c r="BP538" s="355"/>
      <c r="BQ538" s="217"/>
      <c r="BR538" s="1193"/>
      <c r="BS538" s="249"/>
      <c r="BT538" s="216"/>
      <c r="BU538" s="1195"/>
      <c r="BV538" s="249"/>
      <c r="BW538" s="216"/>
      <c r="BX538" s="1195"/>
      <c r="BY538" s="249"/>
      <c r="BZ538" s="216"/>
      <c r="CA538" s="1195"/>
      <c r="CB538" s="249"/>
      <c r="CC538" s="216"/>
      <c r="CD538" s="1195"/>
      <c r="CE538" s="249"/>
      <c r="CF538" s="216"/>
      <c r="CG538" s="1195"/>
      <c r="CH538" s="249"/>
      <c r="CI538" s="216"/>
      <c r="CJ538" s="1195"/>
      <c r="CK538" s="249"/>
      <c r="CL538" s="216"/>
      <c r="CM538" s="1194"/>
      <c r="CN538" s="1524"/>
      <c r="CO538" s="217"/>
      <c r="CP538" s="1193"/>
      <c r="CQ538" s="293"/>
      <c r="CR538" s="217"/>
      <c r="CS538" s="305"/>
      <c r="CT538" s="249"/>
      <c r="CU538" s="216"/>
      <c r="CV538" s="1193"/>
      <c r="CW538" s="249"/>
      <c r="CX538" s="216"/>
      <c r="CY538" s="305"/>
      <c r="CZ538" s="249"/>
      <c r="DA538" s="216"/>
      <c r="DB538" s="307"/>
      <c r="DC538" s="328"/>
      <c r="DD538" s="322"/>
      <c r="DE538" s="305"/>
      <c r="DF538" s="249"/>
      <c r="DG538" s="216"/>
      <c r="DH538" s="305"/>
      <c r="DI538" s="249"/>
      <c r="DJ538" s="216"/>
      <c r="DK538" s="309"/>
      <c r="DL538" s="293"/>
      <c r="DM538" s="326"/>
      <c r="DN538" s="1256"/>
      <c r="DO538" s="214"/>
      <c r="DP538" s="1257"/>
      <c r="DQ538" s="1258"/>
      <c r="DR538" s="305"/>
      <c r="DS538" s="249"/>
      <c r="DT538" s="216"/>
      <c r="DU538" s="305"/>
      <c r="DV538" s="2520"/>
      <c r="DW538" s="2521"/>
      <c r="DX538" s="305"/>
      <c r="DY538" s="249"/>
      <c r="DZ538" s="221"/>
      <c r="EA538" s="388"/>
      <c r="EB538" s="249"/>
      <c r="EC538" s="216"/>
      <c r="ED538" s="1461"/>
      <c r="EE538" s="249"/>
      <c r="EF538" s="216"/>
      <c r="EG538" s="355"/>
      <c r="EH538" s="1425"/>
      <c r="EI538" s="1470"/>
      <c r="EJ538" s="249"/>
      <c r="EK538" s="221"/>
      <c r="EL538" s="313"/>
      <c r="EM538" s="249"/>
      <c r="EN538" s="221"/>
      <c r="EO538" s="313"/>
      <c r="EP538" s="249"/>
      <c r="EQ538" s="216"/>
      <c r="ER538" s="313"/>
      <c r="ES538" s="249"/>
      <c r="ET538" s="216"/>
      <c r="EU538" s="313"/>
      <c r="EV538" s="249"/>
      <c r="EW538" s="216"/>
      <c r="EX538" s="2505"/>
      <c r="EY538" s="249"/>
      <c r="EZ538" s="221"/>
      <c r="FA538" s="313"/>
      <c r="FB538" s="249"/>
      <c r="FC538" s="221"/>
      <c r="FD538" s="313"/>
      <c r="FE538" s="249"/>
      <c r="FF538" s="221"/>
      <c r="FG538" s="313"/>
      <c r="FH538" s="249"/>
      <c r="FI538" s="216"/>
      <c r="FJ538" s="1435"/>
      <c r="FK538" s="216"/>
      <c r="FL538" s="1268"/>
      <c r="FM538" s="1655"/>
      <c r="FN538" s="1268"/>
      <c r="FO538" s="1655"/>
      <c r="FP538" s="1268"/>
      <c r="FQ538" s="1656"/>
      <c r="FR538" s="249"/>
      <c r="FS538" s="216"/>
      <c r="FT538" s="1657"/>
      <c r="FU538" s="1658"/>
      <c r="FV538" s="242"/>
      <c r="FW538" s="343"/>
      <c r="FX538" s="222"/>
      <c r="FY538" s="336"/>
      <c r="FZ538" s="223"/>
      <c r="GA538" s="338"/>
      <c r="GB538" s="204"/>
      <c r="GC538" s="339"/>
      <c r="GD538" s="342"/>
      <c r="GE538" s="199"/>
      <c r="GF538" s="199"/>
      <c r="GG538" s="199"/>
      <c r="GH538" s="199"/>
      <c r="GI538" s="199"/>
      <c r="GJ538" s="199"/>
      <c r="GK538" s="199"/>
      <c r="GO538" s="322"/>
      <c r="GP538" s="1190"/>
      <c r="GQ538" s="1190"/>
      <c r="GS538" s="2879"/>
      <c r="GT538" s="2880"/>
      <c r="GU538" s="2881"/>
    </row>
    <row r="539" spans="1:203" ht="12" customHeight="1">
      <c r="A539" s="1252"/>
      <c r="B539" s="200"/>
      <c r="C539" s="486"/>
      <c r="T539" s="1186"/>
      <c r="U539" s="233"/>
      <c r="W539" s="218"/>
      <c r="X539" s="218"/>
      <c r="Y539" s="216"/>
      <c r="Z539" s="216"/>
      <c r="AA539" s="215"/>
      <c r="AB539" s="216"/>
      <c r="AC539" s="216"/>
      <c r="AD539" s="239"/>
      <c r="AE539" s="216"/>
      <c r="AF539" s="216"/>
      <c r="AG539" s="216"/>
      <c r="AH539" s="216"/>
      <c r="AI539" s="216"/>
      <c r="AJ539" s="216"/>
      <c r="AK539" s="239"/>
      <c r="AL539" s="216"/>
      <c r="AM539" s="216"/>
      <c r="AN539" s="216"/>
      <c r="AO539" s="216"/>
      <c r="AP539" s="216"/>
      <c r="AQ539" s="216"/>
      <c r="AR539" s="216"/>
      <c r="AS539" s="216"/>
      <c r="AT539" s="216"/>
      <c r="AU539" s="216"/>
      <c r="AV539" s="217"/>
      <c r="AW539" s="355"/>
      <c r="AX539" s="217"/>
      <c r="AY539" s="305"/>
      <c r="AZ539" s="249"/>
      <c r="BA539" s="221"/>
      <c r="BB539" s="300"/>
      <c r="BC539" s="217"/>
      <c r="BD539" s="392"/>
      <c r="BE539" s="1244"/>
      <c r="BF539" s="249"/>
      <c r="BG539" s="252"/>
      <c r="BH539" s="1469"/>
      <c r="BI539" s="216"/>
      <c r="BJ539" s="1469"/>
      <c r="BK539" s="1459"/>
      <c r="BL539" s="260"/>
      <c r="BM539" s="214"/>
      <c r="BN539" s="293"/>
      <c r="BO539" s="217"/>
      <c r="BP539" s="355"/>
      <c r="BQ539" s="217"/>
      <c r="BR539" s="1193"/>
      <c r="BS539" s="249"/>
      <c r="BT539" s="216"/>
      <c r="BU539" s="1195"/>
      <c r="BV539" s="249"/>
      <c r="BW539" s="216"/>
      <c r="BX539" s="1195"/>
      <c r="BY539" s="249"/>
      <c r="BZ539" s="216"/>
      <c r="CA539" s="1195"/>
      <c r="CB539" s="249"/>
      <c r="CC539" s="216"/>
      <c r="CD539" s="1195"/>
      <c r="CE539" s="249"/>
      <c r="CF539" s="216"/>
      <c r="CG539" s="1195"/>
      <c r="CH539" s="249"/>
      <c r="CI539" s="216"/>
      <c r="CJ539" s="1195"/>
      <c r="CK539" s="249"/>
      <c r="CL539" s="216"/>
      <c r="CM539" s="1194"/>
      <c r="CN539" s="1524"/>
      <c r="CO539" s="217"/>
      <c r="CP539" s="1193"/>
      <c r="CQ539" s="293"/>
      <c r="CR539" s="217"/>
      <c r="CS539" s="305"/>
      <c r="CT539" s="249"/>
      <c r="CU539" s="216"/>
      <c r="CV539" s="1193"/>
      <c r="CW539" s="249"/>
      <c r="CX539" s="216"/>
      <c r="CY539" s="305"/>
      <c r="CZ539" s="249"/>
      <c r="DA539" s="216"/>
      <c r="DB539" s="307"/>
      <c r="DC539" s="328"/>
      <c r="DD539" s="322"/>
      <c r="DE539" s="305"/>
      <c r="DF539" s="249"/>
      <c r="DG539" s="216"/>
      <c r="DH539" s="305"/>
      <c r="DI539" s="249"/>
      <c r="DJ539" s="216"/>
      <c r="DK539" s="309"/>
      <c r="DL539" s="293"/>
      <c r="DM539" s="326"/>
      <c r="DN539" s="1256"/>
      <c r="DO539" s="214"/>
      <c r="DP539" s="1257"/>
      <c r="DQ539" s="1258"/>
      <c r="DR539" s="305"/>
      <c r="DS539" s="249"/>
      <c r="DT539" s="216"/>
      <c r="DU539" s="305"/>
      <c r="DV539" s="2520"/>
      <c r="DW539" s="2521"/>
      <c r="DX539" s="305"/>
      <c r="DY539" s="249"/>
      <c r="DZ539" s="221"/>
      <c r="EA539" s="388"/>
      <c r="EB539" s="249"/>
      <c r="EC539" s="216"/>
      <c r="ED539" s="1461"/>
      <c r="EE539" s="249"/>
      <c r="EF539" s="216"/>
      <c r="EG539" s="355"/>
      <c r="EH539" s="1425"/>
      <c r="EI539" s="1470"/>
      <c r="EJ539" s="249"/>
      <c r="EK539" s="221"/>
      <c r="EL539" s="313"/>
      <c r="EM539" s="249"/>
      <c r="EN539" s="221"/>
      <c r="EO539" s="313"/>
      <c r="EP539" s="249"/>
      <c r="EQ539" s="216"/>
      <c r="ER539" s="313"/>
      <c r="ES539" s="249"/>
      <c r="ET539" s="216"/>
      <c r="EU539" s="313"/>
      <c r="EV539" s="249"/>
      <c r="EW539" s="216"/>
      <c r="EX539" s="2505"/>
      <c r="EY539" s="249"/>
      <c r="EZ539" s="221"/>
      <c r="FA539" s="313"/>
      <c r="FB539" s="249"/>
      <c r="FC539" s="221"/>
      <c r="FD539" s="313"/>
      <c r="FE539" s="249"/>
      <c r="FF539" s="221"/>
      <c r="FG539" s="313"/>
      <c r="FH539" s="249"/>
      <c r="FI539" s="216"/>
      <c r="FJ539" s="1435"/>
      <c r="FK539" s="216"/>
      <c r="FL539" s="1268"/>
      <c r="FM539" s="1655"/>
      <c r="FN539" s="1268"/>
      <c r="FO539" s="1655"/>
      <c r="FP539" s="1268"/>
      <c r="FQ539" s="1656"/>
      <c r="FR539" s="249"/>
      <c r="FS539" s="216"/>
      <c r="FT539" s="1657"/>
      <c r="FU539" s="1658"/>
      <c r="FV539" s="242"/>
      <c r="FW539" s="343"/>
      <c r="FX539" s="222"/>
      <c r="FY539" s="336"/>
      <c r="FZ539" s="223"/>
      <c r="GA539" s="338"/>
      <c r="GB539" s="204"/>
      <c r="GC539" s="339"/>
      <c r="GD539" s="342"/>
      <c r="GE539" s="199"/>
      <c r="GF539" s="199"/>
      <c r="GG539" s="199"/>
      <c r="GH539" s="199"/>
      <c r="GI539" s="199"/>
      <c r="GJ539" s="199"/>
      <c r="GK539" s="199"/>
      <c r="GO539" s="322"/>
      <c r="GP539" s="1190"/>
      <c r="GQ539" s="1190"/>
      <c r="GS539" s="2879"/>
      <c r="GT539" s="2880"/>
      <c r="GU539" s="2881"/>
    </row>
    <row r="540" spans="1:203" ht="12" customHeight="1">
      <c r="A540" s="1252"/>
      <c r="B540" s="200"/>
      <c r="C540" s="486"/>
      <c r="T540" s="1186"/>
      <c r="U540" s="233"/>
      <c r="W540" s="218"/>
      <c r="X540" s="218"/>
      <c r="Y540" s="216"/>
      <c r="Z540" s="216"/>
      <c r="AA540" s="215"/>
      <c r="AB540" s="216"/>
      <c r="AC540" s="216"/>
      <c r="AD540" s="239"/>
      <c r="AE540" s="216"/>
      <c r="AF540" s="216"/>
      <c r="AG540" s="216"/>
      <c r="AH540" s="216"/>
      <c r="AI540" s="216"/>
      <c r="AJ540" s="216"/>
      <c r="AK540" s="239"/>
      <c r="AL540" s="216"/>
      <c r="AM540" s="216"/>
      <c r="AN540" s="216"/>
      <c r="AO540" s="216"/>
      <c r="AP540" s="216"/>
      <c r="AQ540" s="216"/>
      <c r="AR540" s="216"/>
      <c r="AS540" s="216"/>
      <c r="AT540" s="216"/>
      <c r="AU540" s="216"/>
      <c r="AV540" s="217"/>
      <c r="AW540" s="355"/>
      <c r="AX540" s="217"/>
      <c r="AY540" s="305"/>
      <c r="AZ540" s="249"/>
      <c r="BA540" s="221"/>
      <c r="BB540" s="300"/>
      <c r="BC540" s="217"/>
      <c r="BD540" s="392"/>
      <c r="BE540" s="1244"/>
      <c r="BF540" s="249"/>
      <c r="BG540" s="252"/>
      <c r="BH540" s="1469"/>
      <c r="BI540" s="216"/>
      <c r="BJ540" s="1469"/>
      <c r="BK540" s="1459"/>
      <c r="BL540" s="260"/>
      <c r="BM540" s="214"/>
      <c r="BN540" s="293"/>
      <c r="BO540" s="217"/>
      <c r="BP540" s="355"/>
      <c r="BQ540" s="217"/>
      <c r="BR540" s="1193"/>
      <c r="BS540" s="249"/>
      <c r="BT540" s="216"/>
      <c r="BU540" s="1195"/>
      <c r="BV540" s="249"/>
      <c r="BW540" s="216"/>
      <c r="BX540" s="1195"/>
      <c r="BY540" s="249"/>
      <c r="BZ540" s="216"/>
      <c r="CA540" s="1195"/>
      <c r="CB540" s="249"/>
      <c r="CC540" s="216"/>
      <c r="CD540" s="1195"/>
      <c r="CE540" s="249"/>
      <c r="CF540" s="216"/>
      <c r="CG540" s="1195"/>
      <c r="CH540" s="249"/>
      <c r="CI540" s="216"/>
      <c r="CJ540" s="1195"/>
      <c r="CK540" s="249"/>
      <c r="CL540" s="216"/>
      <c r="CM540" s="1194"/>
      <c r="CN540" s="1524"/>
      <c r="CO540" s="217"/>
      <c r="CP540" s="1193"/>
      <c r="CQ540" s="293"/>
      <c r="CR540" s="217"/>
      <c r="CS540" s="305"/>
      <c r="CT540" s="249"/>
      <c r="CU540" s="216"/>
      <c r="CV540" s="1193"/>
      <c r="CW540" s="249"/>
      <c r="CX540" s="216"/>
      <c r="CY540" s="305"/>
      <c r="CZ540" s="249"/>
      <c r="DA540" s="216"/>
      <c r="DB540" s="307"/>
      <c r="DC540" s="328"/>
      <c r="DD540" s="322"/>
      <c r="DE540" s="305"/>
      <c r="DF540" s="249"/>
      <c r="DG540" s="216"/>
      <c r="DH540" s="305"/>
      <c r="DI540" s="249"/>
      <c r="DJ540" s="216"/>
      <c r="DK540" s="309"/>
      <c r="DL540" s="293"/>
      <c r="DM540" s="326"/>
      <c r="DN540" s="1256"/>
      <c r="DO540" s="214"/>
      <c r="DP540" s="1257"/>
      <c r="DQ540" s="1258"/>
      <c r="DR540" s="305"/>
      <c r="DS540" s="249"/>
      <c r="DT540" s="216"/>
      <c r="DU540" s="305"/>
      <c r="DV540" s="2520"/>
      <c r="DW540" s="2521"/>
      <c r="DX540" s="305"/>
      <c r="DY540" s="249"/>
      <c r="DZ540" s="221"/>
      <c r="EA540" s="388"/>
      <c r="EB540" s="249"/>
      <c r="EC540" s="216"/>
      <c r="ED540" s="1461"/>
      <c r="EE540" s="249"/>
      <c r="EF540" s="216"/>
      <c r="EG540" s="355"/>
      <c r="EH540" s="1425"/>
      <c r="EI540" s="1470"/>
      <c r="EJ540" s="249"/>
      <c r="EK540" s="221"/>
      <c r="EL540" s="313"/>
      <c r="EM540" s="249"/>
      <c r="EN540" s="221"/>
      <c r="EO540" s="313"/>
      <c r="EP540" s="249"/>
      <c r="EQ540" s="216"/>
      <c r="ER540" s="313"/>
      <c r="ES540" s="249"/>
      <c r="ET540" s="216"/>
      <c r="EU540" s="313"/>
      <c r="EV540" s="249"/>
      <c r="EW540" s="216"/>
      <c r="EX540" s="2505"/>
      <c r="EY540" s="249"/>
      <c r="EZ540" s="221"/>
      <c r="FA540" s="313"/>
      <c r="FB540" s="249"/>
      <c r="FC540" s="221"/>
      <c r="FD540" s="313"/>
      <c r="FE540" s="249"/>
      <c r="FF540" s="221"/>
      <c r="FG540" s="313"/>
      <c r="FH540" s="249"/>
      <c r="FI540" s="216"/>
      <c r="FJ540" s="1435"/>
      <c r="FK540" s="216"/>
      <c r="FL540" s="1268"/>
      <c r="FM540" s="1655"/>
      <c r="FN540" s="1268"/>
      <c r="FO540" s="1655"/>
      <c r="FP540" s="1268"/>
      <c r="FQ540" s="1656"/>
      <c r="FR540" s="249"/>
      <c r="FS540" s="216"/>
      <c r="FT540" s="1657"/>
      <c r="FU540" s="1658"/>
      <c r="FV540" s="242"/>
      <c r="FW540" s="343"/>
      <c r="FX540" s="222"/>
      <c r="FY540" s="336"/>
      <c r="FZ540" s="223"/>
      <c r="GA540" s="338"/>
      <c r="GB540" s="204"/>
      <c r="GC540" s="339"/>
      <c r="GD540" s="342"/>
      <c r="GE540" s="199"/>
      <c r="GF540" s="199"/>
      <c r="GG540" s="199"/>
      <c r="GH540" s="199"/>
      <c r="GI540" s="199"/>
      <c r="GJ540" s="199"/>
      <c r="GK540" s="199"/>
      <c r="GO540" s="322"/>
      <c r="GP540" s="1190"/>
      <c r="GQ540" s="1190"/>
      <c r="GS540" s="2879"/>
      <c r="GT540" s="2880"/>
      <c r="GU540" s="2881"/>
    </row>
    <row r="541" spans="1:203" ht="12" customHeight="1">
      <c r="A541" s="1252"/>
      <c r="B541" s="200"/>
      <c r="C541" s="486"/>
      <c r="T541" s="1186"/>
      <c r="U541" s="233"/>
      <c r="W541" s="218"/>
      <c r="X541" s="218"/>
      <c r="Y541" s="216"/>
      <c r="Z541" s="216"/>
      <c r="AA541" s="215"/>
      <c r="AB541" s="216"/>
      <c r="AC541" s="216"/>
      <c r="AD541" s="239"/>
      <c r="AE541" s="216"/>
      <c r="AF541" s="216"/>
      <c r="AG541" s="216"/>
      <c r="AH541" s="216"/>
      <c r="AI541" s="216"/>
      <c r="AJ541" s="216"/>
      <c r="AK541" s="239"/>
      <c r="AL541" s="216"/>
      <c r="AM541" s="216"/>
      <c r="AN541" s="216"/>
      <c r="AO541" s="216"/>
      <c r="AP541" s="216"/>
      <c r="AQ541" s="216"/>
      <c r="AR541" s="216"/>
      <c r="AS541" s="216"/>
      <c r="AT541" s="216"/>
      <c r="AU541" s="216"/>
      <c r="AV541" s="217"/>
      <c r="AW541" s="355"/>
      <c r="AX541" s="217"/>
      <c r="AY541" s="305"/>
      <c r="AZ541" s="249"/>
      <c r="BA541" s="221"/>
      <c r="BB541" s="300"/>
      <c r="BC541" s="217"/>
      <c r="BD541" s="392"/>
      <c r="BE541" s="1244"/>
      <c r="BF541" s="249"/>
      <c r="BG541" s="252"/>
      <c r="BH541" s="1469"/>
      <c r="BI541" s="216"/>
      <c r="BJ541" s="1469"/>
      <c r="BK541" s="1459"/>
      <c r="BL541" s="260"/>
      <c r="BM541" s="214"/>
      <c r="BN541" s="293"/>
      <c r="BO541" s="217"/>
      <c r="BP541" s="355"/>
      <c r="BQ541" s="217"/>
      <c r="BR541" s="1193"/>
      <c r="BS541" s="249"/>
      <c r="BT541" s="216"/>
      <c r="BU541" s="1195"/>
      <c r="BV541" s="249"/>
      <c r="BW541" s="216"/>
      <c r="BX541" s="1195"/>
      <c r="BY541" s="249"/>
      <c r="BZ541" s="216"/>
      <c r="CA541" s="1195"/>
      <c r="CB541" s="249"/>
      <c r="CC541" s="216"/>
      <c r="CD541" s="1195"/>
      <c r="CE541" s="249"/>
      <c r="CF541" s="216"/>
      <c r="CG541" s="1195"/>
      <c r="CH541" s="249"/>
      <c r="CI541" s="216"/>
      <c r="CJ541" s="1195"/>
      <c r="CK541" s="249"/>
      <c r="CL541" s="216"/>
      <c r="CM541" s="1194"/>
      <c r="CN541" s="1524"/>
      <c r="CO541" s="217"/>
      <c r="CP541" s="1193"/>
      <c r="CQ541" s="293"/>
      <c r="CR541" s="217"/>
      <c r="CS541" s="305"/>
      <c r="CT541" s="249"/>
      <c r="CU541" s="216"/>
      <c r="CV541" s="1193"/>
      <c r="CW541" s="249"/>
      <c r="CX541" s="216"/>
      <c r="CY541" s="305"/>
      <c r="CZ541" s="249"/>
      <c r="DA541" s="216"/>
      <c r="DB541" s="307"/>
      <c r="DC541" s="328"/>
      <c r="DD541" s="322"/>
      <c r="DE541" s="305"/>
      <c r="DF541" s="249"/>
      <c r="DG541" s="216"/>
      <c r="DH541" s="305"/>
      <c r="DI541" s="249"/>
      <c r="DJ541" s="216"/>
      <c r="DK541" s="309"/>
      <c r="DL541" s="293"/>
      <c r="DM541" s="326"/>
      <c r="DN541" s="1256"/>
      <c r="DO541" s="214"/>
      <c r="DP541" s="1257"/>
      <c r="DQ541" s="1258"/>
      <c r="DR541" s="305"/>
      <c r="DS541" s="249"/>
      <c r="DT541" s="216"/>
      <c r="DU541" s="305"/>
      <c r="DV541" s="2520"/>
      <c r="DW541" s="2521"/>
      <c r="DX541" s="305"/>
      <c r="DY541" s="249"/>
      <c r="DZ541" s="221"/>
      <c r="EA541" s="388"/>
      <c r="EB541" s="249"/>
      <c r="EC541" s="216"/>
      <c r="ED541" s="1461"/>
      <c r="EE541" s="249"/>
      <c r="EF541" s="216"/>
      <c r="EG541" s="355"/>
      <c r="EH541" s="1425"/>
      <c r="EI541" s="1470"/>
      <c r="EJ541" s="249"/>
      <c r="EK541" s="221"/>
      <c r="EL541" s="313"/>
      <c r="EM541" s="249"/>
      <c r="EN541" s="221"/>
      <c r="EO541" s="313"/>
      <c r="EP541" s="249"/>
      <c r="EQ541" s="216"/>
      <c r="ER541" s="313"/>
      <c r="ES541" s="249"/>
      <c r="ET541" s="216"/>
      <c r="EU541" s="313"/>
      <c r="EV541" s="249"/>
      <c r="EW541" s="216"/>
      <c r="EX541" s="2505"/>
      <c r="EY541" s="249"/>
      <c r="EZ541" s="221"/>
      <c r="FA541" s="313"/>
      <c r="FB541" s="249"/>
      <c r="FC541" s="221"/>
      <c r="FD541" s="313"/>
      <c r="FE541" s="249"/>
      <c r="FF541" s="221"/>
      <c r="FG541" s="313"/>
      <c r="FH541" s="249"/>
      <c r="FI541" s="216"/>
      <c r="FJ541" s="1435"/>
      <c r="FK541" s="216"/>
      <c r="FL541" s="1268"/>
      <c r="FM541" s="1655"/>
      <c r="FN541" s="1268"/>
      <c r="FO541" s="1655"/>
      <c r="FP541" s="1268"/>
      <c r="FQ541" s="1656"/>
      <c r="FR541" s="249"/>
      <c r="FS541" s="216"/>
      <c r="FT541" s="1657"/>
      <c r="FU541" s="1658"/>
      <c r="FV541" s="242"/>
      <c r="FW541" s="343"/>
      <c r="FX541" s="222"/>
      <c r="FY541" s="336"/>
      <c r="FZ541" s="223"/>
      <c r="GA541" s="338"/>
      <c r="GB541" s="204"/>
      <c r="GC541" s="339"/>
      <c r="GD541" s="342"/>
      <c r="GE541" s="199"/>
      <c r="GF541" s="199"/>
      <c r="GG541" s="199"/>
      <c r="GH541" s="199"/>
      <c r="GI541" s="199"/>
      <c r="GJ541" s="199"/>
      <c r="GK541" s="199"/>
      <c r="GO541" s="322"/>
      <c r="GP541" s="1190"/>
      <c r="GQ541" s="1190"/>
      <c r="GS541" s="2879"/>
      <c r="GT541" s="2880"/>
      <c r="GU541" s="2881"/>
    </row>
    <row r="542" spans="1:203" ht="12" customHeight="1">
      <c r="A542" s="1252"/>
      <c r="B542" s="200"/>
      <c r="C542" s="486"/>
      <c r="T542" s="1186"/>
      <c r="U542" s="233"/>
      <c r="W542" s="218"/>
      <c r="X542" s="218"/>
      <c r="Y542" s="216"/>
      <c r="Z542" s="216"/>
      <c r="AA542" s="215"/>
      <c r="AB542" s="216"/>
      <c r="AC542" s="216"/>
      <c r="AD542" s="239"/>
      <c r="AE542" s="216"/>
      <c r="AF542" s="216"/>
      <c r="AG542" s="216"/>
      <c r="AH542" s="216"/>
      <c r="AI542" s="216"/>
      <c r="AJ542" s="216"/>
      <c r="AK542" s="239"/>
      <c r="AL542" s="216"/>
      <c r="AM542" s="216"/>
      <c r="AN542" s="216"/>
      <c r="AO542" s="216"/>
      <c r="AP542" s="216"/>
      <c r="AQ542" s="216"/>
      <c r="AR542" s="216"/>
      <c r="AS542" s="216"/>
      <c r="AT542" s="216"/>
      <c r="AU542" s="216"/>
      <c r="AV542" s="217"/>
      <c r="AW542" s="355"/>
      <c r="AX542" s="217"/>
      <c r="AY542" s="305"/>
      <c r="AZ542" s="249"/>
      <c r="BA542" s="221"/>
      <c r="BB542" s="300"/>
      <c r="BC542" s="217"/>
      <c r="BD542" s="392"/>
      <c r="BE542" s="1244"/>
      <c r="BF542" s="249"/>
      <c r="BG542" s="252"/>
      <c r="BH542" s="1469"/>
      <c r="BI542" s="216"/>
      <c r="BJ542" s="1469"/>
      <c r="BK542" s="1459"/>
      <c r="BL542" s="260"/>
      <c r="BM542" s="214"/>
      <c r="BN542" s="293"/>
      <c r="BO542" s="217"/>
      <c r="BP542" s="355"/>
      <c r="BQ542" s="217"/>
      <c r="BR542" s="1193"/>
      <c r="BS542" s="249"/>
      <c r="BT542" s="216"/>
      <c r="BU542" s="1195"/>
      <c r="BV542" s="249"/>
      <c r="BW542" s="216"/>
      <c r="BX542" s="1195"/>
      <c r="BY542" s="249"/>
      <c r="BZ542" s="216"/>
      <c r="CA542" s="1195"/>
      <c r="CB542" s="249"/>
      <c r="CC542" s="216"/>
      <c r="CD542" s="1195"/>
      <c r="CE542" s="249"/>
      <c r="CF542" s="216"/>
      <c r="CG542" s="1195"/>
      <c r="CH542" s="249"/>
      <c r="CI542" s="216"/>
      <c r="CJ542" s="1195"/>
      <c r="CK542" s="249"/>
      <c r="CL542" s="216"/>
      <c r="CM542" s="1194"/>
      <c r="CN542" s="1524"/>
      <c r="CO542" s="217"/>
      <c r="CP542" s="1193"/>
      <c r="CQ542" s="293"/>
      <c r="CR542" s="217"/>
      <c r="CS542" s="305"/>
      <c r="CT542" s="249"/>
      <c r="CU542" s="216"/>
      <c r="CV542" s="1193"/>
      <c r="CW542" s="249"/>
      <c r="CX542" s="216"/>
      <c r="CY542" s="305"/>
      <c r="CZ542" s="249"/>
      <c r="DA542" s="216"/>
      <c r="DB542" s="307"/>
      <c r="DC542" s="328"/>
      <c r="DD542" s="322"/>
      <c r="DE542" s="305"/>
      <c r="DF542" s="249"/>
      <c r="DG542" s="216"/>
      <c r="DH542" s="305"/>
      <c r="DI542" s="249"/>
      <c r="DJ542" s="216"/>
      <c r="DK542" s="309"/>
      <c r="DL542" s="293"/>
      <c r="DM542" s="326"/>
      <c r="DN542" s="1256"/>
      <c r="DO542" s="214"/>
      <c r="DP542" s="1257"/>
      <c r="DQ542" s="1258"/>
      <c r="DR542" s="305"/>
      <c r="DS542" s="249"/>
      <c r="DT542" s="216"/>
      <c r="DU542" s="305"/>
      <c r="DV542" s="2520"/>
      <c r="DW542" s="2521"/>
      <c r="DX542" s="305"/>
      <c r="DY542" s="249"/>
      <c r="DZ542" s="221"/>
      <c r="EA542" s="388"/>
      <c r="EB542" s="249"/>
      <c r="EC542" s="216"/>
      <c r="ED542" s="1461"/>
      <c r="EE542" s="249"/>
      <c r="EF542" s="216"/>
      <c r="EG542" s="355"/>
      <c r="EH542" s="1425"/>
      <c r="EI542" s="1470"/>
      <c r="EJ542" s="249"/>
      <c r="EK542" s="221"/>
      <c r="EL542" s="313"/>
      <c r="EM542" s="249"/>
      <c r="EN542" s="221"/>
      <c r="EO542" s="313"/>
      <c r="EP542" s="249"/>
      <c r="EQ542" s="216"/>
      <c r="ER542" s="313"/>
      <c r="ES542" s="249"/>
      <c r="ET542" s="216"/>
      <c r="EU542" s="313"/>
      <c r="EV542" s="249"/>
      <c r="EW542" s="216"/>
      <c r="EX542" s="2505"/>
      <c r="EY542" s="249"/>
      <c r="EZ542" s="221"/>
      <c r="FA542" s="313"/>
      <c r="FB542" s="249"/>
      <c r="FC542" s="221"/>
      <c r="FD542" s="313"/>
      <c r="FE542" s="249"/>
      <c r="FF542" s="221"/>
      <c r="FG542" s="313"/>
      <c r="FH542" s="249"/>
      <c r="FI542" s="216"/>
      <c r="FJ542" s="1435"/>
      <c r="FK542" s="216"/>
      <c r="FL542" s="1268"/>
      <c r="FM542" s="1655"/>
      <c r="FN542" s="1268"/>
      <c r="FO542" s="1655"/>
      <c r="FP542" s="1268"/>
      <c r="FQ542" s="1656"/>
      <c r="FR542" s="249"/>
      <c r="FS542" s="216"/>
      <c r="FT542" s="1657"/>
      <c r="FU542" s="1658"/>
      <c r="FV542" s="242"/>
      <c r="FW542" s="343"/>
      <c r="FX542" s="222"/>
      <c r="FY542" s="336"/>
      <c r="FZ542" s="223"/>
      <c r="GA542" s="338"/>
      <c r="GB542" s="204"/>
      <c r="GC542" s="339"/>
      <c r="GD542" s="342"/>
      <c r="GE542" s="199"/>
      <c r="GF542" s="199"/>
      <c r="GG542" s="199"/>
      <c r="GH542" s="199"/>
      <c r="GI542" s="199"/>
      <c r="GJ542" s="199"/>
      <c r="GK542" s="199"/>
      <c r="GO542" s="322"/>
      <c r="GP542" s="1190"/>
      <c r="GQ542" s="1190"/>
      <c r="GS542" s="2879"/>
      <c r="GT542" s="2880"/>
      <c r="GU542" s="2881"/>
    </row>
    <row r="543" spans="1:203" ht="12" customHeight="1">
      <c r="A543" s="1252"/>
      <c r="B543" s="200"/>
      <c r="C543" s="486"/>
      <c r="T543" s="1186"/>
      <c r="U543" s="233"/>
      <c r="W543" s="218"/>
      <c r="X543" s="218"/>
      <c r="Y543" s="216"/>
      <c r="Z543" s="216"/>
      <c r="AA543" s="215"/>
      <c r="AB543" s="216"/>
      <c r="AC543" s="216"/>
      <c r="AD543" s="239"/>
      <c r="AE543" s="216"/>
      <c r="AF543" s="216"/>
      <c r="AG543" s="216"/>
      <c r="AH543" s="216"/>
      <c r="AI543" s="216"/>
      <c r="AJ543" s="216"/>
      <c r="AK543" s="239"/>
      <c r="AL543" s="216"/>
      <c r="AM543" s="216"/>
      <c r="AN543" s="216"/>
      <c r="AO543" s="216"/>
      <c r="AP543" s="216"/>
      <c r="AQ543" s="216"/>
      <c r="AR543" s="216"/>
      <c r="AS543" s="216"/>
      <c r="AT543" s="216"/>
      <c r="AU543" s="216"/>
      <c r="AV543" s="217"/>
      <c r="AW543" s="355"/>
      <c r="AX543" s="217"/>
      <c r="AY543" s="305"/>
      <c r="AZ543" s="249"/>
      <c r="BA543" s="221"/>
      <c r="BB543" s="300"/>
      <c r="BC543" s="217"/>
      <c r="BD543" s="392"/>
      <c r="BE543" s="1244"/>
      <c r="BF543" s="249"/>
      <c r="BG543" s="252"/>
      <c r="BH543" s="1469"/>
      <c r="BI543" s="216"/>
      <c r="BJ543" s="1469"/>
      <c r="BK543" s="1459"/>
      <c r="BL543" s="260"/>
      <c r="BM543" s="214"/>
      <c r="BN543" s="293"/>
      <c r="BO543" s="217"/>
      <c r="BP543" s="355"/>
      <c r="BQ543" s="217"/>
      <c r="BR543" s="1193"/>
      <c r="BS543" s="249"/>
      <c r="BT543" s="216"/>
      <c r="BU543" s="1195"/>
      <c r="BV543" s="249"/>
      <c r="BW543" s="216"/>
      <c r="BX543" s="1195"/>
      <c r="BY543" s="249"/>
      <c r="BZ543" s="216"/>
      <c r="CA543" s="1195"/>
      <c r="CB543" s="249"/>
      <c r="CC543" s="216"/>
      <c r="CD543" s="1195"/>
      <c r="CE543" s="249"/>
      <c r="CF543" s="216"/>
      <c r="CG543" s="1195"/>
      <c r="CH543" s="249"/>
      <c r="CI543" s="216"/>
      <c r="CJ543" s="1195"/>
      <c r="CK543" s="249"/>
      <c r="CL543" s="216"/>
      <c r="CM543" s="1194"/>
      <c r="CN543" s="1524"/>
      <c r="CO543" s="217"/>
      <c r="CP543" s="1193"/>
      <c r="CQ543" s="293"/>
      <c r="CR543" s="217"/>
      <c r="CS543" s="305"/>
      <c r="CT543" s="249"/>
      <c r="CU543" s="216"/>
      <c r="CV543" s="1193"/>
      <c r="CW543" s="249"/>
      <c r="CX543" s="216"/>
      <c r="CY543" s="305"/>
      <c r="CZ543" s="249"/>
      <c r="DA543" s="216"/>
      <c r="DB543" s="307"/>
      <c r="DC543" s="328"/>
      <c r="DD543" s="322"/>
      <c r="DE543" s="305"/>
      <c r="DF543" s="249"/>
      <c r="DG543" s="216"/>
      <c r="DH543" s="305"/>
      <c r="DI543" s="249"/>
      <c r="DJ543" s="216"/>
      <c r="DK543" s="309"/>
      <c r="DL543" s="293"/>
      <c r="DM543" s="326"/>
      <c r="DN543" s="1256"/>
      <c r="DO543" s="214"/>
      <c r="DP543" s="1257"/>
      <c r="DQ543" s="1258"/>
      <c r="DR543" s="305"/>
      <c r="DS543" s="249"/>
      <c r="DT543" s="216"/>
      <c r="DU543" s="305"/>
      <c r="DV543" s="2520"/>
      <c r="DW543" s="2521"/>
      <c r="DX543" s="305"/>
      <c r="DY543" s="249"/>
      <c r="DZ543" s="221"/>
      <c r="EA543" s="388"/>
      <c r="EB543" s="249"/>
      <c r="EC543" s="216"/>
      <c r="ED543" s="1461"/>
      <c r="EE543" s="249"/>
      <c r="EF543" s="216"/>
      <c r="EG543" s="355"/>
      <c r="EH543" s="1425"/>
      <c r="EI543" s="1470"/>
      <c r="EJ543" s="249"/>
      <c r="EK543" s="221"/>
      <c r="EL543" s="313"/>
      <c r="EM543" s="249"/>
      <c r="EN543" s="221"/>
      <c r="EO543" s="313"/>
      <c r="EP543" s="249"/>
      <c r="EQ543" s="216"/>
      <c r="ER543" s="313"/>
      <c r="ES543" s="249"/>
      <c r="ET543" s="216"/>
      <c r="EU543" s="313"/>
      <c r="EV543" s="249"/>
      <c r="EW543" s="216"/>
      <c r="EX543" s="2505"/>
      <c r="EY543" s="249"/>
      <c r="EZ543" s="221"/>
      <c r="FA543" s="313"/>
      <c r="FB543" s="249"/>
      <c r="FC543" s="221"/>
      <c r="FD543" s="313"/>
      <c r="FE543" s="249"/>
      <c r="FF543" s="221"/>
      <c r="FG543" s="313"/>
      <c r="FH543" s="249"/>
      <c r="FI543" s="216"/>
      <c r="FJ543" s="1435"/>
      <c r="FK543" s="216"/>
      <c r="FL543" s="1268"/>
      <c r="FM543" s="1655"/>
      <c r="FN543" s="1268"/>
      <c r="FO543" s="1655"/>
      <c r="FP543" s="1268"/>
      <c r="FQ543" s="1656"/>
      <c r="FR543" s="249"/>
      <c r="FS543" s="216"/>
      <c r="FT543" s="1657"/>
      <c r="FU543" s="1658"/>
      <c r="FV543" s="242"/>
      <c r="FW543" s="343"/>
      <c r="FX543" s="222"/>
      <c r="FY543" s="336"/>
      <c r="FZ543" s="223"/>
      <c r="GA543" s="338"/>
      <c r="GB543" s="204"/>
      <c r="GC543" s="339"/>
      <c r="GD543" s="342"/>
      <c r="GE543" s="199"/>
      <c r="GF543" s="199"/>
      <c r="GG543" s="199"/>
      <c r="GH543" s="199"/>
      <c r="GI543" s="199"/>
      <c r="GJ543" s="199"/>
      <c r="GK543" s="199"/>
      <c r="GO543" s="322"/>
      <c r="GP543" s="1190"/>
      <c r="GQ543" s="1190"/>
      <c r="GS543" s="2879"/>
      <c r="GT543" s="2880"/>
      <c r="GU543" s="2881"/>
    </row>
    <row r="544" spans="1:203" ht="12" customHeight="1">
      <c r="A544" s="1252"/>
      <c r="B544" s="200"/>
      <c r="C544" s="486"/>
      <c r="T544" s="1186"/>
      <c r="U544" s="233"/>
      <c r="W544" s="218"/>
      <c r="X544" s="218"/>
      <c r="Y544" s="216"/>
      <c r="Z544" s="216"/>
      <c r="AA544" s="215"/>
      <c r="AB544" s="216"/>
      <c r="AC544" s="216"/>
      <c r="AD544" s="239"/>
      <c r="AE544" s="216"/>
      <c r="AF544" s="216"/>
      <c r="AG544" s="216"/>
      <c r="AH544" s="216"/>
      <c r="AI544" s="216"/>
      <c r="AJ544" s="216"/>
      <c r="AK544" s="239"/>
      <c r="AL544" s="216"/>
      <c r="AM544" s="216"/>
      <c r="AN544" s="216"/>
      <c r="AO544" s="216"/>
      <c r="AP544" s="216"/>
      <c r="AQ544" s="216"/>
      <c r="AR544" s="216"/>
      <c r="AS544" s="216"/>
      <c r="AT544" s="216"/>
      <c r="AU544" s="216"/>
      <c r="AV544" s="217"/>
      <c r="AW544" s="355"/>
      <c r="AX544" s="217"/>
      <c r="AY544" s="305"/>
      <c r="AZ544" s="249"/>
      <c r="BA544" s="221"/>
      <c r="BB544" s="300"/>
      <c r="BC544" s="217"/>
      <c r="BD544" s="392"/>
      <c r="BE544" s="1244"/>
      <c r="BF544" s="249"/>
      <c r="BG544" s="252"/>
      <c r="BH544" s="1469"/>
      <c r="BI544" s="216"/>
      <c r="BJ544" s="1469"/>
      <c r="BK544" s="1459"/>
      <c r="BL544" s="260"/>
      <c r="BM544" s="214"/>
      <c r="BN544" s="293"/>
      <c r="BO544" s="217"/>
      <c r="BP544" s="355"/>
      <c r="BQ544" s="217"/>
      <c r="BR544" s="1193"/>
      <c r="BS544" s="249"/>
      <c r="BT544" s="216"/>
      <c r="BU544" s="1195"/>
      <c r="BV544" s="249"/>
      <c r="BW544" s="216"/>
      <c r="BX544" s="1195"/>
      <c r="BY544" s="249"/>
      <c r="BZ544" s="216"/>
      <c r="CA544" s="1195"/>
      <c r="CB544" s="249"/>
      <c r="CC544" s="216"/>
      <c r="CD544" s="1195"/>
      <c r="CE544" s="249"/>
      <c r="CF544" s="216"/>
      <c r="CG544" s="1195"/>
      <c r="CH544" s="249"/>
      <c r="CI544" s="216"/>
      <c r="CJ544" s="1195"/>
      <c r="CK544" s="249"/>
      <c r="CL544" s="216"/>
      <c r="CM544" s="1194"/>
      <c r="CN544" s="1524"/>
      <c r="CO544" s="217"/>
      <c r="CP544" s="1193"/>
      <c r="CQ544" s="293"/>
      <c r="CR544" s="217"/>
      <c r="CS544" s="305"/>
      <c r="CT544" s="249"/>
      <c r="CU544" s="216"/>
      <c r="CV544" s="1193"/>
      <c r="CW544" s="249"/>
      <c r="CX544" s="216"/>
      <c r="CY544" s="305"/>
      <c r="CZ544" s="249"/>
      <c r="DA544" s="216"/>
      <c r="DB544" s="307"/>
      <c r="DC544" s="328"/>
      <c r="DD544" s="322"/>
      <c r="DE544" s="305"/>
      <c r="DF544" s="249"/>
      <c r="DG544" s="216"/>
      <c r="DH544" s="305"/>
      <c r="DI544" s="249"/>
      <c r="DJ544" s="216"/>
      <c r="DK544" s="309"/>
      <c r="DL544" s="293"/>
      <c r="DM544" s="326"/>
      <c r="DN544" s="1256"/>
      <c r="DO544" s="214"/>
      <c r="DP544" s="1257"/>
      <c r="DQ544" s="1258"/>
      <c r="DR544" s="305"/>
      <c r="DS544" s="249"/>
      <c r="DT544" s="216"/>
      <c r="DU544" s="305"/>
      <c r="DV544" s="2520"/>
      <c r="DW544" s="2521"/>
      <c r="DX544" s="305"/>
      <c r="DY544" s="249"/>
      <c r="DZ544" s="221"/>
      <c r="EA544" s="388"/>
      <c r="EB544" s="249"/>
      <c r="EC544" s="216"/>
      <c r="ED544" s="1461"/>
      <c r="EE544" s="249"/>
      <c r="EF544" s="216"/>
      <c r="EG544" s="355"/>
      <c r="EH544" s="1425"/>
      <c r="EI544" s="1470"/>
      <c r="EJ544" s="249"/>
      <c r="EK544" s="221"/>
      <c r="EL544" s="313"/>
      <c r="EM544" s="249"/>
      <c r="EN544" s="221"/>
      <c r="EO544" s="313"/>
      <c r="EP544" s="249"/>
      <c r="EQ544" s="216"/>
      <c r="ER544" s="313"/>
      <c r="ES544" s="249"/>
      <c r="ET544" s="216"/>
      <c r="EU544" s="313"/>
      <c r="EV544" s="249"/>
      <c r="EW544" s="216"/>
      <c r="EX544" s="2505"/>
      <c r="EY544" s="249"/>
      <c r="EZ544" s="221"/>
      <c r="FA544" s="313"/>
      <c r="FB544" s="249"/>
      <c r="FC544" s="221"/>
      <c r="FD544" s="313"/>
      <c r="FE544" s="249"/>
      <c r="FF544" s="221"/>
      <c r="FG544" s="313"/>
      <c r="FH544" s="249"/>
      <c r="FI544" s="216"/>
      <c r="FJ544" s="1435"/>
      <c r="FK544" s="216"/>
      <c r="FL544" s="1268"/>
      <c r="FM544" s="1655"/>
      <c r="FN544" s="1268"/>
      <c r="FO544" s="1655"/>
      <c r="FP544" s="1268"/>
      <c r="FQ544" s="1656"/>
      <c r="FR544" s="249"/>
      <c r="FS544" s="216"/>
      <c r="FT544" s="1657"/>
      <c r="FU544" s="1658"/>
      <c r="FV544" s="242"/>
      <c r="FW544" s="343"/>
      <c r="FX544" s="222"/>
      <c r="FY544" s="336"/>
      <c r="FZ544" s="223"/>
      <c r="GA544" s="338"/>
      <c r="GB544" s="204"/>
      <c r="GC544" s="339"/>
      <c r="GD544" s="342"/>
      <c r="GE544" s="199"/>
      <c r="GF544" s="199"/>
      <c r="GG544" s="199"/>
      <c r="GH544" s="199"/>
      <c r="GI544" s="199"/>
      <c r="GJ544" s="199"/>
      <c r="GK544" s="199"/>
      <c r="GO544" s="322"/>
      <c r="GP544" s="1190"/>
      <c r="GQ544" s="1190"/>
      <c r="GS544" s="2879"/>
      <c r="GT544" s="2880"/>
      <c r="GU544" s="2881"/>
    </row>
    <row r="545" spans="1:203" ht="12" customHeight="1">
      <c r="A545" s="1252"/>
      <c r="B545" s="200"/>
      <c r="C545" s="486"/>
      <c r="T545" s="1186"/>
      <c r="U545" s="233"/>
      <c r="W545" s="218"/>
      <c r="X545" s="218"/>
      <c r="Y545" s="216"/>
      <c r="Z545" s="216"/>
      <c r="AA545" s="215"/>
      <c r="AB545" s="216"/>
      <c r="AC545" s="216"/>
      <c r="AD545" s="239"/>
      <c r="AE545" s="216"/>
      <c r="AF545" s="216"/>
      <c r="AG545" s="216"/>
      <c r="AH545" s="216"/>
      <c r="AI545" s="216"/>
      <c r="AJ545" s="216"/>
      <c r="AK545" s="239"/>
      <c r="AL545" s="216"/>
      <c r="AM545" s="216"/>
      <c r="AN545" s="216"/>
      <c r="AO545" s="216"/>
      <c r="AP545" s="216"/>
      <c r="AQ545" s="216"/>
      <c r="AR545" s="216"/>
      <c r="AS545" s="216"/>
      <c r="AT545" s="216"/>
      <c r="AU545" s="216"/>
      <c r="AV545" s="217"/>
      <c r="AW545" s="355"/>
      <c r="AX545" s="217"/>
      <c r="AY545" s="305"/>
      <c r="AZ545" s="249"/>
      <c r="BA545" s="221"/>
      <c r="BB545" s="300"/>
      <c r="BC545" s="217"/>
      <c r="BD545" s="392"/>
      <c r="BE545" s="1244"/>
      <c r="BF545" s="249"/>
      <c r="BG545" s="252"/>
      <c r="BH545" s="1469"/>
      <c r="BI545" s="216"/>
      <c r="BJ545" s="1469"/>
      <c r="BK545" s="1459"/>
      <c r="BL545" s="260"/>
      <c r="BM545" s="214"/>
      <c r="BN545" s="293"/>
      <c r="BO545" s="217"/>
      <c r="BP545" s="355"/>
      <c r="BQ545" s="217"/>
      <c r="BR545" s="1193"/>
      <c r="BS545" s="249"/>
      <c r="BT545" s="216"/>
      <c r="BU545" s="1195"/>
      <c r="BV545" s="249"/>
      <c r="BW545" s="216"/>
      <c r="BX545" s="1195"/>
      <c r="BY545" s="249"/>
      <c r="BZ545" s="216"/>
      <c r="CA545" s="1195"/>
      <c r="CB545" s="249"/>
      <c r="CC545" s="216"/>
      <c r="CD545" s="1195"/>
      <c r="CE545" s="249"/>
      <c r="CF545" s="216"/>
      <c r="CG545" s="1195"/>
      <c r="CH545" s="249"/>
      <c r="CI545" s="216"/>
      <c r="CJ545" s="1195"/>
      <c r="CK545" s="249"/>
      <c r="CL545" s="216"/>
      <c r="CM545" s="1194"/>
      <c r="CN545" s="1524"/>
      <c r="CO545" s="217"/>
      <c r="CP545" s="1193"/>
      <c r="CQ545" s="293"/>
      <c r="CR545" s="217"/>
      <c r="CS545" s="305"/>
      <c r="CT545" s="249"/>
      <c r="CU545" s="216"/>
      <c r="CV545" s="1193"/>
      <c r="CW545" s="249"/>
      <c r="CX545" s="216"/>
      <c r="CY545" s="305"/>
      <c r="CZ545" s="249"/>
      <c r="DA545" s="216"/>
      <c r="DB545" s="307"/>
      <c r="DC545" s="328"/>
      <c r="DD545" s="322"/>
      <c r="DE545" s="305"/>
      <c r="DF545" s="249"/>
      <c r="DG545" s="216"/>
      <c r="DH545" s="305"/>
      <c r="DI545" s="249"/>
      <c r="DJ545" s="216"/>
      <c r="DK545" s="309"/>
      <c r="DL545" s="293"/>
      <c r="DM545" s="326"/>
      <c r="DN545" s="1256"/>
      <c r="DO545" s="214"/>
      <c r="DP545" s="1257"/>
      <c r="DQ545" s="1258"/>
      <c r="DR545" s="305"/>
      <c r="DS545" s="249"/>
      <c r="DT545" s="216"/>
      <c r="DU545" s="305"/>
      <c r="DV545" s="2520"/>
      <c r="DW545" s="2521"/>
      <c r="DX545" s="305"/>
      <c r="DY545" s="249"/>
      <c r="DZ545" s="221"/>
      <c r="EA545" s="388"/>
      <c r="EB545" s="249"/>
      <c r="EC545" s="216"/>
      <c r="ED545" s="1461"/>
      <c r="EE545" s="249"/>
      <c r="EF545" s="216"/>
      <c r="EG545" s="355"/>
      <c r="EH545" s="1425"/>
      <c r="EI545" s="1470"/>
      <c r="EJ545" s="249"/>
      <c r="EK545" s="221"/>
      <c r="EL545" s="313"/>
      <c r="EM545" s="249"/>
      <c r="EN545" s="221"/>
      <c r="EO545" s="313"/>
      <c r="EP545" s="249"/>
      <c r="EQ545" s="216"/>
      <c r="ER545" s="313"/>
      <c r="ES545" s="249"/>
      <c r="ET545" s="216"/>
      <c r="EU545" s="313"/>
      <c r="EV545" s="249"/>
      <c r="EW545" s="216"/>
      <c r="EX545" s="2505"/>
      <c r="EY545" s="249"/>
      <c r="EZ545" s="221"/>
      <c r="FA545" s="313"/>
      <c r="FB545" s="249"/>
      <c r="FC545" s="221"/>
      <c r="FD545" s="313"/>
      <c r="FE545" s="249"/>
      <c r="FF545" s="221"/>
      <c r="FG545" s="313"/>
      <c r="FH545" s="249"/>
      <c r="FI545" s="216"/>
      <c r="FJ545" s="1435"/>
      <c r="FK545" s="216"/>
      <c r="FL545" s="1268"/>
      <c r="FM545" s="1655"/>
      <c r="FN545" s="1268"/>
      <c r="FO545" s="1655"/>
      <c r="FP545" s="1268"/>
      <c r="FQ545" s="1656"/>
      <c r="FR545" s="249"/>
      <c r="FS545" s="216"/>
      <c r="FT545" s="1657"/>
      <c r="FU545" s="1658"/>
      <c r="FV545" s="242"/>
      <c r="FW545" s="343"/>
      <c r="FX545" s="222"/>
      <c r="FY545" s="336"/>
      <c r="FZ545" s="223"/>
      <c r="GA545" s="338"/>
      <c r="GB545" s="204"/>
      <c r="GC545" s="339"/>
      <c r="GD545" s="342"/>
      <c r="GE545" s="199"/>
      <c r="GF545" s="199"/>
      <c r="GG545" s="199"/>
      <c r="GH545" s="199"/>
      <c r="GI545" s="199"/>
      <c r="GJ545" s="199"/>
      <c r="GK545" s="199"/>
      <c r="GO545" s="322"/>
      <c r="GP545" s="1190"/>
      <c r="GQ545" s="1190"/>
      <c r="GS545" s="2879"/>
      <c r="GT545" s="2880"/>
      <c r="GU545" s="2881"/>
    </row>
    <row r="546" spans="1:203" ht="12" customHeight="1">
      <c r="A546" s="1252"/>
      <c r="B546" s="200"/>
      <c r="C546" s="486"/>
      <c r="T546" s="1186"/>
      <c r="U546" s="233"/>
      <c r="W546" s="218"/>
      <c r="X546" s="218"/>
      <c r="Y546" s="216"/>
      <c r="Z546" s="216"/>
      <c r="AA546" s="215"/>
      <c r="AB546" s="216"/>
      <c r="AC546" s="216"/>
      <c r="AD546" s="239"/>
      <c r="AE546" s="216"/>
      <c r="AF546" s="216"/>
      <c r="AG546" s="216"/>
      <c r="AH546" s="216"/>
      <c r="AI546" s="216"/>
      <c r="AJ546" s="216"/>
      <c r="AK546" s="239"/>
      <c r="AL546" s="216"/>
      <c r="AM546" s="216"/>
      <c r="AN546" s="216"/>
      <c r="AO546" s="216"/>
      <c r="AP546" s="216"/>
      <c r="AQ546" s="216"/>
      <c r="AR546" s="216"/>
      <c r="AS546" s="216"/>
      <c r="AT546" s="216"/>
      <c r="AU546" s="216"/>
      <c r="AV546" s="217"/>
      <c r="AW546" s="355"/>
      <c r="AX546" s="217"/>
      <c r="AY546" s="305"/>
      <c r="AZ546" s="249"/>
      <c r="BA546" s="221"/>
      <c r="BB546" s="300"/>
      <c r="BC546" s="217"/>
      <c r="BD546" s="392"/>
      <c r="BE546" s="1244"/>
      <c r="BF546" s="249"/>
      <c r="BG546" s="252"/>
      <c r="BH546" s="1469"/>
      <c r="BI546" s="216"/>
      <c r="BJ546" s="1469"/>
      <c r="BK546" s="1459"/>
      <c r="BL546" s="260"/>
      <c r="BM546" s="214"/>
      <c r="BN546" s="293"/>
      <c r="BO546" s="217"/>
      <c r="BP546" s="355"/>
      <c r="BQ546" s="217"/>
      <c r="BR546" s="1193"/>
      <c r="BS546" s="249"/>
      <c r="BT546" s="216"/>
      <c r="BU546" s="1195"/>
      <c r="BV546" s="249"/>
      <c r="BW546" s="216"/>
      <c r="BX546" s="1195"/>
      <c r="BY546" s="249"/>
      <c r="BZ546" s="216"/>
      <c r="CA546" s="1195"/>
      <c r="CB546" s="249"/>
      <c r="CC546" s="216"/>
      <c r="CD546" s="1195"/>
      <c r="CE546" s="249"/>
      <c r="CF546" s="216"/>
      <c r="CG546" s="1195"/>
      <c r="CH546" s="249"/>
      <c r="CI546" s="216"/>
      <c r="CJ546" s="1195"/>
      <c r="CK546" s="249"/>
      <c r="CL546" s="216"/>
      <c r="CM546" s="1194"/>
      <c r="CN546" s="1524"/>
      <c r="CO546" s="217"/>
      <c r="CP546" s="1193"/>
      <c r="CQ546" s="293"/>
      <c r="CR546" s="217"/>
      <c r="CS546" s="305"/>
      <c r="CT546" s="249"/>
      <c r="CU546" s="216"/>
      <c r="CV546" s="1193"/>
      <c r="CW546" s="249"/>
      <c r="CX546" s="216"/>
      <c r="CY546" s="305"/>
      <c r="CZ546" s="249"/>
      <c r="DA546" s="216"/>
      <c r="DB546" s="307"/>
      <c r="DC546" s="328"/>
      <c r="DD546" s="322"/>
      <c r="DE546" s="305"/>
      <c r="DF546" s="249"/>
      <c r="DG546" s="216"/>
      <c r="DH546" s="305"/>
      <c r="DI546" s="249"/>
      <c r="DJ546" s="216"/>
      <c r="DK546" s="309"/>
      <c r="DL546" s="293"/>
      <c r="DM546" s="326"/>
      <c r="DN546" s="1256"/>
      <c r="DO546" s="214"/>
      <c r="DP546" s="1257"/>
      <c r="DQ546" s="1258"/>
      <c r="DR546" s="305"/>
      <c r="DS546" s="249"/>
      <c r="DT546" s="216"/>
      <c r="DU546" s="305"/>
      <c r="DV546" s="2520"/>
      <c r="DW546" s="2521"/>
      <c r="DX546" s="305"/>
      <c r="DY546" s="249"/>
      <c r="DZ546" s="221"/>
      <c r="EA546" s="388"/>
      <c r="EB546" s="249"/>
      <c r="EC546" s="216"/>
      <c r="ED546" s="1461"/>
      <c r="EE546" s="249"/>
      <c r="EF546" s="216"/>
      <c r="EG546" s="355"/>
      <c r="EH546" s="1425"/>
      <c r="EI546" s="1470"/>
      <c r="EJ546" s="249"/>
      <c r="EK546" s="221"/>
      <c r="EL546" s="313"/>
      <c r="EM546" s="249"/>
      <c r="EN546" s="221"/>
      <c r="EO546" s="313"/>
      <c r="EP546" s="249"/>
      <c r="EQ546" s="216"/>
      <c r="ER546" s="313"/>
      <c r="ES546" s="249"/>
      <c r="ET546" s="216"/>
      <c r="EU546" s="313"/>
      <c r="EV546" s="249"/>
      <c r="EW546" s="216"/>
      <c r="EX546" s="2505"/>
      <c r="EY546" s="249"/>
      <c r="EZ546" s="221"/>
      <c r="FA546" s="313"/>
      <c r="FB546" s="249"/>
      <c r="FC546" s="221"/>
      <c r="FD546" s="313"/>
      <c r="FE546" s="249"/>
      <c r="FF546" s="221"/>
      <c r="FG546" s="313"/>
      <c r="FH546" s="249"/>
      <c r="FI546" s="216"/>
      <c r="FJ546" s="1435"/>
      <c r="FK546" s="216"/>
      <c r="FL546" s="1268"/>
      <c r="FM546" s="1655"/>
      <c r="FN546" s="1268"/>
      <c r="FO546" s="1655"/>
      <c r="FP546" s="1268"/>
      <c r="FQ546" s="1656"/>
      <c r="FR546" s="249"/>
      <c r="FS546" s="216"/>
      <c r="FT546" s="1657"/>
      <c r="FU546" s="1658"/>
      <c r="FV546" s="242"/>
      <c r="FW546" s="343"/>
      <c r="FX546" s="222"/>
      <c r="FY546" s="336"/>
      <c r="FZ546" s="223"/>
      <c r="GA546" s="338"/>
      <c r="GB546" s="204"/>
      <c r="GC546" s="339"/>
      <c r="GD546" s="342"/>
      <c r="GE546" s="199"/>
      <c r="GF546" s="199"/>
      <c r="GG546" s="199"/>
      <c r="GH546" s="199"/>
      <c r="GI546" s="199"/>
      <c r="GJ546" s="199"/>
      <c r="GK546" s="199"/>
      <c r="GO546" s="322"/>
      <c r="GP546" s="1190"/>
      <c r="GQ546" s="1190"/>
      <c r="GS546" s="2879"/>
      <c r="GT546" s="2880"/>
      <c r="GU546" s="2881"/>
    </row>
    <row r="547" spans="1:203" ht="12" customHeight="1">
      <c r="A547" s="1252"/>
      <c r="B547" s="200"/>
      <c r="C547" s="486"/>
      <c r="T547" s="1186"/>
      <c r="U547" s="233"/>
      <c r="W547" s="218"/>
      <c r="X547" s="218"/>
      <c r="Y547" s="216"/>
      <c r="Z547" s="216"/>
      <c r="AA547" s="215"/>
      <c r="AB547" s="216"/>
      <c r="AC547" s="216"/>
      <c r="AD547" s="239"/>
      <c r="AE547" s="216"/>
      <c r="AF547" s="216"/>
      <c r="AG547" s="216"/>
      <c r="AH547" s="216"/>
      <c r="AI547" s="216"/>
      <c r="AJ547" s="216"/>
      <c r="AK547" s="239"/>
      <c r="AL547" s="216"/>
      <c r="AM547" s="216"/>
      <c r="AN547" s="216"/>
      <c r="AO547" s="216"/>
      <c r="AP547" s="216"/>
      <c r="AQ547" s="216"/>
      <c r="AR547" s="216"/>
      <c r="AS547" s="216"/>
      <c r="AT547" s="216"/>
      <c r="AU547" s="216"/>
      <c r="AV547" s="217"/>
      <c r="AW547" s="355"/>
      <c r="AX547" s="217"/>
      <c r="AY547" s="305"/>
      <c r="AZ547" s="249"/>
      <c r="BA547" s="221"/>
      <c r="BB547" s="300"/>
      <c r="BC547" s="217"/>
      <c r="BD547" s="392"/>
      <c r="BE547" s="1244"/>
      <c r="BF547" s="249"/>
      <c r="BG547" s="252"/>
      <c r="BH547" s="1469"/>
      <c r="BI547" s="216"/>
      <c r="BJ547" s="1469"/>
      <c r="BK547" s="1459"/>
      <c r="BL547" s="260"/>
      <c r="BM547" s="214"/>
      <c r="BN547" s="293"/>
      <c r="BO547" s="217"/>
      <c r="BP547" s="355"/>
      <c r="BQ547" s="217"/>
      <c r="BR547" s="1193"/>
      <c r="BS547" s="249"/>
      <c r="BT547" s="216"/>
      <c r="BU547" s="1195"/>
      <c r="BV547" s="249"/>
      <c r="BW547" s="216"/>
      <c r="BX547" s="1195"/>
      <c r="BY547" s="249"/>
      <c r="BZ547" s="216"/>
      <c r="CA547" s="1195"/>
      <c r="CB547" s="249"/>
      <c r="CC547" s="216"/>
      <c r="CD547" s="1195"/>
      <c r="CE547" s="249"/>
      <c r="CF547" s="216"/>
      <c r="CG547" s="1195"/>
      <c r="CH547" s="249"/>
      <c r="CI547" s="216"/>
      <c r="CJ547" s="1195"/>
      <c r="CK547" s="249"/>
      <c r="CL547" s="216"/>
      <c r="CM547" s="1194"/>
      <c r="CN547" s="1524"/>
      <c r="CO547" s="217"/>
      <c r="CP547" s="1193"/>
      <c r="CQ547" s="293"/>
      <c r="CR547" s="217"/>
      <c r="CS547" s="305"/>
      <c r="CT547" s="249"/>
      <c r="CU547" s="216"/>
      <c r="CV547" s="1193"/>
      <c r="CW547" s="249"/>
      <c r="CX547" s="216"/>
      <c r="CY547" s="305"/>
      <c r="CZ547" s="249"/>
      <c r="DA547" s="216"/>
      <c r="DB547" s="307"/>
      <c r="DC547" s="328"/>
      <c r="DD547" s="322"/>
      <c r="DE547" s="305"/>
      <c r="DF547" s="249"/>
      <c r="DG547" s="216"/>
      <c r="DH547" s="305"/>
      <c r="DI547" s="249"/>
      <c r="DJ547" s="216"/>
      <c r="DK547" s="309"/>
      <c r="DL547" s="293"/>
      <c r="DM547" s="326"/>
      <c r="DN547" s="1256"/>
      <c r="DO547" s="214"/>
      <c r="DP547" s="1257"/>
      <c r="DQ547" s="1258"/>
      <c r="DR547" s="305"/>
      <c r="DS547" s="249"/>
      <c r="DT547" s="216"/>
      <c r="DU547" s="305"/>
      <c r="DV547" s="2520"/>
      <c r="DW547" s="2521"/>
      <c r="DX547" s="305"/>
      <c r="DY547" s="249"/>
      <c r="DZ547" s="221"/>
      <c r="EA547" s="388"/>
      <c r="EB547" s="249"/>
      <c r="EC547" s="216"/>
      <c r="ED547" s="1461"/>
      <c r="EE547" s="249"/>
      <c r="EF547" s="216"/>
      <c r="EG547" s="355"/>
      <c r="EH547" s="1425"/>
      <c r="EI547" s="1470"/>
      <c r="EJ547" s="249"/>
      <c r="EK547" s="221"/>
      <c r="EL547" s="313"/>
      <c r="EM547" s="249"/>
      <c r="EN547" s="221"/>
      <c r="EO547" s="313"/>
      <c r="EP547" s="249"/>
      <c r="EQ547" s="216"/>
      <c r="ER547" s="313"/>
      <c r="ES547" s="249"/>
      <c r="ET547" s="216"/>
      <c r="EU547" s="313"/>
      <c r="EV547" s="249"/>
      <c r="EW547" s="216"/>
      <c r="EX547" s="2505"/>
      <c r="EY547" s="249"/>
      <c r="EZ547" s="221"/>
      <c r="FA547" s="313"/>
      <c r="FB547" s="249"/>
      <c r="FC547" s="221"/>
      <c r="FD547" s="313"/>
      <c r="FE547" s="249"/>
      <c r="FF547" s="221"/>
      <c r="FG547" s="313"/>
      <c r="FH547" s="249"/>
      <c r="FI547" s="216"/>
      <c r="FJ547" s="1435"/>
      <c r="FK547" s="216"/>
      <c r="FL547" s="1268"/>
      <c r="FM547" s="1655"/>
      <c r="FN547" s="1268"/>
      <c r="FO547" s="1655"/>
      <c r="FP547" s="1268"/>
      <c r="FQ547" s="1656"/>
      <c r="FR547" s="249"/>
      <c r="FS547" s="216"/>
      <c r="FT547" s="1657"/>
      <c r="FU547" s="1658"/>
      <c r="FV547" s="242"/>
      <c r="FW547" s="343"/>
      <c r="FX547" s="222"/>
      <c r="FY547" s="336"/>
      <c r="FZ547" s="223"/>
      <c r="GA547" s="338"/>
      <c r="GB547" s="204"/>
      <c r="GC547" s="339"/>
      <c r="GD547" s="342"/>
      <c r="GE547" s="199"/>
      <c r="GF547" s="199"/>
      <c r="GG547" s="199"/>
      <c r="GH547" s="199"/>
      <c r="GI547" s="199"/>
      <c r="GJ547" s="199"/>
      <c r="GK547" s="199"/>
      <c r="GO547" s="322"/>
      <c r="GP547" s="1190"/>
      <c r="GQ547" s="1190"/>
      <c r="GS547" s="2879"/>
      <c r="GT547" s="2880"/>
      <c r="GU547" s="2881"/>
    </row>
    <row r="548" spans="1:203" ht="12" customHeight="1">
      <c r="A548" s="1252"/>
      <c r="B548" s="200"/>
      <c r="C548" s="486"/>
      <c r="T548" s="1186"/>
      <c r="U548" s="233"/>
      <c r="W548" s="218"/>
      <c r="X548" s="218"/>
      <c r="Y548" s="216"/>
      <c r="Z548" s="216"/>
      <c r="AA548" s="215"/>
      <c r="AB548" s="216"/>
      <c r="AC548" s="216"/>
      <c r="AD548" s="239"/>
      <c r="AE548" s="216"/>
      <c r="AF548" s="216"/>
      <c r="AG548" s="216"/>
      <c r="AH548" s="216"/>
      <c r="AI548" s="216"/>
      <c r="AJ548" s="216"/>
      <c r="AK548" s="239"/>
      <c r="AL548" s="216"/>
      <c r="AM548" s="216"/>
      <c r="AN548" s="216"/>
      <c r="AO548" s="216"/>
      <c r="AP548" s="216"/>
      <c r="AQ548" s="216"/>
      <c r="AR548" s="216"/>
      <c r="AS548" s="216"/>
      <c r="AT548" s="216"/>
      <c r="AU548" s="216"/>
      <c r="AV548" s="217"/>
      <c r="AW548" s="355"/>
      <c r="AX548" s="217"/>
      <c r="AY548" s="305"/>
      <c r="AZ548" s="249"/>
      <c r="BA548" s="221"/>
      <c r="BB548" s="300"/>
      <c r="BC548" s="217"/>
      <c r="BD548" s="392"/>
      <c r="BE548" s="1244"/>
      <c r="BF548" s="249"/>
      <c r="BG548" s="252"/>
      <c r="BH548" s="1469"/>
      <c r="BI548" s="216"/>
      <c r="BJ548" s="1469"/>
      <c r="BK548" s="1459"/>
      <c r="BL548" s="260"/>
      <c r="BM548" s="214"/>
      <c r="BN548" s="293"/>
      <c r="BO548" s="217"/>
      <c r="BP548" s="355"/>
      <c r="BQ548" s="217"/>
      <c r="BR548" s="1193"/>
      <c r="BS548" s="249"/>
      <c r="BT548" s="216"/>
      <c r="BU548" s="1195"/>
      <c r="BV548" s="249"/>
      <c r="BW548" s="216"/>
      <c r="BX548" s="1195"/>
      <c r="BY548" s="249"/>
      <c r="BZ548" s="216"/>
      <c r="CA548" s="1195"/>
      <c r="CB548" s="249"/>
      <c r="CC548" s="216"/>
      <c r="CD548" s="1195"/>
      <c r="CE548" s="249"/>
      <c r="CF548" s="216"/>
      <c r="CG548" s="1195"/>
      <c r="CH548" s="249"/>
      <c r="CI548" s="216"/>
      <c r="CJ548" s="1195"/>
      <c r="CK548" s="249"/>
      <c r="CL548" s="216"/>
      <c r="CM548" s="1194"/>
      <c r="CN548" s="1524"/>
      <c r="CO548" s="217"/>
      <c r="CP548" s="1193"/>
      <c r="CQ548" s="293"/>
      <c r="CR548" s="217"/>
      <c r="CS548" s="305"/>
      <c r="CT548" s="249"/>
      <c r="CU548" s="216"/>
      <c r="CV548" s="1193"/>
      <c r="CW548" s="249"/>
      <c r="CX548" s="216"/>
      <c r="CY548" s="305"/>
      <c r="CZ548" s="249"/>
      <c r="DA548" s="216"/>
      <c r="DB548" s="307"/>
      <c r="DC548" s="328"/>
      <c r="DD548" s="322"/>
      <c r="DE548" s="305"/>
      <c r="DF548" s="249"/>
      <c r="DG548" s="216"/>
      <c r="DH548" s="305"/>
      <c r="DI548" s="249"/>
      <c r="DJ548" s="216"/>
      <c r="DK548" s="309"/>
      <c r="DL548" s="293"/>
      <c r="DM548" s="326"/>
      <c r="DN548" s="1256"/>
      <c r="DO548" s="214"/>
      <c r="DP548" s="1257"/>
      <c r="DQ548" s="1258"/>
      <c r="DR548" s="305"/>
      <c r="DS548" s="249"/>
      <c r="DT548" s="216"/>
      <c r="DU548" s="305"/>
      <c r="DV548" s="2520"/>
      <c r="DW548" s="2521"/>
      <c r="DX548" s="305"/>
      <c r="DY548" s="249"/>
      <c r="DZ548" s="221"/>
      <c r="EA548" s="388"/>
      <c r="EB548" s="249"/>
      <c r="EC548" s="216"/>
      <c r="ED548" s="1461"/>
      <c r="EE548" s="249"/>
      <c r="EF548" s="216"/>
      <c r="EG548" s="355"/>
      <c r="EH548" s="1425"/>
      <c r="EI548" s="1470"/>
      <c r="EJ548" s="249"/>
      <c r="EK548" s="221"/>
      <c r="EL548" s="313"/>
      <c r="EM548" s="249"/>
      <c r="EN548" s="221"/>
      <c r="EO548" s="313"/>
      <c r="EP548" s="249"/>
      <c r="EQ548" s="216"/>
      <c r="ER548" s="313"/>
      <c r="ES548" s="249"/>
      <c r="ET548" s="216"/>
      <c r="EU548" s="313"/>
      <c r="EV548" s="249"/>
      <c r="EW548" s="216"/>
      <c r="EX548" s="2505"/>
      <c r="EY548" s="249"/>
      <c r="EZ548" s="221"/>
      <c r="FA548" s="313"/>
      <c r="FB548" s="249"/>
      <c r="FC548" s="221"/>
      <c r="FD548" s="313"/>
      <c r="FE548" s="249"/>
      <c r="FF548" s="221"/>
      <c r="FG548" s="313"/>
      <c r="FH548" s="249"/>
      <c r="FI548" s="216"/>
      <c r="FJ548" s="1435"/>
      <c r="FK548" s="216"/>
      <c r="FL548" s="1268"/>
      <c r="FM548" s="1655"/>
      <c r="FN548" s="1268"/>
      <c r="FO548" s="1655"/>
      <c r="FP548" s="1268"/>
      <c r="FQ548" s="1656"/>
      <c r="FR548" s="249"/>
      <c r="FS548" s="216"/>
      <c r="FT548" s="1657"/>
      <c r="FU548" s="1658"/>
      <c r="FV548" s="242"/>
      <c r="FW548" s="343"/>
      <c r="FX548" s="222"/>
      <c r="FY548" s="336"/>
      <c r="FZ548" s="223"/>
      <c r="GA548" s="338"/>
      <c r="GB548" s="204"/>
      <c r="GC548" s="339"/>
      <c r="GD548" s="342"/>
      <c r="GE548" s="199"/>
      <c r="GF548" s="199"/>
      <c r="GG548" s="199"/>
      <c r="GH548" s="199"/>
      <c r="GI548" s="199"/>
      <c r="GJ548" s="199"/>
      <c r="GK548" s="199"/>
      <c r="GO548" s="322"/>
      <c r="GP548" s="1190"/>
      <c r="GQ548" s="1190"/>
      <c r="GS548" s="2879"/>
      <c r="GT548" s="2880"/>
      <c r="GU548" s="2881"/>
    </row>
    <row r="549" spans="1:203" ht="12" customHeight="1">
      <c r="A549" s="1252"/>
      <c r="B549" s="200"/>
      <c r="C549" s="486"/>
      <c r="T549" s="1186"/>
      <c r="U549" s="233"/>
      <c r="W549" s="218"/>
      <c r="X549" s="218"/>
      <c r="Y549" s="216"/>
      <c r="Z549" s="216"/>
      <c r="AA549" s="215"/>
      <c r="AB549" s="216"/>
      <c r="AC549" s="216"/>
      <c r="AD549" s="239"/>
      <c r="AE549" s="216"/>
      <c r="AF549" s="216"/>
      <c r="AG549" s="216"/>
      <c r="AH549" s="216"/>
      <c r="AI549" s="216"/>
      <c r="AJ549" s="216"/>
      <c r="AK549" s="239"/>
      <c r="AL549" s="216"/>
      <c r="AM549" s="216"/>
      <c r="AN549" s="216"/>
      <c r="AO549" s="216"/>
      <c r="AP549" s="216"/>
      <c r="AQ549" s="216"/>
      <c r="AR549" s="216"/>
      <c r="AS549" s="216"/>
      <c r="AT549" s="216"/>
      <c r="AU549" s="216"/>
      <c r="AV549" s="217"/>
      <c r="AW549" s="355"/>
      <c r="AX549" s="217"/>
      <c r="AY549" s="305"/>
      <c r="AZ549" s="249"/>
      <c r="BA549" s="221"/>
      <c r="BB549" s="300"/>
      <c r="BC549" s="217"/>
      <c r="BD549" s="392"/>
      <c r="BE549" s="1244"/>
      <c r="BF549" s="249"/>
      <c r="BG549" s="252"/>
      <c r="BH549" s="1469"/>
      <c r="BI549" s="216"/>
      <c r="BJ549" s="1469"/>
      <c r="BK549" s="1459"/>
      <c r="BL549" s="260"/>
      <c r="BM549" s="214"/>
      <c r="BN549" s="293"/>
      <c r="BO549" s="217"/>
      <c r="BP549" s="355"/>
      <c r="BQ549" s="217"/>
      <c r="BR549" s="1193"/>
      <c r="BS549" s="249"/>
      <c r="BT549" s="216"/>
      <c r="BU549" s="1195"/>
      <c r="BV549" s="249"/>
      <c r="BW549" s="216"/>
      <c r="BX549" s="1195"/>
      <c r="BY549" s="249"/>
      <c r="BZ549" s="216"/>
      <c r="CA549" s="1195"/>
      <c r="CB549" s="249"/>
      <c r="CC549" s="216"/>
      <c r="CD549" s="1195"/>
      <c r="CE549" s="249"/>
      <c r="CF549" s="216"/>
      <c r="CG549" s="1195"/>
      <c r="CH549" s="249"/>
      <c r="CI549" s="216"/>
      <c r="CJ549" s="1195"/>
      <c r="CK549" s="249"/>
      <c r="CL549" s="216"/>
      <c r="CM549" s="1194"/>
      <c r="CN549" s="1524"/>
      <c r="CO549" s="217"/>
      <c r="CP549" s="1193"/>
      <c r="CQ549" s="293"/>
      <c r="CR549" s="217"/>
      <c r="CS549" s="305"/>
      <c r="CT549" s="249"/>
      <c r="CU549" s="216"/>
      <c r="CV549" s="1193"/>
      <c r="CW549" s="249"/>
      <c r="CX549" s="216"/>
      <c r="CY549" s="305"/>
      <c r="CZ549" s="249"/>
      <c r="DA549" s="216"/>
      <c r="DB549" s="307"/>
      <c r="DC549" s="328"/>
      <c r="DD549" s="322"/>
      <c r="DE549" s="305"/>
      <c r="DF549" s="249"/>
      <c r="DG549" s="216"/>
      <c r="DH549" s="305"/>
      <c r="DI549" s="249"/>
      <c r="DJ549" s="216"/>
      <c r="DK549" s="309"/>
      <c r="DL549" s="293"/>
      <c r="DM549" s="326"/>
      <c r="DN549" s="1256"/>
      <c r="DO549" s="214"/>
      <c r="DP549" s="1257"/>
      <c r="DQ549" s="1258"/>
      <c r="DR549" s="305"/>
      <c r="DS549" s="249"/>
      <c r="DT549" s="216"/>
      <c r="DU549" s="305"/>
      <c r="DV549" s="2520"/>
      <c r="DW549" s="2521"/>
      <c r="DX549" s="305"/>
      <c r="DY549" s="249"/>
      <c r="DZ549" s="221"/>
      <c r="EA549" s="388"/>
      <c r="EB549" s="249"/>
      <c r="EC549" s="216"/>
      <c r="ED549" s="1461"/>
      <c r="EE549" s="249"/>
      <c r="EF549" s="216"/>
      <c r="EG549" s="355"/>
      <c r="EH549" s="1425"/>
      <c r="EI549" s="1470"/>
      <c r="EJ549" s="249"/>
      <c r="EK549" s="221"/>
      <c r="EL549" s="313"/>
      <c r="EM549" s="249"/>
      <c r="EN549" s="221"/>
      <c r="EO549" s="313"/>
      <c r="EP549" s="249"/>
      <c r="EQ549" s="216"/>
      <c r="ER549" s="313"/>
      <c r="ES549" s="249"/>
      <c r="ET549" s="216"/>
      <c r="EU549" s="313"/>
      <c r="EV549" s="249"/>
      <c r="EW549" s="216"/>
      <c r="EX549" s="2505"/>
      <c r="EY549" s="249"/>
      <c r="EZ549" s="221"/>
      <c r="FA549" s="313"/>
      <c r="FB549" s="249"/>
      <c r="FC549" s="221"/>
      <c r="FD549" s="313"/>
      <c r="FE549" s="249"/>
      <c r="FF549" s="221"/>
      <c r="FG549" s="313"/>
      <c r="FH549" s="249"/>
      <c r="FI549" s="216"/>
      <c r="FJ549" s="1435"/>
      <c r="FK549" s="216"/>
      <c r="FL549" s="1268"/>
      <c r="FM549" s="1655"/>
      <c r="FN549" s="1268"/>
      <c r="FO549" s="1655"/>
      <c r="FP549" s="1268"/>
      <c r="FQ549" s="1656"/>
      <c r="FR549" s="249"/>
      <c r="FS549" s="216"/>
      <c r="FT549" s="1657"/>
      <c r="FU549" s="1658"/>
      <c r="FV549" s="242"/>
      <c r="FW549" s="343"/>
      <c r="FX549" s="222"/>
      <c r="FY549" s="336"/>
      <c r="FZ549" s="223"/>
      <c r="GA549" s="338"/>
      <c r="GB549" s="204"/>
      <c r="GC549" s="339"/>
      <c r="GD549" s="342"/>
      <c r="GE549" s="199"/>
      <c r="GF549" s="199"/>
      <c r="GG549" s="199"/>
      <c r="GH549" s="199"/>
      <c r="GI549" s="199"/>
      <c r="GJ549" s="199"/>
      <c r="GK549" s="199"/>
      <c r="GO549" s="322"/>
      <c r="GP549" s="1190"/>
      <c r="GQ549" s="1190"/>
      <c r="GS549" s="2879"/>
      <c r="GT549" s="2880"/>
      <c r="GU549" s="2881"/>
    </row>
    <row r="550" spans="1:203" ht="12" customHeight="1">
      <c r="A550" s="1252"/>
      <c r="B550" s="200"/>
      <c r="C550" s="486"/>
      <c r="T550" s="1186"/>
      <c r="U550" s="233"/>
      <c r="W550" s="218"/>
      <c r="X550" s="218"/>
      <c r="Y550" s="216"/>
      <c r="Z550" s="216"/>
      <c r="AA550" s="215"/>
      <c r="AB550" s="216"/>
      <c r="AC550" s="216"/>
      <c r="AD550" s="239"/>
      <c r="AE550" s="216"/>
      <c r="AF550" s="216"/>
      <c r="AG550" s="216"/>
      <c r="AH550" s="216"/>
      <c r="AI550" s="216"/>
      <c r="AJ550" s="216"/>
      <c r="AK550" s="239"/>
      <c r="AL550" s="216"/>
      <c r="AM550" s="216"/>
      <c r="AN550" s="216"/>
      <c r="AO550" s="216"/>
      <c r="AP550" s="216"/>
      <c r="AQ550" s="216"/>
      <c r="AR550" s="216"/>
      <c r="AS550" s="216"/>
      <c r="AT550" s="216"/>
      <c r="AU550" s="216"/>
      <c r="AV550" s="217"/>
      <c r="AW550" s="355"/>
      <c r="AX550" s="217"/>
      <c r="AY550" s="305"/>
      <c r="AZ550" s="249"/>
      <c r="BA550" s="221"/>
      <c r="BB550" s="300"/>
      <c r="BC550" s="217"/>
      <c r="BD550" s="392"/>
      <c r="BE550" s="1244"/>
      <c r="BF550" s="249"/>
      <c r="BG550" s="252"/>
      <c r="BH550" s="1469"/>
      <c r="BI550" s="216"/>
      <c r="BJ550" s="1469"/>
      <c r="BK550" s="1459"/>
      <c r="BL550" s="260"/>
      <c r="BM550" s="214"/>
      <c r="BN550" s="293"/>
      <c r="BO550" s="217"/>
      <c r="BP550" s="355"/>
      <c r="BQ550" s="217"/>
      <c r="BR550" s="1193"/>
      <c r="BS550" s="249"/>
      <c r="BT550" s="216"/>
      <c r="BU550" s="1195"/>
      <c r="BV550" s="249"/>
      <c r="BW550" s="216"/>
      <c r="BX550" s="1195"/>
      <c r="BY550" s="249"/>
      <c r="BZ550" s="216"/>
      <c r="CA550" s="1195"/>
      <c r="CB550" s="249"/>
      <c r="CC550" s="216"/>
      <c r="CD550" s="1195"/>
      <c r="CE550" s="249"/>
      <c r="CF550" s="216"/>
      <c r="CG550" s="1195"/>
      <c r="CH550" s="249"/>
      <c r="CI550" s="216"/>
      <c r="CJ550" s="1195"/>
      <c r="CK550" s="249"/>
      <c r="CL550" s="216"/>
      <c r="CM550" s="1194"/>
      <c r="CN550" s="1524"/>
      <c r="CO550" s="217"/>
      <c r="CP550" s="1193"/>
      <c r="CQ550" s="293"/>
      <c r="CR550" s="217"/>
      <c r="CS550" s="305"/>
      <c r="CT550" s="249"/>
      <c r="CU550" s="216"/>
      <c r="CV550" s="1193"/>
      <c r="CW550" s="249"/>
      <c r="CX550" s="216"/>
      <c r="CY550" s="305"/>
      <c r="CZ550" s="249"/>
      <c r="DA550" s="216"/>
      <c r="DB550" s="307"/>
      <c r="DC550" s="328"/>
      <c r="DD550" s="322"/>
      <c r="DE550" s="305"/>
      <c r="DF550" s="249"/>
      <c r="DG550" s="216"/>
      <c r="DH550" s="305"/>
      <c r="DI550" s="249"/>
      <c r="DJ550" s="216"/>
      <c r="DK550" s="309"/>
      <c r="DL550" s="293"/>
      <c r="DM550" s="326"/>
      <c r="DN550" s="1256"/>
      <c r="DO550" s="214"/>
      <c r="DP550" s="1257"/>
      <c r="DQ550" s="1258"/>
      <c r="DR550" s="305"/>
      <c r="DS550" s="249"/>
      <c r="DT550" s="216"/>
      <c r="DU550" s="305"/>
      <c r="DV550" s="2520"/>
      <c r="DW550" s="2521"/>
      <c r="DX550" s="305"/>
      <c r="DY550" s="249"/>
      <c r="DZ550" s="221"/>
      <c r="EA550" s="388"/>
      <c r="EB550" s="249"/>
      <c r="EC550" s="216"/>
      <c r="ED550" s="1461"/>
      <c r="EE550" s="249"/>
      <c r="EF550" s="216"/>
      <c r="EG550" s="355"/>
      <c r="EH550" s="1425"/>
      <c r="EI550" s="1470"/>
      <c r="EJ550" s="249"/>
      <c r="EK550" s="221"/>
      <c r="EL550" s="313"/>
      <c r="EM550" s="249"/>
      <c r="EN550" s="221"/>
      <c r="EO550" s="313"/>
      <c r="EP550" s="249"/>
      <c r="EQ550" s="216"/>
      <c r="ER550" s="313"/>
      <c r="ES550" s="249"/>
      <c r="ET550" s="216"/>
      <c r="EU550" s="313"/>
      <c r="EV550" s="249"/>
      <c r="EW550" s="216"/>
      <c r="EX550" s="2505"/>
      <c r="EY550" s="249"/>
      <c r="EZ550" s="221"/>
      <c r="FA550" s="313"/>
      <c r="FB550" s="249"/>
      <c r="FC550" s="221"/>
      <c r="FD550" s="313"/>
      <c r="FE550" s="249"/>
      <c r="FF550" s="221"/>
      <c r="FG550" s="313"/>
      <c r="FH550" s="249"/>
      <c r="FI550" s="216"/>
      <c r="FJ550" s="1435"/>
      <c r="FK550" s="216"/>
      <c r="FL550" s="1268"/>
      <c r="FM550" s="1655"/>
      <c r="FN550" s="1268"/>
      <c r="FO550" s="1655"/>
      <c r="FP550" s="1268"/>
      <c r="FQ550" s="1656"/>
      <c r="FR550" s="249"/>
      <c r="FS550" s="216"/>
      <c r="FT550" s="1657"/>
      <c r="FU550" s="1658"/>
      <c r="FV550" s="242"/>
      <c r="FW550" s="343"/>
      <c r="FX550" s="222"/>
      <c r="FY550" s="336"/>
      <c r="FZ550" s="223"/>
      <c r="GA550" s="338"/>
      <c r="GB550" s="204"/>
      <c r="GC550" s="339"/>
      <c r="GD550" s="342"/>
      <c r="GE550" s="199"/>
      <c r="GF550" s="199"/>
      <c r="GG550" s="199"/>
      <c r="GH550" s="199"/>
      <c r="GI550" s="199"/>
      <c r="GJ550" s="199"/>
      <c r="GK550" s="199"/>
      <c r="GO550" s="322"/>
      <c r="GP550" s="1190"/>
      <c r="GQ550" s="1190"/>
      <c r="GS550" s="2879"/>
      <c r="GT550" s="2880"/>
      <c r="GU550" s="2881"/>
    </row>
    <row r="551" spans="1:203" ht="12" customHeight="1">
      <c r="A551" s="1252"/>
      <c r="B551" s="200"/>
      <c r="C551" s="486"/>
      <c r="T551" s="1186"/>
      <c r="U551" s="233"/>
      <c r="W551" s="218"/>
      <c r="X551" s="218"/>
      <c r="Y551" s="216"/>
      <c r="Z551" s="216"/>
      <c r="AA551" s="215"/>
      <c r="AB551" s="216"/>
      <c r="AC551" s="216"/>
      <c r="AD551" s="239"/>
      <c r="AE551" s="216"/>
      <c r="AF551" s="216"/>
      <c r="AG551" s="216"/>
      <c r="AH551" s="216"/>
      <c r="AI551" s="216"/>
      <c r="AJ551" s="216"/>
      <c r="AK551" s="239"/>
      <c r="AL551" s="216"/>
      <c r="AM551" s="216"/>
      <c r="AN551" s="216"/>
      <c r="AO551" s="216"/>
      <c r="AP551" s="216"/>
      <c r="AQ551" s="216"/>
      <c r="AR551" s="216"/>
      <c r="AS551" s="216"/>
      <c r="AT551" s="216"/>
      <c r="AU551" s="216"/>
      <c r="AV551" s="217"/>
      <c r="AW551" s="355"/>
      <c r="AX551" s="217"/>
      <c r="AY551" s="305"/>
      <c r="AZ551" s="249"/>
      <c r="BA551" s="221"/>
      <c r="BB551" s="300"/>
      <c r="BC551" s="217"/>
      <c r="BD551" s="392"/>
      <c r="BE551" s="1244"/>
      <c r="BF551" s="249"/>
      <c r="BG551" s="252"/>
      <c r="BH551" s="1469"/>
      <c r="BI551" s="216"/>
      <c r="BJ551" s="1469"/>
      <c r="BK551" s="1459"/>
      <c r="BL551" s="260"/>
      <c r="BM551" s="214"/>
      <c r="BN551" s="293"/>
      <c r="BO551" s="217"/>
      <c r="BP551" s="355"/>
      <c r="BQ551" s="217"/>
      <c r="BR551" s="1193"/>
      <c r="BS551" s="249"/>
      <c r="BT551" s="216"/>
      <c r="BU551" s="1195"/>
      <c r="BV551" s="249"/>
      <c r="BW551" s="216"/>
      <c r="BX551" s="1195"/>
      <c r="BY551" s="249"/>
      <c r="BZ551" s="216"/>
      <c r="CA551" s="1195"/>
      <c r="CB551" s="249"/>
      <c r="CC551" s="216"/>
      <c r="CD551" s="1195"/>
      <c r="CE551" s="249"/>
      <c r="CF551" s="216"/>
      <c r="CG551" s="1195"/>
      <c r="CH551" s="249"/>
      <c r="CI551" s="216"/>
      <c r="CJ551" s="1195"/>
      <c r="CK551" s="249"/>
      <c r="CL551" s="216"/>
      <c r="CM551" s="1194"/>
      <c r="CN551" s="1524"/>
      <c r="CO551" s="217"/>
      <c r="CP551" s="1193"/>
      <c r="CQ551" s="293"/>
      <c r="CR551" s="217"/>
      <c r="CS551" s="305"/>
      <c r="CT551" s="249"/>
      <c r="CU551" s="216"/>
      <c r="CV551" s="1193"/>
      <c r="CW551" s="249"/>
      <c r="CX551" s="216"/>
      <c r="CY551" s="305"/>
      <c r="CZ551" s="249"/>
      <c r="DA551" s="216"/>
      <c r="DB551" s="307"/>
      <c r="DC551" s="328"/>
      <c r="DD551" s="322"/>
      <c r="DE551" s="305"/>
      <c r="DF551" s="249"/>
      <c r="DG551" s="216"/>
      <c r="DH551" s="305"/>
      <c r="DI551" s="249"/>
      <c r="DJ551" s="216"/>
      <c r="DK551" s="309"/>
      <c r="DL551" s="293"/>
      <c r="DM551" s="326"/>
      <c r="DN551" s="1256"/>
      <c r="DO551" s="214"/>
      <c r="DP551" s="1257"/>
      <c r="DQ551" s="1258"/>
      <c r="DR551" s="305"/>
      <c r="DS551" s="249"/>
      <c r="DT551" s="216"/>
      <c r="DU551" s="305"/>
      <c r="DV551" s="2520"/>
      <c r="DW551" s="2521"/>
      <c r="DX551" s="305"/>
      <c r="DY551" s="249"/>
      <c r="DZ551" s="221"/>
      <c r="EA551" s="388"/>
      <c r="EB551" s="249"/>
      <c r="EC551" s="216"/>
      <c r="ED551" s="1461"/>
      <c r="EE551" s="249"/>
      <c r="EF551" s="216"/>
      <c r="EG551" s="355"/>
      <c r="EH551" s="1425"/>
      <c r="EI551" s="1470"/>
      <c r="EJ551" s="249"/>
      <c r="EK551" s="221"/>
      <c r="EL551" s="313"/>
      <c r="EM551" s="249"/>
      <c r="EN551" s="221"/>
      <c r="EO551" s="313"/>
      <c r="EP551" s="249"/>
      <c r="EQ551" s="216"/>
      <c r="ER551" s="313"/>
      <c r="ES551" s="249"/>
      <c r="ET551" s="216"/>
      <c r="EU551" s="313"/>
      <c r="EV551" s="249"/>
      <c r="EW551" s="216"/>
      <c r="EX551" s="2505"/>
      <c r="EY551" s="249"/>
      <c r="EZ551" s="221"/>
      <c r="FA551" s="313"/>
      <c r="FB551" s="249"/>
      <c r="FC551" s="221"/>
      <c r="FD551" s="313"/>
      <c r="FE551" s="249"/>
      <c r="FF551" s="221"/>
      <c r="FG551" s="313"/>
      <c r="FH551" s="249"/>
      <c r="FI551" s="216"/>
      <c r="FJ551" s="1435"/>
      <c r="FK551" s="216"/>
      <c r="FL551" s="1268"/>
      <c r="FM551" s="1655"/>
      <c r="FN551" s="1268"/>
      <c r="FO551" s="1655"/>
      <c r="FP551" s="1268"/>
      <c r="FQ551" s="1656"/>
      <c r="FR551" s="249"/>
      <c r="FS551" s="216"/>
      <c r="FT551" s="1657"/>
      <c r="FU551" s="1658"/>
      <c r="FV551" s="242"/>
      <c r="FW551" s="343"/>
      <c r="FX551" s="222"/>
      <c r="FY551" s="336"/>
      <c r="FZ551" s="223"/>
      <c r="GA551" s="338"/>
      <c r="GB551" s="204"/>
      <c r="GC551" s="339"/>
      <c r="GD551" s="342"/>
      <c r="GE551" s="199"/>
      <c r="GF551" s="199"/>
      <c r="GG551" s="199"/>
      <c r="GH551" s="199"/>
      <c r="GI551" s="199"/>
      <c r="GJ551" s="199"/>
      <c r="GK551" s="199"/>
      <c r="GO551" s="322"/>
      <c r="GP551" s="1190"/>
      <c r="GQ551" s="1190"/>
      <c r="GS551" s="2879"/>
      <c r="GT551" s="2880"/>
      <c r="GU551" s="2881"/>
    </row>
    <row r="552" spans="1:203" ht="12" customHeight="1">
      <c r="A552" s="1252"/>
      <c r="B552" s="200"/>
      <c r="C552" s="486"/>
      <c r="T552" s="1186"/>
      <c r="U552" s="233"/>
      <c r="W552" s="218"/>
      <c r="X552" s="218"/>
      <c r="Y552" s="216"/>
      <c r="Z552" s="216"/>
      <c r="AA552" s="215"/>
      <c r="AB552" s="216"/>
      <c r="AC552" s="216"/>
      <c r="AD552" s="239"/>
      <c r="AE552" s="216"/>
      <c r="AF552" s="216"/>
      <c r="AG552" s="216"/>
      <c r="AH552" s="216"/>
      <c r="AI552" s="216"/>
      <c r="AJ552" s="216"/>
      <c r="AK552" s="239"/>
      <c r="AL552" s="216"/>
      <c r="AM552" s="216"/>
      <c r="AN552" s="216"/>
      <c r="AO552" s="216"/>
      <c r="AP552" s="216"/>
      <c r="AQ552" s="216"/>
      <c r="AR552" s="216"/>
      <c r="AS552" s="216"/>
      <c r="AT552" s="216"/>
      <c r="AU552" s="216"/>
      <c r="AV552" s="217"/>
      <c r="AW552" s="355"/>
      <c r="AX552" s="217"/>
      <c r="AY552" s="305"/>
      <c r="AZ552" s="249"/>
      <c r="BA552" s="221"/>
      <c r="BB552" s="300"/>
      <c r="BC552" s="217"/>
      <c r="BD552" s="392"/>
      <c r="BE552" s="1244"/>
      <c r="BF552" s="249"/>
      <c r="BG552" s="252"/>
      <c r="BH552" s="1469"/>
      <c r="BI552" s="216"/>
      <c r="BJ552" s="1469"/>
      <c r="BK552" s="1459"/>
      <c r="BL552" s="260"/>
      <c r="BM552" s="214"/>
      <c r="BN552" s="293"/>
      <c r="BO552" s="217"/>
      <c r="BP552" s="355"/>
      <c r="BQ552" s="217"/>
      <c r="BR552" s="1193"/>
      <c r="BS552" s="249"/>
      <c r="BT552" s="216"/>
      <c r="BU552" s="1195"/>
      <c r="BV552" s="249"/>
      <c r="BW552" s="216"/>
      <c r="BX552" s="1195"/>
      <c r="BY552" s="249"/>
      <c r="BZ552" s="216"/>
      <c r="CA552" s="1195"/>
      <c r="CB552" s="249"/>
      <c r="CC552" s="216"/>
      <c r="CD552" s="1195"/>
      <c r="CE552" s="249"/>
      <c r="CF552" s="216"/>
      <c r="CG552" s="1195"/>
      <c r="CH552" s="249"/>
      <c r="CI552" s="216"/>
      <c r="CJ552" s="1195"/>
      <c r="CK552" s="249"/>
      <c r="CL552" s="216"/>
      <c r="CM552" s="1194"/>
      <c r="CN552" s="1524"/>
      <c r="CO552" s="217"/>
      <c r="CP552" s="1193"/>
      <c r="CQ552" s="293"/>
      <c r="CR552" s="217"/>
      <c r="CS552" s="305"/>
      <c r="CT552" s="249"/>
      <c r="CU552" s="216"/>
      <c r="CV552" s="1193"/>
      <c r="CW552" s="249"/>
      <c r="CX552" s="216"/>
      <c r="CY552" s="305"/>
      <c r="CZ552" s="249"/>
      <c r="DA552" s="216"/>
      <c r="DB552" s="307"/>
      <c r="DC552" s="328"/>
      <c r="DD552" s="322"/>
      <c r="DE552" s="305"/>
      <c r="DF552" s="249"/>
      <c r="DG552" s="216"/>
      <c r="DH552" s="305"/>
      <c r="DI552" s="249"/>
      <c r="DJ552" s="216"/>
      <c r="DK552" s="309"/>
      <c r="DL552" s="293"/>
      <c r="DM552" s="326"/>
      <c r="DN552" s="1256"/>
      <c r="DO552" s="214"/>
      <c r="DP552" s="1257"/>
      <c r="DQ552" s="1258"/>
      <c r="DR552" s="305"/>
      <c r="DS552" s="249"/>
      <c r="DT552" s="216"/>
      <c r="DU552" s="305"/>
      <c r="DV552" s="2520"/>
      <c r="DW552" s="2521"/>
      <c r="DX552" s="305"/>
      <c r="DY552" s="249"/>
      <c r="DZ552" s="221"/>
      <c r="EA552" s="388"/>
      <c r="EB552" s="249"/>
      <c r="EC552" s="216"/>
      <c r="ED552" s="1461"/>
      <c r="EE552" s="249"/>
      <c r="EF552" s="216"/>
      <c r="EG552" s="355"/>
      <c r="EH552" s="1425"/>
      <c r="EI552" s="1470"/>
      <c r="EJ552" s="249"/>
      <c r="EK552" s="221"/>
      <c r="EL552" s="313"/>
      <c r="EM552" s="249"/>
      <c r="EN552" s="221"/>
      <c r="EO552" s="313"/>
      <c r="EP552" s="249"/>
      <c r="EQ552" s="216"/>
      <c r="ER552" s="313"/>
      <c r="ES552" s="249"/>
      <c r="ET552" s="216"/>
      <c r="EU552" s="313"/>
      <c r="EV552" s="249"/>
      <c r="EW552" s="216"/>
      <c r="EX552" s="2505"/>
      <c r="EY552" s="249"/>
      <c r="EZ552" s="221"/>
      <c r="FA552" s="313"/>
      <c r="FB552" s="249"/>
      <c r="FC552" s="221"/>
      <c r="FD552" s="313"/>
      <c r="FE552" s="249"/>
      <c r="FF552" s="221"/>
      <c r="FG552" s="313"/>
      <c r="FH552" s="249"/>
      <c r="FI552" s="216"/>
      <c r="FJ552" s="1435"/>
      <c r="FK552" s="216"/>
      <c r="FL552" s="1268"/>
      <c r="FM552" s="1655"/>
      <c r="FN552" s="1268"/>
      <c r="FO552" s="1655"/>
      <c r="FP552" s="1268"/>
      <c r="FQ552" s="1656"/>
      <c r="FR552" s="249"/>
      <c r="FS552" s="216"/>
      <c r="FT552" s="1657"/>
      <c r="FU552" s="1658"/>
      <c r="FV552" s="242"/>
      <c r="FW552" s="343"/>
      <c r="FX552" s="222"/>
      <c r="FY552" s="336"/>
      <c r="FZ552" s="223"/>
      <c r="GA552" s="338"/>
      <c r="GB552" s="204"/>
      <c r="GC552" s="339"/>
      <c r="GD552" s="342"/>
      <c r="GE552" s="199"/>
      <c r="GF552" s="199"/>
      <c r="GG552" s="199"/>
      <c r="GH552" s="199"/>
      <c r="GI552" s="199"/>
      <c r="GJ552" s="199"/>
      <c r="GK552" s="199"/>
      <c r="GO552" s="322"/>
      <c r="GP552" s="1190"/>
      <c r="GQ552" s="1190"/>
      <c r="GS552" s="2879"/>
      <c r="GT552" s="2880"/>
      <c r="GU552" s="2881"/>
    </row>
    <row r="553" spans="1:203" ht="12" customHeight="1">
      <c r="A553" s="1252"/>
      <c r="B553" s="200"/>
      <c r="C553" s="486"/>
      <c r="T553" s="1186"/>
      <c r="U553" s="233"/>
      <c r="W553" s="218"/>
      <c r="X553" s="218"/>
      <c r="Y553" s="216"/>
      <c r="Z553" s="216"/>
      <c r="AA553" s="215"/>
      <c r="AB553" s="216"/>
      <c r="AC553" s="216"/>
      <c r="AD553" s="239"/>
      <c r="AE553" s="216"/>
      <c r="AF553" s="216"/>
      <c r="AG553" s="216"/>
      <c r="AH553" s="216"/>
      <c r="AI553" s="216"/>
      <c r="AJ553" s="216"/>
      <c r="AK553" s="239"/>
      <c r="AL553" s="216"/>
      <c r="AM553" s="216"/>
      <c r="AN553" s="216"/>
      <c r="AO553" s="216"/>
      <c r="AP553" s="216"/>
      <c r="AQ553" s="216"/>
      <c r="AR553" s="216"/>
      <c r="AS553" s="216"/>
      <c r="AT553" s="216"/>
      <c r="AU553" s="216"/>
      <c r="AV553" s="217"/>
      <c r="AW553" s="355"/>
      <c r="AX553" s="217"/>
      <c r="AY553" s="305"/>
      <c r="AZ553" s="249"/>
      <c r="BA553" s="221"/>
      <c r="BB553" s="300"/>
      <c r="BC553" s="217"/>
      <c r="BD553" s="392"/>
      <c r="BE553" s="1244"/>
      <c r="BF553" s="249"/>
      <c r="BG553" s="252"/>
      <c r="BH553" s="1469"/>
      <c r="BI553" s="216"/>
      <c r="BJ553" s="1469"/>
      <c r="BK553" s="1459"/>
      <c r="BL553" s="260"/>
      <c r="BM553" s="214"/>
      <c r="BN553" s="293"/>
      <c r="BO553" s="217"/>
      <c r="BP553" s="355"/>
      <c r="BQ553" s="217"/>
      <c r="BR553" s="1193"/>
      <c r="BS553" s="249"/>
      <c r="BT553" s="216"/>
      <c r="BU553" s="1195"/>
      <c r="BV553" s="249"/>
      <c r="BW553" s="216"/>
      <c r="BX553" s="1195"/>
      <c r="BY553" s="249"/>
      <c r="BZ553" s="216"/>
      <c r="CA553" s="1195"/>
      <c r="CB553" s="249"/>
      <c r="CC553" s="216"/>
      <c r="CD553" s="1195"/>
      <c r="CE553" s="249"/>
      <c r="CF553" s="216"/>
      <c r="CG553" s="1195"/>
      <c r="CH553" s="249"/>
      <c r="CI553" s="216"/>
      <c r="CJ553" s="1195"/>
      <c r="CK553" s="249"/>
      <c r="CL553" s="216"/>
      <c r="CM553" s="1194"/>
      <c r="CN553" s="1524"/>
      <c r="CO553" s="217"/>
      <c r="CP553" s="1193"/>
      <c r="CQ553" s="293"/>
      <c r="CR553" s="217"/>
      <c r="CS553" s="305"/>
      <c r="CT553" s="249"/>
      <c r="CU553" s="216"/>
      <c r="CV553" s="1193"/>
      <c r="CW553" s="249"/>
      <c r="CX553" s="216"/>
      <c r="CY553" s="305"/>
      <c r="CZ553" s="249"/>
      <c r="DA553" s="216"/>
      <c r="DB553" s="307"/>
      <c r="DC553" s="328"/>
      <c r="DD553" s="322"/>
      <c r="DE553" s="305"/>
      <c r="DF553" s="249"/>
      <c r="DG553" s="216"/>
      <c r="DH553" s="305"/>
      <c r="DI553" s="249"/>
      <c r="DJ553" s="216"/>
      <c r="DK553" s="309"/>
      <c r="DL553" s="293"/>
      <c r="DM553" s="326"/>
      <c r="DN553" s="1256"/>
      <c r="DO553" s="214"/>
      <c r="DP553" s="1257"/>
      <c r="DQ553" s="1258"/>
      <c r="DR553" s="305"/>
      <c r="DS553" s="249"/>
      <c r="DT553" s="216"/>
      <c r="DU553" s="305"/>
      <c r="DV553" s="2520"/>
      <c r="DW553" s="2521"/>
      <c r="DX553" s="305"/>
      <c r="DY553" s="249"/>
      <c r="DZ553" s="221"/>
      <c r="EA553" s="388"/>
      <c r="EB553" s="249"/>
      <c r="EC553" s="216"/>
      <c r="ED553" s="1461"/>
      <c r="EE553" s="249"/>
      <c r="EF553" s="216"/>
      <c r="EG553" s="355"/>
      <c r="EH553" s="1425"/>
      <c r="EI553" s="1470"/>
      <c r="EJ553" s="249"/>
      <c r="EK553" s="221"/>
      <c r="EL553" s="313"/>
      <c r="EM553" s="249"/>
      <c r="EN553" s="221"/>
      <c r="EO553" s="313"/>
      <c r="EP553" s="249"/>
      <c r="EQ553" s="216"/>
      <c r="ER553" s="313"/>
      <c r="ES553" s="249"/>
      <c r="ET553" s="216"/>
      <c r="EU553" s="313"/>
      <c r="EV553" s="249"/>
      <c r="EW553" s="216"/>
      <c r="EX553" s="2505"/>
      <c r="EY553" s="249"/>
      <c r="EZ553" s="221"/>
      <c r="FA553" s="313"/>
      <c r="FB553" s="249"/>
      <c r="FC553" s="221"/>
      <c r="FD553" s="313"/>
      <c r="FE553" s="249"/>
      <c r="FF553" s="221"/>
      <c r="FG553" s="313"/>
      <c r="FH553" s="249"/>
      <c r="FI553" s="216"/>
      <c r="FJ553" s="1435"/>
      <c r="FK553" s="216"/>
      <c r="FL553" s="1268"/>
      <c r="FM553" s="1655"/>
      <c r="FN553" s="1268"/>
      <c r="FO553" s="1655"/>
      <c r="FP553" s="1268"/>
      <c r="FQ553" s="1656"/>
      <c r="FR553" s="249"/>
      <c r="FS553" s="216"/>
      <c r="FT553" s="1657"/>
      <c r="FU553" s="1658"/>
      <c r="FV553" s="242"/>
      <c r="FW553" s="343"/>
      <c r="FX553" s="222"/>
      <c r="FY553" s="336"/>
      <c r="FZ553" s="223"/>
      <c r="GA553" s="338"/>
      <c r="GB553" s="204"/>
      <c r="GC553" s="339"/>
      <c r="GD553" s="342"/>
      <c r="GE553" s="199"/>
      <c r="GF553" s="199"/>
      <c r="GG553" s="199"/>
      <c r="GH553" s="199"/>
      <c r="GI553" s="199"/>
      <c r="GJ553" s="199"/>
      <c r="GK553" s="199"/>
      <c r="GO553" s="322"/>
      <c r="GP553" s="1190"/>
      <c r="GQ553" s="1190"/>
      <c r="GS553" s="2879"/>
      <c r="GT553" s="2880"/>
      <c r="GU553" s="2881"/>
    </row>
    <row r="554" spans="1:203" ht="12" customHeight="1">
      <c r="A554" s="1252"/>
      <c r="B554" s="200"/>
      <c r="C554" s="486"/>
      <c r="T554" s="1186"/>
      <c r="U554" s="233"/>
      <c r="W554" s="218"/>
      <c r="X554" s="218"/>
      <c r="Y554" s="216"/>
      <c r="Z554" s="216"/>
      <c r="AA554" s="215"/>
      <c r="AB554" s="216"/>
      <c r="AC554" s="216"/>
      <c r="AD554" s="239"/>
      <c r="AE554" s="216"/>
      <c r="AF554" s="216"/>
      <c r="AG554" s="216"/>
      <c r="AH554" s="216"/>
      <c r="AI554" s="216"/>
      <c r="AJ554" s="216"/>
      <c r="AK554" s="239"/>
      <c r="AL554" s="216"/>
      <c r="AM554" s="216"/>
      <c r="AN554" s="216"/>
      <c r="AO554" s="216"/>
      <c r="AP554" s="216"/>
      <c r="AQ554" s="216"/>
      <c r="AR554" s="216"/>
      <c r="AS554" s="216"/>
      <c r="AT554" s="216"/>
      <c r="AU554" s="216"/>
      <c r="AV554" s="217"/>
      <c r="AW554" s="355"/>
      <c r="AX554" s="217"/>
      <c r="AY554" s="305"/>
      <c r="AZ554" s="249"/>
      <c r="BA554" s="221"/>
      <c r="BB554" s="300"/>
      <c r="BC554" s="217"/>
      <c r="BD554" s="392"/>
      <c r="BE554" s="1244"/>
      <c r="BF554" s="249"/>
      <c r="BG554" s="252"/>
      <c r="BH554" s="1469"/>
      <c r="BI554" s="216"/>
      <c r="BJ554" s="1469"/>
      <c r="BK554" s="1459"/>
      <c r="BL554" s="260"/>
      <c r="BM554" s="214"/>
      <c r="BN554" s="293"/>
      <c r="BO554" s="217"/>
      <c r="BP554" s="355"/>
      <c r="BQ554" s="217"/>
      <c r="BR554" s="1193"/>
      <c r="BS554" s="249"/>
      <c r="BT554" s="216"/>
      <c r="BU554" s="1195"/>
      <c r="BV554" s="249"/>
      <c r="BW554" s="216"/>
      <c r="BX554" s="1195"/>
      <c r="BY554" s="249"/>
      <c r="BZ554" s="216"/>
      <c r="CA554" s="1195"/>
      <c r="CB554" s="249"/>
      <c r="CC554" s="216"/>
      <c r="CD554" s="1195"/>
      <c r="CE554" s="249"/>
      <c r="CF554" s="216"/>
      <c r="CG554" s="1195"/>
      <c r="CH554" s="249"/>
      <c r="CI554" s="216"/>
      <c r="CJ554" s="1195"/>
      <c r="CK554" s="249"/>
      <c r="CL554" s="216"/>
      <c r="CM554" s="1194"/>
      <c r="CN554" s="1524"/>
      <c r="CO554" s="217"/>
      <c r="CP554" s="1193"/>
      <c r="CQ554" s="293"/>
      <c r="CR554" s="217"/>
      <c r="CS554" s="305"/>
      <c r="CT554" s="249"/>
      <c r="CU554" s="216"/>
      <c r="CV554" s="1193"/>
      <c r="CW554" s="249"/>
      <c r="CX554" s="216"/>
      <c r="CY554" s="305"/>
      <c r="CZ554" s="249"/>
      <c r="DA554" s="216"/>
      <c r="DB554" s="307"/>
      <c r="DC554" s="328"/>
      <c r="DD554" s="322"/>
      <c r="DE554" s="305"/>
      <c r="DF554" s="249"/>
      <c r="DG554" s="216"/>
      <c r="DH554" s="305"/>
      <c r="DI554" s="249"/>
      <c r="DJ554" s="216"/>
      <c r="DK554" s="309"/>
      <c r="DL554" s="293"/>
      <c r="DM554" s="326"/>
      <c r="DN554" s="1256"/>
      <c r="DO554" s="214"/>
      <c r="DP554" s="1257"/>
      <c r="DQ554" s="1258"/>
      <c r="DR554" s="305"/>
      <c r="DS554" s="249"/>
      <c r="DT554" s="216"/>
      <c r="DU554" s="305"/>
      <c r="DV554" s="2520"/>
      <c r="DW554" s="2521"/>
      <c r="DX554" s="305"/>
      <c r="DY554" s="249"/>
      <c r="DZ554" s="221"/>
      <c r="EA554" s="388"/>
      <c r="EB554" s="249"/>
      <c r="EC554" s="216"/>
      <c r="ED554" s="1461"/>
      <c r="EE554" s="249"/>
      <c r="EF554" s="216"/>
      <c r="EG554" s="355"/>
      <c r="EH554" s="1425"/>
      <c r="EI554" s="1470"/>
      <c r="EJ554" s="249"/>
      <c r="EK554" s="221"/>
      <c r="EL554" s="313"/>
      <c r="EM554" s="249"/>
      <c r="EN554" s="221"/>
      <c r="EO554" s="313"/>
      <c r="EP554" s="249"/>
      <c r="EQ554" s="216"/>
      <c r="ER554" s="313"/>
      <c r="ES554" s="249"/>
      <c r="ET554" s="216"/>
      <c r="EU554" s="313"/>
      <c r="EV554" s="249"/>
      <c r="EW554" s="216"/>
      <c r="EX554" s="2505"/>
      <c r="EY554" s="249"/>
      <c r="EZ554" s="221"/>
      <c r="FA554" s="313"/>
      <c r="FB554" s="249"/>
      <c r="FC554" s="221"/>
      <c r="FD554" s="313"/>
      <c r="FE554" s="249"/>
      <c r="FF554" s="221"/>
      <c r="FG554" s="313"/>
      <c r="FH554" s="249"/>
      <c r="FI554" s="216"/>
      <c r="FJ554" s="1435"/>
      <c r="FK554" s="216"/>
      <c r="FL554" s="1268"/>
      <c r="FM554" s="1655"/>
      <c r="FN554" s="1268"/>
      <c r="FO554" s="1655"/>
      <c r="FP554" s="1268"/>
      <c r="FQ554" s="1656"/>
      <c r="FR554" s="249"/>
      <c r="FS554" s="216"/>
      <c r="FT554" s="1657"/>
      <c r="FU554" s="1658"/>
      <c r="FV554" s="242"/>
      <c r="FW554" s="343"/>
      <c r="FX554" s="222"/>
      <c r="FY554" s="336"/>
      <c r="FZ554" s="223"/>
      <c r="GA554" s="338"/>
      <c r="GB554" s="204"/>
      <c r="GC554" s="339"/>
      <c r="GD554" s="342"/>
      <c r="GE554" s="199"/>
      <c r="GF554" s="199"/>
      <c r="GG554" s="199"/>
      <c r="GH554" s="199"/>
      <c r="GI554" s="199"/>
      <c r="GJ554" s="199"/>
      <c r="GK554" s="199"/>
      <c r="GO554" s="322"/>
      <c r="GP554" s="1190"/>
      <c r="GQ554" s="1190"/>
      <c r="GS554" s="2879"/>
      <c r="GT554" s="2880"/>
      <c r="GU554" s="2881"/>
    </row>
    <row r="555" spans="1:203" ht="12" customHeight="1">
      <c r="A555" s="1252"/>
      <c r="B555" s="200"/>
      <c r="C555" s="486"/>
      <c r="T555" s="1186"/>
      <c r="U555" s="233"/>
      <c r="W555" s="218"/>
      <c r="X555" s="218"/>
      <c r="Y555" s="216"/>
      <c r="Z555" s="216"/>
      <c r="AA555" s="215"/>
      <c r="AB555" s="216"/>
      <c r="AC555" s="216"/>
      <c r="AD555" s="239"/>
      <c r="AE555" s="216"/>
      <c r="AF555" s="216"/>
      <c r="AG555" s="216"/>
      <c r="AH555" s="216"/>
      <c r="AI555" s="216"/>
      <c r="AJ555" s="216"/>
      <c r="AK555" s="239"/>
      <c r="AL555" s="216"/>
      <c r="AM555" s="216"/>
      <c r="AN555" s="216"/>
      <c r="AO555" s="216"/>
      <c r="AP555" s="216"/>
      <c r="AQ555" s="216"/>
      <c r="AR555" s="216"/>
      <c r="AS555" s="216"/>
      <c r="AT555" s="216"/>
      <c r="AU555" s="216"/>
      <c r="AV555" s="217"/>
      <c r="AW555" s="355"/>
      <c r="AX555" s="217"/>
      <c r="AY555" s="305"/>
      <c r="AZ555" s="249"/>
      <c r="BA555" s="221"/>
      <c r="BB555" s="300"/>
      <c r="BC555" s="217"/>
      <c r="BD555" s="392"/>
      <c r="BE555" s="1244"/>
      <c r="BF555" s="249"/>
      <c r="BG555" s="252"/>
      <c r="BH555" s="1469"/>
      <c r="BI555" s="216"/>
      <c r="BJ555" s="1469"/>
      <c r="BK555" s="1459"/>
      <c r="BL555" s="260"/>
      <c r="BM555" s="214"/>
      <c r="BN555" s="293"/>
      <c r="BO555" s="217"/>
      <c r="BP555" s="355"/>
      <c r="BQ555" s="217"/>
      <c r="BR555" s="1193"/>
      <c r="BS555" s="249"/>
      <c r="BT555" s="216"/>
      <c r="BU555" s="1195"/>
      <c r="BV555" s="249"/>
      <c r="BW555" s="216"/>
      <c r="BX555" s="1195"/>
      <c r="BY555" s="249"/>
      <c r="BZ555" s="216"/>
      <c r="CA555" s="1195"/>
      <c r="CB555" s="249"/>
      <c r="CC555" s="216"/>
      <c r="CD555" s="1195"/>
      <c r="CE555" s="249"/>
      <c r="CF555" s="216"/>
      <c r="CG555" s="1195"/>
      <c r="CH555" s="249"/>
      <c r="CI555" s="216"/>
      <c r="CJ555" s="1195"/>
      <c r="CK555" s="249"/>
      <c r="CL555" s="216"/>
      <c r="CM555" s="1194"/>
      <c r="CN555" s="1524"/>
      <c r="CO555" s="217"/>
      <c r="CP555" s="1193"/>
      <c r="CQ555" s="293"/>
      <c r="CR555" s="217"/>
      <c r="CS555" s="305"/>
      <c r="CT555" s="249"/>
      <c r="CU555" s="216"/>
      <c r="CV555" s="1193"/>
      <c r="CW555" s="249"/>
      <c r="CX555" s="216"/>
      <c r="CY555" s="305"/>
      <c r="CZ555" s="249"/>
      <c r="DA555" s="216"/>
      <c r="DB555" s="307"/>
      <c r="DC555" s="328"/>
      <c r="DD555" s="322"/>
      <c r="DE555" s="305"/>
      <c r="DF555" s="249"/>
      <c r="DG555" s="216"/>
      <c r="DH555" s="305"/>
      <c r="DI555" s="249"/>
      <c r="DJ555" s="216"/>
      <c r="DK555" s="309"/>
      <c r="DL555" s="293"/>
      <c r="DM555" s="326"/>
      <c r="DN555" s="1256"/>
      <c r="DO555" s="214"/>
      <c r="DP555" s="1257"/>
      <c r="DQ555" s="1258"/>
      <c r="DR555" s="305"/>
      <c r="DS555" s="249"/>
      <c r="DT555" s="216"/>
      <c r="DU555" s="305"/>
      <c r="DV555" s="2520"/>
      <c r="DW555" s="2521"/>
      <c r="DX555" s="305"/>
      <c r="DY555" s="249"/>
      <c r="DZ555" s="221"/>
      <c r="EA555" s="388"/>
      <c r="EB555" s="249"/>
      <c r="EC555" s="216"/>
      <c r="ED555" s="1461"/>
      <c r="EE555" s="249"/>
      <c r="EF555" s="216"/>
      <c r="EG555" s="355"/>
      <c r="EH555" s="1425"/>
      <c r="EI555" s="1470"/>
      <c r="EJ555" s="249"/>
      <c r="EK555" s="221"/>
      <c r="EL555" s="313"/>
      <c r="EM555" s="249"/>
      <c r="EN555" s="221"/>
      <c r="EO555" s="313"/>
      <c r="EP555" s="249"/>
      <c r="EQ555" s="216"/>
      <c r="ER555" s="313"/>
      <c r="ES555" s="249"/>
      <c r="ET555" s="216"/>
      <c r="EU555" s="313"/>
      <c r="EV555" s="249"/>
      <c r="EW555" s="216"/>
      <c r="EX555" s="2505"/>
      <c r="EY555" s="249"/>
      <c r="EZ555" s="221"/>
      <c r="FA555" s="313"/>
      <c r="FB555" s="249"/>
      <c r="FC555" s="221"/>
      <c r="FD555" s="313"/>
      <c r="FE555" s="249"/>
      <c r="FF555" s="221"/>
      <c r="FG555" s="313"/>
      <c r="FH555" s="249"/>
      <c r="FI555" s="216"/>
      <c r="FJ555" s="1435"/>
      <c r="FK555" s="216"/>
      <c r="FL555" s="1268"/>
      <c r="FM555" s="1655"/>
      <c r="FN555" s="1268"/>
      <c r="FO555" s="1655"/>
      <c r="FP555" s="1268"/>
      <c r="FQ555" s="1656"/>
      <c r="FR555" s="249"/>
      <c r="FS555" s="216"/>
      <c r="FT555" s="1657"/>
      <c r="FU555" s="1658"/>
      <c r="FV555" s="242"/>
      <c r="FW555" s="343"/>
      <c r="FX555" s="222"/>
      <c r="FY555" s="336"/>
      <c r="FZ555" s="223"/>
      <c r="GA555" s="338"/>
      <c r="GB555" s="204"/>
      <c r="GC555" s="339"/>
      <c r="GD555" s="342"/>
      <c r="GE555" s="199"/>
      <c r="GF555" s="199"/>
      <c r="GG555" s="199"/>
      <c r="GH555" s="199"/>
      <c r="GI555" s="199"/>
      <c r="GJ555" s="199"/>
      <c r="GK555" s="199"/>
      <c r="GO555" s="322"/>
      <c r="GP555" s="1190"/>
      <c r="GQ555" s="1190"/>
      <c r="GS555" s="2879"/>
      <c r="GT555" s="2880"/>
      <c r="GU555" s="2881"/>
    </row>
    <row r="556" spans="1:203" ht="12" customHeight="1">
      <c r="A556" s="1252"/>
      <c r="B556" s="200"/>
      <c r="C556" s="486"/>
      <c r="T556" s="1186"/>
      <c r="U556" s="233"/>
      <c r="W556" s="218"/>
      <c r="X556" s="218"/>
      <c r="Y556" s="216"/>
      <c r="Z556" s="216"/>
      <c r="AA556" s="215"/>
      <c r="AB556" s="216"/>
      <c r="AC556" s="216"/>
      <c r="AD556" s="239"/>
      <c r="AE556" s="216"/>
      <c r="AF556" s="216"/>
      <c r="AG556" s="216"/>
      <c r="AH556" s="216"/>
      <c r="AI556" s="216"/>
      <c r="AJ556" s="216"/>
      <c r="AK556" s="239"/>
      <c r="AL556" s="216"/>
      <c r="AM556" s="216"/>
      <c r="AN556" s="216"/>
      <c r="AO556" s="216"/>
      <c r="AP556" s="216"/>
      <c r="AQ556" s="216"/>
      <c r="AR556" s="216"/>
      <c r="AS556" s="216"/>
      <c r="AT556" s="216"/>
      <c r="AU556" s="216"/>
      <c r="AV556" s="217"/>
      <c r="AW556" s="355"/>
      <c r="AX556" s="217"/>
      <c r="AY556" s="305"/>
      <c r="AZ556" s="249"/>
      <c r="BA556" s="221"/>
      <c r="BB556" s="300"/>
      <c r="BC556" s="217"/>
      <c r="BD556" s="392"/>
      <c r="BE556" s="1244"/>
      <c r="BF556" s="249"/>
      <c r="BG556" s="252"/>
      <c r="BH556" s="1469"/>
      <c r="BI556" s="216"/>
      <c r="BJ556" s="1469"/>
      <c r="BK556" s="1459"/>
      <c r="BL556" s="260"/>
      <c r="BM556" s="214"/>
      <c r="BN556" s="293"/>
      <c r="BO556" s="217"/>
      <c r="BP556" s="355"/>
      <c r="BQ556" s="217"/>
      <c r="BR556" s="1193"/>
      <c r="BS556" s="249"/>
      <c r="BT556" s="216"/>
      <c r="BU556" s="1195"/>
      <c r="BV556" s="249"/>
      <c r="BW556" s="216"/>
      <c r="BX556" s="1195"/>
      <c r="BY556" s="249"/>
      <c r="BZ556" s="216"/>
      <c r="CA556" s="1195"/>
      <c r="CB556" s="249"/>
      <c r="CC556" s="216"/>
      <c r="CD556" s="1195"/>
      <c r="CE556" s="249"/>
      <c r="CF556" s="216"/>
      <c r="CG556" s="1195"/>
      <c r="CH556" s="249"/>
      <c r="CI556" s="216"/>
      <c r="CJ556" s="1195"/>
      <c r="CK556" s="249"/>
      <c r="CL556" s="216"/>
      <c r="CM556" s="1194"/>
      <c r="CN556" s="1524"/>
      <c r="CO556" s="217"/>
      <c r="CP556" s="1193"/>
      <c r="CQ556" s="293"/>
      <c r="CR556" s="217"/>
      <c r="CS556" s="305"/>
      <c r="CT556" s="249"/>
      <c r="CU556" s="216"/>
      <c r="CV556" s="1193"/>
      <c r="CW556" s="249"/>
      <c r="CX556" s="216"/>
      <c r="CY556" s="305"/>
      <c r="CZ556" s="249"/>
      <c r="DA556" s="216"/>
      <c r="DB556" s="307"/>
      <c r="DC556" s="328"/>
      <c r="DD556" s="322"/>
      <c r="DE556" s="305"/>
      <c r="DF556" s="249"/>
      <c r="DG556" s="216"/>
      <c r="DH556" s="305"/>
      <c r="DI556" s="249"/>
      <c r="DJ556" s="216"/>
      <c r="DK556" s="309"/>
      <c r="DL556" s="293"/>
      <c r="DM556" s="326"/>
      <c r="DN556" s="1256"/>
      <c r="DO556" s="214"/>
      <c r="DP556" s="1257"/>
      <c r="DQ556" s="1258"/>
      <c r="DR556" s="305"/>
      <c r="DS556" s="249"/>
      <c r="DT556" s="216"/>
      <c r="DU556" s="305"/>
      <c r="DV556" s="2520"/>
      <c r="DW556" s="2521"/>
      <c r="DX556" s="305"/>
      <c r="DY556" s="249"/>
      <c r="DZ556" s="221"/>
      <c r="EA556" s="388"/>
      <c r="EB556" s="249"/>
      <c r="EC556" s="216"/>
      <c r="ED556" s="1461"/>
      <c r="EE556" s="249"/>
      <c r="EF556" s="216"/>
      <c r="EG556" s="355"/>
      <c r="EH556" s="1425"/>
      <c r="EI556" s="1470"/>
      <c r="EJ556" s="249"/>
      <c r="EK556" s="221"/>
      <c r="EL556" s="313"/>
      <c r="EM556" s="249"/>
      <c r="EN556" s="221"/>
      <c r="EO556" s="313"/>
      <c r="EP556" s="249"/>
      <c r="EQ556" s="216"/>
      <c r="ER556" s="313"/>
      <c r="ES556" s="249"/>
      <c r="ET556" s="216"/>
      <c r="EU556" s="313"/>
      <c r="EV556" s="249"/>
      <c r="EW556" s="216"/>
      <c r="EX556" s="2505"/>
      <c r="EY556" s="249"/>
      <c r="EZ556" s="221"/>
      <c r="FA556" s="313"/>
      <c r="FB556" s="249"/>
      <c r="FC556" s="221"/>
      <c r="FD556" s="313"/>
      <c r="FE556" s="249"/>
      <c r="FF556" s="221"/>
      <c r="FG556" s="313"/>
      <c r="FH556" s="249"/>
      <c r="FI556" s="216"/>
      <c r="FJ556" s="1435"/>
      <c r="FK556" s="216"/>
      <c r="FL556" s="1268"/>
      <c r="FM556" s="1655"/>
      <c r="FN556" s="1268"/>
      <c r="FO556" s="1655"/>
      <c r="FP556" s="1268"/>
      <c r="FQ556" s="1656"/>
      <c r="FR556" s="249"/>
      <c r="FS556" s="216"/>
      <c r="FT556" s="1657"/>
      <c r="FU556" s="1658"/>
      <c r="FV556" s="242"/>
      <c r="FW556" s="343"/>
      <c r="FX556" s="222"/>
      <c r="FY556" s="336"/>
      <c r="FZ556" s="223"/>
      <c r="GA556" s="338"/>
      <c r="GB556" s="204"/>
      <c r="GC556" s="339"/>
      <c r="GD556" s="342"/>
      <c r="GE556" s="199"/>
      <c r="GF556" s="199"/>
      <c r="GG556" s="199"/>
      <c r="GH556" s="199"/>
      <c r="GI556" s="199"/>
      <c r="GJ556" s="199"/>
      <c r="GK556" s="199"/>
      <c r="GO556" s="322"/>
      <c r="GP556" s="1190"/>
      <c r="GQ556" s="1190"/>
      <c r="GS556" s="2879"/>
      <c r="GT556" s="2880"/>
      <c r="GU556" s="2881"/>
    </row>
    <row r="557" spans="1:203" ht="12" customHeight="1">
      <c r="A557" s="1252"/>
      <c r="B557" s="200"/>
      <c r="C557" s="486"/>
      <c r="T557" s="1186"/>
      <c r="U557" s="233"/>
      <c r="W557" s="218"/>
      <c r="X557" s="218"/>
      <c r="Y557" s="216"/>
      <c r="Z557" s="216"/>
      <c r="AA557" s="215"/>
      <c r="AB557" s="216"/>
      <c r="AC557" s="216"/>
      <c r="AD557" s="239"/>
      <c r="AE557" s="216"/>
      <c r="AF557" s="216"/>
      <c r="AG557" s="216"/>
      <c r="AH557" s="216"/>
      <c r="AI557" s="216"/>
      <c r="AJ557" s="216"/>
      <c r="AK557" s="239"/>
      <c r="AL557" s="216"/>
      <c r="AM557" s="216"/>
      <c r="AN557" s="216"/>
      <c r="AO557" s="216"/>
      <c r="AP557" s="216"/>
      <c r="AQ557" s="216"/>
      <c r="AR557" s="216"/>
      <c r="AS557" s="216"/>
      <c r="AT557" s="216"/>
      <c r="AU557" s="216"/>
      <c r="AV557" s="217"/>
      <c r="AW557" s="355"/>
      <c r="AX557" s="217"/>
      <c r="AY557" s="305"/>
      <c r="AZ557" s="249"/>
      <c r="BA557" s="221"/>
      <c r="BB557" s="300"/>
      <c r="BC557" s="217"/>
      <c r="BD557" s="392"/>
      <c r="BE557" s="1244"/>
      <c r="BF557" s="249"/>
      <c r="BG557" s="252"/>
      <c r="BH557" s="1469"/>
      <c r="BI557" s="216"/>
      <c r="BJ557" s="1469"/>
      <c r="BK557" s="1459"/>
      <c r="BL557" s="260"/>
      <c r="BM557" s="214"/>
      <c r="BN557" s="293"/>
      <c r="BO557" s="217"/>
      <c r="BP557" s="355"/>
      <c r="BQ557" s="217"/>
      <c r="BR557" s="1193"/>
      <c r="BS557" s="249"/>
      <c r="BT557" s="216"/>
      <c r="BU557" s="1195"/>
      <c r="BV557" s="249"/>
      <c r="BW557" s="216"/>
      <c r="BX557" s="1195"/>
      <c r="BY557" s="249"/>
      <c r="BZ557" s="216"/>
      <c r="CA557" s="1195"/>
      <c r="CB557" s="249"/>
      <c r="CC557" s="216"/>
      <c r="CD557" s="1195"/>
      <c r="CE557" s="249"/>
      <c r="CF557" s="216"/>
      <c r="CG557" s="1195"/>
      <c r="CH557" s="249"/>
      <c r="CI557" s="216"/>
      <c r="CJ557" s="1195"/>
      <c r="CK557" s="249"/>
      <c r="CL557" s="216"/>
      <c r="CM557" s="1194"/>
      <c r="CN557" s="1524"/>
      <c r="CO557" s="217"/>
      <c r="CP557" s="1193"/>
      <c r="CQ557" s="293"/>
      <c r="CR557" s="217"/>
      <c r="CS557" s="305"/>
      <c r="CT557" s="249"/>
      <c r="CU557" s="216"/>
      <c r="CV557" s="1193"/>
      <c r="CW557" s="249"/>
      <c r="CX557" s="216"/>
      <c r="CY557" s="305"/>
      <c r="CZ557" s="249"/>
      <c r="DA557" s="216"/>
      <c r="DB557" s="307"/>
      <c r="DC557" s="328"/>
      <c r="DD557" s="322"/>
      <c r="DE557" s="305"/>
      <c r="DF557" s="249"/>
      <c r="DG557" s="216"/>
      <c r="DH557" s="305"/>
      <c r="DI557" s="249"/>
      <c r="DJ557" s="216"/>
      <c r="DK557" s="309"/>
      <c r="DL557" s="293"/>
      <c r="DM557" s="326"/>
      <c r="DN557" s="1256"/>
      <c r="DO557" s="214"/>
      <c r="DP557" s="1257"/>
      <c r="DQ557" s="1258"/>
      <c r="DR557" s="305"/>
      <c r="DS557" s="249"/>
      <c r="DT557" s="216"/>
      <c r="DU557" s="305"/>
      <c r="DV557" s="2520"/>
      <c r="DW557" s="2521"/>
      <c r="DX557" s="305"/>
      <c r="DY557" s="249"/>
      <c r="DZ557" s="221"/>
      <c r="EA557" s="388"/>
      <c r="EB557" s="249"/>
      <c r="EC557" s="216"/>
      <c r="ED557" s="1461"/>
      <c r="EE557" s="249"/>
      <c r="EF557" s="216"/>
      <c r="EG557" s="355"/>
      <c r="EH557" s="1425"/>
      <c r="EI557" s="1470"/>
      <c r="EJ557" s="249"/>
      <c r="EK557" s="221"/>
      <c r="EL557" s="313"/>
      <c r="EM557" s="249"/>
      <c r="EN557" s="221"/>
      <c r="EO557" s="313"/>
      <c r="EP557" s="249"/>
      <c r="EQ557" s="216"/>
      <c r="ER557" s="313"/>
      <c r="ES557" s="249"/>
      <c r="ET557" s="216"/>
      <c r="EU557" s="313"/>
      <c r="EV557" s="249"/>
      <c r="EW557" s="216"/>
      <c r="EX557" s="2505"/>
      <c r="EY557" s="249"/>
      <c r="EZ557" s="221"/>
      <c r="FA557" s="313"/>
      <c r="FB557" s="249"/>
      <c r="FC557" s="221"/>
      <c r="FD557" s="313"/>
      <c r="FE557" s="249"/>
      <c r="FF557" s="221"/>
      <c r="FG557" s="313"/>
      <c r="FH557" s="249"/>
      <c r="FI557" s="216"/>
      <c r="FJ557" s="1435"/>
      <c r="FK557" s="216"/>
      <c r="FL557" s="1268"/>
      <c r="FM557" s="1655"/>
      <c r="FN557" s="1268"/>
      <c r="FO557" s="1655"/>
      <c r="FP557" s="1268"/>
      <c r="FQ557" s="1656"/>
      <c r="FR557" s="249"/>
      <c r="FS557" s="216"/>
      <c r="FT557" s="1657"/>
      <c r="FU557" s="1658"/>
      <c r="FV557" s="242"/>
      <c r="FW557" s="343"/>
      <c r="FX557" s="222"/>
      <c r="FY557" s="336"/>
      <c r="FZ557" s="223"/>
      <c r="GA557" s="338"/>
      <c r="GB557" s="204"/>
      <c r="GC557" s="339"/>
      <c r="GD557" s="342"/>
      <c r="GE557" s="199"/>
      <c r="GF557" s="199"/>
      <c r="GG557" s="199"/>
      <c r="GH557" s="199"/>
      <c r="GI557" s="199"/>
      <c r="GJ557" s="199"/>
      <c r="GK557" s="199"/>
      <c r="GO557" s="322"/>
      <c r="GP557" s="1190"/>
      <c r="GQ557" s="1190"/>
      <c r="GS557" s="2879"/>
      <c r="GT557" s="2880"/>
      <c r="GU557" s="2881"/>
    </row>
    <row r="558" spans="1:203" ht="12" customHeight="1">
      <c r="A558" s="1252"/>
      <c r="B558" s="200"/>
      <c r="C558" s="486"/>
      <c r="T558" s="1186"/>
      <c r="U558" s="233"/>
      <c r="W558" s="218"/>
      <c r="X558" s="218"/>
      <c r="Y558" s="216"/>
      <c r="Z558" s="216"/>
      <c r="AA558" s="215"/>
      <c r="AB558" s="216"/>
      <c r="AC558" s="216"/>
      <c r="AD558" s="239"/>
      <c r="AE558" s="216"/>
      <c r="AF558" s="216"/>
      <c r="AG558" s="216"/>
      <c r="AH558" s="216"/>
      <c r="AI558" s="216"/>
      <c r="AJ558" s="216"/>
      <c r="AK558" s="239"/>
      <c r="AL558" s="216"/>
      <c r="AM558" s="216"/>
      <c r="AN558" s="216"/>
      <c r="AO558" s="216"/>
      <c r="AP558" s="216"/>
      <c r="AQ558" s="216"/>
      <c r="AR558" s="216"/>
      <c r="AS558" s="216"/>
      <c r="AT558" s="216"/>
      <c r="AU558" s="216"/>
      <c r="AV558" s="217"/>
      <c r="AW558" s="355"/>
      <c r="AX558" s="217"/>
      <c r="AY558" s="305"/>
      <c r="AZ558" s="249"/>
      <c r="BA558" s="221"/>
      <c r="BB558" s="300"/>
      <c r="BC558" s="217"/>
      <c r="BD558" s="392"/>
      <c r="BE558" s="1244"/>
      <c r="BF558" s="249"/>
      <c r="BG558" s="252"/>
      <c r="BH558" s="1469"/>
      <c r="BI558" s="216"/>
      <c r="BJ558" s="1469"/>
      <c r="BK558" s="1459"/>
      <c r="BL558" s="260"/>
      <c r="BM558" s="214"/>
      <c r="BN558" s="293"/>
      <c r="BO558" s="217"/>
      <c r="BP558" s="355"/>
      <c r="BQ558" s="217"/>
      <c r="BR558" s="1193"/>
      <c r="BS558" s="249"/>
      <c r="BT558" s="216"/>
      <c r="BU558" s="1195"/>
      <c r="BV558" s="249"/>
      <c r="BW558" s="216"/>
      <c r="BX558" s="1195"/>
      <c r="BY558" s="249"/>
      <c r="BZ558" s="216"/>
      <c r="CA558" s="1195"/>
      <c r="CB558" s="249"/>
      <c r="CC558" s="216"/>
      <c r="CD558" s="1195"/>
      <c r="CE558" s="249"/>
      <c r="CF558" s="216"/>
      <c r="CG558" s="1195"/>
      <c r="CH558" s="249"/>
      <c r="CI558" s="216"/>
      <c r="CJ558" s="1195"/>
      <c r="CK558" s="249"/>
      <c r="CL558" s="216"/>
      <c r="CM558" s="1194"/>
      <c r="CN558" s="1524"/>
      <c r="CO558" s="217"/>
      <c r="CP558" s="1193"/>
      <c r="CQ558" s="293"/>
      <c r="CR558" s="217"/>
      <c r="CS558" s="305"/>
      <c r="CT558" s="249"/>
      <c r="CU558" s="216"/>
      <c r="CV558" s="1193"/>
      <c r="CW558" s="249"/>
      <c r="CX558" s="216"/>
      <c r="CY558" s="305"/>
      <c r="CZ558" s="249"/>
      <c r="DA558" s="216"/>
      <c r="DB558" s="307"/>
      <c r="DC558" s="328"/>
      <c r="DD558" s="322"/>
      <c r="DE558" s="305"/>
      <c r="DF558" s="249"/>
      <c r="DG558" s="216"/>
      <c r="DH558" s="305"/>
      <c r="DI558" s="249"/>
      <c r="DJ558" s="216"/>
      <c r="DK558" s="309"/>
      <c r="DL558" s="293"/>
      <c r="DM558" s="326"/>
      <c r="DN558" s="1256"/>
      <c r="DO558" s="214"/>
      <c r="DP558" s="1257"/>
      <c r="DQ558" s="1258"/>
      <c r="DR558" s="305"/>
      <c r="DS558" s="249"/>
      <c r="DT558" s="216"/>
      <c r="DU558" s="305"/>
      <c r="DV558" s="2520"/>
      <c r="DW558" s="2521"/>
      <c r="DX558" s="305"/>
      <c r="DY558" s="249"/>
      <c r="DZ558" s="221"/>
      <c r="EA558" s="388"/>
      <c r="EB558" s="249"/>
      <c r="EC558" s="216"/>
      <c r="ED558" s="1461"/>
      <c r="EE558" s="249"/>
      <c r="EF558" s="216"/>
      <c r="EG558" s="355"/>
      <c r="EH558" s="1425"/>
      <c r="EI558" s="1470"/>
      <c r="EJ558" s="249"/>
      <c r="EK558" s="221"/>
      <c r="EL558" s="313"/>
      <c r="EM558" s="249"/>
      <c r="EN558" s="221"/>
      <c r="EO558" s="313"/>
      <c r="EP558" s="249"/>
      <c r="EQ558" s="216"/>
      <c r="ER558" s="313"/>
      <c r="ES558" s="249"/>
      <c r="ET558" s="216"/>
      <c r="EU558" s="313"/>
      <c r="EV558" s="249"/>
      <c r="EW558" s="216"/>
      <c r="EX558" s="2505"/>
      <c r="EY558" s="249"/>
      <c r="EZ558" s="221"/>
      <c r="FA558" s="313"/>
      <c r="FB558" s="249"/>
      <c r="FC558" s="221"/>
      <c r="FD558" s="313"/>
      <c r="FE558" s="249"/>
      <c r="FF558" s="221"/>
      <c r="FG558" s="313"/>
      <c r="FH558" s="249"/>
      <c r="FI558" s="216"/>
      <c r="FJ558" s="1435"/>
      <c r="FK558" s="216"/>
      <c r="FL558" s="1268"/>
      <c r="FM558" s="1655"/>
      <c r="FN558" s="1268"/>
      <c r="FO558" s="1655"/>
      <c r="FP558" s="1268"/>
      <c r="FQ558" s="1656"/>
      <c r="FR558" s="249"/>
      <c r="FS558" s="216"/>
      <c r="FT558" s="1657"/>
      <c r="FU558" s="1658"/>
      <c r="FV558" s="242"/>
      <c r="FW558" s="343"/>
      <c r="FX558" s="222"/>
      <c r="FY558" s="336"/>
      <c r="FZ558" s="223"/>
      <c r="GA558" s="338"/>
      <c r="GB558" s="204"/>
      <c r="GC558" s="339"/>
      <c r="GD558" s="342"/>
      <c r="GE558" s="199"/>
      <c r="GF558" s="199"/>
      <c r="GG558" s="199"/>
      <c r="GH558" s="199"/>
      <c r="GI558" s="199"/>
      <c r="GJ558" s="199"/>
      <c r="GK558" s="199"/>
      <c r="GO558" s="322"/>
      <c r="GP558" s="1190"/>
      <c r="GQ558" s="1190"/>
      <c r="GS558" s="2879"/>
      <c r="GT558" s="2880"/>
      <c r="GU558" s="2881"/>
    </row>
    <row r="559" spans="1:203" ht="12" customHeight="1">
      <c r="A559" s="1252"/>
      <c r="B559" s="200"/>
      <c r="C559" s="486"/>
      <c r="T559" s="1186"/>
      <c r="U559" s="233"/>
      <c r="W559" s="218"/>
      <c r="X559" s="218"/>
      <c r="Y559" s="216"/>
      <c r="Z559" s="216"/>
      <c r="AA559" s="215"/>
      <c r="AB559" s="216"/>
      <c r="AC559" s="216"/>
      <c r="AD559" s="239"/>
      <c r="AE559" s="216"/>
      <c r="AF559" s="216"/>
      <c r="AG559" s="216"/>
      <c r="AH559" s="216"/>
      <c r="AI559" s="216"/>
      <c r="AJ559" s="216"/>
      <c r="AK559" s="239"/>
      <c r="AL559" s="216"/>
      <c r="AM559" s="216"/>
      <c r="AN559" s="216"/>
      <c r="AO559" s="216"/>
      <c r="AP559" s="216"/>
      <c r="AQ559" s="216"/>
      <c r="AR559" s="216"/>
      <c r="AS559" s="216"/>
      <c r="AT559" s="216"/>
      <c r="AU559" s="216"/>
      <c r="AV559" s="217"/>
      <c r="AW559" s="355"/>
      <c r="AX559" s="217"/>
      <c r="AY559" s="305"/>
      <c r="AZ559" s="249"/>
      <c r="BA559" s="221"/>
      <c r="BB559" s="300"/>
      <c r="BC559" s="217"/>
      <c r="BD559" s="392"/>
      <c r="BE559" s="1244"/>
      <c r="BF559" s="249"/>
      <c r="BG559" s="252"/>
      <c r="BH559" s="1469"/>
      <c r="BI559" s="216"/>
      <c r="BJ559" s="1469"/>
      <c r="BK559" s="1459"/>
      <c r="BL559" s="260"/>
      <c r="BM559" s="214"/>
      <c r="BN559" s="293"/>
      <c r="BO559" s="217"/>
      <c r="BP559" s="355"/>
      <c r="BQ559" s="217"/>
      <c r="BR559" s="1193"/>
      <c r="BS559" s="249"/>
      <c r="BT559" s="216"/>
      <c r="BU559" s="1195"/>
      <c r="BV559" s="249"/>
      <c r="BW559" s="216"/>
      <c r="BX559" s="1195"/>
      <c r="BY559" s="249"/>
      <c r="BZ559" s="216"/>
      <c r="CA559" s="1195"/>
      <c r="CB559" s="249"/>
      <c r="CC559" s="216"/>
      <c r="CD559" s="1195"/>
      <c r="CE559" s="249"/>
      <c r="CF559" s="216"/>
      <c r="CG559" s="1195"/>
      <c r="CH559" s="249"/>
      <c r="CI559" s="216"/>
      <c r="CJ559" s="1195"/>
      <c r="CK559" s="249"/>
      <c r="CL559" s="216"/>
      <c r="CM559" s="1194"/>
      <c r="CN559" s="1524"/>
      <c r="CO559" s="217"/>
      <c r="CP559" s="1193"/>
      <c r="CQ559" s="293"/>
      <c r="CR559" s="217"/>
      <c r="CS559" s="305"/>
      <c r="CT559" s="249"/>
      <c r="CU559" s="216"/>
      <c r="CV559" s="1193"/>
      <c r="CW559" s="249"/>
      <c r="CX559" s="216"/>
      <c r="CY559" s="305"/>
      <c r="CZ559" s="249"/>
      <c r="DA559" s="216"/>
      <c r="DB559" s="307"/>
      <c r="DC559" s="328"/>
      <c r="DD559" s="322"/>
      <c r="DE559" s="305"/>
      <c r="DF559" s="249"/>
      <c r="DG559" s="216"/>
      <c r="DH559" s="305"/>
      <c r="DI559" s="249"/>
      <c r="DJ559" s="216"/>
      <c r="DK559" s="309"/>
      <c r="DL559" s="293"/>
      <c r="DM559" s="326"/>
      <c r="DN559" s="1256"/>
      <c r="DO559" s="214"/>
      <c r="DP559" s="1257"/>
      <c r="DQ559" s="1258"/>
      <c r="DR559" s="305"/>
      <c r="DS559" s="249"/>
      <c r="DT559" s="216"/>
      <c r="DU559" s="305"/>
      <c r="DV559" s="2520"/>
      <c r="DW559" s="2521"/>
      <c r="DX559" s="305"/>
      <c r="DY559" s="249"/>
      <c r="DZ559" s="221"/>
      <c r="EA559" s="388"/>
      <c r="EB559" s="249"/>
      <c r="EC559" s="216"/>
      <c r="ED559" s="1461"/>
      <c r="EE559" s="249"/>
      <c r="EF559" s="216"/>
      <c r="EG559" s="355"/>
      <c r="EH559" s="1425"/>
      <c r="EI559" s="1470"/>
      <c r="EJ559" s="249"/>
      <c r="EK559" s="221"/>
      <c r="EL559" s="313"/>
      <c r="EM559" s="249"/>
      <c r="EN559" s="221"/>
      <c r="EO559" s="313"/>
      <c r="EP559" s="249"/>
      <c r="EQ559" s="216"/>
      <c r="ER559" s="313"/>
      <c r="ES559" s="249"/>
      <c r="ET559" s="216"/>
      <c r="EU559" s="313"/>
      <c r="EV559" s="249"/>
      <c r="EW559" s="216"/>
      <c r="EX559" s="2505"/>
      <c r="EY559" s="249"/>
      <c r="EZ559" s="221"/>
      <c r="FA559" s="313"/>
      <c r="FB559" s="249"/>
      <c r="FC559" s="221"/>
      <c r="FD559" s="313"/>
      <c r="FE559" s="249"/>
      <c r="FF559" s="221"/>
      <c r="FG559" s="313"/>
      <c r="FH559" s="249"/>
      <c r="FI559" s="216"/>
      <c r="FJ559" s="1435"/>
      <c r="FK559" s="216"/>
      <c r="FL559" s="1268"/>
      <c r="FM559" s="1655"/>
      <c r="FN559" s="1268"/>
      <c r="FO559" s="1655"/>
      <c r="FP559" s="1268"/>
      <c r="FQ559" s="1656"/>
      <c r="FR559" s="249"/>
      <c r="FS559" s="216"/>
      <c r="FT559" s="1657"/>
      <c r="FU559" s="1658"/>
      <c r="FV559" s="242"/>
      <c r="FW559" s="343"/>
      <c r="FX559" s="222"/>
      <c r="FY559" s="336"/>
      <c r="FZ559" s="223"/>
      <c r="GA559" s="338"/>
      <c r="GB559" s="204"/>
      <c r="GC559" s="339"/>
      <c r="GD559" s="342"/>
      <c r="GE559" s="199"/>
      <c r="GF559" s="199"/>
      <c r="GG559" s="199"/>
      <c r="GH559" s="199"/>
      <c r="GI559" s="199"/>
      <c r="GJ559" s="199"/>
      <c r="GK559" s="199"/>
      <c r="GO559" s="322"/>
      <c r="GP559" s="1190"/>
      <c r="GQ559" s="1190"/>
      <c r="GS559" s="2879"/>
      <c r="GT559" s="2880"/>
      <c r="GU559" s="2881"/>
    </row>
    <row r="560" spans="1:203" ht="12" customHeight="1">
      <c r="A560" s="1252"/>
      <c r="B560" s="200"/>
      <c r="C560" s="486"/>
      <c r="T560" s="1186"/>
      <c r="U560" s="233"/>
      <c r="W560" s="218"/>
      <c r="X560" s="218"/>
      <c r="Y560" s="216"/>
      <c r="Z560" s="216"/>
      <c r="AA560" s="215"/>
      <c r="AB560" s="216"/>
      <c r="AC560" s="216"/>
      <c r="AD560" s="239"/>
      <c r="AE560" s="216"/>
      <c r="AF560" s="216"/>
      <c r="AG560" s="216"/>
      <c r="AH560" s="216"/>
      <c r="AI560" s="216"/>
      <c r="AJ560" s="216"/>
      <c r="AK560" s="239"/>
      <c r="AL560" s="216"/>
      <c r="AM560" s="216"/>
      <c r="AN560" s="216"/>
      <c r="AO560" s="216"/>
      <c r="AP560" s="216"/>
      <c r="AQ560" s="216"/>
      <c r="AR560" s="216"/>
      <c r="AS560" s="216"/>
      <c r="AT560" s="216"/>
      <c r="AU560" s="216"/>
      <c r="AV560" s="217"/>
      <c r="AW560" s="355"/>
      <c r="AX560" s="217"/>
      <c r="AY560" s="305"/>
      <c r="AZ560" s="249"/>
      <c r="BA560" s="221"/>
      <c r="BB560" s="300"/>
      <c r="BC560" s="217"/>
      <c r="BD560" s="392"/>
      <c r="BE560" s="1244"/>
      <c r="BF560" s="249"/>
      <c r="BG560" s="252"/>
      <c r="BH560" s="1469"/>
      <c r="BI560" s="216"/>
      <c r="BJ560" s="1469"/>
      <c r="BK560" s="1459"/>
      <c r="BL560" s="260"/>
      <c r="BM560" s="214"/>
      <c r="BN560" s="293"/>
      <c r="BO560" s="217"/>
      <c r="BP560" s="355"/>
      <c r="BQ560" s="217"/>
      <c r="BR560" s="1193"/>
      <c r="BS560" s="249"/>
      <c r="BT560" s="216"/>
      <c r="BU560" s="1195"/>
      <c r="BV560" s="249"/>
      <c r="BW560" s="216"/>
      <c r="BX560" s="1195"/>
      <c r="BY560" s="249"/>
      <c r="BZ560" s="216"/>
      <c r="CA560" s="1195"/>
      <c r="CB560" s="249"/>
      <c r="CC560" s="216"/>
      <c r="CD560" s="1195"/>
      <c r="CE560" s="249"/>
      <c r="CF560" s="216"/>
      <c r="CG560" s="1195"/>
      <c r="CH560" s="249"/>
      <c r="CI560" s="216"/>
      <c r="CJ560" s="1195"/>
      <c r="CK560" s="249"/>
      <c r="CL560" s="216"/>
      <c r="CM560" s="1194"/>
      <c r="CN560" s="1524"/>
      <c r="CO560" s="217"/>
      <c r="CP560" s="1193"/>
      <c r="CQ560" s="293"/>
      <c r="CR560" s="217"/>
      <c r="CS560" s="305"/>
      <c r="CT560" s="249"/>
      <c r="CU560" s="216"/>
      <c r="CV560" s="1193"/>
      <c r="CW560" s="249"/>
      <c r="CX560" s="216"/>
      <c r="CY560" s="305"/>
      <c r="CZ560" s="249"/>
      <c r="DA560" s="216"/>
      <c r="DB560" s="307"/>
      <c r="DC560" s="328"/>
      <c r="DD560" s="322"/>
      <c r="DE560" s="305"/>
      <c r="DF560" s="249"/>
      <c r="DG560" s="216"/>
      <c r="DH560" s="305"/>
      <c r="DI560" s="249"/>
      <c r="DJ560" s="216"/>
      <c r="DK560" s="309"/>
      <c r="DL560" s="293"/>
      <c r="DM560" s="326"/>
      <c r="DN560" s="1256"/>
      <c r="DO560" s="214"/>
      <c r="DP560" s="1257"/>
      <c r="DQ560" s="1258"/>
      <c r="DR560" s="305"/>
      <c r="DS560" s="249"/>
      <c r="DT560" s="216"/>
      <c r="DU560" s="305"/>
      <c r="DV560" s="2520"/>
      <c r="DW560" s="2521"/>
      <c r="DX560" s="305"/>
      <c r="DY560" s="249"/>
      <c r="DZ560" s="221"/>
      <c r="EA560" s="388"/>
      <c r="EB560" s="249"/>
      <c r="EC560" s="216"/>
      <c r="ED560" s="1461"/>
      <c r="EE560" s="249"/>
      <c r="EF560" s="216"/>
      <c r="EG560" s="355"/>
      <c r="EH560" s="1425"/>
      <c r="EI560" s="1470"/>
      <c r="EJ560" s="249"/>
      <c r="EK560" s="221"/>
      <c r="EL560" s="313"/>
      <c r="EM560" s="249"/>
      <c r="EN560" s="221"/>
      <c r="EO560" s="313"/>
      <c r="EP560" s="249"/>
      <c r="EQ560" s="216"/>
      <c r="ER560" s="313"/>
      <c r="ES560" s="249"/>
      <c r="ET560" s="216"/>
      <c r="EU560" s="313"/>
      <c r="EV560" s="249"/>
      <c r="EW560" s="216"/>
      <c r="EX560" s="2505"/>
      <c r="EY560" s="249"/>
      <c r="EZ560" s="221"/>
      <c r="FA560" s="313"/>
      <c r="FB560" s="249"/>
      <c r="FC560" s="221"/>
      <c r="FD560" s="313"/>
      <c r="FE560" s="249"/>
      <c r="FF560" s="221"/>
      <c r="FG560" s="313"/>
      <c r="FH560" s="249"/>
      <c r="FI560" s="216"/>
      <c r="FJ560" s="1435"/>
      <c r="FK560" s="216"/>
      <c r="FL560" s="1268"/>
      <c r="FM560" s="1655"/>
      <c r="FN560" s="1268"/>
      <c r="FO560" s="1655"/>
      <c r="FP560" s="1268"/>
      <c r="FQ560" s="1656"/>
      <c r="FR560" s="249"/>
      <c r="FS560" s="216"/>
      <c r="FT560" s="1657"/>
      <c r="FU560" s="1658"/>
      <c r="FV560" s="242"/>
      <c r="FW560" s="343"/>
      <c r="FX560" s="222"/>
      <c r="FY560" s="336"/>
      <c r="FZ560" s="223"/>
      <c r="GA560" s="338"/>
      <c r="GB560" s="204"/>
      <c r="GC560" s="339"/>
      <c r="GD560" s="342"/>
      <c r="GE560" s="199"/>
      <c r="GF560" s="199"/>
      <c r="GG560" s="199"/>
      <c r="GH560" s="199"/>
      <c r="GI560" s="199"/>
      <c r="GJ560" s="199"/>
      <c r="GK560" s="199"/>
      <c r="GO560" s="322"/>
      <c r="GP560" s="1190"/>
      <c r="GQ560" s="1190"/>
      <c r="GS560" s="2879"/>
      <c r="GT560" s="2880"/>
      <c r="GU560" s="2881"/>
    </row>
    <row r="561" spans="1:203" ht="12" customHeight="1">
      <c r="A561" s="1252"/>
      <c r="B561" s="200"/>
      <c r="C561" s="486"/>
      <c r="T561" s="1186"/>
      <c r="U561" s="233"/>
      <c r="W561" s="218"/>
      <c r="X561" s="218"/>
      <c r="Y561" s="216"/>
      <c r="Z561" s="216"/>
      <c r="AA561" s="215"/>
      <c r="AB561" s="216"/>
      <c r="AC561" s="216"/>
      <c r="AD561" s="239"/>
      <c r="AE561" s="216"/>
      <c r="AF561" s="216"/>
      <c r="AG561" s="216"/>
      <c r="AH561" s="216"/>
      <c r="AI561" s="216"/>
      <c r="AJ561" s="216"/>
      <c r="AK561" s="239"/>
      <c r="AL561" s="216"/>
      <c r="AM561" s="216"/>
      <c r="AN561" s="216"/>
      <c r="AO561" s="216"/>
      <c r="AP561" s="216"/>
      <c r="AQ561" s="216"/>
      <c r="AR561" s="216"/>
      <c r="AS561" s="216"/>
      <c r="AT561" s="216"/>
      <c r="AU561" s="216"/>
      <c r="AV561" s="217"/>
      <c r="AW561" s="355"/>
      <c r="AX561" s="217"/>
      <c r="AY561" s="305"/>
      <c r="AZ561" s="249"/>
      <c r="BA561" s="221"/>
      <c r="BB561" s="300"/>
      <c r="BC561" s="217"/>
      <c r="BD561" s="392"/>
      <c r="BE561" s="1244"/>
      <c r="BF561" s="249"/>
      <c r="BG561" s="252"/>
      <c r="BH561" s="1469"/>
      <c r="BI561" s="216"/>
      <c r="BJ561" s="1469"/>
      <c r="BK561" s="1459"/>
      <c r="BL561" s="260"/>
      <c r="BM561" s="214"/>
      <c r="BN561" s="293"/>
      <c r="BO561" s="217"/>
      <c r="BP561" s="355"/>
      <c r="BQ561" s="217"/>
      <c r="BR561" s="1193"/>
      <c r="BS561" s="249"/>
      <c r="BT561" s="216"/>
      <c r="BU561" s="1195"/>
      <c r="BV561" s="249"/>
      <c r="BW561" s="216"/>
      <c r="BX561" s="1195"/>
      <c r="BY561" s="249"/>
      <c r="BZ561" s="216"/>
      <c r="CA561" s="1195"/>
      <c r="CB561" s="249"/>
      <c r="CC561" s="216"/>
      <c r="CD561" s="1195"/>
      <c r="CE561" s="249"/>
      <c r="CF561" s="216"/>
      <c r="CG561" s="1195"/>
      <c r="CH561" s="249"/>
      <c r="CI561" s="216"/>
      <c r="CJ561" s="1195"/>
      <c r="CK561" s="249"/>
      <c r="CL561" s="216"/>
      <c r="CM561" s="1194"/>
      <c r="CN561" s="1524"/>
      <c r="CO561" s="217"/>
      <c r="CP561" s="1193"/>
      <c r="CQ561" s="293"/>
      <c r="CR561" s="217"/>
      <c r="CS561" s="305"/>
      <c r="CT561" s="249"/>
      <c r="CU561" s="216"/>
      <c r="CV561" s="1193"/>
      <c r="CW561" s="249"/>
      <c r="CX561" s="216"/>
      <c r="CY561" s="305"/>
      <c r="CZ561" s="249"/>
      <c r="DA561" s="216"/>
      <c r="DB561" s="307"/>
      <c r="DC561" s="328"/>
      <c r="DD561" s="322"/>
      <c r="DE561" s="305"/>
      <c r="DF561" s="249"/>
      <c r="DG561" s="216"/>
      <c r="DH561" s="305"/>
      <c r="DI561" s="249"/>
      <c r="DJ561" s="216"/>
      <c r="DK561" s="309"/>
      <c r="DL561" s="293"/>
      <c r="DM561" s="326"/>
      <c r="DN561" s="1256"/>
      <c r="DO561" s="214"/>
      <c r="DP561" s="1257"/>
      <c r="DQ561" s="1258"/>
      <c r="DR561" s="305"/>
      <c r="DS561" s="249"/>
      <c r="DT561" s="216"/>
      <c r="DU561" s="305"/>
      <c r="DV561" s="2520"/>
      <c r="DW561" s="2521"/>
      <c r="DX561" s="305"/>
      <c r="DY561" s="249"/>
      <c r="DZ561" s="221"/>
      <c r="EA561" s="388"/>
      <c r="EB561" s="249"/>
      <c r="EC561" s="216"/>
      <c r="ED561" s="1461"/>
      <c r="EE561" s="249"/>
      <c r="EF561" s="216"/>
      <c r="EG561" s="355"/>
      <c r="EH561" s="1425"/>
      <c r="EI561" s="1470"/>
      <c r="EJ561" s="249"/>
      <c r="EK561" s="221"/>
      <c r="EL561" s="313"/>
      <c r="EM561" s="249"/>
      <c r="EN561" s="221"/>
      <c r="EO561" s="313"/>
      <c r="EP561" s="249"/>
      <c r="EQ561" s="216"/>
      <c r="ER561" s="313"/>
      <c r="ES561" s="249"/>
      <c r="ET561" s="216"/>
      <c r="EU561" s="313"/>
      <c r="EV561" s="249"/>
      <c r="EW561" s="216"/>
      <c r="EX561" s="2505"/>
      <c r="EY561" s="249"/>
      <c r="EZ561" s="221"/>
      <c r="FA561" s="313"/>
      <c r="FB561" s="249"/>
      <c r="FC561" s="221"/>
      <c r="FD561" s="313"/>
      <c r="FE561" s="249"/>
      <c r="FF561" s="221"/>
      <c r="FG561" s="313"/>
      <c r="FH561" s="249"/>
      <c r="FI561" s="216"/>
      <c r="FJ561" s="1435"/>
      <c r="FK561" s="216"/>
      <c r="FL561" s="1268"/>
      <c r="FM561" s="1655"/>
      <c r="FN561" s="1268"/>
      <c r="FO561" s="1655"/>
      <c r="FP561" s="1268"/>
      <c r="FQ561" s="1656"/>
      <c r="FR561" s="249"/>
      <c r="FS561" s="216"/>
      <c r="FT561" s="1657"/>
      <c r="FU561" s="1658"/>
      <c r="FV561" s="242"/>
      <c r="FW561" s="343"/>
      <c r="FX561" s="222"/>
      <c r="FY561" s="336"/>
      <c r="FZ561" s="223"/>
      <c r="GA561" s="338"/>
      <c r="GB561" s="204"/>
      <c r="GC561" s="339"/>
      <c r="GD561" s="342"/>
      <c r="GE561" s="199"/>
      <c r="GF561" s="199"/>
      <c r="GG561" s="199"/>
      <c r="GH561" s="199"/>
      <c r="GI561" s="199"/>
      <c r="GJ561" s="199"/>
      <c r="GK561" s="199"/>
      <c r="GO561" s="322"/>
      <c r="GP561" s="1190"/>
      <c r="GQ561" s="1190"/>
      <c r="GS561" s="2879"/>
      <c r="GT561" s="2880"/>
      <c r="GU561" s="2881"/>
    </row>
    <row r="562" spans="1:203" ht="12" customHeight="1">
      <c r="A562" s="1252"/>
      <c r="B562" s="200"/>
      <c r="C562" s="486"/>
      <c r="T562" s="1186"/>
      <c r="U562" s="233"/>
      <c r="W562" s="218"/>
      <c r="X562" s="218"/>
      <c r="Y562" s="216"/>
      <c r="Z562" s="216"/>
      <c r="AA562" s="215"/>
      <c r="AB562" s="216"/>
      <c r="AC562" s="216"/>
      <c r="AD562" s="239"/>
      <c r="AE562" s="216"/>
      <c r="AF562" s="216"/>
      <c r="AG562" s="216"/>
      <c r="AH562" s="216"/>
      <c r="AI562" s="216"/>
      <c r="AJ562" s="216"/>
      <c r="AK562" s="239"/>
      <c r="AL562" s="216"/>
      <c r="AM562" s="216"/>
      <c r="AN562" s="216"/>
      <c r="AO562" s="216"/>
      <c r="AP562" s="216"/>
      <c r="AQ562" s="216"/>
      <c r="AR562" s="216"/>
      <c r="AS562" s="216"/>
      <c r="AT562" s="216"/>
      <c r="AU562" s="216"/>
      <c r="AV562" s="217"/>
      <c r="AW562" s="355"/>
      <c r="AX562" s="217"/>
      <c r="AY562" s="305"/>
      <c r="AZ562" s="249"/>
      <c r="BA562" s="221"/>
      <c r="BB562" s="300"/>
      <c r="BC562" s="217"/>
      <c r="BD562" s="392"/>
      <c r="BE562" s="1244"/>
      <c r="BF562" s="249"/>
      <c r="BG562" s="252"/>
      <c r="BH562" s="1469"/>
      <c r="BI562" s="216"/>
      <c r="BJ562" s="1469"/>
      <c r="BK562" s="1459"/>
      <c r="BL562" s="260"/>
      <c r="BM562" s="214"/>
      <c r="BN562" s="293"/>
      <c r="BO562" s="217"/>
      <c r="BP562" s="355"/>
      <c r="BQ562" s="217"/>
      <c r="BR562" s="1193"/>
      <c r="BS562" s="249"/>
      <c r="BT562" s="216"/>
      <c r="BU562" s="1195"/>
      <c r="BV562" s="249"/>
      <c r="BW562" s="216"/>
      <c r="BX562" s="1195"/>
      <c r="BY562" s="249"/>
      <c r="BZ562" s="216"/>
      <c r="CA562" s="1195"/>
      <c r="CB562" s="249"/>
      <c r="CC562" s="216"/>
      <c r="CD562" s="1195"/>
      <c r="CE562" s="249"/>
      <c r="CF562" s="216"/>
      <c r="CG562" s="1195"/>
      <c r="CH562" s="249"/>
      <c r="CI562" s="216"/>
      <c r="CJ562" s="1195"/>
      <c r="CK562" s="249"/>
      <c r="CL562" s="216"/>
      <c r="CM562" s="1194"/>
      <c r="CN562" s="1524"/>
      <c r="CO562" s="217"/>
      <c r="CP562" s="1193"/>
      <c r="CQ562" s="293"/>
      <c r="CR562" s="217"/>
      <c r="CS562" s="305"/>
      <c r="CT562" s="249"/>
      <c r="CU562" s="216"/>
      <c r="CV562" s="1193"/>
      <c r="CW562" s="249"/>
      <c r="CX562" s="216"/>
      <c r="CY562" s="305"/>
      <c r="CZ562" s="249"/>
      <c r="DA562" s="216"/>
      <c r="DB562" s="307"/>
      <c r="DC562" s="328"/>
      <c r="DD562" s="322"/>
      <c r="DE562" s="305"/>
      <c r="DF562" s="249"/>
      <c r="DG562" s="216"/>
      <c r="DH562" s="305"/>
      <c r="DI562" s="249"/>
      <c r="DJ562" s="216"/>
      <c r="DK562" s="309"/>
      <c r="DL562" s="293"/>
      <c r="DM562" s="326"/>
      <c r="DN562" s="1256"/>
      <c r="DO562" s="214"/>
      <c r="DP562" s="1257"/>
      <c r="DQ562" s="1258"/>
      <c r="DR562" s="305"/>
      <c r="DS562" s="249"/>
      <c r="DT562" s="216"/>
      <c r="DU562" s="305"/>
      <c r="DV562" s="2520"/>
      <c r="DW562" s="2521"/>
      <c r="DX562" s="305"/>
      <c r="DY562" s="249"/>
      <c r="DZ562" s="221"/>
      <c r="EA562" s="388"/>
      <c r="EB562" s="249"/>
      <c r="EC562" s="216"/>
      <c r="ED562" s="1461"/>
      <c r="EE562" s="249"/>
      <c r="EF562" s="216"/>
      <c r="EG562" s="355"/>
      <c r="EH562" s="1425"/>
      <c r="EI562" s="1470"/>
      <c r="EJ562" s="249"/>
      <c r="EK562" s="221"/>
      <c r="EL562" s="313"/>
      <c r="EM562" s="249"/>
      <c r="EN562" s="221"/>
      <c r="EO562" s="313"/>
      <c r="EP562" s="249"/>
      <c r="EQ562" s="216"/>
      <c r="ER562" s="313"/>
      <c r="ES562" s="249"/>
      <c r="ET562" s="216"/>
      <c r="EU562" s="313"/>
      <c r="EV562" s="249"/>
      <c r="EW562" s="216"/>
      <c r="EX562" s="2505"/>
      <c r="EY562" s="249"/>
      <c r="EZ562" s="221"/>
      <c r="FA562" s="313"/>
      <c r="FB562" s="249"/>
      <c r="FC562" s="221"/>
      <c r="FD562" s="313"/>
      <c r="FE562" s="249"/>
      <c r="FF562" s="221"/>
      <c r="FG562" s="313"/>
      <c r="FH562" s="249"/>
      <c r="FI562" s="216"/>
      <c r="FJ562" s="1435"/>
      <c r="FK562" s="216"/>
      <c r="FL562" s="1268"/>
      <c r="FM562" s="1655"/>
      <c r="FN562" s="1268"/>
      <c r="FO562" s="1655"/>
      <c r="FP562" s="1268"/>
      <c r="FQ562" s="1656"/>
      <c r="FR562" s="249"/>
      <c r="FS562" s="216"/>
      <c r="FT562" s="1657"/>
      <c r="FU562" s="1658"/>
      <c r="FV562" s="242"/>
      <c r="FW562" s="343"/>
      <c r="FX562" s="222"/>
      <c r="FY562" s="336"/>
      <c r="FZ562" s="223"/>
      <c r="GA562" s="338"/>
      <c r="GB562" s="204"/>
      <c r="GC562" s="339"/>
      <c r="GD562" s="342"/>
      <c r="GE562" s="199"/>
      <c r="GF562" s="199"/>
      <c r="GG562" s="199"/>
      <c r="GH562" s="199"/>
      <c r="GI562" s="199"/>
      <c r="GJ562" s="199"/>
      <c r="GK562" s="199"/>
      <c r="GO562" s="322"/>
      <c r="GP562" s="1190"/>
      <c r="GQ562" s="1190"/>
      <c r="GS562" s="2879"/>
      <c r="GT562" s="2880"/>
      <c r="GU562" s="2881"/>
    </row>
    <row r="563" spans="1:203" ht="12" customHeight="1">
      <c r="A563" s="1252"/>
      <c r="B563" s="200"/>
      <c r="C563" s="486"/>
      <c r="T563" s="1186"/>
      <c r="U563" s="233"/>
      <c r="W563" s="218"/>
      <c r="X563" s="218"/>
      <c r="Y563" s="216"/>
      <c r="Z563" s="216"/>
      <c r="AA563" s="215"/>
      <c r="AB563" s="216"/>
      <c r="AC563" s="216"/>
      <c r="AD563" s="239"/>
      <c r="AE563" s="216"/>
      <c r="AF563" s="216"/>
      <c r="AG563" s="216"/>
      <c r="AH563" s="216"/>
      <c r="AI563" s="216"/>
      <c r="AJ563" s="216"/>
      <c r="AK563" s="239"/>
      <c r="AL563" s="216"/>
      <c r="AM563" s="216"/>
      <c r="AN563" s="216"/>
      <c r="AO563" s="216"/>
      <c r="AP563" s="216"/>
      <c r="AQ563" s="216"/>
      <c r="AR563" s="216"/>
      <c r="AS563" s="216"/>
      <c r="AT563" s="216"/>
      <c r="AU563" s="216"/>
      <c r="AV563" s="217"/>
      <c r="AW563" s="355"/>
      <c r="AX563" s="217"/>
      <c r="AY563" s="305"/>
      <c r="AZ563" s="249"/>
      <c r="BA563" s="221"/>
      <c r="BB563" s="300"/>
      <c r="BC563" s="217"/>
      <c r="BD563" s="392"/>
      <c r="BE563" s="1244"/>
      <c r="BF563" s="249"/>
      <c r="BG563" s="252"/>
      <c r="BH563" s="1469"/>
      <c r="BI563" s="216"/>
      <c r="BJ563" s="1469"/>
      <c r="BK563" s="1459"/>
      <c r="BL563" s="260"/>
      <c r="BM563" s="214"/>
      <c r="BN563" s="293"/>
      <c r="BO563" s="217"/>
      <c r="BP563" s="355"/>
      <c r="BQ563" s="217"/>
      <c r="BR563" s="1193"/>
      <c r="BS563" s="249"/>
      <c r="BT563" s="216"/>
      <c r="BU563" s="1195"/>
      <c r="BV563" s="249"/>
      <c r="BW563" s="216"/>
      <c r="BX563" s="1195"/>
      <c r="BY563" s="249"/>
      <c r="BZ563" s="216"/>
      <c r="CA563" s="1195"/>
      <c r="CB563" s="249"/>
      <c r="CC563" s="216"/>
      <c r="CD563" s="1195"/>
      <c r="CE563" s="249"/>
      <c r="CF563" s="216"/>
      <c r="CG563" s="1195"/>
      <c r="CH563" s="249"/>
      <c r="CI563" s="216"/>
      <c r="CJ563" s="1195"/>
      <c r="CK563" s="249"/>
      <c r="CL563" s="216"/>
      <c r="CM563" s="1194"/>
      <c r="CN563" s="1524"/>
      <c r="CO563" s="217"/>
      <c r="CP563" s="1193"/>
      <c r="CQ563" s="293"/>
      <c r="CR563" s="217"/>
      <c r="CS563" s="305"/>
      <c r="CT563" s="249"/>
      <c r="CU563" s="216"/>
      <c r="CV563" s="1193"/>
      <c r="CW563" s="249"/>
      <c r="CX563" s="216"/>
      <c r="CY563" s="305"/>
      <c r="CZ563" s="249"/>
      <c r="DA563" s="216"/>
      <c r="DB563" s="307"/>
      <c r="DC563" s="328"/>
      <c r="DD563" s="322"/>
      <c r="DE563" s="305"/>
      <c r="DF563" s="249"/>
      <c r="DG563" s="216"/>
      <c r="DH563" s="305"/>
      <c r="DI563" s="249"/>
      <c r="DJ563" s="216"/>
      <c r="DK563" s="309"/>
      <c r="DL563" s="293"/>
      <c r="DM563" s="326"/>
      <c r="DN563" s="1256"/>
      <c r="DO563" s="214"/>
      <c r="DP563" s="1257"/>
      <c r="DQ563" s="1258"/>
      <c r="DR563" s="305"/>
      <c r="DS563" s="249"/>
      <c r="DT563" s="216"/>
      <c r="DU563" s="305"/>
      <c r="DV563" s="2520"/>
      <c r="DW563" s="2521"/>
      <c r="DX563" s="305"/>
      <c r="DY563" s="249"/>
      <c r="DZ563" s="221"/>
      <c r="EA563" s="388"/>
      <c r="EB563" s="249"/>
      <c r="EC563" s="216"/>
      <c r="ED563" s="1461"/>
      <c r="EE563" s="249"/>
      <c r="EF563" s="216"/>
      <c r="EG563" s="355"/>
      <c r="EH563" s="1425"/>
      <c r="EI563" s="1470"/>
      <c r="EJ563" s="249"/>
      <c r="EK563" s="221"/>
      <c r="EL563" s="313"/>
      <c r="EM563" s="249"/>
      <c r="EN563" s="221"/>
      <c r="EO563" s="313"/>
      <c r="EP563" s="249"/>
      <c r="EQ563" s="216"/>
      <c r="ER563" s="313"/>
      <c r="ES563" s="249"/>
      <c r="ET563" s="216"/>
      <c r="EU563" s="313"/>
      <c r="EV563" s="249"/>
      <c r="EW563" s="216"/>
      <c r="EX563" s="2505"/>
      <c r="EY563" s="249"/>
      <c r="EZ563" s="221"/>
      <c r="FA563" s="313"/>
      <c r="FB563" s="249"/>
      <c r="FC563" s="221"/>
      <c r="FD563" s="313"/>
      <c r="FE563" s="249"/>
      <c r="FF563" s="221"/>
      <c r="FG563" s="313"/>
      <c r="FH563" s="249"/>
      <c r="FI563" s="216"/>
      <c r="FJ563" s="1435"/>
      <c r="FK563" s="216"/>
      <c r="FL563" s="1268"/>
      <c r="FM563" s="1655"/>
      <c r="FN563" s="1268"/>
      <c r="FO563" s="1655"/>
      <c r="FP563" s="1268"/>
      <c r="FQ563" s="1656"/>
      <c r="FR563" s="249"/>
      <c r="FS563" s="216"/>
      <c r="FT563" s="1657"/>
      <c r="FU563" s="1658"/>
      <c r="FV563" s="242"/>
      <c r="FW563" s="343"/>
      <c r="FX563" s="222"/>
      <c r="FY563" s="336"/>
      <c r="FZ563" s="223"/>
      <c r="GA563" s="338"/>
      <c r="GB563" s="204"/>
      <c r="GC563" s="339"/>
      <c r="GD563" s="342"/>
      <c r="GE563" s="199"/>
      <c r="GF563" s="199"/>
      <c r="GG563" s="199"/>
      <c r="GH563" s="199"/>
      <c r="GI563" s="199"/>
      <c r="GJ563" s="199"/>
      <c r="GK563" s="199"/>
      <c r="GO563" s="322"/>
      <c r="GP563" s="1190"/>
      <c r="GQ563" s="1190"/>
      <c r="GS563" s="2879"/>
      <c r="GT563" s="2880"/>
      <c r="GU563" s="2881"/>
    </row>
    <row r="564" spans="1:203" ht="12" customHeight="1">
      <c r="A564" s="1252"/>
      <c r="B564" s="200"/>
      <c r="C564" s="486"/>
      <c r="T564" s="1186"/>
      <c r="U564" s="233"/>
      <c r="W564" s="218"/>
      <c r="X564" s="218"/>
      <c r="Y564" s="216"/>
      <c r="Z564" s="216"/>
      <c r="AA564" s="215"/>
      <c r="AB564" s="216"/>
      <c r="AC564" s="216"/>
      <c r="AD564" s="239"/>
      <c r="AE564" s="216"/>
      <c r="AF564" s="216"/>
      <c r="AG564" s="216"/>
      <c r="AH564" s="216"/>
      <c r="AI564" s="216"/>
      <c r="AJ564" s="216"/>
      <c r="AK564" s="239"/>
      <c r="AL564" s="216"/>
      <c r="AM564" s="216"/>
      <c r="AN564" s="216"/>
      <c r="AO564" s="216"/>
      <c r="AP564" s="216"/>
      <c r="AQ564" s="216"/>
      <c r="AR564" s="216"/>
      <c r="AS564" s="216"/>
      <c r="AT564" s="216"/>
      <c r="AU564" s="216"/>
      <c r="AV564" s="217"/>
      <c r="AW564" s="355"/>
      <c r="AX564" s="217"/>
      <c r="AY564" s="305"/>
      <c r="AZ564" s="249"/>
      <c r="BA564" s="221"/>
      <c r="BB564" s="300"/>
      <c r="BC564" s="217"/>
      <c r="BD564" s="392"/>
      <c r="BE564" s="1244"/>
      <c r="BF564" s="249"/>
      <c r="BG564" s="252"/>
      <c r="BH564" s="1469"/>
      <c r="BI564" s="216"/>
      <c r="BJ564" s="1469"/>
      <c r="BK564" s="1459"/>
      <c r="BL564" s="260"/>
      <c r="BM564" s="214"/>
      <c r="BN564" s="293"/>
      <c r="BO564" s="217"/>
      <c r="BP564" s="355"/>
      <c r="BQ564" s="217"/>
      <c r="BR564" s="1193"/>
      <c r="BS564" s="249"/>
      <c r="BT564" s="216"/>
      <c r="BU564" s="1195"/>
      <c r="BV564" s="249"/>
      <c r="BW564" s="216"/>
      <c r="BX564" s="1195"/>
      <c r="BY564" s="249"/>
      <c r="BZ564" s="216"/>
      <c r="CA564" s="1195"/>
      <c r="CB564" s="249"/>
      <c r="CC564" s="216"/>
      <c r="CD564" s="1195"/>
      <c r="CE564" s="249"/>
      <c r="CF564" s="216"/>
      <c r="CG564" s="1195"/>
      <c r="CH564" s="249"/>
      <c r="CI564" s="216"/>
      <c r="CJ564" s="1195"/>
      <c r="CK564" s="249"/>
      <c r="CL564" s="216"/>
      <c r="CM564" s="1194"/>
      <c r="CN564" s="1524"/>
      <c r="CO564" s="217"/>
      <c r="CP564" s="1193"/>
      <c r="CQ564" s="293"/>
      <c r="CR564" s="217"/>
      <c r="CS564" s="305"/>
      <c r="CT564" s="249"/>
      <c r="CU564" s="216"/>
      <c r="CV564" s="1193"/>
      <c r="CW564" s="249"/>
      <c r="CX564" s="216"/>
      <c r="CY564" s="305"/>
      <c r="CZ564" s="249"/>
      <c r="DA564" s="216"/>
      <c r="DB564" s="307"/>
      <c r="DC564" s="328"/>
      <c r="DD564" s="322"/>
      <c r="DE564" s="305"/>
      <c r="DF564" s="249"/>
      <c r="DG564" s="216"/>
      <c r="DH564" s="305"/>
      <c r="DI564" s="249"/>
      <c r="DJ564" s="216"/>
      <c r="DK564" s="309"/>
      <c r="DL564" s="293"/>
      <c r="DM564" s="326"/>
      <c r="DN564" s="1256"/>
      <c r="DO564" s="214"/>
      <c r="DP564" s="1257"/>
      <c r="DQ564" s="1258"/>
      <c r="DR564" s="305"/>
      <c r="DS564" s="249"/>
      <c r="DT564" s="216"/>
      <c r="DU564" s="305"/>
      <c r="DV564" s="2520"/>
      <c r="DW564" s="2521"/>
      <c r="DX564" s="305"/>
      <c r="DY564" s="249"/>
      <c r="DZ564" s="221"/>
      <c r="EA564" s="388"/>
      <c r="EB564" s="249"/>
      <c r="EC564" s="216"/>
      <c r="ED564" s="1461"/>
      <c r="EE564" s="249"/>
      <c r="EF564" s="216"/>
      <c r="EG564" s="355"/>
      <c r="EH564" s="1425"/>
      <c r="EI564" s="1470"/>
      <c r="EJ564" s="249"/>
      <c r="EK564" s="221"/>
      <c r="EL564" s="313"/>
      <c r="EM564" s="249"/>
      <c r="EN564" s="221"/>
      <c r="EO564" s="313"/>
      <c r="EP564" s="249"/>
      <c r="EQ564" s="216"/>
      <c r="ER564" s="313"/>
      <c r="ES564" s="249"/>
      <c r="ET564" s="216"/>
      <c r="EU564" s="313"/>
      <c r="EV564" s="249"/>
      <c r="EW564" s="216"/>
      <c r="EX564" s="2505"/>
      <c r="EY564" s="249"/>
      <c r="EZ564" s="221"/>
      <c r="FA564" s="313"/>
      <c r="FB564" s="249"/>
      <c r="FC564" s="221"/>
      <c r="FD564" s="313"/>
      <c r="FE564" s="249"/>
      <c r="FF564" s="221"/>
      <c r="FG564" s="313"/>
      <c r="FH564" s="249"/>
      <c r="FI564" s="216"/>
      <c r="FJ564" s="1435"/>
      <c r="FK564" s="216"/>
      <c r="FL564" s="1268"/>
      <c r="FM564" s="1655"/>
      <c r="FN564" s="1268"/>
      <c r="FO564" s="1655"/>
      <c r="FP564" s="1268"/>
      <c r="FQ564" s="1656"/>
      <c r="FR564" s="249"/>
      <c r="FS564" s="216"/>
      <c r="FT564" s="1657"/>
      <c r="FU564" s="1658"/>
      <c r="FV564" s="242"/>
      <c r="FW564" s="343"/>
      <c r="FX564" s="222"/>
      <c r="FY564" s="336"/>
      <c r="FZ564" s="223"/>
      <c r="GA564" s="338"/>
      <c r="GB564" s="204"/>
      <c r="GC564" s="339"/>
      <c r="GD564" s="342"/>
      <c r="GE564" s="199"/>
      <c r="GF564" s="199"/>
      <c r="GG564" s="199"/>
      <c r="GH564" s="199"/>
      <c r="GI564" s="199"/>
      <c r="GJ564" s="199"/>
      <c r="GK564" s="199"/>
      <c r="GO564" s="322"/>
      <c r="GP564" s="1190"/>
      <c r="GQ564" s="1190"/>
      <c r="GS564" s="2879"/>
      <c r="GT564" s="2880"/>
      <c r="GU564" s="2881"/>
    </row>
    <row r="565" spans="1:203" ht="12" customHeight="1">
      <c r="A565" s="1252"/>
      <c r="B565" s="200"/>
      <c r="C565" s="486"/>
      <c r="T565" s="1186"/>
      <c r="U565" s="233"/>
      <c r="W565" s="218"/>
      <c r="X565" s="218"/>
      <c r="Y565" s="216"/>
      <c r="Z565" s="216"/>
      <c r="AA565" s="215"/>
      <c r="AB565" s="216"/>
      <c r="AC565" s="216"/>
      <c r="AD565" s="239"/>
      <c r="AE565" s="216"/>
      <c r="AF565" s="216"/>
      <c r="AG565" s="216"/>
      <c r="AH565" s="216"/>
      <c r="AI565" s="216"/>
      <c r="AJ565" s="216"/>
      <c r="AK565" s="239"/>
      <c r="AL565" s="216"/>
      <c r="AM565" s="216"/>
      <c r="AN565" s="216"/>
      <c r="AO565" s="216"/>
      <c r="AP565" s="216"/>
      <c r="AQ565" s="216"/>
      <c r="AR565" s="216"/>
      <c r="AS565" s="216"/>
      <c r="AT565" s="216"/>
      <c r="AU565" s="216"/>
      <c r="AV565" s="217"/>
      <c r="AW565" s="355"/>
      <c r="AX565" s="217"/>
      <c r="AY565" s="305"/>
      <c r="AZ565" s="249"/>
      <c r="BA565" s="221"/>
      <c r="BB565" s="300"/>
      <c r="BC565" s="217"/>
      <c r="BD565" s="392"/>
      <c r="BE565" s="1244"/>
      <c r="BF565" s="249"/>
      <c r="BG565" s="252"/>
      <c r="BH565" s="1469"/>
      <c r="BI565" s="216"/>
      <c r="BJ565" s="1469"/>
      <c r="BK565" s="1459"/>
      <c r="BL565" s="260"/>
      <c r="BM565" s="214"/>
      <c r="BN565" s="293"/>
      <c r="BO565" s="217"/>
      <c r="BP565" s="355"/>
      <c r="BQ565" s="217"/>
      <c r="BR565" s="1193"/>
      <c r="BS565" s="249"/>
      <c r="BT565" s="216"/>
      <c r="BU565" s="1195"/>
      <c r="BV565" s="249"/>
      <c r="BW565" s="216"/>
      <c r="BX565" s="1195"/>
      <c r="BY565" s="249"/>
      <c r="BZ565" s="216"/>
      <c r="CA565" s="1195"/>
      <c r="CB565" s="249"/>
      <c r="CC565" s="216"/>
      <c r="CD565" s="1195"/>
      <c r="CE565" s="249"/>
      <c r="CF565" s="216"/>
      <c r="CG565" s="1195"/>
      <c r="CH565" s="249"/>
      <c r="CI565" s="216"/>
      <c r="CJ565" s="1195"/>
      <c r="CK565" s="249"/>
      <c r="CL565" s="216"/>
      <c r="CM565" s="1194"/>
      <c r="CN565" s="1524"/>
      <c r="CO565" s="217"/>
      <c r="CP565" s="1193"/>
      <c r="CQ565" s="293"/>
      <c r="CR565" s="217"/>
      <c r="CS565" s="305"/>
      <c r="CT565" s="249"/>
      <c r="CU565" s="216"/>
      <c r="CV565" s="1193"/>
      <c r="CW565" s="249"/>
      <c r="CX565" s="216"/>
      <c r="CY565" s="305"/>
      <c r="CZ565" s="249"/>
      <c r="DA565" s="216"/>
      <c r="DB565" s="307"/>
      <c r="DC565" s="328"/>
      <c r="DD565" s="322"/>
      <c r="DE565" s="305"/>
      <c r="DF565" s="249"/>
      <c r="DG565" s="216"/>
      <c r="DH565" s="305"/>
      <c r="DI565" s="249"/>
      <c r="DJ565" s="216"/>
      <c r="DK565" s="309"/>
      <c r="DL565" s="293"/>
      <c r="DM565" s="326"/>
      <c r="DN565" s="1256"/>
      <c r="DO565" s="214"/>
      <c r="DP565" s="1257"/>
      <c r="DQ565" s="1258"/>
      <c r="DR565" s="305"/>
      <c r="DS565" s="249"/>
      <c r="DT565" s="216"/>
      <c r="DU565" s="305"/>
      <c r="DV565" s="2520"/>
      <c r="DW565" s="2521"/>
      <c r="DX565" s="305"/>
      <c r="DY565" s="249"/>
      <c r="DZ565" s="221"/>
      <c r="EA565" s="388"/>
      <c r="EB565" s="249"/>
      <c r="EC565" s="216"/>
      <c r="ED565" s="1461"/>
      <c r="EE565" s="249"/>
      <c r="EF565" s="216"/>
      <c r="EG565" s="355"/>
      <c r="EH565" s="1425"/>
      <c r="EI565" s="1470"/>
      <c r="EJ565" s="249"/>
      <c r="EK565" s="221"/>
      <c r="EL565" s="313"/>
      <c r="EM565" s="249"/>
      <c r="EN565" s="221"/>
      <c r="EO565" s="313"/>
      <c r="EP565" s="249"/>
      <c r="EQ565" s="216"/>
      <c r="ER565" s="313"/>
      <c r="ES565" s="249"/>
      <c r="ET565" s="216"/>
      <c r="EU565" s="313"/>
      <c r="EV565" s="249"/>
      <c r="EW565" s="216"/>
      <c r="EX565" s="2505"/>
      <c r="EY565" s="249"/>
      <c r="EZ565" s="221"/>
      <c r="FA565" s="313"/>
      <c r="FB565" s="249"/>
      <c r="FC565" s="221"/>
      <c r="FD565" s="313"/>
      <c r="FE565" s="249"/>
      <c r="FF565" s="221"/>
      <c r="FG565" s="313"/>
      <c r="FH565" s="249"/>
      <c r="FI565" s="216"/>
      <c r="FJ565" s="1435"/>
      <c r="FK565" s="216"/>
      <c r="FL565" s="1268"/>
      <c r="FM565" s="1655"/>
      <c r="FN565" s="1268"/>
      <c r="FO565" s="1655"/>
      <c r="FP565" s="1268"/>
      <c r="FQ565" s="1656"/>
      <c r="FR565" s="249"/>
      <c r="FS565" s="216"/>
      <c r="FT565" s="1657"/>
      <c r="FU565" s="1658"/>
      <c r="FV565" s="242"/>
      <c r="FW565" s="343"/>
      <c r="FX565" s="222"/>
      <c r="FY565" s="336"/>
      <c r="FZ565" s="223"/>
      <c r="GA565" s="338"/>
      <c r="GB565" s="204"/>
      <c r="GC565" s="339"/>
      <c r="GD565" s="342"/>
      <c r="GE565" s="199"/>
      <c r="GF565" s="199"/>
      <c r="GG565" s="199"/>
      <c r="GH565" s="199"/>
      <c r="GI565" s="199"/>
      <c r="GJ565" s="199"/>
      <c r="GK565" s="199"/>
      <c r="GO565" s="322"/>
      <c r="GP565" s="1190"/>
      <c r="GQ565" s="1190"/>
      <c r="GS565" s="2879"/>
      <c r="GT565" s="2880"/>
      <c r="GU565" s="2881"/>
    </row>
    <row r="566" spans="1:203" ht="12" customHeight="1">
      <c r="A566" s="1252"/>
      <c r="B566" s="200"/>
      <c r="C566" s="486"/>
      <c r="T566" s="1186"/>
      <c r="U566" s="233"/>
      <c r="W566" s="218"/>
      <c r="X566" s="218"/>
      <c r="Y566" s="216"/>
      <c r="Z566" s="216"/>
      <c r="AA566" s="215"/>
      <c r="AB566" s="216"/>
      <c r="AC566" s="216"/>
      <c r="AD566" s="239"/>
      <c r="AE566" s="216"/>
      <c r="AF566" s="216"/>
      <c r="AG566" s="216"/>
      <c r="AH566" s="216"/>
      <c r="AI566" s="216"/>
      <c r="AJ566" s="216"/>
      <c r="AK566" s="239"/>
      <c r="AL566" s="216"/>
      <c r="AM566" s="216"/>
      <c r="AN566" s="216"/>
      <c r="AO566" s="216"/>
      <c r="AP566" s="216"/>
      <c r="AQ566" s="216"/>
      <c r="AR566" s="216"/>
      <c r="AS566" s="216"/>
      <c r="AT566" s="216"/>
      <c r="AU566" s="216"/>
      <c r="AV566" s="217"/>
      <c r="AW566" s="355"/>
      <c r="AX566" s="217"/>
      <c r="AY566" s="305"/>
      <c r="AZ566" s="249"/>
      <c r="BA566" s="221"/>
      <c r="BB566" s="300"/>
      <c r="BC566" s="217"/>
      <c r="BD566" s="392"/>
      <c r="BE566" s="1244"/>
      <c r="BF566" s="249"/>
      <c r="BG566" s="252"/>
      <c r="BH566" s="1469"/>
      <c r="BI566" s="216"/>
      <c r="BJ566" s="1469"/>
      <c r="BK566" s="1459"/>
      <c r="BL566" s="260"/>
      <c r="BM566" s="214"/>
      <c r="BN566" s="293"/>
      <c r="BO566" s="217"/>
      <c r="BP566" s="355"/>
      <c r="BQ566" s="217"/>
      <c r="BR566" s="1193"/>
      <c r="BS566" s="249"/>
      <c r="BT566" s="216"/>
      <c r="BU566" s="1195"/>
      <c r="BV566" s="249"/>
      <c r="BW566" s="216"/>
      <c r="BX566" s="1195"/>
      <c r="BY566" s="249"/>
      <c r="BZ566" s="216"/>
      <c r="CA566" s="1195"/>
      <c r="CB566" s="249"/>
      <c r="CC566" s="216"/>
      <c r="CD566" s="1195"/>
      <c r="CE566" s="249"/>
      <c r="CF566" s="216"/>
      <c r="CG566" s="1195"/>
      <c r="CH566" s="249"/>
      <c r="CI566" s="216"/>
      <c r="CJ566" s="1195"/>
      <c r="CK566" s="249"/>
      <c r="CL566" s="216"/>
      <c r="CM566" s="1194"/>
      <c r="CN566" s="1524"/>
      <c r="CO566" s="217"/>
      <c r="CP566" s="1193"/>
      <c r="CQ566" s="293"/>
      <c r="CR566" s="217"/>
      <c r="CS566" s="305"/>
      <c r="CT566" s="249"/>
      <c r="CU566" s="216"/>
      <c r="CV566" s="1193"/>
      <c r="CW566" s="249"/>
      <c r="CX566" s="216"/>
      <c r="CY566" s="305"/>
      <c r="CZ566" s="249"/>
      <c r="DA566" s="216"/>
      <c r="DB566" s="307"/>
      <c r="DC566" s="328"/>
      <c r="DD566" s="322"/>
      <c r="DE566" s="305"/>
      <c r="DF566" s="249"/>
      <c r="DG566" s="216"/>
      <c r="DH566" s="305"/>
      <c r="DI566" s="249"/>
      <c r="DJ566" s="216"/>
      <c r="DK566" s="309"/>
      <c r="DL566" s="293"/>
      <c r="DM566" s="326"/>
      <c r="DN566" s="1256"/>
      <c r="DO566" s="214"/>
      <c r="DP566" s="1257"/>
      <c r="DQ566" s="1258"/>
      <c r="DR566" s="305"/>
      <c r="DS566" s="249"/>
      <c r="DT566" s="216"/>
      <c r="DU566" s="305"/>
      <c r="DV566" s="2520"/>
      <c r="DW566" s="2521"/>
      <c r="DX566" s="305"/>
      <c r="DY566" s="249"/>
      <c r="DZ566" s="221"/>
      <c r="EA566" s="388"/>
      <c r="EB566" s="249"/>
      <c r="EC566" s="216"/>
      <c r="ED566" s="1461"/>
      <c r="EE566" s="249"/>
      <c r="EF566" s="216"/>
      <c r="EG566" s="355"/>
      <c r="EH566" s="1425"/>
      <c r="EI566" s="1470"/>
      <c r="EJ566" s="249"/>
      <c r="EK566" s="221"/>
      <c r="EL566" s="313"/>
      <c r="EM566" s="249"/>
      <c r="EN566" s="221"/>
      <c r="EO566" s="313"/>
      <c r="EP566" s="249"/>
      <c r="EQ566" s="216"/>
      <c r="ER566" s="313"/>
      <c r="ES566" s="249"/>
      <c r="ET566" s="216"/>
      <c r="EU566" s="313"/>
      <c r="EV566" s="249"/>
      <c r="EW566" s="216"/>
      <c r="EX566" s="2505"/>
      <c r="EY566" s="249"/>
      <c r="EZ566" s="221"/>
      <c r="FA566" s="313"/>
      <c r="FB566" s="249"/>
      <c r="FC566" s="221"/>
      <c r="FD566" s="313"/>
      <c r="FE566" s="249"/>
      <c r="FF566" s="221"/>
      <c r="FG566" s="313"/>
      <c r="FH566" s="249"/>
      <c r="FI566" s="216"/>
      <c r="FJ566" s="1435"/>
      <c r="FK566" s="216"/>
      <c r="FL566" s="1268"/>
      <c r="FM566" s="1655"/>
      <c r="FN566" s="1268"/>
      <c r="FO566" s="1655"/>
      <c r="FP566" s="1268"/>
      <c r="FQ566" s="1656"/>
      <c r="FR566" s="249"/>
      <c r="FS566" s="216"/>
      <c r="FT566" s="1657"/>
      <c r="FU566" s="1658"/>
      <c r="FV566" s="242"/>
      <c r="FW566" s="343"/>
      <c r="FX566" s="222"/>
      <c r="FY566" s="336"/>
      <c r="FZ566" s="223"/>
      <c r="GA566" s="338"/>
      <c r="GB566" s="204"/>
      <c r="GC566" s="339"/>
      <c r="GD566" s="342"/>
      <c r="GE566" s="199"/>
      <c r="GF566" s="199"/>
      <c r="GG566" s="199"/>
      <c r="GH566" s="199"/>
      <c r="GI566" s="199"/>
      <c r="GJ566" s="199"/>
      <c r="GK566" s="199"/>
      <c r="GO566" s="322"/>
      <c r="GP566" s="1190"/>
      <c r="GQ566" s="1190"/>
      <c r="GS566" s="2879"/>
      <c r="GT566" s="2880"/>
      <c r="GU566" s="2881"/>
    </row>
    <row r="567" spans="1:203" ht="12" customHeight="1">
      <c r="A567" s="1252"/>
      <c r="B567" s="200"/>
      <c r="C567" s="486"/>
      <c r="T567" s="1186"/>
      <c r="U567" s="233"/>
      <c r="W567" s="218"/>
      <c r="X567" s="218"/>
      <c r="Y567" s="216"/>
      <c r="Z567" s="216"/>
      <c r="AA567" s="215"/>
      <c r="AB567" s="216"/>
      <c r="AC567" s="216"/>
      <c r="AD567" s="239"/>
      <c r="AE567" s="216"/>
      <c r="AF567" s="216"/>
      <c r="AG567" s="216"/>
      <c r="AH567" s="216"/>
      <c r="AI567" s="216"/>
      <c r="AJ567" s="216"/>
      <c r="AK567" s="239"/>
      <c r="AL567" s="216"/>
      <c r="AM567" s="216"/>
      <c r="AN567" s="216"/>
      <c r="AO567" s="216"/>
      <c r="AP567" s="216"/>
      <c r="AQ567" s="216"/>
      <c r="AR567" s="216"/>
      <c r="AS567" s="216"/>
      <c r="AT567" s="216"/>
      <c r="AU567" s="216"/>
      <c r="AV567" s="217"/>
      <c r="AW567" s="355"/>
      <c r="AX567" s="217"/>
      <c r="AY567" s="305"/>
      <c r="AZ567" s="249"/>
      <c r="BA567" s="221"/>
      <c r="BB567" s="300"/>
      <c r="BC567" s="217"/>
      <c r="BD567" s="392"/>
      <c r="BE567" s="1244"/>
      <c r="BF567" s="249"/>
      <c r="BG567" s="252"/>
      <c r="BH567" s="1469"/>
      <c r="BI567" s="216"/>
      <c r="BJ567" s="1469"/>
      <c r="BK567" s="1459"/>
      <c r="BL567" s="260"/>
      <c r="BM567" s="214"/>
      <c r="BN567" s="293"/>
      <c r="BO567" s="217"/>
      <c r="BP567" s="355"/>
      <c r="BQ567" s="217"/>
      <c r="BR567" s="1193"/>
      <c r="BS567" s="249"/>
      <c r="BT567" s="216"/>
      <c r="BU567" s="1195"/>
      <c r="BV567" s="249"/>
      <c r="BW567" s="216"/>
      <c r="BX567" s="1195"/>
      <c r="BY567" s="249"/>
      <c r="BZ567" s="216"/>
      <c r="CA567" s="1195"/>
      <c r="CB567" s="249"/>
      <c r="CC567" s="216"/>
      <c r="CD567" s="1195"/>
      <c r="CE567" s="249"/>
      <c r="CF567" s="216"/>
      <c r="CG567" s="1195"/>
      <c r="CH567" s="249"/>
      <c r="CI567" s="216"/>
      <c r="CJ567" s="1195"/>
      <c r="CK567" s="249"/>
      <c r="CL567" s="216"/>
      <c r="CM567" s="1194"/>
      <c r="CN567" s="1524"/>
      <c r="CO567" s="217"/>
      <c r="CP567" s="1193"/>
      <c r="CQ567" s="293"/>
      <c r="CR567" s="217"/>
      <c r="CS567" s="305"/>
      <c r="CT567" s="249"/>
      <c r="CU567" s="216"/>
      <c r="CV567" s="1193"/>
      <c r="CW567" s="249"/>
      <c r="CX567" s="216"/>
      <c r="CY567" s="305"/>
      <c r="CZ567" s="249"/>
      <c r="DA567" s="216"/>
      <c r="DB567" s="307"/>
      <c r="DC567" s="328"/>
      <c r="DD567" s="322"/>
      <c r="DE567" s="305"/>
      <c r="DF567" s="249"/>
      <c r="DG567" s="216"/>
      <c r="DH567" s="305"/>
      <c r="DI567" s="249"/>
      <c r="DJ567" s="216"/>
      <c r="DK567" s="309"/>
      <c r="DL567" s="293"/>
      <c r="DM567" s="326"/>
      <c r="DN567" s="1256"/>
      <c r="DO567" s="214"/>
      <c r="DP567" s="1257"/>
      <c r="DQ567" s="1258"/>
      <c r="DR567" s="305"/>
      <c r="DS567" s="249"/>
      <c r="DT567" s="216"/>
      <c r="DU567" s="305"/>
      <c r="DV567" s="2520"/>
      <c r="DW567" s="2521"/>
      <c r="DX567" s="305"/>
      <c r="DY567" s="249"/>
      <c r="DZ567" s="221"/>
      <c r="EA567" s="388"/>
      <c r="EB567" s="249"/>
      <c r="EC567" s="216"/>
      <c r="ED567" s="1461"/>
      <c r="EE567" s="249"/>
      <c r="EF567" s="216"/>
      <c r="EG567" s="355"/>
      <c r="EH567" s="1425"/>
      <c r="EI567" s="1470"/>
      <c r="EJ567" s="249"/>
      <c r="EK567" s="221"/>
      <c r="EL567" s="313"/>
      <c r="EM567" s="249"/>
      <c r="EN567" s="221"/>
      <c r="EO567" s="313"/>
      <c r="EP567" s="249"/>
      <c r="EQ567" s="216"/>
      <c r="ER567" s="313"/>
      <c r="ES567" s="249"/>
      <c r="ET567" s="216"/>
      <c r="EU567" s="313"/>
      <c r="EV567" s="249"/>
      <c r="EW567" s="216"/>
      <c r="EX567" s="2505"/>
      <c r="EY567" s="249"/>
      <c r="EZ567" s="221"/>
      <c r="FA567" s="313"/>
      <c r="FB567" s="249"/>
      <c r="FC567" s="221"/>
      <c r="FD567" s="313"/>
      <c r="FE567" s="249"/>
      <c r="FF567" s="221"/>
      <c r="FG567" s="313"/>
      <c r="FH567" s="249"/>
      <c r="FI567" s="216"/>
      <c r="FJ567" s="1435"/>
      <c r="FK567" s="216"/>
      <c r="FL567" s="1268"/>
      <c r="FM567" s="1655"/>
      <c r="FN567" s="1268"/>
      <c r="FO567" s="1655"/>
      <c r="FP567" s="1268"/>
      <c r="FQ567" s="1656"/>
      <c r="FR567" s="249"/>
      <c r="FS567" s="216"/>
      <c r="FT567" s="1657"/>
      <c r="FU567" s="1658"/>
      <c r="FV567" s="242"/>
      <c r="FW567" s="343"/>
      <c r="FX567" s="222"/>
      <c r="FY567" s="336"/>
      <c r="FZ567" s="223"/>
      <c r="GA567" s="338"/>
      <c r="GB567" s="204"/>
      <c r="GC567" s="339"/>
      <c r="GD567" s="342"/>
      <c r="GE567" s="199"/>
      <c r="GF567" s="199"/>
      <c r="GG567" s="199"/>
      <c r="GH567" s="199"/>
      <c r="GI567" s="199"/>
      <c r="GJ567" s="199"/>
      <c r="GK567" s="199"/>
      <c r="GO567" s="322"/>
      <c r="GP567" s="1190"/>
      <c r="GQ567" s="1190"/>
      <c r="GS567" s="2879"/>
      <c r="GT567" s="2880"/>
      <c r="GU567" s="2881"/>
    </row>
    <row r="568" spans="1:203" ht="12" customHeight="1">
      <c r="A568" s="1252"/>
      <c r="B568" s="200"/>
      <c r="C568" s="486"/>
      <c r="T568" s="1186"/>
      <c r="U568" s="233"/>
      <c r="W568" s="218"/>
      <c r="X568" s="218"/>
      <c r="Y568" s="216"/>
      <c r="Z568" s="216"/>
      <c r="AA568" s="215"/>
      <c r="AB568" s="216"/>
      <c r="AC568" s="216"/>
      <c r="AD568" s="239"/>
      <c r="AE568" s="216"/>
      <c r="AF568" s="216"/>
      <c r="AG568" s="216"/>
      <c r="AH568" s="216"/>
      <c r="AI568" s="216"/>
      <c r="AJ568" s="216"/>
      <c r="AK568" s="239"/>
      <c r="AL568" s="216"/>
      <c r="AM568" s="216"/>
      <c r="AN568" s="216"/>
      <c r="AO568" s="216"/>
      <c r="AP568" s="216"/>
      <c r="AQ568" s="216"/>
      <c r="AR568" s="216"/>
      <c r="AS568" s="216"/>
      <c r="AT568" s="216"/>
      <c r="AU568" s="216"/>
      <c r="AV568" s="217"/>
      <c r="AW568" s="355"/>
      <c r="AX568" s="217"/>
      <c r="AY568" s="305"/>
      <c r="AZ568" s="249"/>
      <c r="BA568" s="221"/>
      <c r="BB568" s="300"/>
      <c r="BC568" s="217"/>
      <c r="BD568" s="392"/>
      <c r="BE568" s="1244"/>
      <c r="BF568" s="249"/>
      <c r="BG568" s="252"/>
      <c r="BH568" s="1469"/>
      <c r="BI568" s="216"/>
      <c r="BJ568" s="1469"/>
      <c r="BK568" s="1459"/>
      <c r="BL568" s="260"/>
      <c r="BM568" s="214"/>
      <c r="BN568" s="293"/>
      <c r="BO568" s="217"/>
      <c r="BP568" s="355"/>
      <c r="BQ568" s="217"/>
      <c r="BR568" s="1193"/>
      <c r="BS568" s="249"/>
      <c r="BT568" s="216"/>
      <c r="BU568" s="1195"/>
      <c r="BV568" s="249"/>
      <c r="BW568" s="216"/>
      <c r="BX568" s="1195"/>
      <c r="BY568" s="249"/>
      <c r="BZ568" s="216"/>
      <c r="CA568" s="1195"/>
      <c r="CB568" s="249"/>
      <c r="CC568" s="216"/>
      <c r="CD568" s="1195"/>
      <c r="CE568" s="249"/>
      <c r="CF568" s="216"/>
      <c r="CG568" s="1195"/>
      <c r="CH568" s="249"/>
      <c r="CI568" s="216"/>
      <c r="CJ568" s="1195"/>
      <c r="CK568" s="249"/>
      <c r="CL568" s="216"/>
      <c r="CM568" s="1194"/>
      <c r="CN568" s="1524"/>
      <c r="CO568" s="217"/>
      <c r="CP568" s="1193"/>
      <c r="CQ568" s="293"/>
      <c r="CR568" s="217"/>
      <c r="CS568" s="305"/>
      <c r="CT568" s="249"/>
      <c r="CU568" s="216"/>
      <c r="CV568" s="1193"/>
      <c r="CW568" s="249"/>
      <c r="CX568" s="216"/>
      <c r="CY568" s="305"/>
      <c r="CZ568" s="249"/>
      <c r="DA568" s="216"/>
      <c r="DB568" s="307"/>
      <c r="DC568" s="328"/>
      <c r="DD568" s="322"/>
      <c r="DE568" s="305"/>
      <c r="DF568" s="249"/>
      <c r="DG568" s="216"/>
      <c r="DH568" s="305"/>
      <c r="DI568" s="249"/>
      <c r="DJ568" s="216"/>
      <c r="DK568" s="309"/>
      <c r="DL568" s="293"/>
      <c r="DM568" s="326"/>
      <c r="DN568" s="1256"/>
      <c r="DO568" s="214"/>
      <c r="DP568" s="1257"/>
      <c r="DQ568" s="1258"/>
      <c r="DR568" s="305"/>
      <c r="DS568" s="249"/>
      <c r="DT568" s="216"/>
      <c r="DU568" s="305"/>
      <c r="DV568" s="2520"/>
      <c r="DW568" s="2521"/>
      <c r="DX568" s="305"/>
      <c r="DY568" s="249"/>
      <c r="DZ568" s="221"/>
      <c r="EA568" s="388"/>
      <c r="EB568" s="249"/>
      <c r="EC568" s="216"/>
      <c r="ED568" s="1461"/>
      <c r="EE568" s="249"/>
      <c r="EF568" s="216"/>
      <c r="EG568" s="355"/>
      <c r="EH568" s="1425"/>
      <c r="EI568" s="1470"/>
      <c r="EJ568" s="249"/>
      <c r="EK568" s="221"/>
      <c r="EL568" s="313"/>
      <c r="EM568" s="249"/>
      <c r="EN568" s="221"/>
      <c r="EO568" s="313"/>
      <c r="EP568" s="249"/>
      <c r="EQ568" s="216"/>
      <c r="ER568" s="313"/>
      <c r="ES568" s="249"/>
      <c r="ET568" s="216"/>
      <c r="EU568" s="313"/>
      <c r="EV568" s="249"/>
      <c r="EW568" s="216"/>
      <c r="EX568" s="2505"/>
      <c r="EY568" s="249"/>
      <c r="EZ568" s="221"/>
      <c r="FA568" s="313"/>
      <c r="FB568" s="249"/>
      <c r="FC568" s="221"/>
      <c r="FD568" s="313"/>
      <c r="FE568" s="249"/>
      <c r="FF568" s="221"/>
      <c r="FG568" s="313"/>
      <c r="FH568" s="249"/>
      <c r="FI568" s="216"/>
      <c r="FJ568" s="1435"/>
      <c r="FK568" s="216"/>
      <c r="FL568" s="1268"/>
      <c r="FM568" s="1655"/>
      <c r="FN568" s="1268"/>
      <c r="FO568" s="1655"/>
      <c r="FP568" s="1268"/>
      <c r="FQ568" s="1656"/>
      <c r="FR568" s="249"/>
      <c r="FS568" s="216"/>
      <c r="FT568" s="1657"/>
      <c r="FU568" s="1658"/>
      <c r="FV568" s="242"/>
      <c r="FW568" s="343"/>
      <c r="FX568" s="222"/>
      <c r="FY568" s="336"/>
      <c r="FZ568" s="223"/>
      <c r="GA568" s="338"/>
      <c r="GB568" s="204"/>
      <c r="GC568" s="339"/>
      <c r="GD568" s="342"/>
      <c r="GE568" s="199"/>
      <c r="GF568" s="199"/>
      <c r="GG568" s="199"/>
      <c r="GH568" s="199"/>
      <c r="GI568" s="199"/>
      <c r="GJ568" s="199"/>
      <c r="GK568" s="199"/>
      <c r="GO568" s="322"/>
      <c r="GP568" s="1190"/>
      <c r="GQ568" s="1190"/>
      <c r="GS568" s="2879"/>
      <c r="GT568" s="2880"/>
      <c r="GU568" s="2881"/>
    </row>
    <row r="569" spans="1:203" ht="12" customHeight="1">
      <c r="A569" s="1252"/>
      <c r="B569" s="200"/>
      <c r="C569" s="486"/>
      <c r="T569" s="1186"/>
      <c r="U569" s="233"/>
      <c r="W569" s="218"/>
      <c r="X569" s="218"/>
      <c r="Y569" s="216"/>
      <c r="Z569" s="216"/>
      <c r="AA569" s="215"/>
      <c r="AB569" s="216"/>
      <c r="AC569" s="216"/>
      <c r="AD569" s="239"/>
      <c r="AE569" s="216"/>
      <c r="AF569" s="216"/>
      <c r="AG569" s="216"/>
      <c r="AH569" s="216"/>
      <c r="AI569" s="216"/>
      <c r="AJ569" s="216"/>
      <c r="AK569" s="239"/>
      <c r="AL569" s="216"/>
      <c r="AM569" s="216"/>
      <c r="AN569" s="216"/>
      <c r="AO569" s="216"/>
      <c r="AP569" s="216"/>
      <c r="AQ569" s="216"/>
      <c r="AR569" s="216"/>
      <c r="AS569" s="216"/>
      <c r="AT569" s="216"/>
      <c r="AU569" s="216"/>
      <c r="AV569" s="217"/>
      <c r="AW569" s="355"/>
      <c r="AX569" s="217"/>
      <c r="AY569" s="305"/>
      <c r="AZ569" s="249"/>
      <c r="BA569" s="221"/>
      <c r="BB569" s="300"/>
      <c r="BC569" s="217"/>
      <c r="BD569" s="392"/>
      <c r="BE569" s="1244"/>
      <c r="BF569" s="249"/>
      <c r="BG569" s="252"/>
      <c r="BH569" s="1469"/>
      <c r="BI569" s="216"/>
      <c r="BJ569" s="1469"/>
      <c r="BK569" s="1459"/>
      <c r="BL569" s="260"/>
      <c r="BM569" s="214"/>
      <c r="BN569" s="293"/>
      <c r="BO569" s="217"/>
      <c r="BP569" s="355"/>
      <c r="BQ569" s="217"/>
      <c r="BR569" s="1193"/>
      <c r="BS569" s="249"/>
      <c r="BT569" s="216"/>
      <c r="BU569" s="1195"/>
      <c r="BV569" s="249"/>
      <c r="BW569" s="216"/>
      <c r="BX569" s="1195"/>
      <c r="BY569" s="249"/>
      <c r="BZ569" s="216"/>
      <c r="CA569" s="1195"/>
      <c r="CB569" s="249"/>
      <c r="CC569" s="216"/>
      <c r="CD569" s="1195"/>
      <c r="CE569" s="249"/>
      <c r="CF569" s="216"/>
      <c r="CG569" s="1195"/>
      <c r="CH569" s="249"/>
      <c r="CI569" s="216"/>
      <c r="CJ569" s="1195"/>
      <c r="CK569" s="249"/>
      <c r="CL569" s="216"/>
      <c r="CM569" s="1194"/>
      <c r="CN569" s="1524"/>
      <c r="CO569" s="217"/>
      <c r="CP569" s="1193"/>
      <c r="CQ569" s="293"/>
      <c r="CR569" s="217"/>
      <c r="CS569" s="305"/>
      <c r="CT569" s="249"/>
      <c r="CU569" s="216"/>
      <c r="CV569" s="1193"/>
      <c r="CW569" s="249"/>
      <c r="CX569" s="216"/>
      <c r="CY569" s="305"/>
      <c r="CZ569" s="249"/>
      <c r="DA569" s="216"/>
      <c r="DB569" s="307"/>
      <c r="DC569" s="328"/>
      <c r="DD569" s="322"/>
      <c r="DE569" s="305"/>
      <c r="DF569" s="249"/>
      <c r="DG569" s="216"/>
      <c r="DH569" s="305"/>
      <c r="DI569" s="249"/>
      <c r="DJ569" s="216"/>
      <c r="DK569" s="309"/>
      <c r="DL569" s="293"/>
      <c r="DM569" s="326"/>
      <c r="DN569" s="1256"/>
      <c r="DO569" s="214"/>
      <c r="DP569" s="1257"/>
      <c r="DQ569" s="1258"/>
      <c r="DR569" s="305"/>
      <c r="DS569" s="249"/>
      <c r="DT569" s="216"/>
      <c r="DU569" s="305"/>
      <c r="DV569" s="2520"/>
      <c r="DW569" s="2521"/>
      <c r="DX569" s="305"/>
      <c r="DY569" s="249"/>
      <c r="DZ569" s="221"/>
      <c r="EA569" s="388"/>
      <c r="EB569" s="249"/>
      <c r="EC569" s="216"/>
      <c r="ED569" s="1461"/>
      <c r="EE569" s="249"/>
      <c r="EF569" s="216"/>
      <c r="EG569" s="355"/>
      <c r="EH569" s="1425"/>
      <c r="EI569" s="1470"/>
      <c r="EJ569" s="249"/>
      <c r="EK569" s="221"/>
      <c r="EL569" s="313"/>
      <c r="EM569" s="249"/>
      <c r="EN569" s="221"/>
      <c r="EO569" s="313"/>
      <c r="EP569" s="249"/>
      <c r="EQ569" s="216"/>
      <c r="ER569" s="313"/>
      <c r="ES569" s="249"/>
      <c r="ET569" s="216"/>
      <c r="EU569" s="313"/>
      <c r="EV569" s="249"/>
      <c r="EW569" s="216"/>
      <c r="EX569" s="2505"/>
      <c r="EY569" s="249"/>
      <c r="EZ569" s="221"/>
      <c r="FA569" s="313"/>
      <c r="FB569" s="249"/>
      <c r="FC569" s="221"/>
      <c r="FD569" s="313"/>
      <c r="FE569" s="249"/>
      <c r="FF569" s="221"/>
      <c r="FG569" s="313"/>
      <c r="FH569" s="249"/>
      <c r="FI569" s="216"/>
      <c r="FJ569" s="1435"/>
      <c r="FK569" s="216"/>
      <c r="FL569" s="1268"/>
      <c r="FM569" s="1655"/>
      <c r="FN569" s="1268"/>
      <c r="FO569" s="1655"/>
      <c r="FP569" s="1268"/>
      <c r="FQ569" s="1656"/>
      <c r="FR569" s="249"/>
      <c r="FS569" s="216"/>
      <c r="FT569" s="1657"/>
      <c r="FU569" s="1658"/>
      <c r="FV569" s="242"/>
      <c r="FW569" s="343"/>
      <c r="FX569" s="222"/>
      <c r="FY569" s="336"/>
      <c r="FZ569" s="223"/>
      <c r="GA569" s="338"/>
      <c r="GB569" s="204"/>
      <c r="GC569" s="339"/>
      <c r="GD569" s="342"/>
      <c r="GE569" s="199"/>
      <c r="GF569" s="199"/>
      <c r="GG569" s="199"/>
      <c r="GH569" s="199"/>
      <c r="GI569" s="199"/>
      <c r="GJ569" s="199"/>
      <c r="GK569" s="199"/>
      <c r="GO569" s="322"/>
      <c r="GP569" s="1190"/>
      <c r="GQ569" s="1190"/>
      <c r="GS569" s="2879"/>
      <c r="GT569" s="2880"/>
      <c r="GU569" s="2881"/>
    </row>
    <row r="570" spans="1:203" ht="12" customHeight="1">
      <c r="A570" s="1252"/>
      <c r="B570" s="200"/>
      <c r="C570" s="486"/>
      <c r="T570" s="1186"/>
      <c r="U570" s="233"/>
      <c r="W570" s="218"/>
      <c r="X570" s="218"/>
      <c r="Y570" s="216"/>
      <c r="Z570" s="216"/>
      <c r="AA570" s="215"/>
      <c r="AB570" s="216"/>
      <c r="AC570" s="216"/>
      <c r="AD570" s="239"/>
      <c r="AE570" s="216"/>
      <c r="AF570" s="216"/>
      <c r="AG570" s="216"/>
      <c r="AH570" s="216"/>
      <c r="AI570" s="216"/>
      <c r="AJ570" s="216"/>
      <c r="AK570" s="239"/>
      <c r="AL570" s="216"/>
      <c r="AM570" s="216"/>
      <c r="AN570" s="216"/>
      <c r="AO570" s="216"/>
      <c r="AP570" s="216"/>
      <c r="AQ570" s="216"/>
      <c r="AR570" s="216"/>
      <c r="AS570" s="216"/>
      <c r="AT570" s="216"/>
      <c r="AU570" s="216"/>
      <c r="AV570" s="217"/>
      <c r="AW570" s="355"/>
      <c r="AX570" s="217"/>
      <c r="AY570" s="305"/>
      <c r="AZ570" s="249"/>
      <c r="BA570" s="221"/>
      <c r="BB570" s="300"/>
      <c r="BC570" s="217"/>
      <c r="BD570" s="392"/>
      <c r="BE570" s="1244"/>
      <c r="BF570" s="249"/>
      <c r="BG570" s="252"/>
      <c r="BH570" s="1469"/>
      <c r="BI570" s="216"/>
      <c r="BJ570" s="1469"/>
      <c r="BK570" s="1459"/>
      <c r="BL570" s="260"/>
      <c r="BM570" s="214"/>
      <c r="BN570" s="293"/>
      <c r="BO570" s="217"/>
      <c r="BP570" s="355"/>
      <c r="BQ570" s="217"/>
      <c r="BR570" s="1193"/>
      <c r="BS570" s="249"/>
      <c r="BT570" s="216"/>
      <c r="BU570" s="1195"/>
      <c r="BV570" s="249"/>
      <c r="BW570" s="216"/>
      <c r="BX570" s="1195"/>
      <c r="BY570" s="249"/>
      <c r="BZ570" s="216"/>
      <c r="CA570" s="1195"/>
      <c r="CB570" s="249"/>
      <c r="CC570" s="216"/>
      <c r="CD570" s="1195"/>
      <c r="CE570" s="249"/>
      <c r="CF570" s="216"/>
      <c r="CG570" s="1195"/>
      <c r="CH570" s="249"/>
      <c r="CI570" s="216"/>
      <c r="CJ570" s="1195"/>
      <c r="CK570" s="249"/>
      <c r="CL570" s="216"/>
      <c r="CM570" s="1194"/>
      <c r="CN570" s="1524"/>
      <c r="CO570" s="217"/>
      <c r="CP570" s="1193"/>
      <c r="CQ570" s="293"/>
      <c r="CR570" s="217"/>
      <c r="CS570" s="305"/>
      <c r="CT570" s="249"/>
      <c r="CU570" s="216"/>
      <c r="CV570" s="1193"/>
      <c r="CW570" s="249"/>
      <c r="CX570" s="216"/>
      <c r="CY570" s="305"/>
      <c r="CZ570" s="249"/>
      <c r="DA570" s="216"/>
      <c r="DB570" s="307"/>
      <c r="DC570" s="328"/>
      <c r="DD570" s="322"/>
      <c r="DE570" s="305"/>
      <c r="DF570" s="249"/>
      <c r="DG570" s="216"/>
      <c r="DH570" s="305"/>
      <c r="DI570" s="249"/>
      <c r="DJ570" s="216"/>
      <c r="DK570" s="309"/>
      <c r="DL570" s="293"/>
      <c r="DM570" s="326"/>
      <c r="DN570" s="1256"/>
      <c r="DO570" s="214"/>
      <c r="DP570" s="1257"/>
      <c r="DQ570" s="1258"/>
      <c r="DR570" s="305"/>
      <c r="DS570" s="249"/>
      <c r="DT570" s="216"/>
      <c r="DU570" s="305"/>
      <c r="DV570" s="2520"/>
      <c r="DW570" s="2521"/>
      <c r="DX570" s="305"/>
      <c r="DY570" s="249"/>
      <c r="DZ570" s="221"/>
      <c r="EA570" s="388"/>
      <c r="EB570" s="249"/>
      <c r="EC570" s="216"/>
      <c r="ED570" s="1461"/>
      <c r="EE570" s="249"/>
      <c r="EF570" s="216"/>
      <c r="EG570" s="355"/>
      <c r="EH570" s="1425"/>
      <c r="EI570" s="1470"/>
      <c r="EJ570" s="249"/>
      <c r="EK570" s="221"/>
      <c r="EL570" s="313"/>
      <c r="EM570" s="249"/>
      <c r="EN570" s="221"/>
      <c r="EO570" s="313"/>
      <c r="EP570" s="249"/>
      <c r="EQ570" s="216"/>
      <c r="ER570" s="313"/>
      <c r="ES570" s="249"/>
      <c r="ET570" s="216"/>
      <c r="EU570" s="313"/>
      <c r="EV570" s="249"/>
      <c r="EW570" s="216"/>
      <c r="EX570" s="2505"/>
      <c r="EY570" s="249"/>
      <c r="EZ570" s="221"/>
      <c r="FA570" s="313"/>
      <c r="FB570" s="249"/>
      <c r="FC570" s="221"/>
      <c r="FD570" s="313"/>
      <c r="FE570" s="249"/>
      <c r="FF570" s="221"/>
      <c r="FG570" s="313"/>
      <c r="FH570" s="249"/>
      <c r="FI570" s="216"/>
      <c r="FJ570" s="1435"/>
      <c r="FK570" s="216"/>
      <c r="FL570" s="1268"/>
      <c r="FM570" s="1655"/>
      <c r="FN570" s="1268"/>
      <c r="FO570" s="1655"/>
      <c r="FP570" s="1268"/>
      <c r="FQ570" s="1656"/>
      <c r="FR570" s="249"/>
      <c r="FS570" s="216"/>
      <c r="FT570" s="1657"/>
      <c r="FU570" s="1658"/>
      <c r="FV570" s="242"/>
      <c r="FW570" s="343"/>
      <c r="FX570" s="222"/>
      <c r="FY570" s="336"/>
      <c r="FZ570" s="223"/>
      <c r="GA570" s="338"/>
      <c r="GB570" s="204"/>
      <c r="GC570" s="339"/>
      <c r="GD570" s="342"/>
      <c r="GE570" s="199"/>
      <c r="GF570" s="199"/>
      <c r="GG570" s="199"/>
      <c r="GH570" s="199"/>
      <c r="GI570" s="199"/>
      <c r="GJ570" s="199"/>
      <c r="GK570" s="199"/>
      <c r="GO570" s="322"/>
      <c r="GP570" s="1190"/>
      <c r="GQ570" s="1190"/>
      <c r="GS570" s="2879"/>
      <c r="GT570" s="2880"/>
      <c r="GU570" s="2881"/>
    </row>
    <row r="571" spans="1:203" ht="12" customHeight="1">
      <c r="A571" s="1252"/>
      <c r="B571" s="200"/>
      <c r="C571" s="486"/>
      <c r="T571" s="1186"/>
      <c r="U571" s="233"/>
      <c r="W571" s="218"/>
      <c r="X571" s="218"/>
      <c r="Y571" s="216"/>
      <c r="Z571" s="216"/>
      <c r="AA571" s="215"/>
      <c r="AB571" s="216"/>
      <c r="AC571" s="216"/>
      <c r="AD571" s="239"/>
      <c r="AE571" s="216"/>
      <c r="AF571" s="216"/>
      <c r="AG571" s="216"/>
      <c r="AH571" s="216"/>
      <c r="AI571" s="216"/>
      <c r="AJ571" s="216"/>
      <c r="AK571" s="239"/>
      <c r="AL571" s="216"/>
      <c r="AM571" s="216"/>
      <c r="AN571" s="216"/>
      <c r="AO571" s="216"/>
      <c r="AP571" s="216"/>
      <c r="AQ571" s="216"/>
      <c r="AR571" s="216"/>
      <c r="AS571" s="216"/>
      <c r="AT571" s="216"/>
      <c r="AU571" s="216"/>
      <c r="AV571" s="217"/>
      <c r="AW571" s="355"/>
      <c r="AX571" s="217"/>
      <c r="AY571" s="305"/>
      <c r="AZ571" s="249"/>
      <c r="BA571" s="221"/>
      <c r="BB571" s="300"/>
      <c r="BC571" s="217"/>
      <c r="BD571" s="392"/>
      <c r="BE571" s="1244"/>
      <c r="BF571" s="249"/>
      <c r="BG571" s="252"/>
      <c r="BH571" s="1469"/>
      <c r="BI571" s="216"/>
      <c r="BJ571" s="1469"/>
      <c r="BK571" s="1459"/>
      <c r="BL571" s="260"/>
      <c r="BM571" s="214"/>
      <c r="BN571" s="293"/>
      <c r="BO571" s="217"/>
      <c r="BP571" s="355"/>
      <c r="BQ571" s="217"/>
      <c r="BR571" s="1193"/>
      <c r="BS571" s="249"/>
      <c r="BT571" s="216"/>
      <c r="BU571" s="1195"/>
      <c r="BV571" s="249"/>
      <c r="BW571" s="216"/>
      <c r="BX571" s="1195"/>
      <c r="BY571" s="249"/>
      <c r="BZ571" s="216"/>
      <c r="CA571" s="1195"/>
      <c r="CB571" s="249"/>
      <c r="CC571" s="216"/>
      <c r="CD571" s="1195"/>
      <c r="CE571" s="249"/>
      <c r="CF571" s="216"/>
      <c r="CG571" s="1195"/>
      <c r="CH571" s="249"/>
      <c r="CI571" s="216"/>
      <c r="CJ571" s="1195"/>
      <c r="CK571" s="249"/>
      <c r="CL571" s="216"/>
      <c r="CM571" s="1194"/>
      <c r="CN571" s="1524"/>
      <c r="CO571" s="217"/>
      <c r="CP571" s="1193"/>
      <c r="CQ571" s="293"/>
      <c r="CR571" s="217"/>
      <c r="CS571" s="305"/>
      <c r="CT571" s="249"/>
      <c r="CU571" s="216"/>
      <c r="CV571" s="1193"/>
      <c r="CW571" s="249"/>
      <c r="CX571" s="216"/>
      <c r="CY571" s="305"/>
      <c r="CZ571" s="249"/>
      <c r="DA571" s="216"/>
      <c r="DB571" s="307"/>
      <c r="DC571" s="328"/>
      <c r="DD571" s="322"/>
      <c r="DE571" s="305"/>
      <c r="DF571" s="249"/>
      <c r="DG571" s="216"/>
      <c r="DH571" s="305"/>
      <c r="DI571" s="249"/>
      <c r="DJ571" s="216"/>
      <c r="DK571" s="309"/>
      <c r="DL571" s="293"/>
      <c r="DM571" s="326"/>
      <c r="DN571" s="1256"/>
      <c r="DO571" s="214"/>
      <c r="DP571" s="1257"/>
      <c r="DQ571" s="1258"/>
      <c r="DR571" s="305"/>
      <c r="DS571" s="249"/>
      <c r="DT571" s="216"/>
      <c r="DU571" s="305"/>
      <c r="DV571" s="2520"/>
      <c r="DW571" s="2521"/>
      <c r="DX571" s="305"/>
      <c r="DY571" s="249"/>
      <c r="DZ571" s="221"/>
      <c r="EA571" s="388"/>
      <c r="EB571" s="249"/>
      <c r="EC571" s="216"/>
      <c r="ED571" s="1461"/>
      <c r="EE571" s="249"/>
      <c r="EF571" s="216"/>
      <c r="EG571" s="355"/>
      <c r="EH571" s="1425"/>
      <c r="EI571" s="1470"/>
      <c r="EJ571" s="249"/>
      <c r="EK571" s="221"/>
      <c r="EL571" s="313"/>
      <c r="EM571" s="249"/>
      <c r="EN571" s="221"/>
      <c r="EO571" s="313"/>
      <c r="EP571" s="249"/>
      <c r="EQ571" s="216"/>
      <c r="ER571" s="313"/>
      <c r="ES571" s="249"/>
      <c r="ET571" s="216"/>
      <c r="EU571" s="313"/>
      <c r="EV571" s="249"/>
      <c r="EW571" s="216"/>
      <c r="EX571" s="2505"/>
      <c r="EY571" s="249"/>
      <c r="EZ571" s="221"/>
      <c r="FA571" s="313"/>
      <c r="FB571" s="249"/>
      <c r="FC571" s="221"/>
      <c r="FD571" s="313"/>
      <c r="FE571" s="249"/>
      <c r="FF571" s="221"/>
      <c r="FG571" s="313"/>
      <c r="FH571" s="249"/>
      <c r="FI571" s="216"/>
      <c r="FJ571" s="1435"/>
      <c r="FK571" s="216"/>
      <c r="FL571" s="1268"/>
      <c r="FM571" s="1655"/>
      <c r="FN571" s="1268"/>
      <c r="FO571" s="1655"/>
      <c r="FP571" s="1268"/>
      <c r="FQ571" s="1656"/>
      <c r="FR571" s="249"/>
      <c r="FS571" s="216"/>
      <c r="FT571" s="1657"/>
      <c r="FU571" s="1658"/>
      <c r="FV571" s="242"/>
      <c r="FW571" s="343"/>
      <c r="FX571" s="222"/>
      <c r="FY571" s="336"/>
      <c r="FZ571" s="223"/>
      <c r="GA571" s="338"/>
      <c r="GB571" s="204"/>
      <c r="GC571" s="339"/>
      <c r="GD571" s="342"/>
      <c r="GE571" s="199"/>
      <c r="GF571" s="199"/>
      <c r="GG571" s="199"/>
      <c r="GH571" s="199"/>
      <c r="GI571" s="199"/>
      <c r="GJ571" s="199"/>
      <c r="GK571" s="199"/>
      <c r="GO571" s="322"/>
      <c r="GP571" s="1190"/>
      <c r="GQ571" s="1190"/>
      <c r="GS571" s="2879"/>
      <c r="GT571" s="2880"/>
      <c r="GU571" s="2881"/>
    </row>
    <row r="572" spans="1:203" ht="12" customHeight="1">
      <c r="A572" s="1252"/>
      <c r="B572" s="200"/>
      <c r="C572" s="486"/>
      <c r="T572" s="1186"/>
      <c r="U572" s="233"/>
      <c r="W572" s="218"/>
      <c r="X572" s="218"/>
      <c r="Y572" s="216"/>
      <c r="Z572" s="216"/>
      <c r="AA572" s="215"/>
      <c r="AB572" s="216"/>
      <c r="AC572" s="216"/>
      <c r="AD572" s="239"/>
      <c r="AE572" s="216"/>
      <c r="AF572" s="216"/>
      <c r="AG572" s="216"/>
      <c r="AH572" s="216"/>
      <c r="AI572" s="216"/>
      <c r="AJ572" s="216"/>
      <c r="AK572" s="239"/>
      <c r="AL572" s="216"/>
      <c r="AM572" s="216"/>
      <c r="AN572" s="216"/>
      <c r="AO572" s="216"/>
      <c r="AP572" s="216"/>
      <c r="AQ572" s="216"/>
      <c r="AR572" s="216"/>
      <c r="AS572" s="216"/>
      <c r="AT572" s="216"/>
      <c r="AU572" s="216"/>
      <c r="AV572" s="217"/>
      <c r="AW572" s="355"/>
      <c r="AX572" s="217"/>
      <c r="AY572" s="305"/>
      <c r="AZ572" s="249"/>
      <c r="BA572" s="221"/>
      <c r="BB572" s="300"/>
      <c r="BC572" s="217"/>
      <c r="BD572" s="392"/>
      <c r="BE572" s="1244"/>
      <c r="BF572" s="249"/>
      <c r="BG572" s="252"/>
      <c r="BH572" s="1469"/>
      <c r="BI572" s="216"/>
      <c r="BJ572" s="1469"/>
      <c r="BK572" s="1459"/>
      <c r="BL572" s="260"/>
      <c r="BM572" s="214"/>
      <c r="BN572" s="293"/>
      <c r="BO572" s="217"/>
      <c r="BP572" s="355"/>
      <c r="BQ572" s="217"/>
      <c r="BR572" s="1193"/>
      <c r="BS572" s="249"/>
      <c r="BT572" s="216"/>
      <c r="BU572" s="1195"/>
      <c r="BV572" s="249"/>
      <c r="BW572" s="216"/>
      <c r="BX572" s="1195"/>
      <c r="BY572" s="249"/>
      <c r="BZ572" s="216"/>
      <c r="CA572" s="1195"/>
      <c r="CB572" s="249"/>
      <c r="CC572" s="216"/>
      <c r="CD572" s="1195"/>
      <c r="CE572" s="249"/>
      <c r="CF572" s="216"/>
      <c r="CG572" s="1195"/>
      <c r="CH572" s="249"/>
      <c r="CI572" s="216"/>
      <c r="CJ572" s="1195"/>
      <c r="CK572" s="249"/>
      <c r="CL572" s="216"/>
      <c r="CM572" s="1194"/>
      <c r="CN572" s="1524"/>
      <c r="CO572" s="217"/>
      <c r="CP572" s="1193"/>
      <c r="CQ572" s="293"/>
      <c r="CR572" s="217"/>
      <c r="CS572" s="305"/>
      <c r="CT572" s="249"/>
      <c r="CU572" s="216"/>
      <c r="CV572" s="1193"/>
      <c r="CW572" s="249"/>
      <c r="CX572" s="216"/>
      <c r="CY572" s="305"/>
      <c r="CZ572" s="249"/>
      <c r="DA572" s="216"/>
      <c r="DB572" s="307"/>
      <c r="DC572" s="328"/>
      <c r="DD572" s="322"/>
      <c r="DE572" s="305"/>
      <c r="DF572" s="249"/>
      <c r="DG572" s="216"/>
      <c r="DH572" s="305"/>
      <c r="DI572" s="249"/>
      <c r="DJ572" s="216"/>
      <c r="DK572" s="309"/>
      <c r="DL572" s="293"/>
      <c r="DM572" s="326"/>
      <c r="DN572" s="1256"/>
      <c r="DO572" s="214"/>
      <c r="DP572" s="1257"/>
      <c r="DQ572" s="1258"/>
      <c r="DR572" s="305"/>
      <c r="DS572" s="249"/>
      <c r="DT572" s="216"/>
      <c r="DU572" s="305"/>
      <c r="DV572" s="2520"/>
      <c r="DW572" s="2521"/>
      <c r="DX572" s="305"/>
      <c r="DY572" s="249"/>
      <c r="DZ572" s="221"/>
      <c r="EA572" s="388"/>
      <c r="EB572" s="249"/>
      <c r="EC572" s="216"/>
      <c r="ED572" s="1461"/>
      <c r="EE572" s="249"/>
      <c r="EF572" s="216"/>
      <c r="EG572" s="355"/>
      <c r="EH572" s="1425"/>
      <c r="EI572" s="1470"/>
      <c r="EJ572" s="249"/>
      <c r="EK572" s="221"/>
      <c r="EL572" s="313"/>
      <c r="EM572" s="249"/>
      <c r="EN572" s="221"/>
      <c r="EO572" s="313"/>
      <c r="EP572" s="249"/>
      <c r="EQ572" s="216"/>
      <c r="ER572" s="313"/>
      <c r="ES572" s="249"/>
      <c r="ET572" s="216"/>
      <c r="EU572" s="313"/>
      <c r="EV572" s="249"/>
      <c r="EW572" s="216"/>
      <c r="EX572" s="2505"/>
      <c r="EY572" s="249"/>
      <c r="EZ572" s="221"/>
      <c r="FA572" s="313"/>
      <c r="FB572" s="249"/>
      <c r="FC572" s="221"/>
      <c r="FD572" s="313"/>
      <c r="FE572" s="249"/>
      <c r="FF572" s="221"/>
      <c r="FG572" s="313"/>
      <c r="FH572" s="249"/>
      <c r="FI572" s="216"/>
      <c r="FJ572" s="1435"/>
      <c r="FK572" s="216"/>
      <c r="FL572" s="1268"/>
      <c r="FM572" s="1655"/>
      <c r="FN572" s="1268"/>
      <c r="FO572" s="1655"/>
      <c r="FP572" s="1268"/>
      <c r="FQ572" s="1656"/>
      <c r="FR572" s="249"/>
      <c r="FS572" s="216"/>
      <c r="FT572" s="1657"/>
      <c r="FU572" s="1658"/>
      <c r="FV572" s="242"/>
      <c r="FW572" s="343"/>
      <c r="FX572" s="222"/>
      <c r="FY572" s="336"/>
      <c r="FZ572" s="223"/>
      <c r="GA572" s="338"/>
      <c r="GB572" s="204"/>
      <c r="GC572" s="339"/>
      <c r="GD572" s="342"/>
      <c r="GE572" s="199"/>
      <c r="GF572" s="199"/>
      <c r="GG572" s="199"/>
      <c r="GH572" s="199"/>
      <c r="GI572" s="199"/>
      <c r="GJ572" s="199"/>
      <c r="GK572" s="199"/>
      <c r="GO572" s="322"/>
      <c r="GP572" s="1190"/>
      <c r="GQ572" s="1190"/>
      <c r="GS572" s="2879"/>
      <c r="GT572" s="2880"/>
      <c r="GU572" s="2881"/>
    </row>
    <row r="573" spans="1:203" ht="12" customHeight="1">
      <c r="A573" s="1252"/>
      <c r="B573" s="200"/>
      <c r="C573" s="486"/>
      <c r="T573" s="1186"/>
      <c r="U573" s="233"/>
      <c r="W573" s="218"/>
      <c r="X573" s="218"/>
      <c r="Y573" s="216"/>
      <c r="Z573" s="216"/>
      <c r="AA573" s="215"/>
      <c r="AB573" s="216"/>
      <c r="AC573" s="216"/>
      <c r="AD573" s="239"/>
      <c r="AE573" s="216"/>
      <c r="AF573" s="216"/>
      <c r="AG573" s="216"/>
      <c r="AH573" s="216"/>
      <c r="AI573" s="216"/>
      <c r="AJ573" s="216"/>
      <c r="AK573" s="239"/>
      <c r="AL573" s="216"/>
      <c r="AM573" s="216"/>
      <c r="AN573" s="216"/>
      <c r="AO573" s="216"/>
      <c r="AP573" s="216"/>
      <c r="AQ573" s="216"/>
      <c r="AR573" s="216"/>
      <c r="AS573" s="216"/>
      <c r="AT573" s="216"/>
      <c r="AU573" s="216"/>
      <c r="AV573" s="217"/>
      <c r="AW573" s="355"/>
      <c r="AX573" s="217"/>
      <c r="AY573" s="305"/>
      <c r="AZ573" s="249"/>
      <c r="BA573" s="221"/>
      <c r="BB573" s="300"/>
      <c r="BC573" s="217"/>
      <c r="BD573" s="392"/>
      <c r="BE573" s="1244"/>
      <c r="BF573" s="249"/>
      <c r="BG573" s="252"/>
      <c r="BH573" s="1469"/>
      <c r="BI573" s="216"/>
      <c r="BJ573" s="1469"/>
      <c r="BK573" s="1459"/>
      <c r="BL573" s="260"/>
      <c r="BM573" s="214"/>
      <c r="BN573" s="293"/>
      <c r="BO573" s="217"/>
      <c r="BP573" s="355"/>
      <c r="BQ573" s="217"/>
      <c r="BR573" s="1193"/>
      <c r="BS573" s="249"/>
      <c r="BT573" s="216"/>
      <c r="BU573" s="1195"/>
      <c r="BV573" s="249"/>
      <c r="BW573" s="216"/>
      <c r="BX573" s="1195"/>
      <c r="BY573" s="249"/>
      <c r="BZ573" s="216"/>
      <c r="CA573" s="1195"/>
      <c r="CB573" s="249"/>
      <c r="CC573" s="216"/>
      <c r="CD573" s="1195"/>
      <c r="CE573" s="249"/>
      <c r="CF573" s="216"/>
      <c r="CG573" s="1195"/>
      <c r="CH573" s="249"/>
      <c r="CI573" s="216"/>
      <c r="CJ573" s="1195"/>
      <c r="CK573" s="249"/>
      <c r="CL573" s="216"/>
      <c r="CM573" s="1194"/>
      <c r="CN573" s="1524"/>
      <c r="CO573" s="217"/>
      <c r="CP573" s="1193"/>
      <c r="CQ573" s="293"/>
      <c r="CR573" s="217"/>
      <c r="CS573" s="305"/>
      <c r="CT573" s="249"/>
      <c r="CU573" s="216"/>
      <c r="CV573" s="1193"/>
      <c r="CW573" s="249"/>
      <c r="CX573" s="216"/>
      <c r="CY573" s="305"/>
      <c r="CZ573" s="249"/>
      <c r="DA573" s="216"/>
      <c r="DB573" s="307"/>
      <c r="DC573" s="328"/>
      <c r="DD573" s="322"/>
      <c r="DE573" s="305"/>
      <c r="DF573" s="249"/>
      <c r="DG573" s="216"/>
      <c r="DH573" s="305"/>
      <c r="DI573" s="249"/>
      <c r="DJ573" s="216"/>
      <c r="DK573" s="309"/>
      <c r="DL573" s="293"/>
      <c r="DM573" s="326"/>
      <c r="DN573" s="1256"/>
      <c r="DO573" s="214"/>
      <c r="DP573" s="1257"/>
      <c r="DQ573" s="1258"/>
      <c r="DR573" s="305"/>
      <c r="DS573" s="249"/>
      <c r="DT573" s="216"/>
      <c r="DU573" s="305"/>
      <c r="DV573" s="2520"/>
      <c r="DW573" s="2521"/>
      <c r="DX573" s="305"/>
      <c r="DY573" s="249"/>
      <c r="DZ573" s="221"/>
      <c r="EA573" s="388"/>
      <c r="EB573" s="249"/>
      <c r="EC573" s="216"/>
      <c r="ED573" s="1461"/>
      <c r="EE573" s="249"/>
      <c r="EF573" s="216"/>
      <c r="EG573" s="355"/>
      <c r="EH573" s="1425"/>
      <c r="EI573" s="1470"/>
      <c r="EJ573" s="249"/>
      <c r="EK573" s="221"/>
      <c r="EL573" s="313"/>
      <c r="EM573" s="249"/>
      <c r="EN573" s="221"/>
      <c r="EO573" s="313"/>
      <c r="EP573" s="249"/>
      <c r="EQ573" s="216"/>
      <c r="ER573" s="313"/>
      <c r="ES573" s="249"/>
      <c r="ET573" s="216"/>
      <c r="EU573" s="313"/>
      <c r="EV573" s="249"/>
      <c r="EW573" s="216"/>
      <c r="EX573" s="2505"/>
      <c r="EY573" s="249"/>
      <c r="EZ573" s="221"/>
      <c r="FA573" s="313"/>
      <c r="FB573" s="249"/>
      <c r="FC573" s="221"/>
      <c r="FD573" s="313"/>
      <c r="FE573" s="249"/>
      <c r="FF573" s="221"/>
      <c r="FG573" s="313"/>
      <c r="FH573" s="249"/>
      <c r="FI573" s="216"/>
      <c r="FJ573" s="1435"/>
      <c r="FK573" s="216"/>
      <c r="FL573" s="1268"/>
      <c r="FM573" s="1655"/>
      <c r="FN573" s="1268"/>
      <c r="FO573" s="1655"/>
      <c r="FP573" s="1268"/>
      <c r="FQ573" s="1656"/>
      <c r="FR573" s="249"/>
      <c r="FS573" s="216"/>
      <c r="FT573" s="1657"/>
      <c r="FU573" s="1658"/>
      <c r="FV573" s="242"/>
      <c r="FW573" s="343"/>
      <c r="FX573" s="222"/>
      <c r="FY573" s="336"/>
      <c r="FZ573" s="223"/>
      <c r="GA573" s="338"/>
      <c r="GB573" s="204"/>
      <c r="GC573" s="339"/>
      <c r="GD573" s="342"/>
      <c r="GE573" s="199"/>
      <c r="GF573" s="199"/>
      <c r="GG573" s="199"/>
      <c r="GH573" s="199"/>
      <c r="GI573" s="199"/>
      <c r="GJ573" s="199"/>
      <c r="GK573" s="199"/>
      <c r="GO573" s="322"/>
      <c r="GP573" s="1190"/>
      <c r="GQ573" s="1190"/>
      <c r="GS573" s="2879"/>
      <c r="GT573" s="2880"/>
      <c r="GU573" s="2881"/>
    </row>
    <row r="574" spans="1:203" ht="12" customHeight="1">
      <c r="A574" s="1252"/>
      <c r="B574" s="200"/>
      <c r="C574" s="486"/>
      <c r="T574" s="1186"/>
      <c r="U574" s="233"/>
      <c r="W574" s="218"/>
      <c r="X574" s="218"/>
      <c r="Y574" s="216"/>
      <c r="Z574" s="216"/>
      <c r="AA574" s="215"/>
      <c r="AB574" s="216"/>
      <c r="AC574" s="216"/>
      <c r="AD574" s="239"/>
      <c r="AE574" s="216"/>
      <c r="AF574" s="216"/>
      <c r="AG574" s="216"/>
      <c r="AH574" s="216"/>
      <c r="AI574" s="216"/>
      <c r="AJ574" s="216"/>
      <c r="AK574" s="239"/>
      <c r="AL574" s="216"/>
      <c r="AM574" s="216"/>
      <c r="AN574" s="216"/>
      <c r="AO574" s="216"/>
      <c r="AP574" s="216"/>
      <c r="AQ574" s="216"/>
      <c r="AR574" s="216"/>
      <c r="AS574" s="216"/>
      <c r="AT574" s="216"/>
      <c r="AU574" s="216"/>
      <c r="AV574" s="217"/>
      <c r="AW574" s="355"/>
      <c r="AX574" s="217"/>
      <c r="AY574" s="305"/>
      <c r="AZ574" s="249"/>
      <c r="BA574" s="221"/>
      <c r="BB574" s="300"/>
      <c r="BC574" s="217"/>
      <c r="BD574" s="392"/>
      <c r="BE574" s="1244"/>
      <c r="BF574" s="249"/>
      <c r="BG574" s="252"/>
      <c r="BH574" s="1469"/>
      <c r="BI574" s="216"/>
      <c r="BJ574" s="1469"/>
      <c r="BK574" s="1459"/>
      <c r="BL574" s="260"/>
      <c r="BM574" s="214"/>
      <c r="BN574" s="293"/>
      <c r="BO574" s="217"/>
      <c r="BP574" s="355"/>
      <c r="BQ574" s="217"/>
      <c r="BR574" s="1193"/>
      <c r="BS574" s="249"/>
      <c r="BT574" s="216"/>
      <c r="BU574" s="1195"/>
      <c r="BV574" s="249"/>
      <c r="BW574" s="216"/>
      <c r="BX574" s="1195"/>
      <c r="BY574" s="249"/>
      <c r="BZ574" s="216"/>
      <c r="CA574" s="1195"/>
      <c r="CB574" s="249"/>
      <c r="CC574" s="216"/>
      <c r="CD574" s="1195"/>
      <c r="CE574" s="249"/>
      <c r="CF574" s="216"/>
      <c r="CG574" s="1195"/>
      <c r="CH574" s="249"/>
      <c r="CI574" s="216"/>
      <c r="CJ574" s="1195"/>
      <c r="CK574" s="249"/>
      <c r="CL574" s="216"/>
      <c r="CM574" s="1194"/>
      <c r="CN574" s="1524"/>
      <c r="CO574" s="217"/>
      <c r="CP574" s="1193"/>
      <c r="CQ574" s="293"/>
      <c r="CR574" s="217"/>
      <c r="CS574" s="305"/>
      <c r="CT574" s="249"/>
      <c r="CU574" s="216"/>
      <c r="CV574" s="1193"/>
      <c r="CW574" s="249"/>
      <c r="CX574" s="216"/>
      <c r="CY574" s="305"/>
      <c r="CZ574" s="249"/>
      <c r="DA574" s="216"/>
      <c r="DB574" s="307"/>
      <c r="DC574" s="328"/>
      <c r="DD574" s="322"/>
      <c r="DE574" s="305"/>
      <c r="DF574" s="249"/>
      <c r="DG574" s="216"/>
      <c r="DH574" s="305"/>
      <c r="DI574" s="249"/>
      <c r="DJ574" s="216"/>
      <c r="DK574" s="309"/>
      <c r="DL574" s="293"/>
      <c r="DM574" s="326"/>
      <c r="DN574" s="1256"/>
      <c r="DO574" s="214"/>
      <c r="DP574" s="1257"/>
      <c r="DQ574" s="1258"/>
      <c r="DR574" s="305"/>
      <c r="DS574" s="249"/>
      <c r="DT574" s="216"/>
      <c r="DU574" s="305"/>
      <c r="DV574" s="2520"/>
      <c r="DW574" s="2521"/>
      <c r="DX574" s="305"/>
      <c r="DY574" s="249"/>
      <c r="DZ574" s="221"/>
      <c r="EA574" s="388"/>
      <c r="EB574" s="249"/>
      <c r="EC574" s="216"/>
      <c r="ED574" s="1461"/>
      <c r="EE574" s="249"/>
      <c r="EF574" s="216"/>
      <c r="EG574" s="355"/>
      <c r="EH574" s="1425"/>
      <c r="EI574" s="1470"/>
      <c r="EJ574" s="249"/>
      <c r="EK574" s="221"/>
      <c r="EL574" s="313"/>
      <c r="EM574" s="249"/>
      <c r="EN574" s="221"/>
      <c r="EO574" s="313"/>
      <c r="EP574" s="249"/>
      <c r="EQ574" s="216"/>
      <c r="ER574" s="313"/>
      <c r="ES574" s="249"/>
      <c r="ET574" s="216"/>
      <c r="EU574" s="313"/>
      <c r="EV574" s="249"/>
      <c r="EW574" s="216"/>
      <c r="EX574" s="2505"/>
      <c r="EY574" s="249"/>
      <c r="EZ574" s="221"/>
      <c r="FA574" s="313"/>
      <c r="FB574" s="249"/>
      <c r="FC574" s="221"/>
      <c r="FD574" s="313"/>
      <c r="FE574" s="249"/>
      <c r="FF574" s="221"/>
      <c r="FG574" s="313"/>
      <c r="FH574" s="249"/>
      <c r="FI574" s="216"/>
      <c r="FJ574" s="1435"/>
      <c r="FK574" s="216"/>
      <c r="FL574" s="1268"/>
      <c r="FM574" s="1655"/>
      <c r="FN574" s="1268"/>
      <c r="FO574" s="1655"/>
      <c r="FP574" s="1268"/>
      <c r="FQ574" s="1656"/>
      <c r="FR574" s="249"/>
      <c r="FS574" s="216"/>
      <c r="FT574" s="1657"/>
      <c r="FU574" s="1658"/>
      <c r="FV574" s="242"/>
      <c r="FW574" s="343"/>
      <c r="FX574" s="222"/>
      <c r="FY574" s="336"/>
      <c r="FZ574" s="223"/>
      <c r="GA574" s="338"/>
      <c r="GB574" s="204"/>
      <c r="GC574" s="339"/>
      <c r="GD574" s="342"/>
      <c r="GE574" s="199"/>
      <c r="GF574" s="199"/>
      <c r="GG574" s="199"/>
      <c r="GH574" s="199"/>
      <c r="GI574" s="199"/>
      <c r="GJ574" s="199"/>
      <c r="GK574" s="199"/>
      <c r="GO574" s="322"/>
      <c r="GP574" s="1190"/>
      <c r="GQ574" s="1190"/>
      <c r="GS574" s="2879"/>
      <c r="GT574" s="2880"/>
      <c r="GU574" s="2881"/>
    </row>
    <row r="575" spans="1:203" ht="12" customHeight="1">
      <c r="A575" s="1252"/>
      <c r="B575" s="200"/>
      <c r="C575" s="486"/>
      <c r="T575" s="1186"/>
      <c r="U575" s="233"/>
      <c r="W575" s="218"/>
      <c r="X575" s="218"/>
      <c r="Y575" s="216"/>
      <c r="Z575" s="216"/>
      <c r="AA575" s="215"/>
      <c r="AB575" s="216"/>
      <c r="AC575" s="216"/>
      <c r="AD575" s="239"/>
      <c r="AE575" s="216"/>
      <c r="AF575" s="216"/>
      <c r="AG575" s="216"/>
      <c r="AH575" s="216"/>
      <c r="AI575" s="216"/>
      <c r="AJ575" s="216"/>
      <c r="AK575" s="239"/>
      <c r="AL575" s="216"/>
      <c r="AM575" s="216"/>
      <c r="AN575" s="216"/>
      <c r="AO575" s="216"/>
      <c r="AP575" s="216"/>
      <c r="AQ575" s="216"/>
      <c r="AR575" s="216"/>
      <c r="AS575" s="216"/>
      <c r="AT575" s="216"/>
      <c r="AU575" s="216"/>
      <c r="AV575" s="217"/>
      <c r="AW575" s="355"/>
      <c r="AX575" s="217"/>
      <c r="AY575" s="305"/>
      <c r="AZ575" s="249"/>
      <c r="BA575" s="221"/>
      <c r="BB575" s="300"/>
      <c r="BC575" s="217"/>
      <c r="BD575" s="392"/>
      <c r="BE575" s="1244"/>
      <c r="BF575" s="249"/>
      <c r="BG575" s="252"/>
      <c r="BH575" s="1469"/>
      <c r="BI575" s="216"/>
      <c r="BJ575" s="1469"/>
      <c r="BK575" s="1459"/>
      <c r="BL575" s="260"/>
      <c r="BM575" s="214"/>
      <c r="BN575" s="293"/>
      <c r="BO575" s="217"/>
      <c r="BP575" s="355"/>
      <c r="BQ575" s="217"/>
      <c r="BR575" s="1193"/>
      <c r="BS575" s="249"/>
      <c r="BT575" s="216"/>
      <c r="BU575" s="1195"/>
      <c r="BV575" s="249"/>
      <c r="BW575" s="216"/>
      <c r="BX575" s="1195"/>
      <c r="BY575" s="249"/>
      <c r="BZ575" s="216"/>
      <c r="CA575" s="1195"/>
      <c r="CB575" s="249"/>
      <c r="CC575" s="216"/>
      <c r="CD575" s="1195"/>
      <c r="CE575" s="249"/>
      <c r="CF575" s="216"/>
      <c r="CG575" s="1195"/>
      <c r="CH575" s="249"/>
      <c r="CI575" s="216"/>
      <c r="CJ575" s="1195"/>
      <c r="CK575" s="249"/>
      <c r="CL575" s="216"/>
      <c r="CM575" s="1194"/>
      <c r="CN575" s="1524"/>
      <c r="CO575" s="217"/>
      <c r="CP575" s="1193"/>
      <c r="CQ575" s="293"/>
      <c r="CR575" s="217"/>
      <c r="CS575" s="305"/>
      <c r="CT575" s="249"/>
      <c r="CU575" s="216"/>
      <c r="CV575" s="1193"/>
      <c r="CW575" s="249"/>
      <c r="CX575" s="216"/>
      <c r="CY575" s="305"/>
      <c r="CZ575" s="249"/>
      <c r="DA575" s="216"/>
      <c r="DB575" s="307"/>
      <c r="DC575" s="328"/>
      <c r="DD575" s="322"/>
      <c r="DE575" s="305"/>
      <c r="DF575" s="249"/>
      <c r="DG575" s="216"/>
      <c r="DH575" s="305"/>
      <c r="DI575" s="249"/>
      <c r="DJ575" s="216"/>
      <c r="DK575" s="309"/>
      <c r="DL575" s="293"/>
      <c r="DM575" s="326"/>
      <c r="DN575" s="1256"/>
      <c r="DO575" s="214"/>
      <c r="DP575" s="1257"/>
      <c r="DQ575" s="1258"/>
      <c r="DR575" s="305"/>
      <c r="DS575" s="249"/>
      <c r="DT575" s="216"/>
      <c r="DU575" s="305"/>
      <c r="DV575" s="2520"/>
      <c r="DW575" s="2521"/>
      <c r="DX575" s="305"/>
      <c r="DY575" s="249"/>
      <c r="DZ575" s="221"/>
      <c r="EA575" s="388"/>
      <c r="EB575" s="249"/>
      <c r="EC575" s="216"/>
      <c r="ED575" s="1461"/>
      <c r="EE575" s="249"/>
      <c r="EF575" s="216"/>
      <c r="EG575" s="355"/>
      <c r="EH575" s="1425"/>
      <c r="EI575" s="1470"/>
      <c r="EJ575" s="249"/>
      <c r="EK575" s="221"/>
      <c r="EL575" s="313"/>
      <c r="EM575" s="249"/>
      <c r="EN575" s="221"/>
      <c r="EO575" s="313"/>
      <c r="EP575" s="249"/>
      <c r="EQ575" s="216"/>
      <c r="ER575" s="313"/>
      <c r="ES575" s="249"/>
      <c r="ET575" s="216"/>
      <c r="EU575" s="313"/>
      <c r="EV575" s="249"/>
      <c r="EW575" s="216"/>
      <c r="EX575" s="2505"/>
      <c r="EY575" s="249"/>
      <c r="EZ575" s="221"/>
      <c r="FA575" s="313"/>
      <c r="FB575" s="249"/>
      <c r="FC575" s="221"/>
      <c r="FD575" s="313"/>
      <c r="FE575" s="249"/>
      <c r="FF575" s="221"/>
      <c r="FG575" s="313"/>
      <c r="FH575" s="249"/>
      <c r="FI575" s="216"/>
      <c r="FJ575" s="1435"/>
      <c r="FK575" s="216"/>
      <c r="FL575" s="1268"/>
      <c r="FM575" s="1655"/>
      <c r="FN575" s="1268"/>
      <c r="FO575" s="1655"/>
      <c r="FP575" s="1268"/>
      <c r="FQ575" s="1656"/>
      <c r="FR575" s="249"/>
      <c r="FS575" s="216"/>
      <c r="FT575" s="1657"/>
      <c r="FU575" s="1658"/>
      <c r="FV575" s="242"/>
      <c r="FW575" s="343"/>
      <c r="FX575" s="222"/>
      <c r="FY575" s="336"/>
      <c r="FZ575" s="223"/>
      <c r="GA575" s="338"/>
      <c r="GB575" s="204"/>
      <c r="GC575" s="339"/>
      <c r="GD575" s="342"/>
      <c r="GE575" s="199"/>
      <c r="GF575" s="199"/>
      <c r="GG575" s="199"/>
      <c r="GH575" s="199"/>
      <c r="GI575" s="199"/>
      <c r="GJ575" s="199"/>
      <c r="GK575" s="199"/>
      <c r="GO575" s="322"/>
      <c r="GP575" s="1190"/>
      <c r="GQ575" s="1190"/>
      <c r="GS575" s="2879"/>
      <c r="GT575" s="2880"/>
      <c r="GU575" s="2881"/>
    </row>
    <row r="576" spans="1:203" ht="12" customHeight="1">
      <c r="A576" s="1252"/>
      <c r="B576" s="200"/>
      <c r="C576" s="486"/>
      <c r="T576" s="1186"/>
      <c r="U576" s="233"/>
      <c r="W576" s="218"/>
      <c r="X576" s="218"/>
      <c r="Y576" s="216"/>
      <c r="Z576" s="216"/>
      <c r="AA576" s="215"/>
      <c r="AB576" s="216"/>
      <c r="AC576" s="216"/>
      <c r="AD576" s="239"/>
      <c r="AE576" s="216"/>
      <c r="AF576" s="216"/>
      <c r="AG576" s="216"/>
      <c r="AH576" s="216"/>
      <c r="AI576" s="216"/>
      <c r="AJ576" s="216"/>
      <c r="AK576" s="239"/>
      <c r="AL576" s="216"/>
      <c r="AM576" s="216"/>
      <c r="AN576" s="216"/>
      <c r="AO576" s="216"/>
      <c r="AP576" s="216"/>
      <c r="AQ576" s="216"/>
      <c r="AR576" s="216"/>
      <c r="AS576" s="216"/>
      <c r="AT576" s="216"/>
      <c r="AU576" s="216"/>
      <c r="AV576" s="217"/>
      <c r="AW576" s="355"/>
      <c r="AX576" s="217"/>
      <c r="AY576" s="305"/>
      <c r="AZ576" s="249"/>
      <c r="BA576" s="221"/>
      <c r="BB576" s="300"/>
      <c r="BC576" s="217"/>
      <c r="BD576" s="392"/>
      <c r="BE576" s="1244"/>
      <c r="BF576" s="249"/>
      <c r="BG576" s="252"/>
      <c r="BH576" s="1469"/>
      <c r="BI576" s="216"/>
      <c r="BJ576" s="1469"/>
      <c r="BK576" s="1459"/>
      <c r="BL576" s="260"/>
      <c r="BM576" s="214"/>
      <c r="BN576" s="293"/>
      <c r="BO576" s="217"/>
      <c r="BP576" s="355"/>
      <c r="BQ576" s="217"/>
      <c r="BR576" s="1193"/>
      <c r="BS576" s="249"/>
      <c r="BT576" s="216"/>
      <c r="BU576" s="1195"/>
      <c r="BV576" s="249"/>
      <c r="BW576" s="216"/>
      <c r="BX576" s="1195"/>
      <c r="BY576" s="249"/>
      <c r="BZ576" s="216"/>
      <c r="CA576" s="1195"/>
      <c r="CB576" s="249"/>
      <c r="CC576" s="216"/>
      <c r="CD576" s="1195"/>
      <c r="CE576" s="249"/>
      <c r="CF576" s="216"/>
      <c r="CG576" s="1195"/>
      <c r="CH576" s="249"/>
      <c r="CI576" s="216"/>
      <c r="CJ576" s="1195"/>
      <c r="CK576" s="249"/>
      <c r="CL576" s="216"/>
      <c r="CM576" s="1194"/>
      <c r="CN576" s="1524"/>
      <c r="CO576" s="217"/>
      <c r="CP576" s="1193"/>
      <c r="CQ576" s="293"/>
      <c r="CR576" s="217"/>
      <c r="CS576" s="305"/>
      <c r="CT576" s="249"/>
      <c r="CU576" s="216"/>
      <c r="CV576" s="1193"/>
      <c r="CW576" s="249"/>
      <c r="CX576" s="216"/>
      <c r="CY576" s="305"/>
      <c r="CZ576" s="249"/>
      <c r="DA576" s="216"/>
      <c r="DB576" s="307"/>
      <c r="DC576" s="328"/>
      <c r="DD576" s="322"/>
      <c r="DE576" s="305"/>
      <c r="DF576" s="249"/>
      <c r="DG576" s="216"/>
      <c r="DH576" s="305"/>
      <c r="DI576" s="249"/>
      <c r="DJ576" s="216"/>
      <c r="DK576" s="309"/>
      <c r="DL576" s="293"/>
      <c r="DM576" s="326"/>
      <c r="DN576" s="1256"/>
      <c r="DO576" s="214"/>
      <c r="DP576" s="1257"/>
      <c r="DQ576" s="1258"/>
      <c r="DR576" s="305"/>
      <c r="DS576" s="249"/>
      <c r="DT576" s="216"/>
      <c r="DU576" s="305"/>
      <c r="DV576" s="2520"/>
      <c r="DW576" s="2521"/>
      <c r="DX576" s="305"/>
      <c r="DY576" s="249"/>
      <c r="DZ576" s="221"/>
      <c r="EA576" s="388"/>
      <c r="EB576" s="249"/>
      <c r="EC576" s="216"/>
      <c r="ED576" s="1461"/>
      <c r="EE576" s="249"/>
      <c r="EF576" s="216"/>
      <c r="EG576" s="355"/>
      <c r="EH576" s="1425"/>
      <c r="EI576" s="1470"/>
      <c r="EJ576" s="249"/>
      <c r="EK576" s="221"/>
      <c r="EL576" s="313"/>
      <c r="EM576" s="249"/>
      <c r="EN576" s="221"/>
      <c r="EO576" s="313"/>
      <c r="EP576" s="249"/>
      <c r="EQ576" s="216"/>
      <c r="ER576" s="313"/>
      <c r="ES576" s="249"/>
      <c r="ET576" s="216"/>
      <c r="EU576" s="313"/>
      <c r="EV576" s="249"/>
      <c r="EW576" s="216"/>
      <c r="EX576" s="2505"/>
      <c r="EY576" s="249"/>
      <c r="EZ576" s="221"/>
      <c r="FA576" s="313"/>
      <c r="FB576" s="249"/>
      <c r="FC576" s="221"/>
      <c r="FD576" s="313"/>
      <c r="FE576" s="249"/>
      <c r="FF576" s="221"/>
      <c r="FG576" s="313"/>
      <c r="FH576" s="249"/>
      <c r="FI576" s="216"/>
      <c r="FJ576" s="1435"/>
      <c r="FK576" s="216"/>
      <c r="FL576" s="1268"/>
      <c r="FM576" s="1655"/>
      <c r="FN576" s="1268"/>
      <c r="FO576" s="1655"/>
      <c r="FP576" s="1268"/>
      <c r="FQ576" s="1656"/>
      <c r="FR576" s="249"/>
      <c r="FS576" s="216"/>
      <c r="FT576" s="1657"/>
      <c r="FU576" s="1658"/>
      <c r="FV576" s="242"/>
      <c r="FW576" s="343"/>
      <c r="FX576" s="222"/>
      <c r="FY576" s="336"/>
      <c r="FZ576" s="223"/>
      <c r="GA576" s="338"/>
      <c r="GB576" s="204"/>
      <c r="GC576" s="339"/>
      <c r="GD576" s="342"/>
      <c r="GE576" s="199"/>
      <c r="GF576" s="199"/>
      <c r="GG576" s="199"/>
      <c r="GH576" s="199"/>
      <c r="GI576" s="199"/>
      <c r="GJ576" s="199"/>
      <c r="GK576" s="199"/>
      <c r="GO576" s="322"/>
      <c r="GP576" s="1190"/>
      <c r="GQ576" s="1190"/>
      <c r="GS576" s="2879"/>
      <c r="GT576" s="2880"/>
      <c r="GU576" s="2881"/>
    </row>
    <row r="577" spans="1:203" ht="12" customHeight="1">
      <c r="A577" s="1252"/>
      <c r="B577" s="200"/>
      <c r="C577" s="486"/>
      <c r="T577" s="1186"/>
      <c r="U577" s="233"/>
      <c r="W577" s="218"/>
      <c r="X577" s="218"/>
      <c r="Y577" s="216"/>
      <c r="Z577" s="216"/>
      <c r="AA577" s="215"/>
      <c r="AB577" s="216"/>
      <c r="AC577" s="216"/>
      <c r="AD577" s="239"/>
      <c r="AE577" s="216"/>
      <c r="AF577" s="216"/>
      <c r="AG577" s="216"/>
      <c r="AH577" s="216"/>
      <c r="AI577" s="216"/>
      <c r="AJ577" s="216"/>
      <c r="AK577" s="239"/>
      <c r="AL577" s="216"/>
      <c r="AM577" s="216"/>
      <c r="AN577" s="216"/>
      <c r="AO577" s="216"/>
      <c r="AP577" s="216"/>
      <c r="AQ577" s="216"/>
      <c r="AR577" s="216"/>
      <c r="AS577" s="216"/>
      <c r="AT577" s="216"/>
      <c r="AU577" s="216"/>
      <c r="AV577" s="217"/>
      <c r="AW577" s="355"/>
      <c r="AX577" s="217"/>
      <c r="AY577" s="305"/>
      <c r="AZ577" s="249"/>
      <c r="BA577" s="221"/>
      <c r="BB577" s="300"/>
      <c r="BC577" s="217"/>
      <c r="BD577" s="392"/>
      <c r="BE577" s="1244"/>
      <c r="BF577" s="249"/>
      <c r="BG577" s="252"/>
      <c r="BH577" s="1469"/>
      <c r="BI577" s="216"/>
      <c r="BJ577" s="1469"/>
      <c r="BK577" s="1459"/>
      <c r="BL577" s="260"/>
      <c r="BM577" s="214"/>
      <c r="BN577" s="293"/>
      <c r="BO577" s="217"/>
      <c r="BP577" s="355"/>
      <c r="BQ577" s="217"/>
      <c r="BR577" s="1193"/>
      <c r="BS577" s="249"/>
      <c r="BT577" s="216"/>
      <c r="BU577" s="1195"/>
      <c r="BV577" s="249"/>
      <c r="BW577" s="216"/>
      <c r="BX577" s="1195"/>
      <c r="BY577" s="249"/>
      <c r="BZ577" s="216"/>
      <c r="CA577" s="1195"/>
      <c r="CB577" s="249"/>
      <c r="CC577" s="216"/>
      <c r="CD577" s="1195"/>
      <c r="CE577" s="249"/>
      <c r="CF577" s="216"/>
      <c r="CG577" s="1195"/>
      <c r="CH577" s="249"/>
      <c r="CI577" s="216"/>
      <c r="CJ577" s="1195"/>
      <c r="CK577" s="249"/>
      <c r="CL577" s="216"/>
      <c r="CM577" s="1194"/>
      <c r="CN577" s="1524"/>
      <c r="CO577" s="217"/>
      <c r="CP577" s="1193"/>
      <c r="CQ577" s="293"/>
      <c r="CR577" s="217"/>
      <c r="CS577" s="305"/>
      <c r="CT577" s="249"/>
      <c r="CU577" s="216"/>
      <c r="CV577" s="1193"/>
      <c r="CW577" s="249"/>
      <c r="CX577" s="216"/>
      <c r="CY577" s="305"/>
      <c r="CZ577" s="249"/>
      <c r="DA577" s="216"/>
      <c r="DB577" s="307"/>
      <c r="DC577" s="328"/>
      <c r="DD577" s="322"/>
      <c r="DE577" s="305"/>
      <c r="DF577" s="249"/>
      <c r="DG577" s="216"/>
      <c r="DH577" s="305"/>
      <c r="DI577" s="249"/>
      <c r="DJ577" s="216"/>
      <c r="DK577" s="309"/>
      <c r="DL577" s="293"/>
      <c r="DM577" s="326"/>
      <c r="DN577" s="1256"/>
      <c r="DO577" s="214"/>
      <c r="DP577" s="1257"/>
      <c r="DQ577" s="1258"/>
      <c r="DR577" s="305"/>
      <c r="DS577" s="249"/>
      <c r="DT577" s="216"/>
      <c r="DU577" s="305"/>
      <c r="DV577" s="2520"/>
      <c r="DW577" s="2521"/>
      <c r="DX577" s="305"/>
      <c r="DY577" s="249"/>
      <c r="DZ577" s="221"/>
      <c r="EA577" s="388"/>
      <c r="EB577" s="249"/>
      <c r="EC577" s="216"/>
      <c r="ED577" s="1461"/>
      <c r="EE577" s="249"/>
      <c r="EF577" s="216"/>
      <c r="EG577" s="355"/>
      <c r="EH577" s="1425"/>
      <c r="EI577" s="1470"/>
      <c r="EJ577" s="249"/>
      <c r="EK577" s="221"/>
      <c r="EL577" s="313"/>
      <c r="EM577" s="249"/>
      <c r="EN577" s="221"/>
      <c r="EO577" s="313"/>
      <c r="EP577" s="249"/>
      <c r="EQ577" s="216"/>
      <c r="ER577" s="313"/>
      <c r="ES577" s="249"/>
      <c r="ET577" s="216"/>
      <c r="EU577" s="313"/>
      <c r="EV577" s="249"/>
      <c r="EW577" s="216"/>
      <c r="EX577" s="2505"/>
      <c r="EY577" s="249"/>
      <c r="EZ577" s="221"/>
      <c r="FA577" s="313"/>
      <c r="FB577" s="249"/>
      <c r="FC577" s="221"/>
      <c r="FD577" s="313"/>
      <c r="FE577" s="249"/>
      <c r="FF577" s="221"/>
      <c r="FG577" s="313"/>
      <c r="FH577" s="249"/>
      <c r="FI577" s="216"/>
      <c r="FJ577" s="1435"/>
      <c r="FK577" s="216"/>
      <c r="FL577" s="1268"/>
      <c r="FM577" s="1655"/>
      <c r="FN577" s="1268"/>
      <c r="FO577" s="1655"/>
      <c r="FP577" s="1268"/>
      <c r="FQ577" s="1656"/>
      <c r="FR577" s="249"/>
      <c r="FS577" s="216"/>
      <c r="FT577" s="1657"/>
      <c r="FU577" s="1658"/>
      <c r="FV577" s="242"/>
      <c r="FW577" s="343"/>
      <c r="FX577" s="222"/>
      <c r="FY577" s="336"/>
      <c r="FZ577" s="223"/>
      <c r="GA577" s="338"/>
      <c r="GB577" s="204"/>
      <c r="GC577" s="339"/>
      <c r="GD577" s="342"/>
      <c r="GE577" s="199"/>
      <c r="GF577" s="199"/>
      <c r="GG577" s="199"/>
      <c r="GH577" s="199"/>
      <c r="GI577" s="199"/>
      <c r="GJ577" s="199"/>
      <c r="GK577" s="199"/>
      <c r="GO577" s="322"/>
      <c r="GP577" s="1190"/>
      <c r="GQ577" s="1190"/>
      <c r="GS577" s="2879"/>
      <c r="GT577" s="2880"/>
      <c r="GU577" s="2881"/>
    </row>
    <row r="578" spans="1:203" ht="12" customHeight="1">
      <c r="A578" s="1252"/>
      <c r="B578" s="200"/>
      <c r="C578" s="486"/>
      <c r="T578" s="1186"/>
      <c r="U578" s="233"/>
      <c r="W578" s="218"/>
      <c r="X578" s="218"/>
      <c r="Y578" s="216"/>
      <c r="Z578" s="216"/>
      <c r="AA578" s="215"/>
      <c r="AB578" s="216"/>
      <c r="AC578" s="216"/>
      <c r="AD578" s="239"/>
      <c r="AE578" s="216"/>
      <c r="AF578" s="216"/>
      <c r="AG578" s="216"/>
      <c r="AH578" s="216"/>
      <c r="AI578" s="216"/>
      <c r="AJ578" s="216"/>
      <c r="AK578" s="239"/>
      <c r="AL578" s="216"/>
      <c r="AM578" s="216"/>
      <c r="AN578" s="216"/>
      <c r="AO578" s="216"/>
      <c r="AP578" s="216"/>
      <c r="AQ578" s="216"/>
      <c r="AR578" s="216"/>
      <c r="AS578" s="216"/>
      <c r="AT578" s="216"/>
      <c r="AU578" s="216"/>
      <c r="AV578" s="217"/>
      <c r="AW578" s="355"/>
      <c r="AX578" s="217"/>
      <c r="AY578" s="305"/>
      <c r="AZ578" s="249"/>
      <c r="BA578" s="221"/>
      <c r="BB578" s="300"/>
      <c r="BC578" s="217"/>
      <c r="BD578" s="392"/>
      <c r="BE578" s="1244"/>
      <c r="BF578" s="249"/>
      <c r="BG578" s="252"/>
      <c r="BH578" s="1469"/>
      <c r="BI578" s="216"/>
      <c r="BJ578" s="1469"/>
      <c r="BK578" s="1459"/>
      <c r="BL578" s="260"/>
      <c r="BM578" s="214"/>
      <c r="BN578" s="293"/>
      <c r="BO578" s="217"/>
      <c r="BP578" s="355"/>
      <c r="BQ578" s="217"/>
      <c r="BR578" s="1193"/>
      <c r="BS578" s="249"/>
      <c r="BT578" s="216"/>
      <c r="BU578" s="1195"/>
      <c r="BV578" s="249"/>
      <c r="BW578" s="216"/>
      <c r="BX578" s="1195"/>
      <c r="BY578" s="249"/>
      <c r="BZ578" s="216"/>
      <c r="CA578" s="1195"/>
      <c r="CB578" s="249"/>
      <c r="CC578" s="216"/>
      <c r="CD578" s="1195"/>
      <c r="CE578" s="249"/>
      <c r="CF578" s="216"/>
      <c r="CG578" s="1195"/>
      <c r="CH578" s="249"/>
      <c r="CI578" s="216"/>
      <c r="CJ578" s="1195"/>
      <c r="CK578" s="249"/>
      <c r="CL578" s="216"/>
      <c r="CM578" s="1194"/>
      <c r="CN578" s="1524"/>
      <c r="CO578" s="217"/>
      <c r="CP578" s="1193"/>
      <c r="CQ578" s="293"/>
      <c r="CR578" s="217"/>
      <c r="CS578" s="305"/>
      <c r="CT578" s="249"/>
      <c r="CU578" s="216"/>
      <c r="CV578" s="1193"/>
      <c r="CW578" s="249"/>
      <c r="CX578" s="216"/>
      <c r="CY578" s="305"/>
      <c r="CZ578" s="249"/>
      <c r="DA578" s="216"/>
      <c r="DB578" s="307"/>
      <c r="DC578" s="328"/>
      <c r="DD578" s="322"/>
      <c r="DE578" s="305"/>
      <c r="DF578" s="249"/>
      <c r="DG578" s="216"/>
      <c r="DH578" s="305"/>
      <c r="DI578" s="249"/>
      <c r="DJ578" s="216"/>
      <c r="DK578" s="309"/>
      <c r="DL578" s="293"/>
      <c r="DM578" s="326"/>
      <c r="DN578" s="1256"/>
      <c r="DO578" s="214"/>
      <c r="DP578" s="1257"/>
      <c r="DQ578" s="1258"/>
      <c r="DR578" s="305"/>
      <c r="DS578" s="249"/>
      <c r="DT578" s="216"/>
      <c r="DU578" s="305"/>
      <c r="DV578" s="2520"/>
      <c r="DW578" s="2521"/>
      <c r="DX578" s="305"/>
      <c r="DY578" s="249"/>
      <c r="DZ578" s="221"/>
      <c r="EA578" s="388"/>
      <c r="EB578" s="249"/>
      <c r="EC578" s="216"/>
      <c r="ED578" s="1461"/>
      <c r="EE578" s="249"/>
      <c r="EF578" s="216"/>
      <c r="EG578" s="355"/>
      <c r="EH578" s="1425"/>
      <c r="EI578" s="1470"/>
      <c r="EJ578" s="249"/>
      <c r="EK578" s="221"/>
      <c r="EL578" s="313"/>
      <c r="EM578" s="249"/>
      <c r="EN578" s="221"/>
      <c r="EO578" s="313"/>
      <c r="EP578" s="249"/>
      <c r="EQ578" s="216"/>
      <c r="ER578" s="313"/>
      <c r="ES578" s="249"/>
      <c r="ET578" s="216"/>
      <c r="EU578" s="313"/>
      <c r="EV578" s="249"/>
      <c r="EW578" s="216"/>
      <c r="EX578" s="2505"/>
      <c r="EY578" s="249"/>
      <c r="EZ578" s="221"/>
      <c r="FA578" s="313"/>
      <c r="FB578" s="249"/>
      <c r="FC578" s="221"/>
      <c r="FD578" s="313"/>
      <c r="FE578" s="249"/>
      <c r="FF578" s="221"/>
      <c r="FG578" s="313"/>
      <c r="FH578" s="249"/>
      <c r="FI578" s="216"/>
      <c r="FJ578" s="1435"/>
      <c r="FK578" s="216"/>
      <c r="FL578" s="1268"/>
      <c r="FM578" s="1655"/>
      <c r="FN578" s="1268"/>
      <c r="FO578" s="1655"/>
      <c r="FP578" s="1268"/>
      <c r="FQ578" s="1656"/>
      <c r="FR578" s="249"/>
      <c r="FS578" s="216"/>
      <c r="FT578" s="1657"/>
      <c r="FU578" s="1658"/>
      <c r="FV578" s="242"/>
      <c r="FW578" s="343"/>
      <c r="FX578" s="222"/>
      <c r="FY578" s="336"/>
      <c r="FZ578" s="223"/>
      <c r="GA578" s="338"/>
      <c r="GB578" s="204"/>
      <c r="GC578" s="339"/>
      <c r="GD578" s="342"/>
      <c r="GE578" s="199"/>
      <c r="GF578" s="199"/>
      <c r="GG578" s="199"/>
      <c r="GH578" s="199"/>
      <c r="GI578" s="199"/>
      <c r="GJ578" s="199"/>
      <c r="GK578" s="199"/>
      <c r="GO578" s="322"/>
      <c r="GP578" s="1190"/>
      <c r="GQ578" s="1190"/>
      <c r="GS578" s="2879"/>
      <c r="GT578" s="2880"/>
      <c r="GU578" s="2881"/>
    </row>
    <row r="579" spans="1:203" ht="12" customHeight="1">
      <c r="A579" s="1252"/>
      <c r="B579" s="200"/>
      <c r="C579" s="486"/>
      <c r="T579" s="1186"/>
      <c r="U579" s="233"/>
      <c r="W579" s="218"/>
      <c r="X579" s="218"/>
      <c r="Y579" s="216"/>
      <c r="Z579" s="216"/>
      <c r="AA579" s="215"/>
      <c r="AB579" s="216"/>
      <c r="AC579" s="216"/>
      <c r="AD579" s="239"/>
      <c r="AE579" s="216"/>
      <c r="AF579" s="216"/>
      <c r="AG579" s="216"/>
      <c r="AH579" s="216"/>
      <c r="AI579" s="216"/>
      <c r="AJ579" s="216"/>
      <c r="AK579" s="239"/>
      <c r="AL579" s="216"/>
      <c r="AM579" s="216"/>
      <c r="AN579" s="216"/>
      <c r="AO579" s="216"/>
      <c r="AP579" s="216"/>
      <c r="AQ579" s="216"/>
      <c r="AR579" s="216"/>
      <c r="AS579" s="216"/>
      <c r="AT579" s="216"/>
      <c r="AU579" s="216"/>
      <c r="AV579" s="217"/>
      <c r="AW579" s="355"/>
      <c r="AX579" s="217"/>
      <c r="AY579" s="305"/>
      <c r="AZ579" s="249"/>
      <c r="BA579" s="221"/>
      <c r="BB579" s="300"/>
      <c r="BC579" s="217"/>
      <c r="BD579" s="392"/>
      <c r="BE579" s="1244"/>
      <c r="BF579" s="249"/>
      <c r="BG579" s="252"/>
      <c r="BH579" s="1469"/>
      <c r="BI579" s="216"/>
      <c r="BJ579" s="1469"/>
      <c r="BK579" s="1459"/>
      <c r="BL579" s="260"/>
      <c r="BM579" s="214"/>
      <c r="BN579" s="293"/>
      <c r="BO579" s="217"/>
      <c r="BP579" s="355"/>
      <c r="BQ579" s="217"/>
      <c r="BR579" s="1193"/>
      <c r="BS579" s="249"/>
      <c r="BT579" s="216"/>
      <c r="BU579" s="1195"/>
      <c r="BV579" s="249"/>
      <c r="BW579" s="216"/>
      <c r="BX579" s="1195"/>
      <c r="BY579" s="249"/>
      <c r="BZ579" s="216"/>
      <c r="CA579" s="1195"/>
      <c r="CB579" s="249"/>
      <c r="CC579" s="216"/>
      <c r="CD579" s="1195"/>
      <c r="CE579" s="249"/>
      <c r="CF579" s="216"/>
      <c r="CG579" s="1195"/>
      <c r="CH579" s="249"/>
      <c r="CI579" s="216"/>
      <c r="CJ579" s="1195"/>
      <c r="CK579" s="249"/>
      <c r="CL579" s="216"/>
      <c r="CM579" s="1194"/>
      <c r="CN579" s="1524"/>
      <c r="CO579" s="217"/>
      <c r="CP579" s="1193"/>
      <c r="CQ579" s="293"/>
      <c r="CR579" s="217"/>
      <c r="CS579" s="305"/>
      <c r="CT579" s="249"/>
      <c r="CU579" s="216"/>
      <c r="CV579" s="1193"/>
      <c r="CW579" s="249"/>
      <c r="CX579" s="216"/>
      <c r="CY579" s="305"/>
      <c r="CZ579" s="249"/>
      <c r="DA579" s="216"/>
      <c r="DB579" s="307"/>
      <c r="DC579" s="328"/>
      <c r="DD579" s="322"/>
      <c r="DE579" s="305"/>
      <c r="DF579" s="249"/>
      <c r="DG579" s="216"/>
      <c r="DH579" s="305"/>
      <c r="DI579" s="249"/>
      <c r="DJ579" s="216"/>
      <c r="DK579" s="309"/>
      <c r="DL579" s="293"/>
      <c r="DM579" s="326"/>
      <c r="DN579" s="1256"/>
      <c r="DO579" s="214"/>
      <c r="DP579" s="1257"/>
      <c r="DQ579" s="1258"/>
      <c r="DR579" s="305"/>
      <c r="DS579" s="249"/>
      <c r="DT579" s="216"/>
      <c r="DU579" s="305"/>
      <c r="DV579" s="2520"/>
      <c r="DW579" s="2521"/>
      <c r="DX579" s="305"/>
      <c r="DY579" s="249"/>
      <c r="DZ579" s="221"/>
      <c r="EA579" s="388"/>
      <c r="EB579" s="249"/>
      <c r="EC579" s="216"/>
      <c r="ED579" s="1461"/>
      <c r="EE579" s="249"/>
      <c r="EF579" s="216"/>
      <c r="EG579" s="355"/>
      <c r="EH579" s="1425"/>
      <c r="EI579" s="1470"/>
      <c r="EJ579" s="249"/>
      <c r="EK579" s="221"/>
      <c r="EL579" s="313"/>
      <c r="EM579" s="249"/>
      <c r="EN579" s="221"/>
      <c r="EO579" s="313"/>
      <c r="EP579" s="249"/>
      <c r="EQ579" s="216"/>
      <c r="ER579" s="313"/>
      <c r="ES579" s="249"/>
      <c r="ET579" s="216"/>
      <c r="EU579" s="313"/>
      <c r="EV579" s="249"/>
      <c r="EW579" s="216"/>
      <c r="EX579" s="2505"/>
      <c r="EY579" s="249"/>
      <c r="EZ579" s="221"/>
      <c r="FA579" s="313"/>
      <c r="FB579" s="249"/>
      <c r="FC579" s="221"/>
      <c r="FD579" s="313"/>
      <c r="FE579" s="249"/>
      <c r="FF579" s="221"/>
      <c r="FG579" s="313"/>
      <c r="FH579" s="249"/>
      <c r="FI579" s="216"/>
      <c r="FJ579" s="1435"/>
      <c r="FK579" s="216"/>
      <c r="FL579" s="1268"/>
      <c r="FM579" s="1655"/>
      <c r="FN579" s="1268"/>
      <c r="FO579" s="1655"/>
      <c r="FP579" s="1268"/>
      <c r="FQ579" s="1656"/>
      <c r="FR579" s="249"/>
      <c r="FS579" s="216"/>
      <c r="FT579" s="1657"/>
      <c r="FU579" s="1658"/>
      <c r="FV579" s="242"/>
      <c r="FW579" s="343"/>
      <c r="FX579" s="222"/>
      <c r="FY579" s="336"/>
      <c r="FZ579" s="223"/>
      <c r="GA579" s="338"/>
      <c r="GB579" s="204"/>
      <c r="GC579" s="339"/>
      <c r="GD579" s="342"/>
      <c r="GE579" s="199"/>
      <c r="GF579" s="199"/>
      <c r="GG579" s="199"/>
      <c r="GH579" s="199"/>
      <c r="GI579" s="199"/>
      <c r="GJ579" s="199"/>
      <c r="GK579" s="199"/>
      <c r="GO579" s="322"/>
      <c r="GP579" s="1190"/>
      <c r="GQ579" s="1190"/>
      <c r="GS579" s="2879"/>
      <c r="GT579" s="2880"/>
      <c r="GU579" s="2881"/>
    </row>
    <row r="580" spans="1:203" ht="12" customHeight="1">
      <c r="A580" s="1252"/>
      <c r="B580" s="200"/>
      <c r="C580" s="486"/>
      <c r="T580" s="1186"/>
      <c r="U580" s="233"/>
      <c r="W580" s="218"/>
      <c r="X580" s="218"/>
      <c r="Y580" s="216"/>
      <c r="Z580" s="216"/>
      <c r="AA580" s="215"/>
      <c r="AB580" s="216"/>
      <c r="AC580" s="216"/>
      <c r="AD580" s="239"/>
      <c r="AE580" s="216"/>
      <c r="AF580" s="216"/>
      <c r="AG580" s="216"/>
      <c r="AH580" s="216"/>
      <c r="AI580" s="216"/>
      <c r="AJ580" s="216"/>
      <c r="AK580" s="239"/>
      <c r="AL580" s="216"/>
      <c r="AM580" s="216"/>
      <c r="AN580" s="216"/>
      <c r="AO580" s="216"/>
      <c r="AP580" s="216"/>
      <c r="AQ580" s="216"/>
      <c r="AR580" s="216"/>
      <c r="AS580" s="216"/>
      <c r="AT580" s="216"/>
      <c r="AU580" s="216"/>
      <c r="AV580" s="217"/>
      <c r="AW580" s="355"/>
      <c r="AX580" s="217"/>
      <c r="AY580" s="305"/>
      <c r="AZ580" s="249"/>
      <c r="BA580" s="221"/>
      <c r="BB580" s="300"/>
      <c r="BC580" s="217"/>
      <c r="BD580" s="392"/>
      <c r="BE580" s="1244"/>
      <c r="BF580" s="249"/>
      <c r="BG580" s="252"/>
      <c r="BH580" s="1469"/>
      <c r="BI580" s="216"/>
      <c r="BJ580" s="1469"/>
      <c r="BK580" s="1459"/>
      <c r="BL580" s="260"/>
      <c r="BM580" s="214"/>
      <c r="BN580" s="293"/>
      <c r="BO580" s="217"/>
      <c r="BP580" s="355"/>
      <c r="BQ580" s="217"/>
      <c r="BR580" s="1193"/>
      <c r="BS580" s="249"/>
      <c r="BT580" s="216"/>
      <c r="BU580" s="1195"/>
      <c r="BV580" s="249"/>
      <c r="BW580" s="216"/>
      <c r="BX580" s="1195"/>
      <c r="BY580" s="249"/>
      <c r="BZ580" s="216"/>
      <c r="CA580" s="1195"/>
      <c r="CB580" s="249"/>
      <c r="CC580" s="216"/>
      <c r="CD580" s="1195"/>
      <c r="CE580" s="249"/>
      <c r="CF580" s="216"/>
      <c r="CG580" s="1195"/>
      <c r="CH580" s="249"/>
      <c r="CI580" s="216"/>
      <c r="CJ580" s="1195"/>
      <c r="CK580" s="249"/>
      <c r="CL580" s="216"/>
      <c r="CM580" s="1194"/>
      <c r="CN580" s="1524"/>
      <c r="CO580" s="217"/>
      <c r="CP580" s="1193"/>
      <c r="CQ580" s="293"/>
      <c r="CR580" s="217"/>
      <c r="CS580" s="305"/>
      <c r="CT580" s="249"/>
      <c r="CU580" s="216"/>
      <c r="CV580" s="1193"/>
      <c r="CW580" s="249"/>
      <c r="CX580" s="216"/>
      <c r="CY580" s="305"/>
      <c r="CZ580" s="249"/>
      <c r="DA580" s="216"/>
      <c r="DB580" s="307"/>
      <c r="DC580" s="328"/>
      <c r="DD580" s="322"/>
      <c r="DE580" s="305"/>
      <c r="DF580" s="249"/>
      <c r="DG580" s="216"/>
      <c r="DH580" s="305"/>
      <c r="DI580" s="249"/>
      <c r="DJ580" s="216"/>
      <c r="DK580" s="309"/>
      <c r="DL580" s="293"/>
      <c r="DM580" s="326"/>
      <c r="DN580" s="1256"/>
      <c r="DO580" s="214"/>
      <c r="DP580" s="1257"/>
      <c r="DQ580" s="1258"/>
      <c r="DR580" s="305"/>
      <c r="DS580" s="249"/>
      <c r="DT580" s="216"/>
      <c r="DU580" s="305"/>
      <c r="DV580" s="2520"/>
      <c r="DW580" s="2521"/>
      <c r="DX580" s="305"/>
      <c r="DY580" s="249"/>
      <c r="DZ580" s="221"/>
      <c r="EA580" s="388"/>
      <c r="EB580" s="249"/>
      <c r="EC580" s="216"/>
      <c r="ED580" s="1461"/>
      <c r="EE580" s="249"/>
      <c r="EF580" s="216"/>
      <c r="EG580" s="355"/>
      <c r="EH580" s="1425"/>
      <c r="EI580" s="1470"/>
      <c r="EJ580" s="249"/>
      <c r="EK580" s="221"/>
      <c r="EL580" s="313"/>
      <c r="EM580" s="249"/>
      <c r="EN580" s="221"/>
      <c r="EO580" s="313"/>
      <c r="EP580" s="249"/>
      <c r="EQ580" s="216"/>
      <c r="ER580" s="313"/>
      <c r="ES580" s="249"/>
      <c r="ET580" s="216"/>
      <c r="EU580" s="313"/>
      <c r="EV580" s="249"/>
      <c r="EW580" s="216"/>
      <c r="EX580" s="2505"/>
      <c r="EY580" s="249"/>
      <c r="EZ580" s="221"/>
      <c r="FA580" s="313"/>
      <c r="FB580" s="249"/>
      <c r="FC580" s="221"/>
      <c r="FD580" s="313"/>
      <c r="FE580" s="249"/>
      <c r="FF580" s="221"/>
      <c r="FG580" s="313"/>
      <c r="FH580" s="249"/>
      <c r="FI580" s="216"/>
      <c r="FJ580" s="1435"/>
      <c r="FK580" s="216"/>
      <c r="FL580" s="1268"/>
      <c r="FM580" s="1655"/>
      <c r="FN580" s="1268"/>
      <c r="FO580" s="1655"/>
      <c r="FP580" s="1268"/>
      <c r="FQ580" s="1656"/>
      <c r="FR580" s="249"/>
      <c r="FS580" s="216"/>
      <c r="FT580" s="1657"/>
      <c r="FU580" s="1658"/>
      <c r="FV580" s="242"/>
      <c r="FW580" s="343"/>
      <c r="FX580" s="222"/>
      <c r="FY580" s="336"/>
      <c r="FZ580" s="223"/>
      <c r="GA580" s="338"/>
      <c r="GB580" s="204"/>
      <c r="GC580" s="339"/>
      <c r="GD580" s="342"/>
      <c r="GE580" s="199"/>
      <c r="GF580" s="199"/>
      <c r="GG580" s="199"/>
      <c r="GH580" s="199"/>
      <c r="GI580" s="199"/>
      <c r="GJ580" s="199"/>
      <c r="GK580" s="199"/>
      <c r="GO580" s="322"/>
      <c r="GP580" s="1190"/>
      <c r="GQ580" s="1190"/>
      <c r="GS580" s="2879"/>
      <c r="GT580" s="2880"/>
      <c r="GU580" s="2881"/>
    </row>
    <row r="581" spans="1:203" ht="12" customHeight="1">
      <c r="A581" s="1252"/>
      <c r="B581" s="200"/>
      <c r="C581" s="486"/>
      <c r="T581" s="1186"/>
      <c r="U581" s="233"/>
      <c r="W581" s="218"/>
      <c r="X581" s="218"/>
      <c r="Y581" s="216"/>
      <c r="Z581" s="216"/>
      <c r="AA581" s="215"/>
      <c r="AB581" s="216"/>
      <c r="AC581" s="216"/>
      <c r="AD581" s="239"/>
      <c r="AE581" s="216"/>
      <c r="AF581" s="216"/>
      <c r="AG581" s="216"/>
      <c r="AH581" s="216"/>
      <c r="AI581" s="216"/>
      <c r="AJ581" s="216"/>
      <c r="AK581" s="239"/>
      <c r="AL581" s="216"/>
      <c r="AM581" s="216"/>
      <c r="AN581" s="216"/>
      <c r="AO581" s="216"/>
      <c r="AP581" s="216"/>
      <c r="AQ581" s="216"/>
      <c r="AR581" s="216"/>
      <c r="AS581" s="216"/>
      <c r="AT581" s="216"/>
      <c r="AU581" s="216"/>
      <c r="AV581" s="217"/>
      <c r="AW581" s="355"/>
      <c r="AX581" s="217"/>
      <c r="AY581" s="305"/>
      <c r="AZ581" s="249"/>
      <c r="BA581" s="221"/>
      <c r="BB581" s="300"/>
      <c r="BC581" s="217"/>
      <c r="BD581" s="392"/>
      <c r="BE581" s="1244"/>
      <c r="BF581" s="249"/>
      <c r="BG581" s="252"/>
      <c r="BH581" s="1469"/>
      <c r="BI581" s="216"/>
      <c r="BJ581" s="1469"/>
      <c r="BK581" s="1459"/>
      <c r="BL581" s="260"/>
      <c r="BM581" s="214"/>
      <c r="BN581" s="293"/>
      <c r="BO581" s="217"/>
      <c r="BP581" s="355"/>
      <c r="BQ581" s="217"/>
      <c r="BR581" s="1193"/>
      <c r="BS581" s="249"/>
      <c r="BT581" s="216"/>
      <c r="BU581" s="1195"/>
      <c r="BV581" s="249"/>
      <c r="BW581" s="216"/>
      <c r="BX581" s="1195"/>
      <c r="BY581" s="249"/>
      <c r="BZ581" s="216"/>
      <c r="CA581" s="1195"/>
      <c r="CB581" s="249"/>
      <c r="CC581" s="216"/>
      <c r="CD581" s="1195"/>
      <c r="CE581" s="249"/>
      <c r="CF581" s="216"/>
      <c r="CG581" s="1195"/>
      <c r="CH581" s="249"/>
      <c r="CI581" s="216"/>
      <c r="CJ581" s="1195"/>
      <c r="CK581" s="249"/>
      <c r="CL581" s="216"/>
      <c r="CM581" s="1194"/>
      <c r="CN581" s="1524"/>
      <c r="CO581" s="217"/>
      <c r="CP581" s="1193"/>
      <c r="CQ581" s="293"/>
      <c r="CR581" s="217"/>
      <c r="CS581" s="305"/>
      <c r="CT581" s="249"/>
      <c r="CU581" s="216"/>
      <c r="CV581" s="1193"/>
      <c r="CW581" s="249"/>
      <c r="CX581" s="216"/>
      <c r="CY581" s="305"/>
      <c r="CZ581" s="249"/>
      <c r="DA581" s="216"/>
      <c r="DB581" s="307"/>
      <c r="DC581" s="328"/>
      <c r="DD581" s="322"/>
      <c r="DE581" s="305"/>
      <c r="DF581" s="249"/>
      <c r="DG581" s="216"/>
      <c r="DH581" s="305"/>
      <c r="DI581" s="249"/>
      <c r="DJ581" s="216"/>
      <c r="DK581" s="309"/>
      <c r="DL581" s="293"/>
      <c r="DM581" s="326"/>
      <c r="DN581" s="1256"/>
      <c r="DO581" s="214"/>
      <c r="DP581" s="1257"/>
      <c r="DQ581" s="1258"/>
      <c r="DR581" s="305"/>
      <c r="DS581" s="249"/>
      <c r="DT581" s="216"/>
      <c r="DU581" s="305"/>
      <c r="DV581" s="2520"/>
      <c r="DW581" s="2521"/>
      <c r="DX581" s="305"/>
      <c r="DY581" s="249"/>
      <c r="DZ581" s="221"/>
      <c r="EA581" s="388"/>
      <c r="EB581" s="249"/>
      <c r="EC581" s="216"/>
      <c r="ED581" s="1461"/>
      <c r="EE581" s="249"/>
      <c r="EF581" s="216"/>
      <c r="EG581" s="355"/>
      <c r="EH581" s="1425"/>
      <c r="EI581" s="1470"/>
      <c r="EJ581" s="249"/>
      <c r="EK581" s="221"/>
      <c r="EL581" s="313"/>
      <c r="EM581" s="249"/>
      <c r="EN581" s="221"/>
      <c r="EO581" s="313"/>
      <c r="EP581" s="249"/>
      <c r="EQ581" s="216"/>
      <c r="ER581" s="313"/>
      <c r="ES581" s="249"/>
      <c r="ET581" s="216"/>
      <c r="EU581" s="313"/>
      <c r="EV581" s="249"/>
      <c r="EW581" s="216"/>
      <c r="EX581" s="2505"/>
      <c r="EY581" s="249"/>
      <c r="EZ581" s="221"/>
      <c r="FA581" s="313"/>
      <c r="FB581" s="249"/>
      <c r="FC581" s="221"/>
      <c r="FD581" s="313"/>
      <c r="FE581" s="249"/>
      <c r="FF581" s="221"/>
      <c r="FG581" s="313"/>
      <c r="FH581" s="249"/>
      <c r="FI581" s="216"/>
      <c r="FJ581" s="1435"/>
      <c r="FK581" s="216"/>
      <c r="FL581" s="1268"/>
      <c r="FM581" s="1655"/>
      <c r="FN581" s="1268"/>
      <c r="FO581" s="1655"/>
      <c r="FP581" s="1268"/>
      <c r="FQ581" s="1656"/>
      <c r="FR581" s="249"/>
      <c r="FS581" s="216"/>
      <c r="FT581" s="1657"/>
      <c r="FU581" s="1658"/>
      <c r="FV581" s="242"/>
      <c r="FW581" s="343"/>
      <c r="FX581" s="222"/>
      <c r="FY581" s="336"/>
      <c r="FZ581" s="223"/>
      <c r="GA581" s="338"/>
      <c r="GB581" s="204"/>
      <c r="GC581" s="339"/>
      <c r="GD581" s="342"/>
      <c r="GE581" s="199"/>
      <c r="GF581" s="199"/>
      <c r="GG581" s="199"/>
      <c r="GH581" s="199"/>
      <c r="GI581" s="199"/>
      <c r="GJ581" s="199"/>
      <c r="GK581" s="199"/>
      <c r="GO581" s="322"/>
      <c r="GP581" s="1190"/>
      <c r="GQ581" s="1190"/>
      <c r="GS581" s="2879"/>
      <c r="GT581" s="2880"/>
      <c r="GU581" s="2881"/>
    </row>
    <row r="582" spans="1:203" ht="12" customHeight="1">
      <c r="A582" s="1252"/>
      <c r="B582" s="200"/>
      <c r="C582" s="486"/>
      <c r="T582" s="1186"/>
      <c r="U582" s="233"/>
      <c r="W582" s="218"/>
      <c r="X582" s="218"/>
      <c r="Y582" s="216"/>
      <c r="Z582" s="216"/>
      <c r="AA582" s="215"/>
      <c r="AB582" s="216"/>
      <c r="AC582" s="216"/>
      <c r="AD582" s="239"/>
      <c r="AE582" s="216"/>
      <c r="AF582" s="216"/>
      <c r="AG582" s="216"/>
      <c r="AH582" s="216"/>
      <c r="AI582" s="216"/>
      <c r="AJ582" s="216"/>
      <c r="AK582" s="239"/>
      <c r="AL582" s="216"/>
      <c r="AM582" s="216"/>
      <c r="AN582" s="216"/>
      <c r="AO582" s="216"/>
      <c r="AP582" s="216"/>
      <c r="AQ582" s="216"/>
      <c r="AR582" s="216"/>
      <c r="AS582" s="216"/>
      <c r="AT582" s="216"/>
      <c r="AU582" s="216"/>
      <c r="AV582" s="217"/>
      <c r="AW582" s="355"/>
      <c r="AX582" s="217"/>
      <c r="AY582" s="305"/>
      <c r="AZ582" s="249"/>
      <c r="BA582" s="221"/>
      <c r="BB582" s="300"/>
      <c r="BC582" s="217"/>
      <c r="BD582" s="392"/>
      <c r="BE582" s="1244"/>
      <c r="BF582" s="249"/>
      <c r="BG582" s="252"/>
      <c r="BH582" s="1469"/>
      <c r="BI582" s="216"/>
      <c r="BJ582" s="1469"/>
      <c r="BK582" s="1459"/>
      <c r="BL582" s="260"/>
      <c r="BM582" s="214"/>
      <c r="BN582" s="293"/>
      <c r="BO582" s="217"/>
      <c r="BP582" s="355"/>
      <c r="BQ582" s="217"/>
      <c r="BR582" s="1193"/>
      <c r="BS582" s="249"/>
      <c r="BT582" s="216"/>
      <c r="BU582" s="1195"/>
      <c r="BV582" s="249"/>
      <c r="BW582" s="216"/>
      <c r="BX582" s="1195"/>
      <c r="BY582" s="249"/>
      <c r="BZ582" s="216"/>
      <c r="CA582" s="1195"/>
      <c r="CB582" s="249"/>
      <c r="CC582" s="216"/>
      <c r="CD582" s="1195"/>
      <c r="CE582" s="249"/>
      <c r="CF582" s="216"/>
      <c r="CG582" s="1195"/>
      <c r="CH582" s="249"/>
      <c r="CI582" s="216"/>
      <c r="CJ582" s="1195"/>
      <c r="CK582" s="249"/>
      <c r="CL582" s="216"/>
      <c r="CM582" s="1194"/>
      <c r="CN582" s="1524"/>
      <c r="CO582" s="217"/>
      <c r="CP582" s="1193"/>
      <c r="CQ582" s="293"/>
      <c r="CR582" s="217"/>
      <c r="CS582" s="305"/>
      <c r="CT582" s="249"/>
      <c r="CU582" s="216"/>
      <c r="CV582" s="1193"/>
      <c r="CW582" s="249"/>
      <c r="CX582" s="216"/>
      <c r="CY582" s="305"/>
      <c r="CZ582" s="249"/>
      <c r="DA582" s="216"/>
      <c r="DB582" s="307"/>
      <c r="DC582" s="328"/>
      <c r="DD582" s="322"/>
      <c r="DE582" s="305"/>
      <c r="DF582" s="249"/>
      <c r="DG582" s="216"/>
      <c r="DH582" s="305"/>
      <c r="DI582" s="249"/>
      <c r="DJ582" s="216"/>
      <c r="DK582" s="309"/>
      <c r="DL582" s="293"/>
      <c r="DM582" s="326"/>
      <c r="DN582" s="1256"/>
      <c r="DO582" s="214"/>
      <c r="DP582" s="1257"/>
      <c r="DQ582" s="1258"/>
      <c r="DR582" s="305"/>
      <c r="DS582" s="249"/>
      <c r="DT582" s="216"/>
      <c r="DU582" s="305"/>
      <c r="DV582" s="2520"/>
      <c r="DW582" s="2521"/>
      <c r="DX582" s="305"/>
      <c r="DY582" s="249"/>
      <c r="DZ582" s="221"/>
      <c r="EA582" s="388"/>
      <c r="EB582" s="249"/>
      <c r="EC582" s="216"/>
      <c r="ED582" s="1461"/>
      <c r="EE582" s="249"/>
      <c r="EF582" s="216"/>
      <c r="EG582" s="355"/>
      <c r="EH582" s="1425"/>
      <c r="EI582" s="1470"/>
      <c r="EJ582" s="249"/>
      <c r="EK582" s="221"/>
      <c r="EL582" s="313"/>
      <c r="EM582" s="249"/>
      <c r="EN582" s="221"/>
      <c r="EO582" s="313"/>
      <c r="EP582" s="249"/>
      <c r="EQ582" s="216"/>
      <c r="ER582" s="313"/>
      <c r="ES582" s="249"/>
      <c r="ET582" s="216"/>
      <c r="EU582" s="313"/>
      <c r="EV582" s="249"/>
      <c r="EW582" s="216"/>
      <c r="EX582" s="2505"/>
      <c r="EY582" s="249"/>
      <c r="EZ582" s="221"/>
      <c r="FA582" s="313"/>
      <c r="FB582" s="249"/>
      <c r="FC582" s="221"/>
      <c r="FD582" s="313"/>
      <c r="FE582" s="249"/>
      <c r="FF582" s="221"/>
      <c r="FG582" s="313"/>
      <c r="FH582" s="249"/>
      <c r="FI582" s="216"/>
      <c r="FJ582" s="1435"/>
      <c r="FK582" s="216"/>
      <c r="FL582" s="1268"/>
      <c r="FM582" s="1655"/>
      <c r="FN582" s="1268"/>
      <c r="FO582" s="1655"/>
      <c r="FP582" s="1268"/>
      <c r="FQ582" s="1656"/>
      <c r="FR582" s="249"/>
      <c r="FS582" s="216"/>
      <c r="FT582" s="1657"/>
      <c r="FU582" s="1658"/>
      <c r="FV582" s="242"/>
      <c r="FW582" s="343"/>
      <c r="FX582" s="222"/>
      <c r="FY582" s="336"/>
      <c r="FZ582" s="223"/>
      <c r="GA582" s="338"/>
      <c r="GB582" s="204"/>
      <c r="GC582" s="339"/>
      <c r="GD582" s="342"/>
      <c r="GE582" s="199"/>
      <c r="GF582" s="199"/>
      <c r="GG582" s="199"/>
      <c r="GH582" s="199"/>
      <c r="GI582" s="199"/>
      <c r="GJ582" s="199"/>
      <c r="GK582" s="199"/>
      <c r="GO582" s="322"/>
      <c r="GP582" s="1190"/>
      <c r="GQ582" s="1190"/>
      <c r="GS582" s="2879"/>
      <c r="GT582" s="2880"/>
      <c r="GU582" s="2881"/>
    </row>
    <row r="583" spans="1:203" ht="12" customHeight="1">
      <c r="A583" s="1252"/>
      <c r="B583" s="200"/>
      <c r="C583" s="486"/>
      <c r="T583" s="1186"/>
      <c r="U583" s="233"/>
      <c r="W583" s="218"/>
      <c r="X583" s="218"/>
      <c r="Y583" s="216"/>
      <c r="Z583" s="216"/>
      <c r="AA583" s="215"/>
      <c r="AB583" s="216"/>
      <c r="AC583" s="216"/>
      <c r="AD583" s="239"/>
      <c r="AE583" s="216"/>
      <c r="AF583" s="216"/>
      <c r="AG583" s="216"/>
      <c r="AH583" s="216"/>
      <c r="AI583" s="216"/>
      <c r="AJ583" s="216"/>
      <c r="AK583" s="239"/>
      <c r="AL583" s="216"/>
      <c r="AM583" s="216"/>
      <c r="AN583" s="216"/>
      <c r="AO583" s="216"/>
      <c r="AP583" s="216"/>
      <c r="AQ583" s="216"/>
      <c r="AR583" s="216"/>
      <c r="AS583" s="216"/>
      <c r="AT583" s="216"/>
      <c r="AU583" s="216"/>
      <c r="AV583" s="217"/>
      <c r="AW583" s="355"/>
      <c r="AX583" s="217"/>
      <c r="AY583" s="305"/>
      <c r="AZ583" s="249"/>
      <c r="BA583" s="221"/>
      <c r="BB583" s="300"/>
      <c r="BC583" s="217"/>
      <c r="BD583" s="392"/>
      <c r="BE583" s="1244"/>
      <c r="BF583" s="249"/>
      <c r="BG583" s="252"/>
      <c r="BH583" s="1469"/>
      <c r="BI583" s="216"/>
      <c r="BJ583" s="1469"/>
      <c r="BK583" s="1459"/>
      <c r="BL583" s="260"/>
      <c r="BM583" s="214"/>
      <c r="BN583" s="293"/>
      <c r="BO583" s="217"/>
      <c r="BP583" s="355"/>
      <c r="BQ583" s="217"/>
      <c r="BR583" s="1193"/>
      <c r="BS583" s="249"/>
      <c r="BT583" s="216"/>
      <c r="BU583" s="1195"/>
      <c r="BV583" s="249"/>
      <c r="BW583" s="216"/>
      <c r="BX583" s="1195"/>
      <c r="BY583" s="249"/>
      <c r="BZ583" s="216"/>
      <c r="CA583" s="1195"/>
      <c r="CB583" s="249"/>
      <c r="CC583" s="216"/>
      <c r="CD583" s="1195"/>
      <c r="CE583" s="249"/>
      <c r="CF583" s="216"/>
      <c r="CG583" s="1195"/>
      <c r="CH583" s="249"/>
      <c r="CI583" s="216"/>
      <c r="CJ583" s="1195"/>
      <c r="CK583" s="249"/>
      <c r="CL583" s="216"/>
      <c r="CM583" s="1194"/>
      <c r="CN583" s="1524"/>
      <c r="CO583" s="217"/>
      <c r="CP583" s="1193"/>
      <c r="CQ583" s="293"/>
      <c r="CR583" s="217"/>
      <c r="CS583" s="305"/>
      <c r="CT583" s="249"/>
      <c r="CU583" s="216"/>
      <c r="CV583" s="1193"/>
      <c r="CW583" s="249"/>
      <c r="CX583" s="216"/>
      <c r="CY583" s="305"/>
      <c r="CZ583" s="249"/>
      <c r="DA583" s="216"/>
      <c r="DB583" s="307"/>
      <c r="DC583" s="328"/>
      <c r="DD583" s="322"/>
      <c r="DE583" s="305"/>
      <c r="DF583" s="249"/>
      <c r="DG583" s="216"/>
      <c r="DH583" s="305"/>
      <c r="DI583" s="249"/>
      <c r="DJ583" s="216"/>
      <c r="DK583" s="309"/>
      <c r="DL583" s="293"/>
      <c r="DM583" s="326"/>
      <c r="DN583" s="1256"/>
      <c r="DO583" s="214"/>
      <c r="DP583" s="1257"/>
      <c r="DQ583" s="1258"/>
      <c r="DR583" s="305"/>
      <c r="DS583" s="249"/>
      <c r="DT583" s="216"/>
      <c r="DU583" s="305"/>
      <c r="DV583" s="2520"/>
      <c r="DW583" s="2521"/>
      <c r="DX583" s="305"/>
      <c r="DY583" s="249"/>
      <c r="DZ583" s="221"/>
      <c r="EA583" s="388"/>
      <c r="EB583" s="249"/>
      <c r="EC583" s="216"/>
      <c r="ED583" s="1461"/>
      <c r="EE583" s="249"/>
      <c r="EF583" s="216"/>
      <c r="EG583" s="355"/>
      <c r="EH583" s="1425"/>
      <c r="EI583" s="1470"/>
      <c r="EJ583" s="249"/>
      <c r="EK583" s="221"/>
      <c r="EL583" s="313"/>
      <c r="EM583" s="249"/>
      <c r="EN583" s="221"/>
      <c r="EO583" s="313"/>
      <c r="EP583" s="249"/>
      <c r="EQ583" s="216"/>
      <c r="ER583" s="313"/>
      <c r="ES583" s="249"/>
      <c r="ET583" s="216"/>
      <c r="EU583" s="313"/>
      <c r="EV583" s="249"/>
      <c r="EW583" s="216"/>
      <c r="EX583" s="2505"/>
      <c r="EY583" s="249"/>
      <c r="EZ583" s="221"/>
      <c r="FA583" s="313"/>
      <c r="FB583" s="249"/>
      <c r="FC583" s="221"/>
      <c r="FD583" s="313"/>
      <c r="FE583" s="249"/>
      <c r="FF583" s="221"/>
      <c r="FG583" s="313"/>
      <c r="FH583" s="249"/>
      <c r="FI583" s="216"/>
      <c r="FJ583" s="1435"/>
      <c r="FK583" s="216"/>
      <c r="FL583" s="1268"/>
      <c r="FM583" s="1655"/>
      <c r="FN583" s="1268"/>
      <c r="FO583" s="1655"/>
      <c r="FP583" s="1268"/>
      <c r="FQ583" s="1656"/>
      <c r="FR583" s="249"/>
      <c r="FS583" s="216"/>
      <c r="FT583" s="1657"/>
      <c r="FU583" s="1658"/>
      <c r="FV583" s="242"/>
      <c r="FW583" s="343"/>
      <c r="FX583" s="222"/>
      <c r="FY583" s="336"/>
      <c r="FZ583" s="223"/>
      <c r="GA583" s="338"/>
      <c r="GB583" s="204"/>
      <c r="GC583" s="339"/>
      <c r="GD583" s="342"/>
      <c r="GE583" s="199"/>
      <c r="GF583" s="199"/>
      <c r="GG583" s="199"/>
      <c r="GH583" s="199"/>
      <c r="GI583" s="199"/>
      <c r="GJ583" s="199"/>
      <c r="GK583" s="199"/>
      <c r="GO583" s="322"/>
      <c r="GP583" s="1190"/>
      <c r="GQ583" s="1190"/>
      <c r="GS583" s="2879"/>
      <c r="GT583" s="2880"/>
      <c r="GU583" s="2881"/>
    </row>
    <row r="584" spans="1:203" ht="12" customHeight="1">
      <c r="A584" s="1252"/>
      <c r="B584" s="200"/>
      <c r="C584" s="486"/>
      <c r="T584" s="1186"/>
      <c r="U584" s="233"/>
      <c r="W584" s="218"/>
      <c r="X584" s="218"/>
      <c r="Y584" s="216"/>
      <c r="Z584" s="216"/>
      <c r="AA584" s="215"/>
      <c r="AB584" s="216"/>
      <c r="AC584" s="216"/>
      <c r="AD584" s="239"/>
      <c r="AE584" s="216"/>
      <c r="AF584" s="216"/>
      <c r="AG584" s="216"/>
      <c r="AH584" s="216"/>
      <c r="AI584" s="216"/>
      <c r="AJ584" s="216"/>
      <c r="AK584" s="239"/>
      <c r="AL584" s="216"/>
      <c r="AM584" s="216"/>
      <c r="AN584" s="216"/>
      <c r="AO584" s="216"/>
      <c r="AP584" s="216"/>
      <c r="AQ584" s="216"/>
      <c r="AR584" s="216"/>
      <c r="AS584" s="216"/>
      <c r="AT584" s="216"/>
      <c r="AU584" s="216"/>
      <c r="AV584" s="217"/>
      <c r="AW584" s="355"/>
      <c r="AX584" s="217"/>
      <c r="AY584" s="305"/>
      <c r="AZ584" s="249"/>
      <c r="BA584" s="221"/>
      <c r="BB584" s="300"/>
      <c r="BC584" s="217"/>
      <c r="BD584" s="392"/>
      <c r="BE584" s="1244"/>
      <c r="BF584" s="249"/>
      <c r="BG584" s="252"/>
      <c r="BH584" s="1469"/>
      <c r="BI584" s="216"/>
      <c r="BJ584" s="1469"/>
      <c r="BK584" s="1459"/>
      <c r="BL584" s="260"/>
      <c r="BM584" s="214"/>
      <c r="BN584" s="293"/>
      <c r="BO584" s="217"/>
      <c r="BP584" s="355"/>
      <c r="BQ584" s="217"/>
      <c r="BR584" s="1193"/>
      <c r="BS584" s="249"/>
      <c r="BT584" s="216"/>
      <c r="BU584" s="1195"/>
      <c r="BV584" s="249"/>
      <c r="BW584" s="216"/>
      <c r="BX584" s="1195"/>
      <c r="BY584" s="249"/>
      <c r="BZ584" s="216"/>
      <c r="CA584" s="1195"/>
      <c r="CB584" s="249"/>
      <c r="CC584" s="216"/>
      <c r="CD584" s="1195"/>
      <c r="CE584" s="249"/>
      <c r="CF584" s="216"/>
      <c r="CG584" s="1195"/>
      <c r="CH584" s="249"/>
      <c r="CI584" s="216"/>
      <c r="CJ584" s="1195"/>
      <c r="CK584" s="249"/>
      <c r="CL584" s="216"/>
      <c r="CM584" s="1194"/>
      <c r="CN584" s="1524"/>
      <c r="CO584" s="217"/>
      <c r="CP584" s="1193"/>
      <c r="CQ584" s="293"/>
      <c r="CR584" s="217"/>
      <c r="CS584" s="305"/>
      <c r="CT584" s="249"/>
      <c r="CU584" s="216"/>
      <c r="CV584" s="1193"/>
      <c r="CW584" s="249"/>
      <c r="CX584" s="216"/>
      <c r="CY584" s="305"/>
      <c r="CZ584" s="249"/>
      <c r="DA584" s="216"/>
      <c r="DB584" s="307"/>
      <c r="DC584" s="328"/>
      <c r="DD584" s="322"/>
      <c r="DE584" s="305"/>
      <c r="DF584" s="249"/>
      <c r="DG584" s="216"/>
      <c r="DH584" s="305"/>
      <c r="DI584" s="249"/>
      <c r="DJ584" s="216"/>
      <c r="DK584" s="309"/>
      <c r="DL584" s="293"/>
      <c r="DM584" s="326"/>
      <c r="DN584" s="1256"/>
      <c r="DO584" s="214"/>
      <c r="DP584" s="1257"/>
      <c r="DQ584" s="1258"/>
      <c r="DR584" s="305"/>
      <c r="DS584" s="249"/>
      <c r="DT584" s="216"/>
      <c r="DU584" s="305"/>
      <c r="DV584" s="2520"/>
      <c r="DW584" s="2521"/>
      <c r="DX584" s="305"/>
      <c r="DY584" s="249"/>
      <c r="DZ584" s="221"/>
      <c r="EA584" s="388"/>
      <c r="EB584" s="249"/>
      <c r="EC584" s="216"/>
      <c r="ED584" s="1461"/>
      <c r="EE584" s="249"/>
      <c r="EF584" s="216"/>
      <c r="EG584" s="355"/>
      <c r="EH584" s="1425"/>
      <c r="EI584" s="1470"/>
      <c r="EJ584" s="249"/>
      <c r="EK584" s="221"/>
      <c r="EL584" s="313"/>
      <c r="EM584" s="249"/>
      <c r="EN584" s="221"/>
      <c r="EO584" s="313"/>
      <c r="EP584" s="249"/>
      <c r="EQ584" s="216"/>
      <c r="ER584" s="313"/>
      <c r="ES584" s="249"/>
      <c r="ET584" s="216"/>
      <c r="EU584" s="313"/>
      <c r="EV584" s="249"/>
      <c r="EW584" s="216"/>
      <c r="EX584" s="2505"/>
      <c r="EY584" s="249"/>
      <c r="EZ584" s="221"/>
      <c r="FA584" s="313"/>
      <c r="FB584" s="249"/>
      <c r="FC584" s="221"/>
      <c r="FD584" s="313"/>
      <c r="FE584" s="249"/>
      <c r="FF584" s="221"/>
      <c r="FG584" s="313"/>
      <c r="FH584" s="249"/>
      <c r="FI584" s="216"/>
      <c r="FJ584" s="1435"/>
      <c r="FK584" s="216"/>
      <c r="FL584" s="1268"/>
      <c r="FM584" s="1655"/>
      <c r="FN584" s="1268"/>
      <c r="FO584" s="1655"/>
      <c r="FP584" s="1268"/>
      <c r="FQ584" s="1656"/>
      <c r="FR584" s="249"/>
      <c r="FS584" s="216"/>
      <c r="FT584" s="1657"/>
      <c r="FU584" s="1658"/>
      <c r="FV584" s="242"/>
      <c r="FW584" s="343"/>
      <c r="FX584" s="222"/>
      <c r="FY584" s="336"/>
      <c r="FZ584" s="223"/>
      <c r="GA584" s="338"/>
      <c r="GB584" s="204"/>
      <c r="GC584" s="339"/>
      <c r="GD584" s="342"/>
      <c r="GE584" s="199"/>
      <c r="GF584" s="199"/>
      <c r="GG584" s="199"/>
      <c r="GH584" s="199"/>
      <c r="GI584" s="199"/>
      <c r="GJ584" s="199"/>
      <c r="GK584" s="199"/>
      <c r="GO584" s="322"/>
      <c r="GP584" s="1190"/>
      <c r="GQ584" s="1190"/>
      <c r="GS584" s="2879"/>
      <c r="GT584" s="2880"/>
      <c r="GU584" s="2881"/>
    </row>
    <row r="585" spans="1:203" ht="12" customHeight="1">
      <c r="A585" s="1252"/>
      <c r="B585" s="200"/>
      <c r="C585" s="486"/>
      <c r="T585" s="1186"/>
      <c r="U585" s="233"/>
      <c r="W585" s="218"/>
      <c r="X585" s="218"/>
      <c r="Y585" s="216"/>
      <c r="Z585" s="216"/>
      <c r="AA585" s="215"/>
      <c r="AB585" s="216"/>
      <c r="AC585" s="216"/>
      <c r="AD585" s="239"/>
      <c r="AE585" s="216"/>
      <c r="AF585" s="216"/>
      <c r="AG585" s="216"/>
      <c r="AH585" s="216"/>
      <c r="AI585" s="216"/>
      <c r="AJ585" s="216"/>
      <c r="AK585" s="239"/>
      <c r="AL585" s="216"/>
      <c r="AM585" s="216"/>
      <c r="AN585" s="216"/>
      <c r="AO585" s="216"/>
      <c r="AP585" s="216"/>
      <c r="AQ585" s="216"/>
      <c r="AR585" s="216"/>
      <c r="AS585" s="216"/>
      <c r="AT585" s="216"/>
      <c r="AU585" s="216"/>
      <c r="AV585" s="217"/>
      <c r="AW585" s="355"/>
      <c r="AX585" s="217"/>
      <c r="AY585" s="305"/>
      <c r="AZ585" s="249"/>
      <c r="BA585" s="221"/>
      <c r="BB585" s="300"/>
      <c r="BC585" s="217"/>
      <c r="BD585" s="392"/>
      <c r="BE585" s="1244"/>
      <c r="BF585" s="249"/>
      <c r="BG585" s="252"/>
      <c r="BH585" s="1469"/>
      <c r="BI585" s="216"/>
      <c r="BJ585" s="1469"/>
      <c r="BK585" s="1459"/>
      <c r="BL585" s="260"/>
      <c r="BM585" s="214"/>
      <c r="BN585" s="293"/>
      <c r="BO585" s="217"/>
      <c r="BP585" s="355"/>
      <c r="BQ585" s="217"/>
      <c r="BR585" s="1193"/>
      <c r="BS585" s="249"/>
      <c r="BT585" s="216"/>
      <c r="BU585" s="1195"/>
      <c r="BV585" s="249"/>
      <c r="BW585" s="216"/>
      <c r="BX585" s="1195"/>
      <c r="BY585" s="249"/>
      <c r="BZ585" s="216"/>
      <c r="CA585" s="1195"/>
      <c r="CB585" s="249"/>
      <c r="CC585" s="216"/>
      <c r="CD585" s="1195"/>
      <c r="CE585" s="249"/>
      <c r="CF585" s="216"/>
      <c r="CG585" s="1195"/>
      <c r="CH585" s="249"/>
      <c r="CI585" s="216"/>
      <c r="CJ585" s="1195"/>
      <c r="CK585" s="249"/>
      <c r="CL585" s="216"/>
      <c r="CM585" s="1194"/>
      <c r="CN585" s="1524"/>
      <c r="CO585" s="217"/>
      <c r="CP585" s="1193"/>
      <c r="CQ585" s="293"/>
      <c r="CR585" s="217"/>
      <c r="CS585" s="305"/>
      <c r="CT585" s="249"/>
      <c r="CU585" s="216"/>
      <c r="CV585" s="1193"/>
      <c r="CW585" s="249"/>
      <c r="CX585" s="216"/>
      <c r="CY585" s="305"/>
      <c r="CZ585" s="249"/>
      <c r="DA585" s="216"/>
      <c r="DB585" s="307"/>
      <c r="DC585" s="328"/>
      <c r="DD585" s="322"/>
      <c r="DE585" s="305"/>
      <c r="DF585" s="249"/>
      <c r="DG585" s="216"/>
      <c r="DH585" s="305"/>
      <c r="DI585" s="249"/>
      <c r="DJ585" s="216"/>
      <c r="DK585" s="309"/>
      <c r="DL585" s="293"/>
      <c r="DM585" s="326"/>
      <c r="DN585" s="1256"/>
      <c r="DO585" s="214"/>
      <c r="DP585" s="1257"/>
      <c r="DQ585" s="1258"/>
      <c r="DR585" s="305"/>
      <c r="DS585" s="249"/>
      <c r="DT585" s="216"/>
      <c r="DU585" s="305"/>
      <c r="DV585" s="2520"/>
      <c r="DW585" s="2521"/>
      <c r="DX585" s="305"/>
      <c r="DY585" s="249"/>
      <c r="DZ585" s="221"/>
      <c r="EA585" s="388"/>
      <c r="EB585" s="249"/>
      <c r="EC585" s="216"/>
      <c r="ED585" s="1461"/>
      <c r="EE585" s="249"/>
      <c r="EF585" s="216"/>
      <c r="EG585" s="355"/>
      <c r="EH585" s="1425"/>
      <c r="EI585" s="1470"/>
      <c r="EJ585" s="249"/>
      <c r="EK585" s="221"/>
      <c r="EL585" s="313"/>
      <c r="EM585" s="249"/>
      <c r="EN585" s="221"/>
      <c r="EO585" s="313"/>
      <c r="EP585" s="249"/>
      <c r="EQ585" s="216"/>
      <c r="ER585" s="313"/>
      <c r="ES585" s="249"/>
      <c r="ET585" s="216"/>
      <c r="EU585" s="313"/>
      <c r="EV585" s="249"/>
      <c r="EW585" s="216"/>
      <c r="EX585" s="2505"/>
      <c r="EY585" s="249"/>
      <c r="EZ585" s="221"/>
      <c r="FA585" s="313"/>
      <c r="FB585" s="249"/>
      <c r="FC585" s="221"/>
      <c r="FD585" s="313"/>
      <c r="FE585" s="249"/>
      <c r="FF585" s="221"/>
      <c r="FG585" s="313"/>
      <c r="FH585" s="249"/>
      <c r="FI585" s="216"/>
      <c r="FJ585" s="1435"/>
      <c r="FK585" s="216"/>
      <c r="FL585" s="1268"/>
      <c r="FM585" s="1655"/>
      <c r="FN585" s="1268"/>
      <c r="FO585" s="1655"/>
      <c r="FP585" s="1268"/>
      <c r="FQ585" s="1656"/>
      <c r="FR585" s="249"/>
      <c r="FS585" s="216"/>
      <c r="FT585" s="1657"/>
      <c r="FU585" s="1658"/>
      <c r="FV585" s="242"/>
      <c r="FW585" s="343"/>
      <c r="FX585" s="222"/>
      <c r="FY585" s="336"/>
      <c r="FZ585" s="223"/>
      <c r="GA585" s="338"/>
      <c r="GB585" s="204"/>
      <c r="GC585" s="339"/>
      <c r="GD585" s="342"/>
      <c r="GE585" s="199"/>
      <c r="GF585" s="199"/>
      <c r="GG585" s="199"/>
      <c r="GH585" s="199"/>
      <c r="GI585" s="199"/>
      <c r="GJ585" s="199"/>
      <c r="GK585" s="199"/>
      <c r="GO585" s="322"/>
      <c r="GP585" s="1190"/>
      <c r="GQ585" s="1190"/>
      <c r="GS585" s="2879"/>
      <c r="GT585" s="2880"/>
      <c r="GU585" s="2881"/>
    </row>
    <row r="586" spans="1:203" ht="12" customHeight="1">
      <c r="A586" s="1252"/>
      <c r="B586" s="200"/>
      <c r="C586" s="486"/>
      <c r="T586" s="1186"/>
      <c r="U586" s="233"/>
      <c r="W586" s="218"/>
      <c r="X586" s="218"/>
      <c r="Y586" s="216"/>
      <c r="Z586" s="216"/>
      <c r="AA586" s="215"/>
      <c r="AB586" s="216"/>
      <c r="AC586" s="216"/>
      <c r="AD586" s="239"/>
      <c r="AE586" s="216"/>
      <c r="AF586" s="216"/>
      <c r="AG586" s="216"/>
      <c r="AH586" s="216"/>
      <c r="AI586" s="216"/>
      <c r="AJ586" s="216"/>
      <c r="AK586" s="239"/>
      <c r="AL586" s="216"/>
      <c r="AM586" s="216"/>
      <c r="AN586" s="216"/>
      <c r="AO586" s="216"/>
      <c r="AP586" s="216"/>
      <c r="AQ586" s="216"/>
      <c r="AR586" s="216"/>
      <c r="AS586" s="216"/>
      <c r="AT586" s="216"/>
      <c r="AU586" s="216"/>
      <c r="AV586" s="217"/>
      <c r="AW586" s="355"/>
      <c r="AX586" s="217"/>
      <c r="AY586" s="305"/>
      <c r="AZ586" s="249"/>
      <c r="BA586" s="221"/>
      <c r="BB586" s="300"/>
      <c r="BC586" s="217"/>
      <c r="BD586" s="392"/>
      <c r="BE586" s="1244"/>
      <c r="BF586" s="249"/>
      <c r="BG586" s="252"/>
      <c r="BH586" s="1469"/>
      <c r="BI586" s="216"/>
      <c r="BJ586" s="1469"/>
      <c r="BK586" s="1459"/>
      <c r="BL586" s="260"/>
      <c r="BM586" s="214"/>
      <c r="BN586" s="293"/>
      <c r="BO586" s="217"/>
      <c r="BP586" s="355"/>
      <c r="BQ586" s="217"/>
      <c r="BR586" s="1193"/>
      <c r="BS586" s="249"/>
      <c r="BT586" s="216"/>
      <c r="BU586" s="1195"/>
      <c r="BV586" s="249"/>
      <c r="BW586" s="216"/>
      <c r="BX586" s="1195"/>
      <c r="BY586" s="249"/>
      <c r="BZ586" s="216"/>
      <c r="CA586" s="1195"/>
      <c r="CB586" s="249"/>
      <c r="CC586" s="216"/>
      <c r="CD586" s="1195"/>
      <c r="CE586" s="249"/>
      <c r="CF586" s="216"/>
      <c r="CG586" s="1195"/>
      <c r="CH586" s="249"/>
      <c r="CI586" s="216"/>
      <c r="CJ586" s="1195"/>
      <c r="CK586" s="249"/>
      <c r="CL586" s="216"/>
      <c r="CM586" s="1194"/>
      <c r="CN586" s="1524"/>
      <c r="CO586" s="217"/>
      <c r="CP586" s="1193"/>
      <c r="CQ586" s="293"/>
      <c r="CR586" s="217"/>
      <c r="CS586" s="305"/>
      <c r="CT586" s="249"/>
      <c r="CU586" s="216"/>
      <c r="CV586" s="1193"/>
      <c r="CW586" s="249"/>
      <c r="CX586" s="216"/>
      <c r="CY586" s="305"/>
      <c r="CZ586" s="249"/>
      <c r="DA586" s="216"/>
      <c r="DB586" s="307"/>
      <c r="DC586" s="328"/>
      <c r="DD586" s="322"/>
      <c r="DE586" s="305"/>
      <c r="DF586" s="249"/>
      <c r="DG586" s="216"/>
      <c r="DH586" s="305"/>
      <c r="DI586" s="249"/>
      <c r="DJ586" s="216"/>
      <c r="DK586" s="309"/>
      <c r="DL586" s="293"/>
      <c r="DM586" s="326"/>
      <c r="DN586" s="1256"/>
      <c r="DO586" s="214"/>
      <c r="DP586" s="1257"/>
      <c r="DQ586" s="1258"/>
      <c r="DR586" s="305"/>
      <c r="DS586" s="249"/>
      <c r="DT586" s="216"/>
      <c r="DU586" s="305"/>
      <c r="DV586" s="2520"/>
      <c r="DW586" s="2521"/>
      <c r="DX586" s="305"/>
      <c r="DY586" s="249"/>
      <c r="DZ586" s="221"/>
      <c r="EA586" s="388"/>
      <c r="EB586" s="249"/>
      <c r="EC586" s="216"/>
      <c r="ED586" s="1461"/>
      <c r="EE586" s="249"/>
      <c r="EF586" s="216"/>
      <c r="EG586" s="355"/>
      <c r="EH586" s="1425"/>
      <c r="EI586" s="1470"/>
      <c r="EJ586" s="249"/>
      <c r="EK586" s="221"/>
      <c r="EL586" s="313"/>
      <c r="EM586" s="249"/>
      <c r="EN586" s="221"/>
      <c r="EO586" s="313"/>
      <c r="EP586" s="249"/>
      <c r="EQ586" s="216"/>
      <c r="ER586" s="313"/>
      <c r="ES586" s="249"/>
      <c r="ET586" s="216"/>
      <c r="EU586" s="313"/>
      <c r="EV586" s="249"/>
      <c r="EW586" s="216"/>
      <c r="EX586" s="2505"/>
      <c r="EY586" s="249"/>
      <c r="EZ586" s="221"/>
      <c r="FA586" s="313"/>
      <c r="FB586" s="249"/>
      <c r="FC586" s="221"/>
      <c r="FD586" s="313"/>
      <c r="FE586" s="249"/>
      <c r="FF586" s="221"/>
      <c r="FG586" s="313"/>
      <c r="FH586" s="249"/>
      <c r="FI586" s="216"/>
      <c r="FJ586" s="1435"/>
      <c r="FK586" s="216"/>
      <c r="FL586" s="1268"/>
      <c r="FM586" s="1655"/>
      <c r="FN586" s="1268"/>
      <c r="FO586" s="1655"/>
      <c r="FP586" s="1268"/>
      <c r="FQ586" s="1656"/>
      <c r="FR586" s="249"/>
      <c r="FS586" s="216"/>
      <c r="FT586" s="1657"/>
      <c r="FU586" s="1658"/>
      <c r="FV586" s="242"/>
      <c r="FW586" s="343"/>
      <c r="FX586" s="222"/>
      <c r="FY586" s="336"/>
      <c r="FZ586" s="223"/>
      <c r="GA586" s="338"/>
      <c r="GB586" s="204"/>
      <c r="GC586" s="339"/>
      <c r="GD586" s="342"/>
      <c r="GE586" s="199"/>
      <c r="GF586" s="199"/>
      <c r="GG586" s="199"/>
      <c r="GH586" s="199"/>
      <c r="GI586" s="199"/>
      <c r="GJ586" s="199"/>
      <c r="GK586" s="199"/>
      <c r="GO586" s="322"/>
      <c r="GP586" s="1190"/>
      <c r="GQ586" s="1190"/>
      <c r="GS586" s="2879"/>
      <c r="GT586" s="2880"/>
      <c r="GU586" s="2881"/>
    </row>
    <row r="587" spans="1:203" ht="12" customHeight="1">
      <c r="A587" s="1252"/>
      <c r="B587" s="200"/>
      <c r="C587" s="486"/>
      <c r="T587" s="1186"/>
      <c r="U587" s="233"/>
      <c r="W587" s="218"/>
      <c r="X587" s="218"/>
      <c r="Y587" s="216"/>
      <c r="Z587" s="216"/>
      <c r="AA587" s="215"/>
      <c r="AB587" s="216"/>
      <c r="AC587" s="216"/>
      <c r="AD587" s="239"/>
      <c r="AE587" s="216"/>
      <c r="AF587" s="216"/>
      <c r="AG587" s="216"/>
      <c r="AH587" s="216"/>
      <c r="AI587" s="216"/>
      <c r="AJ587" s="216"/>
      <c r="AK587" s="239"/>
      <c r="AL587" s="216"/>
      <c r="AM587" s="216"/>
      <c r="AN587" s="216"/>
      <c r="AO587" s="216"/>
      <c r="AP587" s="216"/>
      <c r="AQ587" s="216"/>
      <c r="AR587" s="216"/>
      <c r="AS587" s="216"/>
      <c r="AT587" s="216"/>
      <c r="AU587" s="216"/>
      <c r="AV587" s="217"/>
      <c r="AW587" s="355"/>
      <c r="AX587" s="217"/>
      <c r="AY587" s="305"/>
      <c r="AZ587" s="249"/>
      <c r="BA587" s="221"/>
      <c r="BB587" s="300"/>
      <c r="BC587" s="217"/>
      <c r="BD587" s="392"/>
      <c r="BE587" s="1244"/>
      <c r="BF587" s="249"/>
      <c r="BG587" s="252"/>
      <c r="BH587" s="1469"/>
      <c r="BI587" s="216"/>
      <c r="BJ587" s="1469"/>
      <c r="BK587" s="1459"/>
      <c r="BL587" s="260"/>
      <c r="BM587" s="214"/>
      <c r="BN587" s="293"/>
      <c r="BO587" s="217"/>
      <c r="BP587" s="355"/>
      <c r="BQ587" s="217"/>
      <c r="BR587" s="1193"/>
      <c r="BS587" s="249"/>
      <c r="BT587" s="216"/>
      <c r="BU587" s="1195"/>
      <c r="BV587" s="249"/>
      <c r="BW587" s="216"/>
      <c r="BX587" s="1195"/>
      <c r="BY587" s="249"/>
      <c r="BZ587" s="216"/>
      <c r="CA587" s="1195"/>
      <c r="CB587" s="249"/>
      <c r="CC587" s="216"/>
      <c r="CD587" s="1195"/>
      <c r="CE587" s="249"/>
      <c r="CF587" s="216"/>
      <c r="CG587" s="1195"/>
      <c r="CH587" s="249"/>
      <c r="CI587" s="216"/>
      <c r="CJ587" s="1195"/>
      <c r="CK587" s="249"/>
      <c r="CL587" s="216"/>
      <c r="CM587" s="1194"/>
      <c r="CN587" s="1524"/>
      <c r="CO587" s="217"/>
      <c r="CP587" s="1193"/>
      <c r="CQ587" s="293"/>
      <c r="CR587" s="217"/>
      <c r="CS587" s="305"/>
      <c r="CT587" s="249"/>
      <c r="CU587" s="216"/>
      <c r="CV587" s="1193"/>
      <c r="CW587" s="249"/>
      <c r="CX587" s="216"/>
      <c r="CY587" s="305"/>
      <c r="CZ587" s="249"/>
      <c r="DA587" s="216"/>
      <c r="DB587" s="307"/>
      <c r="DC587" s="328"/>
      <c r="DD587" s="322"/>
      <c r="DE587" s="305"/>
      <c r="DF587" s="249"/>
      <c r="DG587" s="216"/>
      <c r="DH587" s="305"/>
      <c r="DI587" s="249"/>
      <c r="DJ587" s="216"/>
      <c r="DK587" s="309"/>
      <c r="DL587" s="293"/>
      <c r="DM587" s="326"/>
      <c r="DN587" s="1256"/>
      <c r="DO587" s="214"/>
      <c r="DP587" s="1257"/>
      <c r="DQ587" s="1258"/>
      <c r="DR587" s="305"/>
      <c r="DS587" s="249"/>
      <c r="DT587" s="216"/>
      <c r="DU587" s="305"/>
      <c r="DV587" s="2520"/>
      <c r="DW587" s="2521"/>
      <c r="DX587" s="305"/>
      <c r="DY587" s="249"/>
      <c r="DZ587" s="221"/>
      <c r="EA587" s="388"/>
      <c r="EB587" s="249"/>
      <c r="EC587" s="216"/>
      <c r="ED587" s="1461"/>
      <c r="EE587" s="249"/>
      <c r="EF587" s="216"/>
      <c r="EG587" s="355"/>
      <c r="EH587" s="1425"/>
      <c r="EI587" s="1470"/>
      <c r="EJ587" s="249"/>
      <c r="EK587" s="221"/>
      <c r="EL587" s="313"/>
      <c r="EM587" s="249"/>
      <c r="EN587" s="221"/>
      <c r="EO587" s="313"/>
      <c r="EP587" s="249"/>
      <c r="EQ587" s="216"/>
      <c r="ER587" s="313"/>
      <c r="ES587" s="249"/>
      <c r="ET587" s="216"/>
      <c r="EU587" s="313"/>
      <c r="EV587" s="249"/>
      <c r="EW587" s="216"/>
      <c r="EX587" s="2505"/>
      <c r="EY587" s="249"/>
      <c r="EZ587" s="221"/>
      <c r="FA587" s="313"/>
      <c r="FB587" s="249"/>
      <c r="FC587" s="221"/>
      <c r="FD587" s="313"/>
      <c r="FE587" s="249"/>
      <c r="FF587" s="221"/>
      <c r="FG587" s="313"/>
      <c r="FH587" s="249"/>
      <c r="FI587" s="216"/>
      <c r="FJ587" s="1435"/>
      <c r="FK587" s="216"/>
      <c r="FL587" s="1268"/>
      <c r="FM587" s="1655"/>
      <c r="FN587" s="1268"/>
      <c r="FO587" s="1655"/>
      <c r="FP587" s="1268"/>
      <c r="FQ587" s="1656"/>
      <c r="FR587" s="249"/>
      <c r="FS587" s="216"/>
      <c r="FT587" s="1657"/>
      <c r="FU587" s="1658"/>
      <c r="FV587" s="242"/>
      <c r="FW587" s="343"/>
      <c r="FX587" s="222"/>
      <c r="FY587" s="336"/>
      <c r="FZ587" s="223"/>
      <c r="GA587" s="338"/>
      <c r="GB587" s="204"/>
      <c r="GC587" s="339"/>
      <c r="GD587" s="342"/>
      <c r="GE587" s="199"/>
      <c r="GF587" s="199"/>
      <c r="GG587" s="199"/>
      <c r="GH587" s="199"/>
      <c r="GI587" s="199"/>
      <c r="GJ587" s="199"/>
      <c r="GK587" s="199"/>
      <c r="GO587" s="322"/>
      <c r="GP587" s="1190"/>
      <c r="GQ587" s="1190"/>
      <c r="GS587" s="2879"/>
      <c r="GT587" s="2880"/>
      <c r="GU587" s="2881"/>
    </row>
    <row r="588" spans="1:203" ht="12" customHeight="1">
      <c r="A588" s="1252"/>
      <c r="B588" s="200"/>
      <c r="C588" s="486"/>
      <c r="T588" s="1186"/>
      <c r="U588" s="233"/>
      <c r="W588" s="218"/>
      <c r="X588" s="218"/>
      <c r="Y588" s="216"/>
      <c r="Z588" s="216"/>
      <c r="AA588" s="215"/>
      <c r="AB588" s="216"/>
      <c r="AC588" s="216"/>
      <c r="AD588" s="239"/>
      <c r="AE588" s="216"/>
      <c r="AF588" s="216"/>
      <c r="AG588" s="216"/>
      <c r="AH588" s="216"/>
      <c r="AI588" s="216"/>
      <c r="AJ588" s="216"/>
      <c r="AK588" s="239"/>
      <c r="AL588" s="216"/>
      <c r="AM588" s="216"/>
      <c r="AN588" s="216"/>
      <c r="AO588" s="216"/>
      <c r="AP588" s="216"/>
      <c r="AQ588" s="216"/>
      <c r="AR588" s="216"/>
      <c r="AS588" s="216"/>
      <c r="AT588" s="216"/>
      <c r="AU588" s="216"/>
      <c r="AV588" s="217"/>
      <c r="AW588" s="355"/>
      <c r="AX588" s="217"/>
      <c r="AY588" s="305"/>
      <c r="AZ588" s="249"/>
      <c r="BA588" s="221"/>
      <c r="BB588" s="300"/>
      <c r="BC588" s="217"/>
      <c r="BD588" s="392"/>
      <c r="BE588" s="1244"/>
      <c r="BF588" s="249"/>
      <c r="BG588" s="252"/>
      <c r="BH588" s="1469"/>
      <c r="BI588" s="216"/>
      <c r="BJ588" s="1469"/>
      <c r="BK588" s="1459"/>
      <c r="BL588" s="260"/>
      <c r="BM588" s="214"/>
      <c r="BN588" s="293"/>
      <c r="BO588" s="217"/>
      <c r="BP588" s="355"/>
      <c r="BQ588" s="217"/>
      <c r="BR588" s="1193"/>
      <c r="BS588" s="249"/>
      <c r="BT588" s="216"/>
      <c r="BU588" s="1195"/>
      <c r="BV588" s="249"/>
      <c r="BW588" s="216"/>
      <c r="BX588" s="1195"/>
      <c r="BY588" s="249"/>
      <c r="BZ588" s="216"/>
      <c r="CA588" s="1195"/>
      <c r="CB588" s="249"/>
      <c r="CC588" s="216"/>
      <c r="CD588" s="1195"/>
      <c r="CE588" s="249"/>
      <c r="CF588" s="216"/>
      <c r="CG588" s="1195"/>
      <c r="CH588" s="249"/>
      <c r="CI588" s="216"/>
      <c r="CJ588" s="1195"/>
      <c r="CK588" s="249"/>
      <c r="CL588" s="216"/>
      <c r="CM588" s="1194"/>
      <c r="CN588" s="1524"/>
      <c r="CO588" s="217"/>
      <c r="CP588" s="1193"/>
      <c r="CQ588" s="293"/>
      <c r="CR588" s="217"/>
      <c r="CS588" s="305"/>
      <c r="CT588" s="249"/>
      <c r="CU588" s="216"/>
      <c r="CV588" s="1193"/>
      <c r="CW588" s="249"/>
      <c r="CX588" s="216"/>
      <c r="CY588" s="305"/>
      <c r="CZ588" s="249"/>
      <c r="DA588" s="216"/>
      <c r="DB588" s="307"/>
      <c r="DC588" s="328"/>
      <c r="DD588" s="322"/>
      <c r="DE588" s="305"/>
      <c r="DF588" s="249"/>
      <c r="DG588" s="216"/>
      <c r="DH588" s="305"/>
      <c r="DI588" s="249"/>
      <c r="DJ588" s="216"/>
      <c r="DK588" s="309"/>
      <c r="DL588" s="293"/>
      <c r="DM588" s="326"/>
      <c r="DN588" s="1256"/>
      <c r="DO588" s="214"/>
      <c r="DP588" s="1257"/>
      <c r="DQ588" s="1258"/>
      <c r="DR588" s="305"/>
      <c r="DS588" s="249"/>
      <c r="DT588" s="216"/>
      <c r="DU588" s="305"/>
      <c r="DV588" s="2520"/>
      <c r="DW588" s="2521"/>
      <c r="DX588" s="305"/>
      <c r="DY588" s="249"/>
      <c r="DZ588" s="221"/>
      <c r="EA588" s="388"/>
      <c r="EB588" s="249"/>
      <c r="EC588" s="216"/>
      <c r="ED588" s="1461"/>
      <c r="EE588" s="249"/>
      <c r="EF588" s="216"/>
      <c r="EG588" s="355"/>
      <c r="EH588" s="1425"/>
      <c r="EI588" s="1470"/>
      <c r="EJ588" s="249"/>
      <c r="EK588" s="221"/>
      <c r="EL588" s="313"/>
      <c r="EM588" s="249"/>
      <c r="EN588" s="221"/>
      <c r="EO588" s="313"/>
      <c r="EP588" s="249"/>
      <c r="EQ588" s="216"/>
      <c r="ER588" s="313"/>
      <c r="ES588" s="249"/>
      <c r="ET588" s="216"/>
      <c r="EU588" s="313"/>
      <c r="EV588" s="249"/>
      <c r="EW588" s="216"/>
      <c r="EX588" s="2505"/>
      <c r="EY588" s="249"/>
      <c r="EZ588" s="221"/>
      <c r="FA588" s="313"/>
      <c r="FB588" s="249"/>
      <c r="FC588" s="221"/>
      <c r="FD588" s="313"/>
      <c r="FE588" s="249"/>
      <c r="FF588" s="221"/>
      <c r="FG588" s="313"/>
      <c r="FH588" s="249"/>
      <c r="FI588" s="216"/>
      <c r="FJ588" s="1435"/>
      <c r="FK588" s="216"/>
      <c r="FL588" s="1268"/>
      <c r="FM588" s="1655"/>
      <c r="FN588" s="1268"/>
      <c r="FO588" s="1655"/>
      <c r="FP588" s="1268"/>
      <c r="FQ588" s="1656"/>
      <c r="FR588" s="249"/>
      <c r="FS588" s="216"/>
      <c r="FT588" s="1657"/>
      <c r="FU588" s="1658"/>
      <c r="FV588" s="242"/>
      <c r="FW588" s="343"/>
      <c r="FX588" s="222"/>
      <c r="FY588" s="336"/>
      <c r="FZ588" s="223"/>
      <c r="GA588" s="338"/>
      <c r="GB588" s="204"/>
      <c r="GC588" s="339"/>
      <c r="GD588" s="342"/>
      <c r="GE588" s="199"/>
      <c r="GF588" s="199"/>
      <c r="GG588" s="199"/>
      <c r="GH588" s="199"/>
      <c r="GI588" s="199"/>
      <c r="GJ588" s="199"/>
      <c r="GK588" s="199"/>
      <c r="GO588" s="322"/>
      <c r="GP588" s="1190"/>
      <c r="GQ588" s="1190"/>
      <c r="GS588" s="2879"/>
      <c r="GT588" s="2880"/>
      <c r="GU588" s="2881"/>
    </row>
    <row r="589" spans="1:203" ht="12" customHeight="1">
      <c r="A589" s="1252"/>
      <c r="B589" s="200"/>
      <c r="C589" s="486"/>
      <c r="T589" s="1186"/>
      <c r="U589" s="233"/>
      <c r="W589" s="218"/>
      <c r="X589" s="218"/>
      <c r="Y589" s="216"/>
      <c r="Z589" s="216"/>
      <c r="AA589" s="215"/>
      <c r="AB589" s="216"/>
      <c r="AC589" s="216"/>
      <c r="AD589" s="239"/>
      <c r="AE589" s="216"/>
      <c r="AF589" s="216"/>
      <c r="AG589" s="216"/>
      <c r="AH589" s="216"/>
      <c r="AI589" s="216"/>
      <c r="AJ589" s="216"/>
      <c r="AK589" s="239"/>
      <c r="AL589" s="216"/>
      <c r="AM589" s="216"/>
      <c r="AN589" s="216"/>
      <c r="AO589" s="216"/>
      <c r="AP589" s="216"/>
      <c r="AQ589" s="216"/>
      <c r="AR589" s="216"/>
      <c r="AS589" s="216"/>
      <c r="AT589" s="216"/>
      <c r="AU589" s="216"/>
      <c r="AV589" s="217"/>
      <c r="AW589" s="355"/>
      <c r="AX589" s="217"/>
      <c r="AY589" s="305"/>
      <c r="AZ589" s="249"/>
      <c r="BA589" s="221"/>
      <c r="BB589" s="300"/>
      <c r="BC589" s="217"/>
      <c r="BD589" s="392"/>
      <c r="BE589" s="1244"/>
      <c r="BF589" s="249"/>
      <c r="BG589" s="252"/>
      <c r="BH589" s="1469"/>
      <c r="BI589" s="216"/>
      <c r="BJ589" s="1469"/>
      <c r="BK589" s="1459"/>
      <c r="BL589" s="260"/>
      <c r="BM589" s="214"/>
      <c r="BN589" s="293"/>
      <c r="BO589" s="217"/>
      <c r="BP589" s="355"/>
      <c r="BQ589" s="217"/>
      <c r="BR589" s="1193"/>
      <c r="BS589" s="249"/>
      <c r="BT589" s="216"/>
      <c r="BU589" s="1195"/>
      <c r="BV589" s="249"/>
      <c r="BW589" s="216"/>
      <c r="BX589" s="1195"/>
      <c r="BY589" s="249"/>
      <c r="BZ589" s="216"/>
      <c r="CA589" s="1195"/>
      <c r="CB589" s="249"/>
      <c r="CC589" s="216"/>
      <c r="CD589" s="1195"/>
      <c r="CE589" s="249"/>
      <c r="CF589" s="216"/>
      <c r="CG589" s="1195"/>
      <c r="CH589" s="249"/>
      <c r="CI589" s="216"/>
      <c r="CJ589" s="1195"/>
      <c r="CK589" s="249"/>
      <c r="CL589" s="216"/>
      <c r="CM589" s="1194"/>
      <c r="CN589" s="1524"/>
      <c r="CO589" s="217"/>
      <c r="CP589" s="1193"/>
      <c r="CQ589" s="293"/>
      <c r="CR589" s="217"/>
      <c r="CS589" s="305"/>
      <c r="CT589" s="249"/>
      <c r="CU589" s="216"/>
      <c r="CV589" s="1193"/>
      <c r="CW589" s="249"/>
      <c r="CX589" s="216"/>
      <c r="CY589" s="305"/>
      <c r="CZ589" s="249"/>
      <c r="DA589" s="216"/>
      <c r="DB589" s="307"/>
      <c r="DC589" s="328"/>
      <c r="DD589" s="322"/>
      <c r="DE589" s="305"/>
      <c r="DF589" s="249"/>
      <c r="DG589" s="216"/>
      <c r="DH589" s="305"/>
      <c r="DI589" s="249"/>
      <c r="DJ589" s="216"/>
      <c r="DK589" s="309"/>
      <c r="DL589" s="293"/>
      <c r="DM589" s="326"/>
      <c r="DN589" s="1256"/>
      <c r="DO589" s="214"/>
      <c r="DP589" s="1257"/>
      <c r="DQ589" s="1258"/>
      <c r="DR589" s="305"/>
      <c r="DS589" s="249"/>
      <c r="DT589" s="216"/>
      <c r="DU589" s="305"/>
      <c r="DV589" s="2520"/>
      <c r="DW589" s="2521"/>
      <c r="DX589" s="305"/>
      <c r="DY589" s="249"/>
      <c r="DZ589" s="221"/>
      <c r="EA589" s="388"/>
      <c r="EB589" s="249"/>
      <c r="EC589" s="216"/>
      <c r="ED589" s="1461"/>
      <c r="EE589" s="249"/>
      <c r="EF589" s="216"/>
      <c r="EG589" s="355"/>
      <c r="EH589" s="1425"/>
      <c r="EI589" s="1470"/>
      <c r="EJ589" s="249"/>
      <c r="EK589" s="221"/>
      <c r="EL589" s="313"/>
      <c r="EM589" s="249"/>
      <c r="EN589" s="221"/>
      <c r="EO589" s="313"/>
      <c r="EP589" s="249"/>
      <c r="EQ589" s="216"/>
      <c r="ER589" s="313"/>
      <c r="ES589" s="249"/>
      <c r="ET589" s="216"/>
      <c r="EU589" s="313"/>
      <c r="EV589" s="249"/>
      <c r="EW589" s="216"/>
      <c r="EX589" s="2505"/>
      <c r="EY589" s="249"/>
      <c r="EZ589" s="221"/>
      <c r="FA589" s="313"/>
      <c r="FB589" s="249"/>
      <c r="FC589" s="221"/>
      <c r="FD589" s="313"/>
      <c r="FE589" s="249"/>
      <c r="FF589" s="221"/>
      <c r="FG589" s="313"/>
      <c r="FH589" s="249"/>
      <c r="FI589" s="216"/>
      <c r="FJ589" s="1435"/>
      <c r="FK589" s="216"/>
      <c r="FL589" s="1268"/>
      <c r="FM589" s="1655"/>
      <c r="FN589" s="1268"/>
      <c r="FO589" s="1655"/>
      <c r="FP589" s="1268"/>
      <c r="FQ589" s="1656"/>
      <c r="FR589" s="249"/>
      <c r="FS589" s="216"/>
      <c r="FT589" s="1657"/>
      <c r="FU589" s="1658"/>
      <c r="FV589" s="242"/>
      <c r="FW589" s="343"/>
      <c r="FX589" s="222"/>
      <c r="FY589" s="336"/>
      <c r="FZ589" s="223"/>
      <c r="GA589" s="338"/>
      <c r="GB589" s="204"/>
      <c r="GC589" s="339"/>
      <c r="GD589" s="342"/>
      <c r="GE589" s="199"/>
      <c r="GF589" s="199"/>
      <c r="GG589" s="199"/>
      <c r="GH589" s="199"/>
      <c r="GI589" s="199"/>
      <c r="GJ589" s="199"/>
      <c r="GK589" s="199"/>
      <c r="GO589" s="322"/>
      <c r="GP589" s="1190"/>
      <c r="GQ589" s="1190"/>
      <c r="GS589" s="2879"/>
      <c r="GT589" s="2880"/>
      <c r="GU589" s="2881"/>
    </row>
    <row r="590" spans="1:203" ht="12" customHeight="1">
      <c r="A590" s="1252"/>
      <c r="B590" s="200"/>
      <c r="C590" s="486"/>
      <c r="T590" s="1186"/>
      <c r="U590" s="233"/>
      <c r="W590" s="218"/>
      <c r="X590" s="218"/>
      <c r="Y590" s="216"/>
      <c r="Z590" s="216"/>
      <c r="AA590" s="215"/>
      <c r="AB590" s="216"/>
      <c r="AC590" s="216"/>
      <c r="AD590" s="239"/>
      <c r="AE590" s="216"/>
      <c r="AF590" s="216"/>
      <c r="AG590" s="216"/>
      <c r="AH590" s="216"/>
      <c r="AI590" s="216"/>
      <c r="AJ590" s="216"/>
      <c r="AK590" s="239"/>
      <c r="AL590" s="216"/>
      <c r="AM590" s="216"/>
      <c r="AN590" s="216"/>
      <c r="AO590" s="216"/>
      <c r="AP590" s="216"/>
      <c r="AQ590" s="216"/>
      <c r="AR590" s="216"/>
      <c r="AS590" s="216"/>
      <c r="AT590" s="216"/>
      <c r="AU590" s="216"/>
      <c r="AV590" s="217"/>
      <c r="AW590" s="355"/>
      <c r="AX590" s="217"/>
      <c r="AY590" s="305"/>
      <c r="AZ590" s="249"/>
      <c r="BA590" s="221"/>
      <c r="BB590" s="300"/>
      <c r="BC590" s="217"/>
      <c r="BD590" s="392"/>
      <c r="BE590" s="1244"/>
      <c r="BF590" s="249"/>
      <c r="BG590" s="252"/>
      <c r="BH590" s="1469"/>
      <c r="BI590" s="216"/>
      <c r="BJ590" s="1469"/>
      <c r="BK590" s="1459"/>
      <c r="BL590" s="260"/>
      <c r="BM590" s="214"/>
      <c r="BN590" s="293"/>
      <c r="BO590" s="217"/>
      <c r="BP590" s="355"/>
      <c r="BQ590" s="217"/>
      <c r="BR590" s="1193"/>
      <c r="BS590" s="249"/>
      <c r="BT590" s="216"/>
      <c r="BU590" s="1195"/>
      <c r="BV590" s="249"/>
      <c r="BW590" s="216"/>
      <c r="BX590" s="1195"/>
      <c r="BY590" s="249"/>
      <c r="BZ590" s="216"/>
      <c r="CA590" s="1195"/>
      <c r="CB590" s="249"/>
      <c r="CC590" s="216"/>
      <c r="CD590" s="1195"/>
      <c r="CE590" s="249"/>
      <c r="CF590" s="216"/>
      <c r="CG590" s="1195"/>
      <c r="CH590" s="249"/>
      <c r="CI590" s="216"/>
      <c r="CJ590" s="1195"/>
      <c r="CK590" s="249"/>
      <c r="CL590" s="216"/>
      <c r="CM590" s="1194"/>
      <c r="CN590" s="1524"/>
      <c r="CO590" s="217"/>
      <c r="CP590" s="1193"/>
      <c r="CQ590" s="293"/>
      <c r="CR590" s="217"/>
      <c r="CS590" s="305"/>
      <c r="CT590" s="249"/>
      <c r="CU590" s="216"/>
      <c r="CV590" s="1193"/>
      <c r="CW590" s="249"/>
      <c r="CX590" s="216"/>
      <c r="CY590" s="305"/>
      <c r="CZ590" s="249"/>
      <c r="DA590" s="216"/>
      <c r="DB590" s="307"/>
      <c r="DC590" s="328"/>
      <c r="DD590" s="322"/>
      <c r="DE590" s="305"/>
      <c r="DF590" s="249"/>
      <c r="DG590" s="216"/>
      <c r="DH590" s="305"/>
      <c r="DI590" s="249"/>
      <c r="DJ590" s="216"/>
      <c r="DK590" s="309"/>
      <c r="DL590" s="293"/>
      <c r="DM590" s="326"/>
      <c r="DN590" s="1256"/>
      <c r="DO590" s="214"/>
      <c r="DP590" s="1257"/>
      <c r="DQ590" s="1258"/>
      <c r="DR590" s="305"/>
      <c r="DS590" s="249"/>
      <c r="DT590" s="216"/>
      <c r="DU590" s="305"/>
      <c r="DV590" s="2520"/>
      <c r="DW590" s="2521"/>
      <c r="DX590" s="305"/>
      <c r="DY590" s="249"/>
      <c r="DZ590" s="221"/>
      <c r="EA590" s="388"/>
      <c r="EB590" s="249"/>
      <c r="EC590" s="216"/>
      <c r="ED590" s="1461"/>
      <c r="EE590" s="249"/>
      <c r="EF590" s="216"/>
      <c r="EG590" s="355"/>
      <c r="EH590" s="1425"/>
      <c r="EI590" s="1470"/>
      <c r="EJ590" s="249"/>
      <c r="EK590" s="221"/>
      <c r="EL590" s="313"/>
      <c r="EM590" s="249"/>
      <c r="EN590" s="221"/>
      <c r="EO590" s="313"/>
      <c r="EP590" s="249"/>
      <c r="EQ590" s="216"/>
      <c r="ER590" s="313"/>
      <c r="ES590" s="249"/>
      <c r="ET590" s="216"/>
      <c r="EU590" s="313"/>
      <c r="EV590" s="249"/>
      <c r="EW590" s="216"/>
      <c r="EX590" s="2505"/>
      <c r="EY590" s="249"/>
      <c r="EZ590" s="221"/>
      <c r="FA590" s="313"/>
      <c r="FB590" s="249"/>
      <c r="FC590" s="221"/>
      <c r="FD590" s="313"/>
      <c r="FE590" s="249"/>
      <c r="FF590" s="221"/>
      <c r="FG590" s="313"/>
      <c r="FH590" s="249"/>
      <c r="FI590" s="216"/>
      <c r="FJ590" s="1435"/>
      <c r="FK590" s="216"/>
      <c r="FL590" s="1268"/>
      <c r="FM590" s="1655"/>
      <c r="FN590" s="1268"/>
      <c r="FO590" s="1655"/>
      <c r="FP590" s="1268"/>
      <c r="FQ590" s="1656"/>
      <c r="FR590" s="249"/>
      <c r="FS590" s="216"/>
      <c r="FT590" s="1657"/>
      <c r="FU590" s="1658"/>
      <c r="FV590" s="242"/>
      <c r="FW590" s="343"/>
      <c r="FX590" s="222"/>
      <c r="FY590" s="336"/>
      <c r="FZ590" s="223"/>
      <c r="GA590" s="338"/>
      <c r="GB590" s="204"/>
      <c r="GC590" s="339"/>
      <c r="GD590" s="342"/>
      <c r="GE590" s="199"/>
      <c r="GF590" s="199"/>
      <c r="GG590" s="199"/>
      <c r="GH590" s="199"/>
      <c r="GI590" s="199"/>
      <c r="GJ590" s="199"/>
      <c r="GK590" s="199"/>
      <c r="GO590" s="322"/>
      <c r="GP590" s="1190"/>
      <c r="GQ590" s="1190"/>
      <c r="GS590" s="2879"/>
      <c r="GT590" s="2880"/>
      <c r="GU590" s="2881"/>
    </row>
    <row r="591" spans="1:203" ht="12" customHeight="1">
      <c r="A591" s="1252"/>
      <c r="B591" s="200"/>
      <c r="C591" s="486"/>
      <c r="T591" s="1186"/>
      <c r="U591" s="233"/>
      <c r="W591" s="218"/>
      <c r="X591" s="218"/>
      <c r="Y591" s="216"/>
      <c r="Z591" s="216"/>
      <c r="AA591" s="215"/>
      <c r="AB591" s="216"/>
      <c r="AC591" s="216"/>
      <c r="AD591" s="239"/>
      <c r="AE591" s="216"/>
      <c r="AF591" s="216"/>
      <c r="AG591" s="216"/>
      <c r="AH591" s="216"/>
      <c r="AI591" s="216"/>
      <c r="AJ591" s="216"/>
      <c r="AK591" s="239"/>
      <c r="AL591" s="216"/>
      <c r="AM591" s="216"/>
      <c r="AN591" s="216"/>
      <c r="AO591" s="216"/>
      <c r="AP591" s="216"/>
      <c r="AQ591" s="216"/>
      <c r="AR591" s="216"/>
      <c r="AS591" s="216"/>
      <c r="AT591" s="216"/>
      <c r="AU591" s="216"/>
      <c r="AV591" s="217"/>
      <c r="AW591" s="355"/>
      <c r="AX591" s="217"/>
      <c r="AY591" s="305"/>
      <c r="AZ591" s="249"/>
      <c r="BA591" s="221"/>
      <c r="BB591" s="300"/>
      <c r="BC591" s="217"/>
      <c r="BD591" s="392"/>
      <c r="BE591" s="1244"/>
      <c r="BF591" s="249"/>
      <c r="BG591" s="252"/>
      <c r="BH591" s="1469"/>
      <c r="BI591" s="216"/>
      <c r="BJ591" s="1469"/>
      <c r="BK591" s="1459"/>
      <c r="BL591" s="260"/>
      <c r="BM591" s="214"/>
      <c r="BN591" s="293"/>
      <c r="BO591" s="217"/>
      <c r="BP591" s="355"/>
      <c r="BQ591" s="217"/>
      <c r="BR591" s="1193"/>
      <c r="BS591" s="249"/>
      <c r="BT591" s="216"/>
      <c r="BU591" s="1195"/>
      <c r="BV591" s="249"/>
      <c r="BW591" s="216"/>
      <c r="BX591" s="1195"/>
      <c r="BY591" s="249"/>
      <c r="BZ591" s="216"/>
      <c r="CA591" s="1195"/>
      <c r="CB591" s="249"/>
      <c r="CC591" s="216"/>
      <c r="CD591" s="1195"/>
      <c r="CE591" s="249"/>
      <c r="CF591" s="216"/>
      <c r="CG591" s="1195"/>
      <c r="CH591" s="249"/>
      <c r="CI591" s="216"/>
      <c r="CJ591" s="1195"/>
      <c r="CK591" s="249"/>
      <c r="CL591" s="216"/>
      <c r="CM591" s="1194"/>
      <c r="CN591" s="1524"/>
      <c r="CO591" s="217"/>
      <c r="CP591" s="1193"/>
      <c r="CQ591" s="293"/>
      <c r="CR591" s="217"/>
      <c r="CS591" s="305"/>
      <c r="CT591" s="249"/>
      <c r="CU591" s="216"/>
      <c r="CV591" s="1193"/>
      <c r="CW591" s="249"/>
      <c r="CX591" s="216"/>
      <c r="CY591" s="305"/>
      <c r="CZ591" s="249"/>
      <c r="DA591" s="216"/>
      <c r="DB591" s="307"/>
      <c r="DC591" s="328"/>
      <c r="DD591" s="322"/>
      <c r="DE591" s="305"/>
      <c r="DF591" s="249"/>
      <c r="DG591" s="216"/>
      <c r="DH591" s="305"/>
      <c r="DI591" s="249"/>
      <c r="DJ591" s="216"/>
      <c r="DK591" s="309"/>
      <c r="DL591" s="293"/>
      <c r="DM591" s="326"/>
      <c r="DN591" s="1256"/>
      <c r="DO591" s="214"/>
      <c r="DP591" s="1257"/>
      <c r="DQ591" s="1258"/>
      <c r="DR591" s="305"/>
      <c r="DS591" s="249"/>
      <c r="DT591" s="216"/>
      <c r="DU591" s="305"/>
      <c r="DV591" s="2520"/>
      <c r="DW591" s="2521"/>
      <c r="DX591" s="305"/>
      <c r="DY591" s="249"/>
      <c r="DZ591" s="221"/>
      <c r="EA591" s="388"/>
      <c r="EB591" s="249"/>
      <c r="EC591" s="216"/>
      <c r="ED591" s="1461"/>
      <c r="EE591" s="249"/>
      <c r="EF591" s="216"/>
      <c r="EG591" s="355"/>
      <c r="EH591" s="1425"/>
      <c r="EI591" s="1470"/>
      <c r="EJ591" s="249"/>
      <c r="EK591" s="221"/>
      <c r="EL591" s="313"/>
      <c r="EM591" s="249"/>
      <c r="EN591" s="221"/>
      <c r="EO591" s="313"/>
      <c r="EP591" s="249"/>
      <c r="EQ591" s="216"/>
      <c r="ER591" s="313"/>
      <c r="ES591" s="249"/>
      <c r="ET591" s="216"/>
      <c r="EU591" s="313"/>
      <c r="EV591" s="249"/>
      <c r="EW591" s="216"/>
      <c r="EX591" s="2505"/>
      <c r="EY591" s="249"/>
      <c r="EZ591" s="221"/>
      <c r="FA591" s="313"/>
      <c r="FB591" s="249"/>
      <c r="FC591" s="221"/>
      <c r="FD591" s="313"/>
      <c r="FE591" s="249"/>
      <c r="FF591" s="221"/>
      <c r="FG591" s="313"/>
      <c r="FH591" s="249"/>
      <c r="FI591" s="216"/>
      <c r="FJ591" s="1435"/>
      <c r="FK591" s="216"/>
      <c r="FL591" s="1268"/>
      <c r="FM591" s="1655"/>
      <c r="FN591" s="1268"/>
      <c r="FO591" s="1655"/>
      <c r="FP591" s="1268"/>
      <c r="FQ591" s="1656"/>
      <c r="FR591" s="249"/>
      <c r="FS591" s="216"/>
      <c r="FT591" s="1657"/>
      <c r="FU591" s="1658"/>
      <c r="FV591" s="242"/>
      <c r="FW591" s="343"/>
      <c r="FX591" s="222"/>
      <c r="FY591" s="336"/>
      <c r="FZ591" s="223"/>
      <c r="GA591" s="338"/>
      <c r="GB591" s="204"/>
      <c r="GC591" s="339"/>
      <c r="GD591" s="342"/>
      <c r="GE591" s="199"/>
      <c r="GF591" s="199"/>
      <c r="GG591" s="199"/>
      <c r="GH591" s="199"/>
      <c r="GI591" s="199"/>
      <c r="GJ591" s="199"/>
      <c r="GK591" s="199"/>
      <c r="GO591" s="322"/>
      <c r="GP591" s="1190"/>
      <c r="GQ591" s="1190"/>
      <c r="GS591" s="2879"/>
      <c r="GT591" s="2880"/>
      <c r="GU591" s="2881"/>
    </row>
    <row r="592" spans="1:203" ht="12" customHeight="1">
      <c r="A592" s="1252"/>
      <c r="B592" s="200"/>
      <c r="C592" s="486"/>
      <c r="T592" s="1186"/>
      <c r="U592" s="233"/>
      <c r="W592" s="218"/>
      <c r="X592" s="218"/>
      <c r="Y592" s="216"/>
      <c r="Z592" s="216"/>
      <c r="AA592" s="215"/>
      <c r="AB592" s="216"/>
      <c r="AC592" s="216"/>
      <c r="AD592" s="239"/>
      <c r="AE592" s="216"/>
      <c r="AF592" s="216"/>
      <c r="AG592" s="216"/>
      <c r="AH592" s="216"/>
      <c r="AI592" s="216"/>
      <c r="AJ592" s="216"/>
      <c r="AK592" s="239"/>
      <c r="AL592" s="216"/>
      <c r="AM592" s="216"/>
      <c r="AN592" s="216"/>
      <c r="AO592" s="216"/>
      <c r="AP592" s="216"/>
      <c r="AQ592" s="216"/>
      <c r="AR592" s="216"/>
      <c r="AS592" s="216"/>
      <c r="AT592" s="216"/>
      <c r="AU592" s="216"/>
      <c r="AV592" s="217"/>
      <c r="AW592" s="355"/>
      <c r="AX592" s="217"/>
      <c r="AY592" s="305"/>
      <c r="AZ592" s="249"/>
      <c r="BA592" s="221"/>
      <c r="BB592" s="300"/>
      <c r="BC592" s="217"/>
      <c r="BD592" s="392"/>
      <c r="BE592" s="1244"/>
      <c r="BF592" s="249"/>
      <c r="BG592" s="252"/>
      <c r="BH592" s="1469"/>
      <c r="BI592" s="216"/>
      <c r="BJ592" s="1469"/>
      <c r="BK592" s="1459"/>
      <c r="BL592" s="260"/>
      <c r="BM592" s="214"/>
      <c r="BN592" s="293"/>
      <c r="BO592" s="217"/>
      <c r="BP592" s="355"/>
      <c r="BQ592" s="217"/>
      <c r="BR592" s="1193"/>
      <c r="BS592" s="249"/>
      <c r="BT592" s="216"/>
      <c r="BU592" s="1195"/>
      <c r="BV592" s="249"/>
      <c r="BW592" s="216"/>
      <c r="BX592" s="1195"/>
      <c r="BY592" s="249"/>
      <c r="BZ592" s="216"/>
      <c r="CA592" s="1195"/>
      <c r="CB592" s="249"/>
      <c r="CC592" s="216"/>
      <c r="CD592" s="1195"/>
      <c r="CE592" s="249"/>
      <c r="CF592" s="216"/>
      <c r="CG592" s="1195"/>
      <c r="CH592" s="249"/>
      <c r="CI592" s="216"/>
      <c r="CJ592" s="1195"/>
      <c r="CK592" s="249"/>
      <c r="CL592" s="216"/>
      <c r="CM592" s="1194"/>
      <c r="CN592" s="1524"/>
      <c r="CO592" s="217"/>
      <c r="CP592" s="1193"/>
      <c r="CQ592" s="293"/>
      <c r="CR592" s="217"/>
      <c r="CS592" s="305"/>
      <c r="CT592" s="249"/>
      <c r="CU592" s="216"/>
      <c r="CV592" s="1193"/>
      <c r="CW592" s="249"/>
      <c r="CX592" s="216"/>
      <c r="CY592" s="305"/>
      <c r="CZ592" s="249"/>
      <c r="DA592" s="216"/>
      <c r="DB592" s="307"/>
      <c r="DC592" s="328"/>
      <c r="DD592" s="322"/>
      <c r="DE592" s="305"/>
      <c r="DF592" s="249"/>
      <c r="DG592" s="216"/>
      <c r="DH592" s="305"/>
      <c r="DI592" s="249"/>
      <c r="DJ592" s="216"/>
      <c r="DK592" s="309"/>
      <c r="DL592" s="293"/>
      <c r="DM592" s="326"/>
      <c r="DN592" s="1256"/>
      <c r="DO592" s="214"/>
      <c r="DP592" s="1257"/>
      <c r="DQ592" s="1258"/>
      <c r="DR592" s="305"/>
      <c r="DS592" s="249"/>
      <c r="DT592" s="216"/>
      <c r="DU592" s="305"/>
      <c r="DV592" s="2520"/>
      <c r="DW592" s="2521"/>
      <c r="DX592" s="305"/>
      <c r="DY592" s="249"/>
      <c r="DZ592" s="221"/>
      <c r="EA592" s="388"/>
      <c r="EB592" s="249"/>
      <c r="EC592" s="216"/>
      <c r="ED592" s="1461"/>
      <c r="EE592" s="249"/>
      <c r="EF592" s="216"/>
      <c r="EG592" s="355"/>
      <c r="EH592" s="1425"/>
      <c r="EI592" s="1470"/>
      <c r="EJ592" s="249"/>
      <c r="EK592" s="221"/>
      <c r="EL592" s="313"/>
      <c r="EM592" s="249"/>
      <c r="EN592" s="221"/>
      <c r="EO592" s="313"/>
      <c r="EP592" s="249"/>
      <c r="EQ592" s="216"/>
      <c r="ER592" s="313"/>
      <c r="ES592" s="249"/>
      <c r="ET592" s="216"/>
      <c r="EU592" s="313"/>
      <c r="EV592" s="249"/>
      <c r="EW592" s="216"/>
      <c r="EX592" s="2505"/>
      <c r="EY592" s="249"/>
      <c r="EZ592" s="221"/>
      <c r="FA592" s="313"/>
      <c r="FB592" s="249"/>
      <c r="FC592" s="221"/>
      <c r="FD592" s="313"/>
      <c r="FE592" s="249"/>
      <c r="FF592" s="221"/>
      <c r="FG592" s="313"/>
      <c r="FH592" s="249"/>
      <c r="FI592" s="216"/>
      <c r="FJ592" s="1435"/>
      <c r="FK592" s="216"/>
      <c r="FL592" s="1268"/>
      <c r="FM592" s="1655"/>
      <c r="FN592" s="1268"/>
      <c r="FO592" s="1655"/>
      <c r="FP592" s="1268"/>
      <c r="FQ592" s="1656"/>
      <c r="FR592" s="249"/>
      <c r="FS592" s="216"/>
      <c r="FT592" s="1657"/>
      <c r="FU592" s="1658"/>
      <c r="FV592" s="242"/>
      <c r="FW592" s="343"/>
      <c r="FX592" s="222"/>
      <c r="FY592" s="336"/>
      <c r="FZ592" s="223"/>
      <c r="GA592" s="338"/>
      <c r="GB592" s="204"/>
      <c r="GC592" s="339"/>
      <c r="GD592" s="342"/>
      <c r="GE592" s="199"/>
      <c r="GF592" s="199"/>
      <c r="GG592" s="199"/>
      <c r="GH592" s="199"/>
      <c r="GI592" s="199"/>
      <c r="GJ592" s="199"/>
      <c r="GK592" s="199"/>
      <c r="GO592" s="322"/>
      <c r="GP592" s="1190"/>
      <c r="GQ592" s="1190"/>
      <c r="GS592" s="2879"/>
      <c r="GT592" s="2880"/>
      <c r="GU592" s="2881"/>
    </row>
    <row r="593" spans="1:203" ht="12" customHeight="1">
      <c r="A593" s="1252"/>
      <c r="B593" s="200"/>
      <c r="C593" s="486"/>
      <c r="T593" s="1186"/>
      <c r="U593" s="233"/>
      <c r="W593" s="218"/>
      <c r="X593" s="218"/>
      <c r="Y593" s="216"/>
      <c r="Z593" s="216"/>
      <c r="AA593" s="215"/>
      <c r="AB593" s="216"/>
      <c r="AC593" s="216"/>
      <c r="AD593" s="239"/>
      <c r="AE593" s="216"/>
      <c r="AF593" s="216"/>
      <c r="AG593" s="216"/>
      <c r="AH593" s="216"/>
      <c r="AI593" s="216"/>
      <c r="AJ593" s="216"/>
      <c r="AK593" s="239"/>
      <c r="AL593" s="216"/>
      <c r="AM593" s="216"/>
      <c r="AN593" s="216"/>
      <c r="AO593" s="216"/>
      <c r="AP593" s="216"/>
      <c r="AQ593" s="216"/>
      <c r="AR593" s="216"/>
      <c r="AS593" s="216"/>
      <c r="AT593" s="216"/>
      <c r="AU593" s="216"/>
      <c r="AV593" s="217"/>
      <c r="AW593" s="355"/>
      <c r="AX593" s="217"/>
      <c r="AY593" s="305"/>
      <c r="AZ593" s="249"/>
      <c r="BA593" s="221"/>
      <c r="BB593" s="300"/>
      <c r="BC593" s="217"/>
      <c r="BD593" s="392"/>
      <c r="BE593" s="1244"/>
      <c r="BF593" s="249"/>
      <c r="BG593" s="252"/>
      <c r="BH593" s="1469"/>
      <c r="BI593" s="216"/>
      <c r="BJ593" s="1469"/>
      <c r="BK593" s="1459"/>
      <c r="BL593" s="260"/>
      <c r="BM593" s="214"/>
      <c r="BN593" s="293"/>
      <c r="BO593" s="217"/>
      <c r="BP593" s="355"/>
      <c r="BQ593" s="217"/>
      <c r="BR593" s="1193"/>
      <c r="BS593" s="249"/>
      <c r="BT593" s="216"/>
      <c r="BU593" s="1195"/>
      <c r="BV593" s="249"/>
      <c r="BW593" s="216"/>
      <c r="BX593" s="1195"/>
      <c r="BY593" s="249"/>
      <c r="BZ593" s="216"/>
      <c r="CA593" s="1195"/>
      <c r="CB593" s="249"/>
      <c r="CC593" s="216"/>
      <c r="CD593" s="1195"/>
      <c r="CE593" s="249"/>
      <c r="CF593" s="216"/>
      <c r="CG593" s="1195"/>
      <c r="CH593" s="249"/>
      <c r="CI593" s="216"/>
      <c r="CJ593" s="1195"/>
      <c r="CK593" s="249"/>
      <c r="CL593" s="216"/>
      <c r="CM593" s="1194"/>
      <c r="CN593" s="1524"/>
      <c r="CO593" s="217"/>
      <c r="CP593" s="1193"/>
      <c r="CQ593" s="293"/>
      <c r="CR593" s="217"/>
      <c r="CS593" s="305"/>
      <c r="CT593" s="249"/>
      <c r="CU593" s="216"/>
      <c r="CV593" s="1193"/>
      <c r="CW593" s="249"/>
      <c r="CX593" s="216"/>
      <c r="CY593" s="305"/>
      <c r="CZ593" s="249"/>
      <c r="DA593" s="216"/>
      <c r="DB593" s="307"/>
      <c r="DC593" s="328"/>
      <c r="DD593" s="322"/>
      <c r="DE593" s="305"/>
      <c r="DF593" s="249"/>
      <c r="DG593" s="216"/>
      <c r="DH593" s="305"/>
      <c r="DI593" s="249"/>
      <c r="DJ593" s="216"/>
      <c r="DK593" s="309"/>
      <c r="DL593" s="293"/>
      <c r="DM593" s="326"/>
      <c r="DN593" s="1256"/>
      <c r="DO593" s="214"/>
      <c r="DP593" s="1257"/>
      <c r="DQ593" s="1258"/>
      <c r="DR593" s="305"/>
      <c r="DS593" s="249"/>
      <c r="DT593" s="216"/>
      <c r="DU593" s="305"/>
      <c r="DV593" s="2520"/>
      <c r="DW593" s="2521"/>
      <c r="DX593" s="305"/>
      <c r="DY593" s="249"/>
      <c r="DZ593" s="221"/>
      <c r="EA593" s="388"/>
      <c r="EB593" s="249"/>
      <c r="EC593" s="216"/>
      <c r="ED593" s="1461"/>
      <c r="EE593" s="249"/>
      <c r="EF593" s="216"/>
      <c r="EG593" s="355"/>
      <c r="EH593" s="1425"/>
      <c r="EI593" s="1470"/>
      <c r="EJ593" s="249"/>
      <c r="EK593" s="221"/>
      <c r="EL593" s="313"/>
      <c r="EM593" s="249"/>
      <c r="EN593" s="221"/>
      <c r="EO593" s="313"/>
      <c r="EP593" s="249"/>
      <c r="EQ593" s="216"/>
      <c r="ER593" s="313"/>
      <c r="ES593" s="249"/>
      <c r="ET593" s="216"/>
      <c r="EU593" s="313"/>
      <c r="EV593" s="249"/>
      <c r="EW593" s="216"/>
      <c r="EX593" s="2505"/>
      <c r="EY593" s="249"/>
      <c r="EZ593" s="221"/>
      <c r="FA593" s="313"/>
      <c r="FB593" s="249"/>
      <c r="FC593" s="221"/>
      <c r="FD593" s="313"/>
      <c r="FE593" s="249"/>
      <c r="FF593" s="221"/>
      <c r="FG593" s="313"/>
      <c r="FH593" s="249"/>
      <c r="FI593" s="216"/>
      <c r="FJ593" s="1435"/>
      <c r="FK593" s="216"/>
      <c r="FL593" s="1268"/>
      <c r="FM593" s="1655"/>
      <c r="FN593" s="1268"/>
      <c r="FO593" s="1655"/>
      <c r="FP593" s="1268"/>
      <c r="FQ593" s="1656"/>
      <c r="FR593" s="249"/>
      <c r="FS593" s="216"/>
      <c r="FT593" s="1657"/>
      <c r="FU593" s="1658"/>
      <c r="FV593" s="242"/>
      <c r="FW593" s="343"/>
      <c r="FX593" s="222"/>
      <c r="FY593" s="336"/>
      <c r="FZ593" s="223"/>
      <c r="GA593" s="338"/>
      <c r="GB593" s="204"/>
      <c r="GC593" s="339"/>
      <c r="GD593" s="342"/>
      <c r="GE593" s="199"/>
      <c r="GF593" s="199"/>
      <c r="GG593" s="199"/>
      <c r="GH593" s="199"/>
      <c r="GI593" s="199"/>
      <c r="GJ593" s="199"/>
      <c r="GK593" s="199"/>
      <c r="GO593" s="322"/>
      <c r="GP593" s="1190"/>
      <c r="GQ593" s="1190"/>
      <c r="GS593" s="2879"/>
      <c r="GT593" s="2880"/>
      <c r="GU593" s="2881"/>
    </row>
    <row r="594" spans="1:203" ht="12" customHeight="1">
      <c r="A594" s="1252"/>
      <c r="B594" s="200"/>
      <c r="C594" s="486"/>
      <c r="T594" s="1186"/>
      <c r="U594" s="233"/>
      <c r="W594" s="218"/>
      <c r="X594" s="218"/>
      <c r="Y594" s="216"/>
      <c r="Z594" s="216"/>
      <c r="AA594" s="215"/>
      <c r="AB594" s="216"/>
      <c r="AC594" s="216"/>
      <c r="AD594" s="239"/>
      <c r="AE594" s="216"/>
      <c r="AF594" s="216"/>
      <c r="AG594" s="216"/>
      <c r="AH594" s="216"/>
      <c r="AI594" s="216"/>
      <c r="AJ594" s="216"/>
      <c r="AK594" s="239"/>
      <c r="AL594" s="216"/>
      <c r="AM594" s="216"/>
      <c r="AN594" s="216"/>
      <c r="AO594" s="216"/>
      <c r="AP594" s="216"/>
      <c r="AQ594" s="216"/>
      <c r="AR594" s="216"/>
      <c r="AS594" s="216"/>
      <c r="AT594" s="216"/>
      <c r="AU594" s="216"/>
      <c r="AV594" s="217"/>
      <c r="AW594" s="355"/>
      <c r="AX594" s="217"/>
      <c r="AY594" s="305"/>
      <c r="AZ594" s="249"/>
      <c r="BA594" s="221"/>
      <c r="BB594" s="300"/>
      <c r="BC594" s="217"/>
      <c r="BD594" s="392"/>
      <c r="BE594" s="1244"/>
      <c r="BF594" s="249"/>
      <c r="BG594" s="252"/>
      <c r="BH594" s="1469"/>
      <c r="BI594" s="216"/>
      <c r="BJ594" s="1469"/>
      <c r="BK594" s="1459"/>
      <c r="BL594" s="260"/>
      <c r="BM594" s="214"/>
      <c r="BN594" s="293"/>
      <c r="BO594" s="217"/>
      <c r="BP594" s="355"/>
      <c r="BQ594" s="217"/>
      <c r="BR594" s="1193"/>
      <c r="BS594" s="249"/>
      <c r="BT594" s="216"/>
      <c r="BU594" s="1195"/>
      <c r="BV594" s="249"/>
      <c r="BW594" s="216"/>
      <c r="BX594" s="1195"/>
      <c r="BY594" s="249"/>
      <c r="BZ594" s="216"/>
      <c r="CA594" s="1195"/>
      <c r="CB594" s="249"/>
      <c r="CC594" s="216"/>
      <c r="CD594" s="1195"/>
      <c r="CE594" s="249"/>
      <c r="CF594" s="216"/>
      <c r="CG594" s="1195"/>
      <c r="CH594" s="249"/>
      <c r="CI594" s="216"/>
      <c r="CJ594" s="1195"/>
      <c r="CK594" s="249"/>
      <c r="CL594" s="216"/>
      <c r="CM594" s="1194"/>
      <c r="CN594" s="1524"/>
      <c r="CO594" s="217"/>
      <c r="CP594" s="1193"/>
      <c r="CQ594" s="293"/>
      <c r="CR594" s="217"/>
      <c r="CS594" s="305"/>
      <c r="CT594" s="249"/>
      <c r="CU594" s="216"/>
      <c r="CV594" s="1193"/>
      <c r="CW594" s="249"/>
      <c r="CX594" s="216"/>
      <c r="CY594" s="305"/>
      <c r="CZ594" s="249"/>
      <c r="DA594" s="216"/>
      <c r="DB594" s="307"/>
      <c r="DC594" s="328"/>
      <c r="DD594" s="322"/>
      <c r="DE594" s="305"/>
      <c r="DF594" s="249"/>
      <c r="DG594" s="216"/>
      <c r="DH594" s="305"/>
      <c r="DI594" s="249"/>
      <c r="DJ594" s="216"/>
      <c r="DK594" s="309"/>
      <c r="DL594" s="293"/>
      <c r="DM594" s="326"/>
      <c r="DN594" s="1256"/>
      <c r="DO594" s="214"/>
      <c r="DP594" s="1257"/>
      <c r="DQ594" s="1258"/>
      <c r="DR594" s="305"/>
      <c r="DS594" s="249"/>
      <c r="DT594" s="216"/>
      <c r="DU594" s="305"/>
      <c r="DV594" s="2520"/>
      <c r="DW594" s="2521"/>
      <c r="DX594" s="305"/>
      <c r="DY594" s="249"/>
      <c r="DZ594" s="221"/>
      <c r="EA594" s="388"/>
      <c r="EB594" s="249"/>
      <c r="EC594" s="216"/>
      <c r="ED594" s="1461"/>
      <c r="EE594" s="249"/>
      <c r="EF594" s="216"/>
      <c r="EG594" s="355"/>
      <c r="EH594" s="1425"/>
      <c r="EI594" s="1470"/>
      <c r="EJ594" s="249"/>
      <c r="EK594" s="221"/>
      <c r="EL594" s="313"/>
      <c r="EM594" s="249"/>
      <c r="EN594" s="221"/>
      <c r="EO594" s="313"/>
      <c r="EP594" s="249"/>
      <c r="EQ594" s="216"/>
      <c r="ER594" s="313"/>
      <c r="ES594" s="249"/>
      <c r="ET594" s="216"/>
      <c r="EU594" s="313"/>
      <c r="EV594" s="249"/>
      <c r="EW594" s="216"/>
      <c r="EX594" s="2505"/>
      <c r="EY594" s="249"/>
      <c r="EZ594" s="221"/>
      <c r="FA594" s="313"/>
      <c r="FB594" s="249"/>
      <c r="FC594" s="221"/>
      <c r="FD594" s="313"/>
      <c r="FE594" s="249"/>
      <c r="FF594" s="221"/>
      <c r="FG594" s="313"/>
      <c r="FH594" s="249"/>
      <c r="FI594" s="216"/>
      <c r="FJ594" s="1435"/>
      <c r="FK594" s="216"/>
      <c r="FL594" s="1268"/>
      <c r="FM594" s="1655"/>
      <c r="FN594" s="1268"/>
      <c r="FO594" s="1655"/>
      <c r="FP594" s="1268"/>
      <c r="FQ594" s="1656"/>
      <c r="FR594" s="249"/>
      <c r="FS594" s="216"/>
      <c r="FT594" s="1657"/>
      <c r="FU594" s="1658"/>
      <c r="FV594" s="242"/>
      <c r="FW594" s="343"/>
      <c r="FX594" s="222"/>
      <c r="FY594" s="336"/>
      <c r="FZ594" s="223"/>
      <c r="GA594" s="338"/>
      <c r="GB594" s="204"/>
      <c r="GC594" s="339"/>
      <c r="GD594" s="342"/>
      <c r="GE594" s="199"/>
      <c r="GF594" s="199"/>
      <c r="GG594" s="199"/>
      <c r="GH594" s="199"/>
      <c r="GI594" s="199"/>
      <c r="GJ594" s="199"/>
      <c r="GK594" s="199"/>
      <c r="GO594" s="322"/>
      <c r="GP594" s="1190"/>
      <c r="GQ594" s="1190"/>
      <c r="GS594" s="2879"/>
      <c r="GT594" s="2880"/>
      <c r="GU594" s="2881"/>
    </row>
    <row r="595" spans="1:203" ht="12" customHeight="1">
      <c r="A595" s="1252"/>
      <c r="B595" s="200"/>
      <c r="C595" s="486"/>
      <c r="T595" s="1186"/>
      <c r="U595" s="233"/>
      <c r="W595" s="218"/>
      <c r="X595" s="218"/>
      <c r="Y595" s="216"/>
      <c r="Z595" s="216"/>
      <c r="AA595" s="215"/>
      <c r="AB595" s="216"/>
      <c r="AC595" s="216"/>
      <c r="AD595" s="239"/>
      <c r="AE595" s="216"/>
      <c r="AF595" s="216"/>
      <c r="AG595" s="216"/>
      <c r="AH595" s="216"/>
      <c r="AI595" s="216"/>
      <c r="AJ595" s="216"/>
      <c r="AK595" s="239"/>
      <c r="AL595" s="216"/>
      <c r="AM595" s="216"/>
      <c r="AN595" s="216"/>
      <c r="AO595" s="216"/>
      <c r="AP595" s="216"/>
      <c r="AQ595" s="216"/>
      <c r="AR595" s="216"/>
      <c r="AS595" s="216"/>
      <c r="AT595" s="216"/>
      <c r="AU595" s="216"/>
      <c r="AV595" s="217"/>
      <c r="AW595" s="355"/>
      <c r="AX595" s="217"/>
      <c r="AY595" s="305"/>
      <c r="AZ595" s="249"/>
      <c r="BA595" s="221"/>
      <c r="BB595" s="300"/>
      <c r="BC595" s="217"/>
      <c r="BD595" s="392"/>
      <c r="BE595" s="1244"/>
      <c r="BF595" s="249"/>
      <c r="BG595" s="252"/>
      <c r="BH595" s="1469"/>
      <c r="BI595" s="216"/>
      <c r="BJ595" s="1469"/>
      <c r="BK595" s="1459"/>
      <c r="BL595" s="260"/>
      <c r="BM595" s="214"/>
      <c r="BN595" s="293"/>
      <c r="BO595" s="217"/>
      <c r="BP595" s="355"/>
      <c r="BQ595" s="217"/>
      <c r="BR595" s="1193"/>
      <c r="BS595" s="249"/>
      <c r="BT595" s="216"/>
      <c r="BU595" s="1195"/>
      <c r="BV595" s="249"/>
      <c r="BW595" s="216"/>
      <c r="BX595" s="1195"/>
      <c r="BY595" s="249"/>
      <c r="BZ595" s="216"/>
      <c r="CA595" s="1195"/>
      <c r="CB595" s="249"/>
      <c r="CC595" s="216"/>
      <c r="CD595" s="1195"/>
      <c r="CE595" s="249"/>
      <c r="CF595" s="216"/>
      <c r="CG595" s="1195"/>
      <c r="CH595" s="249"/>
      <c r="CI595" s="216"/>
      <c r="CJ595" s="1195"/>
      <c r="CK595" s="249"/>
      <c r="CL595" s="216"/>
      <c r="CM595" s="1194"/>
      <c r="CN595" s="1524"/>
      <c r="CO595" s="217"/>
      <c r="CP595" s="1193"/>
      <c r="CQ595" s="293"/>
      <c r="CR595" s="217"/>
      <c r="CS595" s="305"/>
      <c r="CT595" s="249"/>
      <c r="CU595" s="216"/>
      <c r="CV595" s="1193"/>
      <c r="CW595" s="249"/>
      <c r="CX595" s="216"/>
      <c r="CY595" s="305"/>
      <c r="CZ595" s="249"/>
      <c r="DA595" s="216"/>
      <c r="DB595" s="307"/>
      <c r="DC595" s="328"/>
      <c r="DD595" s="322"/>
      <c r="DE595" s="305"/>
      <c r="DF595" s="249"/>
      <c r="DG595" s="216"/>
      <c r="DH595" s="305"/>
      <c r="DI595" s="249"/>
      <c r="DJ595" s="216"/>
      <c r="DK595" s="309"/>
      <c r="DL595" s="293"/>
      <c r="DM595" s="326"/>
      <c r="DN595" s="1256"/>
      <c r="DO595" s="214"/>
      <c r="DP595" s="1257"/>
      <c r="DQ595" s="1258"/>
      <c r="DR595" s="305"/>
      <c r="DS595" s="249"/>
      <c r="DT595" s="216"/>
      <c r="DU595" s="305"/>
      <c r="DV595" s="2520"/>
      <c r="DW595" s="2521"/>
      <c r="DX595" s="305"/>
      <c r="DY595" s="249"/>
      <c r="DZ595" s="221"/>
      <c r="EA595" s="388"/>
      <c r="EB595" s="249"/>
      <c r="EC595" s="216"/>
      <c r="ED595" s="1461"/>
      <c r="EE595" s="249"/>
      <c r="EF595" s="216"/>
      <c r="EG595" s="355"/>
      <c r="EH595" s="1425"/>
      <c r="EI595" s="1470"/>
      <c r="EJ595" s="249"/>
      <c r="EK595" s="221"/>
      <c r="EL595" s="313"/>
      <c r="EM595" s="249"/>
      <c r="EN595" s="221"/>
      <c r="EO595" s="313"/>
      <c r="EP595" s="249"/>
      <c r="EQ595" s="216"/>
      <c r="ER595" s="313"/>
      <c r="ES595" s="249"/>
      <c r="ET595" s="216"/>
      <c r="EU595" s="313"/>
      <c r="EV595" s="249"/>
      <c r="EW595" s="216"/>
      <c r="EX595" s="2505"/>
      <c r="EY595" s="249"/>
      <c r="EZ595" s="221"/>
      <c r="FA595" s="313"/>
      <c r="FB595" s="249"/>
      <c r="FC595" s="221"/>
      <c r="FD595" s="313"/>
      <c r="FE595" s="249"/>
      <c r="FF595" s="221"/>
      <c r="FG595" s="313"/>
      <c r="FH595" s="249"/>
      <c r="FI595" s="216"/>
      <c r="FJ595" s="1435"/>
      <c r="FK595" s="216"/>
      <c r="FL595" s="1268"/>
      <c r="FM595" s="1655"/>
      <c r="FN595" s="1268"/>
      <c r="FO595" s="1655"/>
      <c r="FP595" s="1268"/>
      <c r="FQ595" s="1656"/>
      <c r="FR595" s="249"/>
      <c r="FS595" s="216"/>
      <c r="FT595" s="1657"/>
      <c r="FU595" s="1658"/>
      <c r="FV595" s="242"/>
      <c r="FW595" s="343"/>
      <c r="FX595" s="222"/>
      <c r="FY595" s="336"/>
      <c r="FZ595" s="223"/>
      <c r="GA595" s="338"/>
      <c r="GB595" s="204"/>
      <c r="GC595" s="339"/>
      <c r="GD595" s="342"/>
      <c r="GE595" s="199"/>
      <c r="GF595" s="199"/>
      <c r="GG595" s="199"/>
      <c r="GH595" s="199"/>
      <c r="GI595" s="199"/>
      <c r="GJ595" s="199"/>
      <c r="GK595" s="199"/>
      <c r="GO595" s="322"/>
      <c r="GP595" s="1190"/>
      <c r="GQ595" s="1190"/>
      <c r="GS595" s="2879"/>
      <c r="GT595" s="2880"/>
      <c r="GU595" s="2881"/>
    </row>
    <row r="596" spans="1:203" ht="12" customHeight="1">
      <c r="A596" s="1252"/>
      <c r="B596" s="200"/>
      <c r="C596" s="486"/>
      <c r="T596" s="1186"/>
      <c r="U596" s="233"/>
      <c r="W596" s="218"/>
      <c r="X596" s="218"/>
      <c r="Y596" s="216"/>
      <c r="Z596" s="216"/>
      <c r="AA596" s="215"/>
      <c r="AB596" s="216"/>
      <c r="AC596" s="216"/>
      <c r="AD596" s="239"/>
      <c r="AE596" s="216"/>
      <c r="AF596" s="216"/>
      <c r="AG596" s="216"/>
      <c r="AH596" s="216"/>
      <c r="AI596" s="216"/>
      <c r="AJ596" s="216"/>
      <c r="AK596" s="239"/>
      <c r="AL596" s="216"/>
      <c r="AM596" s="216"/>
      <c r="AN596" s="216"/>
      <c r="AO596" s="216"/>
      <c r="AP596" s="216"/>
      <c r="AQ596" s="216"/>
      <c r="AR596" s="216"/>
      <c r="AS596" s="216"/>
      <c r="AT596" s="216"/>
      <c r="AU596" s="216"/>
      <c r="AV596" s="217"/>
      <c r="AW596" s="355"/>
      <c r="AX596" s="217"/>
      <c r="AY596" s="305"/>
      <c r="AZ596" s="249"/>
      <c r="BA596" s="221"/>
      <c r="BB596" s="300"/>
      <c r="BC596" s="217"/>
      <c r="BD596" s="392"/>
      <c r="BE596" s="1244"/>
      <c r="BF596" s="249"/>
      <c r="BG596" s="252"/>
      <c r="BH596" s="1469"/>
      <c r="BI596" s="216"/>
      <c r="BJ596" s="1469"/>
      <c r="BK596" s="1459"/>
      <c r="BL596" s="260"/>
      <c r="BM596" s="214"/>
      <c r="BN596" s="293"/>
      <c r="BO596" s="217"/>
      <c r="BP596" s="355"/>
      <c r="BQ596" s="217"/>
      <c r="BR596" s="1193"/>
      <c r="BS596" s="249"/>
      <c r="BT596" s="216"/>
      <c r="BU596" s="1195"/>
      <c r="BV596" s="249"/>
      <c r="BW596" s="216"/>
      <c r="BX596" s="1195"/>
      <c r="BY596" s="249"/>
      <c r="BZ596" s="216"/>
      <c r="CA596" s="1195"/>
      <c r="CB596" s="249"/>
      <c r="CC596" s="216"/>
      <c r="CD596" s="1195"/>
      <c r="CE596" s="249"/>
      <c r="CF596" s="216"/>
      <c r="CG596" s="1195"/>
      <c r="CH596" s="249"/>
      <c r="CI596" s="216"/>
      <c r="CJ596" s="1195"/>
      <c r="CK596" s="249"/>
      <c r="CL596" s="216"/>
      <c r="CM596" s="1194"/>
      <c r="CN596" s="1524"/>
      <c r="CO596" s="217"/>
      <c r="CP596" s="1193"/>
      <c r="CQ596" s="293"/>
      <c r="CR596" s="217"/>
      <c r="CS596" s="305"/>
      <c r="CT596" s="249"/>
      <c r="CU596" s="216"/>
      <c r="CV596" s="1193"/>
      <c r="CW596" s="249"/>
      <c r="CX596" s="216"/>
      <c r="CY596" s="305"/>
      <c r="CZ596" s="249"/>
      <c r="DA596" s="216"/>
      <c r="DB596" s="307"/>
      <c r="DC596" s="328"/>
      <c r="DD596" s="322"/>
      <c r="DE596" s="305"/>
      <c r="DF596" s="249"/>
      <c r="DG596" s="216"/>
      <c r="DH596" s="305"/>
      <c r="DI596" s="249"/>
      <c r="DJ596" s="216"/>
      <c r="DK596" s="309"/>
      <c r="DL596" s="293"/>
      <c r="DM596" s="326"/>
      <c r="DN596" s="1256"/>
      <c r="DO596" s="214"/>
      <c r="DP596" s="1257"/>
      <c r="DQ596" s="1258"/>
      <c r="DR596" s="305"/>
      <c r="DS596" s="249"/>
      <c r="DT596" s="216"/>
      <c r="DU596" s="305"/>
      <c r="DV596" s="2520"/>
      <c r="DW596" s="2521"/>
      <c r="DX596" s="305"/>
      <c r="DY596" s="249"/>
      <c r="DZ596" s="221"/>
      <c r="EA596" s="388"/>
      <c r="EB596" s="249"/>
      <c r="EC596" s="216"/>
      <c r="ED596" s="1461"/>
      <c r="EE596" s="249"/>
      <c r="EF596" s="216"/>
      <c r="EG596" s="355"/>
      <c r="EH596" s="1425"/>
      <c r="EI596" s="1470"/>
      <c r="EJ596" s="249"/>
      <c r="EK596" s="221"/>
      <c r="EL596" s="313"/>
      <c r="EM596" s="249"/>
      <c r="EN596" s="221"/>
      <c r="EO596" s="313"/>
      <c r="EP596" s="249"/>
      <c r="EQ596" s="216"/>
      <c r="ER596" s="313"/>
      <c r="ES596" s="249"/>
      <c r="ET596" s="216"/>
      <c r="EU596" s="313"/>
      <c r="EV596" s="249"/>
      <c r="EW596" s="216"/>
      <c r="EX596" s="2505"/>
      <c r="EY596" s="249"/>
      <c r="EZ596" s="221"/>
      <c r="FA596" s="313"/>
      <c r="FB596" s="249"/>
      <c r="FC596" s="221"/>
      <c r="FD596" s="313"/>
      <c r="FE596" s="249"/>
      <c r="FF596" s="221"/>
      <c r="FG596" s="313"/>
      <c r="FH596" s="249"/>
      <c r="FI596" s="216"/>
      <c r="FJ596" s="1435"/>
      <c r="FK596" s="216"/>
      <c r="FL596" s="1268"/>
      <c r="FM596" s="1655"/>
      <c r="FN596" s="1268"/>
      <c r="FO596" s="1655"/>
      <c r="FP596" s="1268"/>
      <c r="FQ596" s="1656"/>
      <c r="FR596" s="249"/>
      <c r="FS596" s="216"/>
      <c r="FT596" s="1657"/>
      <c r="FU596" s="1658"/>
      <c r="FV596" s="242"/>
      <c r="FW596" s="343"/>
      <c r="FX596" s="222"/>
      <c r="FY596" s="336"/>
      <c r="FZ596" s="223"/>
      <c r="GA596" s="338"/>
      <c r="GB596" s="204"/>
      <c r="GC596" s="339"/>
      <c r="GD596" s="342"/>
      <c r="GE596" s="199"/>
      <c r="GF596" s="199"/>
      <c r="GG596" s="199"/>
      <c r="GH596" s="199"/>
      <c r="GI596" s="199"/>
      <c r="GJ596" s="199"/>
      <c r="GK596" s="199"/>
      <c r="GO596" s="322"/>
      <c r="GP596" s="1190"/>
      <c r="GQ596" s="1190"/>
      <c r="GS596" s="2879"/>
      <c r="GT596" s="2880"/>
      <c r="GU596" s="2881"/>
    </row>
    <row r="597" spans="1:203" ht="12" customHeight="1">
      <c r="A597" s="1252"/>
      <c r="B597" s="200"/>
      <c r="C597" s="486"/>
      <c r="T597" s="1186"/>
      <c r="U597" s="233"/>
      <c r="W597" s="218"/>
      <c r="X597" s="218"/>
      <c r="Y597" s="216"/>
      <c r="Z597" s="216"/>
      <c r="AA597" s="215"/>
      <c r="AB597" s="216"/>
      <c r="AC597" s="216"/>
      <c r="AD597" s="239"/>
      <c r="AE597" s="216"/>
      <c r="AF597" s="216"/>
      <c r="AG597" s="216"/>
      <c r="AH597" s="216"/>
      <c r="AI597" s="216"/>
      <c r="AJ597" s="216"/>
      <c r="AK597" s="239"/>
      <c r="AL597" s="216"/>
      <c r="AM597" s="216"/>
      <c r="AN597" s="216"/>
      <c r="AO597" s="216"/>
      <c r="AP597" s="216"/>
      <c r="AQ597" s="216"/>
      <c r="AR597" s="216"/>
      <c r="AS597" s="216"/>
      <c r="AT597" s="216"/>
      <c r="AU597" s="216"/>
      <c r="AV597" s="217"/>
      <c r="AW597" s="355"/>
      <c r="AX597" s="217"/>
      <c r="AY597" s="305"/>
      <c r="AZ597" s="249"/>
      <c r="BA597" s="221"/>
      <c r="BB597" s="300"/>
      <c r="BC597" s="217"/>
      <c r="BD597" s="392"/>
      <c r="BE597" s="1244"/>
      <c r="BF597" s="249"/>
      <c r="BG597" s="252"/>
      <c r="BH597" s="1469"/>
      <c r="BI597" s="216"/>
      <c r="BJ597" s="1469"/>
      <c r="BK597" s="1459"/>
      <c r="BL597" s="260"/>
      <c r="BM597" s="214"/>
      <c r="BN597" s="293"/>
      <c r="BO597" s="217"/>
      <c r="BP597" s="355"/>
      <c r="BQ597" s="217"/>
      <c r="BR597" s="1193"/>
      <c r="BS597" s="249"/>
      <c r="BT597" s="216"/>
      <c r="BU597" s="1195"/>
      <c r="BV597" s="249"/>
      <c r="BW597" s="216"/>
      <c r="BX597" s="1195"/>
      <c r="BY597" s="249"/>
      <c r="BZ597" s="216"/>
      <c r="CA597" s="1195"/>
      <c r="CB597" s="249"/>
      <c r="CC597" s="216"/>
      <c r="CD597" s="1195"/>
      <c r="CE597" s="249"/>
      <c r="CF597" s="216"/>
      <c r="CG597" s="1195"/>
      <c r="CH597" s="249"/>
      <c r="CI597" s="216"/>
      <c r="CJ597" s="1195"/>
      <c r="CK597" s="249"/>
      <c r="CL597" s="216"/>
      <c r="CM597" s="1194"/>
      <c r="CN597" s="1524"/>
      <c r="CO597" s="217"/>
      <c r="CP597" s="1193"/>
      <c r="CQ597" s="293"/>
      <c r="CR597" s="217"/>
      <c r="CS597" s="305"/>
      <c r="CT597" s="249"/>
      <c r="CU597" s="216"/>
      <c r="CV597" s="1193"/>
      <c r="CW597" s="249"/>
      <c r="CX597" s="216"/>
      <c r="CY597" s="305"/>
      <c r="CZ597" s="249"/>
      <c r="DA597" s="216"/>
      <c r="DB597" s="307"/>
      <c r="DC597" s="328"/>
      <c r="DD597" s="322"/>
      <c r="DE597" s="305"/>
      <c r="DF597" s="249"/>
      <c r="DG597" s="216"/>
      <c r="DH597" s="305"/>
      <c r="DI597" s="249"/>
      <c r="DJ597" s="216"/>
      <c r="DK597" s="309"/>
      <c r="DL597" s="293"/>
      <c r="DM597" s="326"/>
      <c r="DN597" s="1256"/>
      <c r="DO597" s="214"/>
      <c r="DP597" s="1257"/>
      <c r="DQ597" s="1258"/>
      <c r="DR597" s="305"/>
      <c r="DS597" s="249"/>
      <c r="DT597" s="216"/>
      <c r="DU597" s="305"/>
      <c r="DV597" s="2520"/>
      <c r="DW597" s="2521"/>
      <c r="DX597" s="305"/>
      <c r="DY597" s="249"/>
      <c r="DZ597" s="221"/>
      <c r="EA597" s="388"/>
      <c r="EB597" s="249"/>
      <c r="EC597" s="216"/>
      <c r="ED597" s="1461"/>
      <c r="EE597" s="249"/>
      <c r="EF597" s="216"/>
      <c r="EG597" s="355"/>
      <c r="EH597" s="1425"/>
      <c r="EI597" s="1470"/>
      <c r="EJ597" s="249"/>
      <c r="EK597" s="221"/>
      <c r="EL597" s="313"/>
      <c r="EM597" s="249"/>
      <c r="EN597" s="221"/>
      <c r="EO597" s="313"/>
      <c r="EP597" s="249"/>
      <c r="EQ597" s="216"/>
      <c r="ER597" s="313"/>
      <c r="ES597" s="249"/>
      <c r="ET597" s="216"/>
      <c r="EU597" s="313"/>
      <c r="EV597" s="249"/>
      <c r="EW597" s="216"/>
      <c r="EX597" s="2505"/>
      <c r="EY597" s="249"/>
      <c r="EZ597" s="221"/>
      <c r="FA597" s="313"/>
      <c r="FB597" s="249"/>
      <c r="FC597" s="221"/>
      <c r="FD597" s="313"/>
      <c r="FE597" s="249"/>
      <c r="FF597" s="221"/>
      <c r="FG597" s="313"/>
      <c r="FH597" s="249"/>
      <c r="FI597" s="216"/>
      <c r="FJ597" s="1435"/>
      <c r="FK597" s="216"/>
      <c r="FL597" s="1268"/>
      <c r="FM597" s="1655"/>
      <c r="FN597" s="1268"/>
      <c r="FO597" s="1655"/>
      <c r="FP597" s="1268"/>
      <c r="FQ597" s="1656"/>
      <c r="FR597" s="249"/>
      <c r="FS597" s="216"/>
      <c r="FT597" s="1657"/>
      <c r="FU597" s="1658"/>
      <c r="FV597" s="242"/>
      <c r="FW597" s="343"/>
      <c r="FX597" s="222"/>
      <c r="FY597" s="336"/>
      <c r="FZ597" s="223"/>
      <c r="GA597" s="338"/>
      <c r="GB597" s="204"/>
      <c r="GC597" s="339"/>
      <c r="GD597" s="342"/>
      <c r="GE597" s="199"/>
      <c r="GF597" s="199"/>
      <c r="GG597" s="199"/>
      <c r="GH597" s="199"/>
      <c r="GI597" s="199"/>
      <c r="GJ597" s="199"/>
      <c r="GK597" s="199"/>
      <c r="GO597" s="322"/>
      <c r="GP597" s="1190"/>
      <c r="GQ597" s="1190"/>
      <c r="GS597" s="2879"/>
      <c r="GT597" s="2880"/>
      <c r="GU597" s="2881"/>
    </row>
    <row r="598" spans="1:203" ht="12" customHeight="1">
      <c r="A598" s="1252"/>
      <c r="B598" s="200"/>
      <c r="C598" s="486"/>
      <c r="T598" s="1186"/>
      <c r="U598" s="233"/>
      <c r="W598" s="218"/>
      <c r="X598" s="218"/>
      <c r="Y598" s="216"/>
      <c r="Z598" s="216"/>
      <c r="AA598" s="215"/>
      <c r="AB598" s="216"/>
      <c r="AC598" s="216"/>
      <c r="AD598" s="239"/>
      <c r="AE598" s="216"/>
      <c r="AF598" s="216"/>
      <c r="AG598" s="216"/>
      <c r="AH598" s="216"/>
      <c r="AI598" s="216"/>
      <c r="AJ598" s="216"/>
      <c r="AK598" s="239"/>
      <c r="AL598" s="216"/>
      <c r="AM598" s="216"/>
      <c r="AN598" s="216"/>
      <c r="AO598" s="216"/>
      <c r="AP598" s="216"/>
      <c r="AQ598" s="216"/>
      <c r="AR598" s="216"/>
      <c r="AS598" s="216"/>
      <c r="AT598" s="216"/>
      <c r="AU598" s="216"/>
      <c r="AV598" s="217"/>
      <c r="AW598" s="355"/>
      <c r="AX598" s="217"/>
      <c r="AY598" s="305"/>
      <c r="AZ598" s="249"/>
      <c r="BA598" s="221"/>
      <c r="BB598" s="300"/>
      <c r="BC598" s="217"/>
      <c r="BD598" s="392"/>
      <c r="BE598" s="1244"/>
      <c r="BF598" s="249"/>
      <c r="BG598" s="252"/>
      <c r="BH598" s="1469"/>
      <c r="BI598" s="216"/>
      <c r="BJ598" s="1469"/>
      <c r="BK598" s="1459"/>
      <c r="BL598" s="260"/>
      <c r="BM598" s="214"/>
      <c r="BN598" s="293"/>
      <c r="BO598" s="217"/>
      <c r="BP598" s="355"/>
      <c r="BQ598" s="217"/>
      <c r="BR598" s="1193"/>
      <c r="BS598" s="249"/>
      <c r="BT598" s="216"/>
      <c r="BU598" s="1195"/>
      <c r="BV598" s="249"/>
      <c r="BW598" s="216"/>
      <c r="BX598" s="1195"/>
      <c r="BY598" s="249"/>
      <c r="BZ598" s="216"/>
      <c r="CA598" s="1195"/>
      <c r="CB598" s="249"/>
      <c r="CC598" s="216"/>
      <c r="CD598" s="1195"/>
      <c r="CE598" s="249"/>
      <c r="CF598" s="216"/>
      <c r="CG598" s="1195"/>
      <c r="CH598" s="249"/>
      <c r="CI598" s="216"/>
      <c r="CJ598" s="1195"/>
      <c r="CK598" s="249"/>
      <c r="CL598" s="216"/>
      <c r="CM598" s="1194"/>
      <c r="CN598" s="1524"/>
      <c r="CO598" s="217"/>
      <c r="CP598" s="1193"/>
      <c r="CQ598" s="293"/>
      <c r="CR598" s="217"/>
      <c r="CS598" s="305"/>
      <c r="CT598" s="249"/>
      <c r="CU598" s="216"/>
      <c r="CV598" s="1193"/>
      <c r="CW598" s="249"/>
      <c r="CX598" s="216"/>
      <c r="CY598" s="305"/>
      <c r="CZ598" s="249"/>
      <c r="DA598" s="216"/>
      <c r="DB598" s="307"/>
      <c r="DC598" s="328"/>
      <c r="DD598" s="322"/>
      <c r="DE598" s="305"/>
      <c r="DF598" s="249"/>
      <c r="DG598" s="216"/>
      <c r="DH598" s="305"/>
      <c r="DI598" s="249"/>
      <c r="DJ598" s="216"/>
      <c r="DK598" s="309"/>
      <c r="DL598" s="293"/>
      <c r="DM598" s="326"/>
      <c r="DN598" s="1256"/>
      <c r="DO598" s="214"/>
      <c r="DP598" s="1257"/>
      <c r="DQ598" s="1258"/>
      <c r="DR598" s="305"/>
      <c r="DS598" s="249"/>
      <c r="DT598" s="216"/>
      <c r="DU598" s="305"/>
      <c r="DV598" s="2520"/>
      <c r="DW598" s="2521"/>
      <c r="DX598" s="305"/>
      <c r="DY598" s="249"/>
      <c r="DZ598" s="221"/>
      <c r="EA598" s="388"/>
      <c r="EB598" s="249"/>
      <c r="EC598" s="216"/>
      <c r="ED598" s="1461"/>
      <c r="EE598" s="249"/>
      <c r="EF598" s="216"/>
      <c r="EG598" s="355"/>
      <c r="EH598" s="1425"/>
      <c r="EI598" s="1470"/>
      <c r="EJ598" s="249"/>
      <c r="EK598" s="221"/>
      <c r="EL598" s="313"/>
      <c r="EM598" s="249"/>
      <c r="EN598" s="221"/>
      <c r="EO598" s="313"/>
      <c r="EP598" s="249"/>
      <c r="EQ598" s="216"/>
      <c r="ER598" s="313"/>
      <c r="ES598" s="249"/>
      <c r="ET598" s="216"/>
      <c r="EU598" s="313"/>
      <c r="EV598" s="249"/>
      <c r="EW598" s="216"/>
      <c r="EX598" s="2505"/>
      <c r="EY598" s="249"/>
      <c r="EZ598" s="221"/>
      <c r="FA598" s="313"/>
      <c r="FB598" s="249"/>
      <c r="FC598" s="221"/>
      <c r="FD598" s="313"/>
      <c r="FE598" s="249"/>
      <c r="FF598" s="221"/>
      <c r="FG598" s="313"/>
      <c r="FH598" s="249"/>
      <c r="FI598" s="216"/>
      <c r="FJ598" s="1435"/>
      <c r="FK598" s="216"/>
      <c r="FL598" s="1268"/>
      <c r="FM598" s="1655"/>
      <c r="FN598" s="1268"/>
      <c r="FO598" s="1655"/>
      <c r="FP598" s="1268"/>
      <c r="FQ598" s="1656"/>
      <c r="FR598" s="249"/>
      <c r="FS598" s="216"/>
      <c r="FT598" s="1657"/>
      <c r="FU598" s="1658"/>
      <c r="FV598" s="242"/>
      <c r="FW598" s="343"/>
      <c r="FX598" s="222"/>
      <c r="FY598" s="336"/>
      <c r="FZ598" s="223"/>
      <c r="GA598" s="338"/>
      <c r="GB598" s="204"/>
      <c r="GC598" s="339"/>
      <c r="GD598" s="342"/>
      <c r="GE598" s="199"/>
      <c r="GF598" s="199"/>
      <c r="GG598" s="199"/>
      <c r="GH598" s="199"/>
      <c r="GI598" s="199"/>
      <c r="GJ598" s="199"/>
      <c r="GK598" s="199"/>
      <c r="GO598" s="322"/>
      <c r="GP598" s="1190"/>
      <c r="GQ598" s="1190"/>
      <c r="GS598" s="2879"/>
      <c r="GT598" s="2880"/>
      <c r="GU598" s="2881"/>
    </row>
    <row r="599" spans="1:203" ht="12" customHeight="1">
      <c r="A599" s="1252"/>
      <c r="B599" s="200"/>
      <c r="C599" s="486"/>
      <c r="T599" s="1186"/>
      <c r="U599" s="233"/>
      <c r="W599" s="218"/>
      <c r="X599" s="218"/>
      <c r="Y599" s="216"/>
      <c r="Z599" s="216"/>
      <c r="AA599" s="215"/>
      <c r="AB599" s="216"/>
      <c r="AC599" s="216"/>
      <c r="AD599" s="239"/>
      <c r="AE599" s="216"/>
      <c r="AF599" s="216"/>
      <c r="AG599" s="216"/>
      <c r="AH599" s="216"/>
      <c r="AI599" s="216"/>
      <c r="AJ599" s="216"/>
      <c r="AK599" s="239"/>
      <c r="AL599" s="216"/>
      <c r="AM599" s="216"/>
      <c r="AN599" s="216"/>
      <c r="AO599" s="216"/>
      <c r="AP599" s="216"/>
      <c r="AQ599" s="216"/>
      <c r="AR599" s="216"/>
      <c r="AS599" s="216"/>
      <c r="AT599" s="216"/>
      <c r="AU599" s="216"/>
      <c r="AV599" s="217"/>
      <c r="AW599" s="355"/>
      <c r="AX599" s="217"/>
      <c r="AY599" s="305"/>
      <c r="AZ599" s="249"/>
      <c r="BA599" s="221"/>
      <c r="BB599" s="300"/>
      <c r="BC599" s="217"/>
      <c r="BD599" s="392"/>
      <c r="BE599" s="1244"/>
      <c r="BF599" s="249"/>
      <c r="BG599" s="252"/>
      <c r="BH599" s="1469"/>
      <c r="BI599" s="216"/>
      <c r="BJ599" s="1469"/>
      <c r="BK599" s="1459"/>
      <c r="BL599" s="260"/>
      <c r="BM599" s="214"/>
      <c r="BN599" s="293"/>
      <c r="BO599" s="217"/>
      <c r="BP599" s="355"/>
      <c r="BQ599" s="217"/>
      <c r="BR599" s="1193"/>
      <c r="BS599" s="249"/>
      <c r="BT599" s="216"/>
      <c r="BU599" s="1195"/>
      <c r="BV599" s="249"/>
      <c r="BW599" s="216"/>
      <c r="BX599" s="1195"/>
      <c r="BY599" s="249"/>
      <c r="BZ599" s="216"/>
      <c r="CA599" s="1195"/>
      <c r="CB599" s="249"/>
      <c r="CC599" s="216"/>
      <c r="CD599" s="1195"/>
      <c r="CE599" s="249"/>
      <c r="CF599" s="216"/>
      <c r="CG599" s="1195"/>
      <c r="CH599" s="249"/>
      <c r="CI599" s="216"/>
      <c r="CJ599" s="1195"/>
      <c r="CK599" s="249"/>
      <c r="CL599" s="216"/>
      <c r="CM599" s="1194"/>
      <c r="CN599" s="1524"/>
      <c r="CO599" s="217"/>
      <c r="CP599" s="1193"/>
      <c r="CQ599" s="293"/>
      <c r="CR599" s="217"/>
      <c r="CS599" s="305"/>
      <c r="CT599" s="249"/>
      <c r="CU599" s="216"/>
      <c r="CV599" s="1193"/>
      <c r="CW599" s="249"/>
      <c r="CX599" s="216"/>
      <c r="CY599" s="305"/>
      <c r="CZ599" s="249"/>
      <c r="DA599" s="216"/>
      <c r="DB599" s="307"/>
      <c r="DC599" s="328"/>
      <c r="DD599" s="322"/>
      <c r="DE599" s="305"/>
      <c r="DF599" s="249"/>
      <c r="DG599" s="216"/>
      <c r="DH599" s="305"/>
      <c r="DI599" s="249"/>
      <c r="DJ599" s="216"/>
      <c r="DK599" s="309"/>
      <c r="DL599" s="293"/>
      <c r="DM599" s="326"/>
      <c r="DN599" s="1256"/>
      <c r="DO599" s="214"/>
      <c r="DP599" s="1257"/>
      <c r="DQ599" s="1258"/>
      <c r="DR599" s="305"/>
      <c r="DS599" s="249"/>
      <c r="DT599" s="216"/>
      <c r="DU599" s="305"/>
      <c r="DV599" s="2520"/>
      <c r="DW599" s="2521"/>
      <c r="DX599" s="305"/>
      <c r="DY599" s="249"/>
      <c r="DZ599" s="221"/>
      <c r="EA599" s="388"/>
      <c r="EB599" s="249"/>
      <c r="EC599" s="216"/>
      <c r="ED599" s="1461"/>
      <c r="EE599" s="249"/>
      <c r="EF599" s="216"/>
      <c r="EG599" s="355"/>
      <c r="EH599" s="1425"/>
      <c r="EI599" s="1470"/>
      <c r="EJ599" s="249"/>
      <c r="EK599" s="221"/>
      <c r="EL599" s="313"/>
      <c r="EM599" s="249"/>
      <c r="EN599" s="221"/>
      <c r="EO599" s="313"/>
      <c r="EP599" s="249"/>
      <c r="EQ599" s="216"/>
      <c r="ER599" s="313"/>
      <c r="ES599" s="249"/>
      <c r="ET599" s="216"/>
      <c r="EU599" s="313"/>
      <c r="EV599" s="249"/>
      <c r="EW599" s="216"/>
      <c r="EX599" s="2505"/>
      <c r="EY599" s="249"/>
      <c r="EZ599" s="221"/>
      <c r="FA599" s="313"/>
      <c r="FB599" s="249"/>
      <c r="FC599" s="221"/>
      <c r="FD599" s="313"/>
      <c r="FE599" s="249"/>
      <c r="FF599" s="221"/>
      <c r="FG599" s="313"/>
      <c r="FH599" s="249"/>
      <c r="FI599" s="216"/>
      <c r="FJ599" s="1435"/>
      <c r="FK599" s="216"/>
      <c r="FL599" s="1268"/>
      <c r="FM599" s="1655"/>
      <c r="FN599" s="1268"/>
      <c r="FO599" s="1655"/>
      <c r="FP599" s="1268"/>
      <c r="FQ599" s="1656"/>
      <c r="FR599" s="249"/>
      <c r="FS599" s="216"/>
      <c r="FT599" s="1657"/>
      <c r="FU599" s="1658"/>
      <c r="FV599" s="242"/>
      <c r="FW599" s="343"/>
      <c r="FX599" s="222"/>
      <c r="FY599" s="336"/>
      <c r="FZ599" s="223"/>
      <c r="GA599" s="338"/>
      <c r="GB599" s="204"/>
      <c r="GC599" s="339"/>
      <c r="GD599" s="342"/>
      <c r="GE599" s="199"/>
      <c r="GF599" s="199"/>
      <c r="GG599" s="199"/>
      <c r="GH599" s="199"/>
      <c r="GI599" s="199"/>
      <c r="GJ599" s="199"/>
      <c r="GK599" s="199"/>
      <c r="GO599" s="322"/>
      <c r="GP599" s="1190"/>
      <c r="GQ599" s="1190"/>
      <c r="GS599" s="2879"/>
      <c r="GT599" s="2880"/>
      <c r="GU599" s="2881"/>
    </row>
    <row r="600" spans="1:203" ht="12" customHeight="1">
      <c r="A600" s="1252"/>
      <c r="B600" s="200"/>
      <c r="C600" s="486"/>
      <c r="T600" s="1186"/>
      <c r="U600" s="233"/>
      <c r="W600" s="218"/>
      <c r="X600" s="218"/>
      <c r="Y600" s="216"/>
      <c r="Z600" s="216"/>
      <c r="AA600" s="215"/>
      <c r="AB600" s="216"/>
      <c r="AC600" s="216"/>
      <c r="AD600" s="239"/>
      <c r="AE600" s="216"/>
      <c r="AF600" s="216"/>
      <c r="AG600" s="216"/>
      <c r="AH600" s="216"/>
      <c r="AI600" s="216"/>
      <c r="AJ600" s="216"/>
      <c r="AK600" s="239"/>
      <c r="AL600" s="216"/>
      <c r="AM600" s="216"/>
      <c r="AN600" s="216"/>
      <c r="AO600" s="216"/>
      <c r="AP600" s="216"/>
      <c r="AQ600" s="216"/>
      <c r="AR600" s="216"/>
      <c r="AS600" s="216"/>
      <c r="AT600" s="216"/>
      <c r="AU600" s="216"/>
      <c r="AV600" s="217"/>
      <c r="AW600" s="355"/>
      <c r="AX600" s="217"/>
      <c r="AY600" s="305"/>
      <c r="AZ600" s="249"/>
      <c r="BA600" s="221"/>
      <c r="BB600" s="300"/>
      <c r="BC600" s="217"/>
      <c r="BD600" s="392"/>
      <c r="BE600" s="1244"/>
      <c r="BF600" s="249"/>
      <c r="BG600" s="252"/>
      <c r="BH600" s="1469"/>
      <c r="BI600" s="216"/>
      <c r="BJ600" s="1469"/>
      <c r="BK600" s="1459"/>
      <c r="BL600" s="260"/>
      <c r="BM600" s="214"/>
      <c r="BN600" s="293"/>
      <c r="BO600" s="217"/>
      <c r="BP600" s="355"/>
      <c r="BQ600" s="217"/>
      <c r="BR600" s="1193"/>
      <c r="BS600" s="249"/>
      <c r="BT600" s="216"/>
      <c r="BU600" s="1195"/>
      <c r="BV600" s="249"/>
      <c r="BW600" s="216"/>
      <c r="BX600" s="1195"/>
      <c r="BY600" s="249"/>
      <c r="BZ600" s="216"/>
      <c r="CA600" s="1195"/>
      <c r="CB600" s="249"/>
      <c r="CC600" s="216"/>
      <c r="CD600" s="1195"/>
      <c r="CE600" s="249"/>
      <c r="CF600" s="216"/>
      <c r="CG600" s="1195"/>
      <c r="CH600" s="249"/>
      <c r="CI600" s="216"/>
      <c r="CJ600" s="1195"/>
      <c r="CK600" s="249"/>
      <c r="CL600" s="216"/>
      <c r="CM600" s="1194"/>
      <c r="CN600" s="1524"/>
      <c r="CO600" s="217"/>
      <c r="CP600" s="1193"/>
      <c r="CQ600" s="293"/>
      <c r="CR600" s="217"/>
      <c r="CS600" s="305"/>
      <c r="CT600" s="249"/>
      <c r="CU600" s="216"/>
      <c r="CV600" s="1193"/>
      <c r="CW600" s="249"/>
      <c r="CX600" s="216"/>
      <c r="CY600" s="305"/>
      <c r="CZ600" s="249"/>
      <c r="DA600" s="216"/>
      <c r="DB600" s="307"/>
      <c r="DC600" s="328"/>
      <c r="DD600" s="322"/>
      <c r="DE600" s="305"/>
      <c r="DF600" s="249"/>
      <c r="DG600" s="216"/>
      <c r="DH600" s="305"/>
      <c r="DI600" s="249"/>
      <c r="DJ600" s="216"/>
      <c r="DK600" s="309"/>
      <c r="DL600" s="293"/>
      <c r="DM600" s="326"/>
      <c r="DN600" s="1256"/>
      <c r="DO600" s="214"/>
      <c r="DP600" s="1257"/>
      <c r="DQ600" s="1258"/>
      <c r="DR600" s="305"/>
      <c r="DS600" s="249"/>
      <c r="DT600" s="216"/>
      <c r="DU600" s="305"/>
      <c r="DV600" s="2520"/>
      <c r="DW600" s="2521"/>
      <c r="DX600" s="305"/>
      <c r="DY600" s="249"/>
      <c r="DZ600" s="221"/>
      <c r="EA600" s="388"/>
      <c r="EB600" s="249"/>
      <c r="EC600" s="216"/>
      <c r="ED600" s="1461"/>
      <c r="EE600" s="249"/>
      <c r="EF600" s="216"/>
      <c r="EG600" s="355"/>
      <c r="EH600" s="1425"/>
      <c r="EI600" s="1470"/>
      <c r="EJ600" s="249"/>
      <c r="EK600" s="221"/>
      <c r="EL600" s="313"/>
      <c r="EM600" s="249"/>
      <c r="EN600" s="221"/>
      <c r="EO600" s="313"/>
      <c r="EP600" s="249"/>
      <c r="EQ600" s="216"/>
      <c r="ER600" s="313"/>
      <c r="ES600" s="249"/>
      <c r="ET600" s="216"/>
      <c r="EU600" s="313"/>
      <c r="EV600" s="249"/>
      <c r="EW600" s="216"/>
      <c r="EX600" s="2505"/>
      <c r="EY600" s="249"/>
      <c r="EZ600" s="221"/>
      <c r="FA600" s="313"/>
      <c r="FB600" s="249"/>
      <c r="FC600" s="221"/>
      <c r="FD600" s="313"/>
      <c r="FE600" s="249"/>
      <c r="FF600" s="221"/>
      <c r="FG600" s="313"/>
      <c r="FH600" s="249"/>
      <c r="FI600" s="216"/>
      <c r="FJ600" s="1435"/>
      <c r="FK600" s="216"/>
      <c r="FL600" s="1268"/>
      <c r="FM600" s="1655"/>
      <c r="FN600" s="1268"/>
      <c r="FO600" s="1655"/>
      <c r="FP600" s="1268"/>
      <c r="FQ600" s="1656"/>
      <c r="FR600" s="249"/>
      <c r="FS600" s="216"/>
      <c r="FT600" s="1657"/>
      <c r="FU600" s="1658"/>
      <c r="FV600" s="242"/>
      <c r="FW600" s="343"/>
      <c r="FX600" s="222"/>
      <c r="FY600" s="336"/>
      <c r="FZ600" s="223"/>
      <c r="GA600" s="338"/>
      <c r="GB600" s="204"/>
      <c r="GC600" s="339"/>
      <c r="GD600" s="342"/>
      <c r="GE600" s="199"/>
      <c r="GF600" s="199"/>
      <c r="GG600" s="199"/>
      <c r="GH600" s="199"/>
      <c r="GI600" s="199"/>
      <c r="GJ600" s="199"/>
      <c r="GK600" s="199"/>
      <c r="GO600" s="322"/>
      <c r="GP600" s="1190"/>
      <c r="GQ600" s="1190"/>
      <c r="GS600" s="2879"/>
      <c r="GT600" s="2880"/>
      <c r="GU600" s="2881"/>
    </row>
    <row r="601" spans="1:203" ht="12" customHeight="1">
      <c r="A601" s="1252"/>
      <c r="B601" s="200"/>
      <c r="C601" s="486"/>
      <c r="T601" s="1186"/>
      <c r="U601" s="233"/>
      <c r="W601" s="218"/>
      <c r="X601" s="218"/>
      <c r="Y601" s="216"/>
      <c r="Z601" s="216"/>
      <c r="AA601" s="215"/>
      <c r="AB601" s="216"/>
      <c r="AC601" s="216"/>
      <c r="AD601" s="239"/>
      <c r="AE601" s="216"/>
      <c r="AF601" s="216"/>
      <c r="AG601" s="216"/>
      <c r="AH601" s="216"/>
      <c r="AI601" s="216"/>
      <c r="AJ601" s="216"/>
      <c r="AK601" s="239"/>
      <c r="AL601" s="216"/>
      <c r="AM601" s="216"/>
      <c r="AN601" s="216"/>
      <c r="AO601" s="216"/>
      <c r="AP601" s="216"/>
      <c r="AQ601" s="216"/>
      <c r="AR601" s="216"/>
      <c r="AS601" s="216"/>
      <c r="AT601" s="216"/>
      <c r="AU601" s="216"/>
      <c r="AV601" s="217"/>
      <c r="AW601" s="355"/>
      <c r="AX601" s="217"/>
      <c r="AY601" s="305"/>
      <c r="AZ601" s="249"/>
      <c r="BA601" s="221"/>
      <c r="BB601" s="300"/>
      <c r="BC601" s="217"/>
      <c r="BD601" s="392"/>
      <c r="BE601" s="1244"/>
      <c r="BF601" s="249"/>
      <c r="BG601" s="252"/>
      <c r="BH601" s="1469"/>
      <c r="BI601" s="216"/>
      <c r="BJ601" s="1469"/>
      <c r="BK601" s="1459"/>
      <c r="BL601" s="260"/>
      <c r="BM601" s="214"/>
      <c r="BN601" s="293"/>
      <c r="BO601" s="217"/>
      <c r="BP601" s="355"/>
      <c r="BQ601" s="217"/>
      <c r="BR601" s="1193"/>
      <c r="BS601" s="249"/>
      <c r="BT601" s="216"/>
      <c r="BU601" s="1195"/>
      <c r="BV601" s="249"/>
      <c r="BW601" s="216"/>
      <c r="BX601" s="1195"/>
      <c r="BY601" s="249"/>
      <c r="BZ601" s="216"/>
      <c r="CA601" s="1195"/>
      <c r="CB601" s="249"/>
      <c r="CC601" s="216"/>
      <c r="CD601" s="1195"/>
      <c r="CE601" s="249"/>
      <c r="CF601" s="216"/>
      <c r="CG601" s="1195"/>
      <c r="CH601" s="249"/>
      <c r="CI601" s="216"/>
      <c r="CJ601" s="1195"/>
      <c r="CK601" s="249"/>
      <c r="CL601" s="216"/>
      <c r="CM601" s="1194"/>
      <c r="CN601" s="1524"/>
      <c r="CO601" s="217"/>
      <c r="CP601" s="1193"/>
      <c r="CQ601" s="293"/>
      <c r="CR601" s="217"/>
      <c r="CS601" s="305"/>
      <c r="CT601" s="249"/>
      <c r="CU601" s="216"/>
      <c r="CV601" s="1193"/>
      <c r="CW601" s="249"/>
      <c r="CX601" s="216"/>
      <c r="CY601" s="305"/>
      <c r="CZ601" s="249"/>
      <c r="DA601" s="216"/>
      <c r="DB601" s="307"/>
      <c r="DC601" s="328"/>
      <c r="DD601" s="322"/>
      <c r="DE601" s="305"/>
      <c r="DF601" s="249"/>
      <c r="DG601" s="216"/>
      <c r="DH601" s="305"/>
      <c r="DI601" s="249"/>
      <c r="DJ601" s="216"/>
      <c r="DK601" s="309"/>
      <c r="DL601" s="293"/>
      <c r="DM601" s="326"/>
      <c r="DN601" s="1256"/>
      <c r="DO601" s="214"/>
      <c r="DP601" s="1257"/>
      <c r="DQ601" s="1258"/>
      <c r="DR601" s="305"/>
      <c r="DS601" s="249"/>
      <c r="DT601" s="216"/>
      <c r="DU601" s="305"/>
      <c r="DV601" s="2520"/>
      <c r="DW601" s="2521"/>
      <c r="DX601" s="305"/>
      <c r="DY601" s="249"/>
      <c r="DZ601" s="221"/>
      <c r="EA601" s="388"/>
      <c r="EB601" s="249"/>
      <c r="EC601" s="216"/>
      <c r="ED601" s="1461"/>
      <c r="EE601" s="249"/>
      <c r="EF601" s="216"/>
      <c r="EG601" s="355"/>
      <c r="EH601" s="1425"/>
      <c r="EI601" s="1470"/>
      <c r="EJ601" s="249"/>
      <c r="EK601" s="221"/>
      <c r="EL601" s="313"/>
      <c r="EM601" s="249"/>
      <c r="EN601" s="221"/>
      <c r="EO601" s="313"/>
      <c r="EP601" s="249"/>
      <c r="EQ601" s="216"/>
      <c r="ER601" s="313"/>
      <c r="ES601" s="249"/>
      <c r="ET601" s="216"/>
      <c r="EU601" s="313"/>
      <c r="EV601" s="249"/>
      <c r="EW601" s="216"/>
      <c r="EX601" s="2505"/>
      <c r="EY601" s="249"/>
      <c r="EZ601" s="221"/>
      <c r="FA601" s="313"/>
      <c r="FB601" s="249"/>
      <c r="FC601" s="221"/>
      <c r="FD601" s="313"/>
      <c r="FE601" s="249"/>
      <c r="FF601" s="221"/>
      <c r="FG601" s="313"/>
      <c r="FH601" s="249"/>
      <c r="FI601" s="216"/>
      <c r="FJ601" s="1435"/>
      <c r="FK601" s="216"/>
      <c r="FL601" s="1268"/>
      <c r="FM601" s="1655"/>
      <c r="FN601" s="1268"/>
      <c r="FO601" s="1655"/>
      <c r="FP601" s="1268"/>
      <c r="FQ601" s="1656"/>
      <c r="FR601" s="249"/>
      <c r="FS601" s="216"/>
      <c r="FT601" s="1657"/>
      <c r="FU601" s="1658"/>
      <c r="FV601" s="242"/>
      <c r="FW601" s="343"/>
      <c r="FX601" s="222"/>
      <c r="FY601" s="336"/>
      <c r="FZ601" s="223"/>
      <c r="GA601" s="338"/>
      <c r="GB601" s="204"/>
      <c r="GC601" s="339"/>
      <c r="GD601" s="342"/>
      <c r="GE601" s="199"/>
      <c r="GF601" s="199"/>
      <c r="GG601" s="199"/>
      <c r="GH601" s="199"/>
      <c r="GI601" s="199"/>
      <c r="GJ601" s="199"/>
      <c r="GK601" s="199"/>
      <c r="GO601" s="322"/>
      <c r="GP601" s="1190"/>
      <c r="GQ601" s="1190"/>
      <c r="GS601" s="2879"/>
      <c r="GT601" s="2880"/>
      <c r="GU601" s="2881"/>
    </row>
    <row r="602" spans="1:203" ht="12" customHeight="1">
      <c r="A602" s="1252"/>
      <c r="B602" s="200"/>
      <c r="C602" s="486"/>
      <c r="T602" s="1186"/>
      <c r="U602" s="233"/>
      <c r="W602" s="218"/>
      <c r="X602" s="218"/>
      <c r="Y602" s="216"/>
      <c r="Z602" s="216"/>
      <c r="AA602" s="215"/>
      <c r="AB602" s="216"/>
      <c r="AC602" s="216"/>
      <c r="AD602" s="239"/>
      <c r="AE602" s="216"/>
      <c r="AF602" s="216"/>
      <c r="AG602" s="216"/>
      <c r="AH602" s="216"/>
      <c r="AI602" s="216"/>
      <c r="AJ602" s="216"/>
      <c r="AK602" s="239"/>
      <c r="AL602" s="216"/>
      <c r="AM602" s="216"/>
      <c r="AN602" s="216"/>
      <c r="AO602" s="216"/>
      <c r="AP602" s="216"/>
      <c r="AQ602" s="216"/>
      <c r="AR602" s="216"/>
      <c r="AS602" s="216"/>
      <c r="AT602" s="216"/>
      <c r="AU602" s="216"/>
      <c r="AV602" s="217"/>
      <c r="AW602" s="355"/>
      <c r="AX602" s="217"/>
      <c r="AY602" s="305"/>
      <c r="AZ602" s="249"/>
      <c r="BA602" s="221"/>
      <c r="BB602" s="300"/>
      <c r="BC602" s="217"/>
      <c r="BD602" s="392"/>
      <c r="BE602" s="1244"/>
      <c r="BF602" s="249"/>
      <c r="BG602" s="252"/>
      <c r="BH602" s="1469"/>
      <c r="BI602" s="216"/>
      <c r="BJ602" s="1469"/>
      <c r="BK602" s="1459"/>
      <c r="BL602" s="260"/>
      <c r="BM602" s="214"/>
      <c r="BN602" s="293"/>
      <c r="BO602" s="217"/>
      <c r="BP602" s="355"/>
      <c r="BQ602" s="217"/>
      <c r="BR602" s="1193"/>
      <c r="BS602" s="249"/>
      <c r="BT602" s="216"/>
      <c r="BU602" s="1195"/>
      <c r="BV602" s="249"/>
      <c r="BW602" s="216"/>
      <c r="BX602" s="1195"/>
      <c r="BY602" s="249"/>
      <c r="BZ602" s="216"/>
      <c r="CA602" s="1195"/>
      <c r="CB602" s="249"/>
      <c r="CC602" s="216"/>
      <c r="CD602" s="1195"/>
      <c r="CE602" s="249"/>
      <c r="CF602" s="216"/>
      <c r="CG602" s="1195"/>
      <c r="CH602" s="249"/>
      <c r="CI602" s="216"/>
      <c r="CJ602" s="1195"/>
      <c r="CK602" s="249"/>
      <c r="CL602" s="216"/>
      <c r="CM602" s="1194"/>
      <c r="CN602" s="1524"/>
      <c r="CO602" s="217"/>
      <c r="CP602" s="1193"/>
      <c r="CQ602" s="293"/>
      <c r="CR602" s="217"/>
      <c r="CS602" s="305"/>
      <c r="CT602" s="249"/>
      <c r="CU602" s="216"/>
      <c r="CV602" s="1193"/>
      <c r="CW602" s="249"/>
      <c r="CX602" s="216"/>
      <c r="CY602" s="305"/>
      <c r="CZ602" s="249"/>
      <c r="DA602" s="216"/>
      <c r="DB602" s="307"/>
      <c r="DC602" s="328"/>
      <c r="DD602" s="322"/>
      <c r="DE602" s="305"/>
      <c r="DF602" s="249"/>
      <c r="DG602" s="216"/>
      <c r="DH602" s="305"/>
      <c r="DI602" s="249"/>
      <c r="DJ602" s="216"/>
      <c r="DK602" s="309"/>
      <c r="DL602" s="293"/>
      <c r="DM602" s="326"/>
      <c r="DN602" s="1256"/>
      <c r="DO602" s="214"/>
      <c r="DP602" s="1257"/>
      <c r="DQ602" s="1258"/>
      <c r="DR602" s="305"/>
      <c r="DS602" s="249"/>
      <c r="DT602" s="216"/>
      <c r="DU602" s="305"/>
      <c r="DV602" s="2520"/>
      <c r="DW602" s="2521"/>
      <c r="DX602" s="305"/>
      <c r="DY602" s="249"/>
      <c r="DZ602" s="221"/>
      <c r="EA602" s="388"/>
      <c r="EB602" s="249"/>
      <c r="EC602" s="216"/>
      <c r="ED602" s="1461"/>
      <c r="EE602" s="249"/>
      <c r="EF602" s="216"/>
      <c r="EG602" s="355"/>
      <c r="EH602" s="1425"/>
      <c r="EI602" s="1470"/>
      <c r="EJ602" s="249"/>
      <c r="EK602" s="221"/>
      <c r="EL602" s="313"/>
      <c r="EM602" s="249"/>
      <c r="EN602" s="221"/>
      <c r="EO602" s="313"/>
      <c r="EP602" s="249"/>
      <c r="EQ602" s="216"/>
      <c r="ER602" s="313"/>
      <c r="ES602" s="249"/>
      <c r="ET602" s="216"/>
      <c r="EU602" s="313"/>
      <c r="EV602" s="249"/>
      <c r="EW602" s="216"/>
      <c r="EX602" s="2505"/>
      <c r="EY602" s="249"/>
      <c r="EZ602" s="221"/>
      <c r="FA602" s="313"/>
      <c r="FB602" s="249"/>
      <c r="FC602" s="221"/>
      <c r="FD602" s="313"/>
      <c r="FE602" s="249"/>
      <c r="FF602" s="221"/>
      <c r="FG602" s="313"/>
      <c r="FH602" s="249"/>
      <c r="FI602" s="216"/>
      <c r="FJ602" s="1435"/>
      <c r="FK602" s="216"/>
      <c r="FL602" s="1268"/>
      <c r="FM602" s="1655"/>
      <c r="FN602" s="1268"/>
      <c r="FO602" s="1655"/>
      <c r="FP602" s="1268"/>
      <c r="FQ602" s="1656"/>
      <c r="FR602" s="249"/>
      <c r="FS602" s="216"/>
      <c r="FT602" s="1657"/>
      <c r="FU602" s="1658"/>
      <c r="FV602" s="242"/>
      <c r="FW602" s="343"/>
      <c r="FX602" s="222"/>
      <c r="FY602" s="336"/>
      <c r="FZ602" s="223"/>
      <c r="GA602" s="338"/>
      <c r="GB602" s="204"/>
      <c r="GC602" s="339"/>
      <c r="GD602" s="342"/>
      <c r="GE602" s="199"/>
      <c r="GF602" s="199"/>
      <c r="GG602" s="199"/>
      <c r="GH602" s="199"/>
      <c r="GI602" s="199"/>
      <c r="GJ602" s="199"/>
      <c r="GK602" s="199"/>
      <c r="GO602" s="322"/>
      <c r="GP602" s="1190"/>
      <c r="GQ602" s="1190"/>
      <c r="GS602" s="2879"/>
      <c r="GT602" s="2880"/>
      <c r="GU602" s="2881"/>
    </row>
    <row r="603" spans="1:203" ht="12" customHeight="1">
      <c r="A603" s="1252"/>
      <c r="B603" s="200"/>
      <c r="C603" s="486"/>
      <c r="T603" s="1186"/>
      <c r="U603" s="233"/>
      <c r="W603" s="218"/>
      <c r="X603" s="218"/>
      <c r="Y603" s="216"/>
      <c r="Z603" s="216"/>
      <c r="AA603" s="215"/>
      <c r="AB603" s="216"/>
      <c r="AC603" s="216"/>
      <c r="AD603" s="239"/>
      <c r="AE603" s="216"/>
      <c r="AF603" s="216"/>
      <c r="AG603" s="216"/>
      <c r="AH603" s="216"/>
      <c r="AI603" s="216"/>
      <c r="AJ603" s="216"/>
      <c r="AK603" s="239"/>
      <c r="AL603" s="216"/>
      <c r="AM603" s="216"/>
      <c r="AN603" s="216"/>
      <c r="AO603" s="216"/>
      <c r="AP603" s="216"/>
      <c r="AQ603" s="216"/>
      <c r="AR603" s="216"/>
      <c r="AS603" s="216"/>
      <c r="AT603" s="216"/>
      <c r="AU603" s="216"/>
      <c r="AV603" s="217"/>
      <c r="AW603" s="355"/>
      <c r="AX603" s="217"/>
      <c r="AY603" s="305"/>
      <c r="AZ603" s="249"/>
      <c r="BA603" s="221"/>
      <c r="BB603" s="300"/>
      <c r="BC603" s="217"/>
      <c r="BD603" s="392"/>
      <c r="BE603" s="1244"/>
      <c r="BF603" s="249"/>
      <c r="BG603" s="252"/>
      <c r="BH603" s="1469"/>
      <c r="BI603" s="216"/>
      <c r="BJ603" s="1469"/>
      <c r="BK603" s="1459"/>
      <c r="BL603" s="260"/>
      <c r="BM603" s="214"/>
      <c r="BN603" s="293"/>
      <c r="BO603" s="217"/>
      <c r="BP603" s="355"/>
      <c r="BQ603" s="217"/>
      <c r="BR603" s="1193"/>
      <c r="BS603" s="249"/>
      <c r="BT603" s="216"/>
      <c r="BU603" s="1195"/>
      <c r="BV603" s="249"/>
      <c r="BW603" s="216"/>
      <c r="BX603" s="1195"/>
      <c r="BY603" s="249"/>
      <c r="BZ603" s="216"/>
      <c r="CA603" s="1195"/>
      <c r="CB603" s="249"/>
      <c r="CC603" s="216"/>
      <c r="CD603" s="1195"/>
      <c r="CE603" s="249"/>
      <c r="CF603" s="216"/>
      <c r="CG603" s="1195"/>
      <c r="CH603" s="249"/>
      <c r="CI603" s="216"/>
      <c r="CJ603" s="1195"/>
      <c r="CK603" s="249"/>
      <c r="CL603" s="216"/>
      <c r="CM603" s="1194"/>
      <c r="CN603" s="1524"/>
      <c r="CO603" s="217"/>
      <c r="CP603" s="1193"/>
      <c r="CQ603" s="293"/>
      <c r="CR603" s="217"/>
      <c r="CS603" s="305"/>
      <c r="CT603" s="249"/>
      <c r="CU603" s="216"/>
      <c r="CV603" s="1193"/>
      <c r="CW603" s="249"/>
      <c r="CX603" s="216"/>
      <c r="CY603" s="305"/>
      <c r="CZ603" s="249"/>
      <c r="DA603" s="216"/>
      <c r="DB603" s="307"/>
      <c r="DC603" s="328"/>
      <c r="DD603" s="322"/>
      <c r="DE603" s="305"/>
      <c r="DF603" s="249"/>
      <c r="DG603" s="216"/>
      <c r="DH603" s="305"/>
      <c r="DI603" s="249"/>
      <c r="DJ603" s="216"/>
      <c r="DK603" s="309"/>
      <c r="DL603" s="293"/>
      <c r="DM603" s="326"/>
      <c r="DN603" s="1256"/>
      <c r="DO603" s="214"/>
      <c r="DP603" s="1257"/>
      <c r="DQ603" s="1258"/>
      <c r="DR603" s="305"/>
      <c r="DS603" s="249"/>
      <c r="DT603" s="216"/>
      <c r="DU603" s="305"/>
      <c r="DV603" s="2520"/>
      <c r="DW603" s="2521"/>
      <c r="DX603" s="305"/>
      <c r="DY603" s="249"/>
      <c r="DZ603" s="221"/>
      <c r="EA603" s="388"/>
      <c r="EB603" s="249"/>
      <c r="EC603" s="216"/>
      <c r="ED603" s="1461"/>
      <c r="EE603" s="249"/>
      <c r="EF603" s="216"/>
      <c r="EG603" s="355"/>
      <c r="EH603" s="1425"/>
      <c r="EI603" s="1470"/>
      <c r="EJ603" s="249"/>
      <c r="EK603" s="221"/>
      <c r="EL603" s="313"/>
      <c r="EM603" s="249"/>
      <c r="EN603" s="221"/>
      <c r="EO603" s="313"/>
      <c r="EP603" s="249"/>
      <c r="EQ603" s="216"/>
      <c r="ER603" s="313"/>
      <c r="ES603" s="249"/>
      <c r="ET603" s="216"/>
      <c r="EU603" s="313"/>
      <c r="EV603" s="249"/>
      <c r="EW603" s="216"/>
      <c r="EX603" s="2505"/>
      <c r="EY603" s="249"/>
      <c r="EZ603" s="221"/>
      <c r="FA603" s="313"/>
      <c r="FB603" s="249"/>
      <c r="FC603" s="221"/>
      <c r="FD603" s="313"/>
      <c r="FE603" s="249"/>
      <c r="FF603" s="221"/>
      <c r="FG603" s="313"/>
      <c r="FH603" s="249"/>
      <c r="FI603" s="216"/>
      <c r="FJ603" s="1435"/>
      <c r="FK603" s="216"/>
      <c r="FL603" s="1268"/>
      <c r="FM603" s="1655"/>
      <c r="FN603" s="1268"/>
      <c r="FO603" s="1655"/>
      <c r="FP603" s="1268"/>
      <c r="FQ603" s="1656"/>
      <c r="FR603" s="249"/>
      <c r="FS603" s="216"/>
      <c r="FT603" s="1657"/>
      <c r="FU603" s="1658"/>
      <c r="FV603" s="242"/>
      <c r="FW603" s="343"/>
      <c r="FX603" s="222"/>
      <c r="FY603" s="336"/>
      <c r="FZ603" s="223"/>
      <c r="GA603" s="338"/>
      <c r="GB603" s="204"/>
      <c r="GC603" s="339"/>
      <c r="GD603" s="342"/>
      <c r="GE603" s="199"/>
      <c r="GF603" s="199"/>
      <c r="GG603" s="199"/>
      <c r="GH603" s="199"/>
      <c r="GI603" s="199"/>
      <c r="GJ603" s="199"/>
      <c r="GK603" s="199"/>
      <c r="GO603" s="322"/>
      <c r="GP603" s="1190"/>
      <c r="GQ603" s="1190"/>
      <c r="GS603" s="2879"/>
      <c r="GT603" s="2880"/>
      <c r="GU603" s="2881"/>
    </row>
    <row r="604" spans="1:203" ht="12" customHeight="1">
      <c r="A604" s="1252"/>
      <c r="B604" s="200"/>
      <c r="C604" s="486"/>
      <c r="T604" s="1186"/>
      <c r="U604" s="233"/>
      <c r="W604" s="218"/>
      <c r="X604" s="218"/>
      <c r="Y604" s="216"/>
      <c r="Z604" s="216"/>
      <c r="AA604" s="215"/>
      <c r="AB604" s="216"/>
      <c r="AC604" s="216"/>
      <c r="AD604" s="239"/>
      <c r="AE604" s="216"/>
      <c r="AF604" s="216"/>
      <c r="AG604" s="216"/>
      <c r="AH604" s="216"/>
      <c r="AI604" s="216"/>
      <c r="AJ604" s="216"/>
      <c r="AK604" s="239"/>
      <c r="AL604" s="216"/>
      <c r="AM604" s="216"/>
      <c r="AN604" s="216"/>
      <c r="AO604" s="216"/>
      <c r="AP604" s="216"/>
      <c r="AQ604" s="216"/>
      <c r="AR604" s="216"/>
      <c r="AS604" s="216"/>
      <c r="AT604" s="216"/>
      <c r="AU604" s="216"/>
      <c r="AV604" s="217"/>
      <c r="AW604" s="355"/>
      <c r="AX604" s="217"/>
      <c r="AY604" s="305"/>
      <c r="AZ604" s="249"/>
      <c r="BA604" s="221"/>
      <c r="BB604" s="300"/>
      <c r="BC604" s="217"/>
      <c r="BD604" s="392"/>
      <c r="BE604" s="1244"/>
      <c r="BF604" s="249"/>
      <c r="BG604" s="252"/>
      <c r="BH604" s="1469"/>
      <c r="BI604" s="216"/>
      <c r="BJ604" s="1469"/>
      <c r="BK604" s="1459"/>
      <c r="BL604" s="260"/>
      <c r="BM604" s="214"/>
      <c r="BN604" s="293"/>
      <c r="BO604" s="217"/>
      <c r="BP604" s="355"/>
      <c r="BQ604" s="217"/>
      <c r="BR604" s="1193"/>
      <c r="BS604" s="249"/>
      <c r="BT604" s="216"/>
      <c r="BU604" s="1195"/>
      <c r="BV604" s="249"/>
      <c r="BW604" s="216"/>
      <c r="BX604" s="1195"/>
      <c r="BY604" s="249"/>
      <c r="BZ604" s="216"/>
      <c r="CA604" s="1195"/>
      <c r="CB604" s="249"/>
      <c r="CC604" s="216"/>
      <c r="CD604" s="1195"/>
      <c r="CE604" s="249"/>
      <c r="CF604" s="216"/>
      <c r="CG604" s="1195"/>
      <c r="CH604" s="249"/>
      <c r="CI604" s="216"/>
      <c r="CJ604" s="1195"/>
      <c r="CK604" s="249"/>
      <c r="CL604" s="216"/>
      <c r="CM604" s="1194"/>
      <c r="CN604" s="1524"/>
      <c r="CO604" s="217"/>
      <c r="CP604" s="1193"/>
      <c r="CQ604" s="293"/>
      <c r="CR604" s="217"/>
      <c r="CS604" s="305"/>
      <c r="CT604" s="249"/>
      <c r="CU604" s="216"/>
      <c r="CV604" s="1193"/>
      <c r="CW604" s="249"/>
      <c r="CX604" s="216"/>
      <c r="CY604" s="305"/>
      <c r="CZ604" s="249"/>
      <c r="DA604" s="216"/>
      <c r="DB604" s="307"/>
      <c r="DC604" s="328"/>
      <c r="DD604" s="322"/>
      <c r="DE604" s="305"/>
      <c r="DF604" s="249"/>
      <c r="DG604" s="216"/>
      <c r="DH604" s="305"/>
      <c r="DI604" s="249"/>
      <c r="DJ604" s="216"/>
      <c r="DK604" s="309"/>
      <c r="DL604" s="293"/>
      <c r="DM604" s="326"/>
      <c r="DN604" s="1256"/>
      <c r="DO604" s="214"/>
      <c r="DP604" s="1257"/>
      <c r="DQ604" s="1258"/>
      <c r="DR604" s="305"/>
      <c r="DS604" s="249"/>
      <c r="DT604" s="216"/>
      <c r="DU604" s="305"/>
      <c r="DV604" s="2520"/>
      <c r="DW604" s="2521"/>
      <c r="DX604" s="305"/>
      <c r="DY604" s="249"/>
      <c r="DZ604" s="221"/>
      <c r="EA604" s="388"/>
      <c r="EB604" s="249"/>
      <c r="EC604" s="216"/>
      <c r="ED604" s="1461"/>
      <c r="EE604" s="249"/>
      <c r="EF604" s="216"/>
      <c r="EG604" s="355"/>
      <c r="EH604" s="1425"/>
      <c r="EI604" s="1470"/>
      <c r="EJ604" s="249"/>
      <c r="EK604" s="221"/>
      <c r="EL604" s="313"/>
      <c r="EM604" s="249"/>
      <c r="EN604" s="221"/>
      <c r="EO604" s="313"/>
      <c r="EP604" s="249"/>
      <c r="EQ604" s="216"/>
      <c r="ER604" s="313"/>
      <c r="ES604" s="249"/>
      <c r="ET604" s="216"/>
      <c r="EU604" s="313"/>
      <c r="EV604" s="249"/>
      <c r="EW604" s="216"/>
      <c r="EX604" s="2505"/>
      <c r="EY604" s="249"/>
      <c r="EZ604" s="221"/>
      <c r="FA604" s="313"/>
      <c r="FB604" s="249"/>
      <c r="FC604" s="221"/>
      <c r="FD604" s="313"/>
      <c r="FE604" s="249"/>
      <c r="FF604" s="221"/>
      <c r="FG604" s="313"/>
      <c r="FH604" s="249"/>
      <c r="FI604" s="216"/>
      <c r="FJ604" s="1435"/>
      <c r="FK604" s="216"/>
      <c r="FL604" s="1268"/>
      <c r="FM604" s="1655"/>
      <c r="FN604" s="1268"/>
      <c r="FO604" s="1655"/>
      <c r="FP604" s="1268"/>
      <c r="FQ604" s="1656"/>
      <c r="FR604" s="249"/>
      <c r="FS604" s="216"/>
      <c r="FT604" s="1657"/>
      <c r="FU604" s="1658"/>
      <c r="FV604" s="242"/>
      <c r="FW604" s="343"/>
      <c r="FX604" s="222"/>
      <c r="FY604" s="336"/>
      <c r="FZ604" s="223"/>
      <c r="GA604" s="338"/>
      <c r="GB604" s="204"/>
      <c r="GC604" s="339"/>
      <c r="GD604" s="342"/>
      <c r="GE604" s="199"/>
      <c r="GF604" s="199"/>
      <c r="GG604" s="199"/>
      <c r="GH604" s="199"/>
      <c r="GI604" s="199"/>
      <c r="GJ604" s="199"/>
      <c r="GK604" s="199"/>
      <c r="GO604" s="322"/>
      <c r="GP604" s="1190"/>
      <c r="GQ604" s="1190"/>
      <c r="GS604" s="2879"/>
      <c r="GT604" s="2880"/>
      <c r="GU604" s="2881"/>
    </row>
    <row r="605" spans="1:203" ht="12" customHeight="1">
      <c r="A605" s="1252"/>
      <c r="B605" s="200"/>
      <c r="C605" s="486"/>
      <c r="T605" s="1186"/>
      <c r="U605" s="233"/>
      <c r="W605" s="218"/>
      <c r="X605" s="218"/>
      <c r="Y605" s="216"/>
      <c r="Z605" s="216"/>
      <c r="AA605" s="215"/>
      <c r="AB605" s="216"/>
      <c r="AC605" s="216"/>
      <c r="AD605" s="239"/>
      <c r="AE605" s="216"/>
      <c r="AF605" s="216"/>
      <c r="AG605" s="216"/>
      <c r="AH605" s="216"/>
      <c r="AI605" s="216"/>
      <c r="AJ605" s="216"/>
      <c r="AK605" s="239"/>
      <c r="AL605" s="216"/>
      <c r="AM605" s="216"/>
      <c r="AN605" s="216"/>
      <c r="AO605" s="216"/>
      <c r="AP605" s="216"/>
      <c r="AQ605" s="216"/>
      <c r="AR605" s="216"/>
      <c r="AS605" s="216"/>
      <c r="AT605" s="216"/>
      <c r="AU605" s="216"/>
      <c r="AV605" s="217"/>
      <c r="AW605" s="355"/>
      <c r="AX605" s="217"/>
      <c r="AY605" s="305"/>
      <c r="AZ605" s="249"/>
      <c r="BA605" s="221"/>
      <c r="BB605" s="300"/>
      <c r="BC605" s="217"/>
      <c r="BD605" s="392"/>
      <c r="BE605" s="1244"/>
      <c r="BF605" s="249"/>
      <c r="BG605" s="252"/>
      <c r="BH605" s="1469"/>
      <c r="BI605" s="216"/>
      <c r="BJ605" s="1469"/>
      <c r="BK605" s="1459"/>
      <c r="BL605" s="260"/>
      <c r="BM605" s="214"/>
      <c r="BN605" s="293"/>
      <c r="BO605" s="217"/>
      <c r="BP605" s="355"/>
      <c r="BQ605" s="217"/>
      <c r="BR605" s="1193"/>
      <c r="BS605" s="249"/>
      <c r="BT605" s="216"/>
      <c r="BU605" s="1195"/>
      <c r="BV605" s="249"/>
      <c r="BW605" s="216"/>
      <c r="BX605" s="1195"/>
      <c r="BY605" s="249"/>
      <c r="BZ605" s="216"/>
      <c r="CA605" s="1195"/>
      <c r="CB605" s="249"/>
      <c r="CC605" s="216"/>
      <c r="CD605" s="1195"/>
      <c r="CE605" s="249"/>
      <c r="CF605" s="216"/>
      <c r="CG605" s="1195"/>
      <c r="CH605" s="249"/>
      <c r="CI605" s="216"/>
      <c r="CJ605" s="1195"/>
      <c r="CK605" s="249"/>
      <c r="CL605" s="216"/>
      <c r="CM605" s="1194"/>
      <c r="CN605" s="1524"/>
      <c r="CO605" s="217"/>
      <c r="CP605" s="1193"/>
      <c r="CQ605" s="293"/>
      <c r="CR605" s="217"/>
      <c r="CS605" s="305"/>
      <c r="CT605" s="249"/>
      <c r="CU605" s="216"/>
      <c r="CV605" s="1193"/>
      <c r="CW605" s="249"/>
      <c r="CX605" s="216"/>
      <c r="CY605" s="305"/>
      <c r="CZ605" s="249"/>
      <c r="DA605" s="216"/>
      <c r="DB605" s="307"/>
      <c r="DC605" s="328"/>
      <c r="DD605" s="322"/>
      <c r="DE605" s="305"/>
      <c r="DF605" s="249"/>
      <c r="DG605" s="216"/>
      <c r="DH605" s="305"/>
      <c r="DI605" s="249"/>
      <c r="DJ605" s="216"/>
      <c r="DK605" s="309"/>
      <c r="DL605" s="293"/>
      <c r="DM605" s="326"/>
      <c r="DN605" s="1256"/>
      <c r="DO605" s="214"/>
      <c r="DP605" s="1257"/>
      <c r="DQ605" s="1258"/>
      <c r="DR605" s="305"/>
      <c r="DS605" s="249"/>
      <c r="DT605" s="216"/>
      <c r="DU605" s="305"/>
      <c r="DV605" s="2520"/>
      <c r="DW605" s="2521"/>
      <c r="DX605" s="305"/>
      <c r="DY605" s="249"/>
      <c r="DZ605" s="221"/>
      <c r="EA605" s="388"/>
      <c r="EB605" s="249"/>
      <c r="EC605" s="216"/>
      <c r="ED605" s="1461"/>
      <c r="EE605" s="249"/>
      <c r="EF605" s="216"/>
      <c r="EG605" s="355"/>
      <c r="EH605" s="1425"/>
      <c r="EI605" s="1470"/>
      <c r="EJ605" s="249"/>
      <c r="EK605" s="221"/>
      <c r="EL605" s="313"/>
      <c r="EM605" s="249"/>
      <c r="EN605" s="221"/>
      <c r="EO605" s="313"/>
      <c r="EP605" s="249"/>
      <c r="EQ605" s="216"/>
      <c r="ER605" s="313"/>
      <c r="ES605" s="249"/>
      <c r="ET605" s="216"/>
      <c r="EU605" s="313"/>
      <c r="EV605" s="249"/>
      <c r="EW605" s="216"/>
      <c r="EX605" s="2505"/>
      <c r="EY605" s="249"/>
      <c r="EZ605" s="221"/>
      <c r="FA605" s="313"/>
      <c r="FB605" s="249"/>
      <c r="FC605" s="221"/>
      <c r="FD605" s="313"/>
      <c r="FE605" s="249"/>
      <c r="FF605" s="221"/>
      <c r="FG605" s="313"/>
      <c r="FH605" s="249"/>
      <c r="FI605" s="216"/>
      <c r="FJ605" s="1435"/>
      <c r="FK605" s="216"/>
      <c r="FL605" s="1268"/>
      <c r="FM605" s="1655"/>
      <c r="FN605" s="1268"/>
      <c r="FO605" s="1655"/>
      <c r="FP605" s="1268"/>
      <c r="FQ605" s="1656"/>
      <c r="FR605" s="249"/>
      <c r="FS605" s="216"/>
      <c r="FT605" s="1657"/>
      <c r="FU605" s="1658"/>
      <c r="FV605" s="242"/>
      <c r="FW605" s="343"/>
      <c r="FX605" s="222"/>
      <c r="FY605" s="336"/>
      <c r="FZ605" s="223"/>
      <c r="GA605" s="338"/>
      <c r="GB605" s="204"/>
      <c r="GC605" s="339"/>
      <c r="GD605" s="342"/>
      <c r="GE605" s="199"/>
      <c r="GF605" s="199"/>
      <c r="GG605" s="199"/>
      <c r="GH605" s="199"/>
      <c r="GI605" s="199"/>
      <c r="GJ605" s="199"/>
      <c r="GK605" s="199"/>
      <c r="GO605" s="322"/>
      <c r="GP605" s="1190"/>
      <c r="GQ605" s="1190"/>
      <c r="GS605" s="2879"/>
      <c r="GT605" s="2880"/>
      <c r="GU605" s="2881"/>
    </row>
    <row r="606" spans="1:203" ht="12" customHeight="1">
      <c r="A606" s="1252"/>
      <c r="B606" s="200"/>
      <c r="C606" s="486"/>
      <c r="T606" s="1186"/>
      <c r="U606" s="233"/>
      <c r="W606" s="218"/>
      <c r="X606" s="218"/>
      <c r="Y606" s="216"/>
      <c r="Z606" s="216"/>
      <c r="AA606" s="215"/>
      <c r="AB606" s="216"/>
      <c r="AC606" s="216"/>
      <c r="AD606" s="239"/>
      <c r="AE606" s="216"/>
      <c r="AF606" s="216"/>
      <c r="AG606" s="216"/>
      <c r="AH606" s="216"/>
      <c r="AI606" s="216"/>
      <c r="AJ606" s="216"/>
      <c r="AK606" s="239"/>
      <c r="AL606" s="216"/>
      <c r="AM606" s="216"/>
      <c r="AN606" s="216"/>
      <c r="AO606" s="216"/>
      <c r="AP606" s="216"/>
      <c r="AQ606" s="216"/>
      <c r="AR606" s="216"/>
      <c r="AS606" s="216"/>
      <c r="AT606" s="216"/>
      <c r="AU606" s="216"/>
      <c r="AV606" s="217"/>
      <c r="AW606" s="355"/>
      <c r="AX606" s="217"/>
      <c r="AY606" s="305"/>
      <c r="AZ606" s="249"/>
      <c r="BA606" s="221"/>
      <c r="BB606" s="300"/>
      <c r="BC606" s="217"/>
      <c r="BD606" s="392"/>
      <c r="BE606" s="1244"/>
      <c r="BF606" s="249"/>
      <c r="BG606" s="252"/>
      <c r="BH606" s="1469"/>
      <c r="BI606" s="216"/>
      <c r="BJ606" s="1469"/>
      <c r="BK606" s="1459"/>
      <c r="BL606" s="260"/>
      <c r="BM606" s="214"/>
      <c r="BN606" s="293"/>
      <c r="BO606" s="217"/>
      <c r="BP606" s="355"/>
      <c r="BQ606" s="217"/>
      <c r="BR606" s="1193"/>
      <c r="BS606" s="249"/>
      <c r="BT606" s="216"/>
      <c r="BU606" s="1195"/>
      <c r="BV606" s="249"/>
      <c r="BW606" s="216"/>
      <c r="BX606" s="1195"/>
      <c r="BY606" s="249"/>
      <c r="BZ606" s="216"/>
      <c r="CA606" s="1195"/>
      <c r="CB606" s="249"/>
      <c r="CC606" s="216"/>
      <c r="CD606" s="1195"/>
      <c r="CE606" s="249"/>
      <c r="CF606" s="216"/>
      <c r="CG606" s="1195"/>
      <c r="CH606" s="249"/>
      <c r="CI606" s="216"/>
      <c r="CJ606" s="1195"/>
      <c r="CK606" s="249"/>
      <c r="CL606" s="216"/>
      <c r="CM606" s="1194"/>
      <c r="CN606" s="1524"/>
      <c r="CO606" s="217"/>
      <c r="CP606" s="1193"/>
      <c r="CQ606" s="293"/>
      <c r="CR606" s="217"/>
      <c r="CS606" s="305"/>
      <c r="CT606" s="249"/>
      <c r="CU606" s="216"/>
      <c r="CV606" s="1193"/>
      <c r="CW606" s="249"/>
      <c r="CX606" s="216"/>
      <c r="CY606" s="305"/>
      <c r="CZ606" s="249"/>
      <c r="DA606" s="216"/>
      <c r="DB606" s="307"/>
      <c r="DC606" s="328"/>
      <c r="DD606" s="322"/>
      <c r="DE606" s="305"/>
      <c r="DF606" s="249"/>
      <c r="DG606" s="216"/>
      <c r="DH606" s="305"/>
      <c r="DI606" s="249"/>
      <c r="DJ606" s="216"/>
      <c r="DK606" s="309"/>
      <c r="DL606" s="293"/>
      <c r="DM606" s="326"/>
      <c r="DN606" s="1256"/>
      <c r="DO606" s="214"/>
      <c r="DP606" s="1257"/>
      <c r="DQ606" s="1258"/>
      <c r="DR606" s="305"/>
      <c r="DS606" s="249"/>
      <c r="DT606" s="216"/>
      <c r="DU606" s="305"/>
      <c r="DV606" s="2520"/>
      <c r="DW606" s="2521"/>
      <c r="DX606" s="305"/>
      <c r="DY606" s="249"/>
      <c r="DZ606" s="221"/>
      <c r="EA606" s="388"/>
      <c r="EB606" s="249"/>
      <c r="EC606" s="216"/>
      <c r="ED606" s="1461"/>
      <c r="EE606" s="249"/>
      <c r="EF606" s="216"/>
      <c r="EG606" s="355"/>
      <c r="EH606" s="1425"/>
      <c r="EI606" s="1470"/>
      <c r="EJ606" s="249"/>
      <c r="EK606" s="221"/>
      <c r="EL606" s="313"/>
      <c r="EM606" s="249"/>
      <c r="EN606" s="221"/>
      <c r="EO606" s="313"/>
      <c r="EP606" s="249"/>
      <c r="EQ606" s="216"/>
      <c r="ER606" s="313"/>
      <c r="ES606" s="249"/>
      <c r="ET606" s="216"/>
      <c r="EU606" s="313"/>
      <c r="EV606" s="249"/>
      <c r="EW606" s="216"/>
      <c r="EX606" s="2505"/>
      <c r="EY606" s="249"/>
      <c r="EZ606" s="221"/>
      <c r="FA606" s="313"/>
      <c r="FB606" s="249"/>
      <c r="FC606" s="221"/>
      <c r="FD606" s="313"/>
      <c r="FE606" s="249"/>
      <c r="FF606" s="221"/>
      <c r="FG606" s="313"/>
      <c r="FH606" s="249"/>
      <c r="FI606" s="216"/>
      <c r="FJ606" s="1435"/>
      <c r="FK606" s="216"/>
      <c r="FL606" s="1268"/>
      <c r="FM606" s="1655"/>
      <c r="FN606" s="1268"/>
      <c r="FO606" s="1655"/>
      <c r="FP606" s="1268"/>
      <c r="FQ606" s="1656"/>
      <c r="FR606" s="249"/>
      <c r="FS606" s="216"/>
      <c r="FT606" s="1657"/>
      <c r="FU606" s="1658"/>
      <c r="FV606" s="242"/>
      <c r="FW606" s="343"/>
      <c r="FX606" s="222"/>
      <c r="FY606" s="336"/>
      <c r="FZ606" s="223"/>
      <c r="GA606" s="338"/>
      <c r="GB606" s="204"/>
      <c r="GC606" s="339"/>
      <c r="GD606" s="342"/>
      <c r="GE606" s="199"/>
      <c r="GF606" s="199"/>
      <c r="GG606" s="199"/>
      <c r="GH606" s="199"/>
      <c r="GI606" s="199"/>
      <c r="GJ606" s="199"/>
      <c r="GK606" s="199"/>
      <c r="GO606" s="322"/>
      <c r="GP606" s="1190"/>
      <c r="GQ606" s="1190"/>
      <c r="GS606" s="2879"/>
      <c r="GT606" s="2880"/>
      <c r="GU606" s="2881"/>
    </row>
    <row r="607" spans="1:203" ht="12" customHeight="1">
      <c r="A607" s="1252"/>
      <c r="B607" s="200"/>
      <c r="C607" s="486"/>
      <c r="T607" s="1186"/>
      <c r="U607" s="233"/>
      <c r="W607" s="218"/>
      <c r="X607" s="218"/>
      <c r="Y607" s="216"/>
      <c r="Z607" s="216"/>
      <c r="AA607" s="215"/>
      <c r="AB607" s="216"/>
      <c r="AC607" s="216"/>
      <c r="AD607" s="239"/>
      <c r="AE607" s="216"/>
      <c r="AF607" s="216"/>
      <c r="AG607" s="216"/>
      <c r="AH607" s="216"/>
      <c r="AI607" s="216"/>
      <c r="AJ607" s="216"/>
      <c r="AK607" s="239"/>
      <c r="AL607" s="216"/>
      <c r="AM607" s="216"/>
      <c r="AN607" s="216"/>
      <c r="AO607" s="216"/>
      <c r="AP607" s="216"/>
      <c r="AQ607" s="216"/>
      <c r="AR607" s="216"/>
      <c r="AS607" s="216"/>
      <c r="AT607" s="216"/>
      <c r="AU607" s="216"/>
      <c r="AV607" s="217"/>
      <c r="AW607" s="355"/>
      <c r="AX607" s="217"/>
      <c r="AY607" s="305"/>
      <c r="AZ607" s="249"/>
      <c r="BA607" s="221"/>
      <c r="BB607" s="300"/>
      <c r="BC607" s="217"/>
      <c r="BD607" s="392"/>
      <c r="BE607" s="1244"/>
      <c r="BF607" s="249"/>
      <c r="BG607" s="252"/>
      <c r="BH607" s="1469"/>
      <c r="BI607" s="216"/>
      <c r="BJ607" s="1469"/>
      <c r="BK607" s="1459"/>
      <c r="BL607" s="260"/>
      <c r="BM607" s="214"/>
      <c r="BN607" s="293"/>
      <c r="BO607" s="217"/>
      <c r="BP607" s="355"/>
      <c r="BQ607" s="217"/>
      <c r="BR607" s="1193"/>
      <c r="BS607" s="249"/>
      <c r="BT607" s="216"/>
      <c r="BU607" s="1195"/>
      <c r="BV607" s="249"/>
      <c r="BW607" s="216"/>
      <c r="BX607" s="1195"/>
      <c r="BY607" s="249"/>
      <c r="BZ607" s="216"/>
      <c r="CA607" s="1195"/>
      <c r="CB607" s="249"/>
      <c r="CC607" s="216"/>
      <c r="CD607" s="1195"/>
      <c r="CE607" s="249"/>
      <c r="CF607" s="216"/>
      <c r="CG607" s="1195"/>
      <c r="CH607" s="249"/>
      <c r="CI607" s="216"/>
      <c r="CJ607" s="1195"/>
      <c r="CK607" s="249"/>
      <c r="CL607" s="216"/>
      <c r="CM607" s="1194"/>
      <c r="CN607" s="1524"/>
      <c r="CO607" s="217"/>
      <c r="CP607" s="1193"/>
      <c r="CQ607" s="293"/>
      <c r="CR607" s="217"/>
      <c r="CS607" s="305"/>
      <c r="CT607" s="249"/>
      <c r="CU607" s="216"/>
      <c r="CV607" s="1193"/>
      <c r="CW607" s="249"/>
      <c r="CX607" s="216"/>
      <c r="CY607" s="305"/>
      <c r="CZ607" s="249"/>
      <c r="DA607" s="216"/>
      <c r="DB607" s="307"/>
      <c r="DC607" s="328"/>
      <c r="DD607" s="322"/>
      <c r="DE607" s="305"/>
      <c r="DF607" s="249"/>
      <c r="DG607" s="216"/>
      <c r="DH607" s="305"/>
      <c r="DI607" s="249"/>
      <c r="DJ607" s="216"/>
      <c r="DK607" s="309"/>
      <c r="DL607" s="293"/>
      <c r="DM607" s="326"/>
      <c r="DN607" s="1256"/>
      <c r="DO607" s="214"/>
      <c r="DP607" s="1257"/>
      <c r="DQ607" s="1258"/>
      <c r="DR607" s="305"/>
      <c r="DS607" s="249"/>
      <c r="DT607" s="216"/>
      <c r="DU607" s="305"/>
      <c r="DV607" s="2520"/>
      <c r="DW607" s="2521"/>
      <c r="DX607" s="305"/>
      <c r="DY607" s="249"/>
      <c r="DZ607" s="221"/>
      <c r="EA607" s="388"/>
      <c r="EB607" s="249"/>
      <c r="EC607" s="216"/>
      <c r="ED607" s="1461"/>
      <c r="EE607" s="249"/>
      <c r="EF607" s="216"/>
      <c r="EG607" s="355"/>
      <c r="EH607" s="1425"/>
      <c r="EI607" s="1470"/>
      <c r="EJ607" s="249"/>
      <c r="EK607" s="221"/>
      <c r="EL607" s="313"/>
      <c r="EM607" s="249"/>
      <c r="EN607" s="221"/>
      <c r="EO607" s="313"/>
      <c r="EP607" s="249"/>
      <c r="EQ607" s="216"/>
      <c r="ER607" s="313"/>
      <c r="ES607" s="249"/>
      <c r="ET607" s="216"/>
      <c r="EU607" s="313"/>
      <c r="EV607" s="249"/>
      <c r="EW607" s="216"/>
      <c r="EX607" s="2505"/>
      <c r="EY607" s="249"/>
      <c r="EZ607" s="221"/>
      <c r="FA607" s="313"/>
      <c r="FB607" s="249"/>
      <c r="FC607" s="221"/>
      <c r="FD607" s="313"/>
      <c r="FE607" s="249"/>
      <c r="FF607" s="221"/>
      <c r="FG607" s="313"/>
      <c r="FH607" s="249"/>
      <c r="FI607" s="216"/>
      <c r="FJ607" s="1435"/>
      <c r="FK607" s="216"/>
      <c r="FL607" s="1268"/>
      <c r="FM607" s="1655"/>
      <c r="FN607" s="1268"/>
      <c r="FO607" s="1655"/>
      <c r="FP607" s="1268"/>
      <c r="FQ607" s="1656"/>
      <c r="FR607" s="249"/>
      <c r="FS607" s="216"/>
      <c r="FT607" s="1657"/>
      <c r="FU607" s="1658"/>
      <c r="FV607" s="242"/>
      <c r="FW607" s="343"/>
      <c r="FX607" s="222"/>
      <c r="FY607" s="336"/>
      <c r="FZ607" s="223"/>
      <c r="GA607" s="338"/>
      <c r="GB607" s="204"/>
      <c r="GC607" s="339"/>
      <c r="GD607" s="342"/>
      <c r="GE607" s="199"/>
      <c r="GF607" s="199"/>
      <c r="GG607" s="199"/>
      <c r="GH607" s="199"/>
      <c r="GI607" s="199"/>
      <c r="GJ607" s="199"/>
      <c r="GK607" s="199"/>
      <c r="GO607" s="322"/>
      <c r="GP607" s="1190"/>
      <c r="GQ607" s="1190"/>
      <c r="GS607" s="2879"/>
      <c r="GT607" s="2880"/>
      <c r="GU607" s="2881"/>
    </row>
    <row r="608" spans="1:203" ht="12" customHeight="1">
      <c r="A608" s="1252"/>
      <c r="B608" s="200"/>
      <c r="C608" s="486"/>
      <c r="T608" s="1186"/>
      <c r="U608" s="233"/>
      <c r="W608" s="218"/>
      <c r="X608" s="218"/>
      <c r="Y608" s="216"/>
      <c r="Z608" s="216"/>
      <c r="AA608" s="215"/>
      <c r="AB608" s="216"/>
      <c r="AC608" s="216"/>
      <c r="AD608" s="239"/>
      <c r="AE608" s="216"/>
      <c r="AF608" s="216"/>
      <c r="AG608" s="216"/>
      <c r="AH608" s="216"/>
      <c r="AI608" s="216"/>
      <c r="AJ608" s="216"/>
      <c r="AK608" s="239"/>
      <c r="AL608" s="216"/>
      <c r="AM608" s="216"/>
      <c r="AN608" s="216"/>
      <c r="AO608" s="216"/>
      <c r="AP608" s="216"/>
      <c r="AQ608" s="216"/>
      <c r="AR608" s="216"/>
      <c r="AS608" s="216"/>
      <c r="AT608" s="216"/>
      <c r="AU608" s="216"/>
      <c r="AV608" s="217"/>
      <c r="AW608" s="355"/>
      <c r="AX608" s="217"/>
      <c r="AY608" s="305"/>
      <c r="AZ608" s="249"/>
      <c r="BA608" s="221"/>
      <c r="BB608" s="300"/>
      <c r="BC608" s="217"/>
      <c r="BD608" s="392"/>
      <c r="BE608" s="1244"/>
      <c r="BF608" s="249"/>
      <c r="BG608" s="252"/>
      <c r="BH608" s="1469"/>
      <c r="BI608" s="216"/>
      <c r="BJ608" s="1469"/>
      <c r="BK608" s="1459"/>
      <c r="BL608" s="260"/>
      <c r="BM608" s="214"/>
      <c r="BN608" s="293"/>
      <c r="BO608" s="217"/>
      <c r="BP608" s="355"/>
      <c r="BQ608" s="217"/>
      <c r="BR608" s="1193"/>
      <c r="BS608" s="249"/>
      <c r="BT608" s="216"/>
      <c r="BU608" s="1195"/>
      <c r="BV608" s="249"/>
      <c r="BW608" s="216"/>
      <c r="BX608" s="1195"/>
      <c r="BY608" s="249"/>
      <c r="BZ608" s="216"/>
      <c r="CA608" s="1195"/>
      <c r="CB608" s="249"/>
      <c r="CC608" s="216"/>
      <c r="CD608" s="1195"/>
      <c r="CE608" s="249"/>
      <c r="CF608" s="216"/>
      <c r="CG608" s="1195"/>
      <c r="CH608" s="249"/>
      <c r="CI608" s="216"/>
      <c r="CJ608" s="1195"/>
      <c r="CK608" s="249"/>
      <c r="CL608" s="216"/>
      <c r="CM608" s="1194"/>
      <c r="CN608" s="1524"/>
      <c r="CO608" s="217"/>
      <c r="CP608" s="1193"/>
      <c r="CQ608" s="293"/>
      <c r="CR608" s="217"/>
      <c r="CS608" s="305"/>
      <c r="CT608" s="249"/>
      <c r="CU608" s="216"/>
      <c r="CV608" s="1193"/>
      <c r="CW608" s="249"/>
      <c r="CX608" s="216"/>
      <c r="CY608" s="305"/>
      <c r="CZ608" s="249"/>
      <c r="DA608" s="216"/>
      <c r="DB608" s="307"/>
      <c r="DC608" s="328"/>
      <c r="DD608" s="322"/>
      <c r="DE608" s="305"/>
      <c r="DF608" s="249"/>
      <c r="DG608" s="216"/>
      <c r="DH608" s="305"/>
      <c r="DI608" s="249"/>
      <c r="DJ608" s="216"/>
      <c r="DK608" s="309"/>
      <c r="DL608" s="293"/>
      <c r="DM608" s="326"/>
      <c r="DN608" s="1256"/>
      <c r="DO608" s="214"/>
      <c r="DP608" s="1257"/>
      <c r="DQ608" s="1258"/>
      <c r="DR608" s="305"/>
      <c r="DS608" s="249"/>
      <c r="DT608" s="216"/>
      <c r="DU608" s="305"/>
      <c r="DV608" s="2520"/>
      <c r="DW608" s="2521"/>
      <c r="DX608" s="305"/>
      <c r="DY608" s="249"/>
      <c r="DZ608" s="221"/>
      <c r="EA608" s="388"/>
      <c r="EB608" s="249"/>
      <c r="EC608" s="216"/>
      <c r="ED608" s="1461"/>
      <c r="EE608" s="249"/>
      <c r="EF608" s="216"/>
      <c r="EG608" s="355"/>
      <c r="EH608" s="1425"/>
      <c r="EI608" s="1470"/>
      <c r="EJ608" s="249"/>
      <c r="EK608" s="221"/>
      <c r="EL608" s="313"/>
      <c r="EM608" s="249"/>
      <c r="EN608" s="221"/>
      <c r="EO608" s="313"/>
      <c r="EP608" s="249"/>
      <c r="EQ608" s="216"/>
      <c r="ER608" s="313"/>
      <c r="ES608" s="249"/>
      <c r="ET608" s="216"/>
      <c r="EU608" s="313"/>
      <c r="EV608" s="249"/>
      <c r="EW608" s="216"/>
      <c r="EX608" s="2505"/>
      <c r="EY608" s="249"/>
      <c r="EZ608" s="221"/>
      <c r="FA608" s="313"/>
      <c r="FB608" s="249"/>
      <c r="FC608" s="221"/>
      <c r="FD608" s="313"/>
      <c r="FE608" s="249"/>
      <c r="FF608" s="221"/>
      <c r="FG608" s="313"/>
      <c r="FH608" s="249"/>
      <c r="FI608" s="216"/>
      <c r="FJ608" s="1435"/>
      <c r="FK608" s="216"/>
      <c r="FL608" s="1268"/>
      <c r="FM608" s="1655"/>
      <c r="FN608" s="1268"/>
      <c r="FO608" s="1655"/>
      <c r="FP608" s="1268"/>
      <c r="FQ608" s="1656"/>
      <c r="FR608" s="249"/>
      <c r="FS608" s="216"/>
      <c r="FT608" s="1657"/>
      <c r="FU608" s="1658"/>
      <c r="FV608" s="242"/>
      <c r="FW608" s="343"/>
      <c r="FX608" s="222"/>
      <c r="FY608" s="336"/>
      <c r="FZ608" s="223"/>
      <c r="GA608" s="338"/>
      <c r="GB608" s="204"/>
      <c r="GC608" s="339"/>
      <c r="GD608" s="342"/>
      <c r="GE608" s="199"/>
      <c r="GF608" s="199"/>
      <c r="GG608" s="199"/>
      <c r="GH608" s="199"/>
      <c r="GI608" s="199"/>
      <c r="GJ608" s="199"/>
      <c r="GK608" s="199"/>
      <c r="GO608" s="322"/>
      <c r="GP608" s="1190"/>
      <c r="GQ608" s="1190"/>
      <c r="GS608" s="2879"/>
      <c r="GT608" s="2880"/>
      <c r="GU608" s="2881"/>
    </row>
    <row r="609" spans="1:203" ht="12" customHeight="1">
      <c r="A609" s="1252"/>
      <c r="B609" s="200"/>
      <c r="C609" s="486"/>
      <c r="T609" s="1186"/>
      <c r="U609" s="233"/>
      <c r="W609" s="218"/>
      <c r="X609" s="218"/>
      <c r="Y609" s="216"/>
      <c r="Z609" s="216"/>
      <c r="AA609" s="215"/>
      <c r="AB609" s="216"/>
      <c r="AC609" s="216"/>
      <c r="AD609" s="239"/>
      <c r="AE609" s="216"/>
      <c r="AF609" s="216"/>
      <c r="AG609" s="216"/>
      <c r="AH609" s="216"/>
      <c r="AI609" s="216"/>
      <c r="AJ609" s="216"/>
      <c r="AK609" s="239"/>
      <c r="AL609" s="216"/>
      <c r="AM609" s="216"/>
      <c r="AN609" s="216"/>
      <c r="AO609" s="216"/>
      <c r="AP609" s="216"/>
      <c r="AQ609" s="216"/>
      <c r="AR609" s="216"/>
      <c r="AS609" s="216"/>
      <c r="AT609" s="216"/>
      <c r="AU609" s="216"/>
      <c r="AV609" s="217"/>
      <c r="AW609" s="355"/>
      <c r="AX609" s="217"/>
      <c r="AY609" s="305"/>
      <c r="AZ609" s="249"/>
      <c r="BA609" s="221"/>
      <c r="BB609" s="300"/>
      <c r="BC609" s="217"/>
      <c r="BD609" s="392"/>
      <c r="BE609" s="1244"/>
      <c r="BF609" s="249"/>
      <c r="BG609" s="252"/>
      <c r="BH609" s="1469"/>
      <c r="BI609" s="216"/>
      <c r="BJ609" s="1469"/>
      <c r="BK609" s="1459"/>
      <c r="BL609" s="260"/>
      <c r="BM609" s="214"/>
      <c r="BN609" s="293"/>
      <c r="BO609" s="217"/>
      <c r="BP609" s="355"/>
      <c r="BQ609" s="217"/>
      <c r="BR609" s="1193"/>
      <c r="BS609" s="249"/>
      <c r="BT609" s="216"/>
      <c r="BU609" s="1195"/>
      <c r="BV609" s="249"/>
      <c r="BW609" s="216"/>
      <c r="BX609" s="1195"/>
      <c r="BY609" s="249"/>
      <c r="BZ609" s="216"/>
      <c r="CA609" s="1195"/>
      <c r="CB609" s="249"/>
      <c r="CC609" s="216"/>
      <c r="CD609" s="1195"/>
      <c r="CE609" s="249"/>
      <c r="CF609" s="216"/>
      <c r="CG609" s="1195"/>
      <c r="CH609" s="249"/>
      <c r="CI609" s="216"/>
      <c r="CJ609" s="1195"/>
      <c r="CK609" s="249"/>
      <c r="CL609" s="216"/>
      <c r="CM609" s="1194"/>
      <c r="CN609" s="1524"/>
      <c r="CO609" s="217"/>
      <c r="CP609" s="1193"/>
      <c r="CQ609" s="293"/>
      <c r="CR609" s="217"/>
      <c r="CS609" s="305"/>
      <c r="CT609" s="249"/>
      <c r="CU609" s="216"/>
      <c r="CV609" s="1193"/>
      <c r="CW609" s="249"/>
      <c r="CX609" s="216"/>
      <c r="CY609" s="305"/>
      <c r="CZ609" s="249"/>
      <c r="DA609" s="216"/>
      <c r="DB609" s="307"/>
      <c r="DC609" s="328"/>
      <c r="DD609" s="322"/>
      <c r="DE609" s="305"/>
      <c r="DF609" s="249"/>
      <c r="DG609" s="216"/>
      <c r="DH609" s="305"/>
      <c r="DI609" s="249"/>
      <c r="DJ609" s="216"/>
      <c r="DK609" s="309"/>
      <c r="DL609" s="293"/>
      <c r="DM609" s="326"/>
      <c r="DN609" s="1256"/>
      <c r="DO609" s="214"/>
      <c r="DP609" s="1257"/>
      <c r="DQ609" s="1258"/>
      <c r="DR609" s="305"/>
      <c r="DS609" s="249"/>
      <c r="DT609" s="216"/>
      <c r="DU609" s="305"/>
      <c r="DV609" s="2520"/>
      <c r="DW609" s="2521"/>
      <c r="DX609" s="305"/>
      <c r="DY609" s="249"/>
      <c r="DZ609" s="221"/>
      <c r="EA609" s="388"/>
      <c r="EB609" s="249"/>
      <c r="EC609" s="216"/>
      <c r="ED609" s="1461"/>
      <c r="EE609" s="249"/>
      <c r="EF609" s="216"/>
      <c r="EG609" s="355"/>
      <c r="EH609" s="1425"/>
      <c r="EI609" s="1470"/>
      <c r="EJ609" s="249"/>
      <c r="EK609" s="221"/>
      <c r="EL609" s="313"/>
      <c r="EM609" s="249"/>
      <c r="EN609" s="221"/>
      <c r="EO609" s="313"/>
      <c r="EP609" s="249"/>
      <c r="EQ609" s="216"/>
      <c r="ER609" s="313"/>
      <c r="ES609" s="249"/>
      <c r="ET609" s="216"/>
      <c r="EU609" s="313"/>
      <c r="EV609" s="249"/>
      <c r="EW609" s="216"/>
      <c r="EX609" s="2505"/>
      <c r="EY609" s="249"/>
      <c r="EZ609" s="221"/>
      <c r="FA609" s="313"/>
      <c r="FB609" s="249"/>
      <c r="FC609" s="221"/>
      <c r="FD609" s="313"/>
      <c r="FE609" s="249"/>
      <c r="FF609" s="221"/>
      <c r="FG609" s="313"/>
      <c r="FH609" s="249"/>
      <c r="FI609" s="216"/>
      <c r="FJ609" s="1435"/>
      <c r="FK609" s="216"/>
      <c r="FL609" s="1268"/>
      <c r="FM609" s="1655"/>
      <c r="FN609" s="1268"/>
      <c r="FO609" s="1655"/>
      <c r="FP609" s="1268"/>
      <c r="FQ609" s="1656"/>
      <c r="FR609" s="249"/>
      <c r="FS609" s="216"/>
      <c r="FT609" s="1657"/>
      <c r="FU609" s="1658"/>
      <c r="FV609" s="242"/>
      <c r="FW609" s="343"/>
      <c r="FX609" s="222"/>
      <c r="FY609" s="336"/>
      <c r="FZ609" s="223"/>
      <c r="GA609" s="338"/>
      <c r="GB609" s="204"/>
      <c r="GC609" s="339"/>
      <c r="GD609" s="342"/>
      <c r="GE609" s="199"/>
      <c r="GF609" s="199"/>
      <c r="GG609" s="199"/>
      <c r="GH609" s="199"/>
      <c r="GI609" s="199"/>
      <c r="GJ609" s="199"/>
      <c r="GK609" s="199"/>
      <c r="GO609" s="322"/>
      <c r="GP609" s="1190"/>
      <c r="GQ609" s="1190"/>
      <c r="GS609" s="2879"/>
      <c r="GT609" s="2880"/>
      <c r="GU609" s="2881"/>
    </row>
    <row r="610" spans="1:203" ht="12" customHeight="1">
      <c r="A610" s="1252"/>
      <c r="B610" s="200"/>
      <c r="C610" s="486"/>
      <c r="T610" s="1186"/>
      <c r="U610" s="233"/>
      <c r="W610" s="218"/>
      <c r="X610" s="218"/>
      <c r="Y610" s="216"/>
      <c r="Z610" s="216"/>
      <c r="AA610" s="215"/>
      <c r="AB610" s="216"/>
      <c r="AC610" s="216"/>
      <c r="AD610" s="239"/>
      <c r="AE610" s="216"/>
      <c r="AF610" s="216"/>
      <c r="AG610" s="216"/>
      <c r="AH610" s="216"/>
      <c r="AI610" s="216"/>
      <c r="AJ610" s="216"/>
      <c r="AK610" s="239"/>
      <c r="AL610" s="216"/>
      <c r="AM610" s="216"/>
      <c r="AN610" s="216"/>
      <c r="AO610" s="216"/>
      <c r="AP610" s="216"/>
      <c r="AQ610" s="216"/>
      <c r="AR610" s="216"/>
      <c r="AS610" s="216"/>
      <c r="AT610" s="216"/>
      <c r="AU610" s="216"/>
      <c r="AV610" s="217"/>
      <c r="AW610" s="355"/>
      <c r="AX610" s="217"/>
      <c r="AY610" s="305"/>
      <c r="AZ610" s="249"/>
      <c r="BA610" s="221"/>
      <c r="BB610" s="300"/>
      <c r="BC610" s="217"/>
      <c r="BD610" s="392"/>
      <c r="BE610" s="1244"/>
      <c r="BF610" s="249"/>
      <c r="BG610" s="252"/>
      <c r="BH610" s="1469"/>
      <c r="BI610" s="216"/>
      <c r="BJ610" s="1469"/>
      <c r="BK610" s="1459"/>
      <c r="BL610" s="260"/>
      <c r="BM610" s="214"/>
      <c r="BN610" s="293"/>
      <c r="BO610" s="217"/>
      <c r="BP610" s="355"/>
      <c r="BQ610" s="217"/>
      <c r="BR610" s="1193"/>
      <c r="BS610" s="249"/>
      <c r="BT610" s="216"/>
      <c r="BU610" s="1195"/>
      <c r="BV610" s="249"/>
      <c r="BW610" s="216"/>
      <c r="BX610" s="1195"/>
      <c r="BY610" s="249"/>
      <c r="BZ610" s="216"/>
      <c r="CA610" s="1195"/>
      <c r="CB610" s="249"/>
      <c r="CC610" s="216"/>
      <c r="CD610" s="1195"/>
      <c r="CE610" s="249"/>
      <c r="CF610" s="216"/>
      <c r="CG610" s="1195"/>
      <c r="CH610" s="249"/>
      <c r="CI610" s="216"/>
      <c r="CJ610" s="1195"/>
      <c r="CK610" s="249"/>
      <c r="CL610" s="216"/>
      <c r="CM610" s="1194"/>
      <c r="CN610" s="1524"/>
      <c r="CO610" s="217"/>
      <c r="CP610" s="1193"/>
      <c r="CQ610" s="293"/>
      <c r="CR610" s="217"/>
      <c r="CS610" s="305"/>
      <c r="CT610" s="249"/>
      <c r="CU610" s="216"/>
      <c r="CV610" s="1193"/>
      <c r="CW610" s="249"/>
      <c r="CX610" s="216"/>
      <c r="CY610" s="305"/>
      <c r="CZ610" s="249"/>
      <c r="DA610" s="216"/>
      <c r="DB610" s="307"/>
      <c r="DC610" s="328"/>
      <c r="DD610" s="322"/>
      <c r="DE610" s="305"/>
      <c r="DF610" s="249"/>
      <c r="DG610" s="216"/>
      <c r="DH610" s="305"/>
      <c r="DI610" s="249"/>
      <c r="DJ610" s="216"/>
      <c r="DK610" s="309"/>
      <c r="DL610" s="293"/>
      <c r="DM610" s="326"/>
      <c r="DN610" s="1256"/>
      <c r="DO610" s="214"/>
      <c r="DP610" s="1257"/>
      <c r="DQ610" s="1258"/>
      <c r="DR610" s="305"/>
      <c r="DS610" s="249"/>
      <c r="DT610" s="216"/>
      <c r="DU610" s="305"/>
      <c r="DV610" s="2520"/>
      <c r="DW610" s="2521"/>
      <c r="DX610" s="305"/>
      <c r="DY610" s="249"/>
      <c r="DZ610" s="221"/>
      <c r="EA610" s="388"/>
      <c r="EB610" s="249"/>
      <c r="EC610" s="216"/>
      <c r="ED610" s="1461"/>
      <c r="EE610" s="249"/>
      <c r="EF610" s="216"/>
      <c r="EG610" s="355"/>
      <c r="EH610" s="1425"/>
      <c r="EI610" s="1470"/>
      <c r="EJ610" s="249"/>
      <c r="EK610" s="221"/>
      <c r="EL610" s="313"/>
      <c r="EM610" s="249"/>
      <c r="EN610" s="221"/>
      <c r="EO610" s="313"/>
      <c r="EP610" s="249"/>
      <c r="EQ610" s="216"/>
      <c r="ER610" s="313"/>
      <c r="ES610" s="249"/>
      <c r="ET610" s="216"/>
      <c r="EU610" s="313"/>
      <c r="EV610" s="249"/>
      <c r="EW610" s="216"/>
      <c r="EX610" s="2505"/>
      <c r="EY610" s="249"/>
      <c r="EZ610" s="221"/>
      <c r="FA610" s="313"/>
      <c r="FB610" s="249"/>
      <c r="FC610" s="221"/>
      <c r="FD610" s="313"/>
      <c r="FE610" s="249"/>
      <c r="FF610" s="221"/>
      <c r="FG610" s="313"/>
      <c r="FH610" s="249"/>
      <c r="FI610" s="216"/>
      <c r="FJ610" s="1435"/>
      <c r="FK610" s="216"/>
      <c r="FL610" s="1268"/>
      <c r="FM610" s="1655"/>
      <c r="FN610" s="1268"/>
      <c r="FO610" s="1655"/>
      <c r="FP610" s="1268"/>
      <c r="FQ610" s="1656"/>
      <c r="FR610" s="249"/>
      <c r="FS610" s="216"/>
      <c r="FT610" s="1657"/>
      <c r="FU610" s="1658"/>
      <c r="FV610" s="242"/>
      <c r="FW610" s="343"/>
      <c r="FX610" s="222"/>
      <c r="FY610" s="336"/>
      <c r="FZ610" s="223"/>
      <c r="GA610" s="338"/>
      <c r="GB610" s="204"/>
      <c r="GC610" s="339"/>
      <c r="GD610" s="342"/>
      <c r="GE610" s="199"/>
      <c r="GF610" s="199"/>
      <c r="GG610" s="199"/>
      <c r="GH610" s="199"/>
      <c r="GI610" s="199"/>
      <c r="GJ610" s="199"/>
      <c r="GK610" s="199"/>
      <c r="GO610" s="322"/>
      <c r="GP610" s="1190"/>
      <c r="GQ610" s="1190"/>
      <c r="GS610" s="2879"/>
      <c r="GT610" s="2880"/>
      <c r="GU610" s="2881"/>
    </row>
    <row r="611" spans="1:203" ht="12" customHeight="1">
      <c r="A611" s="1252"/>
      <c r="B611" s="200"/>
      <c r="C611" s="486"/>
      <c r="T611" s="1186"/>
      <c r="U611" s="233"/>
      <c r="W611" s="218"/>
      <c r="X611" s="218"/>
      <c r="Y611" s="216"/>
      <c r="Z611" s="216"/>
      <c r="AA611" s="215"/>
      <c r="AB611" s="216"/>
      <c r="AC611" s="216"/>
      <c r="AD611" s="239"/>
      <c r="AE611" s="216"/>
      <c r="AF611" s="216"/>
      <c r="AG611" s="216"/>
      <c r="AH611" s="216"/>
      <c r="AI611" s="216"/>
      <c r="AJ611" s="216"/>
      <c r="AK611" s="239"/>
      <c r="AL611" s="216"/>
      <c r="AM611" s="216"/>
      <c r="AN611" s="216"/>
      <c r="AO611" s="216"/>
      <c r="AP611" s="216"/>
      <c r="AQ611" s="216"/>
      <c r="AR611" s="216"/>
      <c r="AS611" s="216"/>
      <c r="AT611" s="216"/>
      <c r="AU611" s="216"/>
      <c r="AV611" s="217"/>
      <c r="AW611" s="355"/>
      <c r="AX611" s="217"/>
      <c r="AY611" s="305"/>
      <c r="AZ611" s="249"/>
      <c r="BA611" s="221"/>
      <c r="BB611" s="300"/>
      <c r="BC611" s="217"/>
      <c r="BD611" s="392"/>
      <c r="BE611" s="1244"/>
      <c r="BF611" s="249"/>
      <c r="BG611" s="252"/>
      <c r="BH611" s="1469"/>
      <c r="BI611" s="216"/>
      <c r="BJ611" s="1469"/>
      <c r="BK611" s="1459"/>
      <c r="BL611" s="260"/>
      <c r="BM611" s="214"/>
      <c r="BN611" s="293"/>
      <c r="BO611" s="217"/>
      <c r="BP611" s="355"/>
      <c r="BQ611" s="217"/>
      <c r="BR611" s="1193"/>
      <c r="BS611" s="249"/>
      <c r="BT611" s="216"/>
      <c r="BU611" s="1195"/>
      <c r="BV611" s="249"/>
      <c r="BW611" s="216"/>
      <c r="BX611" s="1195"/>
      <c r="BY611" s="249"/>
      <c r="BZ611" s="216"/>
      <c r="CA611" s="1195"/>
      <c r="CB611" s="249"/>
      <c r="CC611" s="216"/>
      <c r="CD611" s="1195"/>
      <c r="CE611" s="249"/>
      <c r="CF611" s="216"/>
      <c r="CG611" s="1195"/>
      <c r="CH611" s="249"/>
      <c r="CI611" s="216"/>
      <c r="CJ611" s="1195"/>
      <c r="CK611" s="249"/>
      <c r="CL611" s="216"/>
      <c r="CM611" s="1194"/>
      <c r="CN611" s="1524"/>
      <c r="CO611" s="217"/>
      <c r="CP611" s="1193"/>
      <c r="CQ611" s="293"/>
      <c r="CR611" s="217"/>
      <c r="CS611" s="305"/>
      <c r="CT611" s="249"/>
      <c r="CU611" s="216"/>
      <c r="CV611" s="1193"/>
      <c r="CW611" s="249"/>
      <c r="CX611" s="216"/>
      <c r="CY611" s="305"/>
      <c r="CZ611" s="249"/>
      <c r="DA611" s="216"/>
      <c r="DB611" s="307"/>
      <c r="DC611" s="328"/>
      <c r="DD611" s="322"/>
      <c r="DE611" s="305"/>
      <c r="DF611" s="249"/>
      <c r="DG611" s="216"/>
      <c r="DH611" s="305"/>
      <c r="DI611" s="249"/>
      <c r="DJ611" s="216"/>
      <c r="DK611" s="309"/>
      <c r="DL611" s="293"/>
      <c r="DM611" s="326"/>
      <c r="DN611" s="1256"/>
      <c r="DO611" s="214"/>
      <c r="DP611" s="1257"/>
      <c r="DQ611" s="1258"/>
      <c r="DR611" s="305"/>
      <c r="DS611" s="249"/>
      <c r="DT611" s="216"/>
      <c r="DU611" s="305"/>
      <c r="DV611" s="2520"/>
      <c r="DW611" s="2521"/>
      <c r="DX611" s="305"/>
      <c r="DY611" s="249"/>
      <c r="DZ611" s="221"/>
      <c r="EA611" s="388"/>
      <c r="EB611" s="249"/>
      <c r="EC611" s="216"/>
      <c r="ED611" s="1461"/>
      <c r="EE611" s="249"/>
      <c r="EF611" s="216"/>
      <c r="EG611" s="355"/>
      <c r="EH611" s="1425"/>
      <c r="EI611" s="1470"/>
      <c r="EJ611" s="249"/>
      <c r="EK611" s="221"/>
      <c r="EL611" s="313"/>
      <c r="EM611" s="249"/>
      <c r="EN611" s="221"/>
      <c r="EO611" s="313"/>
      <c r="EP611" s="249"/>
      <c r="EQ611" s="216"/>
      <c r="ER611" s="313"/>
      <c r="ES611" s="249"/>
      <c r="ET611" s="216"/>
      <c r="EU611" s="313"/>
      <c r="EV611" s="249"/>
      <c r="EW611" s="216"/>
      <c r="EX611" s="2505"/>
      <c r="EY611" s="249"/>
      <c r="EZ611" s="221"/>
      <c r="FA611" s="313"/>
      <c r="FB611" s="249"/>
      <c r="FC611" s="221"/>
      <c r="FD611" s="313"/>
      <c r="FE611" s="249"/>
      <c r="FF611" s="221"/>
      <c r="FG611" s="313"/>
      <c r="FH611" s="249"/>
      <c r="FI611" s="216"/>
      <c r="FJ611" s="1435"/>
      <c r="FK611" s="216"/>
      <c r="FL611" s="1268"/>
      <c r="FM611" s="1655"/>
      <c r="FN611" s="1268"/>
      <c r="FO611" s="1655"/>
      <c r="FP611" s="1268"/>
      <c r="FQ611" s="1656"/>
      <c r="FR611" s="249"/>
      <c r="FS611" s="216"/>
      <c r="FT611" s="1657"/>
      <c r="FU611" s="1658"/>
      <c r="FV611" s="242"/>
      <c r="FW611" s="343"/>
      <c r="FX611" s="222"/>
      <c r="FY611" s="336"/>
      <c r="FZ611" s="223"/>
      <c r="GA611" s="338"/>
      <c r="GB611" s="204"/>
      <c r="GC611" s="339"/>
      <c r="GD611" s="342"/>
      <c r="GE611" s="199"/>
      <c r="GF611" s="199"/>
      <c r="GG611" s="199"/>
      <c r="GH611" s="199"/>
      <c r="GI611" s="199"/>
      <c r="GJ611" s="199"/>
      <c r="GK611" s="199"/>
      <c r="GO611" s="322"/>
      <c r="GP611" s="1190"/>
      <c r="GQ611" s="1190"/>
      <c r="GS611" s="2879"/>
      <c r="GT611" s="2880"/>
      <c r="GU611" s="2881"/>
    </row>
    <row r="612" spans="1:203" ht="12" customHeight="1">
      <c r="A612" s="1252"/>
      <c r="B612" s="200"/>
      <c r="C612" s="486"/>
      <c r="T612" s="1186"/>
      <c r="U612" s="233"/>
      <c r="W612" s="218"/>
      <c r="X612" s="218"/>
      <c r="Y612" s="216"/>
      <c r="Z612" s="216"/>
      <c r="AA612" s="215"/>
      <c r="AB612" s="216"/>
      <c r="AC612" s="216"/>
      <c r="AD612" s="239"/>
      <c r="AE612" s="216"/>
      <c r="AF612" s="216"/>
      <c r="AG612" s="216"/>
      <c r="AH612" s="216"/>
      <c r="AI612" s="216"/>
      <c r="AJ612" s="216"/>
      <c r="AK612" s="239"/>
      <c r="AL612" s="216"/>
      <c r="AM612" s="216"/>
      <c r="AN612" s="216"/>
      <c r="AO612" s="216"/>
      <c r="AP612" s="216"/>
      <c r="AQ612" s="216"/>
      <c r="AR612" s="216"/>
      <c r="AS612" s="216"/>
      <c r="AT612" s="216"/>
      <c r="AU612" s="216"/>
      <c r="AV612" s="217"/>
      <c r="AW612" s="355"/>
      <c r="AX612" s="217"/>
      <c r="AY612" s="305"/>
      <c r="AZ612" s="249"/>
      <c r="BA612" s="221"/>
      <c r="BB612" s="300"/>
      <c r="BC612" s="217"/>
      <c r="BD612" s="392"/>
      <c r="BE612" s="1244"/>
      <c r="BF612" s="249"/>
      <c r="BG612" s="252"/>
      <c r="BH612" s="1469"/>
      <c r="BI612" s="216"/>
      <c r="BJ612" s="1469"/>
      <c r="BK612" s="1459"/>
      <c r="BL612" s="260"/>
      <c r="BM612" s="214"/>
      <c r="BN612" s="293"/>
      <c r="BO612" s="217"/>
      <c r="BP612" s="355"/>
      <c r="BQ612" s="217"/>
      <c r="BR612" s="1193"/>
      <c r="BS612" s="249"/>
      <c r="BT612" s="216"/>
      <c r="BU612" s="1195"/>
      <c r="BV612" s="249"/>
      <c r="BW612" s="216"/>
      <c r="BX612" s="1195"/>
      <c r="BY612" s="249"/>
      <c r="BZ612" s="216"/>
      <c r="CA612" s="1195"/>
      <c r="CB612" s="249"/>
      <c r="CC612" s="216"/>
      <c r="CD612" s="1195"/>
      <c r="CE612" s="249"/>
      <c r="CF612" s="216"/>
      <c r="CG612" s="1195"/>
      <c r="CH612" s="249"/>
      <c r="CI612" s="216"/>
      <c r="CJ612" s="1195"/>
      <c r="CK612" s="249"/>
      <c r="CL612" s="216"/>
      <c r="CM612" s="1194"/>
      <c r="CN612" s="1524"/>
      <c r="CO612" s="217"/>
      <c r="CP612" s="1193"/>
      <c r="CQ612" s="293"/>
      <c r="CR612" s="217"/>
      <c r="CS612" s="305"/>
      <c r="CT612" s="249"/>
      <c r="CU612" s="216"/>
      <c r="CV612" s="1193"/>
      <c r="CW612" s="249"/>
      <c r="CX612" s="216"/>
      <c r="CY612" s="305"/>
      <c r="CZ612" s="249"/>
      <c r="DA612" s="216"/>
      <c r="DB612" s="307"/>
      <c r="DC612" s="328"/>
      <c r="DD612" s="322"/>
      <c r="DE612" s="305"/>
      <c r="DF612" s="249"/>
      <c r="DG612" s="216"/>
      <c r="DH612" s="305"/>
      <c r="DI612" s="249"/>
      <c r="DJ612" s="216"/>
      <c r="DK612" s="309"/>
      <c r="DL612" s="293"/>
      <c r="DM612" s="326"/>
      <c r="DN612" s="1256"/>
      <c r="DO612" s="214"/>
      <c r="DP612" s="1257"/>
      <c r="DQ612" s="1258"/>
      <c r="DR612" s="305"/>
      <c r="DS612" s="249"/>
      <c r="DT612" s="216"/>
      <c r="DU612" s="305"/>
      <c r="DV612" s="2520"/>
      <c r="DW612" s="2521"/>
      <c r="DX612" s="305"/>
      <c r="DY612" s="249"/>
      <c r="DZ612" s="221"/>
      <c r="EA612" s="388"/>
      <c r="EB612" s="249"/>
      <c r="EC612" s="216"/>
      <c r="ED612" s="1461"/>
      <c r="EE612" s="249"/>
      <c r="EF612" s="216"/>
      <c r="EG612" s="355"/>
      <c r="EH612" s="1425"/>
      <c r="EI612" s="1470"/>
      <c r="EJ612" s="249"/>
      <c r="EK612" s="221"/>
      <c r="EL612" s="313"/>
      <c r="EM612" s="249"/>
      <c r="EN612" s="221"/>
      <c r="EO612" s="313"/>
      <c r="EP612" s="249"/>
      <c r="EQ612" s="216"/>
      <c r="ER612" s="313"/>
      <c r="ES612" s="249"/>
      <c r="ET612" s="216"/>
      <c r="EU612" s="313"/>
      <c r="EV612" s="249"/>
      <c r="EW612" s="216"/>
      <c r="EX612" s="2505"/>
      <c r="EY612" s="249"/>
      <c r="EZ612" s="221"/>
      <c r="FA612" s="313"/>
      <c r="FB612" s="249"/>
      <c r="FC612" s="221"/>
      <c r="FD612" s="313"/>
      <c r="FE612" s="249"/>
      <c r="FF612" s="221"/>
      <c r="FG612" s="313"/>
      <c r="FH612" s="249"/>
      <c r="FI612" s="216"/>
      <c r="FJ612" s="1435"/>
      <c r="FK612" s="216"/>
      <c r="FL612" s="1268"/>
      <c r="FM612" s="1655"/>
      <c r="FN612" s="1268"/>
      <c r="FO612" s="1655"/>
      <c r="FP612" s="1268"/>
      <c r="FQ612" s="1656"/>
      <c r="FR612" s="249"/>
      <c r="FS612" s="216"/>
      <c r="FT612" s="1657"/>
      <c r="FU612" s="1658"/>
      <c r="FV612" s="242"/>
      <c r="FW612" s="343"/>
      <c r="FX612" s="222"/>
      <c r="FY612" s="336"/>
      <c r="FZ612" s="223"/>
      <c r="GA612" s="338"/>
      <c r="GB612" s="204"/>
      <c r="GC612" s="339"/>
      <c r="GD612" s="342"/>
      <c r="GE612" s="199"/>
      <c r="GF612" s="199"/>
      <c r="GG612" s="199"/>
      <c r="GH612" s="199"/>
      <c r="GI612" s="199"/>
      <c r="GJ612" s="199"/>
      <c r="GK612" s="199"/>
      <c r="GO612" s="322"/>
      <c r="GP612" s="1190"/>
      <c r="GQ612" s="1190"/>
      <c r="GS612" s="2879"/>
      <c r="GT612" s="2880"/>
      <c r="GU612" s="2881"/>
    </row>
    <row r="613" spans="1:203" ht="12" customHeight="1">
      <c r="A613" s="1252"/>
      <c r="B613" s="200"/>
      <c r="C613" s="486"/>
      <c r="T613" s="1186"/>
      <c r="U613" s="233"/>
      <c r="W613" s="218"/>
      <c r="X613" s="218"/>
      <c r="Y613" s="216"/>
      <c r="Z613" s="216"/>
      <c r="AA613" s="215"/>
      <c r="AB613" s="216"/>
      <c r="AC613" s="216"/>
      <c r="AD613" s="239"/>
      <c r="AE613" s="216"/>
      <c r="AF613" s="216"/>
      <c r="AG613" s="216"/>
      <c r="AH613" s="216"/>
      <c r="AI613" s="216"/>
      <c r="AJ613" s="216"/>
      <c r="AK613" s="239"/>
      <c r="AL613" s="216"/>
      <c r="AM613" s="216"/>
      <c r="AN613" s="216"/>
      <c r="AO613" s="216"/>
      <c r="AP613" s="216"/>
      <c r="AQ613" s="216"/>
      <c r="AR613" s="216"/>
      <c r="AS613" s="216"/>
      <c r="AT613" s="216"/>
      <c r="AU613" s="216"/>
      <c r="AV613" s="217"/>
      <c r="AW613" s="355"/>
      <c r="AX613" s="217"/>
      <c r="AY613" s="305"/>
      <c r="AZ613" s="249"/>
      <c r="BA613" s="221"/>
      <c r="BB613" s="300"/>
      <c r="BC613" s="217"/>
      <c r="BD613" s="392"/>
      <c r="BE613" s="1244"/>
      <c r="BF613" s="249"/>
      <c r="BG613" s="252"/>
      <c r="BH613" s="1469"/>
      <c r="BI613" s="216"/>
      <c r="BJ613" s="1469"/>
      <c r="BK613" s="1459"/>
      <c r="BL613" s="260"/>
      <c r="BM613" s="214"/>
      <c r="BN613" s="293"/>
      <c r="BO613" s="217"/>
      <c r="BP613" s="355"/>
      <c r="BQ613" s="217"/>
      <c r="BR613" s="1193"/>
      <c r="BS613" s="249"/>
      <c r="BT613" s="216"/>
      <c r="BU613" s="1195"/>
      <c r="BV613" s="249"/>
      <c r="BW613" s="216"/>
      <c r="BX613" s="1195"/>
      <c r="BY613" s="249"/>
      <c r="BZ613" s="216"/>
      <c r="CA613" s="1195"/>
      <c r="CB613" s="249"/>
      <c r="CC613" s="216"/>
      <c r="CD613" s="1195"/>
      <c r="CE613" s="249"/>
      <c r="CF613" s="216"/>
      <c r="CG613" s="1195"/>
      <c r="CH613" s="249"/>
      <c r="CI613" s="216"/>
      <c r="CJ613" s="1195"/>
      <c r="CK613" s="249"/>
      <c r="CL613" s="216"/>
      <c r="CM613" s="1194"/>
      <c r="CN613" s="1524"/>
      <c r="CO613" s="217"/>
      <c r="CP613" s="1193"/>
      <c r="CQ613" s="293"/>
      <c r="CR613" s="217"/>
      <c r="CS613" s="305"/>
      <c r="CT613" s="249"/>
      <c r="CU613" s="216"/>
      <c r="CV613" s="1193"/>
      <c r="CW613" s="249"/>
      <c r="CX613" s="216"/>
      <c r="CY613" s="305"/>
      <c r="CZ613" s="249"/>
      <c r="DA613" s="216"/>
      <c r="DB613" s="307"/>
      <c r="DC613" s="328"/>
      <c r="DD613" s="322"/>
      <c r="DE613" s="305"/>
      <c r="DF613" s="249"/>
      <c r="DG613" s="216"/>
      <c r="DH613" s="305"/>
      <c r="DI613" s="249"/>
      <c r="DJ613" s="216"/>
      <c r="DK613" s="309"/>
      <c r="DL613" s="293"/>
      <c r="DM613" s="326"/>
      <c r="DN613" s="1256"/>
      <c r="DO613" s="214"/>
      <c r="DP613" s="1257"/>
      <c r="DQ613" s="1258"/>
      <c r="DR613" s="305"/>
      <c r="DS613" s="249"/>
      <c r="DT613" s="216"/>
      <c r="DU613" s="305"/>
      <c r="DV613" s="2520"/>
      <c r="DW613" s="2521"/>
      <c r="DX613" s="305"/>
      <c r="DY613" s="249"/>
      <c r="DZ613" s="221"/>
      <c r="EA613" s="388"/>
      <c r="EB613" s="249"/>
      <c r="EC613" s="216"/>
      <c r="ED613" s="1461"/>
      <c r="EE613" s="249"/>
      <c r="EF613" s="216"/>
      <c r="EG613" s="355"/>
      <c r="EH613" s="1425"/>
      <c r="EI613" s="1470"/>
      <c r="EJ613" s="249"/>
      <c r="EK613" s="221"/>
      <c r="EL613" s="313"/>
      <c r="EM613" s="249"/>
      <c r="EN613" s="221"/>
      <c r="EO613" s="313"/>
      <c r="EP613" s="249"/>
      <c r="EQ613" s="216"/>
      <c r="ER613" s="313"/>
      <c r="ES613" s="249"/>
      <c r="ET613" s="216"/>
      <c r="EU613" s="313"/>
      <c r="EV613" s="249"/>
      <c r="EW613" s="216"/>
      <c r="EX613" s="2505"/>
      <c r="EY613" s="249"/>
      <c r="EZ613" s="221"/>
      <c r="FA613" s="313"/>
      <c r="FB613" s="249"/>
      <c r="FC613" s="221"/>
      <c r="FD613" s="313"/>
      <c r="FE613" s="249"/>
      <c r="FF613" s="221"/>
      <c r="FG613" s="313"/>
      <c r="FH613" s="249"/>
      <c r="FI613" s="216"/>
      <c r="FJ613" s="1435"/>
      <c r="FK613" s="216"/>
      <c r="FL613" s="1268"/>
      <c r="FM613" s="1655"/>
      <c r="FN613" s="1268"/>
      <c r="FO613" s="1655"/>
      <c r="FP613" s="1268"/>
      <c r="FQ613" s="1656"/>
      <c r="FR613" s="249"/>
      <c r="FS613" s="216"/>
      <c r="FT613" s="1657"/>
      <c r="FU613" s="1658"/>
      <c r="FV613" s="242"/>
      <c r="FW613" s="343"/>
      <c r="FX613" s="222"/>
      <c r="FY613" s="336"/>
      <c r="FZ613" s="223"/>
      <c r="GA613" s="338"/>
      <c r="GB613" s="204"/>
      <c r="GC613" s="339"/>
      <c r="GD613" s="342"/>
      <c r="GE613" s="199"/>
      <c r="GF613" s="199"/>
      <c r="GG613" s="199"/>
      <c r="GH613" s="199"/>
      <c r="GI613" s="199"/>
      <c r="GJ613" s="199"/>
      <c r="GK613" s="199"/>
      <c r="GO613" s="322"/>
      <c r="GP613" s="1190"/>
      <c r="GQ613" s="1190"/>
      <c r="GS613" s="2879"/>
      <c r="GT613" s="2880"/>
      <c r="GU613" s="2881"/>
    </row>
    <row r="614" spans="1:203" ht="12" customHeight="1">
      <c r="A614" s="1252"/>
      <c r="B614" s="200"/>
      <c r="C614" s="486"/>
      <c r="T614" s="1186"/>
      <c r="U614" s="233"/>
      <c r="W614" s="218"/>
      <c r="X614" s="218"/>
      <c r="Y614" s="216"/>
      <c r="Z614" s="216"/>
      <c r="AA614" s="215"/>
      <c r="AB614" s="216"/>
      <c r="AC614" s="216"/>
      <c r="AD614" s="239"/>
      <c r="AE614" s="216"/>
      <c r="AF614" s="216"/>
      <c r="AG614" s="216"/>
      <c r="AH614" s="216"/>
      <c r="AI614" s="216"/>
      <c r="AJ614" s="216"/>
      <c r="AK614" s="239"/>
      <c r="AL614" s="216"/>
      <c r="AM614" s="216"/>
      <c r="AN614" s="216"/>
      <c r="AO614" s="216"/>
      <c r="AP614" s="216"/>
      <c r="AQ614" s="216"/>
      <c r="AR614" s="216"/>
      <c r="AS614" s="216"/>
      <c r="AT614" s="216"/>
      <c r="AU614" s="216"/>
      <c r="AV614" s="217"/>
      <c r="AW614" s="355"/>
      <c r="AX614" s="217"/>
      <c r="AY614" s="305"/>
      <c r="AZ614" s="249"/>
      <c r="BA614" s="221"/>
      <c r="BB614" s="300"/>
      <c r="BC614" s="217"/>
      <c r="BD614" s="392"/>
      <c r="BE614" s="1244"/>
      <c r="BF614" s="249"/>
      <c r="BG614" s="252"/>
      <c r="BH614" s="1469"/>
      <c r="BI614" s="216"/>
      <c r="BJ614" s="1469"/>
      <c r="BK614" s="1459"/>
      <c r="BL614" s="260"/>
      <c r="BM614" s="214"/>
      <c r="BN614" s="293"/>
      <c r="BO614" s="217"/>
      <c r="BP614" s="355"/>
      <c r="BQ614" s="217"/>
      <c r="BR614" s="1193"/>
      <c r="BS614" s="249"/>
      <c r="BT614" s="216"/>
      <c r="BU614" s="1195"/>
      <c r="BV614" s="249"/>
      <c r="BW614" s="216"/>
      <c r="BX614" s="1195"/>
      <c r="BY614" s="249"/>
      <c r="BZ614" s="216"/>
      <c r="CA614" s="1195"/>
      <c r="CB614" s="249"/>
      <c r="CC614" s="216"/>
      <c r="CD614" s="1195"/>
      <c r="CE614" s="249"/>
      <c r="CF614" s="216"/>
      <c r="CG614" s="1195"/>
      <c r="CH614" s="249"/>
      <c r="CI614" s="216"/>
      <c r="CJ614" s="1195"/>
      <c r="CK614" s="249"/>
      <c r="CL614" s="216"/>
      <c r="CM614" s="1194"/>
      <c r="CN614" s="1524"/>
      <c r="CO614" s="217"/>
      <c r="CP614" s="1193"/>
      <c r="CQ614" s="293"/>
      <c r="CR614" s="217"/>
      <c r="CS614" s="305"/>
      <c r="CT614" s="249"/>
      <c r="CU614" s="216"/>
      <c r="CV614" s="1193"/>
      <c r="CW614" s="249"/>
      <c r="CX614" s="216"/>
      <c r="CY614" s="305"/>
      <c r="CZ614" s="249"/>
      <c r="DA614" s="216"/>
      <c r="DB614" s="307"/>
      <c r="DC614" s="328"/>
      <c r="DD614" s="322"/>
      <c r="DE614" s="305"/>
      <c r="DF614" s="249"/>
      <c r="DG614" s="216"/>
      <c r="DH614" s="305"/>
      <c r="DI614" s="249"/>
      <c r="DJ614" s="216"/>
      <c r="DK614" s="309"/>
      <c r="DL614" s="293"/>
      <c r="DM614" s="326"/>
      <c r="DN614" s="1256"/>
      <c r="DO614" s="214"/>
      <c r="DP614" s="1257"/>
      <c r="DQ614" s="1258"/>
      <c r="DR614" s="305"/>
      <c r="DS614" s="249"/>
      <c r="DT614" s="216"/>
      <c r="DU614" s="305"/>
      <c r="DV614" s="2520"/>
      <c r="DW614" s="2521"/>
      <c r="DX614" s="305"/>
      <c r="DY614" s="249"/>
      <c r="DZ614" s="221"/>
      <c r="EA614" s="388"/>
      <c r="EB614" s="249"/>
      <c r="EC614" s="216"/>
      <c r="ED614" s="1461"/>
      <c r="EE614" s="249"/>
      <c r="EF614" s="216"/>
      <c r="EG614" s="355"/>
      <c r="EH614" s="1425"/>
      <c r="EI614" s="1470"/>
      <c r="EJ614" s="249"/>
      <c r="EK614" s="221"/>
      <c r="EL614" s="313"/>
      <c r="EM614" s="249"/>
      <c r="EN614" s="221"/>
      <c r="EO614" s="313"/>
      <c r="EP614" s="249"/>
      <c r="EQ614" s="216"/>
      <c r="ER614" s="313"/>
      <c r="ES614" s="249"/>
      <c r="ET614" s="216"/>
      <c r="EU614" s="313"/>
      <c r="EV614" s="249"/>
      <c r="EW614" s="216"/>
      <c r="EX614" s="2505"/>
      <c r="EY614" s="249"/>
      <c r="EZ614" s="221"/>
      <c r="FA614" s="313"/>
      <c r="FB614" s="249"/>
      <c r="FC614" s="221"/>
      <c r="FD614" s="313"/>
      <c r="FE614" s="249"/>
      <c r="FF614" s="221"/>
      <c r="FG614" s="313"/>
      <c r="FH614" s="249"/>
      <c r="FI614" s="216"/>
      <c r="FJ614" s="1435"/>
      <c r="FK614" s="216"/>
      <c r="FL614" s="1268"/>
      <c r="FM614" s="1655"/>
      <c r="FN614" s="1268"/>
      <c r="FO614" s="1655"/>
      <c r="FP614" s="1268"/>
      <c r="FQ614" s="1656"/>
      <c r="FR614" s="249"/>
      <c r="FS614" s="216"/>
      <c r="FT614" s="1657"/>
      <c r="FU614" s="1658"/>
      <c r="FV614" s="242"/>
      <c r="FW614" s="343"/>
      <c r="FX614" s="222"/>
      <c r="FY614" s="336"/>
      <c r="FZ614" s="223"/>
      <c r="GA614" s="338"/>
      <c r="GB614" s="204"/>
      <c r="GC614" s="339"/>
      <c r="GD614" s="342"/>
      <c r="GE614" s="199"/>
      <c r="GF614" s="199"/>
      <c r="GG614" s="199"/>
      <c r="GH614" s="199"/>
      <c r="GI614" s="199"/>
      <c r="GJ614" s="199"/>
      <c r="GK614" s="199"/>
      <c r="GO614" s="322"/>
      <c r="GP614" s="1190"/>
      <c r="GQ614" s="1190"/>
      <c r="GS614" s="2879"/>
      <c r="GT614" s="2880"/>
      <c r="GU614" s="2881"/>
    </row>
    <row r="615" spans="1:203" ht="12" customHeight="1">
      <c r="A615" s="1252"/>
      <c r="B615" s="200"/>
      <c r="C615" s="486"/>
      <c r="T615" s="1186"/>
      <c r="U615" s="233"/>
      <c r="W615" s="218"/>
      <c r="X615" s="218"/>
      <c r="Y615" s="216"/>
      <c r="Z615" s="216"/>
      <c r="AA615" s="215"/>
      <c r="AB615" s="216"/>
      <c r="AC615" s="216"/>
      <c r="AD615" s="239"/>
      <c r="AE615" s="216"/>
      <c r="AF615" s="216"/>
      <c r="AG615" s="216"/>
      <c r="AH615" s="216"/>
      <c r="AI615" s="216"/>
      <c r="AJ615" s="216"/>
      <c r="AK615" s="239"/>
      <c r="AL615" s="216"/>
      <c r="AM615" s="216"/>
      <c r="AN615" s="216"/>
      <c r="AO615" s="216"/>
      <c r="AP615" s="216"/>
      <c r="AQ615" s="216"/>
      <c r="AR615" s="216"/>
      <c r="AS615" s="216"/>
      <c r="AT615" s="216"/>
      <c r="AU615" s="216"/>
      <c r="AV615" s="217"/>
      <c r="AW615" s="355"/>
      <c r="AX615" s="217"/>
      <c r="AY615" s="305"/>
      <c r="AZ615" s="249"/>
      <c r="BA615" s="221"/>
      <c r="BB615" s="300"/>
      <c r="BC615" s="217"/>
      <c r="BD615" s="392"/>
      <c r="BE615" s="1244"/>
      <c r="BF615" s="249"/>
      <c r="BG615" s="252"/>
      <c r="BH615" s="1469"/>
      <c r="BI615" s="216"/>
      <c r="BJ615" s="1469"/>
      <c r="BK615" s="1459"/>
      <c r="BL615" s="260"/>
      <c r="BM615" s="214"/>
      <c r="BN615" s="293"/>
      <c r="BO615" s="217"/>
      <c r="BP615" s="355"/>
      <c r="BQ615" s="217"/>
      <c r="BR615" s="1193"/>
      <c r="BS615" s="249"/>
      <c r="BT615" s="216"/>
      <c r="BU615" s="1195"/>
      <c r="BV615" s="249"/>
      <c r="BW615" s="216"/>
      <c r="BX615" s="1195"/>
      <c r="BY615" s="249"/>
      <c r="BZ615" s="216"/>
      <c r="CA615" s="1195"/>
      <c r="CB615" s="249"/>
      <c r="CC615" s="216"/>
      <c r="CD615" s="1195"/>
      <c r="CE615" s="249"/>
      <c r="CF615" s="216"/>
      <c r="CG615" s="1195"/>
      <c r="CH615" s="249"/>
      <c r="CI615" s="216"/>
      <c r="CJ615" s="1195"/>
      <c r="CK615" s="249"/>
      <c r="CL615" s="216"/>
      <c r="CM615" s="1194"/>
      <c r="CN615" s="1524"/>
      <c r="CO615" s="217"/>
      <c r="CP615" s="1193"/>
      <c r="CQ615" s="293"/>
      <c r="CR615" s="217"/>
      <c r="CS615" s="305"/>
      <c r="CT615" s="249"/>
      <c r="CU615" s="216"/>
      <c r="CV615" s="1193"/>
      <c r="CW615" s="249"/>
      <c r="CX615" s="216"/>
      <c r="CY615" s="305"/>
      <c r="CZ615" s="249"/>
      <c r="DA615" s="216"/>
      <c r="DB615" s="307"/>
      <c r="DC615" s="328"/>
      <c r="DD615" s="322"/>
      <c r="DE615" s="305"/>
      <c r="DF615" s="249"/>
      <c r="DG615" s="216"/>
      <c r="DH615" s="305"/>
      <c r="DI615" s="249"/>
      <c r="DJ615" s="216"/>
      <c r="DK615" s="309"/>
      <c r="DL615" s="293"/>
      <c r="DM615" s="326"/>
      <c r="DN615" s="1256"/>
      <c r="DO615" s="214"/>
      <c r="DP615" s="1257"/>
      <c r="DQ615" s="1258"/>
      <c r="DR615" s="305"/>
      <c r="DS615" s="249"/>
      <c r="DT615" s="216"/>
      <c r="DU615" s="305"/>
      <c r="DV615" s="2520"/>
      <c r="DW615" s="2521"/>
      <c r="DX615" s="305"/>
      <c r="DY615" s="249"/>
      <c r="DZ615" s="221"/>
      <c r="EA615" s="388"/>
      <c r="EB615" s="249"/>
      <c r="EC615" s="216"/>
      <c r="ED615" s="1461"/>
      <c r="EE615" s="249"/>
      <c r="EF615" s="216"/>
      <c r="EG615" s="355"/>
      <c r="EH615" s="1425"/>
      <c r="EI615" s="1470"/>
      <c r="EJ615" s="249"/>
      <c r="EK615" s="221"/>
      <c r="EL615" s="313"/>
      <c r="EM615" s="249"/>
      <c r="EN615" s="221"/>
      <c r="EO615" s="313"/>
      <c r="EP615" s="249"/>
      <c r="EQ615" s="216"/>
      <c r="ER615" s="313"/>
      <c r="ES615" s="249"/>
      <c r="ET615" s="216"/>
      <c r="EU615" s="313"/>
      <c r="EV615" s="249"/>
      <c r="EW615" s="216"/>
      <c r="EX615" s="2505"/>
      <c r="EY615" s="249"/>
      <c r="EZ615" s="221"/>
      <c r="FA615" s="313"/>
      <c r="FB615" s="249"/>
      <c r="FC615" s="221"/>
      <c r="FD615" s="313"/>
      <c r="FE615" s="249"/>
      <c r="FF615" s="221"/>
      <c r="FG615" s="313"/>
      <c r="FH615" s="249"/>
      <c r="FI615" s="216"/>
      <c r="FJ615" s="1435"/>
      <c r="FK615" s="216"/>
      <c r="FL615" s="1268"/>
      <c r="FM615" s="1655"/>
      <c r="FN615" s="1268"/>
      <c r="FO615" s="1655"/>
      <c r="FP615" s="1268"/>
      <c r="FQ615" s="1656"/>
      <c r="FR615" s="249"/>
      <c r="FS615" s="216"/>
      <c r="FT615" s="1657"/>
      <c r="FU615" s="1658"/>
      <c r="FV615" s="242"/>
      <c r="FW615" s="343"/>
      <c r="FX615" s="222"/>
      <c r="FY615" s="336"/>
      <c r="FZ615" s="223"/>
      <c r="GA615" s="338"/>
      <c r="GB615" s="204"/>
      <c r="GC615" s="339"/>
      <c r="GD615" s="342"/>
      <c r="GE615" s="199"/>
      <c r="GF615" s="199"/>
      <c r="GG615" s="199"/>
      <c r="GH615" s="199"/>
      <c r="GI615" s="199"/>
      <c r="GJ615" s="199"/>
      <c r="GK615" s="199"/>
      <c r="GO615" s="322"/>
      <c r="GP615" s="1190"/>
      <c r="GQ615" s="1190"/>
      <c r="GS615" s="2879"/>
      <c r="GT615" s="2880"/>
      <c r="GU615" s="2881"/>
    </row>
    <row r="616" spans="1:203" ht="12" customHeight="1">
      <c r="A616" s="1252"/>
      <c r="B616" s="200"/>
      <c r="C616" s="486"/>
      <c r="T616" s="1186"/>
      <c r="U616" s="233"/>
      <c r="W616" s="218"/>
      <c r="X616" s="218"/>
      <c r="Y616" s="216"/>
      <c r="Z616" s="216"/>
      <c r="AA616" s="215"/>
      <c r="AB616" s="216"/>
      <c r="AC616" s="216"/>
      <c r="AD616" s="239"/>
      <c r="AE616" s="216"/>
      <c r="AF616" s="216"/>
      <c r="AG616" s="216"/>
      <c r="AH616" s="216"/>
      <c r="AI616" s="216"/>
      <c r="AJ616" s="216"/>
      <c r="AK616" s="239"/>
      <c r="AL616" s="216"/>
      <c r="AM616" s="216"/>
      <c r="AN616" s="216"/>
      <c r="AO616" s="216"/>
      <c r="AP616" s="216"/>
      <c r="AQ616" s="216"/>
      <c r="AR616" s="216"/>
      <c r="AS616" s="216"/>
      <c r="AT616" s="216"/>
      <c r="AU616" s="216"/>
      <c r="AV616" s="217"/>
      <c r="AW616" s="355"/>
      <c r="AX616" s="217"/>
      <c r="AY616" s="305"/>
      <c r="AZ616" s="249"/>
      <c r="BA616" s="221"/>
      <c r="BB616" s="300"/>
      <c r="BC616" s="217"/>
      <c r="BD616" s="392"/>
      <c r="BE616" s="1244"/>
      <c r="BF616" s="249"/>
      <c r="BG616" s="252"/>
      <c r="BH616" s="1469"/>
      <c r="BI616" s="216"/>
      <c r="BJ616" s="1469"/>
      <c r="BK616" s="1459"/>
      <c r="BL616" s="260"/>
      <c r="BM616" s="214"/>
      <c r="BN616" s="293"/>
      <c r="BO616" s="217"/>
      <c r="BP616" s="355"/>
      <c r="BQ616" s="217"/>
      <c r="BR616" s="1193"/>
      <c r="BS616" s="249"/>
      <c r="BT616" s="216"/>
      <c r="BU616" s="1195"/>
      <c r="BV616" s="249"/>
      <c r="BW616" s="216"/>
      <c r="BX616" s="1195"/>
      <c r="BY616" s="249"/>
      <c r="BZ616" s="216"/>
      <c r="CA616" s="1195"/>
      <c r="CB616" s="249"/>
      <c r="CC616" s="216"/>
      <c r="CD616" s="1195"/>
      <c r="CE616" s="249"/>
      <c r="CF616" s="216"/>
      <c r="CG616" s="1195"/>
      <c r="CH616" s="249"/>
      <c r="CI616" s="216"/>
      <c r="CJ616" s="1195"/>
      <c r="CK616" s="249"/>
      <c r="CL616" s="216"/>
      <c r="CM616" s="1194"/>
      <c r="CN616" s="1524"/>
      <c r="CO616" s="217"/>
      <c r="CP616" s="1193"/>
      <c r="CQ616" s="293"/>
      <c r="CR616" s="217"/>
      <c r="CS616" s="305"/>
      <c r="CT616" s="249"/>
      <c r="CU616" s="216"/>
      <c r="CV616" s="1193"/>
      <c r="CW616" s="249"/>
      <c r="CX616" s="216"/>
      <c r="CY616" s="305"/>
      <c r="CZ616" s="249"/>
      <c r="DA616" s="216"/>
      <c r="DB616" s="307"/>
      <c r="DC616" s="328"/>
      <c r="DD616" s="322"/>
      <c r="DE616" s="305"/>
      <c r="DF616" s="249"/>
      <c r="DG616" s="216"/>
      <c r="DH616" s="305"/>
      <c r="DI616" s="249"/>
      <c r="DJ616" s="216"/>
      <c r="DK616" s="309"/>
      <c r="DL616" s="293"/>
      <c r="DM616" s="326"/>
      <c r="DN616" s="1256"/>
      <c r="DO616" s="214"/>
      <c r="DP616" s="1257"/>
      <c r="DQ616" s="1258"/>
      <c r="DR616" s="305"/>
      <c r="DS616" s="249"/>
      <c r="DT616" s="216"/>
      <c r="DU616" s="305"/>
      <c r="DV616" s="2520"/>
      <c r="DW616" s="2521"/>
      <c r="DX616" s="305"/>
      <c r="DY616" s="249"/>
      <c r="DZ616" s="221"/>
      <c r="EA616" s="388"/>
      <c r="EB616" s="249"/>
      <c r="EC616" s="216"/>
      <c r="ED616" s="1461"/>
      <c r="EE616" s="249"/>
      <c r="EF616" s="216"/>
      <c r="EG616" s="355"/>
      <c r="EH616" s="1425"/>
      <c r="EI616" s="1470"/>
      <c r="EJ616" s="249"/>
      <c r="EK616" s="221"/>
      <c r="EL616" s="313"/>
      <c r="EM616" s="249"/>
      <c r="EN616" s="221"/>
      <c r="EO616" s="313"/>
      <c r="EP616" s="249"/>
      <c r="EQ616" s="216"/>
      <c r="ER616" s="313"/>
      <c r="ES616" s="249"/>
      <c r="ET616" s="216"/>
      <c r="EU616" s="313"/>
      <c r="EV616" s="249"/>
      <c r="EW616" s="216"/>
      <c r="EX616" s="2505"/>
      <c r="EY616" s="249"/>
      <c r="EZ616" s="221"/>
      <c r="FA616" s="313"/>
      <c r="FB616" s="249"/>
      <c r="FC616" s="221"/>
      <c r="FD616" s="313"/>
      <c r="FE616" s="249"/>
      <c r="FF616" s="221"/>
      <c r="FG616" s="313"/>
      <c r="FH616" s="249"/>
      <c r="FI616" s="216"/>
      <c r="FJ616" s="1435"/>
      <c r="FK616" s="216"/>
      <c r="FL616" s="1268"/>
      <c r="FM616" s="1655"/>
      <c r="FN616" s="1268"/>
      <c r="FO616" s="1655"/>
      <c r="FP616" s="1268"/>
      <c r="FQ616" s="1656"/>
      <c r="FR616" s="249"/>
      <c r="FS616" s="216"/>
      <c r="FT616" s="1657"/>
      <c r="FU616" s="1658"/>
      <c r="FV616" s="242"/>
      <c r="FW616" s="343"/>
      <c r="FX616" s="222"/>
      <c r="FY616" s="336"/>
      <c r="FZ616" s="223"/>
      <c r="GA616" s="338"/>
      <c r="GB616" s="204"/>
      <c r="GC616" s="339"/>
      <c r="GD616" s="342"/>
      <c r="GE616" s="199"/>
      <c r="GF616" s="199"/>
      <c r="GG616" s="199"/>
      <c r="GH616" s="199"/>
      <c r="GI616" s="199"/>
      <c r="GJ616" s="199"/>
      <c r="GK616" s="199"/>
      <c r="GO616" s="322"/>
      <c r="GP616" s="1190"/>
      <c r="GQ616" s="1190"/>
      <c r="GS616" s="2879"/>
      <c r="GT616" s="2880"/>
      <c r="GU616" s="2881"/>
    </row>
    <row r="617" spans="1:203" ht="12" customHeight="1">
      <c r="A617" s="1252"/>
      <c r="B617" s="200"/>
      <c r="C617" s="486"/>
      <c r="T617" s="1186"/>
      <c r="U617" s="233"/>
      <c r="W617" s="218"/>
      <c r="X617" s="218"/>
      <c r="Y617" s="216"/>
      <c r="Z617" s="216"/>
      <c r="AA617" s="215"/>
      <c r="AB617" s="216"/>
      <c r="AC617" s="216"/>
      <c r="AD617" s="239"/>
      <c r="AE617" s="216"/>
      <c r="AF617" s="216"/>
      <c r="AG617" s="216"/>
      <c r="AH617" s="216"/>
      <c r="AI617" s="216"/>
      <c r="AJ617" s="216"/>
      <c r="AK617" s="239"/>
      <c r="AL617" s="216"/>
      <c r="AM617" s="216"/>
      <c r="AN617" s="216"/>
      <c r="AO617" s="216"/>
      <c r="AP617" s="216"/>
      <c r="AQ617" s="216"/>
      <c r="AR617" s="216"/>
      <c r="AS617" s="216"/>
      <c r="AT617" s="216"/>
      <c r="AU617" s="216"/>
      <c r="AV617" s="217"/>
      <c r="AW617" s="355"/>
      <c r="AX617" s="217"/>
      <c r="AY617" s="305"/>
      <c r="AZ617" s="249"/>
      <c r="BA617" s="221"/>
      <c r="BB617" s="300"/>
      <c r="BC617" s="217"/>
      <c r="BD617" s="392"/>
      <c r="BE617" s="1244"/>
      <c r="BF617" s="249"/>
      <c r="BG617" s="252"/>
      <c r="BH617" s="1469"/>
      <c r="BI617" s="216"/>
      <c r="BJ617" s="1469"/>
      <c r="BK617" s="1459"/>
      <c r="BL617" s="260"/>
      <c r="BM617" s="214"/>
      <c r="BN617" s="293"/>
      <c r="BO617" s="217"/>
      <c r="BP617" s="355"/>
      <c r="BQ617" s="217"/>
      <c r="BR617" s="1193"/>
      <c r="BS617" s="249"/>
      <c r="BT617" s="216"/>
      <c r="BU617" s="1195"/>
      <c r="BV617" s="249"/>
      <c r="BW617" s="216"/>
      <c r="BX617" s="1195"/>
      <c r="BY617" s="249"/>
      <c r="BZ617" s="216"/>
      <c r="CA617" s="1195"/>
      <c r="CB617" s="249"/>
      <c r="CC617" s="216"/>
      <c r="CD617" s="1195"/>
      <c r="CE617" s="249"/>
      <c r="CF617" s="216"/>
      <c r="CG617" s="1195"/>
      <c r="CH617" s="249"/>
      <c r="CI617" s="216"/>
      <c r="CJ617" s="1195"/>
      <c r="CK617" s="249"/>
      <c r="CL617" s="216"/>
      <c r="CM617" s="1194"/>
      <c r="CN617" s="1524"/>
      <c r="CO617" s="217"/>
      <c r="CP617" s="1193"/>
      <c r="CQ617" s="293"/>
      <c r="CR617" s="217"/>
      <c r="CS617" s="305"/>
      <c r="CT617" s="249"/>
      <c r="CU617" s="216"/>
      <c r="CV617" s="1193"/>
      <c r="CW617" s="249"/>
      <c r="CX617" s="216"/>
      <c r="CY617" s="305"/>
      <c r="CZ617" s="249"/>
      <c r="DA617" s="216"/>
      <c r="DB617" s="307"/>
      <c r="DC617" s="328"/>
      <c r="DD617" s="322"/>
      <c r="DE617" s="305"/>
      <c r="DF617" s="249"/>
      <c r="DG617" s="216"/>
      <c r="DH617" s="305"/>
      <c r="DI617" s="249"/>
      <c r="DJ617" s="216"/>
      <c r="DK617" s="309"/>
      <c r="DL617" s="293"/>
      <c r="DM617" s="326"/>
      <c r="DN617" s="1256"/>
      <c r="DO617" s="214"/>
      <c r="DP617" s="1257"/>
      <c r="DQ617" s="1258"/>
      <c r="DR617" s="305"/>
      <c r="DS617" s="249"/>
      <c r="DT617" s="216"/>
      <c r="DU617" s="305"/>
      <c r="DV617" s="2520"/>
      <c r="DW617" s="2521"/>
      <c r="DX617" s="305"/>
      <c r="DY617" s="249"/>
      <c r="DZ617" s="221"/>
      <c r="EA617" s="388"/>
      <c r="EB617" s="249"/>
      <c r="EC617" s="216"/>
      <c r="ED617" s="1461"/>
      <c r="EE617" s="249"/>
      <c r="EF617" s="216"/>
      <c r="EG617" s="355"/>
      <c r="EH617" s="1425"/>
      <c r="EI617" s="1470"/>
      <c r="EJ617" s="249"/>
      <c r="EK617" s="221"/>
      <c r="EL617" s="313"/>
      <c r="EM617" s="249"/>
      <c r="EN617" s="221"/>
      <c r="EO617" s="313"/>
      <c r="EP617" s="249"/>
      <c r="EQ617" s="216"/>
      <c r="ER617" s="313"/>
      <c r="ES617" s="249"/>
      <c r="ET617" s="216"/>
      <c r="EU617" s="313"/>
      <c r="EV617" s="249"/>
      <c r="EW617" s="216"/>
      <c r="EX617" s="2505"/>
      <c r="EY617" s="249"/>
      <c r="EZ617" s="221"/>
      <c r="FA617" s="313"/>
      <c r="FB617" s="249"/>
      <c r="FC617" s="221"/>
      <c r="FD617" s="313"/>
      <c r="FE617" s="249"/>
      <c r="FF617" s="221"/>
      <c r="FG617" s="313"/>
      <c r="FH617" s="249"/>
      <c r="FI617" s="216"/>
      <c r="FJ617" s="1435"/>
      <c r="FK617" s="216"/>
      <c r="FL617" s="1268"/>
      <c r="FM617" s="1655"/>
      <c r="FN617" s="1268"/>
      <c r="FO617" s="1655"/>
      <c r="FP617" s="1268"/>
      <c r="FQ617" s="1656"/>
      <c r="FR617" s="249"/>
      <c r="FS617" s="216"/>
      <c r="FT617" s="1657"/>
      <c r="FU617" s="1658"/>
      <c r="FV617" s="242"/>
      <c r="FW617" s="343"/>
      <c r="FX617" s="222"/>
      <c r="FY617" s="336"/>
      <c r="FZ617" s="223"/>
      <c r="GA617" s="338"/>
      <c r="GB617" s="204"/>
      <c r="GC617" s="339"/>
      <c r="GD617" s="342"/>
      <c r="GE617" s="199"/>
      <c r="GF617" s="199"/>
      <c r="GG617" s="199"/>
      <c r="GH617" s="199"/>
      <c r="GI617" s="199"/>
      <c r="GJ617" s="199"/>
      <c r="GK617" s="199"/>
      <c r="GO617" s="322"/>
      <c r="GP617" s="1190"/>
      <c r="GQ617" s="1190"/>
      <c r="GS617" s="2879"/>
      <c r="GT617" s="2880"/>
      <c r="GU617" s="2881"/>
    </row>
    <row r="618" spans="1:203" ht="12" customHeight="1">
      <c r="A618" s="1252"/>
      <c r="B618" s="200"/>
      <c r="C618" s="486"/>
      <c r="T618" s="1186"/>
      <c r="U618" s="233"/>
      <c r="W618" s="218"/>
      <c r="X618" s="218"/>
      <c r="Y618" s="216"/>
      <c r="Z618" s="216"/>
      <c r="AA618" s="215"/>
      <c r="AB618" s="216"/>
      <c r="AC618" s="216"/>
      <c r="AD618" s="239"/>
      <c r="AE618" s="216"/>
      <c r="AF618" s="216"/>
      <c r="AG618" s="216"/>
      <c r="AH618" s="216"/>
      <c r="AI618" s="216"/>
      <c r="AJ618" s="216"/>
      <c r="AK618" s="239"/>
      <c r="AL618" s="216"/>
      <c r="AM618" s="216"/>
      <c r="AN618" s="216"/>
      <c r="AO618" s="216"/>
      <c r="AP618" s="216"/>
      <c r="AQ618" s="216"/>
      <c r="AR618" s="216"/>
      <c r="AS618" s="216"/>
      <c r="AT618" s="216"/>
      <c r="AU618" s="216"/>
      <c r="AV618" s="217"/>
      <c r="AW618" s="355"/>
      <c r="AX618" s="217"/>
      <c r="AY618" s="305"/>
      <c r="AZ618" s="249"/>
      <c r="BA618" s="221"/>
      <c r="BB618" s="300"/>
      <c r="BC618" s="217"/>
      <c r="BD618" s="392"/>
      <c r="BE618" s="1244"/>
      <c r="BF618" s="249"/>
      <c r="BG618" s="252"/>
      <c r="BH618" s="1469"/>
      <c r="BI618" s="216"/>
      <c r="BJ618" s="1469"/>
      <c r="BK618" s="1459"/>
      <c r="BL618" s="260"/>
      <c r="BM618" s="214"/>
      <c r="BN618" s="293"/>
      <c r="BO618" s="217"/>
      <c r="BP618" s="355"/>
      <c r="BQ618" s="217"/>
      <c r="BR618" s="1193"/>
      <c r="BS618" s="249"/>
      <c r="BT618" s="216"/>
      <c r="BU618" s="1195"/>
      <c r="BV618" s="249"/>
      <c r="BW618" s="216"/>
      <c r="BX618" s="1195"/>
      <c r="BY618" s="249"/>
      <c r="BZ618" s="216"/>
      <c r="CA618" s="1195"/>
      <c r="CB618" s="249"/>
      <c r="CC618" s="216"/>
      <c r="CD618" s="1195"/>
      <c r="CE618" s="249"/>
      <c r="CF618" s="216"/>
      <c r="CG618" s="1195"/>
      <c r="CH618" s="249"/>
      <c r="CI618" s="216"/>
      <c r="CJ618" s="1195"/>
      <c r="CK618" s="249"/>
      <c r="CL618" s="216"/>
      <c r="CM618" s="1194"/>
      <c r="CN618" s="1524"/>
      <c r="CO618" s="217"/>
      <c r="CP618" s="1193"/>
      <c r="CQ618" s="293"/>
      <c r="CR618" s="217"/>
      <c r="CS618" s="305"/>
      <c r="CT618" s="249"/>
      <c r="CU618" s="216"/>
      <c r="CV618" s="1193"/>
      <c r="CW618" s="249"/>
      <c r="CX618" s="216"/>
      <c r="CY618" s="305"/>
      <c r="CZ618" s="249"/>
      <c r="DA618" s="216"/>
      <c r="DB618" s="307"/>
      <c r="DC618" s="328"/>
      <c r="DD618" s="322"/>
      <c r="DE618" s="305"/>
      <c r="DF618" s="249"/>
      <c r="DG618" s="216"/>
      <c r="DH618" s="305"/>
      <c r="DI618" s="249"/>
      <c r="DJ618" s="216"/>
      <c r="DK618" s="309"/>
      <c r="DL618" s="293"/>
      <c r="DM618" s="326"/>
      <c r="DN618" s="1256"/>
      <c r="DO618" s="214"/>
      <c r="DP618" s="1257"/>
      <c r="DQ618" s="1258"/>
      <c r="DR618" s="305"/>
      <c r="DS618" s="249"/>
      <c r="DT618" s="216"/>
      <c r="DU618" s="305"/>
      <c r="DV618" s="2520"/>
      <c r="DW618" s="2521"/>
      <c r="DX618" s="305"/>
      <c r="DY618" s="249"/>
      <c r="DZ618" s="221"/>
      <c r="EA618" s="388"/>
      <c r="EB618" s="249"/>
      <c r="EC618" s="216"/>
      <c r="ED618" s="1461"/>
      <c r="EE618" s="249"/>
      <c r="EF618" s="216"/>
      <c r="EG618" s="355"/>
      <c r="EH618" s="1425"/>
      <c r="EI618" s="1470"/>
      <c r="EJ618" s="249"/>
      <c r="EK618" s="221"/>
      <c r="EL618" s="313"/>
      <c r="EM618" s="249"/>
      <c r="EN618" s="221"/>
      <c r="EO618" s="313"/>
      <c r="EP618" s="249"/>
      <c r="EQ618" s="216"/>
      <c r="ER618" s="313"/>
      <c r="ES618" s="249"/>
      <c r="ET618" s="216"/>
      <c r="EU618" s="313"/>
      <c r="EV618" s="249"/>
      <c r="EW618" s="216"/>
      <c r="EX618" s="2505"/>
      <c r="EY618" s="249"/>
      <c r="EZ618" s="221"/>
      <c r="FA618" s="313"/>
      <c r="FB618" s="249"/>
      <c r="FC618" s="221"/>
      <c r="FD618" s="313"/>
      <c r="FE618" s="249"/>
      <c r="FF618" s="221"/>
      <c r="FG618" s="313"/>
      <c r="FH618" s="249"/>
      <c r="FI618" s="216"/>
      <c r="FJ618" s="1435"/>
      <c r="FK618" s="216"/>
      <c r="FL618" s="1268"/>
      <c r="FM618" s="1655"/>
      <c r="FN618" s="1268"/>
      <c r="FO618" s="1655"/>
      <c r="FP618" s="1268"/>
      <c r="FQ618" s="1656"/>
      <c r="FR618" s="249"/>
      <c r="FS618" s="216"/>
      <c r="FT618" s="1657"/>
      <c r="FU618" s="1658"/>
      <c r="FV618" s="242"/>
      <c r="FW618" s="343"/>
      <c r="FX618" s="222"/>
      <c r="FY618" s="336"/>
      <c r="FZ618" s="223"/>
      <c r="GA618" s="338"/>
      <c r="GB618" s="204"/>
      <c r="GC618" s="339"/>
      <c r="GD618" s="342"/>
      <c r="GE618" s="199"/>
      <c r="GF618" s="199"/>
      <c r="GG618" s="199"/>
      <c r="GH618" s="199"/>
      <c r="GI618" s="199"/>
      <c r="GJ618" s="199"/>
      <c r="GK618" s="199"/>
      <c r="GO618" s="322"/>
      <c r="GP618" s="1190"/>
      <c r="GQ618" s="1190"/>
      <c r="GS618" s="2879"/>
      <c r="GT618" s="2880"/>
      <c r="GU618" s="2881"/>
    </row>
    <row r="619" spans="1:203" ht="12" customHeight="1">
      <c r="A619" s="1252"/>
      <c r="B619" s="200"/>
      <c r="C619" s="486"/>
      <c r="T619" s="1186"/>
      <c r="U619" s="233"/>
      <c r="W619" s="218"/>
      <c r="X619" s="218"/>
      <c r="Y619" s="216"/>
      <c r="Z619" s="216"/>
      <c r="AA619" s="215"/>
      <c r="AB619" s="216"/>
      <c r="AC619" s="216"/>
      <c r="AD619" s="239"/>
      <c r="AE619" s="216"/>
      <c r="AF619" s="216"/>
      <c r="AG619" s="216"/>
      <c r="AH619" s="216"/>
      <c r="AI619" s="216"/>
      <c r="AJ619" s="216"/>
      <c r="AK619" s="239"/>
      <c r="AL619" s="216"/>
      <c r="AM619" s="216"/>
      <c r="AN619" s="216"/>
      <c r="AO619" s="216"/>
      <c r="AP619" s="216"/>
      <c r="AQ619" s="216"/>
      <c r="AR619" s="216"/>
      <c r="AS619" s="216"/>
      <c r="AT619" s="216"/>
      <c r="AU619" s="216"/>
      <c r="AV619" s="217"/>
      <c r="AW619" s="355"/>
      <c r="AX619" s="217"/>
      <c r="AY619" s="305"/>
      <c r="AZ619" s="249"/>
      <c r="BA619" s="221"/>
      <c r="BB619" s="300"/>
      <c r="BC619" s="217"/>
      <c r="BD619" s="392"/>
      <c r="BE619" s="1244"/>
      <c r="BF619" s="249"/>
      <c r="BG619" s="252"/>
      <c r="BH619" s="1469"/>
      <c r="BI619" s="216"/>
      <c r="BJ619" s="1469"/>
      <c r="BK619" s="1459"/>
      <c r="BL619" s="260"/>
      <c r="BM619" s="214"/>
      <c r="BN619" s="293"/>
      <c r="BO619" s="217"/>
      <c r="BP619" s="355"/>
      <c r="BQ619" s="217"/>
      <c r="BR619" s="1193"/>
      <c r="BS619" s="249"/>
      <c r="BT619" s="216"/>
      <c r="BU619" s="1195"/>
      <c r="BV619" s="249"/>
      <c r="BW619" s="216"/>
      <c r="BX619" s="1195"/>
      <c r="BY619" s="249"/>
      <c r="BZ619" s="216"/>
      <c r="CA619" s="1195"/>
      <c r="CB619" s="249"/>
      <c r="CC619" s="216"/>
      <c r="CD619" s="1195"/>
      <c r="CE619" s="249"/>
      <c r="CF619" s="216"/>
      <c r="CG619" s="1195"/>
      <c r="CH619" s="249"/>
      <c r="CI619" s="216"/>
      <c r="CJ619" s="1195"/>
      <c r="CK619" s="249"/>
      <c r="CL619" s="216"/>
      <c r="CM619" s="1194"/>
      <c r="CN619" s="1524"/>
      <c r="CO619" s="217"/>
      <c r="CP619" s="1193"/>
      <c r="CQ619" s="293"/>
      <c r="CR619" s="217"/>
      <c r="CS619" s="305"/>
      <c r="CT619" s="249"/>
      <c r="CU619" s="216"/>
      <c r="CV619" s="1193"/>
      <c r="CW619" s="249"/>
      <c r="CX619" s="216"/>
      <c r="CY619" s="305"/>
      <c r="CZ619" s="249"/>
      <c r="DA619" s="216"/>
      <c r="DB619" s="307"/>
      <c r="DC619" s="328"/>
      <c r="DD619" s="322"/>
      <c r="DE619" s="305"/>
      <c r="DF619" s="249"/>
      <c r="DG619" s="216"/>
      <c r="DH619" s="305"/>
      <c r="DI619" s="249"/>
      <c r="DJ619" s="216"/>
      <c r="DK619" s="309"/>
      <c r="DL619" s="293"/>
      <c r="DM619" s="326"/>
      <c r="DN619" s="1256"/>
      <c r="DO619" s="214"/>
      <c r="DP619" s="1257"/>
      <c r="DQ619" s="1258"/>
      <c r="DR619" s="305"/>
      <c r="DS619" s="249"/>
      <c r="DT619" s="216"/>
      <c r="DU619" s="305"/>
      <c r="DV619" s="2520"/>
      <c r="DW619" s="2521"/>
      <c r="DX619" s="305"/>
      <c r="DY619" s="249"/>
      <c r="DZ619" s="221"/>
      <c r="EA619" s="388"/>
      <c r="EB619" s="249"/>
      <c r="EC619" s="216"/>
      <c r="ED619" s="1461"/>
      <c r="EE619" s="249"/>
      <c r="EF619" s="216"/>
      <c r="EG619" s="355"/>
      <c r="EH619" s="1425"/>
      <c r="EI619" s="1470"/>
      <c r="EJ619" s="249"/>
      <c r="EK619" s="221"/>
      <c r="EL619" s="313"/>
      <c r="EM619" s="249"/>
      <c r="EN619" s="221"/>
      <c r="EO619" s="313"/>
      <c r="EP619" s="249"/>
      <c r="EQ619" s="216"/>
      <c r="ER619" s="313"/>
      <c r="ES619" s="249"/>
      <c r="ET619" s="216"/>
      <c r="EU619" s="313"/>
      <c r="EV619" s="249"/>
      <c r="EW619" s="216"/>
      <c r="EX619" s="2505"/>
      <c r="EY619" s="249"/>
      <c r="EZ619" s="221"/>
      <c r="FA619" s="313"/>
      <c r="FB619" s="249"/>
      <c r="FC619" s="221"/>
      <c r="FD619" s="313"/>
      <c r="FE619" s="249"/>
      <c r="FF619" s="221"/>
      <c r="FG619" s="313"/>
      <c r="FH619" s="249"/>
      <c r="FI619" s="216"/>
      <c r="FJ619" s="1435"/>
      <c r="FK619" s="216"/>
      <c r="FL619" s="1268"/>
      <c r="FM619" s="1655"/>
      <c r="FN619" s="1268"/>
      <c r="FO619" s="1655"/>
      <c r="FP619" s="1268"/>
      <c r="FQ619" s="1656"/>
      <c r="FR619" s="249"/>
      <c r="FS619" s="216"/>
      <c r="FT619" s="1657"/>
      <c r="FU619" s="1658"/>
      <c r="FV619" s="242"/>
      <c r="FW619" s="343"/>
      <c r="FX619" s="222"/>
      <c r="FY619" s="336"/>
      <c r="FZ619" s="223"/>
      <c r="GA619" s="338"/>
      <c r="GB619" s="204"/>
      <c r="GC619" s="339"/>
      <c r="GD619" s="342"/>
      <c r="GE619" s="199"/>
      <c r="GF619" s="199"/>
      <c r="GG619" s="199"/>
      <c r="GH619" s="199"/>
      <c r="GI619" s="199"/>
      <c r="GJ619" s="199"/>
      <c r="GK619" s="199"/>
      <c r="GO619" s="322"/>
      <c r="GP619" s="1190"/>
      <c r="GQ619" s="1190"/>
      <c r="GS619" s="2879"/>
      <c r="GT619" s="2880"/>
      <c r="GU619" s="2881"/>
    </row>
    <row r="620" spans="1:203" ht="12" customHeight="1">
      <c r="A620" s="1252"/>
      <c r="B620" s="200"/>
      <c r="C620" s="486"/>
      <c r="T620" s="1186"/>
      <c r="U620" s="233"/>
      <c r="W620" s="218"/>
      <c r="X620" s="218"/>
      <c r="Y620" s="216"/>
      <c r="Z620" s="216"/>
      <c r="AA620" s="215"/>
      <c r="AB620" s="216"/>
      <c r="AC620" s="216"/>
      <c r="AD620" s="239"/>
      <c r="AE620" s="216"/>
      <c r="AF620" s="216"/>
      <c r="AG620" s="216"/>
      <c r="AH620" s="216"/>
      <c r="AI620" s="216"/>
      <c r="AJ620" s="216"/>
      <c r="AK620" s="239"/>
      <c r="AL620" s="216"/>
      <c r="AM620" s="216"/>
      <c r="AN620" s="216"/>
      <c r="AO620" s="216"/>
      <c r="AP620" s="216"/>
      <c r="AQ620" s="216"/>
      <c r="AR620" s="216"/>
      <c r="AS620" s="216"/>
      <c r="AT620" s="216"/>
      <c r="AU620" s="216"/>
      <c r="AV620" s="217"/>
      <c r="AW620" s="355"/>
      <c r="AX620" s="217"/>
      <c r="AY620" s="305"/>
      <c r="AZ620" s="249"/>
      <c r="BA620" s="221"/>
      <c r="BB620" s="300"/>
      <c r="BC620" s="217"/>
      <c r="BD620" s="392"/>
      <c r="BE620" s="1244"/>
      <c r="BF620" s="249"/>
      <c r="BG620" s="252"/>
      <c r="BH620" s="1469"/>
      <c r="BI620" s="216"/>
      <c r="BJ620" s="1469"/>
      <c r="BK620" s="1459"/>
      <c r="BL620" s="260"/>
      <c r="BM620" s="214"/>
      <c r="BN620" s="293"/>
      <c r="BO620" s="217"/>
      <c r="BP620" s="355"/>
      <c r="BQ620" s="217"/>
      <c r="BR620" s="1193"/>
      <c r="BS620" s="249"/>
      <c r="BT620" s="216"/>
      <c r="BU620" s="1195"/>
      <c r="BV620" s="249"/>
      <c r="BW620" s="216"/>
      <c r="BX620" s="1195"/>
      <c r="BY620" s="249"/>
      <c r="BZ620" s="216"/>
      <c r="CA620" s="1195"/>
      <c r="CB620" s="249"/>
      <c r="CC620" s="216"/>
      <c r="CD620" s="1195"/>
      <c r="CE620" s="249"/>
      <c r="CF620" s="216"/>
      <c r="CG620" s="1195"/>
      <c r="CH620" s="249"/>
      <c r="CI620" s="216"/>
      <c r="CJ620" s="1195"/>
      <c r="CK620" s="249"/>
      <c r="CL620" s="216"/>
      <c r="CM620" s="1194"/>
      <c r="CN620" s="1524"/>
      <c r="CO620" s="217"/>
      <c r="CP620" s="1193"/>
      <c r="CQ620" s="293"/>
      <c r="CR620" s="217"/>
      <c r="CS620" s="305"/>
      <c r="CT620" s="249"/>
      <c r="CU620" s="216"/>
      <c r="CV620" s="1193"/>
      <c r="CW620" s="249"/>
      <c r="CX620" s="216"/>
      <c r="CY620" s="305"/>
      <c r="CZ620" s="249"/>
      <c r="DA620" s="216"/>
      <c r="DB620" s="307"/>
      <c r="DC620" s="328"/>
      <c r="DD620" s="322"/>
      <c r="DE620" s="305"/>
      <c r="DF620" s="249"/>
      <c r="DG620" s="216"/>
      <c r="DH620" s="305"/>
      <c r="DI620" s="249"/>
      <c r="DJ620" s="216"/>
      <c r="DK620" s="309"/>
      <c r="DL620" s="293"/>
      <c r="DM620" s="326"/>
      <c r="DN620" s="1256"/>
      <c r="DO620" s="214"/>
      <c r="DP620" s="1257"/>
      <c r="DQ620" s="1258"/>
      <c r="DR620" s="305"/>
      <c r="DS620" s="249"/>
      <c r="DT620" s="216"/>
      <c r="DU620" s="305"/>
      <c r="DV620" s="2520"/>
      <c r="DW620" s="2521"/>
      <c r="DX620" s="305"/>
      <c r="DY620" s="249"/>
      <c r="DZ620" s="221"/>
      <c r="EA620" s="388"/>
      <c r="EB620" s="249"/>
      <c r="EC620" s="216"/>
      <c r="ED620" s="1461"/>
      <c r="EE620" s="249"/>
      <c r="EF620" s="216"/>
      <c r="EG620" s="355"/>
      <c r="EH620" s="1425"/>
      <c r="EI620" s="1470"/>
      <c r="EJ620" s="249"/>
      <c r="EK620" s="221"/>
      <c r="EL620" s="313"/>
      <c r="EM620" s="249"/>
      <c r="EN620" s="221"/>
      <c r="EO620" s="313"/>
      <c r="EP620" s="249"/>
      <c r="EQ620" s="216"/>
      <c r="ER620" s="313"/>
      <c r="ES620" s="249"/>
      <c r="ET620" s="216"/>
      <c r="EU620" s="313"/>
      <c r="EV620" s="249"/>
      <c r="EW620" s="216"/>
      <c r="EX620" s="2505"/>
      <c r="EY620" s="249"/>
      <c r="EZ620" s="221"/>
      <c r="FA620" s="313"/>
      <c r="FB620" s="249"/>
      <c r="FC620" s="221"/>
      <c r="FD620" s="313"/>
      <c r="FE620" s="249"/>
      <c r="FF620" s="221"/>
      <c r="FG620" s="313"/>
      <c r="FH620" s="249"/>
      <c r="FI620" s="216"/>
      <c r="FJ620" s="1435"/>
      <c r="FK620" s="216"/>
      <c r="FL620" s="1268"/>
      <c r="FM620" s="1655"/>
      <c r="FN620" s="1268"/>
      <c r="FO620" s="1655"/>
      <c r="FP620" s="1268"/>
      <c r="FQ620" s="1656"/>
      <c r="FR620" s="249"/>
      <c r="FS620" s="216"/>
      <c r="FT620" s="1657"/>
      <c r="FU620" s="1658"/>
      <c r="FV620" s="242"/>
      <c r="FW620" s="343"/>
      <c r="FX620" s="222"/>
      <c r="FY620" s="336"/>
      <c r="FZ620" s="223"/>
      <c r="GA620" s="338"/>
      <c r="GB620" s="204"/>
      <c r="GC620" s="339"/>
      <c r="GD620" s="342"/>
      <c r="GE620" s="199"/>
      <c r="GF620" s="199"/>
      <c r="GG620" s="199"/>
      <c r="GH620" s="199"/>
      <c r="GI620" s="199"/>
      <c r="GJ620" s="199"/>
      <c r="GK620" s="199"/>
      <c r="GO620" s="322"/>
      <c r="GP620" s="1190"/>
      <c r="GQ620" s="1190"/>
      <c r="GS620" s="2879"/>
      <c r="GT620" s="2880"/>
      <c r="GU620" s="2881"/>
    </row>
    <row r="621" spans="1:203" ht="12" customHeight="1">
      <c r="A621" s="1252"/>
      <c r="B621" s="200"/>
      <c r="C621" s="486"/>
      <c r="T621" s="1186"/>
      <c r="U621" s="233"/>
      <c r="W621" s="218"/>
      <c r="X621" s="218"/>
      <c r="Y621" s="216"/>
      <c r="Z621" s="216"/>
      <c r="AA621" s="215"/>
      <c r="AB621" s="216"/>
      <c r="AC621" s="216"/>
      <c r="AD621" s="239"/>
      <c r="AE621" s="216"/>
      <c r="AF621" s="216"/>
      <c r="AG621" s="216"/>
      <c r="AH621" s="216"/>
      <c r="AI621" s="216"/>
      <c r="AJ621" s="216"/>
      <c r="AK621" s="239"/>
      <c r="AL621" s="216"/>
      <c r="AM621" s="216"/>
      <c r="AN621" s="216"/>
      <c r="AO621" s="216"/>
      <c r="AP621" s="216"/>
      <c r="AQ621" s="216"/>
      <c r="AR621" s="216"/>
      <c r="AS621" s="216"/>
      <c r="AT621" s="216"/>
      <c r="AU621" s="216"/>
      <c r="AV621" s="217"/>
      <c r="AW621" s="355"/>
      <c r="AX621" s="217"/>
      <c r="AY621" s="305"/>
      <c r="AZ621" s="249"/>
      <c r="BA621" s="221"/>
      <c r="BB621" s="300"/>
      <c r="BC621" s="217"/>
      <c r="BD621" s="392"/>
      <c r="BE621" s="1244"/>
      <c r="BF621" s="249"/>
      <c r="BG621" s="252"/>
      <c r="BH621" s="1469"/>
      <c r="BI621" s="216"/>
      <c r="BJ621" s="1469"/>
      <c r="BK621" s="1459"/>
      <c r="BL621" s="260"/>
      <c r="BM621" s="214"/>
      <c r="BN621" s="293"/>
      <c r="BO621" s="217"/>
      <c r="BP621" s="355"/>
      <c r="BQ621" s="217"/>
      <c r="BR621" s="1193"/>
      <c r="BS621" s="249"/>
      <c r="BT621" s="216"/>
      <c r="BU621" s="1195"/>
      <c r="BV621" s="249"/>
      <c r="BW621" s="216"/>
      <c r="BX621" s="1195"/>
      <c r="BY621" s="249"/>
      <c r="BZ621" s="216"/>
      <c r="CA621" s="1195"/>
      <c r="CB621" s="249"/>
      <c r="CC621" s="216"/>
      <c r="CD621" s="1195"/>
      <c r="CE621" s="249"/>
      <c r="CF621" s="216"/>
      <c r="CG621" s="1195"/>
      <c r="CH621" s="249"/>
      <c r="CI621" s="216"/>
      <c r="CJ621" s="1195"/>
      <c r="CK621" s="249"/>
      <c r="CL621" s="216"/>
      <c r="CM621" s="1194"/>
      <c r="CN621" s="1524"/>
      <c r="CO621" s="217"/>
      <c r="CP621" s="1193"/>
      <c r="CQ621" s="293"/>
      <c r="CR621" s="217"/>
      <c r="CS621" s="305"/>
      <c r="CT621" s="249"/>
      <c r="CU621" s="216"/>
      <c r="CV621" s="1193"/>
      <c r="CW621" s="249"/>
      <c r="CX621" s="216"/>
      <c r="CY621" s="305"/>
      <c r="CZ621" s="249"/>
      <c r="DA621" s="216"/>
      <c r="DB621" s="307"/>
      <c r="DC621" s="328"/>
      <c r="DD621" s="322"/>
      <c r="DE621" s="305"/>
      <c r="DF621" s="249"/>
      <c r="DG621" s="216"/>
      <c r="DH621" s="305"/>
      <c r="DI621" s="249"/>
      <c r="DJ621" s="216"/>
      <c r="DK621" s="309"/>
      <c r="DL621" s="293"/>
      <c r="DM621" s="326"/>
      <c r="DN621" s="1256"/>
      <c r="DO621" s="214"/>
      <c r="DP621" s="1257"/>
      <c r="DQ621" s="1258"/>
      <c r="DR621" s="305"/>
      <c r="DS621" s="249"/>
      <c r="DT621" s="216"/>
      <c r="DU621" s="305"/>
      <c r="DV621" s="2520"/>
      <c r="DW621" s="2521"/>
      <c r="DX621" s="305"/>
      <c r="DY621" s="249"/>
      <c r="DZ621" s="221"/>
      <c r="EA621" s="388"/>
      <c r="EB621" s="249"/>
      <c r="EC621" s="216"/>
      <c r="ED621" s="1461"/>
      <c r="EE621" s="249"/>
      <c r="EF621" s="216"/>
      <c r="EG621" s="355"/>
      <c r="EH621" s="1425"/>
      <c r="EI621" s="1470"/>
      <c r="EJ621" s="249"/>
      <c r="EK621" s="221"/>
      <c r="EL621" s="313"/>
      <c r="EM621" s="249"/>
      <c r="EN621" s="221"/>
      <c r="EO621" s="313"/>
      <c r="EP621" s="249"/>
      <c r="EQ621" s="216"/>
      <c r="ER621" s="313"/>
      <c r="ES621" s="249"/>
      <c r="ET621" s="216"/>
      <c r="EU621" s="313"/>
      <c r="EV621" s="249"/>
      <c r="EW621" s="216"/>
      <c r="EX621" s="2505"/>
      <c r="EY621" s="249"/>
      <c r="EZ621" s="221"/>
      <c r="FA621" s="313"/>
      <c r="FB621" s="249"/>
      <c r="FC621" s="221"/>
      <c r="FD621" s="313"/>
      <c r="FE621" s="249"/>
      <c r="FF621" s="221"/>
      <c r="FG621" s="313"/>
      <c r="FH621" s="249"/>
      <c r="FI621" s="216"/>
      <c r="FJ621" s="1435"/>
      <c r="FK621" s="216"/>
      <c r="FL621" s="1268"/>
      <c r="FM621" s="1655"/>
      <c r="FN621" s="1268"/>
      <c r="FO621" s="1655"/>
      <c r="FP621" s="1268"/>
      <c r="FQ621" s="1656"/>
      <c r="FR621" s="249"/>
      <c r="FS621" s="216"/>
      <c r="FT621" s="1657"/>
      <c r="FU621" s="1658"/>
      <c r="FV621" s="242"/>
      <c r="FW621" s="343"/>
      <c r="FX621" s="222"/>
      <c r="FY621" s="336"/>
      <c r="FZ621" s="223"/>
      <c r="GA621" s="338"/>
      <c r="GB621" s="204"/>
      <c r="GC621" s="339"/>
      <c r="GD621" s="342"/>
      <c r="GE621" s="199"/>
      <c r="GF621" s="199"/>
      <c r="GG621" s="199"/>
      <c r="GH621" s="199"/>
      <c r="GI621" s="199"/>
      <c r="GJ621" s="199"/>
      <c r="GK621" s="199"/>
      <c r="GO621" s="322"/>
      <c r="GP621" s="1190"/>
      <c r="GQ621" s="1190"/>
      <c r="GS621" s="2879"/>
      <c r="GT621" s="2880"/>
      <c r="GU621" s="2881"/>
    </row>
    <row r="622" spans="1:203" ht="12" customHeight="1">
      <c r="A622" s="1252"/>
      <c r="B622" s="200"/>
      <c r="C622" s="486"/>
      <c r="T622" s="1186"/>
      <c r="U622" s="233"/>
      <c r="W622" s="218"/>
      <c r="X622" s="218"/>
      <c r="Y622" s="216"/>
      <c r="Z622" s="216"/>
      <c r="AA622" s="215"/>
      <c r="AB622" s="216"/>
      <c r="AC622" s="216"/>
      <c r="AD622" s="239"/>
      <c r="AE622" s="216"/>
      <c r="AF622" s="216"/>
      <c r="AG622" s="216"/>
      <c r="AH622" s="216"/>
      <c r="AI622" s="216"/>
      <c r="AJ622" s="216"/>
      <c r="AK622" s="239"/>
      <c r="AL622" s="216"/>
      <c r="AM622" s="216"/>
      <c r="AN622" s="216"/>
      <c r="AO622" s="216"/>
      <c r="AP622" s="216"/>
      <c r="AQ622" s="216"/>
      <c r="AR622" s="216"/>
      <c r="AS622" s="216"/>
      <c r="AT622" s="216"/>
      <c r="AU622" s="216"/>
      <c r="AV622" s="217"/>
      <c r="AW622" s="355"/>
      <c r="AX622" s="217"/>
      <c r="AY622" s="305"/>
      <c r="AZ622" s="249"/>
      <c r="BA622" s="221"/>
      <c r="BB622" s="300"/>
      <c r="BC622" s="217"/>
      <c r="BD622" s="392"/>
      <c r="BE622" s="1244"/>
      <c r="BF622" s="249"/>
      <c r="BG622" s="252"/>
      <c r="BH622" s="1469"/>
      <c r="BI622" s="216"/>
      <c r="BJ622" s="1469"/>
      <c r="BK622" s="1459"/>
      <c r="BL622" s="260"/>
      <c r="BM622" s="214"/>
      <c r="BN622" s="293"/>
      <c r="BO622" s="217"/>
      <c r="BP622" s="355"/>
      <c r="BQ622" s="217"/>
      <c r="BR622" s="1193"/>
      <c r="BS622" s="249"/>
      <c r="BT622" s="216"/>
      <c r="BU622" s="1195"/>
      <c r="BV622" s="249"/>
      <c r="BW622" s="216"/>
      <c r="BX622" s="1195"/>
      <c r="BY622" s="249"/>
      <c r="BZ622" s="216"/>
      <c r="CA622" s="1195"/>
      <c r="CB622" s="249"/>
      <c r="CC622" s="216"/>
      <c r="CD622" s="1195"/>
      <c r="CE622" s="249"/>
      <c r="CF622" s="216"/>
      <c r="CG622" s="1195"/>
      <c r="CH622" s="249"/>
      <c r="CI622" s="216"/>
      <c r="CJ622" s="1195"/>
      <c r="CK622" s="249"/>
      <c r="CL622" s="216"/>
      <c r="CM622" s="1194"/>
      <c r="CN622" s="1524"/>
      <c r="CO622" s="217"/>
      <c r="CP622" s="1193"/>
      <c r="CQ622" s="293"/>
      <c r="CR622" s="217"/>
      <c r="CS622" s="305"/>
      <c r="CT622" s="249"/>
      <c r="CU622" s="216"/>
      <c r="CV622" s="1193"/>
      <c r="CW622" s="249"/>
      <c r="CX622" s="216"/>
      <c r="CY622" s="305"/>
      <c r="CZ622" s="249"/>
      <c r="DA622" s="216"/>
      <c r="DB622" s="307"/>
      <c r="DC622" s="328"/>
      <c r="DD622" s="322"/>
      <c r="DE622" s="305"/>
      <c r="DF622" s="249"/>
      <c r="DG622" s="216"/>
      <c r="DH622" s="305"/>
      <c r="DI622" s="249"/>
      <c r="DJ622" s="216"/>
      <c r="DK622" s="309"/>
      <c r="DL622" s="293"/>
      <c r="DM622" s="326"/>
      <c r="DN622" s="1256"/>
      <c r="DO622" s="214"/>
      <c r="DP622" s="1257"/>
      <c r="DQ622" s="1258"/>
      <c r="DR622" s="305"/>
      <c r="DS622" s="249"/>
      <c r="DT622" s="216"/>
      <c r="DU622" s="305"/>
      <c r="DV622" s="2520"/>
      <c r="DW622" s="2521"/>
      <c r="DX622" s="305"/>
      <c r="DY622" s="249"/>
      <c r="DZ622" s="221"/>
      <c r="EA622" s="388"/>
      <c r="EB622" s="249"/>
      <c r="EC622" s="216"/>
      <c r="ED622" s="1461"/>
      <c r="EE622" s="249"/>
      <c r="EF622" s="216"/>
      <c r="EG622" s="355"/>
      <c r="EH622" s="1425"/>
      <c r="EI622" s="1470"/>
      <c r="EJ622" s="249"/>
      <c r="EK622" s="221"/>
      <c r="EL622" s="313"/>
      <c r="EM622" s="249"/>
      <c r="EN622" s="221"/>
      <c r="EO622" s="313"/>
      <c r="EP622" s="249"/>
      <c r="EQ622" s="216"/>
      <c r="ER622" s="313"/>
      <c r="ES622" s="249"/>
      <c r="ET622" s="216"/>
      <c r="EU622" s="313"/>
      <c r="EV622" s="249"/>
      <c r="EW622" s="216"/>
      <c r="EX622" s="2505"/>
      <c r="EY622" s="249"/>
      <c r="EZ622" s="221"/>
      <c r="FA622" s="313"/>
      <c r="FB622" s="249"/>
      <c r="FC622" s="221"/>
      <c r="FD622" s="313"/>
      <c r="FE622" s="249"/>
      <c r="FF622" s="221"/>
      <c r="FG622" s="313"/>
      <c r="FH622" s="249"/>
      <c r="FI622" s="216"/>
      <c r="FJ622" s="1435"/>
      <c r="FK622" s="216"/>
      <c r="FL622" s="1268"/>
      <c r="FM622" s="1655"/>
      <c r="FN622" s="1268"/>
      <c r="FO622" s="1655"/>
      <c r="FP622" s="1268"/>
      <c r="FQ622" s="1656"/>
      <c r="FR622" s="249"/>
      <c r="FS622" s="216"/>
      <c r="FT622" s="1657"/>
      <c r="FU622" s="1658"/>
      <c r="FV622" s="242"/>
      <c r="FW622" s="343"/>
      <c r="FX622" s="222"/>
      <c r="FY622" s="336"/>
      <c r="FZ622" s="223"/>
      <c r="GA622" s="338"/>
      <c r="GB622" s="204"/>
      <c r="GC622" s="339"/>
      <c r="GD622" s="342"/>
      <c r="GE622" s="199"/>
      <c r="GF622" s="199"/>
      <c r="GG622" s="199"/>
      <c r="GH622" s="199"/>
      <c r="GI622" s="199"/>
      <c r="GJ622" s="199"/>
      <c r="GK622" s="199"/>
      <c r="GO622" s="322"/>
      <c r="GP622" s="1190"/>
      <c r="GQ622" s="1190"/>
      <c r="GS622" s="2879"/>
      <c r="GT622" s="2880"/>
      <c r="GU622" s="2881"/>
    </row>
    <row r="623" spans="1:203" ht="12" customHeight="1">
      <c r="A623" s="1252"/>
      <c r="B623" s="200"/>
      <c r="C623" s="486"/>
      <c r="T623" s="1186"/>
      <c r="U623" s="233"/>
      <c r="W623" s="218"/>
      <c r="X623" s="218"/>
      <c r="Y623" s="216"/>
      <c r="Z623" s="216"/>
      <c r="AA623" s="215"/>
      <c r="AB623" s="216"/>
      <c r="AC623" s="216"/>
      <c r="AD623" s="239"/>
      <c r="AE623" s="216"/>
      <c r="AF623" s="216"/>
      <c r="AG623" s="216"/>
      <c r="AH623" s="216"/>
      <c r="AI623" s="216"/>
      <c r="AJ623" s="216"/>
      <c r="AK623" s="239"/>
      <c r="AL623" s="216"/>
      <c r="AM623" s="216"/>
      <c r="AN623" s="216"/>
      <c r="AO623" s="216"/>
      <c r="AP623" s="216"/>
      <c r="AQ623" s="216"/>
      <c r="AR623" s="216"/>
      <c r="AS623" s="216"/>
      <c r="AT623" s="216"/>
      <c r="AU623" s="216"/>
      <c r="AV623" s="217"/>
      <c r="AW623" s="355"/>
      <c r="AX623" s="217"/>
      <c r="AY623" s="305"/>
      <c r="AZ623" s="249"/>
      <c r="BA623" s="221"/>
      <c r="BB623" s="300"/>
      <c r="BC623" s="217"/>
      <c r="BD623" s="392"/>
      <c r="BE623" s="1244"/>
      <c r="BF623" s="249"/>
      <c r="BG623" s="252"/>
      <c r="BH623" s="1469"/>
      <c r="BI623" s="216"/>
      <c r="BJ623" s="1469"/>
      <c r="BK623" s="1459"/>
      <c r="BL623" s="260"/>
      <c r="BM623" s="214"/>
      <c r="BN623" s="293"/>
      <c r="BO623" s="217"/>
      <c r="BP623" s="355"/>
      <c r="BQ623" s="217"/>
      <c r="BR623" s="1193"/>
      <c r="BS623" s="249"/>
      <c r="BT623" s="216"/>
      <c r="BU623" s="1195"/>
      <c r="BV623" s="249"/>
      <c r="BW623" s="216"/>
      <c r="BX623" s="1195"/>
      <c r="BY623" s="249"/>
      <c r="BZ623" s="216"/>
      <c r="CA623" s="1195"/>
      <c r="CB623" s="249"/>
      <c r="CC623" s="216"/>
      <c r="CD623" s="1195"/>
      <c r="CE623" s="249"/>
      <c r="CF623" s="216"/>
      <c r="CG623" s="1195"/>
      <c r="CH623" s="249"/>
      <c r="CI623" s="216"/>
      <c r="CJ623" s="1195"/>
      <c r="CK623" s="249"/>
      <c r="CL623" s="216"/>
      <c r="CM623" s="1194"/>
      <c r="CN623" s="1524"/>
      <c r="CO623" s="217"/>
      <c r="CP623" s="1193"/>
      <c r="CQ623" s="293"/>
      <c r="CR623" s="217"/>
      <c r="CS623" s="305"/>
      <c r="CT623" s="249"/>
      <c r="CU623" s="216"/>
      <c r="CV623" s="1193"/>
      <c r="CW623" s="249"/>
      <c r="CX623" s="216"/>
      <c r="CY623" s="305"/>
      <c r="CZ623" s="249"/>
      <c r="DA623" s="216"/>
      <c r="DB623" s="307"/>
      <c r="DC623" s="328"/>
      <c r="DD623" s="322"/>
      <c r="DE623" s="305"/>
      <c r="DF623" s="249"/>
      <c r="DG623" s="216"/>
      <c r="DH623" s="305"/>
      <c r="DI623" s="249"/>
      <c r="DJ623" s="216"/>
      <c r="DK623" s="309"/>
      <c r="DL623" s="293"/>
      <c r="DM623" s="326"/>
      <c r="DN623" s="1256"/>
      <c r="DO623" s="214"/>
      <c r="DP623" s="1257"/>
      <c r="DQ623" s="1258"/>
      <c r="DR623" s="305"/>
      <c r="DS623" s="249"/>
      <c r="DT623" s="216"/>
      <c r="DU623" s="305"/>
      <c r="DV623" s="2520"/>
      <c r="DW623" s="2521"/>
      <c r="DX623" s="305"/>
      <c r="DY623" s="249"/>
      <c r="DZ623" s="221"/>
      <c r="EA623" s="388"/>
      <c r="EB623" s="249"/>
      <c r="EC623" s="216"/>
      <c r="ED623" s="1461"/>
      <c r="EE623" s="249"/>
      <c r="EF623" s="216"/>
      <c r="EG623" s="355"/>
      <c r="EH623" s="1425"/>
      <c r="EI623" s="1470"/>
      <c r="EJ623" s="249"/>
      <c r="EK623" s="221"/>
      <c r="EL623" s="313"/>
      <c r="EM623" s="249"/>
      <c r="EN623" s="221"/>
      <c r="EO623" s="313"/>
      <c r="EP623" s="249"/>
      <c r="EQ623" s="216"/>
      <c r="ER623" s="313"/>
      <c r="ES623" s="249"/>
      <c r="ET623" s="216"/>
      <c r="EU623" s="313"/>
      <c r="EV623" s="249"/>
      <c r="EW623" s="216"/>
      <c r="EX623" s="2505"/>
      <c r="EY623" s="249"/>
      <c r="EZ623" s="221"/>
      <c r="FA623" s="313"/>
      <c r="FB623" s="249"/>
      <c r="FC623" s="221"/>
      <c r="FD623" s="313"/>
      <c r="FE623" s="249"/>
      <c r="FF623" s="221"/>
      <c r="FG623" s="313"/>
      <c r="FH623" s="249"/>
      <c r="FI623" s="216"/>
      <c r="FJ623" s="1435"/>
      <c r="FK623" s="216"/>
      <c r="FL623" s="1268"/>
      <c r="FM623" s="1655"/>
      <c r="FN623" s="1268"/>
      <c r="FO623" s="1655"/>
      <c r="FP623" s="1268"/>
      <c r="FQ623" s="1656"/>
      <c r="FR623" s="249"/>
      <c r="FS623" s="216"/>
      <c r="FT623" s="1657"/>
      <c r="FU623" s="1658"/>
      <c r="FV623" s="242"/>
      <c r="FW623" s="343"/>
      <c r="FX623" s="222"/>
      <c r="FY623" s="336"/>
      <c r="FZ623" s="223"/>
      <c r="GA623" s="338"/>
      <c r="GB623" s="204"/>
      <c r="GC623" s="339"/>
      <c r="GD623" s="342"/>
      <c r="GE623" s="199"/>
      <c r="GF623" s="199"/>
      <c r="GG623" s="199"/>
      <c r="GH623" s="199"/>
      <c r="GI623" s="199"/>
      <c r="GJ623" s="199"/>
      <c r="GK623" s="199"/>
      <c r="GO623" s="322"/>
      <c r="GP623" s="1190"/>
      <c r="GQ623" s="1190"/>
      <c r="GS623" s="2879"/>
      <c r="GT623" s="2880"/>
      <c r="GU623" s="2881"/>
    </row>
    <row r="624" spans="1:203" ht="12" customHeight="1">
      <c r="A624" s="1252"/>
      <c r="B624" s="200"/>
      <c r="C624" s="486"/>
      <c r="T624" s="1186"/>
      <c r="U624" s="233"/>
      <c r="W624" s="218"/>
      <c r="X624" s="218"/>
      <c r="Y624" s="216"/>
      <c r="Z624" s="216"/>
      <c r="AA624" s="215"/>
      <c r="AB624" s="216"/>
      <c r="AC624" s="216"/>
      <c r="AD624" s="239"/>
      <c r="AE624" s="216"/>
      <c r="AF624" s="216"/>
      <c r="AG624" s="216"/>
      <c r="AH624" s="216"/>
      <c r="AI624" s="216"/>
      <c r="AJ624" s="216"/>
      <c r="AK624" s="239"/>
      <c r="AL624" s="216"/>
      <c r="AM624" s="216"/>
      <c r="AN624" s="216"/>
      <c r="AO624" s="216"/>
      <c r="AP624" s="216"/>
      <c r="AQ624" s="216"/>
      <c r="AR624" s="216"/>
      <c r="AS624" s="216"/>
      <c r="AT624" s="216"/>
      <c r="AU624" s="216"/>
      <c r="AV624" s="217"/>
      <c r="AW624" s="355"/>
      <c r="AX624" s="217"/>
      <c r="AY624" s="305"/>
      <c r="AZ624" s="249"/>
      <c r="BA624" s="221"/>
      <c r="BB624" s="300"/>
      <c r="BC624" s="217"/>
      <c r="BD624" s="392"/>
      <c r="BE624" s="1244"/>
      <c r="BF624" s="249"/>
      <c r="BG624" s="252"/>
      <c r="BH624" s="1469"/>
      <c r="BI624" s="216"/>
      <c r="BJ624" s="1469"/>
      <c r="BK624" s="1459"/>
      <c r="BL624" s="260"/>
      <c r="BM624" s="214"/>
      <c r="BN624" s="293"/>
      <c r="BO624" s="217"/>
      <c r="BP624" s="355"/>
      <c r="BQ624" s="217"/>
      <c r="BR624" s="1193"/>
      <c r="BS624" s="249"/>
      <c r="BT624" s="216"/>
      <c r="BU624" s="1195"/>
      <c r="BV624" s="249"/>
      <c r="BW624" s="216"/>
      <c r="BX624" s="1195"/>
      <c r="BY624" s="249"/>
      <c r="BZ624" s="216"/>
      <c r="CA624" s="1195"/>
      <c r="CB624" s="249"/>
      <c r="CC624" s="216"/>
      <c r="CD624" s="1195"/>
      <c r="CE624" s="249"/>
      <c r="CF624" s="216"/>
      <c r="CG624" s="1195"/>
      <c r="CH624" s="249"/>
      <c r="CI624" s="216"/>
      <c r="CJ624" s="1195"/>
      <c r="CK624" s="249"/>
      <c r="CL624" s="216"/>
      <c r="CM624" s="1194"/>
      <c r="CN624" s="1524"/>
      <c r="CO624" s="217"/>
      <c r="CP624" s="1193"/>
      <c r="CQ624" s="293"/>
      <c r="CR624" s="217"/>
      <c r="CS624" s="305"/>
      <c r="CT624" s="249"/>
      <c r="CU624" s="216"/>
      <c r="CV624" s="1193"/>
      <c r="CW624" s="249"/>
      <c r="CX624" s="216"/>
      <c r="CY624" s="305"/>
      <c r="CZ624" s="249"/>
      <c r="DA624" s="216"/>
      <c r="DB624" s="307"/>
      <c r="DC624" s="328"/>
      <c r="DD624" s="322"/>
      <c r="DE624" s="305"/>
      <c r="DF624" s="249"/>
      <c r="DG624" s="216"/>
      <c r="DH624" s="305"/>
      <c r="DI624" s="249"/>
      <c r="DJ624" s="216"/>
      <c r="DK624" s="309"/>
      <c r="DL624" s="293"/>
      <c r="DM624" s="326"/>
      <c r="DN624" s="1256"/>
      <c r="DO624" s="214"/>
      <c r="DP624" s="1257"/>
      <c r="DQ624" s="1258"/>
      <c r="DR624" s="305"/>
      <c r="DS624" s="249"/>
      <c r="DT624" s="216"/>
      <c r="DU624" s="305"/>
      <c r="DV624" s="2520"/>
      <c r="DW624" s="2521"/>
      <c r="DX624" s="305"/>
      <c r="DY624" s="249"/>
      <c r="DZ624" s="221"/>
      <c r="EA624" s="388"/>
      <c r="EB624" s="249"/>
      <c r="EC624" s="216"/>
      <c r="ED624" s="1461"/>
      <c r="EE624" s="249"/>
      <c r="EF624" s="216"/>
      <c r="EG624" s="355"/>
      <c r="EH624" s="1425"/>
      <c r="EI624" s="1470"/>
      <c r="EJ624" s="249"/>
      <c r="EK624" s="221"/>
      <c r="EL624" s="313"/>
      <c r="EM624" s="249"/>
      <c r="EN624" s="221"/>
      <c r="EO624" s="313"/>
      <c r="EP624" s="249"/>
      <c r="EQ624" s="216"/>
      <c r="ER624" s="313"/>
      <c r="ES624" s="249"/>
      <c r="ET624" s="216"/>
      <c r="EU624" s="313"/>
      <c r="EV624" s="249"/>
      <c r="EW624" s="216"/>
      <c r="EX624" s="2505"/>
      <c r="EY624" s="249"/>
      <c r="EZ624" s="221"/>
      <c r="FA624" s="313"/>
      <c r="FB624" s="249"/>
      <c r="FC624" s="221"/>
      <c r="FD624" s="313"/>
      <c r="FE624" s="249"/>
      <c r="FF624" s="221"/>
      <c r="FG624" s="313"/>
      <c r="FH624" s="249"/>
      <c r="FI624" s="216"/>
      <c r="FJ624" s="1435"/>
      <c r="FK624" s="216"/>
      <c r="FL624" s="1268"/>
      <c r="FM624" s="1655"/>
      <c r="FN624" s="1268"/>
      <c r="FO624" s="1655"/>
      <c r="FP624" s="1268"/>
      <c r="FQ624" s="1656"/>
      <c r="FR624" s="249"/>
      <c r="FS624" s="216"/>
      <c r="FT624" s="1657"/>
      <c r="FU624" s="1658"/>
      <c r="FV624" s="242"/>
      <c r="FW624" s="343"/>
      <c r="FX624" s="222"/>
      <c r="FY624" s="336"/>
      <c r="FZ624" s="223"/>
      <c r="GA624" s="338"/>
      <c r="GB624" s="204"/>
      <c r="GC624" s="339"/>
      <c r="GD624" s="342"/>
      <c r="GE624" s="199"/>
      <c r="GF624" s="199"/>
      <c r="GG624" s="199"/>
      <c r="GH624" s="199"/>
      <c r="GI624" s="199"/>
      <c r="GJ624" s="199"/>
      <c r="GK624" s="199"/>
      <c r="GO624" s="322"/>
      <c r="GP624" s="1190"/>
      <c r="GQ624" s="1190"/>
      <c r="GS624" s="2879"/>
      <c r="GT624" s="2880"/>
      <c r="GU624" s="2881"/>
    </row>
    <row r="625" spans="1:203" ht="12" customHeight="1">
      <c r="A625" s="1252"/>
      <c r="B625" s="200"/>
      <c r="C625" s="486"/>
      <c r="T625" s="1186"/>
      <c r="U625" s="233"/>
      <c r="W625" s="218"/>
      <c r="X625" s="218"/>
      <c r="Y625" s="216"/>
      <c r="Z625" s="216"/>
      <c r="AA625" s="215"/>
      <c r="AB625" s="216"/>
      <c r="AC625" s="216"/>
      <c r="AD625" s="239"/>
      <c r="AE625" s="216"/>
      <c r="AF625" s="216"/>
      <c r="AG625" s="216"/>
      <c r="AH625" s="216"/>
      <c r="AI625" s="216"/>
      <c r="AJ625" s="216"/>
      <c r="AK625" s="239"/>
      <c r="AL625" s="216"/>
      <c r="AM625" s="216"/>
      <c r="AN625" s="216"/>
      <c r="AO625" s="216"/>
      <c r="AP625" s="216"/>
      <c r="AQ625" s="216"/>
      <c r="AR625" s="216"/>
      <c r="AS625" s="216"/>
      <c r="AT625" s="216"/>
      <c r="AU625" s="216"/>
      <c r="AV625" s="217"/>
      <c r="AW625" s="355"/>
      <c r="AX625" s="217"/>
      <c r="AY625" s="305"/>
      <c r="AZ625" s="249"/>
      <c r="BA625" s="221"/>
      <c r="BB625" s="300"/>
      <c r="BC625" s="217"/>
      <c r="BD625" s="392"/>
      <c r="BE625" s="1244"/>
      <c r="BF625" s="249"/>
      <c r="BG625" s="252"/>
      <c r="BH625" s="1469"/>
      <c r="BI625" s="216"/>
      <c r="BJ625" s="1469"/>
      <c r="BK625" s="1459"/>
      <c r="BL625" s="260"/>
      <c r="BM625" s="214"/>
      <c r="BN625" s="293"/>
      <c r="BO625" s="217"/>
      <c r="BP625" s="355"/>
      <c r="BQ625" s="217"/>
      <c r="BR625" s="1193"/>
      <c r="BS625" s="249"/>
      <c r="BT625" s="216"/>
      <c r="BU625" s="1195"/>
      <c r="BV625" s="249"/>
      <c r="BW625" s="216"/>
      <c r="BX625" s="1195"/>
      <c r="BY625" s="249"/>
      <c r="BZ625" s="216"/>
      <c r="CA625" s="1195"/>
      <c r="CB625" s="249"/>
      <c r="CC625" s="216"/>
      <c r="CD625" s="1195"/>
      <c r="CE625" s="249"/>
      <c r="CF625" s="216"/>
      <c r="CG625" s="1195"/>
      <c r="CH625" s="249"/>
      <c r="CI625" s="216"/>
      <c r="CJ625" s="1195"/>
      <c r="CK625" s="249"/>
      <c r="CL625" s="216"/>
      <c r="CM625" s="1194"/>
      <c r="CN625" s="1524"/>
      <c r="CO625" s="217"/>
      <c r="CP625" s="1193"/>
      <c r="CQ625" s="293"/>
      <c r="CR625" s="217"/>
      <c r="CS625" s="305"/>
      <c r="CT625" s="249"/>
      <c r="CU625" s="216"/>
      <c r="CV625" s="1193"/>
      <c r="CW625" s="249"/>
      <c r="CX625" s="216"/>
      <c r="CY625" s="305"/>
      <c r="CZ625" s="249"/>
      <c r="DA625" s="216"/>
      <c r="DB625" s="307"/>
      <c r="DC625" s="328"/>
      <c r="DD625" s="322"/>
      <c r="DE625" s="305"/>
      <c r="DF625" s="249"/>
      <c r="DG625" s="216"/>
      <c r="DH625" s="305"/>
      <c r="DI625" s="249"/>
      <c r="DJ625" s="216"/>
      <c r="DK625" s="309"/>
      <c r="DL625" s="293"/>
      <c r="DM625" s="326"/>
      <c r="DN625" s="1256"/>
      <c r="DO625" s="214"/>
      <c r="DP625" s="1257"/>
      <c r="DQ625" s="1258"/>
      <c r="DR625" s="305"/>
      <c r="DS625" s="249"/>
      <c r="DT625" s="216"/>
      <c r="DU625" s="305"/>
      <c r="DV625" s="2520"/>
      <c r="DW625" s="2521"/>
      <c r="DX625" s="305"/>
      <c r="DY625" s="249"/>
      <c r="DZ625" s="221"/>
      <c r="EA625" s="388"/>
      <c r="EB625" s="249"/>
      <c r="EC625" s="216"/>
      <c r="ED625" s="1461"/>
      <c r="EE625" s="249"/>
      <c r="EF625" s="216"/>
      <c r="EG625" s="355"/>
      <c r="EH625" s="1425"/>
      <c r="EI625" s="1470"/>
      <c r="EJ625" s="249"/>
      <c r="EK625" s="221"/>
      <c r="EL625" s="313"/>
      <c r="EM625" s="249"/>
      <c r="EN625" s="221"/>
      <c r="EO625" s="313"/>
      <c r="EP625" s="249"/>
      <c r="EQ625" s="216"/>
      <c r="ER625" s="313"/>
      <c r="ES625" s="249"/>
      <c r="ET625" s="216"/>
      <c r="EU625" s="313"/>
      <c r="EV625" s="249"/>
      <c r="EW625" s="216"/>
      <c r="EX625" s="2505"/>
      <c r="EY625" s="249"/>
      <c r="EZ625" s="221"/>
      <c r="FA625" s="313"/>
      <c r="FB625" s="249"/>
      <c r="FC625" s="221"/>
      <c r="FD625" s="313"/>
      <c r="FE625" s="249"/>
      <c r="FF625" s="221"/>
      <c r="FG625" s="313"/>
      <c r="FH625" s="249"/>
      <c r="FI625" s="216"/>
      <c r="FJ625" s="1435"/>
      <c r="FK625" s="216"/>
      <c r="FL625" s="1268"/>
      <c r="FM625" s="1655"/>
      <c r="FN625" s="1268"/>
      <c r="FO625" s="1655"/>
      <c r="FP625" s="1268"/>
      <c r="FQ625" s="1656"/>
      <c r="FR625" s="249"/>
      <c r="FS625" s="216"/>
      <c r="FT625" s="1657"/>
      <c r="FU625" s="1658"/>
      <c r="FV625" s="242"/>
      <c r="FW625" s="343"/>
      <c r="FX625" s="222"/>
      <c r="FY625" s="336"/>
      <c r="FZ625" s="223"/>
      <c r="GA625" s="338"/>
      <c r="GB625" s="204"/>
      <c r="GC625" s="339"/>
      <c r="GD625" s="342"/>
      <c r="GE625" s="199"/>
      <c r="GF625" s="199"/>
      <c r="GG625" s="199"/>
      <c r="GH625" s="199"/>
      <c r="GI625" s="199"/>
      <c r="GJ625" s="199"/>
      <c r="GK625" s="199"/>
      <c r="GO625" s="322"/>
      <c r="GP625" s="1190"/>
      <c r="GQ625" s="1190"/>
      <c r="GS625" s="2879"/>
      <c r="GT625" s="2880"/>
      <c r="GU625" s="2881"/>
    </row>
    <row r="626" spans="1:203" ht="12" customHeight="1">
      <c r="A626" s="1252"/>
      <c r="B626" s="200"/>
      <c r="C626" s="486"/>
      <c r="T626" s="1186"/>
      <c r="U626" s="233"/>
      <c r="W626" s="218"/>
      <c r="X626" s="218"/>
      <c r="Y626" s="216"/>
      <c r="Z626" s="216"/>
      <c r="AA626" s="215"/>
      <c r="AB626" s="216"/>
      <c r="AC626" s="216"/>
      <c r="AD626" s="239"/>
      <c r="AE626" s="216"/>
      <c r="AF626" s="216"/>
      <c r="AG626" s="216"/>
      <c r="AH626" s="216"/>
      <c r="AI626" s="216"/>
      <c r="AJ626" s="216"/>
      <c r="AK626" s="239"/>
      <c r="AL626" s="216"/>
      <c r="AM626" s="216"/>
      <c r="AN626" s="216"/>
      <c r="AO626" s="216"/>
      <c r="AP626" s="216"/>
      <c r="AQ626" s="216"/>
      <c r="AR626" s="216"/>
      <c r="AS626" s="216"/>
      <c r="AT626" s="216"/>
      <c r="AU626" s="216"/>
      <c r="AV626" s="217"/>
      <c r="AW626" s="355"/>
      <c r="AX626" s="217"/>
      <c r="AY626" s="305"/>
      <c r="AZ626" s="249"/>
      <c r="BA626" s="221"/>
      <c r="BB626" s="300"/>
      <c r="BC626" s="217"/>
      <c r="BD626" s="392"/>
      <c r="BE626" s="1244"/>
      <c r="BF626" s="249"/>
      <c r="BG626" s="252"/>
      <c r="BH626" s="1469"/>
      <c r="BI626" s="216"/>
      <c r="BJ626" s="1469"/>
      <c r="BK626" s="1459"/>
      <c r="BL626" s="260"/>
      <c r="BM626" s="214"/>
      <c r="BN626" s="293"/>
      <c r="BO626" s="217"/>
      <c r="BP626" s="355"/>
      <c r="BQ626" s="217"/>
      <c r="BR626" s="1193"/>
      <c r="BS626" s="249"/>
      <c r="BT626" s="216"/>
      <c r="BU626" s="1195"/>
      <c r="BV626" s="249"/>
      <c r="BW626" s="216"/>
      <c r="BX626" s="1195"/>
      <c r="BY626" s="249"/>
      <c r="BZ626" s="216"/>
      <c r="CA626" s="1195"/>
      <c r="CB626" s="249"/>
      <c r="CC626" s="216"/>
      <c r="CD626" s="1195"/>
      <c r="CE626" s="249"/>
      <c r="CF626" s="216"/>
      <c r="CG626" s="1195"/>
      <c r="CH626" s="249"/>
      <c r="CI626" s="216"/>
      <c r="CJ626" s="1195"/>
      <c r="CK626" s="249"/>
      <c r="CL626" s="216"/>
      <c r="CM626" s="1194"/>
      <c r="CN626" s="1524"/>
      <c r="CO626" s="217"/>
      <c r="CP626" s="1193"/>
      <c r="CQ626" s="293"/>
      <c r="CR626" s="217"/>
      <c r="CS626" s="305"/>
      <c r="CT626" s="249"/>
      <c r="CU626" s="216"/>
      <c r="CV626" s="1193"/>
      <c r="CW626" s="249"/>
      <c r="CX626" s="216"/>
      <c r="CY626" s="305"/>
      <c r="CZ626" s="249"/>
      <c r="DA626" s="216"/>
      <c r="DB626" s="307"/>
      <c r="DC626" s="328"/>
      <c r="DD626" s="322"/>
      <c r="DE626" s="305"/>
      <c r="DF626" s="249"/>
      <c r="DG626" s="216"/>
      <c r="DH626" s="305"/>
      <c r="DI626" s="249"/>
      <c r="DJ626" s="216"/>
      <c r="DK626" s="309"/>
      <c r="DL626" s="293"/>
      <c r="DM626" s="326"/>
      <c r="DN626" s="1256"/>
      <c r="DO626" s="214"/>
      <c r="DP626" s="1257"/>
      <c r="DQ626" s="1258"/>
      <c r="DR626" s="305"/>
      <c r="DS626" s="249"/>
      <c r="DT626" s="216"/>
      <c r="DU626" s="305"/>
      <c r="DV626" s="2520"/>
      <c r="DW626" s="2521"/>
      <c r="DX626" s="305"/>
      <c r="DY626" s="249"/>
      <c r="DZ626" s="221"/>
      <c r="EA626" s="388"/>
      <c r="EB626" s="249"/>
      <c r="EC626" s="216"/>
      <c r="ED626" s="1461"/>
      <c r="EE626" s="249"/>
      <c r="EF626" s="216"/>
      <c r="EG626" s="355"/>
      <c r="EH626" s="1425"/>
      <c r="EI626" s="1470"/>
      <c r="EJ626" s="249"/>
      <c r="EK626" s="221"/>
      <c r="EL626" s="313"/>
      <c r="EM626" s="249"/>
      <c r="EN626" s="221"/>
      <c r="EO626" s="313"/>
      <c r="EP626" s="249"/>
      <c r="EQ626" s="216"/>
      <c r="ER626" s="313"/>
      <c r="ES626" s="249"/>
      <c r="ET626" s="216"/>
      <c r="EU626" s="313"/>
      <c r="EV626" s="249"/>
      <c r="EW626" s="216"/>
      <c r="EX626" s="2505"/>
      <c r="EY626" s="249"/>
      <c r="EZ626" s="221"/>
      <c r="FA626" s="313"/>
      <c r="FB626" s="249"/>
      <c r="FC626" s="221"/>
      <c r="FD626" s="313"/>
      <c r="FE626" s="249"/>
      <c r="FF626" s="221"/>
      <c r="FG626" s="313"/>
      <c r="FH626" s="249"/>
      <c r="FI626" s="216"/>
      <c r="FJ626" s="1435"/>
      <c r="FK626" s="216"/>
      <c r="FL626" s="1268"/>
      <c r="FM626" s="1655"/>
      <c r="FN626" s="1268"/>
      <c r="FO626" s="1655"/>
      <c r="FP626" s="1268"/>
      <c r="FQ626" s="1656"/>
      <c r="FR626" s="249"/>
      <c r="FS626" s="216"/>
      <c r="FT626" s="1657"/>
      <c r="FU626" s="1658"/>
      <c r="FV626" s="242"/>
      <c r="FW626" s="343"/>
      <c r="FX626" s="222"/>
      <c r="FY626" s="336"/>
      <c r="FZ626" s="223"/>
      <c r="GA626" s="338"/>
      <c r="GB626" s="204"/>
      <c r="GC626" s="339"/>
      <c r="GD626" s="342"/>
      <c r="GE626" s="199"/>
      <c r="GF626" s="199"/>
      <c r="GG626" s="199"/>
      <c r="GH626" s="199"/>
      <c r="GI626" s="199"/>
      <c r="GJ626" s="199"/>
      <c r="GK626" s="199"/>
      <c r="GO626" s="322"/>
      <c r="GP626" s="1190"/>
      <c r="GQ626" s="1190"/>
      <c r="GS626" s="2879"/>
      <c r="GT626" s="2880"/>
      <c r="GU626" s="2881"/>
    </row>
    <row r="627" spans="1:203" ht="12" customHeight="1">
      <c r="A627" s="1252"/>
      <c r="B627" s="200"/>
      <c r="C627" s="486"/>
      <c r="T627" s="1186"/>
      <c r="U627" s="233"/>
      <c r="W627" s="218"/>
      <c r="X627" s="218"/>
      <c r="Y627" s="216"/>
      <c r="Z627" s="216"/>
      <c r="AA627" s="215"/>
      <c r="AB627" s="216"/>
      <c r="AC627" s="216"/>
      <c r="AD627" s="239"/>
      <c r="AE627" s="216"/>
      <c r="AF627" s="216"/>
      <c r="AG627" s="216"/>
      <c r="AH627" s="216"/>
      <c r="AI627" s="216"/>
      <c r="AJ627" s="216"/>
      <c r="AK627" s="239"/>
      <c r="AL627" s="216"/>
      <c r="AM627" s="216"/>
      <c r="AN627" s="216"/>
      <c r="AO627" s="216"/>
      <c r="AP627" s="216"/>
      <c r="AQ627" s="216"/>
      <c r="AR627" s="216"/>
      <c r="AS627" s="216"/>
      <c r="AT627" s="216"/>
      <c r="AU627" s="216"/>
      <c r="AV627" s="217"/>
      <c r="AW627" s="355"/>
      <c r="AX627" s="217"/>
      <c r="AY627" s="305"/>
      <c r="AZ627" s="249"/>
      <c r="BA627" s="221"/>
      <c r="BB627" s="300"/>
      <c r="BC627" s="217"/>
      <c r="BD627" s="392"/>
      <c r="BE627" s="1244"/>
      <c r="BF627" s="249"/>
      <c r="BG627" s="252"/>
      <c r="BH627" s="1469"/>
      <c r="BI627" s="216"/>
      <c r="BJ627" s="1469"/>
      <c r="BK627" s="1459"/>
      <c r="BL627" s="260"/>
      <c r="BM627" s="214"/>
      <c r="BN627" s="293"/>
      <c r="BO627" s="217"/>
      <c r="BP627" s="355"/>
      <c r="BQ627" s="217"/>
      <c r="BR627" s="1193"/>
      <c r="BS627" s="249"/>
      <c r="BT627" s="216"/>
      <c r="BU627" s="1195"/>
      <c r="BV627" s="249"/>
      <c r="BW627" s="216"/>
      <c r="BX627" s="1195"/>
      <c r="BY627" s="249"/>
      <c r="BZ627" s="216"/>
      <c r="CA627" s="1195"/>
      <c r="CB627" s="249"/>
      <c r="CC627" s="216"/>
      <c r="CD627" s="1195"/>
      <c r="CE627" s="249"/>
      <c r="CF627" s="216"/>
      <c r="CG627" s="1195"/>
      <c r="CH627" s="249"/>
      <c r="CI627" s="216"/>
      <c r="CJ627" s="1195"/>
      <c r="CK627" s="249"/>
      <c r="CL627" s="216"/>
      <c r="CM627" s="1194"/>
      <c r="CN627" s="1524"/>
      <c r="CO627" s="217"/>
      <c r="CP627" s="1193"/>
      <c r="CQ627" s="293"/>
      <c r="CR627" s="217"/>
      <c r="CS627" s="305"/>
      <c r="CT627" s="249"/>
      <c r="CU627" s="216"/>
      <c r="CV627" s="1193"/>
      <c r="CW627" s="249"/>
      <c r="CX627" s="216"/>
      <c r="CY627" s="305"/>
      <c r="CZ627" s="249"/>
      <c r="DA627" s="216"/>
      <c r="DB627" s="307"/>
      <c r="DC627" s="328"/>
      <c r="DD627" s="322"/>
      <c r="DE627" s="305"/>
      <c r="DF627" s="249"/>
      <c r="DG627" s="216"/>
      <c r="DH627" s="305"/>
      <c r="DI627" s="249"/>
      <c r="DJ627" s="216"/>
      <c r="DK627" s="309"/>
      <c r="DL627" s="293"/>
      <c r="DM627" s="326"/>
      <c r="DN627" s="1256"/>
      <c r="DO627" s="214"/>
      <c r="DP627" s="1257"/>
      <c r="DQ627" s="1258"/>
      <c r="DR627" s="305"/>
      <c r="DS627" s="249"/>
      <c r="DT627" s="216"/>
      <c r="DU627" s="305"/>
      <c r="DV627" s="2520"/>
      <c r="DW627" s="2521"/>
      <c r="DX627" s="305"/>
      <c r="DY627" s="249"/>
      <c r="DZ627" s="221"/>
      <c r="EA627" s="388"/>
      <c r="EB627" s="249"/>
      <c r="EC627" s="216"/>
      <c r="ED627" s="1461"/>
      <c r="EE627" s="249"/>
      <c r="EF627" s="216"/>
      <c r="EG627" s="355"/>
      <c r="EH627" s="1425"/>
      <c r="EI627" s="1470"/>
      <c r="EJ627" s="249"/>
      <c r="EK627" s="221"/>
      <c r="EL627" s="313"/>
      <c r="EM627" s="249"/>
      <c r="EN627" s="221"/>
      <c r="EO627" s="313"/>
      <c r="EP627" s="249"/>
      <c r="EQ627" s="216"/>
      <c r="ER627" s="313"/>
      <c r="ES627" s="249"/>
      <c r="ET627" s="216"/>
      <c r="EU627" s="313"/>
      <c r="EV627" s="249"/>
      <c r="EW627" s="216"/>
      <c r="EX627" s="2505"/>
      <c r="EY627" s="249"/>
      <c r="EZ627" s="221"/>
      <c r="FA627" s="313"/>
      <c r="FB627" s="249"/>
      <c r="FC627" s="221"/>
      <c r="FD627" s="313"/>
      <c r="FE627" s="249"/>
      <c r="FF627" s="221"/>
      <c r="FG627" s="313"/>
      <c r="FH627" s="249"/>
      <c r="FI627" s="216"/>
      <c r="FJ627" s="1435"/>
      <c r="FK627" s="216"/>
      <c r="FL627" s="1268"/>
      <c r="FM627" s="1655"/>
      <c r="FN627" s="1268"/>
      <c r="FO627" s="1655"/>
      <c r="FP627" s="1268"/>
      <c r="FQ627" s="1656"/>
      <c r="FR627" s="249"/>
      <c r="FS627" s="216"/>
      <c r="FT627" s="1657"/>
      <c r="FU627" s="1658"/>
      <c r="FV627" s="242"/>
      <c r="FW627" s="343"/>
      <c r="FX627" s="222"/>
      <c r="FY627" s="336"/>
      <c r="FZ627" s="223"/>
      <c r="GA627" s="338"/>
      <c r="GB627" s="204"/>
      <c r="GC627" s="339"/>
      <c r="GD627" s="342"/>
      <c r="GE627" s="199"/>
      <c r="GF627" s="199"/>
      <c r="GG627" s="199"/>
      <c r="GH627" s="199"/>
      <c r="GI627" s="199"/>
      <c r="GJ627" s="199"/>
      <c r="GK627" s="199"/>
      <c r="GO627" s="322"/>
      <c r="GP627" s="1190"/>
      <c r="GQ627" s="1190"/>
      <c r="GS627" s="2879"/>
      <c r="GT627" s="2880"/>
      <c r="GU627" s="2881"/>
    </row>
    <row r="628" spans="1:203" ht="12" customHeight="1">
      <c r="A628" s="1252"/>
      <c r="B628" s="200"/>
      <c r="C628" s="486"/>
      <c r="T628" s="1186"/>
      <c r="U628" s="233"/>
      <c r="W628" s="218"/>
      <c r="X628" s="218"/>
      <c r="Y628" s="216"/>
      <c r="Z628" s="216"/>
      <c r="AA628" s="215"/>
      <c r="AB628" s="216"/>
      <c r="AC628" s="216"/>
      <c r="AD628" s="239"/>
      <c r="AE628" s="216"/>
      <c r="AF628" s="216"/>
      <c r="AG628" s="216"/>
      <c r="AH628" s="216"/>
      <c r="AI628" s="216"/>
      <c r="AJ628" s="216"/>
      <c r="AK628" s="239"/>
      <c r="AL628" s="216"/>
      <c r="AM628" s="216"/>
      <c r="AN628" s="216"/>
      <c r="AO628" s="216"/>
      <c r="AP628" s="216"/>
      <c r="AQ628" s="216"/>
      <c r="AR628" s="216"/>
      <c r="AS628" s="216"/>
      <c r="AT628" s="216"/>
      <c r="AU628" s="216"/>
      <c r="AV628" s="217"/>
      <c r="AW628" s="355"/>
      <c r="AX628" s="217"/>
      <c r="AY628" s="305"/>
      <c r="AZ628" s="249"/>
      <c r="BA628" s="221"/>
      <c r="BB628" s="300"/>
      <c r="BC628" s="217"/>
      <c r="BD628" s="392"/>
      <c r="BE628" s="1244"/>
      <c r="BF628" s="249"/>
      <c r="BG628" s="252"/>
      <c r="BH628" s="1469"/>
      <c r="BI628" s="216"/>
      <c r="BJ628" s="1469"/>
      <c r="BK628" s="1459"/>
      <c r="BL628" s="260"/>
      <c r="BM628" s="214"/>
      <c r="BN628" s="293"/>
      <c r="BO628" s="217"/>
      <c r="BP628" s="355"/>
      <c r="BQ628" s="217"/>
      <c r="BR628" s="1193"/>
      <c r="BS628" s="249"/>
      <c r="BT628" s="216"/>
      <c r="BU628" s="1195"/>
      <c r="BV628" s="249"/>
      <c r="BW628" s="216"/>
      <c r="BX628" s="1195"/>
      <c r="BY628" s="249"/>
      <c r="BZ628" s="216"/>
      <c r="CA628" s="1195"/>
      <c r="CB628" s="249"/>
      <c r="CC628" s="216"/>
      <c r="CD628" s="1195"/>
      <c r="CE628" s="249"/>
      <c r="CF628" s="216"/>
      <c r="CG628" s="1195"/>
      <c r="CH628" s="249"/>
      <c r="CI628" s="216"/>
      <c r="CJ628" s="1195"/>
      <c r="CK628" s="249"/>
      <c r="CL628" s="216"/>
      <c r="CM628" s="1194"/>
      <c r="CN628" s="1524"/>
      <c r="CO628" s="217"/>
      <c r="CP628" s="1193"/>
      <c r="CQ628" s="293"/>
      <c r="CR628" s="217"/>
      <c r="CS628" s="305"/>
      <c r="CT628" s="249"/>
      <c r="CU628" s="216"/>
      <c r="CV628" s="1193"/>
      <c r="CW628" s="249"/>
      <c r="CX628" s="216"/>
      <c r="CY628" s="305"/>
      <c r="CZ628" s="249"/>
      <c r="DA628" s="216"/>
      <c r="DB628" s="307"/>
      <c r="DC628" s="328"/>
      <c r="DD628" s="322"/>
      <c r="DE628" s="305"/>
      <c r="DF628" s="249"/>
      <c r="DG628" s="216"/>
      <c r="DH628" s="305"/>
      <c r="DI628" s="249"/>
      <c r="DJ628" s="216"/>
      <c r="DK628" s="309"/>
      <c r="DL628" s="293"/>
      <c r="DM628" s="326"/>
      <c r="DN628" s="1256"/>
      <c r="DO628" s="214"/>
      <c r="DP628" s="1257"/>
      <c r="DQ628" s="1258"/>
      <c r="DR628" s="305"/>
      <c r="DS628" s="249"/>
      <c r="DT628" s="216"/>
      <c r="DU628" s="305"/>
      <c r="DV628" s="2520"/>
      <c r="DW628" s="2521"/>
      <c r="DX628" s="305"/>
      <c r="DY628" s="249"/>
      <c r="DZ628" s="221"/>
      <c r="EA628" s="388"/>
      <c r="EB628" s="249"/>
      <c r="EC628" s="216"/>
      <c r="ED628" s="1461"/>
      <c r="EE628" s="249"/>
      <c r="EF628" s="216"/>
      <c r="EG628" s="355"/>
      <c r="EH628" s="1425"/>
      <c r="EI628" s="1470"/>
      <c r="EJ628" s="249"/>
      <c r="EK628" s="221"/>
      <c r="EL628" s="313"/>
      <c r="EM628" s="249"/>
      <c r="EN628" s="221"/>
      <c r="EO628" s="313"/>
      <c r="EP628" s="249"/>
      <c r="EQ628" s="216"/>
      <c r="ER628" s="313"/>
      <c r="ES628" s="249"/>
      <c r="ET628" s="216"/>
      <c r="EU628" s="313"/>
      <c r="EV628" s="249"/>
      <c r="EW628" s="216"/>
      <c r="EX628" s="2505"/>
      <c r="EY628" s="249"/>
      <c r="EZ628" s="221"/>
      <c r="FA628" s="313"/>
      <c r="FB628" s="249"/>
      <c r="FC628" s="221"/>
      <c r="FD628" s="313"/>
      <c r="FE628" s="249"/>
      <c r="FF628" s="221"/>
      <c r="FG628" s="313"/>
      <c r="FH628" s="249"/>
      <c r="FI628" s="216"/>
      <c r="FJ628" s="1435"/>
      <c r="FK628" s="216"/>
      <c r="FL628" s="1268"/>
      <c r="FM628" s="1655"/>
      <c r="FN628" s="1268"/>
      <c r="FO628" s="1655"/>
      <c r="FP628" s="1268"/>
      <c r="FQ628" s="1656"/>
      <c r="FR628" s="249"/>
      <c r="FS628" s="216"/>
      <c r="FT628" s="1657"/>
      <c r="FU628" s="1658"/>
      <c r="FV628" s="242"/>
      <c r="FW628" s="343"/>
      <c r="FX628" s="222"/>
      <c r="FY628" s="336"/>
      <c r="FZ628" s="223"/>
      <c r="GA628" s="338"/>
      <c r="GB628" s="204"/>
      <c r="GC628" s="339"/>
      <c r="GD628" s="342"/>
      <c r="GE628" s="199"/>
      <c r="GF628" s="199"/>
      <c r="GG628" s="199"/>
      <c r="GH628" s="199"/>
      <c r="GI628" s="199"/>
      <c r="GJ628" s="199"/>
      <c r="GK628" s="199"/>
      <c r="GO628" s="322"/>
      <c r="GP628" s="1190"/>
      <c r="GQ628" s="1190"/>
      <c r="GS628" s="2879"/>
      <c r="GT628" s="2880"/>
      <c r="GU628" s="2881"/>
    </row>
    <row r="629" spans="1:203" ht="12" customHeight="1">
      <c r="A629" s="1252"/>
      <c r="B629" s="200"/>
      <c r="C629" s="486"/>
      <c r="T629" s="1186"/>
      <c r="U629" s="233"/>
      <c r="W629" s="218"/>
      <c r="X629" s="218"/>
      <c r="Y629" s="216"/>
      <c r="Z629" s="216"/>
      <c r="AA629" s="215"/>
      <c r="AB629" s="216"/>
      <c r="AC629" s="216"/>
      <c r="AD629" s="239"/>
      <c r="AE629" s="216"/>
      <c r="AF629" s="216"/>
      <c r="AG629" s="216"/>
      <c r="AH629" s="216"/>
      <c r="AI629" s="216"/>
      <c r="AJ629" s="216"/>
      <c r="AK629" s="239"/>
      <c r="AL629" s="216"/>
      <c r="AM629" s="216"/>
      <c r="AN629" s="216"/>
      <c r="AO629" s="216"/>
      <c r="AP629" s="216"/>
      <c r="AQ629" s="216"/>
      <c r="AR629" s="216"/>
      <c r="AS629" s="216"/>
      <c r="AT629" s="216"/>
      <c r="AU629" s="216"/>
      <c r="AV629" s="217"/>
      <c r="AW629" s="355"/>
      <c r="AX629" s="217"/>
      <c r="AY629" s="305"/>
      <c r="AZ629" s="249"/>
      <c r="BA629" s="221"/>
      <c r="BB629" s="300"/>
      <c r="BC629" s="217"/>
      <c r="BD629" s="392"/>
      <c r="BE629" s="1244"/>
      <c r="BF629" s="249"/>
      <c r="BG629" s="252"/>
      <c r="BH629" s="1469"/>
      <c r="BI629" s="216"/>
      <c r="BJ629" s="1469"/>
      <c r="BK629" s="1459"/>
      <c r="BL629" s="260"/>
      <c r="BM629" s="214"/>
      <c r="BN629" s="293"/>
      <c r="BO629" s="217"/>
      <c r="BP629" s="355"/>
      <c r="BQ629" s="217"/>
      <c r="BR629" s="1193"/>
      <c r="BS629" s="249"/>
      <c r="BT629" s="216"/>
      <c r="BU629" s="1195"/>
      <c r="BV629" s="249"/>
      <c r="BW629" s="216"/>
      <c r="BX629" s="1195"/>
      <c r="BY629" s="249"/>
      <c r="BZ629" s="216"/>
      <c r="CA629" s="1195"/>
      <c r="CB629" s="249"/>
      <c r="CC629" s="216"/>
      <c r="CD629" s="1195"/>
      <c r="CE629" s="249"/>
      <c r="CF629" s="216"/>
      <c r="CG629" s="1195"/>
      <c r="CH629" s="249"/>
      <c r="CI629" s="216"/>
      <c r="CJ629" s="1195"/>
      <c r="CK629" s="249"/>
      <c r="CL629" s="216"/>
      <c r="CM629" s="1194"/>
      <c r="CN629" s="1524"/>
      <c r="CO629" s="217"/>
      <c r="CP629" s="1193"/>
      <c r="CQ629" s="293"/>
      <c r="CR629" s="217"/>
      <c r="CS629" s="305"/>
      <c r="CT629" s="249"/>
      <c r="CU629" s="216"/>
      <c r="CV629" s="1193"/>
      <c r="CW629" s="249"/>
      <c r="CX629" s="216"/>
      <c r="CY629" s="305"/>
      <c r="CZ629" s="249"/>
      <c r="DA629" s="216"/>
      <c r="DB629" s="307"/>
      <c r="DC629" s="328"/>
      <c r="DD629" s="322"/>
      <c r="DE629" s="305"/>
      <c r="DF629" s="249"/>
      <c r="DG629" s="216"/>
      <c r="DH629" s="305"/>
      <c r="DI629" s="249"/>
      <c r="DJ629" s="216"/>
      <c r="DK629" s="309"/>
      <c r="DL629" s="293"/>
      <c r="DM629" s="326"/>
      <c r="DN629" s="1256"/>
      <c r="DO629" s="214"/>
      <c r="DP629" s="1257"/>
      <c r="DQ629" s="1258"/>
      <c r="DR629" s="305"/>
      <c r="DS629" s="249"/>
      <c r="DT629" s="216"/>
      <c r="DU629" s="305"/>
      <c r="DV629" s="2520"/>
      <c r="DW629" s="2521"/>
      <c r="DX629" s="305"/>
      <c r="DY629" s="249"/>
      <c r="DZ629" s="221"/>
      <c r="EA629" s="388"/>
      <c r="EB629" s="249"/>
      <c r="EC629" s="216"/>
      <c r="ED629" s="1461"/>
      <c r="EE629" s="249"/>
      <c r="EF629" s="216"/>
      <c r="EG629" s="355"/>
      <c r="EH629" s="1425"/>
      <c r="EI629" s="1470"/>
      <c r="EJ629" s="249"/>
      <c r="EK629" s="221"/>
      <c r="EL629" s="313"/>
      <c r="EM629" s="249"/>
      <c r="EN629" s="221"/>
      <c r="EO629" s="313"/>
      <c r="EP629" s="249"/>
      <c r="EQ629" s="216"/>
      <c r="ER629" s="313"/>
      <c r="ES629" s="249"/>
      <c r="ET629" s="216"/>
      <c r="EU629" s="313"/>
      <c r="EV629" s="249"/>
      <c r="EW629" s="216"/>
      <c r="EX629" s="2505"/>
      <c r="EY629" s="249"/>
      <c r="EZ629" s="221"/>
      <c r="FA629" s="313"/>
      <c r="FB629" s="249"/>
      <c r="FC629" s="221"/>
      <c r="FD629" s="313"/>
      <c r="FE629" s="249"/>
      <c r="FF629" s="221"/>
      <c r="FG629" s="313"/>
      <c r="FH629" s="249"/>
      <c r="FI629" s="216"/>
      <c r="FJ629" s="1435"/>
      <c r="FK629" s="216"/>
      <c r="FL629" s="1268"/>
      <c r="FM629" s="1655"/>
      <c r="FN629" s="1268"/>
      <c r="FO629" s="1655"/>
      <c r="FP629" s="1268"/>
      <c r="FQ629" s="1656"/>
      <c r="FR629" s="249"/>
      <c r="FS629" s="216"/>
      <c r="FT629" s="1657"/>
      <c r="FU629" s="1658"/>
      <c r="FV629" s="242"/>
      <c r="FW629" s="343"/>
      <c r="FX629" s="222"/>
      <c r="FY629" s="336"/>
      <c r="FZ629" s="223"/>
      <c r="GA629" s="338"/>
      <c r="GB629" s="204"/>
      <c r="GC629" s="339"/>
      <c r="GD629" s="342"/>
      <c r="GE629" s="199"/>
      <c r="GF629" s="199"/>
      <c r="GG629" s="199"/>
      <c r="GH629" s="199"/>
      <c r="GI629" s="199"/>
      <c r="GJ629" s="199"/>
      <c r="GK629" s="199"/>
      <c r="GO629" s="322"/>
      <c r="GP629" s="1190"/>
      <c r="GQ629" s="1190"/>
      <c r="GS629" s="2879"/>
      <c r="GT629" s="2880"/>
      <c r="GU629" s="2881"/>
    </row>
    <row r="630" spans="1:203" ht="12" customHeight="1">
      <c r="A630" s="1252"/>
      <c r="B630" s="200"/>
      <c r="C630" s="486"/>
      <c r="T630" s="1186"/>
      <c r="U630" s="233"/>
      <c r="W630" s="218"/>
      <c r="X630" s="218"/>
      <c r="Y630" s="216"/>
      <c r="Z630" s="216"/>
      <c r="AA630" s="215"/>
      <c r="AB630" s="216"/>
      <c r="AC630" s="216"/>
      <c r="AD630" s="239"/>
      <c r="AE630" s="216"/>
      <c r="AF630" s="216"/>
      <c r="AG630" s="216"/>
      <c r="AH630" s="216"/>
      <c r="AI630" s="216"/>
      <c r="AJ630" s="216"/>
      <c r="AK630" s="239"/>
      <c r="AL630" s="216"/>
      <c r="AM630" s="216"/>
      <c r="AN630" s="216"/>
      <c r="AO630" s="216"/>
      <c r="AP630" s="216"/>
      <c r="AQ630" s="216"/>
      <c r="AR630" s="216"/>
      <c r="AS630" s="216"/>
      <c r="AT630" s="216"/>
      <c r="AU630" s="216"/>
      <c r="AV630" s="217"/>
      <c r="AW630" s="355"/>
      <c r="AX630" s="217"/>
      <c r="AY630" s="305"/>
      <c r="AZ630" s="249"/>
      <c r="BA630" s="221"/>
      <c r="BB630" s="300"/>
      <c r="BC630" s="217"/>
      <c r="BD630" s="392"/>
      <c r="BE630" s="1244"/>
      <c r="BF630" s="249"/>
      <c r="BG630" s="252"/>
      <c r="BH630" s="1469"/>
      <c r="BI630" s="216"/>
      <c r="BJ630" s="1469"/>
      <c r="BK630" s="1459"/>
      <c r="BL630" s="260"/>
      <c r="BM630" s="214"/>
      <c r="BN630" s="293"/>
      <c r="BO630" s="217"/>
      <c r="BP630" s="355"/>
      <c r="BQ630" s="217"/>
      <c r="BR630" s="1193"/>
      <c r="BS630" s="249"/>
      <c r="BT630" s="216"/>
      <c r="BU630" s="1195"/>
      <c r="BV630" s="249"/>
      <c r="BW630" s="216"/>
      <c r="BX630" s="1195"/>
      <c r="BY630" s="249"/>
      <c r="BZ630" s="216"/>
      <c r="CA630" s="1195"/>
      <c r="CB630" s="249"/>
      <c r="CC630" s="216"/>
      <c r="CD630" s="1195"/>
      <c r="CE630" s="249"/>
      <c r="CF630" s="216"/>
      <c r="CG630" s="1195"/>
      <c r="CH630" s="249"/>
      <c r="CI630" s="216"/>
      <c r="CJ630" s="1195"/>
      <c r="CK630" s="249"/>
      <c r="CL630" s="216"/>
      <c r="CM630" s="1194"/>
      <c r="CN630" s="1524"/>
      <c r="CO630" s="217"/>
      <c r="CP630" s="1193"/>
      <c r="CQ630" s="293"/>
      <c r="CR630" s="217"/>
      <c r="CS630" s="305"/>
      <c r="CT630" s="249"/>
      <c r="CU630" s="216"/>
      <c r="CV630" s="1193"/>
      <c r="CW630" s="249"/>
      <c r="CX630" s="216"/>
      <c r="CY630" s="305"/>
      <c r="CZ630" s="249"/>
      <c r="DA630" s="216"/>
      <c r="DB630" s="307"/>
      <c r="DC630" s="328"/>
      <c r="DD630" s="322"/>
      <c r="DE630" s="305"/>
      <c r="DF630" s="249"/>
      <c r="DG630" s="216"/>
      <c r="DH630" s="305"/>
      <c r="DI630" s="249"/>
      <c r="DJ630" s="216"/>
      <c r="DK630" s="309"/>
      <c r="DL630" s="293"/>
      <c r="DM630" s="326"/>
      <c r="DN630" s="1256"/>
      <c r="DO630" s="214"/>
      <c r="DP630" s="1257"/>
      <c r="DQ630" s="1258"/>
      <c r="DR630" s="305"/>
      <c r="DS630" s="249"/>
      <c r="DT630" s="216"/>
      <c r="DU630" s="305"/>
      <c r="DV630" s="2520"/>
      <c r="DW630" s="2521"/>
      <c r="DX630" s="305"/>
      <c r="DY630" s="249"/>
      <c r="DZ630" s="221"/>
      <c r="EA630" s="388"/>
      <c r="EB630" s="249"/>
      <c r="EC630" s="216"/>
      <c r="ED630" s="1461"/>
      <c r="EE630" s="249"/>
      <c r="EF630" s="216"/>
      <c r="EG630" s="355"/>
      <c r="EH630" s="1425"/>
      <c r="EI630" s="1470"/>
      <c r="EJ630" s="249"/>
      <c r="EK630" s="221"/>
      <c r="EL630" s="313"/>
      <c r="EM630" s="249"/>
      <c r="EN630" s="221"/>
      <c r="EO630" s="313"/>
      <c r="EP630" s="249"/>
      <c r="EQ630" s="216"/>
      <c r="ER630" s="313"/>
      <c r="ES630" s="249"/>
      <c r="ET630" s="216"/>
      <c r="EU630" s="313"/>
      <c r="EV630" s="249"/>
      <c r="EW630" s="216"/>
      <c r="EX630" s="2505"/>
      <c r="EY630" s="249"/>
      <c r="EZ630" s="221"/>
      <c r="FA630" s="313"/>
      <c r="FB630" s="249"/>
      <c r="FC630" s="221"/>
      <c r="FD630" s="313"/>
      <c r="FE630" s="249"/>
      <c r="FF630" s="221"/>
      <c r="FG630" s="313"/>
      <c r="FH630" s="249"/>
      <c r="FI630" s="216"/>
      <c r="FJ630" s="1435"/>
      <c r="FK630" s="216"/>
      <c r="FL630" s="1268"/>
      <c r="FM630" s="1655"/>
      <c r="FN630" s="1268"/>
      <c r="FO630" s="1655"/>
      <c r="FP630" s="1268"/>
      <c r="FQ630" s="1656"/>
      <c r="FR630" s="249"/>
      <c r="FS630" s="216"/>
      <c r="FT630" s="1657"/>
      <c r="FU630" s="1658"/>
      <c r="FV630" s="242"/>
      <c r="FW630" s="343"/>
      <c r="FX630" s="222"/>
      <c r="FY630" s="336"/>
      <c r="FZ630" s="223"/>
      <c r="GA630" s="338"/>
      <c r="GB630" s="204"/>
      <c r="GC630" s="339"/>
      <c r="GD630" s="342"/>
      <c r="GE630" s="199"/>
      <c r="GF630" s="199"/>
      <c r="GG630" s="199"/>
      <c r="GH630" s="199"/>
      <c r="GI630" s="199"/>
      <c r="GJ630" s="199"/>
      <c r="GK630" s="199"/>
      <c r="GO630" s="322"/>
      <c r="GP630" s="1190"/>
      <c r="GQ630" s="1190"/>
      <c r="GS630" s="2879"/>
      <c r="GT630" s="2880"/>
      <c r="GU630" s="2881"/>
    </row>
    <row r="631" spans="1:203" ht="12" customHeight="1">
      <c r="A631" s="1252"/>
      <c r="B631" s="200"/>
      <c r="C631" s="486"/>
      <c r="T631" s="1186"/>
      <c r="U631" s="233"/>
      <c r="W631" s="218"/>
      <c r="X631" s="218"/>
      <c r="Y631" s="216"/>
      <c r="Z631" s="216"/>
      <c r="AA631" s="215"/>
      <c r="AB631" s="216"/>
      <c r="AC631" s="216"/>
      <c r="AD631" s="239"/>
      <c r="AE631" s="216"/>
      <c r="AF631" s="216"/>
      <c r="AG631" s="216"/>
      <c r="AH631" s="216"/>
      <c r="AI631" s="216"/>
      <c r="AJ631" s="216"/>
      <c r="AK631" s="239"/>
      <c r="AL631" s="216"/>
      <c r="AM631" s="216"/>
      <c r="AN631" s="216"/>
      <c r="AO631" s="216"/>
      <c r="AP631" s="216"/>
      <c r="AQ631" s="216"/>
      <c r="AR631" s="216"/>
      <c r="AS631" s="216"/>
      <c r="AT631" s="216"/>
      <c r="AU631" s="216"/>
      <c r="AV631" s="217"/>
      <c r="AW631" s="355"/>
      <c r="AX631" s="217"/>
      <c r="AY631" s="305"/>
      <c r="AZ631" s="249"/>
      <c r="BA631" s="221"/>
      <c r="BB631" s="300"/>
      <c r="BC631" s="217"/>
      <c r="BD631" s="392"/>
      <c r="BE631" s="1244"/>
      <c r="BF631" s="249"/>
      <c r="BG631" s="252"/>
      <c r="BH631" s="1469"/>
      <c r="BI631" s="216"/>
      <c r="BJ631" s="1469"/>
      <c r="BK631" s="1459"/>
      <c r="BL631" s="260"/>
      <c r="BM631" s="214"/>
      <c r="BN631" s="293"/>
      <c r="BO631" s="217"/>
      <c r="BP631" s="355"/>
      <c r="BQ631" s="217"/>
      <c r="BR631" s="1193"/>
      <c r="BS631" s="249"/>
      <c r="BT631" s="216"/>
      <c r="BU631" s="1195"/>
      <c r="BV631" s="249"/>
      <c r="BW631" s="216"/>
      <c r="BX631" s="1195"/>
      <c r="BY631" s="249"/>
      <c r="BZ631" s="216"/>
      <c r="CA631" s="1195"/>
      <c r="CB631" s="249"/>
      <c r="CC631" s="216"/>
      <c r="CD631" s="1195"/>
      <c r="CE631" s="249"/>
      <c r="CF631" s="216"/>
      <c r="CG631" s="1195"/>
      <c r="CH631" s="249"/>
      <c r="CI631" s="216"/>
      <c r="CJ631" s="1195"/>
      <c r="CK631" s="249"/>
      <c r="CL631" s="216"/>
      <c r="CM631" s="1194"/>
      <c r="CN631" s="1524"/>
      <c r="CO631" s="217"/>
      <c r="CP631" s="1193"/>
      <c r="CQ631" s="293"/>
      <c r="CR631" s="217"/>
      <c r="CS631" s="305"/>
      <c r="CT631" s="249"/>
      <c r="CU631" s="216"/>
      <c r="CV631" s="1193"/>
      <c r="CW631" s="249"/>
      <c r="CX631" s="216"/>
      <c r="CY631" s="305"/>
      <c r="CZ631" s="249"/>
      <c r="DA631" s="216"/>
      <c r="DB631" s="307"/>
      <c r="DC631" s="328"/>
      <c r="DD631" s="322"/>
      <c r="DE631" s="305"/>
      <c r="DF631" s="249"/>
      <c r="DG631" s="216"/>
      <c r="DH631" s="305"/>
      <c r="DI631" s="249"/>
      <c r="DJ631" s="216"/>
      <c r="DK631" s="309"/>
      <c r="DL631" s="293"/>
      <c r="DM631" s="326"/>
      <c r="DN631" s="1256"/>
      <c r="DO631" s="214"/>
      <c r="DP631" s="1257"/>
      <c r="DQ631" s="1258"/>
      <c r="DR631" s="305"/>
      <c r="DS631" s="249"/>
      <c r="DT631" s="216"/>
      <c r="DU631" s="305"/>
      <c r="DV631" s="2520"/>
      <c r="DW631" s="2521"/>
      <c r="DX631" s="305"/>
      <c r="DY631" s="249"/>
      <c r="DZ631" s="221"/>
      <c r="EA631" s="388"/>
      <c r="EB631" s="249"/>
      <c r="EC631" s="216"/>
      <c r="ED631" s="1461"/>
      <c r="EE631" s="249"/>
      <c r="EF631" s="216"/>
      <c r="EG631" s="355"/>
      <c r="EH631" s="1425"/>
      <c r="EI631" s="1470"/>
      <c r="EJ631" s="249"/>
      <c r="EK631" s="221"/>
      <c r="EL631" s="313"/>
      <c r="EM631" s="249"/>
      <c r="EN631" s="221"/>
      <c r="EO631" s="313"/>
      <c r="EP631" s="249"/>
      <c r="EQ631" s="216"/>
      <c r="ER631" s="313"/>
      <c r="ES631" s="249"/>
      <c r="ET631" s="216"/>
      <c r="EU631" s="313"/>
      <c r="EV631" s="249"/>
      <c r="EW631" s="216"/>
      <c r="EX631" s="2505"/>
      <c r="EY631" s="249"/>
      <c r="EZ631" s="221"/>
      <c r="FA631" s="313"/>
      <c r="FB631" s="249"/>
      <c r="FC631" s="221"/>
      <c r="FD631" s="313"/>
      <c r="FE631" s="249"/>
      <c r="FF631" s="221"/>
      <c r="FG631" s="313"/>
      <c r="FH631" s="249"/>
      <c r="FI631" s="216"/>
      <c r="FJ631" s="1435"/>
      <c r="FK631" s="216"/>
      <c r="FL631" s="1268"/>
      <c r="FM631" s="1655"/>
      <c r="FN631" s="1268"/>
      <c r="FO631" s="1655"/>
      <c r="FP631" s="1268"/>
      <c r="FQ631" s="1656"/>
      <c r="FR631" s="249"/>
      <c r="FS631" s="216"/>
      <c r="FT631" s="1657"/>
      <c r="FU631" s="1658"/>
      <c r="FV631" s="242"/>
      <c r="FW631" s="343"/>
      <c r="FX631" s="222"/>
      <c r="FY631" s="336"/>
      <c r="FZ631" s="223"/>
      <c r="GA631" s="338"/>
      <c r="GB631" s="204"/>
      <c r="GC631" s="339"/>
      <c r="GD631" s="342"/>
      <c r="GE631" s="199"/>
      <c r="GF631" s="199"/>
      <c r="GG631" s="199"/>
      <c r="GH631" s="199"/>
      <c r="GI631" s="199"/>
      <c r="GJ631" s="199"/>
      <c r="GK631" s="199"/>
      <c r="GO631" s="322"/>
      <c r="GP631" s="1190"/>
      <c r="GQ631" s="1190"/>
      <c r="GS631" s="2879"/>
      <c r="GT631" s="2880"/>
      <c r="GU631" s="2881"/>
    </row>
    <row r="632" spans="1:203" ht="12" customHeight="1">
      <c r="A632" s="1252"/>
      <c r="B632" s="200"/>
      <c r="C632" s="486"/>
      <c r="T632" s="1186"/>
      <c r="U632" s="233"/>
      <c r="W632" s="218"/>
      <c r="X632" s="218"/>
      <c r="Y632" s="216"/>
      <c r="Z632" s="216"/>
      <c r="AA632" s="215"/>
      <c r="AB632" s="216"/>
      <c r="AC632" s="216"/>
      <c r="AD632" s="239"/>
      <c r="AE632" s="216"/>
      <c r="AF632" s="216"/>
      <c r="AG632" s="216"/>
      <c r="AH632" s="216"/>
      <c r="AI632" s="216"/>
      <c r="AJ632" s="216"/>
      <c r="AK632" s="239"/>
      <c r="AL632" s="216"/>
      <c r="AM632" s="216"/>
      <c r="AN632" s="216"/>
      <c r="AO632" s="216"/>
      <c r="AP632" s="216"/>
      <c r="AQ632" s="216"/>
      <c r="AR632" s="216"/>
      <c r="AS632" s="216"/>
      <c r="AT632" s="216"/>
      <c r="AU632" s="216"/>
      <c r="AV632" s="217"/>
      <c r="AW632" s="355"/>
      <c r="AX632" s="217"/>
      <c r="AY632" s="305"/>
      <c r="AZ632" s="249"/>
      <c r="BA632" s="221"/>
      <c r="BB632" s="300"/>
      <c r="BC632" s="217"/>
      <c r="BD632" s="392"/>
      <c r="BE632" s="1244"/>
      <c r="BF632" s="249"/>
      <c r="BG632" s="252"/>
      <c r="BH632" s="1469"/>
      <c r="BI632" s="216"/>
      <c r="BJ632" s="1469"/>
      <c r="BK632" s="1459"/>
      <c r="BL632" s="260"/>
      <c r="BM632" s="214"/>
      <c r="BN632" s="293"/>
      <c r="BO632" s="217"/>
      <c r="BP632" s="355"/>
      <c r="BQ632" s="217"/>
      <c r="BR632" s="1193"/>
      <c r="BS632" s="249"/>
      <c r="BT632" s="216"/>
      <c r="BU632" s="1195"/>
      <c r="BV632" s="249"/>
      <c r="BW632" s="216"/>
      <c r="BX632" s="1195"/>
      <c r="BY632" s="249"/>
      <c r="BZ632" s="216"/>
      <c r="CA632" s="1195"/>
      <c r="CB632" s="249"/>
      <c r="CC632" s="216"/>
      <c r="CD632" s="1195"/>
      <c r="CE632" s="249"/>
      <c r="CF632" s="216"/>
      <c r="CG632" s="1195"/>
      <c r="CH632" s="249"/>
      <c r="CI632" s="216"/>
      <c r="CJ632" s="1195"/>
      <c r="CK632" s="249"/>
      <c r="CL632" s="216"/>
      <c r="CM632" s="1194"/>
      <c r="CN632" s="1524"/>
      <c r="CO632" s="217"/>
      <c r="CP632" s="1193"/>
      <c r="CQ632" s="293"/>
      <c r="CR632" s="217"/>
      <c r="CS632" s="305"/>
      <c r="CT632" s="249"/>
      <c r="CU632" s="216"/>
      <c r="CV632" s="1193"/>
      <c r="CW632" s="249"/>
      <c r="CX632" s="216"/>
      <c r="CY632" s="305"/>
      <c r="CZ632" s="249"/>
      <c r="DA632" s="216"/>
      <c r="DB632" s="307"/>
      <c r="DC632" s="328"/>
      <c r="DD632" s="322"/>
      <c r="DE632" s="305"/>
      <c r="DF632" s="249"/>
      <c r="DG632" s="216"/>
      <c r="DH632" s="305"/>
      <c r="DI632" s="249"/>
      <c r="DJ632" s="216"/>
      <c r="DK632" s="309"/>
      <c r="DL632" s="293"/>
      <c r="DM632" s="326"/>
      <c r="DN632" s="1256"/>
      <c r="DO632" s="214"/>
      <c r="DP632" s="1257"/>
      <c r="DQ632" s="1258"/>
      <c r="DR632" s="305"/>
      <c r="DS632" s="249"/>
      <c r="DT632" s="216"/>
      <c r="DU632" s="305"/>
      <c r="DV632" s="2520"/>
      <c r="DW632" s="2521"/>
      <c r="DX632" s="305"/>
      <c r="DY632" s="249"/>
      <c r="DZ632" s="221"/>
      <c r="EA632" s="388"/>
      <c r="EB632" s="249"/>
      <c r="EC632" s="216"/>
      <c r="ED632" s="1461"/>
      <c r="EE632" s="249"/>
      <c r="EF632" s="216"/>
      <c r="EG632" s="355"/>
      <c r="EH632" s="1425"/>
      <c r="EI632" s="1470"/>
      <c r="EJ632" s="249"/>
      <c r="EK632" s="221"/>
      <c r="EL632" s="313"/>
      <c r="EM632" s="249"/>
      <c r="EN632" s="221"/>
      <c r="EO632" s="313"/>
      <c r="EP632" s="249"/>
      <c r="EQ632" s="216"/>
      <c r="ER632" s="313"/>
      <c r="ES632" s="249"/>
      <c r="ET632" s="216"/>
      <c r="EU632" s="313"/>
      <c r="EV632" s="249"/>
      <c r="EW632" s="216"/>
      <c r="EX632" s="2505"/>
      <c r="EY632" s="249"/>
      <c r="EZ632" s="221"/>
      <c r="FA632" s="313"/>
      <c r="FB632" s="249"/>
      <c r="FC632" s="221"/>
      <c r="FD632" s="313"/>
      <c r="FE632" s="249"/>
      <c r="FF632" s="221"/>
      <c r="FG632" s="313"/>
      <c r="FH632" s="249"/>
      <c r="FI632" s="216"/>
      <c r="FJ632" s="1435"/>
      <c r="FK632" s="216"/>
      <c r="FL632" s="1268"/>
      <c r="FM632" s="1655"/>
      <c r="FN632" s="1268"/>
      <c r="FO632" s="1655"/>
      <c r="FP632" s="1268"/>
      <c r="FQ632" s="1656"/>
      <c r="FR632" s="249"/>
      <c r="FS632" s="216"/>
      <c r="FT632" s="1657"/>
      <c r="FU632" s="1658"/>
      <c r="FV632" s="242"/>
      <c r="FW632" s="343"/>
      <c r="FX632" s="222"/>
      <c r="FY632" s="336"/>
      <c r="FZ632" s="223"/>
      <c r="GA632" s="338"/>
      <c r="GB632" s="204"/>
      <c r="GC632" s="339"/>
      <c r="GD632" s="342"/>
      <c r="GE632" s="199"/>
      <c r="GF632" s="199"/>
      <c r="GG632" s="199"/>
      <c r="GH632" s="199"/>
      <c r="GI632" s="199"/>
      <c r="GJ632" s="199"/>
      <c r="GK632" s="199"/>
      <c r="GO632" s="322"/>
      <c r="GP632" s="1190"/>
      <c r="GQ632" s="1190"/>
      <c r="GS632" s="2879"/>
      <c r="GT632" s="2880"/>
      <c r="GU632" s="2881"/>
    </row>
    <row r="633" spans="1:203" ht="12" customHeight="1">
      <c r="A633" s="1252"/>
      <c r="B633" s="200"/>
      <c r="C633" s="486"/>
      <c r="T633" s="1186"/>
      <c r="U633" s="233"/>
      <c r="W633" s="218"/>
      <c r="X633" s="218"/>
      <c r="Y633" s="216"/>
      <c r="Z633" s="216"/>
      <c r="AA633" s="215"/>
      <c r="AB633" s="216"/>
      <c r="AC633" s="216"/>
      <c r="AD633" s="239"/>
      <c r="AE633" s="216"/>
      <c r="AF633" s="216"/>
      <c r="AG633" s="216"/>
      <c r="AH633" s="216"/>
      <c r="AI633" s="216"/>
      <c r="AJ633" s="216"/>
      <c r="AK633" s="239"/>
      <c r="AL633" s="216"/>
      <c r="AM633" s="216"/>
      <c r="AN633" s="216"/>
      <c r="AO633" s="216"/>
      <c r="AP633" s="216"/>
      <c r="AQ633" s="216"/>
      <c r="AR633" s="216"/>
      <c r="AS633" s="216"/>
      <c r="AT633" s="216"/>
      <c r="AU633" s="216"/>
      <c r="AV633" s="217"/>
      <c r="AW633" s="355"/>
      <c r="AX633" s="217"/>
      <c r="AY633" s="305"/>
      <c r="AZ633" s="249"/>
      <c r="BA633" s="221"/>
      <c r="BB633" s="300"/>
      <c r="BC633" s="217"/>
      <c r="BD633" s="392"/>
      <c r="BE633" s="1244"/>
      <c r="BF633" s="249"/>
      <c r="BG633" s="252"/>
      <c r="BH633" s="1469"/>
      <c r="BI633" s="216"/>
      <c r="BJ633" s="1469"/>
      <c r="BK633" s="1459"/>
      <c r="BL633" s="260"/>
      <c r="BM633" s="214"/>
      <c r="BN633" s="293"/>
      <c r="BO633" s="217"/>
      <c r="BP633" s="355"/>
      <c r="BQ633" s="217"/>
      <c r="BR633" s="1193"/>
      <c r="BS633" s="249"/>
      <c r="BT633" s="216"/>
      <c r="BU633" s="1195"/>
      <c r="BV633" s="249"/>
      <c r="BW633" s="216"/>
      <c r="BX633" s="1195"/>
      <c r="BY633" s="249"/>
      <c r="BZ633" s="216"/>
      <c r="CA633" s="1195"/>
      <c r="CB633" s="249"/>
      <c r="CC633" s="216"/>
      <c r="CD633" s="1195"/>
      <c r="CE633" s="249"/>
      <c r="CF633" s="216"/>
      <c r="CG633" s="1195"/>
      <c r="CH633" s="249"/>
      <c r="CI633" s="216"/>
      <c r="CJ633" s="1195"/>
      <c r="CK633" s="249"/>
      <c r="CL633" s="216"/>
      <c r="CM633" s="1194"/>
      <c r="CN633" s="1524"/>
      <c r="CO633" s="217"/>
      <c r="CP633" s="1193"/>
      <c r="CQ633" s="293"/>
      <c r="CR633" s="217"/>
      <c r="CS633" s="305"/>
      <c r="CT633" s="249"/>
      <c r="CU633" s="216"/>
      <c r="CV633" s="1193"/>
      <c r="CW633" s="249"/>
      <c r="CX633" s="216"/>
      <c r="CY633" s="305"/>
      <c r="CZ633" s="249"/>
      <c r="DA633" s="216"/>
      <c r="DB633" s="307"/>
      <c r="DC633" s="328"/>
      <c r="DD633" s="322"/>
      <c r="DE633" s="305"/>
      <c r="DF633" s="249"/>
      <c r="DG633" s="216"/>
      <c r="DH633" s="305"/>
      <c r="DI633" s="249"/>
      <c r="DJ633" s="216"/>
      <c r="DK633" s="309"/>
      <c r="DL633" s="293"/>
      <c r="DM633" s="326"/>
      <c r="DN633" s="1256"/>
      <c r="DO633" s="214"/>
      <c r="DP633" s="1257"/>
      <c r="DQ633" s="1258"/>
      <c r="DR633" s="305"/>
      <c r="DS633" s="249"/>
      <c r="DT633" s="216"/>
      <c r="DU633" s="305"/>
      <c r="DV633" s="2520"/>
      <c r="DW633" s="2521"/>
      <c r="DX633" s="305"/>
      <c r="DY633" s="249"/>
      <c r="DZ633" s="221"/>
      <c r="EA633" s="388"/>
      <c r="EB633" s="249"/>
      <c r="EC633" s="216"/>
      <c r="ED633" s="1461"/>
      <c r="EE633" s="249"/>
      <c r="EF633" s="216"/>
      <c r="EG633" s="355"/>
      <c r="EH633" s="1425"/>
      <c r="EI633" s="1470"/>
      <c r="EJ633" s="249"/>
      <c r="EK633" s="221"/>
      <c r="EL633" s="313"/>
      <c r="EM633" s="249"/>
      <c r="EN633" s="221"/>
      <c r="EO633" s="313"/>
      <c r="EP633" s="249"/>
      <c r="EQ633" s="216"/>
      <c r="ER633" s="313"/>
      <c r="ES633" s="249"/>
      <c r="ET633" s="216"/>
      <c r="EU633" s="313"/>
      <c r="EV633" s="249"/>
      <c r="EW633" s="216"/>
      <c r="EX633" s="2505"/>
      <c r="EY633" s="249"/>
      <c r="EZ633" s="221"/>
      <c r="FA633" s="313"/>
      <c r="FB633" s="249"/>
      <c r="FC633" s="221"/>
      <c r="FD633" s="313"/>
      <c r="FE633" s="249"/>
      <c r="FF633" s="221"/>
      <c r="FG633" s="313"/>
      <c r="FH633" s="249"/>
      <c r="FI633" s="216"/>
      <c r="FJ633" s="1435"/>
      <c r="FK633" s="216"/>
      <c r="FL633" s="1268"/>
      <c r="FM633" s="1655"/>
      <c r="FN633" s="1268"/>
      <c r="FO633" s="1655"/>
      <c r="FP633" s="1268"/>
      <c r="FQ633" s="1656"/>
      <c r="FR633" s="249"/>
      <c r="FS633" s="216"/>
      <c r="FT633" s="1657"/>
      <c r="FU633" s="1658"/>
      <c r="FV633" s="242"/>
      <c r="FW633" s="343"/>
      <c r="FX633" s="222"/>
      <c r="FY633" s="336"/>
      <c r="FZ633" s="223"/>
      <c r="GA633" s="338"/>
      <c r="GB633" s="204"/>
      <c r="GC633" s="339"/>
      <c r="GD633" s="342"/>
      <c r="GE633" s="199"/>
      <c r="GF633" s="199"/>
      <c r="GG633" s="199"/>
      <c r="GH633" s="199"/>
      <c r="GI633" s="199"/>
      <c r="GJ633" s="199"/>
      <c r="GK633" s="199"/>
      <c r="GO633" s="322"/>
      <c r="GP633" s="1190"/>
      <c r="GQ633" s="1190"/>
      <c r="GS633" s="2879"/>
      <c r="GT633" s="2880"/>
      <c r="GU633" s="2881"/>
    </row>
    <row r="634" spans="1:203" ht="12" customHeight="1">
      <c r="A634" s="1252"/>
      <c r="B634" s="200"/>
      <c r="C634" s="486"/>
      <c r="T634" s="1186"/>
      <c r="U634" s="233"/>
      <c r="W634" s="218"/>
      <c r="X634" s="218"/>
      <c r="Y634" s="216"/>
      <c r="Z634" s="216"/>
      <c r="AA634" s="215"/>
      <c r="AB634" s="216"/>
      <c r="AC634" s="216"/>
      <c r="AD634" s="239"/>
      <c r="AE634" s="216"/>
      <c r="AF634" s="216"/>
      <c r="AG634" s="216"/>
      <c r="AH634" s="216"/>
      <c r="AI634" s="216"/>
      <c r="AJ634" s="216"/>
      <c r="AK634" s="239"/>
      <c r="AL634" s="216"/>
      <c r="AM634" s="216"/>
      <c r="AN634" s="216"/>
      <c r="AO634" s="216"/>
      <c r="AP634" s="216"/>
      <c r="AQ634" s="216"/>
      <c r="AR634" s="216"/>
      <c r="AS634" s="216"/>
      <c r="AT634" s="216"/>
      <c r="AU634" s="216"/>
      <c r="AV634" s="217"/>
      <c r="AW634" s="355"/>
      <c r="AX634" s="217"/>
      <c r="AY634" s="305"/>
      <c r="AZ634" s="249"/>
      <c r="BA634" s="221"/>
      <c r="BB634" s="300"/>
      <c r="BC634" s="217"/>
      <c r="BD634" s="392"/>
      <c r="BE634" s="1244"/>
      <c r="BF634" s="249"/>
      <c r="BG634" s="252"/>
      <c r="BH634" s="1469"/>
      <c r="BI634" s="216"/>
      <c r="BJ634" s="1469"/>
      <c r="BK634" s="1459"/>
      <c r="BL634" s="260"/>
      <c r="BM634" s="214"/>
      <c r="BN634" s="293"/>
      <c r="BO634" s="217"/>
      <c r="BP634" s="355"/>
      <c r="BQ634" s="217"/>
      <c r="BR634" s="1193"/>
      <c r="BS634" s="249"/>
      <c r="BT634" s="216"/>
      <c r="BU634" s="1195"/>
      <c r="BV634" s="249"/>
      <c r="BW634" s="216"/>
      <c r="BX634" s="1195"/>
      <c r="BY634" s="249"/>
      <c r="BZ634" s="216"/>
      <c r="CA634" s="1195"/>
      <c r="CB634" s="249"/>
      <c r="CC634" s="216"/>
      <c r="CD634" s="1195"/>
      <c r="CE634" s="249"/>
      <c r="CF634" s="216"/>
      <c r="CG634" s="1195"/>
      <c r="CH634" s="249"/>
      <c r="CI634" s="216"/>
      <c r="CJ634" s="1195"/>
      <c r="CK634" s="249"/>
      <c r="CL634" s="216"/>
      <c r="CM634" s="1194"/>
      <c r="CN634" s="1524"/>
      <c r="CO634" s="217"/>
      <c r="CP634" s="1193"/>
      <c r="CQ634" s="293"/>
      <c r="CR634" s="217"/>
      <c r="CS634" s="305"/>
      <c r="CT634" s="249"/>
      <c r="CU634" s="216"/>
      <c r="CV634" s="1193"/>
      <c r="CW634" s="249"/>
      <c r="CX634" s="216"/>
      <c r="CY634" s="305"/>
      <c r="CZ634" s="249"/>
      <c r="DA634" s="216"/>
      <c r="DB634" s="307"/>
      <c r="DC634" s="328"/>
      <c r="DD634" s="322"/>
      <c r="DE634" s="305"/>
      <c r="DF634" s="249"/>
      <c r="DG634" s="216"/>
      <c r="DH634" s="305"/>
      <c r="DI634" s="249"/>
      <c r="DJ634" s="216"/>
      <c r="DK634" s="309"/>
      <c r="DL634" s="293"/>
      <c r="DM634" s="326"/>
      <c r="DN634" s="1256"/>
      <c r="DO634" s="214"/>
      <c r="DP634" s="1257"/>
      <c r="DQ634" s="1258"/>
      <c r="DR634" s="305"/>
      <c r="DS634" s="249"/>
      <c r="DT634" s="216"/>
      <c r="DU634" s="305"/>
      <c r="DV634" s="2520"/>
      <c r="DW634" s="2521"/>
      <c r="DX634" s="305"/>
      <c r="DY634" s="249"/>
      <c r="DZ634" s="221"/>
      <c r="EA634" s="388"/>
      <c r="EB634" s="249"/>
      <c r="EC634" s="216"/>
      <c r="ED634" s="1461"/>
      <c r="EE634" s="249"/>
      <c r="EF634" s="216"/>
      <c r="EG634" s="355"/>
      <c r="EH634" s="1425"/>
      <c r="EI634" s="1470"/>
      <c r="EJ634" s="249"/>
      <c r="EK634" s="221"/>
      <c r="EL634" s="313"/>
      <c r="EM634" s="249"/>
      <c r="EN634" s="221"/>
      <c r="EO634" s="313"/>
      <c r="EP634" s="249"/>
      <c r="EQ634" s="216"/>
      <c r="ER634" s="313"/>
      <c r="ES634" s="249"/>
      <c r="ET634" s="216"/>
      <c r="EU634" s="313"/>
      <c r="EV634" s="249"/>
      <c r="EW634" s="216"/>
      <c r="EX634" s="2505"/>
      <c r="EY634" s="249"/>
      <c r="EZ634" s="221"/>
      <c r="FA634" s="313"/>
      <c r="FB634" s="249"/>
      <c r="FC634" s="221"/>
      <c r="FD634" s="313"/>
      <c r="FE634" s="249"/>
      <c r="FF634" s="221"/>
      <c r="FG634" s="313"/>
      <c r="FH634" s="249"/>
      <c r="FI634" s="216"/>
      <c r="FJ634" s="1435"/>
      <c r="FK634" s="216"/>
      <c r="FL634" s="1268"/>
      <c r="FM634" s="1655"/>
      <c r="FN634" s="1268"/>
      <c r="FO634" s="1655"/>
      <c r="FP634" s="1268"/>
      <c r="FQ634" s="1656"/>
      <c r="FR634" s="249"/>
      <c r="FS634" s="216"/>
      <c r="FT634" s="1657"/>
      <c r="FU634" s="1658"/>
      <c r="FV634" s="242"/>
      <c r="FW634" s="343"/>
      <c r="FX634" s="222"/>
      <c r="FY634" s="336"/>
      <c r="FZ634" s="223"/>
      <c r="GA634" s="338"/>
      <c r="GB634" s="204"/>
      <c r="GC634" s="339"/>
      <c r="GD634" s="342"/>
      <c r="GE634" s="199"/>
      <c r="GF634" s="199"/>
      <c r="GG634" s="199"/>
      <c r="GH634" s="199"/>
      <c r="GI634" s="199"/>
      <c r="GJ634" s="199"/>
      <c r="GK634" s="199"/>
      <c r="GO634" s="322"/>
      <c r="GP634" s="1190"/>
      <c r="GQ634" s="1190"/>
      <c r="GS634" s="2879"/>
      <c r="GT634" s="2880"/>
      <c r="GU634" s="2881"/>
    </row>
    <row r="635" spans="1:203" ht="12" customHeight="1">
      <c r="A635" s="1252"/>
      <c r="B635" s="200"/>
      <c r="C635" s="486"/>
      <c r="T635" s="1186"/>
      <c r="U635" s="233"/>
      <c r="W635" s="218"/>
      <c r="X635" s="218"/>
      <c r="Y635" s="216"/>
      <c r="Z635" s="216"/>
      <c r="AA635" s="215"/>
      <c r="AB635" s="216"/>
      <c r="AC635" s="216"/>
      <c r="AD635" s="239"/>
      <c r="AE635" s="216"/>
      <c r="AF635" s="216"/>
      <c r="AG635" s="216"/>
      <c r="AH635" s="216"/>
      <c r="AI635" s="216"/>
      <c r="AJ635" s="216"/>
      <c r="AK635" s="239"/>
      <c r="AL635" s="216"/>
      <c r="AM635" s="216"/>
      <c r="AN635" s="216"/>
      <c r="AO635" s="216"/>
      <c r="AP635" s="216"/>
      <c r="AQ635" s="216"/>
      <c r="AR635" s="216"/>
      <c r="AS635" s="216"/>
      <c r="AT635" s="216"/>
      <c r="AU635" s="216"/>
      <c r="AV635" s="217"/>
      <c r="AW635" s="355"/>
      <c r="AX635" s="217"/>
      <c r="AY635" s="305"/>
      <c r="AZ635" s="249"/>
      <c r="BA635" s="221"/>
      <c r="BB635" s="300"/>
      <c r="BC635" s="217"/>
      <c r="BD635" s="392"/>
      <c r="BE635" s="1244"/>
      <c r="BF635" s="249"/>
      <c r="BG635" s="252"/>
      <c r="BH635" s="1469"/>
      <c r="BI635" s="216"/>
      <c r="BJ635" s="1469"/>
      <c r="BK635" s="1459"/>
      <c r="BL635" s="260"/>
      <c r="BM635" s="214"/>
      <c r="BN635" s="293"/>
      <c r="BO635" s="217"/>
      <c r="BP635" s="355"/>
      <c r="BQ635" s="217"/>
      <c r="BR635" s="1193"/>
      <c r="BS635" s="249"/>
      <c r="BT635" s="216"/>
      <c r="BU635" s="1195"/>
      <c r="BV635" s="249"/>
      <c r="BW635" s="216"/>
      <c r="BX635" s="1195"/>
      <c r="BY635" s="249"/>
      <c r="BZ635" s="216"/>
      <c r="CA635" s="1195"/>
      <c r="CB635" s="249"/>
      <c r="CC635" s="216"/>
      <c r="CD635" s="1195"/>
      <c r="CE635" s="249"/>
      <c r="CF635" s="216"/>
      <c r="CG635" s="1195"/>
      <c r="CH635" s="249"/>
      <c r="CI635" s="216"/>
      <c r="CJ635" s="1195"/>
      <c r="CK635" s="249"/>
      <c r="CL635" s="216"/>
      <c r="CM635" s="1194"/>
      <c r="CN635" s="1524"/>
      <c r="CO635" s="217"/>
      <c r="CP635" s="1193"/>
      <c r="CQ635" s="293"/>
      <c r="CR635" s="217"/>
      <c r="CS635" s="305"/>
      <c r="CT635" s="249"/>
      <c r="CU635" s="216"/>
      <c r="CV635" s="1193"/>
      <c r="CW635" s="249"/>
      <c r="CX635" s="216"/>
      <c r="CY635" s="305"/>
      <c r="CZ635" s="249"/>
      <c r="DA635" s="216"/>
      <c r="DB635" s="307"/>
      <c r="DC635" s="328"/>
      <c r="DD635" s="322"/>
      <c r="DE635" s="305"/>
      <c r="DF635" s="249"/>
      <c r="DG635" s="216"/>
      <c r="DH635" s="305"/>
      <c r="DI635" s="249"/>
      <c r="DJ635" s="216"/>
      <c r="DK635" s="309"/>
      <c r="DL635" s="293"/>
      <c r="DM635" s="326"/>
      <c r="DN635" s="1256"/>
      <c r="DO635" s="214"/>
      <c r="DP635" s="1257"/>
      <c r="DQ635" s="1258"/>
      <c r="DR635" s="305"/>
      <c r="DS635" s="249"/>
      <c r="DT635" s="216"/>
      <c r="DU635" s="305"/>
      <c r="DV635" s="2520"/>
      <c r="DW635" s="2521"/>
      <c r="DX635" s="305"/>
      <c r="DY635" s="249"/>
      <c r="DZ635" s="221"/>
      <c r="EA635" s="388"/>
      <c r="EB635" s="249"/>
      <c r="EC635" s="216"/>
      <c r="ED635" s="1461"/>
      <c r="EE635" s="249"/>
      <c r="EF635" s="216"/>
      <c r="EG635" s="355"/>
      <c r="EH635" s="1425"/>
      <c r="EI635" s="1470"/>
      <c r="EJ635" s="249"/>
      <c r="EK635" s="221"/>
      <c r="EL635" s="313"/>
      <c r="EM635" s="249"/>
      <c r="EN635" s="221"/>
      <c r="EO635" s="313"/>
      <c r="EP635" s="249"/>
      <c r="EQ635" s="216"/>
      <c r="ER635" s="313"/>
      <c r="ES635" s="249"/>
      <c r="ET635" s="216"/>
      <c r="EU635" s="313"/>
      <c r="EV635" s="249"/>
      <c r="EW635" s="216"/>
      <c r="EX635" s="2505"/>
      <c r="EY635" s="249"/>
      <c r="EZ635" s="221"/>
      <c r="FA635" s="313"/>
      <c r="FB635" s="249"/>
      <c r="FC635" s="221"/>
      <c r="FD635" s="313"/>
      <c r="FE635" s="249"/>
      <c r="FF635" s="221"/>
      <c r="FG635" s="313"/>
      <c r="FH635" s="249"/>
      <c r="FI635" s="216"/>
      <c r="FJ635" s="1435"/>
      <c r="FK635" s="216"/>
      <c r="FL635" s="1268"/>
      <c r="FM635" s="1655"/>
      <c r="FN635" s="1268"/>
      <c r="FO635" s="1655"/>
      <c r="FP635" s="1268"/>
      <c r="FQ635" s="1656"/>
      <c r="FR635" s="249"/>
      <c r="FS635" s="216"/>
      <c r="FT635" s="1657"/>
      <c r="FU635" s="1658"/>
      <c r="FV635" s="242"/>
      <c r="FW635" s="343"/>
      <c r="FX635" s="222"/>
      <c r="FY635" s="336"/>
      <c r="FZ635" s="223"/>
      <c r="GA635" s="338"/>
      <c r="GB635" s="204"/>
      <c r="GC635" s="339"/>
      <c r="GD635" s="342"/>
      <c r="GE635" s="199"/>
      <c r="GF635" s="199"/>
      <c r="GG635" s="199"/>
      <c r="GH635" s="199"/>
      <c r="GI635" s="199"/>
      <c r="GJ635" s="199"/>
      <c r="GK635" s="199"/>
      <c r="GO635" s="322"/>
      <c r="GP635" s="1190"/>
      <c r="GQ635" s="1190"/>
      <c r="GS635" s="2879"/>
      <c r="GT635" s="2880"/>
      <c r="GU635" s="2881"/>
    </row>
    <row r="636" spans="1:203" ht="12" customHeight="1">
      <c r="A636" s="1252"/>
      <c r="B636" s="200"/>
      <c r="C636" s="486"/>
      <c r="T636" s="1186"/>
      <c r="U636" s="233"/>
      <c r="W636" s="218"/>
      <c r="X636" s="218"/>
      <c r="Y636" s="216"/>
      <c r="Z636" s="216"/>
      <c r="AA636" s="215"/>
      <c r="AB636" s="216"/>
      <c r="AC636" s="216"/>
      <c r="AD636" s="239"/>
      <c r="AE636" s="216"/>
      <c r="AF636" s="216"/>
      <c r="AG636" s="216"/>
      <c r="AH636" s="216"/>
      <c r="AI636" s="216"/>
      <c r="AJ636" s="216"/>
      <c r="AK636" s="239"/>
      <c r="AL636" s="216"/>
      <c r="AM636" s="216"/>
      <c r="AN636" s="216"/>
      <c r="AO636" s="216"/>
      <c r="AP636" s="216"/>
      <c r="AQ636" s="216"/>
      <c r="AR636" s="216"/>
      <c r="AS636" s="216"/>
      <c r="AT636" s="216"/>
      <c r="AU636" s="216"/>
      <c r="AV636" s="217"/>
      <c r="AW636" s="355"/>
      <c r="AX636" s="217"/>
      <c r="AY636" s="305"/>
      <c r="AZ636" s="249"/>
      <c r="BA636" s="221"/>
      <c r="BB636" s="300"/>
      <c r="BC636" s="217"/>
      <c r="BD636" s="392"/>
      <c r="BE636" s="1244"/>
      <c r="BF636" s="249"/>
      <c r="BG636" s="252"/>
      <c r="BH636" s="1469"/>
      <c r="BI636" s="216"/>
      <c r="BJ636" s="1469"/>
      <c r="BK636" s="1459"/>
      <c r="BL636" s="260"/>
      <c r="BM636" s="214"/>
      <c r="BN636" s="293"/>
      <c r="BO636" s="217"/>
      <c r="BP636" s="355"/>
      <c r="BQ636" s="217"/>
      <c r="BR636" s="1193"/>
      <c r="BS636" s="249"/>
      <c r="BT636" s="216"/>
      <c r="BU636" s="1195"/>
      <c r="BV636" s="249"/>
      <c r="BW636" s="216"/>
      <c r="BX636" s="1195"/>
      <c r="BY636" s="249"/>
      <c r="BZ636" s="216"/>
      <c r="CA636" s="1195"/>
      <c r="CB636" s="249"/>
      <c r="CC636" s="216"/>
      <c r="CD636" s="1195"/>
      <c r="CE636" s="249"/>
      <c r="CF636" s="216"/>
      <c r="CG636" s="1195"/>
      <c r="CH636" s="249"/>
      <c r="CI636" s="216"/>
      <c r="CJ636" s="1195"/>
      <c r="CK636" s="249"/>
      <c r="CL636" s="216"/>
      <c r="CM636" s="1194"/>
      <c r="CN636" s="1524"/>
      <c r="CO636" s="217"/>
      <c r="CP636" s="1193"/>
      <c r="CQ636" s="293"/>
      <c r="CR636" s="217"/>
      <c r="CS636" s="305"/>
      <c r="CT636" s="249"/>
      <c r="CU636" s="216"/>
      <c r="CV636" s="1193"/>
      <c r="CW636" s="249"/>
      <c r="CX636" s="216"/>
      <c r="CY636" s="305"/>
      <c r="CZ636" s="249"/>
      <c r="DA636" s="216"/>
      <c r="DB636" s="307"/>
      <c r="DC636" s="328"/>
      <c r="DD636" s="322"/>
      <c r="DE636" s="305"/>
      <c r="DF636" s="249"/>
      <c r="DG636" s="216"/>
      <c r="DH636" s="305"/>
      <c r="DI636" s="249"/>
      <c r="DJ636" s="216"/>
      <c r="DK636" s="309"/>
      <c r="DL636" s="293"/>
      <c r="DM636" s="326"/>
      <c r="DN636" s="1256"/>
      <c r="DO636" s="214"/>
      <c r="DP636" s="1257"/>
      <c r="DQ636" s="1258"/>
      <c r="DR636" s="305"/>
      <c r="DS636" s="249"/>
      <c r="DT636" s="216"/>
      <c r="DU636" s="305"/>
      <c r="DV636" s="2520"/>
      <c r="DW636" s="2521"/>
      <c r="DX636" s="305"/>
      <c r="DY636" s="249"/>
      <c r="DZ636" s="221"/>
      <c r="EA636" s="388"/>
      <c r="EB636" s="249"/>
      <c r="EC636" s="216"/>
      <c r="ED636" s="1461"/>
      <c r="EE636" s="249"/>
      <c r="EF636" s="216"/>
      <c r="EG636" s="355"/>
      <c r="EH636" s="1425"/>
      <c r="EI636" s="1470"/>
      <c r="EJ636" s="249"/>
      <c r="EK636" s="221"/>
      <c r="EL636" s="313"/>
      <c r="EM636" s="249"/>
      <c r="EN636" s="221"/>
      <c r="EO636" s="313"/>
      <c r="EP636" s="249"/>
      <c r="EQ636" s="216"/>
      <c r="ER636" s="313"/>
      <c r="ES636" s="249"/>
      <c r="ET636" s="216"/>
      <c r="EU636" s="313"/>
      <c r="EV636" s="249"/>
      <c r="EW636" s="216"/>
      <c r="EX636" s="2505"/>
      <c r="EY636" s="249"/>
      <c r="EZ636" s="221"/>
      <c r="FA636" s="313"/>
      <c r="FB636" s="249"/>
      <c r="FC636" s="221"/>
      <c r="FD636" s="313"/>
      <c r="FE636" s="249"/>
      <c r="FF636" s="221"/>
      <c r="FG636" s="313"/>
      <c r="FH636" s="249"/>
      <c r="FI636" s="216"/>
      <c r="FJ636" s="1435"/>
      <c r="FK636" s="216"/>
      <c r="FL636" s="1268"/>
      <c r="FM636" s="1655"/>
      <c r="FN636" s="1268"/>
      <c r="FO636" s="1655"/>
      <c r="FP636" s="1268"/>
      <c r="FQ636" s="1656"/>
      <c r="FR636" s="249"/>
      <c r="FS636" s="216"/>
      <c r="FT636" s="1657"/>
      <c r="FU636" s="1658"/>
      <c r="FV636" s="242"/>
      <c r="FW636" s="343"/>
      <c r="FX636" s="222"/>
      <c r="FY636" s="336"/>
      <c r="FZ636" s="223"/>
      <c r="GA636" s="338"/>
      <c r="GB636" s="204"/>
      <c r="GC636" s="339"/>
      <c r="GD636" s="342"/>
      <c r="GE636" s="199"/>
      <c r="GF636" s="199"/>
      <c r="GG636" s="199"/>
      <c r="GH636" s="199"/>
      <c r="GI636" s="199"/>
      <c r="GJ636" s="199"/>
      <c r="GK636" s="199"/>
      <c r="GO636" s="322"/>
      <c r="GP636" s="1190"/>
      <c r="GQ636" s="1190"/>
      <c r="GS636" s="2879"/>
      <c r="GT636" s="2880"/>
      <c r="GU636" s="2881"/>
    </row>
    <row r="637" spans="1:203" ht="12" customHeight="1">
      <c r="A637" s="1252"/>
      <c r="B637" s="200"/>
      <c r="C637" s="486"/>
      <c r="T637" s="1186"/>
      <c r="U637" s="233"/>
      <c r="W637" s="218"/>
      <c r="X637" s="218"/>
      <c r="Y637" s="216"/>
      <c r="Z637" s="216"/>
      <c r="AA637" s="215"/>
      <c r="AB637" s="216"/>
      <c r="AC637" s="216"/>
      <c r="AD637" s="239"/>
      <c r="AE637" s="216"/>
      <c r="AF637" s="216"/>
      <c r="AG637" s="216"/>
      <c r="AH637" s="216"/>
      <c r="AI637" s="216"/>
      <c r="AJ637" s="216"/>
      <c r="AK637" s="239"/>
      <c r="AL637" s="216"/>
      <c r="AM637" s="216"/>
      <c r="AN637" s="216"/>
      <c r="AO637" s="216"/>
      <c r="AP637" s="216"/>
      <c r="AQ637" s="216"/>
      <c r="AR637" s="216"/>
      <c r="AS637" s="216"/>
      <c r="AT637" s="216"/>
      <c r="AU637" s="216"/>
      <c r="AV637" s="217"/>
      <c r="AW637" s="355"/>
      <c r="AX637" s="217"/>
      <c r="AY637" s="305"/>
      <c r="AZ637" s="249"/>
      <c r="BA637" s="221"/>
      <c r="BB637" s="300"/>
      <c r="BC637" s="217"/>
      <c r="BD637" s="392"/>
      <c r="BE637" s="1244"/>
      <c r="BF637" s="249"/>
      <c r="BG637" s="252"/>
      <c r="BH637" s="1469"/>
      <c r="BI637" s="216"/>
      <c r="BJ637" s="1469"/>
      <c r="BK637" s="1459"/>
      <c r="BL637" s="260"/>
      <c r="BM637" s="214"/>
      <c r="BN637" s="293"/>
      <c r="BO637" s="217"/>
      <c r="BP637" s="355"/>
      <c r="BQ637" s="217"/>
      <c r="BR637" s="1193"/>
      <c r="BS637" s="249"/>
      <c r="BT637" s="216"/>
      <c r="BU637" s="1195"/>
      <c r="BV637" s="249"/>
      <c r="BW637" s="216"/>
      <c r="BX637" s="1195"/>
      <c r="BY637" s="249"/>
      <c r="BZ637" s="216"/>
      <c r="CA637" s="1195"/>
      <c r="CB637" s="249"/>
      <c r="CC637" s="216"/>
      <c r="CD637" s="1195"/>
      <c r="CE637" s="249"/>
      <c r="CF637" s="216"/>
      <c r="CG637" s="1195"/>
      <c r="CH637" s="249"/>
      <c r="CI637" s="216"/>
      <c r="CJ637" s="1195"/>
      <c r="CK637" s="249"/>
      <c r="CL637" s="216"/>
      <c r="CM637" s="1194"/>
      <c r="CN637" s="1524"/>
      <c r="CO637" s="217"/>
      <c r="CP637" s="1193"/>
      <c r="CQ637" s="293"/>
      <c r="CR637" s="217"/>
      <c r="CS637" s="305"/>
      <c r="CT637" s="249"/>
      <c r="CU637" s="216"/>
      <c r="CV637" s="1193"/>
      <c r="CW637" s="249"/>
      <c r="CX637" s="216"/>
      <c r="CY637" s="305"/>
      <c r="CZ637" s="249"/>
      <c r="DA637" s="216"/>
      <c r="DB637" s="307"/>
      <c r="DC637" s="328"/>
      <c r="DD637" s="322"/>
      <c r="DE637" s="305"/>
      <c r="DF637" s="249"/>
      <c r="DG637" s="216"/>
      <c r="DH637" s="305"/>
      <c r="DI637" s="249"/>
      <c r="DJ637" s="216"/>
      <c r="DK637" s="309"/>
      <c r="DL637" s="293"/>
      <c r="DM637" s="326"/>
      <c r="DN637" s="1256"/>
      <c r="DO637" s="214"/>
      <c r="DP637" s="1257"/>
      <c r="DQ637" s="1258"/>
      <c r="DR637" s="305"/>
      <c r="DS637" s="249"/>
      <c r="DT637" s="216"/>
      <c r="DU637" s="305"/>
      <c r="DV637" s="2520"/>
      <c r="DW637" s="2521"/>
      <c r="DX637" s="305"/>
      <c r="DY637" s="249"/>
      <c r="DZ637" s="221"/>
      <c r="EA637" s="388"/>
      <c r="EB637" s="249"/>
      <c r="EC637" s="216"/>
      <c r="ED637" s="1461"/>
      <c r="EE637" s="249"/>
      <c r="EF637" s="216"/>
      <c r="EG637" s="355"/>
      <c r="EH637" s="1425"/>
      <c r="EI637" s="1470"/>
      <c r="EJ637" s="249"/>
      <c r="EK637" s="221"/>
      <c r="EL637" s="313"/>
      <c r="EM637" s="249"/>
      <c r="EN637" s="221"/>
      <c r="EO637" s="313"/>
      <c r="EP637" s="249"/>
      <c r="EQ637" s="216"/>
      <c r="ER637" s="313"/>
      <c r="ES637" s="249"/>
      <c r="ET637" s="216"/>
      <c r="EU637" s="313"/>
      <c r="EV637" s="249"/>
      <c r="EW637" s="216"/>
      <c r="EX637" s="2505"/>
      <c r="EY637" s="249"/>
      <c r="EZ637" s="221"/>
      <c r="FA637" s="313"/>
      <c r="FB637" s="249"/>
      <c r="FC637" s="221"/>
      <c r="FD637" s="313"/>
      <c r="FE637" s="249"/>
      <c r="FF637" s="221"/>
      <c r="FG637" s="313"/>
      <c r="FH637" s="249"/>
      <c r="FI637" s="216"/>
      <c r="FJ637" s="1435"/>
      <c r="FK637" s="216"/>
      <c r="FL637" s="1268"/>
      <c r="FM637" s="1655"/>
      <c r="FN637" s="1268"/>
      <c r="FO637" s="1655"/>
      <c r="FP637" s="1268"/>
      <c r="FQ637" s="1656"/>
      <c r="FR637" s="249"/>
      <c r="FS637" s="216"/>
      <c r="FT637" s="1657"/>
      <c r="FU637" s="1658"/>
      <c r="FV637" s="242"/>
      <c r="FW637" s="343"/>
      <c r="FX637" s="222"/>
      <c r="FY637" s="336"/>
      <c r="FZ637" s="223"/>
      <c r="GA637" s="338"/>
      <c r="GB637" s="204"/>
      <c r="GC637" s="339"/>
      <c r="GD637" s="342"/>
      <c r="GE637" s="199"/>
      <c r="GF637" s="199"/>
      <c r="GG637" s="199"/>
      <c r="GH637" s="199"/>
      <c r="GI637" s="199"/>
      <c r="GJ637" s="199"/>
      <c r="GK637" s="199"/>
      <c r="GO637" s="322"/>
      <c r="GP637" s="1190"/>
      <c r="GQ637" s="1190"/>
      <c r="GS637" s="2879"/>
      <c r="GT637" s="2880"/>
      <c r="GU637" s="2881"/>
    </row>
    <row r="638" spans="1:203" ht="12" customHeight="1">
      <c r="A638" s="1252"/>
      <c r="B638" s="200"/>
      <c r="C638" s="486"/>
      <c r="T638" s="1186"/>
      <c r="U638" s="233"/>
      <c r="W638" s="218"/>
      <c r="X638" s="218"/>
      <c r="Y638" s="216"/>
      <c r="Z638" s="216"/>
      <c r="AA638" s="215"/>
      <c r="AB638" s="216"/>
      <c r="AC638" s="216"/>
      <c r="AD638" s="239"/>
      <c r="AE638" s="216"/>
      <c r="AF638" s="216"/>
      <c r="AG638" s="216"/>
      <c r="AH638" s="216"/>
      <c r="AI638" s="216"/>
      <c r="AJ638" s="216"/>
      <c r="AK638" s="239"/>
      <c r="AL638" s="216"/>
      <c r="AM638" s="216"/>
      <c r="AN638" s="216"/>
      <c r="AO638" s="216"/>
      <c r="AP638" s="216"/>
      <c r="AQ638" s="216"/>
      <c r="AR638" s="216"/>
      <c r="AS638" s="216"/>
      <c r="AT638" s="216"/>
      <c r="AU638" s="216"/>
      <c r="AV638" s="217"/>
      <c r="AW638" s="355"/>
      <c r="AX638" s="217"/>
      <c r="AY638" s="305"/>
      <c r="AZ638" s="249"/>
      <c r="BA638" s="221"/>
      <c r="BB638" s="300"/>
      <c r="BC638" s="217"/>
      <c r="BD638" s="392"/>
      <c r="BE638" s="1244"/>
      <c r="BF638" s="249"/>
      <c r="BG638" s="252"/>
      <c r="BH638" s="1469"/>
      <c r="BI638" s="216"/>
      <c r="BJ638" s="1469"/>
      <c r="BK638" s="1459"/>
      <c r="BL638" s="260"/>
      <c r="BM638" s="214"/>
      <c r="BN638" s="293"/>
      <c r="BO638" s="217"/>
      <c r="BP638" s="355"/>
      <c r="BQ638" s="217"/>
      <c r="BR638" s="1193"/>
      <c r="BS638" s="249"/>
      <c r="BT638" s="216"/>
      <c r="BU638" s="1195"/>
      <c r="BV638" s="249"/>
      <c r="BW638" s="216"/>
      <c r="BX638" s="1195"/>
      <c r="BY638" s="249"/>
      <c r="BZ638" s="216"/>
      <c r="CA638" s="1195"/>
      <c r="CB638" s="249"/>
      <c r="CC638" s="216"/>
      <c r="CD638" s="1195"/>
      <c r="CE638" s="249"/>
      <c r="CF638" s="216"/>
      <c r="CG638" s="1195"/>
      <c r="CH638" s="249"/>
      <c r="CI638" s="216"/>
      <c r="CJ638" s="1195"/>
      <c r="CK638" s="249"/>
      <c r="CL638" s="216"/>
      <c r="CM638" s="1194"/>
      <c r="CN638" s="1524"/>
      <c r="CO638" s="217"/>
      <c r="CP638" s="1193"/>
      <c r="CQ638" s="293"/>
      <c r="CR638" s="217"/>
      <c r="CS638" s="305"/>
      <c r="CT638" s="249"/>
      <c r="CU638" s="216"/>
      <c r="CV638" s="1193"/>
      <c r="CW638" s="249"/>
      <c r="CX638" s="216"/>
      <c r="CY638" s="305"/>
      <c r="CZ638" s="249"/>
      <c r="DA638" s="216"/>
      <c r="DB638" s="307"/>
      <c r="DC638" s="328"/>
      <c r="DD638" s="322"/>
      <c r="DE638" s="305"/>
      <c r="DF638" s="249"/>
      <c r="DG638" s="216"/>
      <c r="DH638" s="305"/>
      <c r="DI638" s="249"/>
      <c r="DJ638" s="216"/>
      <c r="DK638" s="309"/>
      <c r="DL638" s="293"/>
      <c r="DM638" s="326"/>
      <c r="DN638" s="1256"/>
      <c r="DO638" s="214"/>
      <c r="DP638" s="1257"/>
      <c r="DQ638" s="1258"/>
      <c r="DR638" s="305"/>
      <c r="DS638" s="249"/>
      <c r="DT638" s="216"/>
      <c r="DU638" s="305"/>
      <c r="DV638" s="2520"/>
      <c r="DW638" s="2521"/>
      <c r="DX638" s="305"/>
      <c r="DY638" s="249"/>
      <c r="DZ638" s="221"/>
      <c r="EA638" s="388"/>
      <c r="EB638" s="249"/>
      <c r="EC638" s="216"/>
      <c r="ED638" s="1461"/>
      <c r="EE638" s="249"/>
      <c r="EF638" s="216"/>
      <c r="EG638" s="355"/>
      <c r="EH638" s="1425"/>
      <c r="EI638" s="1470"/>
      <c r="EJ638" s="249"/>
      <c r="EK638" s="221"/>
      <c r="EL638" s="313"/>
      <c r="EM638" s="249"/>
      <c r="EN638" s="221"/>
      <c r="EO638" s="313"/>
      <c r="EP638" s="249"/>
      <c r="EQ638" s="216"/>
      <c r="ER638" s="313"/>
      <c r="ES638" s="249"/>
      <c r="ET638" s="216"/>
      <c r="EU638" s="313"/>
      <c r="EV638" s="249"/>
      <c r="EW638" s="216"/>
      <c r="EX638" s="2505"/>
      <c r="EY638" s="249"/>
      <c r="EZ638" s="221"/>
      <c r="FA638" s="313"/>
      <c r="FB638" s="249"/>
      <c r="FC638" s="221"/>
      <c r="FD638" s="313"/>
      <c r="FE638" s="249"/>
      <c r="FF638" s="221"/>
      <c r="FG638" s="313"/>
      <c r="FH638" s="249"/>
      <c r="FI638" s="216"/>
      <c r="FJ638" s="1435"/>
      <c r="FK638" s="216"/>
      <c r="FL638" s="1268"/>
      <c r="FM638" s="1655"/>
      <c r="FN638" s="1268"/>
      <c r="FO638" s="1655"/>
      <c r="FP638" s="1268"/>
      <c r="FQ638" s="1656"/>
      <c r="FR638" s="249"/>
      <c r="FS638" s="216"/>
      <c r="FT638" s="1657"/>
      <c r="FU638" s="1658"/>
      <c r="FV638" s="242"/>
      <c r="FW638" s="343"/>
      <c r="FX638" s="222"/>
      <c r="FY638" s="336"/>
      <c r="FZ638" s="223"/>
      <c r="GA638" s="338"/>
      <c r="GB638" s="204"/>
      <c r="GC638" s="339"/>
      <c r="GD638" s="342"/>
      <c r="GE638" s="199"/>
      <c r="GF638" s="199"/>
      <c r="GG638" s="199"/>
      <c r="GH638" s="199"/>
      <c r="GI638" s="199"/>
      <c r="GJ638" s="199"/>
      <c r="GK638" s="199"/>
      <c r="GO638" s="322"/>
      <c r="GP638" s="1190"/>
      <c r="GQ638" s="1190"/>
      <c r="GS638" s="2879"/>
      <c r="GT638" s="2880"/>
      <c r="GU638" s="2881"/>
    </row>
    <row r="639" spans="1:203" ht="12" customHeight="1">
      <c r="A639" s="1252"/>
      <c r="B639" s="200"/>
      <c r="C639" s="486"/>
      <c r="T639" s="1186"/>
      <c r="U639" s="233"/>
      <c r="W639" s="218"/>
      <c r="X639" s="218"/>
      <c r="Y639" s="216"/>
      <c r="Z639" s="216"/>
      <c r="AA639" s="215"/>
      <c r="AB639" s="216"/>
      <c r="AC639" s="216"/>
      <c r="AD639" s="239"/>
      <c r="AE639" s="216"/>
      <c r="AF639" s="216"/>
      <c r="AG639" s="216"/>
      <c r="AH639" s="216"/>
      <c r="AI639" s="216"/>
      <c r="AJ639" s="216"/>
      <c r="AK639" s="239"/>
      <c r="AL639" s="216"/>
      <c r="AM639" s="216"/>
      <c r="AN639" s="216"/>
      <c r="AO639" s="216"/>
      <c r="AP639" s="216"/>
      <c r="AQ639" s="216"/>
      <c r="AR639" s="216"/>
      <c r="AS639" s="216"/>
      <c r="AT639" s="216"/>
      <c r="AU639" s="216"/>
      <c r="AV639" s="217"/>
      <c r="AW639" s="355"/>
      <c r="AX639" s="217"/>
      <c r="AY639" s="305"/>
      <c r="AZ639" s="249"/>
      <c r="BA639" s="221"/>
      <c r="BB639" s="300"/>
      <c r="BC639" s="217"/>
      <c r="BD639" s="392"/>
      <c r="BE639" s="1244"/>
      <c r="BF639" s="249"/>
      <c r="BG639" s="252"/>
      <c r="BH639" s="1469"/>
      <c r="BI639" s="216"/>
      <c r="BJ639" s="1469"/>
      <c r="BK639" s="1459"/>
      <c r="BL639" s="260"/>
      <c r="BM639" s="214"/>
      <c r="BN639" s="293"/>
      <c r="BO639" s="217"/>
      <c r="BP639" s="355"/>
      <c r="BQ639" s="217"/>
      <c r="BR639" s="1193"/>
      <c r="BS639" s="249"/>
      <c r="BT639" s="216"/>
      <c r="BU639" s="1195"/>
      <c r="BV639" s="249"/>
      <c r="BW639" s="216"/>
      <c r="BX639" s="1195"/>
      <c r="BY639" s="249"/>
      <c r="BZ639" s="216"/>
      <c r="CA639" s="1195"/>
      <c r="CB639" s="249"/>
      <c r="CC639" s="216"/>
      <c r="CD639" s="1195"/>
      <c r="CE639" s="249"/>
      <c r="CF639" s="216"/>
      <c r="CG639" s="1195"/>
      <c r="CH639" s="249"/>
      <c r="CI639" s="216"/>
      <c r="CJ639" s="1195"/>
      <c r="CK639" s="249"/>
      <c r="CL639" s="216"/>
      <c r="CM639" s="1194"/>
      <c r="CN639" s="1524"/>
      <c r="CO639" s="217"/>
      <c r="CP639" s="1193"/>
      <c r="CQ639" s="293"/>
      <c r="CR639" s="217"/>
      <c r="CS639" s="305"/>
      <c r="CT639" s="249"/>
      <c r="CU639" s="216"/>
      <c r="CV639" s="1193"/>
      <c r="CW639" s="249"/>
      <c r="CX639" s="216"/>
      <c r="CY639" s="305"/>
      <c r="CZ639" s="249"/>
      <c r="DA639" s="216"/>
      <c r="DB639" s="307"/>
      <c r="DC639" s="328"/>
      <c r="DD639" s="322"/>
      <c r="DE639" s="305"/>
      <c r="DF639" s="249"/>
      <c r="DG639" s="216"/>
      <c r="DH639" s="305"/>
      <c r="DI639" s="249"/>
      <c r="DJ639" s="216"/>
      <c r="DK639" s="309"/>
      <c r="DL639" s="293"/>
      <c r="DM639" s="326"/>
      <c r="DN639" s="1256"/>
      <c r="DO639" s="214"/>
      <c r="DP639" s="1257"/>
      <c r="DQ639" s="1258"/>
      <c r="DR639" s="305"/>
      <c r="DS639" s="249"/>
      <c r="DT639" s="216"/>
      <c r="DU639" s="305"/>
      <c r="DV639" s="2520"/>
      <c r="DW639" s="2521"/>
      <c r="DX639" s="305"/>
      <c r="DY639" s="249"/>
      <c r="DZ639" s="221"/>
      <c r="EA639" s="388"/>
      <c r="EB639" s="249"/>
      <c r="EC639" s="216"/>
      <c r="ED639" s="1461"/>
      <c r="EE639" s="249"/>
      <c r="EF639" s="216"/>
      <c r="EG639" s="355"/>
      <c r="EH639" s="1425"/>
      <c r="EI639" s="1470"/>
      <c r="EJ639" s="249"/>
      <c r="EK639" s="221"/>
      <c r="EL639" s="313"/>
      <c r="EM639" s="249"/>
      <c r="EN639" s="221"/>
      <c r="EO639" s="313"/>
      <c r="EP639" s="249"/>
      <c r="EQ639" s="216"/>
      <c r="ER639" s="313"/>
      <c r="ES639" s="249"/>
      <c r="ET639" s="216"/>
      <c r="EU639" s="313"/>
      <c r="EV639" s="249"/>
      <c r="EW639" s="216"/>
      <c r="EX639" s="2505"/>
      <c r="EY639" s="249"/>
      <c r="EZ639" s="221"/>
      <c r="FA639" s="313"/>
      <c r="FB639" s="249"/>
      <c r="FC639" s="221"/>
      <c r="FD639" s="313"/>
      <c r="FE639" s="249"/>
      <c r="FF639" s="221"/>
      <c r="FG639" s="313"/>
      <c r="FH639" s="249"/>
      <c r="FI639" s="216"/>
      <c r="FJ639" s="1435"/>
      <c r="FK639" s="216"/>
      <c r="FL639" s="1268"/>
      <c r="FM639" s="1655"/>
      <c r="FN639" s="1268"/>
      <c r="FO639" s="1655"/>
      <c r="FP639" s="1268"/>
      <c r="FQ639" s="1656"/>
      <c r="FR639" s="249"/>
      <c r="FS639" s="216"/>
      <c r="FT639" s="1657"/>
      <c r="FU639" s="1658"/>
      <c r="FV639" s="242"/>
      <c r="FW639" s="343"/>
      <c r="FX639" s="222"/>
      <c r="FY639" s="336"/>
      <c r="FZ639" s="223"/>
      <c r="GA639" s="338"/>
      <c r="GB639" s="204"/>
      <c r="GC639" s="339"/>
      <c r="GD639" s="342"/>
      <c r="GE639" s="199"/>
      <c r="GF639" s="199"/>
      <c r="GG639" s="199"/>
      <c r="GH639" s="199"/>
      <c r="GI639" s="199"/>
      <c r="GJ639" s="199"/>
      <c r="GK639" s="199"/>
      <c r="GO639" s="322"/>
      <c r="GP639" s="1190"/>
      <c r="GQ639" s="1190"/>
      <c r="GS639" s="2879"/>
      <c r="GT639" s="2880"/>
      <c r="GU639" s="2881"/>
    </row>
    <row r="640" spans="1:203" ht="12" customHeight="1">
      <c r="A640" s="1252"/>
      <c r="B640" s="200"/>
      <c r="C640" s="486"/>
      <c r="T640" s="1186"/>
      <c r="U640" s="233"/>
      <c r="W640" s="218"/>
      <c r="X640" s="218"/>
      <c r="Y640" s="216"/>
      <c r="Z640" s="216"/>
      <c r="AA640" s="215"/>
      <c r="AB640" s="216"/>
      <c r="AC640" s="216"/>
      <c r="AD640" s="239"/>
      <c r="AE640" s="216"/>
      <c r="AF640" s="216"/>
      <c r="AG640" s="216"/>
      <c r="AH640" s="216"/>
      <c r="AI640" s="216"/>
      <c r="AJ640" s="216"/>
      <c r="AK640" s="239"/>
      <c r="AL640" s="216"/>
      <c r="AM640" s="216"/>
      <c r="AN640" s="216"/>
      <c r="AO640" s="216"/>
      <c r="AP640" s="216"/>
      <c r="AQ640" s="216"/>
      <c r="AR640" s="216"/>
      <c r="AS640" s="216"/>
      <c r="AT640" s="216"/>
      <c r="AU640" s="216"/>
      <c r="AV640" s="217"/>
      <c r="AW640" s="355"/>
      <c r="AX640" s="217"/>
      <c r="AY640" s="305"/>
      <c r="AZ640" s="249"/>
      <c r="BA640" s="221"/>
      <c r="BB640" s="300"/>
      <c r="BC640" s="217"/>
      <c r="BD640" s="392"/>
      <c r="BE640" s="1244"/>
      <c r="BF640" s="249"/>
      <c r="BG640" s="252"/>
      <c r="BH640" s="1469"/>
      <c r="BI640" s="216"/>
      <c r="BJ640" s="1469"/>
      <c r="BK640" s="1459"/>
      <c r="BL640" s="260"/>
      <c r="BM640" s="214"/>
      <c r="BN640" s="293"/>
      <c r="BO640" s="217"/>
      <c r="BP640" s="355"/>
      <c r="BQ640" s="217"/>
      <c r="BR640" s="1193"/>
      <c r="BS640" s="249"/>
      <c r="BT640" s="216"/>
      <c r="BU640" s="1195"/>
      <c r="BV640" s="249"/>
      <c r="BW640" s="216"/>
      <c r="BX640" s="1195"/>
      <c r="BY640" s="249"/>
      <c r="BZ640" s="216"/>
      <c r="CA640" s="1195"/>
      <c r="CB640" s="249"/>
      <c r="CC640" s="216"/>
      <c r="CD640" s="1195"/>
      <c r="CE640" s="249"/>
      <c r="CF640" s="216"/>
      <c r="CG640" s="1195"/>
      <c r="CH640" s="249"/>
      <c r="CI640" s="216"/>
      <c r="CJ640" s="1195"/>
      <c r="CK640" s="249"/>
      <c r="CL640" s="216"/>
      <c r="CM640" s="1194"/>
      <c r="CN640" s="1524"/>
      <c r="CO640" s="217"/>
      <c r="CP640" s="1193"/>
      <c r="CQ640" s="293"/>
      <c r="CR640" s="217"/>
      <c r="CS640" s="305"/>
      <c r="CT640" s="249"/>
      <c r="CU640" s="216"/>
      <c r="CV640" s="1193"/>
      <c r="CW640" s="249"/>
      <c r="CX640" s="216"/>
      <c r="CY640" s="305"/>
      <c r="CZ640" s="249"/>
      <c r="DA640" s="216"/>
      <c r="DB640" s="307"/>
      <c r="DC640" s="328"/>
      <c r="DD640" s="322"/>
      <c r="DE640" s="305"/>
      <c r="DF640" s="249"/>
      <c r="DG640" s="216"/>
      <c r="DH640" s="305"/>
      <c r="DI640" s="249"/>
      <c r="DJ640" s="216"/>
      <c r="DK640" s="309"/>
      <c r="DL640" s="293"/>
      <c r="DM640" s="326"/>
      <c r="DN640" s="1256"/>
      <c r="DO640" s="214"/>
      <c r="DP640" s="1257"/>
      <c r="DQ640" s="1258"/>
      <c r="DR640" s="305"/>
      <c r="DS640" s="249"/>
      <c r="DT640" s="216"/>
      <c r="DU640" s="305"/>
      <c r="DV640" s="2520"/>
      <c r="DW640" s="2521"/>
      <c r="DX640" s="305"/>
      <c r="DY640" s="249"/>
      <c r="DZ640" s="221"/>
      <c r="EA640" s="388"/>
      <c r="EB640" s="249"/>
      <c r="EC640" s="216"/>
      <c r="ED640" s="1461"/>
      <c r="EE640" s="249"/>
      <c r="EF640" s="216"/>
      <c r="EG640" s="355"/>
      <c r="EH640" s="1425"/>
      <c r="EI640" s="1470"/>
      <c r="EJ640" s="249"/>
      <c r="EK640" s="221"/>
      <c r="EL640" s="313"/>
      <c r="EM640" s="249"/>
      <c r="EN640" s="221"/>
      <c r="EO640" s="313"/>
      <c r="EP640" s="249"/>
      <c r="EQ640" s="216"/>
      <c r="ER640" s="313"/>
      <c r="ES640" s="249"/>
      <c r="ET640" s="216"/>
      <c r="EU640" s="313"/>
      <c r="EV640" s="249"/>
      <c r="EW640" s="216"/>
      <c r="EX640" s="2505"/>
      <c r="EY640" s="249"/>
      <c r="EZ640" s="221"/>
      <c r="FA640" s="313"/>
      <c r="FB640" s="249"/>
      <c r="FC640" s="221"/>
      <c r="FD640" s="313"/>
      <c r="FE640" s="249"/>
      <c r="FF640" s="221"/>
      <c r="FG640" s="313"/>
      <c r="FH640" s="249"/>
      <c r="FI640" s="216"/>
      <c r="FJ640" s="1435"/>
      <c r="FK640" s="216"/>
      <c r="FL640" s="1268"/>
      <c r="FM640" s="1655"/>
      <c r="FN640" s="1268"/>
      <c r="FO640" s="1655"/>
      <c r="FP640" s="1268"/>
      <c r="FQ640" s="1656"/>
      <c r="FR640" s="249"/>
      <c r="FS640" s="216"/>
      <c r="FT640" s="1657"/>
      <c r="FU640" s="1658"/>
      <c r="FV640" s="242"/>
      <c r="FW640" s="343"/>
      <c r="FX640" s="222"/>
      <c r="FY640" s="336"/>
      <c r="FZ640" s="223"/>
      <c r="GA640" s="338"/>
      <c r="GB640" s="204"/>
      <c r="GC640" s="339"/>
      <c r="GD640" s="342"/>
      <c r="GE640" s="199"/>
      <c r="GF640" s="199"/>
      <c r="GG640" s="199"/>
      <c r="GH640" s="199"/>
      <c r="GI640" s="199"/>
      <c r="GJ640" s="199"/>
      <c r="GK640" s="199"/>
      <c r="GO640" s="322"/>
      <c r="GP640" s="1190"/>
      <c r="GQ640" s="1190"/>
      <c r="GS640" s="2879"/>
      <c r="GT640" s="2880"/>
      <c r="GU640" s="2881"/>
    </row>
    <row r="641" spans="1:203" ht="12" customHeight="1">
      <c r="A641" s="1252"/>
      <c r="B641" s="200"/>
      <c r="C641" s="486"/>
      <c r="T641" s="1186"/>
      <c r="U641" s="233"/>
      <c r="W641" s="218"/>
      <c r="X641" s="218"/>
      <c r="Y641" s="216"/>
      <c r="Z641" s="216"/>
      <c r="AA641" s="215"/>
      <c r="AB641" s="216"/>
      <c r="AC641" s="216"/>
      <c r="AD641" s="239"/>
      <c r="AE641" s="216"/>
      <c r="AF641" s="216"/>
      <c r="AG641" s="216"/>
      <c r="AH641" s="216"/>
      <c r="AI641" s="216"/>
      <c r="AJ641" s="216"/>
      <c r="AK641" s="239"/>
      <c r="AL641" s="216"/>
      <c r="AM641" s="216"/>
      <c r="AN641" s="216"/>
      <c r="AO641" s="216"/>
      <c r="AP641" s="216"/>
      <c r="AQ641" s="216"/>
      <c r="AR641" s="216"/>
      <c r="AS641" s="216"/>
      <c r="AT641" s="216"/>
      <c r="AU641" s="216"/>
      <c r="AV641" s="217"/>
      <c r="AW641" s="355"/>
      <c r="AX641" s="217"/>
      <c r="AY641" s="305"/>
      <c r="AZ641" s="249"/>
      <c r="BA641" s="221"/>
      <c r="BB641" s="300"/>
      <c r="BC641" s="217"/>
      <c r="BD641" s="392"/>
      <c r="BE641" s="1244"/>
      <c r="BF641" s="249"/>
      <c r="BG641" s="252"/>
      <c r="BH641" s="1469"/>
      <c r="BI641" s="216"/>
      <c r="BJ641" s="1469"/>
      <c r="BK641" s="1459"/>
      <c r="BL641" s="260"/>
      <c r="BM641" s="214"/>
      <c r="BN641" s="293"/>
      <c r="BO641" s="217"/>
      <c r="BP641" s="355"/>
      <c r="BQ641" s="217"/>
      <c r="BR641" s="1193"/>
      <c r="BS641" s="249"/>
      <c r="BT641" s="216"/>
      <c r="BU641" s="1195"/>
      <c r="BV641" s="249"/>
      <c r="BW641" s="216"/>
      <c r="BX641" s="1195"/>
      <c r="BY641" s="249"/>
      <c r="BZ641" s="216"/>
      <c r="CA641" s="1195"/>
      <c r="CB641" s="249"/>
      <c r="CC641" s="216"/>
      <c r="CD641" s="1195"/>
      <c r="CE641" s="249"/>
      <c r="CF641" s="216"/>
      <c r="CG641" s="1195"/>
      <c r="CH641" s="249"/>
      <c r="CI641" s="216"/>
      <c r="CJ641" s="1195"/>
      <c r="CK641" s="249"/>
      <c r="CL641" s="216"/>
      <c r="CM641" s="1194"/>
      <c r="CN641" s="1524"/>
      <c r="CO641" s="217"/>
      <c r="CP641" s="1193"/>
      <c r="CQ641" s="293"/>
      <c r="CR641" s="217"/>
      <c r="CS641" s="305"/>
      <c r="CT641" s="249"/>
      <c r="CU641" s="216"/>
      <c r="CV641" s="1193"/>
      <c r="CW641" s="249"/>
      <c r="CX641" s="216"/>
      <c r="CY641" s="305"/>
      <c r="CZ641" s="249"/>
      <c r="DA641" s="216"/>
      <c r="DB641" s="307"/>
      <c r="DC641" s="328"/>
      <c r="DD641" s="322"/>
      <c r="DE641" s="305"/>
      <c r="DF641" s="249"/>
      <c r="DG641" s="216"/>
      <c r="DH641" s="305"/>
      <c r="DI641" s="249"/>
      <c r="DJ641" s="216"/>
      <c r="DK641" s="309"/>
      <c r="DL641" s="293"/>
      <c r="DM641" s="326"/>
      <c r="DN641" s="1256"/>
      <c r="DO641" s="214"/>
      <c r="DP641" s="1257"/>
      <c r="DQ641" s="1258"/>
      <c r="DR641" s="305"/>
      <c r="DS641" s="249"/>
      <c r="DT641" s="216"/>
      <c r="DU641" s="305"/>
      <c r="DV641" s="2520"/>
      <c r="DW641" s="2521"/>
      <c r="DX641" s="305"/>
      <c r="DY641" s="249"/>
      <c r="DZ641" s="221"/>
      <c r="EA641" s="388"/>
      <c r="EB641" s="249"/>
      <c r="EC641" s="216"/>
      <c r="ED641" s="1461"/>
      <c r="EE641" s="249"/>
      <c r="EF641" s="216"/>
      <c r="EG641" s="355"/>
      <c r="EH641" s="1425"/>
      <c r="EI641" s="1470"/>
      <c r="EJ641" s="249"/>
      <c r="EK641" s="221"/>
      <c r="EL641" s="313"/>
      <c r="EM641" s="249"/>
      <c r="EN641" s="221"/>
      <c r="EO641" s="313"/>
      <c r="EP641" s="249"/>
      <c r="EQ641" s="216"/>
      <c r="ER641" s="313"/>
      <c r="ES641" s="249"/>
      <c r="ET641" s="216"/>
      <c r="EU641" s="313"/>
      <c r="EV641" s="249"/>
      <c r="EW641" s="216"/>
      <c r="EX641" s="2505"/>
      <c r="EY641" s="249"/>
      <c r="EZ641" s="221"/>
      <c r="FA641" s="313"/>
      <c r="FB641" s="249"/>
      <c r="FC641" s="221"/>
      <c r="FD641" s="313"/>
      <c r="FE641" s="249"/>
      <c r="FF641" s="221"/>
      <c r="FG641" s="313"/>
      <c r="FH641" s="249"/>
      <c r="FI641" s="216"/>
      <c r="FJ641" s="1435"/>
      <c r="FK641" s="216"/>
      <c r="FL641" s="1268"/>
      <c r="FM641" s="1655"/>
      <c r="FN641" s="1268"/>
      <c r="FO641" s="1655"/>
      <c r="FP641" s="1268"/>
      <c r="FQ641" s="1656"/>
      <c r="FR641" s="249"/>
      <c r="FS641" s="216"/>
      <c r="FT641" s="1657"/>
      <c r="FU641" s="1658"/>
      <c r="FV641" s="242"/>
      <c r="FW641" s="343"/>
      <c r="FX641" s="222"/>
      <c r="FY641" s="336"/>
      <c r="FZ641" s="223"/>
      <c r="GA641" s="338"/>
      <c r="GB641" s="204"/>
      <c r="GC641" s="339"/>
      <c r="GD641" s="342"/>
      <c r="GE641" s="199"/>
      <c r="GF641" s="199"/>
      <c r="GG641" s="199"/>
      <c r="GH641" s="199"/>
      <c r="GI641" s="199"/>
      <c r="GJ641" s="199"/>
      <c r="GK641" s="199"/>
      <c r="GO641" s="322"/>
      <c r="GP641" s="1190"/>
      <c r="GQ641" s="1190"/>
      <c r="GS641" s="2879"/>
      <c r="GT641" s="2880"/>
      <c r="GU641" s="2881"/>
    </row>
    <row r="642" spans="1:203" ht="12" customHeight="1">
      <c r="A642" s="1252"/>
      <c r="B642" s="200"/>
      <c r="C642" s="486"/>
      <c r="T642" s="1186"/>
      <c r="U642" s="233"/>
      <c r="W642" s="218"/>
      <c r="X642" s="218"/>
      <c r="Y642" s="216"/>
      <c r="Z642" s="216"/>
      <c r="AA642" s="215"/>
      <c r="AB642" s="216"/>
      <c r="AC642" s="216"/>
      <c r="AD642" s="239"/>
      <c r="AE642" s="216"/>
      <c r="AF642" s="216"/>
      <c r="AG642" s="216"/>
      <c r="AH642" s="216"/>
      <c r="AI642" s="216"/>
      <c r="AJ642" s="216"/>
      <c r="AK642" s="239"/>
      <c r="AL642" s="216"/>
      <c r="AM642" s="216"/>
      <c r="AN642" s="216"/>
      <c r="AO642" s="216"/>
      <c r="AP642" s="216"/>
      <c r="AQ642" s="216"/>
      <c r="AR642" s="216"/>
      <c r="AS642" s="216"/>
      <c r="AT642" s="216"/>
      <c r="AU642" s="216"/>
      <c r="AV642" s="217"/>
      <c r="AW642" s="355"/>
      <c r="AX642" s="217"/>
      <c r="AY642" s="305"/>
      <c r="AZ642" s="249"/>
      <c r="BA642" s="221"/>
      <c r="BB642" s="300"/>
      <c r="BC642" s="217"/>
      <c r="BD642" s="392"/>
      <c r="BE642" s="1244"/>
      <c r="BF642" s="249"/>
      <c r="BG642" s="252"/>
      <c r="BH642" s="1469"/>
      <c r="BI642" s="216"/>
      <c r="BJ642" s="1469"/>
      <c r="BK642" s="1459"/>
      <c r="BL642" s="260"/>
      <c r="BM642" s="214"/>
      <c r="BN642" s="293"/>
      <c r="BO642" s="217"/>
      <c r="BP642" s="355"/>
      <c r="BQ642" s="217"/>
      <c r="BR642" s="1193"/>
      <c r="BS642" s="249"/>
      <c r="BT642" s="216"/>
      <c r="BU642" s="1195"/>
      <c r="BV642" s="249"/>
      <c r="BW642" s="216"/>
      <c r="BX642" s="1195"/>
      <c r="BY642" s="249"/>
      <c r="BZ642" s="216"/>
      <c r="CA642" s="1195"/>
      <c r="CB642" s="249"/>
      <c r="CC642" s="216"/>
      <c r="CD642" s="1195"/>
      <c r="CE642" s="249"/>
      <c r="CF642" s="216"/>
      <c r="CG642" s="1195"/>
      <c r="CH642" s="249"/>
      <c r="CI642" s="216"/>
      <c r="CJ642" s="1195"/>
      <c r="CK642" s="249"/>
      <c r="CL642" s="216"/>
      <c r="CM642" s="1194"/>
      <c r="CN642" s="1524"/>
      <c r="CO642" s="217"/>
      <c r="CP642" s="1193"/>
      <c r="CQ642" s="293"/>
      <c r="CR642" s="217"/>
      <c r="CS642" s="305"/>
      <c r="CT642" s="249"/>
      <c r="CU642" s="216"/>
      <c r="CV642" s="1193"/>
      <c r="CW642" s="249"/>
      <c r="CX642" s="216"/>
      <c r="CY642" s="305"/>
      <c r="CZ642" s="249"/>
      <c r="DA642" s="216"/>
      <c r="DB642" s="307"/>
      <c r="DC642" s="328"/>
      <c r="DD642" s="322"/>
      <c r="DE642" s="305"/>
      <c r="DF642" s="249"/>
      <c r="DG642" s="216"/>
      <c r="DH642" s="305"/>
      <c r="DI642" s="249"/>
      <c r="DJ642" s="216"/>
      <c r="DK642" s="309"/>
      <c r="DL642" s="293"/>
      <c r="DM642" s="326"/>
      <c r="DN642" s="1256"/>
      <c r="DO642" s="214"/>
      <c r="DP642" s="1257"/>
      <c r="DQ642" s="1258"/>
      <c r="DR642" s="305"/>
      <c r="DS642" s="249"/>
      <c r="DT642" s="216"/>
      <c r="DU642" s="305"/>
      <c r="DV642" s="2520"/>
      <c r="DW642" s="2521"/>
      <c r="DX642" s="305"/>
      <c r="DY642" s="249"/>
      <c r="DZ642" s="221"/>
      <c r="EA642" s="388"/>
      <c r="EB642" s="249"/>
      <c r="EC642" s="216"/>
      <c r="ED642" s="1461"/>
      <c r="EE642" s="249"/>
      <c r="EF642" s="216"/>
      <c r="EG642" s="355"/>
      <c r="EH642" s="1425"/>
      <c r="EI642" s="1470"/>
      <c r="EJ642" s="249"/>
      <c r="EK642" s="221"/>
      <c r="EL642" s="313"/>
      <c r="EM642" s="249"/>
      <c r="EN642" s="221"/>
      <c r="EO642" s="313"/>
      <c r="EP642" s="249"/>
      <c r="EQ642" s="216"/>
      <c r="ER642" s="313"/>
      <c r="ES642" s="249"/>
      <c r="ET642" s="216"/>
      <c r="EU642" s="313"/>
      <c r="EV642" s="249"/>
      <c r="EW642" s="216"/>
      <c r="EX642" s="2505"/>
      <c r="EY642" s="249"/>
      <c r="EZ642" s="221"/>
      <c r="FA642" s="313"/>
      <c r="FB642" s="249"/>
      <c r="FC642" s="221"/>
      <c r="FD642" s="313"/>
      <c r="FE642" s="249"/>
      <c r="FF642" s="221"/>
      <c r="FG642" s="313"/>
      <c r="FH642" s="249"/>
      <c r="FI642" s="216"/>
      <c r="FJ642" s="1435"/>
      <c r="FK642" s="216"/>
      <c r="FL642" s="1268"/>
      <c r="FM642" s="1655"/>
      <c r="FN642" s="1268"/>
      <c r="FO642" s="1655"/>
      <c r="FP642" s="1268"/>
      <c r="FQ642" s="1656"/>
      <c r="FR642" s="249"/>
      <c r="FS642" s="216"/>
      <c r="FT642" s="1657"/>
      <c r="FU642" s="1658"/>
      <c r="FV642" s="242"/>
      <c r="FW642" s="343"/>
      <c r="FX642" s="222"/>
      <c r="FY642" s="336"/>
      <c r="FZ642" s="223"/>
      <c r="GA642" s="338"/>
      <c r="GB642" s="204"/>
      <c r="GC642" s="339"/>
      <c r="GD642" s="342"/>
      <c r="GE642" s="199"/>
      <c r="GF642" s="199"/>
      <c r="GG642" s="199"/>
      <c r="GH642" s="199"/>
      <c r="GI642" s="199"/>
      <c r="GJ642" s="199"/>
      <c r="GK642" s="199"/>
      <c r="GO642" s="322"/>
      <c r="GP642" s="1190"/>
      <c r="GQ642" s="1190"/>
      <c r="GS642" s="2879"/>
      <c r="GT642" s="2880"/>
      <c r="GU642" s="2881"/>
    </row>
    <row r="643" spans="1:203" ht="12" customHeight="1">
      <c r="A643" s="1252"/>
      <c r="B643" s="200"/>
      <c r="C643" s="486"/>
      <c r="T643" s="1186"/>
      <c r="U643" s="233"/>
      <c r="W643" s="218"/>
      <c r="X643" s="218"/>
      <c r="Y643" s="216"/>
      <c r="Z643" s="216"/>
      <c r="AA643" s="215"/>
      <c r="AB643" s="216"/>
      <c r="AC643" s="216"/>
      <c r="AD643" s="239"/>
      <c r="AE643" s="216"/>
      <c r="AF643" s="216"/>
      <c r="AG643" s="216"/>
      <c r="AH643" s="216"/>
      <c r="AI643" s="216"/>
      <c r="AJ643" s="216"/>
      <c r="AK643" s="239"/>
      <c r="AL643" s="216"/>
      <c r="AM643" s="216"/>
      <c r="AN643" s="216"/>
      <c r="AO643" s="216"/>
      <c r="AP643" s="216"/>
      <c r="AQ643" s="216"/>
      <c r="AR643" s="216"/>
      <c r="AS643" s="216"/>
      <c r="AT643" s="216"/>
      <c r="AU643" s="216"/>
      <c r="AV643" s="217"/>
      <c r="AW643" s="355"/>
      <c r="AX643" s="217"/>
      <c r="AY643" s="305"/>
      <c r="AZ643" s="249"/>
      <c r="BA643" s="221"/>
      <c r="BB643" s="300"/>
      <c r="BC643" s="217"/>
      <c r="BD643" s="392"/>
      <c r="BE643" s="1244"/>
      <c r="BF643" s="249"/>
      <c r="BG643" s="252"/>
      <c r="BH643" s="1469"/>
      <c r="BI643" s="216"/>
      <c r="BJ643" s="1469"/>
      <c r="BK643" s="1459"/>
      <c r="BL643" s="260"/>
      <c r="BM643" s="214"/>
      <c r="BN643" s="293"/>
      <c r="BO643" s="217"/>
      <c r="BP643" s="355"/>
      <c r="BQ643" s="217"/>
      <c r="BR643" s="1193"/>
      <c r="BS643" s="249"/>
      <c r="BT643" s="216"/>
      <c r="BU643" s="1195"/>
      <c r="BV643" s="249"/>
      <c r="BW643" s="216"/>
      <c r="BX643" s="1195"/>
      <c r="BY643" s="249"/>
      <c r="BZ643" s="216"/>
      <c r="CA643" s="1195"/>
      <c r="CB643" s="249"/>
      <c r="CC643" s="216"/>
      <c r="CD643" s="1195"/>
      <c r="CE643" s="249"/>
      <c r="CF643" s="216"/>
      <c r="CG643" s="1195"/>
      <c r="CH643" s="249"/>
      <c r="CI643" s="216"/>
      <c r="CJ643" s="1195"/>
      <c r="CK643" s="249"/>
      <c r="CL643" s="216"/>
      <c r="CM643" s="1194"/>
      <c r="CN643" s="1524"/>
      <c r="CO643" s="217"/>
      <c r="CP643" s="1193"/>
      <c r="CQ643" s="293"/>
      <c r="CR643" s="217"/>
      <c r="CS643" s="305"/>
      <c r="CT643" s="249"/>
      <c r="CU643" s="216"/>
      <c r="CV643" s="1193"/>
      <c r="CW643" s="249"/>
      <c r="CX643" s="216"/>
      <c r="CY643" s="305"/>
      <c r="CZ643" s="249"/>
      <c r="DA643" s="216"/>
      <c r="DB643" s="307"/>
      <c r="DC643" s="328"/>
      <c r="DD643" s="322"/>
      <c r="DE643" s="305"/>
      <c r="DF643" s="249"/>
      <c r="DG643" s="216"/>
      <c r="DH643" s="305"/>
      <c r="DI643" s="249"/>
      <c r="DJ643" s="216"/>
      <c r="DK643" s="309"/>
      <c r="DL643" s="293"/>
      <c r="DM643" s="326"/>
      <c r="DN643" s="1256"/>
      <c r="DO643" s="214"/>
      <c r="DP643" s="1257"/>
      <c r="DQ643" s="1258"/>
      <c r="DR643" s="305"/>
      <c r="DS643" s="249"/>
      <c r="DT643" s="216"/>
      <c r="DU643" s="305"/>
      <c r="DV643" s="2520"/>
      <c r="DW643" s="2521"/>
      <c r="DX643" s="305"/>
      <c r="DY643" s="249"/>
      <c r="DZ643" s="221"/>
      <c r="EA643" s="388"/>
      <c r="EB643" s="249"/>
      <c r="EC643" s="216"/>
      <c r="ED643" s="1461"/>
      <c r="EE643" s="249"/>
      <c r="EF643" s="216"/>
      <c r="EG643" s="355"/>
      <c r="EH643" s="1425"/>
      <c r="EI643" s="1470"/>
      <c r="EJ643" s="249"/>
      <c r="EK643" s="221"/>
      <c r="EL643" s="313"/>
      <c r="EM643" s="249"/>
      <c r="EN643" s="221"/>
      <c r="EO643" s="313"/>
      <c r="EP643" s="249"/>
      <c r="EQ643" s="216"/>
      <c r="ER643" s="313"/>
      <c r="ES643" s="249"/>
      <c r="ET643" s="216"/>
      <c r="EU643" s="313"/>
      <c r="EV643" s="249"/>
      <c r="EW643" s="216"/>
      <c r="EX643" s="2505"/>
      <c r="EY643" s="249"/>
      <c r="EZ643" s="221"/>
      <c r="FA643" s="313"/>
      <c r="FB643" s="249"/>
      <c r="FC643" s="221"/>
      <c r="FD643" s="313"/>
      <c r="FE643" s="249"/>
      <c r="FF643" s="221"/>
      <c r="FG643" s="313"/>
      <c r="FH643" s="249"/>
      <c r="FI643" s="216"/>
      <c r="FJ643" s="1435"/>
      <c r="FK643" s="216"/>
      <c r="FL643" s="1268"/>
      <c r="FM643" s="1655"/>
      <c r="FN643" s="1268"/>
      <c r="FO643" s="1655"/>
      <c r="FP643" s="1268"/>
      <c r="FQ643" s="1656"/>
      <c r="FR643" s="249"/>
      <c r="FS643" s="216"/>
      <c r="FT643" s="1657"/>
      <c r="FU643" s="1658"/>
      <c r="FV643" s="242"/>
      <c r="FW643" s="343"/>
      <c r="FX643" s="222"/>
      <c r="FY643" s="336"/>
      <c r="FZ643" s="223"/>
      <c r="GA643" s="338"/>
      <c r="GB643" s="204"/>
      <c r="GC643" s="339"/>
      <c r="GD643" s="342"/>
      <c r="GE643" s="199"/>
      <c r="GF643" s="199"/>
      <c r="GG643" s="199"/>
      <c r="GH643" s="199"/>
      <c r="GI643" s="199"/>
      <c r="GJ643" s="199"/>
      <c r="GK643" s="199"/>
      <c r="GO643" s="322"/>
      <c r="GP643" s="1190"/>
      <c r="GQ643" s="1190"/>
      <c r="GS643" s="2879"/>
      <c r="GT643" s="2880"/>
      <c r="GU643" s="2881"/>
    </row>
    <row r="644" spans="1:203" ht="12" customHeight="1">
      <c r="A644" s="1252"/>
      <c r="B644" s="200"/>
      <c r="C644" s="486"/>
      <c r="T644" s="1186"/>
      <c r="U644" s="233"/>
      <c r="W644" s="218"/>
      <c r="X644" s="218"/>
      <c r="Y644" s="216"/>
      <c r="Z644" s="216"/>
      <c r="AA644" s="215"/>
      <c r="AB644" s="216"/>
      <c r="AC644" s="216"/>
      <c r="AD644" s="239"/>
      <c r="AE644" s="216"/>
      <c r="AF644" s="216"/>
      <c r="AG644" s="216"/>
      <c r="AH644" s="216"/>
      <c r="AI644" s="216"/>
      <c r="AJ644" s="216"/>
      <c r="AK644" s="239"/>
      <c r="AL644" s="216"/>
      <c r="AM644" s="216"/>
      <c r="AN644" s="216"/>
      <c r="AO644" s="216"/>
      <c r="AP644" s="216"/>
      <c r="AQ644" s="216"/>
      <c r="AR644" s="216"/>
      <c r="AS644" s="216"/>
      <c r="AT644" s="216"/>
      <c r="AU644" s="216"/>
      <c r="AV644" s="217"/>
      <c r="AW644" s="355"/>
      <c r="AX644" s="217"/>
      <c r="AY644" s="305"/>
      <c r="AZ644" s="249"/>
      <c r="BA644" s="221"/>
      <c r="BB644" s="300"/>
      <c r="BC644" s="217"/>
      <c r="BD644" s="392"/>
      <c r="BE644" s="1244"/>
      <c r="BF644" s="249"/>
      <c r="BG644" s="252"/>
      <c r="BH644" s="1469"/>
      <c r="BI644" s="216"/>
      <c r="BJ644" s="1469"/>
      <c r="BK644" s="1459"/>
      <c r="BL644" s="260"/>
      <c r="BM644" s="214"/>
      <c r="BN644" s="293"/>
      <c r="BO644" s="217"/>
      <c r="BP644" s="355"/>
      <c r="BQ644" s="217"/>
      <c r="BR644" s="1193"/>
      <c r="BS644" s="249"/>
      <c r="BT644" s="216"/>
      <c r="BU644" s="1195"/>
      <c r="BV644" s="249"/>
      <c r="BW644" s="216"/>
      <c r="BX644" s="1195"/>
      <c r="BY644" s="249"/>
      <c r="BZ644" s="216"/>
      <c r="CA644" s="1195"/>
      <c r="CB644" s="249"/>
      <c r="CC644" s="216"/>
      <c r="CD644" s="1195"/>
      <c r="CE644" s="249"/>
      <c r="CF644" s="216"/>
      <c r="CG644" s="1195"/>
      <c r="CH644" s="249"/>
      <c r="CI644" s="216"/>
      <c r="CJ644" s="1195"/>
      <c r="CK644" s="249"/>
      <c r="CL644" s="216"/>
      <c r="CM644" s="1194"/>
      <c r="CN644" s="1524"/>
      <c r="CO644" s="217"/>
      <c r="CP644" s="1193"/>
      <c r="CQ644" s="293"/>
      <c r="CR644" s="217"/>
      <c r="CS644" s="305"/>
      <c r="CT644" s="249"/>
      <c r="CU644" s="216"/>
      <c r="CV644" s="1193"/>
      <c r="CW644" s="249"/>
      <c r="CX644" s="216"/>
      <c r="CY644" s="305"/>
      <c r="CZ644" s="249"/>
      <c r="DA644" s="216"/>
      <c r="DB644" s="307"/>
      <c r="DC644" s="328"/>
      <c r="DD644" s="322"/>
      <c r="DE644" s="305"/>
      <c r="DF644" s="249"/>
      <c r="DG644" s="216"/>
      <c r="DH644" s="305"/>
      <c r="DI644" s="249"/>
      <c r="DJ644" s="216"/>
      <c r="DK644" s="309"/>
      <c r="DL644" s="293"/>
      <c r="DM644" s="326"/>
      <c r="DN644" s="1256"/>
      <c r="DO644" s="214"/>
      <c r="DP644" s="1257"/>
      <c r="DQ644" s="1258"/>
      <c r="DR644" s="305"/>
      <c r="DS644" s="249"/>
      <c r="DT644" s="216"/>
      <c r="DU644" s="305"/>
      <c r="DV644" s="2520"/>
      <c r="DW644" s="2521"/>
      <c r="DX644" s="305"/>
      <c r="DY644" s="249"/>
      <c r="DZ644" s="221"/>
      <c r="EA644" s="388"/>
      <c r="EB644" s="249"/>
      <c r="EC644" s="216"/>
      <c r="ED644" s="1461"/>
      <c r="EE644" s="249"/>
      <c r="EF644" s="216"/>
      <c r="EG644" s="355"/>
      <c r="EH644" s="1425"/>
      <c r="EI644" s="1470"/>
      <c r="EJ644" s="249"/>
      <c r="EK644" s="221"/>
      <c r="EL644" s="313"/>
      <c r="EM644" s="249"/>
      <c r="EN644" s="221"/>
      <c r="EO644" s="313"/>
      <c r="EP644" s="249"/>
      <c r="EQ644" s="216"/>
      <c r="ER644" s="313"/>
      <c r="ES644" s="249"/>
      <c r="ET644" s="216"/>
      <c r="EU644" s="313"/>
      <c r="EV644" s="249"/>
      <c r="EW644" s="216"/>
      <c r="EX644" s="2505"/>
      <c r="EY644" s="249"/>
      <c r="EZ644" s="221"/>
      <c r="FA644" s="313"/>
      <c r="FB644" s="249"/>
      <c r="FC644" s="221"/>
      <c r="FD644" s="313"/>
      <c r="FE644" s="249"/>
      <c r="FF644" s="221"/>
      <c r="FG644" s="313"/>
      <c r="FH644" s="249"/>
      <c r="FI644" s="216"/>
      <c r="FJ644" s="1435"/>
      <c r="FK644" s="216"/>
      <c r="FL644" s="1268"/>
      <c r="FM644" s="1655"/>
      <c r="FN644" s="1268"/>
      <c r="FO644" s="1655"/>
      <c r="FP644" s="1268"/>
      <c r="FQ644" s="1656"/>
      <c r="FR644" s="249"/>
      <c r="FS644" s="216"/>
      <c r="FT644" s="1657"/>
      <c r="FU644" s="1658"/>
      <c r="FV644" s="242"/>
      <c r="FW644" s="343"/>
      <c r="FX644" s="222"/>
      <c r="FY644" s="336"/>
      <c r="FZ644" s="223"/>
      <c r="GA644" s="338"/>
      <c r="GB644" s="204"/>
      <c r="GC644" s="339"/>
      <c r="GD644" s="342"/>
      <c r="GE644" s="199"/>
      <c r="GF644" s="199"/>
      <c r="GG644" s="199"/>
      <c r="GH644" s="199"/>
      <c r="GI644" s="199"/>
      <c r="GJ644" s="199"/>
      <c r="GK644" s="199"/>
      <c r="GO644" s="322"/>
      <c r="GP644" s="1190"/>
      <c r="GQ644" s="1190"/>
      <c r="GS644" s="2879"/>
      <c r="GT644" s="2880"/>
      <c r="GU644" s="2881"/>
    </row>
    <row r="645" spans="1:203" ht="12" customHeight="1">
      <c r="A645" s="1252"/>
      <c r="B645" s="200"/>
      <c r="C645" s="486"/>
      <c r="T645" s="1186"/>
      <c r="U645" s="233"/>
      <c r="W645" s="218"/>
      <c r="X645" s="218"/>
      <c r="Y645" s="216"/>
      <c r="Z645" s="216"/>
      <c r="AA645" s="215"/>
      <c r="AB645" s="216"/>
      <c r="AC645" s="216"/>
      <c r="AD645" s="239"/>
      <c r="AE645" s="216"/>
      <c r="AF645" s="216"/>
      <c r="AG645" s="216"/>
      <c r="AH645" s="216"/>
      <c r="AI645" s="216"/>
      <c r="AJ645" s="216"/>
      <c r="AK645" s="239"/>
      <c r="AL645" s="216"/>
      <c r="AM645" s="216"/>
      <c r="AN645" s="216"/>
      <c r="AO645" s="216"/>
      <c r="AP645" s="216"/>
      <c r="AQ645" s="216"/>
      <c r="AR645" s="216"/>
      <c r="AS645" s="216"/>
      <c r="AT645" s="216"/>
      <c r="AU645" s="216"/>
      <c r="AV645" s="217"/>
      <c r="AW645" s="355"/>
      <c r="AX645" s="217"/>
      <c r="AY645" s="305"/>
      <c r="AZ645" s="249"/>
      <c r="BA645" s="221"/>
      <c r="BB645" s="300"/>
      <c r="BC645" s="217"/>
      <c r="BD645" s="392"/>
      <c r="BE645" s="1244"/>
      <c r="BF645" s="249"/>
      <c r="BG645" s="252"/>
      <c r="BH645" s="1469"/>
      <c r="BI645" s="216"/>
      <c r="BJ645" s="1469"/>
      <c r="BK645" s="1459"/>
      <c r="BL645" s="260"/>
      <c r="BM645" s="214"/>
      <c r="BN645" s="293"/>
      <c r="BO645" s="217"/>
      <c r="BP645" s="355"/>
      <c r="BQ645" s="217"/>
      <c r="BR645" s="1193"/>
      <c r="BS645" s="249"/>
      <c r="BT645" s="216"/>
      <c r="BU645" s="1195"/>
      <c r="BV645" s="249"/>
      <c r="BW645" s="216"/>
      <c r="BX645" s="1195"/>
      <c r="BY645" s="249"/>
      <c r="BZ645" s="216"/>
      <c r="CA645" s="1195"/>
      <c r="CB645" s="249"/>
      <c r="CC645" s="216"/>
      <c r="CD645" s="1195"/>
      <c r="CE645" s="249"/>
      <c r="CF645" s="216"/>
      <c r="CG645" s="1195"/>
      <c r="CH645" s="249"/>
      <c r="CI645" s="216"/>
      <c r="CJ645" s="1195"/>
      <c r="CK645" s="249"/>
      <c r="CL645" s="216"/>
      <c r="CM645" s="1194"/>
      <c r="CN645" s="1524"/>
      <c r="CO645" s="217"/>
      <c r="CP645" s="1193"/>
      <c r="CQ645" s="293"/>
      <c r="CR645" s="217"/>
      <c r="CS645" s="305"/>
      <c r="CT645" s="249"/>
      <c r="CU645" s="216"/>
      <c r="CV645" s="1193"/>
      <c r="CW645" s="249"/>
      <c r="CX645" s="216"/>
      <c r="CY645" s="305"/>
      <c r="CZ645" s="249"/>
      <c r="DA645" s="216"/>
      <c r="DB645" s="307"/>
      <c r="DC645" s="328"/>
      <c r="DD645" s="322"/>
      <c r="DE645" s="305"/>
      <c r="DF645" s="249"/>
      <c r="DG645" s="216"/>
      <c r="DH645" s="305"/>
      <c r="DI645" s="249"/>
      <c r="DJ645" s="216"/>
      <c r="DK645" s="309"/>
      <c r="DL645" s="293"/>
      <c r="DM645" s="326"/>
      <c r="DN645" s="1256"/>
      <c r="DO645" s="214"/>
      <c r="DP645" s="1257"/>
      <c r="DQ645" s="1258"/>
      <c r="DR645" s="305"/>
      <c r="DS645" s="249"/>
      <c r="DT645" s="216"/>
      <c r="DU645" s="305"/>
      <c r="DV645" s="2520"/>
      <c r="DW645" s="2521"/>
      <c r="DX645" s="305"/>
      <c r="DY645" s="249"/>
      <c r="DZ645" s="221"/>
      <c r="EA645" s="388"/>
      <c r="EB645" s="249"/>
      <c r="EC645" s="216"/>
      <c r="ED645" s="1461"/>
      <c r="EE645" s="249"/>
      <c r="EF645" s="216"/>
      <c r="EG645" s="355"/>
      <c r="EH645" s="1425"/>
      <c r="EI645" s="1470"/>
      <c r="EJ645" s="249"/>
      <c r="EK645" s="221"/>
      <c r="EL645" s="313"/>
      <c r="EM645" s="249"/>
      <c r="EN645" s="221"/>
      <c r="EO645" s="313"/>
      <c r="EP645" s="249"/>
      <c r="EQ645" s="216"/>
      <c r="ER645" s="313"/>
      <c r="ES645" s="249"/>
      <c r="ET645" s="216"/>
      <c r="EU645" s="313"/>
      <c r="EV645" s="249"/>
      <c r="EW645" s="216"/>
      <c r="EX645" s="2505"/>
      <c r="EY645" s="249"/>
      <c r="EZ645" s="221"/>
      <c r="FA645" s="313"/>
      <c r="FB645" s="249"/>
      <c r="FC645" s="221"/>
      <c r="FD645" s="313"/>
      <c r="FE645" s="249"/>
      <c r="FF645" s="221"/>
      <c r="FG645" s="313"/>
      <c r="FH645" s="249"/>
      <c r="FI645" s="216"/>
      <c r="FJ645" s="1435"/>
      <c r="FK645" s="216"/>
      <c r="FL645" s="1268"/>
      <c r="FM645" s="1655"/>
      <c r="FN645" s="1268"/>
      <c r="FO645" s="1655"/>
      <c r="FP645" s="1268"/>
      <c r="FQ645" s="1656"/>
      <c r="FR645" s="249"/>
      <c r="FS645" s="216"/>
      <c r="FT645" s="1657"/>
      <c r="FU645" s="1658"/>
      <c r="FV645" s="242"/>
      <c r="FW645" s="343"/>
      <c r="FX645" s="222"/>
      <c r="FY645" s="336"/>
      <c r="FZ645" s="223"/>
      <c r="GA645" s="338"/>
      <c r="GB645" s="204"/>
      <c r="GC645" s="339"/>
      <c r="GD645" s="342"/>
      <c r="GE645" s="199"/>
      <c r="GF645" s="199"/>
      <c r="GG645" s="199"/>
      <c r="GH645" s="199"/>
      <c r="GI645" s="199"/>
      <c r="GJ645" s="199"/>
      <c r="GK645" s="199"/>
      <c r="GO645" s="322"/>
      <c r="GP645" s="1190"/>
      <c r="GQ645" s="1190"/>
      <c r="GS645" s="2879"/>
      <c r="GT645" s="2880"/>
      <c r="GU645" s="2881"/>
    </row>
    <row r="646" spans="1:203" ht="12" customHeight="1">
      <c r="A646" s="1252"/>
      <c r="B646" s="200"/>
      <c r="C646" s="486"/>
      <c r="T646" s="1186"/>
      <c r="U646" s="233"/>
      <c r="W646" s="218"/>
      <c r="X646" s="218"/>
      <c r="Y646" s="216"/>
      <c r="Z646" s="216"/>
      <c r="AA646" s="215"/>
      <c r="AB646" s="216"/>
      <c r="AC646" s="216"/>
      <c r="AD646" s="239"/>
      <c r="AE646" s="216"/>
      <c r="AF646" s="216"/>
      <c r="AG646" s="216"/>
      <c r="AH646" s="216"/>
      <c r="AI646" s="216"/>
      <c r="AJ646" s="216"/>
      <c r="AK646" s="239"/>
      <c r="AL646" s="216"/>
      <c r="AM646" s="216"/>
      <c r="AN646" s="216"/>
      <c r="AO646" s="216"/>
      <c r="AP646" s="216"/>
      <c r="AQ646" s="216"/>
      <c r="AR646" s="216"/>
      <c r="AS646" s="216"/>
      <c r="AT646" s="216"/>
      <c r="AU646" s="216"/>
      <c r="AV646" s="217"/>
      <c r="AW646" s="355"/>
      <c r="AX646" s="217"/>
      <c r="AY646" s="305"/>
      <c r="AZ646" s="249"/>
      <c r="BA646" s="221"/>
      <c r="BB646" s="300"/>
      <c r="BC646" s="217"/>
      <c r="BD646" s="392"/>
      <c r="BE646" s="1244"/>
      <c r="BF646" s="249"/>
      <c r="BG646" s="252"/>
      <c r="BH646" s="1469"/>
      <c r="BI646" s="216"/>
      <c r="BJ646" s="1469"/>
      <c r="BK646" s="1459"/>
      <c r="BL646" s="260"/>
      <c r="BM646" s="214"/>
      <c r="BN646" s="293"/>
      <c r="BO646" s="217"/>
      <c r="BP646" s="355"/>
      <c r="BQ646" s="217"/>
      <c r="BR646" s="1193"/>
      <c r="BS646" s="249"/>
      <c r="BT646" s="216"/>
      <c r="BU646" s="1195"/>
      <c r="BV646" s="249"/>
      <c r="BW646" s="216"/>
      <c r="BX646" s="1195"/>
      <c r="BY646" s="249"/>
      <c r="BZ646" s="216"/>
      <c r="CA646" s="1195"/>
      <c r="CB646" s="249"/>
      <c r="CC646" s="216"/>
      <c r="CD646" s="1195"/>
      <c r="CE646" s="249"/>
      <c r="CF646" s="216"/>
      <c r="CG646" s="1195"/>
      <c r="CH646" s="249"/>
      <c r="CI646" s="216"/>
      <c r="CJ646" s="1195"/>
      <c r="CK646" s="249"/>
      <c r="CL646" s="216"/>
      <c r="CM646" s="1194"/>
      <c r="CN646" s="1524"/>
      <c r="CO646" s="217"/>
      <c r="CP646" s="1193"/>
      <c r="CQ646" s="293"/>
      <c r="CR646" s="217"/>
      <c r="CS646" s="305"/>
      <c r="CT646" s="249"/>
      <c r="CU646" s="216"/>
      <c r="CV646" s="1193"/>
      <c r="CW646" s="249"/>
      <c r="CX646" s="216"/>
      <c r="CY646" s="305"/>
      <c r="CZ646" s="249"/>
      <c r="DA646" s="216"/>
      <c r="DB646" s="307"/>
      <c r="DC646" s="328"/>
      <c r="DD646" s="322"/>
      <c r="DE646" s="305"/>
      <c r="DF646" s="249"/>
      <c r="DG646" s="216"/>
      <c r="DH646" s="305"/>
      <c r="DI646" s="249"/>
      <c r="DJ646" s="216"/>
      <c r="DK646" s="309"/>
      <c r="DL646" s="293"/>
      <c r="DM646" s="326"/>
      <c r="DN646" s="1256"/>
      <c r="DO646" s="214"/>
      <c r="DP646" s="1257"/>
      <c r="DQ646" s="1258"/>
      <c r="DR646" s="305"/>
      <c r="DS646" s="249"/>
      <c r="DT646" s="216"/>
      <c r="DU646" s="305"/>
      <c r="DV646" s="2520"/>
      <c r="DW646" s="2521"/>
      <c r="DX646" s="305"/>
      <c r="DY646" s="249"/>
      <c r="DZ646" s="221"/>
      <c r="EA646" s="388"/>
      <c r="EB646" s="249"/>
      <c r="EC646" s="216"/>
      <c r="ED646" s="1461"/>
      <c r="EE646" s="249"/>
      <c r="EF646" s="216"/>
      <c r="EG646" s="355"/>
      <c r="EH646" s="1425"/>
      <c r="EI646" s="1470"/>
      <c r="EJ646" s="249"/>
      <c r="EK646" s="221"/>
      <c r="EL646" s="313"/>
      <c r="EM646" s="249"/>
      <c r="EN646" s="221"/>
      <c r="EO646" s="313"/>
      <c r="EP646" s="249"/>
      <c r="EQ646" s="216"/>
      <c r="ER646" s="313"/>
      <c r="ES646" s="249"/>
      <c r="ET646" s="216"/>
      <c r="EU646" s="313"/>
      <c r="EV646" s="249"/>
      <c r="EW646" s="216"/>
      <c r="EX646" s="2505"/>
      <c r="EY646" s="249"/>
      <c r="EZ646" s="221"/>
      <c r="FA646" s="313"/>
      <c r="FB646" s="249"/>
      <c r="FC646" s="221"/>
      <c r="FD646" s="313"/>
      <c r="FE646" s="249"/>
      <c r="FF646" s="221"/>
      <c r="FG646" s="313"/>
      <c r="FH646" s="249"/>
      <c r="FI646" s="216"/>
      <c r="FJ646" s="1435"/>
      <c r="FK646" s="216"/>
      <c r="FL646" s="1268"/>
      <c r="FM646" s="1655"/>
      <c r="FN646" s="1268"/>
      <c r="FO646" s="1655"/>
      <c r="FP646" s="1268"/>
      <c r="FQ646" s="1656"/>
      <c r="FR646" s="249"/>
      <c r="FS646" s="216"/>
      <c r="FT646" s="1657"/>
      <c r="FU646" s="1658"/>
      <c r="FV646" s="242"/>
      <c r="FW646" s="343"/>
      <c r="FX646" s="222"/>
      <c r="FY646" s="336"/>
      <c r="FZ646" s="223"/>
      <c r="GA646" s="338"/>
      <c r="GB646" s="204"/>
      <c r="GC646" s="339"/>
      <c r="GD646" s="342"/>
      <c r="GE646" s="199"/>
      <c r="GF646" s="199"/>
      <c r="GG646" s="199"/>
      <c r="GH646" s="199"/>
      <c r="GI646" s="199"/>
      <c r="GJ646" s="199"/>
      <c r="GK646" s="199"/>
      <c r="GO646" s="322"/>
      <c r="GP646" s="1190"/>
      <c r="GQ646" s="1190"/>
      <c r="GS646" s="2879"/>
      <c r="GT646" s="2880"/>
      <c r="GU646" s="2881"/>
    </row>
    <row r="647" spans="1:203" ht="12" customHeight="1">
      <c r="A647" s="1252"/>
      <c r="B647" s="200"/>
      <c r="C647" s="486"/>
      <c r="T647" s="1186"/>
      <c r="U647" s="233"/>
      <c r="W647" s="218"/>
      <c r="X647" s="218"/>
      <c r="Y647" s="216"/>
      <c r="Z647" s="216"/>
      <c r="AA647" s="215"/>
      <c r="AB647" s="216"/>
      <c r="AC647" s="216"/>
      <c r="AD647" s="239"/>
      <c r="AE647" s="216"/>
      <c r="AF647" s="216"/>
      <c r="AG647" s="216"/>
      <c r="AH647" s="216"/>
      <c r="AI647" s="216"/>
      <c r="AJ647" s="216"/>
      <c r="AK647" s="239"/>
      <c r="AL647" s="216"/>
      <c r="AM647" s="216"/>
      <c r="AN647" s="216"/>
      <c r="AO647" s="216"/>
      <c r="AP647" s="216"/>
      <c r="AQ647" s="216"/>
      <c r="AR647" s="216"/>
      <c r="AS647" s="216"/>
      <c r="AT647" s="216"/>
      <c r="AU647" s="216"/>
      <c r="AV647" s="217"/>
      <c r="AW647" s="355"/>
      <c r="AX647" s="217"/>
      <c r="AY647" s="305"/>
      <c r="AZ647" s="249"/>
      <c r="BA647" s="221"/>
      <c r="BB647" s="300"/>
      <c r="BC647" s="217"/>
      <c r="BD647" s="392"/>
      <c r="BE647" s="1244"/>
      <c r="BF647" s="249"/>
      <c r="BG647" s="252"/>
      <c r="BH647" s="1469"/>
      <c r="BI647" s="216"/>
      <c r="BJ647" s="1469"/>
      <c r="BK647" s="1459"/>
      <c r="BL647" s="260"/>
      <c r="BM647" s="214"/>
      <c r="BN647" s="293"/>
      <c r="BO647" s="217"/>
      <c r="BP647" s="355"/>
      <c r="BQ647" s="217"/>
      <c r="BR647" s="1193"/>
      <c r="BS647" s="249"/>
      <c r="BT647" s="216"/>
      <c r="BU647" s="1195"/>
      <c r="BV647" s="249"/>
      <c r="BW647" s="216"/>
      <c r="BX647" s="1195"/>
      <c r="BY647" s="249"/>
      <c r="BZ647" s="216"/>
      <c r="CA647" s="1195"/>
      <c r="CB647" s="249"/>
      <c r="CC647" s="216"/>
      <c r="CD647" s="1195"/>
      <c r="CE647" s="249"/>
      <c r="CF647" s="216"/>
      <c r="CG647" s="1195"/>
      <c r="CH647" s="249"/>
      <c r="CI647" s="216"/>
      <c r="CJ647" s="1195"/>
      <c r="CK647" s="249"/>
      <c r="CL647" s="216"/>
      <c r="CM647" s="1194"/>
      <c r="CN647" s="1524"/>
      <c r="CO647" s="217"/>
      <c r="CP647" s="1193"/>
      <c r="CQ647" s="293"/>
      <c r="CR647" s="217"/>
      <c r="CS647" s="305"/>
      <c r="CT647" s="249"/>
      <c r="CU647" s="216"/>
      <c r="CV647" s="1193"/>
      <c r="CW647" s="249"/>
      <c r="CX647" s="216"/>
      <c r="CY647" s="305"/>
      <c r="CZ647" s="249"/>
      <c r="DA647" s="216"/>
      <c r="DB647" s="307"/>
      <c r="DC647" s="328"/>
      <c r="DD647" s="322"/>
      <c r="DE647" s="305"/>
      <c r="DF647" s="249"/>
      <c r="DG647" s="216"/>
      <c r="DH647" s="305"/>
      <c r="DI647" s="249"/>
      <c r="DJ647" s="216"/>
      <c r="DK647" s="309"/>
      <c r="DL647" s="293"/>
      <c r="DM647" s="326"/>
      <c r="DN647" s="1256"/>
      <c r="DO647" s="214"/>
      <c r="DP647" s="1257"/>
      <c r="DQ647" s="1258"/>
      <c r="DR647" s="305"/>
      <c r="DS647" s="249"/>
      <c r="DT647" s="216"/>
      <c r="DU647" s="305"/>
      <c r="DV647" s="2520"/>
      <c r="DW647" s="2521"/>
      <c r="DX647" s="305"/>
      <c r="DY647" s="249"/>
      <c r="DZ647" s="221"/>
      <c r="EA647" s="388"/>
      <c r="EB647" s="249"/>
      <c r="EC647" s="216"/>
      <c r="ED647" s="1461"/>
      <c r="EE647" s="249"/>
      <c r="EF647" s="216"/>
      <c r="EG647" s="355"/>
      <c r="EH647" s="1425"/>
      <c r="EI647" s="1470"/>
      <c r="EJ647" s="249"/>
      <c r="EK647" s="221"/>
      <c r="EL647" s="313"/>
      <c r="EM647" s="249"/>
      <c r="EN647" s="221"/>
      <c r="EO647" s="313"/>
      <c r="EP647" s="249"/>
      <c r="EQ647" s="216"/>
      <c r="ER647" s="313"/>
      <c r="ES647" s="249"/>
      <c r="ET647" s="216"/>
      <c r="EU647" s="313"/>
      <c r="EV647" s="249"/>
      <c r="EW647" s="216"/>
      <c r="EX647" s="2505"/>
      <c r="EY647" s="249"/>
      <c r="EZ647" s="221"/>
      <c r="FA647" s="313"/>
      <c r="FB647" s="249"/>
      <c r="FC647" s="221"/>
      <c r="FD647" s="313"/>
      <c r="FE647" s="249"/>
      <c r="FF647" s="221"/>
      <c r="FG647" s="313"/>
      <c r="FH647" s="249"/>
      <c r="FI647" s="216"/>
      <c r="FJ647" s="1435"/>
      <c r="FK647" s="216"/>
      <c r="FL647" s="1268"/>
      <c r="FM647" s="1655"/>
      <c r="FN647" s="1268"/>
      <c r="FO647" s="1655"/>
      <c r="FP647" s="1268"/>
      <c r="FQ647" s="1656"/>
      <c r="FR647" s="249"/>
      <c r="FS647" s="216"/>
      <c r="FT647" s="1657"/>
      <c r="FU647" s="1658"/>
      <c r="FV647" s="242"/>
      <c r="FW647" s="343"/>
      <c r="FX647" s="222"/>
      <c r="FY647" s="336"/>
      <c r="FZ647" s="223"/>
      <c r="GA647" s="338"/>
      <c r="GB647" s="204"/>
      <c r="GC647" s="339"/>
      <c r="GD647" s="342"/>
      <c r="GE647" s="199"/>
      <c r="GF647" s="199"/>
      <c r="GG647" s="199"/>
      <c r="GH647" s="199"/>
      <c r="GI647" s="199"/>
      <c r="GJ647" s="199"/>
      <c r="GK647" s="199"/>
      <c r="GO647" s="322"/>
      <c r="GP647" s="1190"/>
      <c r="GQ647" s="1190"/>
      <c r="GS647" s="2879"/>
      <c r="GT647" s="2880"/>
      <c r="GU647" s="2881"/>
    </row>
    <row r="648" spans="1:203" ht="12" customHeight="1">
      <c r="A648" s="1252"/>
      <c r="B648" s="200"/>
      <c r="C648" s="486"/>
      <c r="T648" s="1186"/>
      <c r="U648" s="233"/>
      <c r="W648" s="218"/>
      <c r="X648" s="218"/>
      <c r="Y648" s="216"/>
      <c r="Z648" s="216"/>
      <c r="AA648" s="215"/>
      <c r="AB648" s="216"/>
      <c r="AC648" s="216"/>
      <c r="AD648" s="239"/>
      <c r="AE648" s="216"/>
      <c r="AF648" s="216"/>
      <c r="AG648" s="216"/>
      <c r="AH648" s="216"/>
      <c r="AI648" s="216"/>
      <c r="AJ648" s="216"/>
      <c r="AK648" s="239"/>
      <c r="AL648" s="216"/>
      <c r="AM648" s="216"/>
      <c r="AN648" s="216"/>
      <c r="AO648" s="216"/>
      <c r="AP648" s="216"/>
      <c r="AQ648" s="216"/>
      <c r="AR648" s="216"/>
      <c r="AS648" s="216"/>
      <c r="AT648" s="216"/>
      <c r="AU648" s="216"/>
      <c r="AV648" s="217"/>
      <c r="AW648" s="355"/>
      <c r="AX648" s="217"/>
      <c r="AY648" s="305"/>
      <c r="AZ648" s="249"/>
      <c r="BA648" s="221"/>
      <c r="BB648" s="300"/>
      <c r="BC648" s="217"/>
      <c r="BD648" s="392"/>
      <c r="BE648" s="1244"/>
      <c r="BF648" s="249"/>
      <c r="BG648" s="252"/>
      <c r="BH648" s="1469"/>
      <c r="BI648" s="216"/>
      <c r="BJ648" s="1469"/>
      <c r="BK648" s="1459"/>
      <c r="BL648" s="260"/>
      <c r="BM648" s="214"/>
      <c r="BN648" s="293"/>
      <c r="BO648" s="217"/>
      <c r="BP648" s="355"/>
      <c r="BQ648" s="217"/>
      <c r="BR648" s="1193"/>
      <c r="BS648" s="249"/>
      <c r="BT648" s="216"/>
      <c r="BU648" s="1195"/>
      <c r="BV648" s="249"/>
      <c r="BW648" s="216"/>
      <c r="BX648" s="1195"/>
      <c r="BY648" s="249"/>
      <c r="BZ648" s="216"/>
      <c r="CA648" s="1195"/>
      <c r="CB648" s="249"/>
      <c r="CC648" s="216"/>
      <c r="CD648" s="1195"/>
      <c r="CE648" s="249"/>
      <c r="CF648" s="216"/>
      <c r="CG648" s="1195"/>
      <c r="CH648" s="249"/>
      <c r="CI648" s="216"/>
      <c r="CJ648" s="1195"/>
      <c r="CK648" s="249"/>
      <c r="CL648" s="216"/>
      <c r="CM648" s="1194"/>
      <c r="CN648" s="1524"/>
      <c r="CO648" s="217"/>
      <c r="CP648" s="1193"/>
      <c r="CQ648" s="293"/>
      <c r="CR648" s="217"/>
      <c r="CS648" s="305"/>
      <c r="CT648" s="249"/>
      <c r="CU648" s="216"/>
      <c r="CV648" s="1193"/>
      <c r="CW648" s="249"/>
      <c r="CX648" s="216"/>
      <c r="CY648" s="305"/>
      <c r="CZ648" s="249"/>
      <c r="DA648" s="216"/>
      <c r="DB648" s="307"/>
      <c r="DC648" s="328"/>
      <c r="DD648" s="322"/>
      <c r="DE648" s="305"/>
      <c r="DF648" s="249"/>
      <c r="DG648" s="216"/>
      <c r="DH648" s="305"/>
      <c r="DI648" s="249"/>
      <c r="DJ648" s="216"/>
      <c r="DK648" s="309"/>
      <c r="DL648" s="293"/>
      <c r="DM648" s="326"/>
      <c r="DN648" s="1256"/>
      <c r="DO648" s="214"/>
      <c r="DP648" s="1257"/>
      <c r="DQ648" s="1258"/>
      <c r="DR648" s="305"/>
      <c r="DS648" s="249"/>
      <c r="DT648" s="216"/>
      <c r="DU648" s="305"/>
      <c r="DV648" s="2520"/>
      <c r="DW648" s="2521"/>
      <c r="DX648" s="305"/>
      <c r="DY648" s="249"/>
      <c r="DZ648" s="221"/>
      <c r="EA648" s="388"/>
      <c r="EB648" s="249"/>
      <c r="EC648" s="216"/>
      <c r="ED648" s="1461"/>
      <c r="EE648" s="249"/>
      <c r="EF648" s="216"/>
      <c r="EG648" s="355"/>
      <c r="EH648" s="1425"/>
      <c r="EI648" s="1470"/>
      <c r="EJ648" s="249"/>
      <c r="EK648" s="221"/>
      <c r="EL648" s="313"/>
      <c r="EM648" s="249"/>
      <c r="EN648" s="221"/>
      <c r="EO648" s="313"/>
      <c r="EP648" s="249"/>
      <c r="EQ648" s="216"/>
      <c r="ER648" s="313"/>
      <c r="ES648" s="249"/>
      <c r="ET648" s="216"/>
      <c r="EU648" s="313"/>
      <c r="EV648" s="249"/>
      <c r="EW648" s="216"/>
      <c r="EX648" s="2505"/>
      <c r="EY648" s="249"/>
      <c r="EZ648" s="221"/>
      <c r="FA648" s="313"/>
      <c r="FB648" s="249"/>
      <c r="FC648" s="221"/>
      <c r="FD648" s="313"/>
      <c r="FE648" s="249"/>
      <c r="FF648" s="221"/>
      <c r="FG648" s="313"/>
      <c r="FH648" s="249"/>
      <c r="FI648" s="216"/>
      <c r="FJ648" s="1435"/>
      <c r="FK648" s="216"/>
      <c r="FL648" s="1268"/>
      <c r="FM648" s="1655"/>
      <c r="FN648" s="1268"/>
      <c r="FO648" s="1655"/>
      <c r="FP648" s="1268"/>
      <c r="FQ648" s="1656"/>
      <c r="FR648" s="249"/>
      <c r="FS648" s="216"/>
      <c r="FT648" s="1657"/>
      <c r="FU648" s="1658"/>
      <c r="FV648" s="242"/>
      <c r="FW648" s="343"/>
      <c r="FX648" s="222"/>
      <c r="FY648" s="336"/>
      <c r="FZ648" s="223"/>
      <c r="GA648" s="338"/>
      <c r="GB648" s="204"/>
      <c r="GC648" s="339"/>
      <c r="GD648" s="342"/>
      <c r="GE648" s="199"/>
      <c r="GF648" s="199"/>
      <c r="GG648" s="199"/>
      <c r="GH648" s="199"/>
      <c r="GI648" s="199"/>
      <c r="GJ648" s="199"/>
      <c r="GK648" s="199"/>
      <c r="GO648" s="322"/>
      <c r="GP648" s="1190"/>
      <c r="GQ648" s="1190"/>
      <c r="GS648" s="2879"/>
      <c r="GT648" s="2880"/>
      <c r="GU648" s="2881"/>
    </row>
    <row r="649" spans="1:203" ht="12" customHeight="1">
      <c r="A649" s="1252"/>
      <c r="B649" s="200"/>
      <c r="C649" s="486"/>
      <c r="T649" s="1186"/>
      <c r="U649" s="233"/>
      <c r="W649" s="218"/>
      <c r="X649" s="218"/>
      <c r="Y649" s="216"/>
      <c r="Z649" s="216"/>
      <c r="AA649" s="215"/>
      <c r="AB649" s="216"/>
      <c r="AC649" s="216"/>
      <c r="AD649" s="239"/>
      <c r="AE649" s="216"/>
      <c r="AF649" s="216"/>
      <c r="AG649" s="216"/>
      <c r="AH649" s="216"/>
      <c r="AI649" s="216"/>
      <c r="AJ649" s="216"/>
      <c r="AK649" s="239"/>
      <c r="AL649" s="216"/>
      <c r="AM649" s="216"/>
      <c r="AN649" s="216"/>
      <c r="AO649" s="216"/>
      <c r="AP649" s="216"/>
      <c r="AQ649" s="216"/>
      <c r="AR649" s="216"/>
      <c r="AS649" s="216"/>
      <c r="AT649" s="216"/>
      <c r="AU649" s="216"/>
      <c r="AV649" s="217"/>
      <c r="AW649" s="355"/>
      <c r="AX649" s="217"/>
      <c r="AY649" s="305"/>
      <c r="AZ649" s="249"/>
      <c r="BA649" s="221"/>
      <c r="BB649" s="300"/>
      <c r="BC649" s="217"/>
      <c r="BD649" s="392"/>
      <c r="BE649" s="1244"/>
      <c r="BF649" s="249"/>
      <c r="BG649" s="252"/>
      <c r="BH649" s="1469"/>
      <c r="BI649" s="216"/>
      <c r="BJ649" s="1469"/>
      <c r="BK649" s="1459"/>
      <c r="BL649" s="260"/>
      <c r="BM649" s="214"/>
      <c r="BN649" s="293"/>
      <c r="BO649" s="217"/>
      <c r="BP649" s="355"/>
      <c r="BQ649" s="217"/>
      <c r="BR649" s="1193"/>
      <c r="BS649" s="249"/>
      <c r="BT649" s="216"/>
      <c r="BU649" s="1195"/>
      <c r="BV649" s="249"/>
      <c r="BW649" s="216"/>
      <c r="BX649" s="1195"/>
      <c r="BY649" s="249"/>
      <c r="BZ649" s="216"/>
      <c r="CA649" s="1195"/>
      <c r="CB649" s="249"/>
      <c r="CC649" s="216"/>
      <c r="CD649" s="1195"/>
      <c r="CE649" s="249"/>
      <c r="CF649" s="216"/>
      <c r="CG649" s="1195"/>
      <c r="CH649" s="249"/>
      <c r="CI649" s="216"/>
      <c r="CJ649" s="1195"/>
      <c r="CK649" s="249"/>
      <c r="CL649" s="216"/>
      <c r="CM649" s="1194"/>
      <c r="CN649" s="1524"/>
      <c r="CO649" s="217"/>
      <c r="CP649" s="1193"/>
      <c r="CQ649" s="293"/>
      <c r="CR649" s="217"/>
      <c r="CS649" s="305"/>
      <c r="CT649" s="249"/>
      <c r="CU649" s="216"/>
      <c r="CV649" s="1193"/>
      <c r="CW649" s="249"/>
      <c r="CX649" s="216"/>
      <c r="CY649" s="305"/>
      <c r="CZ649" s="249"/>
      <c r="DA649" s="216"/>
      <c r="DB649" s="307"/>
      <c r="DC649" s="328"/>
      <c r="DD649" s="322"/>
      <c r="DE649" s="305"/>
      <c r="DF649" s="249"/>
      <c r="DG649" s="216"/>
      <c r="DH649" s="305"/>
      <c r="DI649" s="249"/>
      <c r="DJ649" s="216"/>
      <c r="DK649" s="309"/>
      <c r="DL649" s="293"/>
      <c r="DM649" s="326"/>
      <c r="DN649" s="1256"/>
      <c r="DO649" s="214"/>
      <c r="DP649" s="1257"/>
      <c r="DQ649" s="1258"/>
      <c r="DR649" s="305"/>
      <c r="DS649" s="249"/>
      <c r="DT649" s="216"/>
      <c r="DU649" s="305"/>
      <c r="DV649" s="2520"/>
      <c r="DW649" s="2521"/>
      <c r="DX649" s="305"/>
      <c r="DY649" s="249"/>
      <c r="DZ649" s="221"/>
      <c r="EA649" s="388"/>
      <c r="EB649" s="249"/>
      <c r="EC649" s="216"/>
      <c r="ED649" s="1461"/>
      <c r="EE649" s="249"/>
      <c r="EF649" s="216"/>
      <c r="EG649" s="355"/>
      <c r="EH649" s="1425"/>
      <c r="EI649" s="1470"/>
      <c r="EJ649" s="249"/>
      <c r="EK649" s="221"/>
      <c r="EL649" s="313"/>
      <c r="EM649" s="249"/>
      <c r="EN649" s="221"/>
      <c r="EO649" s="313"/>
      <c r="EP649" s="249"/>
      <c r="EQ649" s="216"/>
      <c r="ER649" s="313"/>
      <c r="ES649" s="249"/>
      <c r="ET649" s="216"/>
      <c r="EU649" s="313"/>
      <c r="EV649" s="249"/>
      <c r="EW649" s="216"/>
      <c r="EX649" s="2505"/>
      <c r="EY649" s="249"/>
      <c r="EZ649" s="221"/>
      <c r="FA649" s="313"/>
      <c r="FB649" s="249"/>
      <c r="FC649" s="221"/>
      <c r="FD649" s="313"/>
      <c r="FE649" s="249"/>
      <c r="FF649" s="221"/>
      <c r="FG649" s="313"/>
      <c r="FH649" s="249"/>
      <c r="FI649" s="216"/>
      <c r="FJ649" s="1435"/>
      <c r="FK649" s="216"/>
      <c r="FL649" s="1268"/>
      <c r="FM649" s="1655"/>
      <c r="FN649" s="1268"/>
      <c r="FO649" s="1655"/>
      <c r="FP649" s="1268"/>
      <c r="FQ649" s="1656"/>
      <c r="FR649" s="249"/>
      <c r="FS649" s="216"/>
      <c r="FT649" s="1657"/>
      <c r="FU649" s="1658"/>
      <c r="FV649" s="242"/>
      <c r="FW649" s="343"/>
      <c r="FX649" s="222"/>
      <c r="FY649" s="336"/>
      <c r="FZ649" s="223"/>
      <c r="GA649" s="338"/>
      <c r="GB649" s="204"/>
      <c r="GC649" s="339"/>
      <c r="GD649" s="342"/>
      <c r="GE649" s="199"/>
      <c r="GF649" s="199"/>
      <c r="GG649" s="199"/>
      <c r="GH649" s="199"/>
      <c r="GI649" s="199"/>
      <c r="GJ649" s="199"/>
      <c r="GK649" s="199"/>
      <c r="GO649" s="322"/>
      <c r="GP649" s="1190"/>
      <c r="GQ649" s="1190"/>
      <c r="GS649" s="2879"/>
      <c r="GT649" s="2880"/>
      <c r="GU649" s="2881"/>
    </row>
    <row r="650" spans="1:203" ht="12" customHeight="1">
      <c r="A650" s="1252"/>
      <c r="B650" s="200"/>
      <c r="C650" s="486"/>
      <c r="T650" s="1186"/>
      <c r="U650" s="233"/>
      <c r="W650" s="218"/>
      <c r="X650" s="218"/>
      <c r="Y650" s="216"/>
      <c r="Z650" s="216"/>
      <c r="AA650" s="215"/>
      <c r="AB650" s="216"/>
      <c r="AC650" s="216"/>
      <c r="AD650" s="239"/>
      <c r="AE650" s="216"/>
      <c r="AF650" s="216"/>
      <c r="AG650" s="216"/>
      <c r="AH650" s="216"/>
      <c r="AI650" s="216"/>
      <c r="AJ650" s="216"/>
      <c r="AK650" s="239"/>
      <c r="AL650" s="216"/>
      <c r="AM650" s="216"/>
      <c r="AN650" s="216"/>
      <c r="AO650" s="216"/>
      <c r="AP650" s="216"/>
      <c r="AQ650" s="216"/>
      <c r="AR650" s="216"/>
      <c r="AS650" s="216"/>
      <c r="AT650" s="216"/>
      <c r="AU650" s="216"/>
      <c r="AV650" s="217"/>
      <c r="AW650" s="355"/>
      <c r="AX650" s="217"/>
      <c r="AY650" s="305"/>
      <c r="AZ650" s="249"/>
      <c r="BA650" s="221"/>
      <c r="BB650" s="300"/>
      <c r="BC650" s="217"/>
      <c r="BD650" s="392"/>
      <c r="BE650" s="1244"/>
      <c r="BF650" s="249"/>
      <c r="BG650" s="252"/>
      <c r="BH650" s="1469"/>
      <c r="BI650" s="216"/>
      <c r="BJ650" s="1469"/>
      <c r="BK650" s="1459"/>
      <c r="BL650" s="260"/>
      <c r="BM650" s="214"/>
      <c r="BN650" s="293"/>
      <c r="BO650" s="217"/>
      <c r="BP650" s="355"/>
      <c r="BQ650" s="217"/>
      <c r="BR650" s="1193"/>
      <c r="BS650" s="249"/>
      <c r="BT650" s="216"/>
      <c r="BU650" s="1195"/>
      <c r="BV650" s="249"/>
      <c r="BW650" s="216"/>
      <c r="BX650" s="1195"/>
      <c r="BY650" s="249"/>
      <c r="BZ650" s="216"/>
      <c r="CA650" s="1195"/>
      <c r="CB650" s="249"/>
      <c r="CC650" s="216"/>
      <c r="CD650" s="1195"/>
      <c r="CE650" s="249"/>
      <c r="CF650" s="216"/>
      <c r="CG650" s="1195"/>
      <c r="CH650" s="249"/>
      <c r="CI650" s="216"/>
      <c r="CJ650" s="1195"/>
      <c r="CK650" s="249"/>
      <c r="CL650" s="216"/>
      <c r="CM650" s="1194"/>
      <c r="CN650" s="1524"/>
      <c r="CO650" s="217"/>
      <c r="CP650" s="1193"/>
      <c r="CQ650" s="293"/>
      <c r="CR650" s="217"/>
      <c r="CS650" s="305"/>
      <c r="CT650" s="249"/>
      <c r="CU650" s="216"/>
      <c r="CV650" s="1193"/>
      <c r="CW650" s="249"/>
      <c r="CX650" s="216"/>
      <c r="CY650" s="305"/>
      <c r="CZ650" s="249"/>
      <c r="DA650" s="216"/>
      <c r="DB650" s="307"/>
      <c r="DC650" s="328"/>
      <c r="DD650" s="322"/>
      <c r="DE650" s="305"/>
      <c r="DF650" s="249"/>
      <c r="DG650" s="216"/>
      <c r="DH650" s="305"/>
      <c r="DI650" s="249"/>
      <c r="DJ650" s="216"/>
      <c r="DK650" s="309"/>
      <c r="DL650" s="293"/>
      <c r="DM650" s="326"/>
      <c r="DN650" s="1256"/>
      <c r="DO650" s="214"/>
      <c r="DP650" s="1257"/>
      <c r="DQ650" s="1258"/>
      <c r="DR650" s="305"/>
      <c r="DS650" s="249"/>
      <c r="DT650" s="216"/>
      <c r="DU650" s="305"/>
      <c r="DV650" s="2520"/>
      <c r="DW650" s="2521"/>
      <c r="DX650" s="305"/>
      <c r="DY650" s="249"/>
      <c r="DZ650" s="221"/>
      <c r="EA650" s="388"/>
      <c r="EB650" s="249"/>
      <c r="EC650" s="216"/>
      <c r="ED650" s="1461"/>
      <c r="EE650" s="249"/>
      <c r="EF650" s="216"/>
      <c r="EG650" s="355"/>
      <c r="EH650" s="1425"/>
      <c r="EI650" s="1470"/>
      <c r="EJ650" s="249"/>
      <c r="EK650" s="221"/>
      <c r="EL650" s="313"/>
      <c r="EM650" s="249"/>
      <c r="EN650" s="221"/>
      <c r="EO650" s="313"/>
      <c r="EP650" s="249"/>
      <c r="EQ650" s="216"/>
      <c r="ER650" s="313"/>
      <c r="ES650" s="249"/>
      <c r="ET650" s="216"/>
      <c r="EU650" s="313"/>
      <c r="EV650" s="249"/>
      <c r="EW650" s="216"/>
      <c r="EX650" s="2505"/>
      <c r="EY650" s="249"/>
      <c r="EZ650" s="221"/>
      <c r="FA650" s="313"/>
      <c r="FB650" s="249"/>
      <c r="FC650" s="221"/>
      <c r="FD650" s="313"/>
      <c r="FE650" s="249"/>
      <c r="FF650" s="221"/>
      <c r="FG650" s="313"/>
      <c r="FH650" s="249"/>
      <c r="FI650" s="216"/>
      <c r="FJ650" s="1435"/>
      <c r="FK650" s="216"/>
      <c r="FL650" s="1268"/>
      <c r="FM650" s="1655"/>
      <c r="FN650" s="1268"/>
      <c r="FO650" s="1655"/>
      <c r="FP650" s="1268"/>
      <c r="FQ650" s="1656"/>
      <c r="FR650" s="249"/>
      <c r="FS650" s="216"/>
      <c r="FT650" s="1657"/>
      <c r="FU650" s="1658"/>
      <c r="FV650" s="242"/>
      <c r="FW650" s="343"/>
      <c r="FX650" s="222"/>
      <c r="FY650" s="336"/>
      <c r="FZ650" s="223"/>
      <c r="GA650" s="338"/>
      <c r="GB650" s="204"/>
      <c r="GC650" s="339"/>
      <c r="GD650" s="342"/>
      <c r="GE650" s="199"/>
      <c r="GF650" s="199"/>
      <c r="GG650" s="199"/>
      <c r="GH650" s="199"/>
      <c r="GI650" s="199"/>
      <c r="GJ650" s="199"/>
      <c r="GK650" s="199"/>
      <c r="GO650" s="322"/>
      <c r="GP650" s="1190"/>
      <c r="GQ650" s="1190"/>
      <c r="GS650" s="2879"/>
      <c r="GT650" s="2880"/>
      <c r="GU650" s="2881"/>
    </row>
    <row r="651" spans="1:203" ht="12" customHeight="1">
      <c r="A651" s="1252"/>
      <c r="B651" s="200"/>
      <c r="C651" s="486"/>
      <c r="T651" s="1186"/>
      <c r="U651" s="233"/>
      <c r="W651" s="218"/>
      <c r="X651" s="218"/>
      <c r="Y651" s="216"/>
      <c r="Z651" s="216"/>
      <c r="AA651" s="215"/>
      <c r="AB651" s="216"/>
      <c r="AC651" s="216"/>
      <c r="AD651" s="239"/>
      <c r="AE651" s="216"/>
      <c r="AF651" s="216"/>
      <c r="AG651" s="216"/>
      <c r="AH651" s="216"/>
      <c r="AI651" s="216"/>
      <c r="AJ651" s="216"/>
      <c r="AK651" s="239"/>
      <c r="AL651" s="216"/>
      <c r="AM651" s="216"/>
      <c r="AN651" s="216"/>
      <c r="AO651" s="216"/>
      <c r="AP651" s="216"/>
      <c r="AQ651" s="216"/>
      <c r="AR651" s="216"/>
      <c r="AS651" s="216"/>
      <c r="AT651" s="216"/>
      <c r="AU651" s="216"/>
      <c r="AV651" s="217"/>
      <c r="AW651" s="355"/>
      <c r="AX651" s="217"/>
      <c r="AY651" s="305"/>
      <c r="AZ651" s="249"/>
      <c r="BA651" s="221"/>
      <c r="BB651" s="300"/>
      <c r="BC651" s="217"/>
      <c r="BD651" s="392"/>
      <c r="BE651" s="1244"/>
      <c r="BF651" s="249"/>
      <c r="BG651" s="252"/>
      <c r="BH651" s="1469"/>
      <c r="BI651" s="216"/>
      <c r="BJ651" s="1469"/>
      <c r="BK651" s="1459"/>
      <c r="BL651" s="260"/>
      <c r="BM651" s="214"/>
      <c r="BN651" s="293"/>
      <c r="BO651" s="217"/>
      <c r="BP651" s="355"/>
      <c r="BQ651" s="217"/>
      <c r="BR651" s="1193"/>
      <c r="BS651" s="249"/>
      <c r="BT651" s="216"/>
      <c r="BU651" s="1195"/>
      <c r="BV651" s="249"/>
      <c r="BW651" s="216"/>
      <c r="BX651" s="1195"/>
      <c r="BY651" s="249"/>
      <c r="BZ651" s="216"/>
      <c r="CA651" s="1195"/>
      <c r="CB651" s="249"/>
      <c r="CC651" s="216"/>
      <c r="CD651" s="1195"/>
      <c r="CE651" s="249"/>
      <c r="CF651" s="216"/>
      <c r="CG651" s="1195"/>
      <c r="CH651" s="249"/>
      <c r="CI651" s="216"/>
      <c r="CJ651" s="1195"/>
      <c r="CK651" s="249"/>
      <c r="CL651" s="216"/>
      <c r="CM651" s="1194"/>
      <c r="CN651" s="1524"/>
      <c r="CO651" s="217"/>
      <c r="CP651" s="1193"/>
      <c r="CQ651" s="293"/>
      <c r="CR651" s="217"/>
      <c r="CS651" s="305"/>
      <c r="CT651" s="249"/>
      <c r="CU651" s="216"/>
      <c r="CV651" s="1193"/>
      <c r="CW651" s="249"/>
      <c r="CX651" s="216"/>
      <c r="CY651" s="305"/>
      <c r="CZ651" s="249"/>
      <c r="DA651" s="216"/>
      <c r="DB651" s="307"/>
      <c r="DC651" s="328"/>
      <c r="DD651" s="322"/>
      <c r="DE651" s="305"/>
      <c r="DF651" s="249"/>
      <c r="DG651" s="216"/>
      <c r="DH651" s="305"/>
      <c r="DI651" s="249"/>
      <c r="DJ651" s="216"/>
      <c r="DK651" s="309"/>
      <c r="DL651" s="293"/>
      <c r="DM651" s="326"/>
      <c r="DN651" s="1256"/>
      <c r="DO651" s="214"/>
      <c r="DP651" s="1257"/>
      <c r="DQ651" s="1258"/>
      <c r="DR651" s="305"/>
      <c r="DS651" s="249"/>
      <c r="DT651" s="216"/>
      <c r="DU651" s="305"/>
      <c r="DV651" s="2520"/>
      <c r="DW651" s="2521"/>
      <c r="DX651" s="305"/>
      <c r="DY651" s="249"/>
      <c r="DZ651" s="221"/>
      <c r="EA651" s="388"/>
      <c r="EB651" s="249"/>
      <c r="EC651" s="216"/>
      <c r="ED651" s="1461"/>
      <c r="EE651" s="249"/>
      <c r="EF651" s="216"/>
      <c r="EG651" s="355"/>
      <c r="EH651" s="1425"/>
      <c r="EI651" s="1470"/>
      <c r="EJ651" s="249"/>
      <c r="EK651" s="221"/>
      <c r="EL651" s="313"/>
      <c r="EM651" s="249"/>
      <c r="EN651" s="221"/>
      <c r="EO651" s="313"/>
      <c r="EP651" s="249"/>
      <c r="EQ651" s="216"/>
      <c r="ER651" s="313"/>
      <c r="ES651" s="249"/>
      <c r="ET651" s="216"/>
      <c r="EU651" s="313"/>
      <c r="EV651" s="249"/>
      <c r="EW651" s="216"/>
      <c r="EX651" s="2505"/>
      <c r="EY651" s="249"/>
      <c r="EZ651" s="221"/>
      <c r="FA651" s="313"/>
      <c r="FB651" s="249"/>
      <c r="FC651" s="221"/>
      <c r="FD651" s="313"/>
      <c r="FE651" s="249"/>
      <c r="FF651" s="221"/>
      <c r="FG651" s="313"/>
      <c r="FH651" s="249"/>
      <c r="FI651" s="216"/>
      <c r="FJ651" s="1435"/>
      <c r="FK651" s="216"/>
      <c r="FL651" s="1268"/>
      <c r="FM651" s="1655"/>
      <c r="FN651" s="1268"/>
      <c r="FO651" s="1655"/>
      <c r="FP651" s="1268"/>
      <c r="FQ651" s="1656"/>
      <c r="FR651" s="249"/>
      <c r="FS651" s="216"/>
      <c r="FT651" s="1657"/>
      <c r="FU651" s="1658"/>
      <c r="FV651" s="242"/>
      <c r="FW651" s="343"/>
      <c r="FX651" s="222"/>
      <c r="FY651" s="336"/>
      <c r="FZ651" s="223"/>
      <c r="GA651" s="338"/>
      <c r="GB651" s="204"/>
      <c r="GC651" s="339"/>
      <c r="GD651" s="342"/>
      <c r="GE651" s="199"/>
      <c r="GF651" s="199"/>
      <c r="GG651" s="199"/>
      <c r="GH651" s="199"/>
      <c r="GI651" s="199"/>
      <c r="GJ651" s="199"/>
      <c r="GK651" s="199"/>
      <c r="GO651" s="322"/>
      <c r="GP651" s="1190"/>
      <c r="GQ651" s="1190"/>
      <c r="GS651" s="2879"/>
      <c r="GT651" s="2880"/>
      <c r="GU651" s="2881"/>
    </row>
    <row r="652" spans="1:203" ht="12" customHeight="1">
      <c r="A652" s="1252"/>
      <c r="B652" s="200"/>
      <c r="C652" s="486"/>
      <c r="T652" s="1186"/>
      <c r="U652" s="233"/>
      <c r="W652" s="218"/>
      <c r="X652" s="218"/>
      <c r="Y652" s="216"/>
      <c r="Z652" s="216"/>
      <c r="AA652" s="215"/>
      <c r="AB652" s="216"/>
      <c r="AC652" s="216"/>
      <c r="AD652" s="239"/>
      <c r="AE652" s="216"/>
      <c r="AF652" s="216"/>
      <c r="AG652" s="216"/>
      <c r="AH652" s="216"/>
      <c r="AI652" s="216"/>
      <c r="AJ652" s="216"/>
      <c r="AK652" s="239"/>
      <c r="AL652" s="216"/>
      <c r="AM652" s="216"/>
      <c r="AN652" s="216"/>
      <c r="AO652" s="216"/>
      <c r="AP652" s="216"/>
      <c r="AQ652" s="216"/>
      <c r="AR652" s="216"/>
      <c r="AS652" s="216"/>
      <c r="AT652" s="216"/>
      <c r="AU652" s="216"/>
      <c r="AV652" s="217"/>
      <c r="AW652" s="355"/>
      <c r="AX652" s="217"/>
      <c r="AY652" s="305"/>
      <c r="AZ652" s="249"/>
      <c r="BA652" s="221"/>
      <c r="BB652" s="300"/>
      <c r="BC652" s="217"/>
      <c r="BD652" s="392"/>
      <c r="BE652" s="1244"/>
      <c r="BF652" s="249"/>
      <c r="BG652" s="252"/>
      <c r="BH652" s="1469"/>
      <c r="BI652" s="216"/>
      <c r="BJ652" s="1469"/>
      <c r="BK652" s="1459"/>
      <c r="BL652" s="260"/>
      <c r="BM652" s="214"/>
      <c r="BN652" s="293"/>
      <c r="BO652" s="217"/>
      <c r="BP652" s="355"/>
      <c r="BQ652" s="217"/>
      <c r="BR652" s="1193"/>
      <c r="BS652" s="249"/>
      <c r="BT652" s="216"/>
      <c r="BU652" s="1195"/>
      <c r="BV652" s="249"/>
      <c r="BW652" s="216"/>
      <c r="BX652" s="1195"/>
      <c r="BY652" s="249"/>
      <c r="BZ652" s="216"/>
      <c r="CA652" s="1195"/>
      <c r="CB652" s="249"/>
      <c r="CC652" s="216"/>
      <c r="CD652" s="1195"/>
      <c r="CE652" s="249"/>
      <c r="CF652" s="216"/>
      <c r="CG652" s="1195"/>
      <c r="CH652" s="249"/>
      <c r="CI652" s="216"/>
      <c r="CJ652" s="1195"/>
      <c r="CK652" s="249"/>
      <c r="CL652" s="216"/>
      <c r="CM652" s="1194"/>
      <c r="CN652" s="1524"/>
      <c r="CO652" s="217"/>
      <c r="CP652" s="1193"/>
      <c r="CQ652" s="293"/>
      <c r="CR652" s="217"/>
      <c r="CS652" s="305"/>
      <c r="CT652" s="249"/>
      <c r="CU652" s="216"/>
      <c r="CV652" s="1193"/>
      <c r="CW652" s="249"/>
      <c r="CX652" s="216"/>
      <c r="CY652" s="305"/>
      <c r="CZ652" s="249"/>
      <c r="DA652" s="216"/>
      <c r="DB652" s="307"/>
      <c r="DC652" s="328"/>
      <c r="DD652" s="322"/>
      <c r="DE652" s="305"/>
      <c r="DF652" s="249"/>
      <c r="DG652" s="216"/>
      <c r="DH652" s="305"/>
      <c r="DI652" s="249"/>
      <c r="DJ652" s="216"/>
      <c r="DK652" s="309"/>
      <c r="DL652" s="293"/>
      <c r="DM652" s="326"/>
      <c r="DN652" s="1256"/>
      <c r="DO652" s="214"/>
      <c r="DP652" s="1257"/>
      <c r="DQ652" s="1258"/>
      <c r="DR652" s="305"/>
      <c r="DS652" s="249"/>
      <c r="DT652" s="216"/>
      <c r="DU652" s="305"/>
      <c r="DV652" s="2520"/>
      <c r="DW652" s="2521"/>
      <c r="DX652" s="305"/>
      <c r="DY652" s="249"/>
      <c r="DZ652" s="221"/>
      <c r="EA652" s="388"/>
      <c r="EB652" s="249"/>
      <c r="EC652" s="216"/>
      <c r="ED652" s="1461"/>
      <c r="EE652" s="249"/>
      <c r="EF652" s="216"/>
      <c r="EG652" s="355"/>
      <c r="EH652" s="1425"/>
      <c r="EI652" s="1470"/>
      <c r="EJ652" s="249"/>
      <c r="EK652" s="221"/>
      <c r="EL652" s="313"/>
      <c r="EM652" s="249"/>
      <c r="EN652" s="221"/>
      <c r="EO652" s="313"/>
      <c r="EP652" s="249"/>
      <c r="EQ652" s="216"/>
      <c r="ER652" s="313"/>
      <c r="ES652" s="249"/>
      <c r="ET652" s="216"/>
      <c r="EU652" s="313"/>
      <c r="EV652" s="249"/>
      <c r="EW652" s="216"/>
      <c r="EX652" s="2505"/>
      <c r="EY652" s="249"/>
      <c r="EZ652" s="221"/>
      <c r="FA652" s="313"/>
      <c r="FB652" s="249"/>
      <c r="FC652" s="221"/>
      <c r="FD652" s="313"/>
      <c r="FE652" s="249"/>
      <c r="FF652" s="221"/>
      <c r="FG652" s="313"/>
      <c r="FH652" s="249"/>
      <c r="FI652" s="216"/>
      <c r="FJ652" s="1435"/>
      <c r="FK652" s="216"/>
      <c r="FL652" s="1268"/>
      <c r="FM652" s="1655"/>
      <c r="FN652" s="1268"/>
      <c r="FO652" s="1655"/>
      <c r="FP652" s="1268"/>
      <c r="FQ652" s="1656"/>
      <c r="FR652" s="249"/>
      <c r="FS652" s="216"/>
      <c r="FT652" s="1657"/>
      <c r="FU652" s="1658"/>
      <c r="FV652" s="242"/>
      <c r="FW652" s="343"/>
      <c r="FX652" s="222"/>
      <c r="FY652" s="336"/>
      <c r="FZ652" s="223"/>
      <c r="GA652" s="338"/>
      <c r="GB652" s="204"/>
      <c r="GC652" s="339"/>
      <c r="GD652" s="342"/>
      <c r="GE652" s="199"/>
      <c r="GF652" s="199"/>
      <c r="GG652" s="199"/>
      <c r="GH652" s="199"/>
      <c r="GI652" s="199"/>
      <c r="GJ652" s="199"/>
      <c r="GK652" s="199"/>
      <c r="GO652" s="322"/>
      <c r="GP652" s="1190"/>
      <c r="GQ652" s="1190"/>
      <c r="GS652" s="2879"/>
      <c r="GT652" s="2880"/>
      <c r="GU652" s="2881"/>
    </row>
    <row r="653" spans="1:203" ht="12" customHeight="1">
      <c r="A653" s="1252"/>
      <c r="B653" s="200"/>
      <c r="C653" s="486"/>
      <c r="T653" s="1186"/>
      <c r="U653" s="233"/>
      <c r="W653" s="218"/>
      <c r="X653" s="218"/>
      <c r="Y653" s="216"/>
      <c r="Z653" s="216"/>
      <c r="AA653" s="215"/>
      <c r="AB653" s="216"/>
      <c r="AC653" s="216"/>
      <c r="AD653" s="239"/>
      <c r="AE653" s="216"/>
      <c r="AF653" s="216"/>
      <c r="AG653" s="216"/>
      <c r="AH653" s="216"/>
      <c r="AI653" s="216"/>
      <c r="AJ653" s="216"/>
      <c r="AK653" s="239"/>
      <c r="AL653" s="216"/>
      <c r="AM653" s="216"/>
      <c r="AN653" s="216"/>
      <c r="AO653" s="216"/>
      <c r="AP653" s="216"/>
      <c r="AQ653" s="216"/>
      <c r="AR653" s="216"/>
      <c r="AS653" s="216"/>
      <c r="AT653" s="216"/>
      <c r="AU653" s="216"/>
      <c r="AV653" s="217"/>
      <c r="AW653" s="355"/>
      <c r="AX653" s="217"/>
      <c r="AY653" s="305"/>
      <c r="AZ653" s="249"/>
      <c r="BA653" s="221"/>
      <c r="BB653" s="300"/>
      <c r="BC653" s="217"/>
      <c r="BD653" s="392"/>
      <c r="BE653" s="1244"/>
      <c r="BF653" s="249"/>
      <c r="BG653" s="252"/>
      <c r="BH653" s="1469"/>
      <c r="BI653" s="216"/>
      <c r="BJ653" s="1469"/>
      <c r="BK653" s="1459"/>
      <c r="BL653" s="260"/>
      <c r="BM653" s="214"/>
      <c r="BN653" s="293"/>
      <c r="BO653" s="217"/>
      <c r="BP653" s="355"/>
      <c r="BQ653" s="217"/>
      <c r="BR653" s="1193"/>
      <c r="BS653" s="249"/>
      <c r="BT653" s="216"/>
      <c r="BU653" s="1195"/>
      <c r="BV653" s="249"/>
      <c r="BW653" s="216"/>
      <c r="BX653" s="1195"/>
      <c r="BY653" s="249"/>
      <c r="BZ653" s="216"/>
      <c r="CA653" s="1195"/>
      <c r="CB653" s="249"/>
      <c r="CC653" s="216"/>
      <c r="CD653" s="1195"/>
      <c r="CE653" s="249"/>
      <c r="CF653" s="216"/>
      <c r="CG653" s="1195"/>
      <c r="CH653" s="249"/>
      <c r="CI653" s="216"/>
      <c r="CJ653" s="1195"/>
      <c r="CK653" s="249"/>
      <c r="CL653" s="216"/>
      <c r="CM653" s="1194"/>
      <c r="CN653" s="1524"/>
      <c r="CO653" s="217"/>
      <c r="CP653" s="1193"/>
      <c r="CQ653" s="293"/>
      <c r="CR653" s="217"/>
      <c r="CS653" s="305"/>
      <c r="CT653" s="249"/>
      <c r="CU653" s="216"/>
      <c r="CV653" s="1193"/>
      <c r="CW653" s="249"/>
      <c r="CX653" s="216"/>
      <c r="CY653" s="305"/>
      <c r="CZ653" s="249"/>
      <c r="DA653" s="216"/>
      <c r="DB653" s="307"/>
      <c r="DC653" s="328"/>
      <c r="DD653" s="322"/>
      <c r="DE653" s="305"/>
      <c r="DF653" s="249"/>
      <c r="DG653" s="216"/>
      <c r="DH653" s="305"/>
      <c r="DI653" s="249"/>
      <c r="DJ653" s="216"/>
      <c r="DK653" s="309"/>
      <c r="DL653" s="293"/>
      <c r="DM653" s="326"/>
      <c r="DN653" s="1256"/>
      <c r="DO653" s="214"/>
      <c r="DP653" s="1257"/>
      <c r="DQ653" s="1258"/>
      <c r="DR653" s="305"/>
      <c r="DS653" s="249"/>
      <c r="DT653" s="216"/>
      <c r="DU653" s="305"/>
      <c r="DV653" s="2520"/>
      <c r="DW653" s="2521"/>
      <c r="DX653" s="305"/>
      <c r="DY653" s="249"/>
      <c r="DZ653" s="221"/>
      <c r="EA653" s="388"/>
      <c r="EB653" s="249"/>
      <c r="EC653" s="216"/>
      <c r="ED653" s="1461"/>
      <c r="EE653" s="249"/>
      <c r="EF653" s="216"/>
      <c r="EG653" s="355"/>
      <c r="EH653" s="1425"/>
      <c r="EI653" s="1470"/>
      <c r="EJ653" s="249"/>
      <c r="EK653" s="221"/>
      <c r="EL653" s="313"/>
      <c r="EM653" s="249"/>
      <c r="EN653" s="221"/>
      <c r="EO653" s="313"/>
      <c r="EP653" s="249"/>
      <c r="EQ653" s="216"/>
      <c r="ER653" s="313"/>
      <c r="ES653" s="249"/>
      <c r="ET653" s="216"/>
      <c r="EU653" s="313"/>
      <c r="EV653" s="249"/>
      <c r="EW653" s="216"/>
      <c r="EX653" s="2505"/>
      <c r="EY653" s="249"/>
      <c r="EZ653" s="221"/>
      <c r="FA653" s="313"/>
      <c r="FB653" s="249"/>
      <c r="FC653" s="221"/>
      <c r="FD653" s="313"/>
      <c r="FE653" s="249"/>
      <c r="FF653" s="221"/>
      <c r="FG653" s="313"/>
      <c r="FH653" s="249"/>
      <c r="FI653" s="216"/>
      <c r="FJ653" s="1435"/>
      <c r="FK653" s="216"/>
      <c r="FL653" s="1268"/>
      <c r="FM653" s="1655"/>
      <c r="FN653" s="1268"/>
      <c r="FO653" s="1655"/>
      <c r="FP653" s="1268"/>
      <c r="FQ653" s="1656"/>
      <c r="FR653" s="249"/>
      <c r="FS653" s="216"/>
      <c r="FT653" s="1657"/>
      <c r="FU653" s="1658"/>
      <c r="FV653" s="242"/>
      <c r="FW653" s="343"/>
      <c r="FX653" s="222"/>
      <c r="FY653" s="336"/>
      <c r="FZ653" s="223"/>
      <c r="GA653" s="338"/>
      <c r="GB653" s="204"/>
      <c r="GC653" s="339"/>
      <c r="GD653" s="342"/>
      <c r="GE653" s="199"/>
      <c r="GF653" s="199"/>
      <c r="GG653" s="199"/>
      <c r="GH653" s="199"/>
      <c r="GI653" s="199"/>
      <c r="GJ653" s="199"/>
      <c r="GK653" s="199"/>
      <c r="GO653" s="322"/>
      <c r="GP653" s="1190"/>
      <c r="GQ653" s="1190"/>
      <c r="GS653" s="2879"/>
      <c r="GT653" s="2880"/>
      <c r="GU653" s="2881"/>
    </row>
    <row r="654" spans="1:203" ht="12" customHeight="1">
      <c r="A654" s="1252"/>
      <c r="B654" s="200"/>
      <c r="C654" s="486"/>
      <c r="T654" s="1186"/>
      <c r="U654" s="233"/>
      <c r="W654" s="218"/>
      <c r="X654" s="218"/>
      <c r="Y654" s="216"/>
      <c r="Z654" s="216"/>
      <c r="AA654" s="215"/>
      <c r="AB654" s="216"/>
      <c r="AC654" s="216"/>
      <c r="AD654" s="239"/>
      <c r="AE654" s="216"/>
      <c r="AF654" s="216"/>
      <c r="AG654" s="216"/>
      <c r="AH654" s="216"/>
      <c r="AI654" s="216"/>
      <c r="AJ654" s="216"/>
      <c r="AK654" s="239"/>
      <c r="AL654" s="216"/>
      <c r="AM654" s="216"/>
      <c r="AN654" s="216"/>
      <c r="AO654" s="216"/>
      <c r="AP654" s="216"/>
      <c r="AQ654" s="216"/>
      <c r="AR654" s="216"/>
      <c r="AS654" s="216"/>
      <c r="AT654" s="216"/>
      <c r="AU654" s="216"/>
      <c r="AV654" s="217"/>
      <c r="AW654" s="355"/>
      <c r="AX654" s="217"/>
      <c r="AY654" s="305"/>
      <c r="AZ654" s="249"/>
      <c r="BA654" s="221"/>
      <c r="BB654" s="300"/>
      <c r="BC654" s="217"/>
      <c r="BD654" s="392"/>
      <c r="BE654" s="1244"/>
      <c r="BF654" s="249"/>
      <c r="BG654" s="252"/>
      <c r="BH654" s="1469"/>
      <c r="BI654" s="216"/>
      <c r="BJ654" s="1469"/>
      <c r="BK654" s="1459"/>
      <c r="BL654" s="260"/>
      <c r="BM654" s="214"/>
      <c r="BN654" s="293"/>
      <c r="BO654" s="217"/>
      <c r="BP654" s="355"/>
      <c r="BQ654" s="217"/>
      <c r="BR654" s="1193"/>
      <c r="BS654" s="249"/>
      <c r="BT654" s="216"/>
      <c r="BU654" s="1195"/>
      <c r="BV654" s="249"/>
      <c r="BW654" s="216"/>
      <c r="BX654" s="1195"/>
      <c r="BY654" s="249"/>
      <c r="BZ654" s="216"/>
      <c r="CA654" s="1195"/>
      <c r="CB654" s="249"/>
      <c r="CC654" s="216"/>
      <c r="CD654" s="1195"/>
      <c r="CE654" s="249"/>
      <c r="CF654" s="216"/>
      <c r="CG654" s="1195"/>
      <c r="CH654" s="249"/>
      <c r="CI654" s="216"/>
      <c r="CJ654" s="1195"/>
      <c r="CK654" s="249"/>
      <c r="CL654" s="216"/>
      <c r="CM654" s="1194"/>
      <c r="CN654" s="1524"/>
      <c r="CO654" s="217"/>
      <c r="CP654" s="1193"/>
      <c r="CQ654" s="293"/>
      <c r="CR654" s="217"/>
      <c r="CS654" s="305"/>
      <c r="CT654" s="249"/>
      <c r="CU654" s="216"/>
      <c r="CV654" s="1193"/>
      <c r="CW654" s="249"/>
      <c r="CX654" s="216"/>
      <c r="CY654" s="305"/>
      <c r="CZ654" s="249"/>
      <c r="DA654" s="216"/>
      <c r="DB654" s="307"/>
      <c r="DC654" s="328"/>
      <c r="DD654" s="322"/>
      <c r="DE654" s="305"/>
      <c r="DF654" s="249"/>
      <c r="DG654" s="216"/>
      <c r="DH654" s="305"/>
      <c r="DI654" s="249"/>
      <c r="DJ654" s="216"/>
      <c r="DK654" s="309"/>
      <c r="DL654" s="293"/>
      <c r="DM654" s="326"/>
      <c r="DN654" s="1256"/>
      <c r="DO654" s="214"/>
      <c r="DP654" s="1257"/>
      <c r="DQ654" s="1258"/>
      <c r="DR654" s="305"/>
      <c r="DS654" s="249"/>
      <c r="DT654" s="216"/>
      <c r="DU654" s="305"/>
      <c r="DV654" s="2520"/>
      <c r="DW654" s="2521"/>
      <c r="DX654" s="305"/>
      <c r="DY654" s="249"/>
      <c r="DZ654" s="221"/>
      <c r="EA654" s="388"/>
      <c r="EB654" s="249"/>
      <c r="EC654" s="216"/>
      <c r="ED654" s="1461"/>
      <c r="EE654" s="249"/>
      <c r="EF654" s="216"/>
      <c r="EG654" s="355"/>
      <c r="EH654" s="1425"/>
      <c r="EI654" s="1470"/>
      <c r="EJ654" s="249"/>
      <c r="EK654" s="221"/>
      <c r="EL654" s="313"/>
      <c r="EM654" s="249"/>
      <c r="EN654" s="221"/>
      <c r="EO654" s="313"/>
      <c r="EP654" s="249"/>
      <c r="EQ654" s="216"/>
      <c r="ER654" s="313"/>
      <c r="ES654" s="249"/>
      <c r="ET654" s="216"/>
      <c r="EU654" s="313"/>
      <c r="EV654" s="249"/>
      <c r="EW654" s="216"/>
      <c r="EX654" s="2505"/>
      <c r="EY654" s="249"/>
      <c r="EZ654" s="221"/>
      <c r="FA654" s="313"/>
      <c r="FB654" s="249"/>
      <c r="FC654" s="221"/>
      <c r="FD654" s="313"/>
      <c r="FE654" s="249"/>
      <c r="FF654" s="221"/>
      <c r="FG654" s="313"/>
      <c r="FH654" s="249"/>
      <c r="FI654" s="216"/>
      <c r="FJ654" s="1435"/>
      <c r="FK654" s="216"/>
      <c r="FL654" s="1268"/>
      <c r="FM654" s="1655"/>
      <c r="FN654" s="1268"/>
      <c r="FO654" s="1655"/>
      <c r="FP654" s="1268"/>
      <c r="FQ654" s="1656"/>
      <c r="FR654" s="249"/>
      <c r="FS654" s="216"/>
      <c r="FT654" s="1657"/>
      <c r="FU654" s="1658"/>
      <c r="FV654" s="242"/>
      <c r="FW654" s="343"/>
      <c r="FX654" s="222"/>
      <c r="FY654" s="336"/>
      <c r="FZ654" s="223"/>
      <c r="GA654" s="338"/>
      <c r="GB654" s="204"/>
      <c r="GC654" s="339"/>
      <c r="GD654" s="342"/>
      <c r="GE654" s="199"/>
      <c r="GF654" s="199"/>
      <c r="GG654" s="199"/>
      <c r="GH654" s="199"/>
      <c r="GI654" s="199"/>
      <c r="GJ654" s="199"/>
      <c r="GK654" s="199"/>
      <c r="GO654" s="322"/>
      <c r="GP654" s="1190"/>
      <c r="GQ654" s="1190"/>
      <c r="GS654" s="2879"/>
      <c r="GT654" s="2880"/>
      <c r="GU654" s="2881"/>
    </row>
    <row r="655" spans="1:203" ht="12" customHeight="1">
      <c r="A655" s="1252"/>
      <c r="B655" s="200"/>
      <c r="C655" s="486"/>
      <c r="T655" s="1186"/>
      <c r="U655" s="233"/>
      <c r="W655" s="218"/>
      <c r="X655" s="218"/>
      <c r="Y655" s="216"/>
      <c r="Z655" s="216"/>
      <c r="AA655" s="215"/>
      <c r="AB655" s="216"/>
      <c r="AC655" s="216"/>
      <c r="AD655" s="239"/>
      <c r="AE655" s="216"/>
      <c r="AF655" s="216"/>
      <c r="AG655" s="216"/>
      <c r="AH655" s="216"/>
      <c r="AI655" s="216"/>
      <c r="AJ655" s="216"/>
      <c r="AK655" s="239"/>
      <c r="AL655" s="216"/>
      <c r="AM655" s="216"/>
      <c r="AN655" s="216"/>
      <c r="AO655" s="216"/>
      <c r="AP655" s="216"/>
      <c r="AQ655" s="216"/>
      <c r="AR655" s="216"/>
      <c r="AS655" s="216"/>
      <c r="AT655" s="216"/>
      <c r="AU655" s="216"/>
      <c r="AV655" s="217"/>
      <c r="AW655" s="355"/>
      <c r="AX655" s="217"/>
      <c r="AY655" s="305"/>
      <c r="AZ655" s="249"/>
      <c r="BA655" s="221"/>
      <c r="BB655" s="300"/>
      <c r="BC655" s="217"/>
      <c r="BD655" s="392"/>
      <c r="BE655" s="1244"/>
      <c r="BF655" s="249"/>
      <c r="BG655" s="252"/>
      <c r="BH655" s="1469"/>
      <c r="BI655" s="216"/>
      <c r="BJ655" s="1469"/>
      <c r="BK655" s="1459"/>
      <c r="BL655" s="260"/>
      <c r="BM655" s="214"/>
      <c r="BN655" s="293"/>
      <c r="BO655" s="217"/>
      <c r="BP655" s="355"/>
      <c r="BQ655" s="217"/>
      <c r="BR655" s="1193"/>
      <c r="BS655" s="249"/>
      <c r="BT655" s="216"/>
      <c r="BU655" s="1195"/>
      <c r="BV655" s="249"/>
      <c r="BW655" s="216"/>
      <c r="BX655" s="1195"/>
      <c r="BY655" s="249"/>
      <c r="BZ655" s="216"/>
      <c r="CA655" s="1195"/>
      <c r="CB655" s="249"/>
      <c r="CC655" s="216"/>
      <c r="CD655" s="1195"/>
      <c r="CE655" s="249"/>
      <c r="CF655" s="216"/>
      <c r="CG655" s="1195"/>
      <c r="CH655" s="249"/>
      <c r="CI655" s="216"/>
      <c r="CJ655" s="1195"/>
      <c r="CK655" s="249"/>
      <c r="CL655" s="216"/>
      <c r="CM655" s="1194"/>
      <c r="CN655" s="1524"/>
      <c r="CO655" s="217"/>
      <c r="CP655" s="1193"/>
      <c r="CQ655" s="293"/>
      <c r="CR655" s="217"/>
      <c r="CS655" s="305"/>
      <c r="CT655" s="249"/>
      <c r="CU655" s="216"/>
      <c r="CV655" s="1193"/>
      <c r="CW655" s="249"/>
      <c r="CX655" s="216"/>
      <c r="CY655" s="305"/>
      <c r="CZ655" s="249"/>
      <c r="DA655" s="216"/>
      <c r="DB655" s="307"/>
      <c r="DC655" s="328"/>
      <c r="DD655" s="322"/>
      <c r="DE655" s="305"/>
      <c r="DF655" s="249"/>
      <c r="DG655" s="216"/>
      <c r="DH655" s="305"/>
      <c r="DI655" s="249"/>
      <c r="DJ655" s="216"/>
      <c r="DK655" s="309"/>
      <c r="DL655" s="293"/>
      <c r="DM655" s="326"/>
      <c r="DN655" s="1256"/>
      <c r="DO655" s="214"/>
      <c r="DP655" s="1257"/>
      <c r="DQ655" s="1258"/>
      <c r="DR655" s="305"/>
      <c r="DS655" s="249"/>
      <c r="DT655" s="216"/>
      <c r="DU655" s="305"/>
      <c r="DV655" s="2520"/>
      <c r="DW655" s="2521"/>
      <c r="DX655" s="305"/>
      <c r="DY655" s="249"/>
      <c r="DZ655" s="221"/>
      <c r="EA655" s="388"/>
      <c r="EB655" s="249"/>
      <c r="EC655" s="216"/>
      <c r="ED655" s="1461"/>
      <c r="EE655" s="249"/>
      <c r="EF655" s="216"/>
      <c r="EG655" s="355"/>
      <c r="EH655" s="1425"/>
      <c r="EI655" s="1470"/>
      <c r="EJ655" s="249"/>
      <c r="EK655" s="221"/>
      <c r="EL655" s="313"/>
      <c r="EM655" s="249"/>
      <c r="EN655" s="221"/>
      <c r="EO655" s="313"/>
      <c r="EP655" s="249"/>
      <c r="EQ655" s="216"/>
      <c r="ER655" s="313"/>
      <c r="ES655" s="249"/>
      <c r="ET655" s="216"/>
      <c r="EU655" s="313"/>
      <c r="EV655" s="249"/>
      <c r="EW655" s="216"/>
      <c r="EX655" s="2505"/>
      <c r="EY655" s="249"/>
      <c r="EZ655" s="221"/>
      <c r="FA655" s="313"/>
      <c r="FB655" s="249"/>
      <c r="FC655" s="221"/>
      <c r="FD655" s="313"/>
      <c r="FE655" s="249"/>
      <c r="FF655" s="221"/>
      <c r="FG655" s="313"/>
      <c r="FH655" s="249"/>
      <c r="FI655" s="216"/>
      <c r="FJ655" s="1435"/>
      <c r="FK655" s="216"/>
      <c r="FL655" s="1268"/>
      <c r="FM655" s="1655"/>
      <c r="FN655" s="1268"/>
      <c r="FO655" s="1655"/>
      <c r="FP655" s="1268"/>
      <c r="FQ655" s="1656"/>
      <c r="FR655" s="249"/>
      <c r="FS655" s="216"/>
      <c r="FT655" s="1657"/>
      <c r="FU655" s="1658"/>
      <c r="FV655" s="242"/>
      <c r="FW655" s="343"/>
      <c r="FX655" s="222"/>
      <c r="FY655" s="336"/>
      <c r="FZ655" s="223"/>
      <c r="GA655" s="338"/>
      <c r="GB655" s="204"/>
      <c r="GC655" s="339"/>
      <c r="GD655" s="342"/>
      <c r="GE655" s="199"/>
      <c r="GF655" s="199"/>
      <c r="GG655" s="199"/>
      <c r="GH655" s="199"/>
      <c r="GI655" s="199"/>
      <c r="GJ655" s="199"/>
      <c r="GK655" s="199"/>
      <c r="GO655" s="322"/>
      <c r="GP655" s="1190"/>
      <c r="GQ655" s="1190"/>
      <c r="GS655" s="2879"/>
      <c r="GT655" s="2880"/>
      <c r="GU655" s="2881"/>
    </row>
    <row r="656" spans="1:203" ht="12" customHeight="1">
      <c r="A656" s="1252"/>
      <c r="B656" s="200"/>
      <c r="C656" s="486"/>
      <c r="T656" s="1186"/>
      <c r="U656" s="233"/>
      <c r="W656" s="218"/>
      <c r="X656" s="218"/>
      <c r="Y656" s="216"/>
      <c r="Z656" s="216"/>
      <c r="AA656" s="215"/>
      <c r="AB656" s="216"/>
      <c r="AC656" s="216"/>
      <c r="AD656" s="239"/>
      <c r="AE656" s="216"/>
      <c r="AF656" s="216"/>
      <c r="AG656" s="216"/>
      <c r="AH656" s="216"/>
      <c r="AI656" s="216"/>
      <c r="AJ656" s="216"/>
      <c r="AK656" s="239"/>
      <c r="AL656" s="216"/>
      <c r="AM656" s="216"/>
      <c r="AN656" s="216"/>
      <c r="AO656" s="216"/>
      <c r="AP656" s="216"/>
      <c r="AQ656" s="216"/>
      <c r="AR656" s="216"/>
      <c r="AS656" s="216"/>
      <c r="AT656" s="216"/>
      <c r="AU656" s="216"/>
      <c r="AV656" s="217"/>
      <c r="AW656" s="355"/>
      <c r="AX656" s="217"/>
      <c r="AY656" s="305"/>
      <c r="AZ656" s="249"/>
      <c r="BA656" s="221"/>
      <c r="BB656" s="300"/>
      <c r="BC656" s="217"/>
      <c r="BD656" s="392"/>
      <c r="BE656" s="1244"/>
      <c r="BF656" s="249"/>
      <c r="BG656" s="252"/>
      <c r="BH656" s="1469"/>
      <c r="BI656" s="216"/>
      <c r="BJ656" s="1469"/>
      <c r="BK656" s="1459"/>
      <c r="BL656" s="260"/>
      <c r="BM656" s="214"/>
      <c r="BN656" s="293"/>
      <c r="BO656" s="217"/>
      <c r="BP656" s="355"/>
      <c r="BQ656" s="217"/>
      <c r="BR656" s="1193"/>
      <c r="BS656" s="249"/>
      <c r="BT656" s="216"/>
      <c r="BU656" s="1195"/>
      <c r="BV656" s="249"/>
      <c r="BW656" s="216"/>
      <c r="BX656" s="1195"/>
      <c r="BY656" s="249"/>
      <c r="BZ656" s="216"/>
      <c r="CA656" s="1195"/>
      <c r="CB656" s="249"/>
      <c r="CC656" s="216"/>
      <c r="CD656" s="1195"/>
      <c r="CE656" s="249"/>
      <c r="CF656" s="216"/>
      <c r="CG656" s="1195"/>
      <c r="CH656" s="249"/>
      <c r="CI656" s="216"/>
      <c r="CJ656" s="1195"/>
      <c r="CK656" s="249"/>
      <c r="CL656" s="216"/>
      <c r="CM656" s="1194"/>
      <c r="CN656" s="1524"/>
      <c r="CO656" s="217"/>
      <c r="CP656" s="1193"/>
      <c r="CQ656" s="293"/>
      <c r="CR656" s="217"/>
      <c r="CS656" s="305"/>
      <c r="CT656" s="249"/>
      <c r="CU656" s="216"/>
      <c r="CV656" s="1193"/>
      <c r="CW656" s="249"/>
      <c r="CX656" s="216"/>
      <c r="CY656" s="305"/>
      <c r="CZ656" s="249"/>
      <c r="DA656" s="216"/>
      <c r="DB656" s="307"/>
      <c r="DC656" s="328"/>
      <c r="DD656" s="322"/>
      <c r="DE656" s="305"/>
      <c r="DF656" s="249"/>
      <c r="DG656" s="216"/>
      <c r="DH656" s="305"/>
      <c r="DI656" s="249"/>
      <c r="DJ656" s="216"/>
      <c r="DK656" s="309"/>
      <c r="DL656" s="293"/>
      <c r="DM656" s="326"/>
      <c r="DN656" s="1256"/>
      <c r="DO656" s="214"/>
      <c r="DP656" s="1257"/>
      <c r="DQ656" s="1258"/>
      <c r="DR656" s="305"/>
      <c r="DS656" s="249"/>
      <c r="DT656" s="216"/>
      <c r="DU656" s="305"/>
      <c r="DV656" s="2520"/>
      <c r="DW656" s="2521"/>
      <c r="DX656" s="305"/>
      <c r="DY656" s="249"/>
      <c r="DZ656" s="221"/>
      <c r="EA656" s="388"/>
      <c r="EB656" s="249"/>
      <c r="EC656" s="216"/>
      <c r="ED656" s="1461"/>
      <c r="EE656" s="249"/>
      <c r="EF656" s="216"/>
      <c r="EG656" s="355"/>
      <c r="EH656" s="1425"/>
      <c r="EI656" s="1470"/>
      <c r="EJ656" s="249"/>
      <c r="EK656" s="221"/>
      <c r="EL656" s="313"/>
      <c r="EM656" s="249"/>
      <c r="EN656" s="221"/>
      <c r="EO656" s="313"/>
      <c r="EP656" s="249"/>
      <c r="EQ656" s="216"/>
      <c r="ER656" s="313"/>
      <c r="ES656" s="249"/>
      <c r="ET656" s="216"/>
      <c r="EU656" s="313"/>
      <c r="EV656" s="249"/>
      <c r="EW656" s="216"/>
      <c r="EX656" s="2505"/>
      <c r="EY656" s="249"/>
      <c r="EZ656" s="221"/>
      <c r="FA656" s="313"/>
      <c r="FB656" s="249"/>
      <c r="FC656" s="221"/>
      <c r="FD656" s="313"/>
      <c r="FE656" s="249"/>
      <c r="FF656" s="221"/>
      <c r="FG656" s="313"/>
      <c r="FH656" s="249"/>
      <c r="FI656" s="216"/>
      <c r="FJ656" s="1435"/>
      <c r="FK656" s="216"/>
      <c r="FL656" s="1268"/>
      <c r="FM656" s="1655"/>
      <c r="FN656" s="1268"/>
      <c r="FO656" s="1655"/>
      <c r="FP656" s="1268"/>
      <c r="FQ656" s="1656"/>
      <c r="FR656" s="249"/>
      <c r="FS656" s="216"/>
      <c r="FT656" s="1657"/>
      <c r="FU656" s="1658"/>
      <c r="FV656" s="242"/>
      <c r="FW656" s="343"/>
      <c r="FX656" s="222"/>
      <c r="FY656" s="336"/>
      <c r="FZ656" s="223"/>
      <c r="GA656" s="338"/>
      <c r="GB656" s="204"/>
      <c r="GC656" s="339"/>
      <c r="GD656" s="342"/>
      <c r="GE656" s="199"/>
      <c r="GF656" s="199"/>
      <c r="GG656" s="199"/>
      <c r="GH656" s="199"/>
      <c r="GI656" s="199"/>
      <c r="GJ656" s="199"/>
      <c r="GK656" s="199"/>
      <c r="GO656" s="322"/>
      <c r="GP656" s="1190"/>
      <c r="GQ656" s="1190"/>
      <c r="GS656" s="2879"/>
      <c r="GT656" s="2880"/>
      <c r="GU656" s="2881"/>
    </row>
    <row r="657" spans="1:203" ht="12" customHeight="1">
      <c r="A657" s="1252"/>
      <c r="B657" s="200"/>
      <c r="C657" s="486"/>
      <c r="T657" s="1186"/>
      <c r="U657" s="233"/>
      <c r="W657" s="218"/>
      <c r="X657" s="218"/>
      <c r="Y657" s="216"/>
      <c r="Z657" s="216"/>
      <c r="AA657" s="215"/>
      <c r="AB657" s="216"/>
      <c r="AC657" s="216"/>
      <c r="AD657" s="239"/>
      <c r="AE657" s="216"/>
      <c r="AF657" s="216"/>
      <c r="AG657" s="216"/>
      <c r="AH657" s="216"/>
      <c r="AI657" s="216"/>
      <c r="AJ657" s="216"/>
      <c r="AK657" s="239"/>
      <c r="AL657" s="216"/>
      <c r="AM657" s="216"/>
      <c r="AN657" s="216"/>
      <c r="AO657" s="216"/>
      <c r="AP657" s="216"/>
      <c r="AQ657" s="216"/>
      <c r="AR657" s="216"/>
      <c r="AS657" s="216"/>
      <c r="AT657" s="216"/>
      <c r="AU657" s="216"/>
      <c r="AV657" s="217"/>
      <c r="AW657" s="355"/>
      <c r="AX657" s="217"/>
      <c r="AY657" s="305"/>
      <c r="AZ657" s="249"/>
      <c r="BA657" s="221"/>
      <c r="BB657" s="300"/>
      <c r="BC657" s="217"/>
      <c r="BD657" s="392"/>
      <c r="BE657" s="1244"/>
      <c r="BF657" s="249"/>
      <c r="BG657" s="252"/>
      <c r="BH657" s="1469"/>
      <c r="BI657" s="216"/>
      <c r="BJ657" s="1469"/>
      <c r="BK657" s="1459"/>
      <c r="BL657" s="260"/>
      <c r="BM657" s="214"/>
      <c r="BN657" s="293"/>
      <c r="BO657" s="217"/>
      <c r="BP657" s="355"/>
      <c r="BQ657" s="217"/>
      <c r="BR657" s="1193"/>
      <c r="BS657" s="249"/>
      <c r="BT657" s="216"/>
      <c r="BU657" s="1195"/>
      <c r="BV657" s="249"/>
      <c r="BW657" s="216"/>
      <c r="BX657" s="1195"/>
      <c r="BY657" s="249"/>
      <c r="BZ657" s="216"/>
      <c r="CA657" s="1195"/>
      <c r="CB657" s="249"/>
      <c r="CC657" s="216"/>
      <c r="CD657" s="1195"/>
      <c r="CE657" s="249"/>
      <c r="CF657" s="216"/>
      <c r="CG657" s="1195"/>
      <c r="CH657" s="249"/>
      <c r="CI657" s="216"/>
      <c r="CJ657" s="1195"/>
      <c r="CK657" s="249"/>
      <c r="CL657" s="216"/>
      <c r="CM657" s="1194"/>
      <c r="CN657" s="1524"/>
      <c r="CO657" s="217"/>
      <c r="CP657" s="1193"/>
      <c r="CQ657" s="293"/>
      <c r="CR657" s="217"/>
      <c r="CS657" s="305"/>
      <c r="CT657" s="249"/>
      <c r="CU657" s="216"/>
      <c r="CV657" s="1193"/>
      <c r="CW657" s="249"/>
      <c r="CX657" s="216"/>
      <c r="CY657" s="305"/>
      <c r="CZ657" s="249"/>
      <c r="DA657" s="216"/>
      <c r="DB657" s="307"/>
      <c r="DC657" s="328"/>
      <c r="DD657" s="322"/>
      <c r="DE657" s="305"/>
      <c r="DF657" s="249"/>
      <c r="DG657" s="216"/>
      <c r="DH657" s="305"/>
      <c r="DI657" s="249"/>
      <c r="DJ657" s="216"/>
      <c r="DK657" s="309"/>
      <c r="DL657" s="293"/>
      <c r="DM657" s="326"/>
      <c r="DN657" s="1256"/>
      <c r="DO657" s="214"/>
      <c r="DP657" s="1257"/>
      <c r="DQ657" s="1258"/>
      <c r="DR657" s="305"/>
      <c r="DS657" s="249"/>
      <c r="DT657" s="216"/>
      <c r="DU657" s="305"/>
      <c r="DV657" s="2520"/>
      <c r="DW657" s="2521"/>
      <c r="DX657" s="305"/>
      <c r="DY657" s="249"/>
      <c r="DZ657" s="221"/>
      <c r="EA657" s="388"/>
      <c r="EB657" s="249"/>
      <c r="EC657" s="216"/>
      <c r="ED657" s="1461"/>
      <c r="EE657" s="249"/>
      <c r="EF657" s="216"/>
      <c r="EG657" s="355"/>
      <c r="EH657" s="1425"/>
      <c r="EI657" s="1470"/>
      <c r="EJ657" s="249"/>
      <c r="EK657" s="221"/>
      <c r="EL657" s="313"/>
      <c r="EM657" s="249"/>
      <c r="EN657" s="221"/>
      <c r="EO657" s="313"/>
      <c r="EP657" s="249"/>
      <c r="EQ657" s="216"/>
      <c r="ER657" s="313"/>
      <c r="ES657" s="249"/>
      <c r="ET657" s="216"/>
      <c r="EU657" s="313"/>
      <c r="EV657" s="249"/>
      <c r="EW657" s="216"/>
      <c r="EX657" s="2505"/>
      <c r="EY657" s="249"/>
      <c r="EZ657" s="221"/>
      <c r="FA657" s="313"/>
      <c r="FB657" s="249"/>
      <c r="FC657" s="221"/>
      <c r="FD657" s="313"/>
      <c r="FE657" s="249"/>
      <c r="FF657" s="221"/>
      <c r="FG657" s="313"/>
      <c r="FH657" s="249"/>
      <c r="FI657" s="216"/>
      <c r="FJ657" s="1435"/>
      <c r="FK657" s="216"/>
      <c r="FL657" s="1268"/>
      <c r="FM657" s="1655"/>
      <c r="FN657" s="1268"/>
      <c r="FO657" s="1655"/>
      <c r="FP657" s="1268"/>
      <c r="FQ657" s="1656"/>
      <c r="FR657" s="249"/>
      <c r="FS657" s="216"/>
      <c r="FT657" s="1657"/>
      <c r="FU657" s="1658"/>
      <c r="FV657" s="242"/>
      <c r="FW657" s="343"/>
      <c r="FX657" s="222"/>
      <c r="FY657" s="336"/>
      <c r="FZ657" s="223"/>
      <c r="GA657" s="338"/>
      <c r="GB657" s="204"/>
      <c r="GC657" s="339"/>
      <c r="GD657" s="342"/>
      <c r="GE657" s="199"/>
      <c r="GF657" s="199"/>
      <c r="GG657" s="199"/>
      <c r="GH657" s="199"/>
      <c r="GI657" s="199"/>
      <c r="GJ657" s="199"/>
      <c r="GK657" s="199"/>
      <c r="GO657" s="322"/>
      <c r="GP657" s="1190"/>
      <c r="GQ657" s="1190"/>
      <c r="GS657" s="2879"/>
      <c r="GT657" s="2880"/>
      <c r="GU657" s="2881"/>
    </row>
    <row r="658" spans="1:203" ht="12" customHeight="1">
      <c r="A658" s="1252"/>
      <c r="B658" s="200"/>
      <c r="C658" s="486"/>
      <c r="T658" s="1186"/>
      <c r="U658" s="233"/>
      <c r="W658" s="218"/>
      <c r="X658" s="218"/>
      <c r="Y658" s="216"/>
      <c r="Z658" s="216"/>
      <c r="AA658" s="215"/>
      <c r="AB658" s="216"/>
      <c r="AC658" s="216"/>
      <c r="AD658" s="239"/>
      <c r="AE658" s="216"/>
      <c r="AF658" s="216"/>
      <c r="AG658" s="216"/>
      <c r="AH658" s="216"/>
      <c r="AI658" s="216"/>
      <c r="AJ658" s="216"/>
      <c r="AK658" s="239"/>
      <c r="AL658" s="216"/>
      <c r="AM658" s="216"/>
      <c r="AN658" s="216"/>
      <c r="AO658" s="216"/>
      <c r="AP658" s="216"/>
      <c r="AQ658" s="216"/>
      <c r="AR658" s="216"/>
      <c r="AS658" s="216"/>
      <c r="AT658" s="216"/>
      <c r="AU658" s="216"/>
      <c r="AV658" s="217"/>
      <c r="AW658" s="355"/>
      <c r="AX658" s="217"/>
      <c r="AY658" s="305"/>
      <c r="AZ658" s="249"/>
      <c r="BA658" s="221"/>
      <c r="BB658" s="300"/>
      <c r="BC658" s="217"/>
      <c r="BD658" s="392"/>
      <c r="BE658" s="1244"/>
      <c r="BF658" s="249"/>
      <c r="BG658" s="252"/>
      <c r="BH658" s="1469"/>
      <c r="BI658" s="216"/>
      <c r="BJ658" s="1469"/>
      <c r="BK658" s="1459"/>
      <c r="BL658" s="260"/>
      <c r="BM658" s="214"/>
      <c r="BN658" s="293"/>
      <c r="BO658" s="217"/>
      <c r="BP658" s="355"/>
      <c r="BQ658" s="217"/>
      <c r="BR658" s="1193"/>
      <c r="BS658" s="249"/>
      <c r="BT658" s="216"/>
      <c r="BU658" s="1195"/>
      <c r="BV658" s="249"/>
      <c r="BW658" s="216"/>
      <c r="BX658" s="1195"/>
      <c r="BY658" s="249"/>
      <c r="BZ658" s="216"/>
      <c r="CA658" s="1195"/>
      <c r="CB658" s="249"/>
      <c r="CC658" s="216"/>
      <c r="CD658" s="1195"/>
      <c r="CE658" s="249"/>
      <c r="CF658" s="216"/>
      <c r="CG658" s="1195"/>
      <c r="CH658" s="249"/>
      <c r="CI658" s="216"/>
      <c r="CJ658" s="1195"/>
      <c r="CK658" s="249"/>
      <c r="CL658" s="216"/>
      <c r="CM658" s="1194"/>
      <c r="CN658" s="1524"/>
      <c r="CO658" s="217"/>
      <c r="CP658" s="1193"/>
      <c r="CQ658" s="293"/>
      <c r="CR658" s="217"/>
      <c r="CS658" s="305"/>
      <c r="CT658" s="249"/>
      <c r="CU658" s="216"/>
      <c r="CV658" s="1193"/>
      <c r="CW658" s="249"/>
      <c r="CX658" s="216"/>
      <c r="CY658" s="305"/>
      <c r="CZ658" s="249"/>
      <c r="DA658" s="216"/>
      <c r="DB658" s="307"/>
      <c r="DC658" s="328"/>
      <c r="DD658" s="322"/>
      <c r="DE658" s="305"/>
      <c r="DF658" s="249"/>
      <c r="DG658" s="216"/>
      <c r="DH658" s="305"/>
      <c r="DI658" s="249"/>
      <c r="DJ658" s="216"/>
      <c r="DK658" s="309"/>
      <c r="DL658" s="293"/>
      <c r="DM658" s="326"/>
      <c r="DN658" s="1256"/>
      <c r="DO658" s="214"/>
      <c r="DP658" s="1257"/>
      <c r="DQ658" s="1258"/>
      <c r="DR658" s="305"/>
      <c r="DS658" s="249"/>
      <c r="DT658" s="216"/>
      <c r="DU658" s="305"/>
      <c r="DV658" s="2520"/>
      <c r="DW658" s="2521"/>
      <c r="DX658" s="305"/>
      <c r="DY658" s="249"/>
      <c r="DZ658" s="221"/>
      <c r="EA658" s="388"/>
      <c r="EB658" s="249"/>
      <c r="EC658" s="216"/>
      <c r="ED658" s="1461"/>
      <c r="EE658" s="249"/>
      <c r="EF658" s="216"/>
      <c r="EG658" s="355"/>
      <c r="EH658" s="1425"/>
      <c r="EI658" s="1470"/>
      <c r="EJ658" s="249"/>
      <c r="EK658" s="221"/>
      <c r="EL658" s="313"/>
      <c r="EM658" s="249"/>
      <c r="EN658" s="221"/>
      <c r="EO658" s="313"/>
      <c r="EP658" s="249"/>
      <c r="EQ658" s="216"/>
      <c r="ER658" s="313"/>
      <c r="ES658" s="249"/>
      <c r="ET658" s="216"/>
      <c r="EU658" s="313"/>
      <c r="EV658" s="249"/>
      <c r="EW658" s="216"/>
      <c r="EX658" s="2505"/>
      <c r="EY658" s="249"/>
      <c r="EZ658" s="221"/>
      <c r="FA658" s="313"/>
      <c r="FB658" s="249"/>
      <c r="FC658" s="221"/>
      <c r="FD658" s="313"/>
      <c r="FE658" s="249"/>
      <c r="FF658" s="221"/>
      <c r="FG658" s="313"/>
      <c r="FH658" s="249"/>
      <c r="FI658" s="216"/>
      <c r="FJ658" s="1435"/>
      <c r="FK658" s="216"/>
      <c r="FL658" s="1268"/>
      <c r="FM658" s="1655"/>
      <c r="FN658" s="1268"/>
      <c r="FO658" s="1655"/>
      <c r="FP658" s="1268"/>
      <c r="FQ658" s="1656"/>
      <c r="FR658" s="249"/>
      <c r="FS658" s="216"/>
      <c r="FT658" s="1657"/>
      <c r="FU658" s="1658"/>
      <c r="FV658" s="242"/>
      <c r="FW658" s="343"/>
      <c r="FX658" s="222"/>
      <c r="FY658" s="336"/>
      <c r="FZ658" s="223"/>
      <c r="GA658" s="338"/>
      <c r="GB658" s="204"/>
      <c r="GC658" s="339"/>
      <c r="GD658" s="342"/>
      <c r="GE658" s="199"/>
      <c r="GF658" s="199"/>
      <c r="GG658" s="199"/>
      <c r="GH658" s="199"/>
      <c r="GI658" s="199"/>
      <c r="GJ658" s="199"/>
      <c r="GK658" s="199"/>
      <c r="GO658" s="322"/>
      <c r="GP658" s="1190"/>
      <c r="GQ658" s="1190"/>
      <c r="GS658" s="2879"/>
      <c r="GT658" s="2880"/>
      <c r="GU658" s="2881"/>
    </row>
    <row r="659" spans="1:203" ht="12" customHeight="1">
      <c r="A659" s="1252"/>
      <c r="B659" s="200"/>
      <c r="C659" s="486"/>
      <c r="T659" s="1186"/>
      <c r="U659" s="233"/>
      <c r="W659" s="218"/>
      <c r="X659" s="218"/>
      <c r="Y659" s="216"/>
      <c r="Z659" s="216"/>
      <c r="AA659" s="215"/>
      <c r="AB659" s="216"/>
      <c r="AC659" s="216"/>
      <c r="AD659" s="239"/>
      <c r="AE659" s="216"/>
      <c r="AF659" s="216"/>
      <c r="AG659" s="216"/>
      <c r="AH659" s="216"/>
      <c r="AI659" s="216"/>
      <c r="AJ659" s="216"/>
      <c r="AK659" s="239"/>
      <c r="AL659" s="216"/>
      <c r="AM659" s="216"/>
      <c r="AN659" s="216"/>
      <c r="AO659" s="216"/>
      <c r="AP659" s="216"/>
      <c r="AQ659" s="216"/>
      <c r="AR659" s="216"/>
      <c r="AS659" s="216"/>
      <c r="AT659" s="216"/>
      <c r="AU659" s="216"/>
      <c r="AV659" s="217"/>
      <c r="AW659" s="355"/>
      <c r="AX659" s="217"/>
      <c r="AY659" s="305"/>
      <c r="AZ659" s="249"/>
      <c r="BA659" s="221"/>
      <c r="BB659" s="300"/>
      <c r="BC659" s="217"/>
      <c r="BD659" s="392"/>
      <c r="BE659" s="1244"/>
      <c r="BF659" s="249"/>
      <c r="BG659" s="252"/>
      <c r="BH659" s="1469"/>
      <c r="BI659" s="216"/>
      <c r="BJ659" s="1469"/>
      <c r="BK659" s="1459"/>
      <c r="BL659" s="260"/>
      <c r="BM659" s="214"/>
      <c r="BN659" s="293"/>
      <c r="BO659" s="217"/>
      <c r="BP659" s="355"/>
      <c r="BQ659" s="217"/>
      <c r="BR659" s="1193"/>
      <c r="BS659" s="249"/>
      <c r="BT659" s="216"/>
      <c r="BU659" s="1195"/>
      <c r="BV659" s="249"/>
      <c r="BW659" s="216"/>
      <c r="BX659" s="1195"/>
      <c r="BY659" s="249"/>
      <c r="BZ659" s="216"/>
      <c r="CA659" s="1195"/>
      <c r="CB659" s="249"/>
      <c r="CC659" s="216"/>
      <c r="CD659" s="1195"/>
      <c r="CE659" s="249"/>
      <c r="CF659" s="216"/>
      <c r="CG659" s="1195"/>
      <c r="CH659" s="249"/>
      <c r="CI659" s="216"/>
      <c r="CJ659" s="1195"/>
      <c r="CK659" s="249"/>
      <c r="CL659" s="216"/>
      <c r="CM659" s="1194"/>
      <c r="CN659" s="1524"/>
      <c r="CO659" s="217"/>
      <c r="CP659" s="1193"/>
      <c r="CQ659" s="293"/>
      <c r="CR659" s="217"/>
      <c r="CS659" s="305"/>
      <c r="CT659" s="249"/>
      <c r="CU659" s="216"/>
      <c r="CV659" s="1193"/>
      <c r="CW659" s="249"/>
      <c r="CX659" s="216"/>
      <c r="CY659" s="305"/>
      <c r="CZ659" s="249"/>
      <c r="DA659" s="216"/>
      <c r="DB659" s="307"/>
      <c r="DC659" s="328"/>
      <c r="DD659" s="322"/>
      <c r="DE659" s="305"/>
      <c r="DF659" s="249"/>
      <c r="DG659" s="216"/>
      <c r="DH659" s="305"/>
      <c r="DI659" s="249"/>
      <c r="DJ659" s="216"/>
      <c r="DK659" s="309"/>
      <c r="DL659" s="293"/>
      <c r="DM659" s="326"/>
      <c r="DN659" s="1256"/>
      <c r="DO659" s="214"/>
      <c r="DP659" s="1257"/>
      <c r="DQ659" s="1258"/>
      <c r="DR659" s="305"/>
      <c r="DS659" s="249"/>
      <c r="DT659" s="216"/>
      <c r="DU659" s="305"/>
      <c r="DV659" s="2520"/>
      <c r="DW659" s="2521"/>
      <c r="DX659" s="305"/>
      <c r="DY659" s="249"/>
      <c r="DZ659" s="221"/>
      <c r="EA659" s="388"/>
      <c r="EB659" s="249"/>
      <c r="EC659" s="216"/>
      <c r="ED659" s="1461"/>
      <c r="EE659" s="249"/>
      <c r="EF659" s="216"/>
      <c r="EG659" s="355"/>
      <c r="EH659" s="1425"/>
      <c r="EI659" s="1470"/>
      <c r="EJ659" s="249"/>
      <c r="EK659" s="221"/>
      <c r="EL659" s="313"/>
      <c r="EM659" s="249"/>
      <c r="EN659" s="221"/>
      <c r="EO659" s="313"/>
      <c r="EP659" s="249"/>
      <c r="EQ659" s="216"/>
      <c r="ER659" s="313"/>
      <c r="ES659" s="249"/>
      <c r="ET659" s="216"/>
      <c r="EU659" s="313"/>
      <c r="EV659" s="249"/>
      <c r="EW659" s="216"/>
      <c r="EX659" s="2505"/>
      <c r="EY659" s="249"/>
      <c r="EZ659" s="221"/>
      <c r="FA659" s="313"/>
      <c r="FB659" s="249"/>
      <c r="FC659" s="221"/>
      <c r="FD659" s="313"/>
      <c r="FE659" s="249"/>
      <c r="FF659" s="221"/>
      <c r="FG659" s="313"/>
      <c r="FH659" s="249"/>
      <c r="FI659" s="216"/>
      <c r="FJ659" s="1435"/>
      <c r="FK659" s="216"/>
      <c r="FL659" s="1268"/>
      <c r="FM659" s="1655"/>
      <c r="FN659" s="1268"/>
      <c r="FO659" s="1655"/>
      <c r="FP659" s="1268"/>
      <c r="FQ659" s="1656"/>
      <c r="FR659" s="249"/>
      <c r="FS659" s="216"/>
      <c r="FT659" s="1657"/>
      <c r="FU659" s="1658"/>
      <c r="FV659" s="242"/>
      <c r="FW659" s="343"/>
      <c r="FX659" s="222"/>
      <c r="FY659" s="336"/>
      <c r="FZ659" s="223"/>
      <c r="GA659" s="338"/>
      <c r="GB659" s="204"/>
      <c r="GC659" s="339"/>
      <c r="GD659" s="342"/>
      <c r="GE659" s="199"/>
      <c r="GF659" s="199"/>
      <c r="GG659" s="199"/>
      <c r="GH659" s="199"/>
      <c r="GI659" s="199"/>
      <c r="GJ659" s="199"/>
      <c r="GK659" s="199"/>
      <c r="GO659" s="322"/>
      <c r="GP659" s="1190"/>
      <c r="GQ659" s="1190"/>
      <c r="GS659" s="2879"/>
      <c r="GT659" s="2880"/>
      <c r="GU659" s="2881"/>
    </row>
    <row r="660" spans="1:203" ht="12" customHeight="1">
      <c r="A660" s="1252"/>
      <c r="B660" s="200"/>
      <c r="C660" s="486"/>
      <c r="T660" s="1186"/>
      <c r="U660" s="233"/>
      <c r="W660" s="218"/>
      <c r="X660" s="218"/>
      <c r="Y660" s="216"/>
      <c r="Z660" s="216"/>
      <c r="AA660" s="215"/>
      <c r="AB660" s="216"/>
      <c r="AC660" s="216"/>
      <c r="AD660" s="239"/>
      <c r="AE660" s="216"/>
      <c r="AF660" s="216"/>
      <c r="AG660" s="216"/>
      <c r="AH660" s="216"/>
      <c r="AI660" s="216"/>
      <c r="AJ660" s="216"/>
      <c r="AK660" s="239"/>
      <c r="AL660" s="216"/>
      <c r="AM660" s="216"/>
      <c r="AN660" s="216"/>
      <c r="AO660" s="216"/>
      <c r="AP660" s="216"/>
      <c r="AQ660" s="216"/>
      <c r="AR660" s="216"/>
      <c r="AS660" s="216"/>
      <c r="AT660" s="216"/>
      <c r="AU660" s="216"/>
      <c r="AV660" s="217"/>
      <c r="AW660" s="355"/>
      <c r="AX660" s="217"/>
      <c r="AY660" s="305"/>
      <c r="AZ660" s="249"/>
      <c r="BA660" s="221"/>
      <c r="BB660" s="300"/>
      <c r="BC660" s="217"/>
      <c r="BD660" s="392"/>
      <c r="BE660" s="1244"/>
      <c r="BF660" s="249"/>
      <c r="BG660" s="252"/>
      <c r="BH660" s="1469"/>
      <c r="BI660" s="216"/>
      <c r="BJ660" s="1469"/>
      <c r="BK660" s="1459"/>
      <c r="BL660" s="260"/>
      <c r="BM660" s="214"/>
      <c r="BN660" s="293"/>
      <c r="BO660" s="217"/>
      <c r="BP660" s="355"/>
      <c r="BQ660" s="217"/>
      <c r="BR660" s="1193"/>
      <c r="BS660" s="249"/>
      <c r="BT660" s="216"/>
      <c r="BU660" s="1195"/>
      <c r="BV660" s="249"/>
      <c r="BW660" s="216"/>
      <c r="BX660" s="1195"/>
      <c r="BY660" s="249"/>
      <c r="BZ660" s="216"/>
      <c r="CA660" s="1195"/>
      <c r="CB660" s="249"/>
      <c r="CC660" s="216"/>
      <c r="CD660" s="1195"/>
      <c r="CE660" s="249"/>
      <c r="CF660" s="216"/>
      <c r="CG660" s="1195"/>
      <c r="CH660" s="249"/>
      <c r="CI660" s="216"/>
      <c r="CJ660" s="1195"/>
      <c r="CK660" s="249"/>
      <c r="CL660" s="216"/>
      <c r="CM660" s="1194"/>
      <c r="CN660" s="1524"/>
      <c r="CO660" s="217"/>
      <c r="CP660" s="1193"/>
      <c r="CQ660" s="293"/>
      <c r="CR660" s="217"/>
      <c r="CS660" s="305"/>
      <c r="CT660" s="249"/>
      <c r="CU660" s="216"/>
      <c r="CV660" s="1193"/>
      <c r="CW660" s="249"/>
      <c r="CX660" s="216"/>
      <c r="CY660" s="305"/>
      <c r="CZ660" s="249"/>
      <c r="DA660" s="216"/>
      <c r="DB660" s="307"/>
      <c r="DC660" s="328"/>
      <c r="DD660" s="322"/>
      <c r="DE660" s="305"/>
      <c r="DF660" s="249"/>
      <c r="DG660" s="216"/>
      <c r="DH660" s="305"/>
      <c r="DI660" s="249"/>
      <c r="DJ660" s="216"/>
      <c r="DK660" s="309"/>
      <c r="DL660" s="293"/>
      <c r="DM660" s="326"/>
      <c r="DN660" s="1256"/>
      <c r="DO660" s="214"/>
      <c r="DP660" s="1257"/>
      <c r="DQ660" s="1258"/>
      <c r="DR660" s="305"/>
      <c r="DS660" s="249"/>
      <c r="DT660" s="216"/>
      <c r="DU660" s="305"/>
      <c r="DV660" s="2520"/>
      <c r="DW660" s="2521"/>
      <c r="DX660" s="305"/>
      <c r="DY660" s="249"/>
      <c r="DZ660" s="221"/>
      <c r="EA660" s="388"/>
      <c r="EB660" s="249"/>
      <c r="EC660" s="216"/>
      <c r="ED660" s="1461"/>
      <c r="EE660" s="249"/>
      <c r="EF660" s="216"/>
      <c r="EG660" s="355"/>
      <c r="EH660" s="1425"/>
      <c r="EI660" s="1470"/>
      <c r="EJ660" s="249"/>
      <c r="EK660" s="221"/>
      <c r="EL660" s="313"/>
      <c r="EM660" s="249"/>
      <c r="EN660" s="221"/>
      <c r="EO660" s="313"/>
      <c r="EP660" s="249"/>
      <c r="EQ660" s="216"/>
      <c r="ER660" s="313"/>
      <c r="ES660" s="249"/>
      <c r="ET660" s="216"/>
      <c r="EU660" s="313"/>
      <c r="EV660" s="249"/>
      <c r="EW660" s="216"/>
      <c r="EX660" s="2505"/>
      <c r="EY660" s="249"/>
      <c r="EZ660" s="221"/>
      <c r="FA660" s="313"/>
      <c r="FB660" s="249"/>
      <c r="FC660" s="221"/>
      <c r="FD660" s="313"/>
      <c r="FE660" s="249"/>
      <c r="FF660" s="221"/>
      <c r="FG660" s="313"/>
      <c r="FH660" s="249"/>
      <c r="FI660" s="216"/>
      <c r="FJ660" s="1435"/>
      <c r="FK660" s="216"/>
      <c r="FL660" s="1268"/>
      <c r="FM660" s="1655"/>
      <c r="FN660" s="1268"/>
      <c r="FO660" s="1655"/>
      <c r="FP660" s="1268"/>
      <c r="FQ660" s="1656"/>
      <c r="FR660" s="249"/>
      <c r="FS660" s="216"/>
      <c r="FT660" s="1657"/>
      <c r="FU660" s="1658"/>
      <c r="FV660" s="242"/>
      <c r="FW660" s="343"/>
      <c r="FX660" s="222"/>
      <c r="FY660" s="336"/>
      <c r="FZ660" s="223"/>
      <c r="GA660" s="338"/>
      <c r="GB660" s="204"/>
      <c r="GC660" s="339"/>
      <c r="GD660" s="342"/>
      <c r="GE660" s="199"/>
      <c r="GF660" s="199"/>
      <c r="GG660" s="199"/>
      <c r="GH660" s="199"/>
      <c r="GI660" s="199"/>
      <c r="GJ660" s="199"/>
      <c r="GK660" s="199"/>
      <c r="GO660" s="322"/>
      <c r="GP660" s="1190"/>
      <c r="GQ660" s="1190"/>
      <c r="GS660" s="2879"/>
      <c r="GT660" s="2880"/>
      <c r="GU660" s="2881"/>
    </row>
    <row r="661" spans="1:203" ht="12" customHeight="1">
      <c r="A661" s="1252"/>
      <c r="B661" s="200"/>
      <c r="C661" s="486"/>
      <c r="T661" s="1186"/>
      <c r="U661" s="233"/>
      <c r="W661" s="218"/>
      <c r="X661" s="218"/>
      <c r="Y661" s="216"/>
      <c r="Z661" s="216"/>
      <c r="AA661" s="215"/>
      <c r="AB661" s="216"/>
      <c r="AC661" s="216"/>
      <c r="AD661" s="239"/>
      <c r="AE661" s="216"/>
      <c r="AF661" s="216"/>
      <c r="AG661" s="216"/>
      <c r="AH661" s="216"/>
      <c r="AI661" s="216"/>
      <c r="AJ661" s="216"/>
      <c r="AK661" s="239"/>
      <c r="AL661" s="216"/>
      <c r="AM661" s="216"/>
      <c r="AN661" s="216"/>
      <c r="AO661" s="216"/>
      <c r="AP661" s="216"/>
      <c r="AQ661" s="216"/>
      <c r="AR661" s="216"/>
      <c r="AS661" s="216"/>
      <c r="AT661" s="216"/>
      <c r="AU661" s="216"/>
      <c r="AV661" s="217"/>
      <c r="AW661" s="355"/>
      <c r="AX661" s="217"/>
      <c r="AY661" s="305"/>
      <c r="AZ661" s="249"/>
      <c r="BA661" s="221"/>
      <c r="BB661" s="300"/>
      <c r="BC661" s="217"/>
      <c r="BD661" s="392"/>
      <c r="BE661" s="1244"/>
      <c r="BF661" s="249"/>
      <c r="BG661" s="252"/>
      <c r="BH661" s="1469"/>
      <c r="BI661" s="216"/>
      <c r="BJ661" s="1469"/>
      <c r="BK661" s="1459"/>
      <c r="BL661" s="260"/>
      <c r="BM661" s="214"/>
      <c r="BN661" s="293"/>
      <c r="BO661" s="217"/>
      <c r="BP661" s="355"/>
      <c r="BQ661" s="217"/>
      <c r="BR661" s="1193"/>
      <c r="BS661" s="249"/>
      <c r="BT661" s="216"/>
      <c r="BU661" s="1195"/>
      <c r="BV661" s="249"/>
      <c r="BW661" s="216"/>
      <c r="BX661" s="1195"/>
      <c r="BY661" s="249"/>
      <c r="BZ661" s="216"/>
      <c r="CA661" s="1195"/>
      <c r="CB661" s="249"/>
      <c r="CC661" s="216"/>
      <c r="CD661" s="1195"/>
      <c r="CE661" s="249"/>
      <c r="CF661" s="216"/>
      <c r="CG661" s="1195"/>
      <c r="CH661" s="249"/>
      <c r="CI661" s="216"/>
      <c r="CJ661" s="1195"/>
      <c r="CK661" s="249"/>
      <c r="CL661" s="216"/>
      <c r="CM661" s="1194"/>
      <c r="CN661" s="1524"/>
      <c r="CO661" s="217"/>
      <c r="CP661" s="1193"/>
      <c r="CQ661" s="293"/>
      <c r="CR661" s="217"/>
      <c r="CS661" s="305"/>
      <c r="CT661" s="249"/>
      <c r="CU661" s="216"/>
      <c r="CV661" s="1193"/>
      <c r="CW661" s="249"/>
      <c r="CX661" s="216"/>
      <c r="CY661" s="305"/>
      <c r="CZ661" s="249"/>
      <c r="DA661" s="216"/>
      <c r="DB661" s="307"/>
      <c r="DC661" s="328"/>
      <c r="DD661" s="322"/>
      <c r="DE661" s="305"/>
      <c r="DF661" s="249"/>
      <c r="DG661" s="216"/>
      <c r="DH661" s="305"/>
      <c r="DI661" s="249"/>
      <c r="DJ661" s="216"/>
      <c r="DK661" s="309"/>
      <c r="DL661" s="293"/>
      <c r="DM661" s="326"/>
      <c r="DN661" s="1256"/>
      <c r="DO661" s="214"/>
      <c r="DP661" s="1257"/>
      <c r="DQ661" s="1258"/>
      <c r="DR661" s="305"/>
      <c r="DS661" s="249"/>
      <c r="DT661" s="216"/>
      <c r="DU661" s="305"/>
      <c r="DV661" s="2520"/>
      <c r="DW661" s="2521"/>
      <c r="DX661" s="305"/>
      <c r="DY661" s="249"/>
      <c r="DZ661" s="221"/>
      <c r="EA661" s="388"/>
      <c r="EB661" s="249"/>
      <c r="EC661" s="216"/>
      <c r="ED661" s="1461"/>
      <c r="EE661" s="249"/>
      <c r="EF661" s="216"/>
      <c r="EG661" s="355"/>
      <c r="EH661" s="1425"/>
      <c r="EI661" s="1470"/>
      <c r="EJ661" s="249"/>
      <c r="EK661" s="221"/>
      <c r="EL661" s="313"/>
      <c r="EM661" s="249"/>
      <c r="EN661" s="221"/>
      <c r="EO661" s="313"/>
      <c r="EP661" s="249"/>
      <c r="EQ661" s="216"/>
      <c r="ER661" s="313"/>
      <c r="ES661" s="249"/>
      <c r="ET661" s="216"/>
      <c r="EU661" s="313"/>
      <c r="EV661" s="249"/>
      <c r="EW661" s="216"/>
      <c r="EX661" s="2505"/>
      <c r="EY661" s="249"/>
      <c r="EZ661" s="221"/>
      <c r="FA661" s="313"/>
      <c r="FB661" s="249"/>
      <c r="FC661" s="221"/>
      <c r="FD661" s="313"/>
      <c r="FE661" s="249"/>
      <c r="FF661" s="221"/>
      <c r="FG661" s="313"/>
      <c r="FH661" s="249"/>
      <c r="FI661" s="216"/>
      <c r="FJ661" s="1435"/>
      <c r="FK661" s="216"/>
      <c r="FL661" s="1268"/>
      <c r="FM661" s="1655"/>
      <c r="FN661" s="1268"/>
      <c r="FO661" s="1655"/>
      <c r="FP661" s="1268"/>
      <c r="FQ661" s="1656"/>
      <c r="FR661" s="249"/>
      <c r="FS661" s="216"/>
      <c r="FT661" s="1657"/>
      <c r="FU661" s="1658"/>
      <c r="FV661" s="242"/>
      <c r="FW661" s="343"/>
      <c r="FX661" s="222"/>
      <c r="FY661" s="336"/>
      <c r="FZ661" s="223"/>
      <c r="GA661" s="338"/>
      <c r="GB661" s="204"/>
      <c r="GC661" s="339"/>
      <c r="GD661" s="342"/>
      <c r="GE661" s="199"/>
      <c r="GF661" s="199"/>
      <c r="GG661" s="199"/>
      <c r="GH661" s="199"/>
      <c r="GI661" s="199"/>
      <c r="GJ661" s="199"/>
      <c r="GK661" s="199"/>
      <c r="GO661" s="322"/>
      <c r="GP661" s="1190"/>
      <c r="GQ661" s="1190"/>
      <c r="GS661" s="2879"/>
      <c r="GT661" s="2880"/>
      <c r="GU661" s="2881"/>
    </row>
    <row r="662" spans="1:203" ht="12" customHeight="1">
      <c r="A662" s="1252"/>
      <c r="B662" s="200"/>
      <c r="C662" s="486"/>
      <c r="T662" s="1186"/>
      <c r="U662" s="233"/>
      <c r="W662" s="218"/>
      <c r="X662" s="218"/>
      <c r="Y662" s="216"/>
      <c r="Z662" s="216"/>
      <c r="AA662" s="215"/>
      <c r="AB662" s="216"/>
      <c r="AC662" s="216"/>
      <c r="AD662" s="239"/>
      <c r="AE662" s="216"/>
      <c r="AF662" s="216"/>
      <c r="AG662" s="216"/>
      <c r="AH662" s="216"/>
      <c r="AI662" s="216"/>
      <c r="AJ662" s="216"/>
      <c r="AK662" s="239"/>
      <c r="AL662" s="216"/>
      <c r="AM662" s="216"/>
      <c r="AN662" s="216"/>
      <c r="AO662" s="216"/>
      <c r="AP662" s="216"/>
      <c r="AQ662" s="216"/>
      <c r="AR662" s="216"/>
      <c r="AS662" s="216"/>
      <c r="AT662" s="216"/>
      <c r="AU662" s="216"/>
      <c r="AV662" s="217"/>
      <c r="AW662" s="355"/>
      <c r="AX662" s="217"/>
      <c r="AY662" s="305"/>
      <c r="AZ662" s="249"/>
      <c r="BA662" s="221"/>
      <c r="BB662" s="300"/>
      <c r="BC662" s="217"/>
      <c r="BD662" s="392"/>
      <c r="BE662" s="1244"/>
      <c r="BF662" s="249"/>
      <c r="BG662" s="252"/>
      <c r="BH662" s="1469"/>
      <c r="BI662" s="216"/>
      <c r="BJ662" s="1469"/>
      <c r="BK662" s="1459"/>
      <c r="BL662" s="260"/>
      <c r="BM662" s="214"/>
      <c r="BN662" s="293"/>
      <c r="BO662" s="217"/>
      <c r="BP662" s="355"/>
      <c r="BQ662" s="217"/>
      <c r="BR662" s="1193"/>
      <c r="BS662" s="249"/>
      <c r="BT662" s="216"/>
      <c r="BU662" s="1195"/>
      <c r="BV662" s="249"/>
      <c r="BW662" s="216"/>
      <c r="BX662" s="1195"/>
      <c r="BY662" s="249"/>
      <c r="BZ662" s="216"/>
      <c r="CA662" s="1195"/>
      <c r="CB662" s="249"/>
      <c r="CC662" s="216"/>
      <c r="CD662" s="1195"/>
      <c r="CE662" s="249"/>
      <c r="CF662" s="216"/>
      <c r="CG662" s="1195"/>
      <c r="CH662" s="249"/>
      <c r="CI662" s="216"/>
      <c r="CJ662" s="1195"/>
      <c r="CK662" s="249"/>
      <c r="CL662" s="216"/>
      <c r="CM662" s="1194"/>
      <c r="CN662" s="1524"/>
      <c r="CO662" s="217"/>
      <c r="CP662" s="1193"/>
      <c r="CQ662" s="293"/>
      <c r="CR662" s="217"/>
      <c r="CS662" s="305"/>
      <c r="CT662" s="249"/>
      <c r="CU662" s="216"/>
      <c r="CV662" s="1193"/>
      <c r="CW662" s="249"/>
      <c r="CX662" s="216"/>
      <c r="CY662" s="305"/>
      <c r="CZ662" s="249"/>
      <c r="DA662" s="216"/>
      <c r="DB662" s="307"/>
      <c r="DC662" s="328"/>
      <c r="DD662" s="322"/>
      <c r="DE662" s="305"/>
      <c r="DF662" s="249"/>
      <c r="DG662" s="216"/>
      <c r="DH662" s="305"/>
      <c r="DI662" s="249"/>
      <c r="DJ662" s="216"/>
      <c r="DK662" s="309"/>
      <c r="DL662" s="293"/>
      <c r="DM662" s="326"/>
      <c r="DN662" s="1256"/>
      <c r="DO662" s="214"/>
      <c r="DP662" s="1257"/>
      <c r="DQ662" s="1258"/>
      <c r="DR662" s="305"/>
      <c r="DS662" s="249"/>
      <c r="DT662" s="216"/>
      <c r="DU662" s="305"/>
      <c r="DV662" s="2520"/>
      <c r="DW662" s="2521"/>
      <c r="DX662" s="305"/>
      <c r="DY662" s="249"/>
      <c r="DZ662" s="221"/>
      <c r="EA662" s="388"/>
      <c r="EB662" s="249"/>
      <c r="EC662" s="216"/>
      <c r="ED662" s="1461"/>
      <c r="EE662" s="249"/>
      <c r="EF662" s="216"/>
      <c r="EG662" s="355"/>
      <c r="EH662" s="1425"/>
      <c r="EI662" s="1470"/>
      <c r="EJ662" s="249"/>
      <c r="EK662" s="221"/>
      <c r="EL662" s="313"/>
      <c r="EM662" s="249"/>
      <c r="EN662" s="221"/>
      <c r="EO662" s="313"/>
      <c r="EP662" s="249"/>
      <c r="EQ662" s="216"/>
      <c r="ER662" s="313"/>
      <c r="ES662" s="249"/>
      <c r="ET662" s="216"/>
      <c r="EU662" s="313"/>
      <c r="EV662" s="249"/>
      <c r="EW662" s="216"/>
      <c r="EX662" s="2505"/>
      <c r="EY662" s="249"/>
      <c r="EZ662" s="221"/>
      <c r="FA662" s="313"/>
      <c r="FB662" s="249"/>
      <c r="FC662" s="221"/>
      <c r="FD662" s="313"/>
      <c r="FE662" s="249"/>
      <c r="FF662" s="221"/>
      <c r="FG662" s="313"/>
      <c r="FH662" s="249"/>
      <c r="FI662" s="216"/>
      <c r="FJ662" s="1435"/>
      <c r="FK662" s="216"/>
      <c r="FL662" s="1268"/>
      <c r="FM662" s="1655"/>
      <c r="FN662" s="1268"/>
      <c r="FO662" s="1655"/>
      <c r="FP662" s="1268"/>
      <c r="FQ662" s="1656"/>
      <c r="FR662" s="249"/>
      <c r="FS662" s="216"/>
      <c r="FT662" s="1657"/>
      <c r="FU662" s="1658"/>
      <c r="FV662" s="242"/>
      <c r="FW662" s="343"/>
      <c r="FX662" s="222"/>
      <c r="FY662" s="336"/>
      <c r="FZ662" s="223"/>
      <c r="GA662" s="338"/>
      <c r="GB662" s="204"/>
      <c r="GC662" s="339"/>
      <c r="GD662" s="342"/>
      <c r="GE662" s="199"/>
      <c r="GF662" s="199"/>
      <c r="GG662" s="199"/>
      <c r="GH662" s="199"/>
      <c r="GI662" s="199"/>
      <c r="GJ662" s="199"/>
      <c r="GK662" s="199"/>
      <c r="GO662" s="322"/>
      <c r="GP662" s="1190"/>
      <c r="GQ662" s="1190"/>
      <c r="GS662" s="2879"/>
      <c r="GT662" s="2880"/>
      <c r="GU662" s="2881"/>
    </row>
    <row r="663" spans="1:203" ht="12" customHeight="1">
      <c r="A663" s="1252"/>
      <c r="B663" s="200"/>
      <c r="C663" s="486"/>
      <c r="T663" s="1186"/>
      <c r="U663" s="233"/>
      <c r="W663" s="218"/>
      <c r="X663" s="218"/>
      <c r="Y663" s="216"/>
      <c r="Z663" s="216"/>
      <c r="AA663" s="215"/>
      <c r="AB663" s="216"/>
      <c r="AC663" s="216"/>
      <c r="AD663" s="239"/>
      <c r="AE663" s="216"/>
      <c r="AF663" s="216"/>
      <c r="AG663" s="216"/>
      <c r="AH663" s="216"/>
      <c r="AI663" s="216"/>
      <c r="AJ663" s="216"/>
      <c r="AK663" s="239"/>
      <c r="AL663" s="216"/>
      <c r="AM663" s="216"/>
      <c r="AN663" s="216"/>
      <c r="AO663" s="216"/>
      <c r="AP663" s="216"/>
      <c r="AQ663" s="216"/>
      <c r="AR663" s="216"/>
      <c r="AS663" s="216"/>
      <c r="AT663" s="216"/>
      <c r="AU663" s="216"/>
      <c r="AV663" s="217"/>
      <c r="AW663" s="355"/>
      <c r="AX663" s="217"/>
      <c r="AY663" s="305"/>
      <c r="AZ663" s="249"/>
      <c r="BA663" s="221"/>
      <c r="BB663" s="300"/>
      <c r="BC663" s="217"/>
      <c r="BD663" s="392"/>
      <c r="BE663" s="1244"/>
      <c r="BF663" s="249"/>
      <c r="BG663" s="252"/>
      <c r="BH663" s="1469"/>
      <c r="BI663" s="216"/>
      <c r="BJ663" s="1469"/>
      <c r="BK663" s="1459"/>
      <c r="BL663" s="260"/>
      <c r="BM663" s="214"/>
      <c r="BN663" s="293"/>
      <c r="BO663" s="217"/>
      <c r="BP663" s="355"/>
      <c r="BQ663" s="217"/>
      <c r="BR663" s="1193"/>
      <c r="BS663" s="249"/>
      <c r="BT663" s="216"/>
      <c r="BU663" s="1195"/>
      <c r="BV663" s="249"/>
      <c r="BW663" s="216"/>
      <c r="BX663" s="1195"/>
      <c r="BY663" s="249"/>
      <c r="BZ663" s="216"/>
      <c r="CA663" s="1195"/>
      <c r="CB663" s="249"/>
      <c r="CC663" s="216"/>
      <c r="CD663" s="1195"/>
      <c r="CE663" s="249"/>
      <c r="CF663" s="216"/>
      <c r="CG663" s="1195"/>
      <c r="CH663" s="249"/>
      <c r="CI663" s="216"/>
      <c r="CJ663" s="1195"/>
      <c r="CK663" s="249"/>
      <c r="CL663" s="216"/>
      <c r="CM663" s="1194"/>
      <c r="CN663" s="1524"/>
      <c r="CO663" s="217"/>
      <c r="CP663" s="1193"/>
      <c r="CQ663" s="293"/>
      <c r="CR663" s="217"/>
      <c r="CS663" s="305"/>
      <c r="CT663" s="249"/>
      <c r="CU663" s="216"/>
      <c r="CV663" s="1193"/>
      <c r="CW663" s="249"/>
      <c r="CX663" s="216"/>
      <c r="CY663" s="305"/>
      <c r="CZ663" s="249"/>
      <c r="DA663" s="216"/>
      <c r="DB663" s="307"/>
      <c r="DC663" s="328"/>
      <c r="DD663" s="322"/>
      <c r="DE663" s="305"/>
      <c r="DF663" s="249"/>
      <c r="DG663" s="216"/>
      <c r="DH663" s="305"/>
      <c r="DI663" s="249"/>
      <c r="DJ663" s="216"/>
      <c r="DK663" s="309"/>
      <c r="DL663" s="293"/>
      <c r="DM663" s="326"/>
      <c r="DN663" s="1256"/>
      <c r="DO663" s="214"/>
      <c r="DP663" s="1257"/>
      <c r="DQ663" s="1258"/>
      <c r="DR663" s="305"/>
      <c r="DS663" s="249"/>
      <c r="DT663" s="216"/>
      <c r="DU663" s="305"/>
      <c r="DV663" s="2520"/>
      <c r="DW663" s="2521"/>
      <c r="DX663" s="305"/>
      <c r="DY663" s="249"/>
      <c r="DZ663" s="221"/>
      <c r="EA663" s="388"/>
      <c r="EB663" s="249"/>
      <c r="EC663" s="216"/>
      <c r="ED663" s="1461"/>
      <c r="EE663" s="249"/>
      <c r="EF663" s="216"/>
      <c r="EG663" s="355"/>
      <c r="EH663" s="1425"/>
      <c r="EI663" s="1470"/>
      <c r="EJ663" s="249"/>
      <c r="EK663" s="221"/>
      <c r="EL663" s="313"/>
      <c r="EM663" s="249"/>
      <c r="EN663" s="221"/>
      <c r="EO663" s="313"/>
      <c r="EP663" s="249"/>
      <c r="EQ663" s="216"/>
      <c r="ER663" s="313"/>
      <c r="ES663" s="249"/>
      <c r="ET663" s="216"/>
      <c r="EU663" s="313"/>
      <c r="EV663" s="249"/>
      <c r="EW663" s="216"/>
      <c r="EX663" s="2505"/>
      <c r="EY663" s="249"/>
      <c r="EZ663" s="221"/>
      <c r="FA663" s="313"/>
      <c r="FB663" s="249"/>
      <c r="FC663" s="221"/>
      <c r="FD663" s="313"/>
      <c r="FE663" s="249"/>
      <c r="FF663" s="221"/>
      <c r="FG663" s="313"/>
      <c r="FH663" s="249"/>
      <c r="FI663" s="216"/>
      <c r="FJ663" s="1435"/>
      <c r="FK663" s="216"/>
      <c r="FL663" s="1268"/>
      <c r="FM663" s="1655"/>
      <c r="FN663" s="1268"/>
      <c r="FO663" s="1655"/>
      <c r="FP663" s="1268"/>
      <c r="FQ663" s="1656"/>
      <c r="FR663" s="249"/>
      <c r="FS663" s="216"/>
      <c r="FT663" s="1657"/>
      <c r="FU663" s="1658"/>
      <c r="FV663" s="242"/>
      <c r="FW663" s="343"/>
      <c r="FX663" s="222"/>
      <c r="FY663" s="336"/>
      <c r="FZ663" s="223"/>
      <c r="GA663" s="338"/>
      <c r="GB663" s="204"/>
      <c r="GC663" s="339"/>
      <c r="GD663" s="342"/>
      <c r="GE663" s="199"/>
      <c r="GF663" s="199"/>
      <c r="GG663" s="199"/>
      <c r="GH663" s="199"/>
      <c r="GI663" s="199"/>
      <c r="GJ663" s="199"/>
      <c r="GK663" s="199"/>
      <c r="GO663" s="322"/>
      <c r="GP663" s="1190"/>
      <c r="GQ663" s="1190"/>
      <c r="GS663" s="2879"/>
      <c r="GT663" s="2880"/>
      <c r="GU663" s="2881"/>
    </row>
    <row r="664" spans="1:203" ht="12" customHeight="1">
      <c r="A664" s="1252"/>
      <c r="B664" s="200"/>
      <c r="C664" s="486"/>
      <c r="T664" s="1186"/>
      <c r="U664" s="233"/>
      <c r="W664" s="218"/>
      <c r="X664" s="218"/>
      <c r="Y664" s="216"/>
      <c r="Z664" s="216"/>
      <c r="AA664" s="215"/>
      <c r="AB664" s="216"/>
      <c r="AC664" s="216"/>
      <c r="AD664" s="239"/>
      <c r="AE664" s="216"/>
      <c r="AF664" s="216"/>
      <c r="AG664" s="216"/>
      <c r="AH664" s="216"/>
      <c r="AI664" s="216"/>
      <c r="AJ664" s="216"/>
      <c r="AK664" s="239"/>
      <c r="AL664" s="216"/>
      <c r="AM664" s="216"/>
      <c r="AN664" s="216"/>
      <c r="AO664" s="216"/>
      <c r="AP664" s="216"/>
      <c r="AQ664" s="216"/>
      <c r="AR664" s="216"/>
      <c r="AS664" s="216"/>
      <c r="AT664" s="216"/>
      <c r="AU664" s="216"/>
      <c r="AV664" s="217"/>
      <c r="AW664" s="355"/>
      <c r="AX664" s="217"/>
      <c r="AY664" s="305"/>
      <c r="AZ664" s="249"/>
      <c r="BA664" s="221"/>
      <c r="BB664" s="300"/>
      <c r="BC664" s="217"/>
      <c r="BD664" s="392"/>
      <c r="BE664" s="1244"/>
      <c r="BF664" s="249"/>
      <c r="BG664" s="252"/>
      <c r="BH664" s="1469"/>
      <c r="BI664" s="216"/>
      <c r="BJ664" s="1469"/>
      <c r="BK664" s="1459"/>
      <c r="BL664" s="260"/>
      <c r="BM664" s="214"/>
      <c r="BN664" s="293"/>
      <c r="BO664" s="217"/>
      <c r="BP664" s="355"/>
      <c r="BQ664" s="217"/>
      <c r="BR664" s="1193"/>
      <c r="BS664" s="249"/>
      <c r="BT664" s="216"/>
      <c r="BU664" s="1195"/>
      <c r="BV664" s="249"/>
      <c r="BW664" s="216"/>
      <c r="BX664" s="1195"/>
      <c r="BY664" s="249"/>
      <c r="BZ664" s="216"/>
      <c r="CA664" s="1195"/>
      <c r="CB664" s="249"/>
      <c r="CC664" s="216"/>
      <c r="CD664" s="1195"/>
      <c r="CE664" s="249"/>
      <c r="CF664" s="216"/>
      <c r="CG664" s="1195"/>
      <c r="CH664" s="249"/>
      <c r="CI664" s="216"/>
      <c r="CJ664" s="1195"/>
      <c r="CK664" s="249"/>
      <c r="CL664" s="216"/>
      <c r="CM664" s="1194"/>
      <c r="CN664" s="1524"/>
      <c r="CO664" s="217"/>
      <c r="CP664" s="1193"/>
      <c r="CQ664" s="293"/>
      <c r="CR664" s="217"/>
      <c r="CS664" s="305"/>
      <c r="CT664" s="249"/>
      <c r="CU664" s="216"/>
      <c r="CV664" s="1193"/>
      <c r="CW664" s="249"/>
      <c r="CX664" s="216"/>
      <c r="CY664" s="305"/>
      <c r="CZ664" s="249"/>
      <c r="DA664" s="216"/>
      <c r="DB664" s="307"/>
      <c r="DC664" s="328"/>
      <c r="DD664" s="322"/>
      <c r="DE664" s="305"/>
      <c r="DF664" s="249"/>
      <c r="DG664" s="216"/>
      <c r="DH664" s="305"/>
      <c r="DI664" s="249"/>
      <c r="DJ664" s="216"/>
      <c r="DK664" s="309"/>
      <c r="DL664" s="293"/>
      <c r="DM664" s="326"/>
      <c r="DN664" s="1256"/>
      <c r="DO664" s="214"/>
      <c r="DP664" s="1257"/>
      <c r="DQ664" s="1258"/>
      <c r="DR664" s="305"/>
      <c r="DS664" s="249"/>
      <c r="DT664" s="216"/>
      <c r="DU664" s="305"/>
      <c r="DV664" s="2520"/>
      <c r="DW664" s="2521"/>
      <c r="DX664" s="305"/>
      <c r="DY664" s="249"/>
      <c r="DZ664" s="221"/>
      <c r="EA664" s="388"/>
      <c r="EB664" s="249"/>
      <c r="EC664" s="216"/>
      <c r="ED664" s="1461"/>
      <c r="EE664" s="249"/>
      <c r="EF664" s="216"/>
      <c r="EG664" s="355"/>
      <c r="EH664" s="1425"/>
      <c r="EI664" s="1470"/>
      <c r="EJ664" s="249"/>
      <c r="EK664" s="221"/>
      <c r="EL664" s="313"/>
      <c r="EM664" s="249"/>
      <c r="EN664" s="221"/>
      <c r="EO664" s="313"/>
      <c r="EP664" s="249"/>
      <c r="EQ664" s="216"/>
      <c r="ER664" s="313"/>
      <c r="ES664" s="249"/>
      <c r="ET664" s="216"/>
      <c r="EU664" s="313"/>
      <c r="EV664" s="249"/>
      <c r="EW664" s="216"/>
      <c r="EX664" s="2505"/>
      <c r="EY664" s="249"/>
      <c r="EZ664" s="221"/>
      <c r="FA664" s="313"/>
      <c r="FB664" s="249"/>
      <c r="FC664" s="221"/>
      <c r="FD664" s="313"/>
      <c r="FE664" s="249"/>
      <c r="FF664" s="221"/>
      <c r="FG664" s="313"/>
      <c r="FH664" s="249"/>
      <c r="FI664" s="216"/>
      <c r="FJ664" s="1435"/>
      <c r="FK664" s="216"/>
      <c r="FL664" s="1268"/>
      <c r="FM664" s="1655"/>
      <c r="FN664" s="1268"/>
      <c r="FO664" s="1655"/>
      <c r="FP664" s="1268"/>
      <c r="FQ664" s="1656"/>
      <c r="FR664" s="249"/>
      <c r="FS664" s="216"/>
      <c r="FT664" s="1657"/>
      <c r="FU664" s="1658"/>
      <c r="FV664" s="242"/>
      <c r="FW664" s="343"/>
      <c r="FX664" s="222"/>
      <c r="FY664" s="336"/>
      <c r="FZ664" s="223"/>
      <c r="GA664" s="338"/>
      <c r="GB664" s="204"/>
      <c r="GC664" s="339"/>
      <c r="GD664" s="342"/>
      <c r="GE664" s="199"/>
      <c r="GF664" s="199"/>
      <c r="GG664" s="199"/>
      <c r="GH664" s="199"/>
      <c r="GI664" s="199"/>
      <c r="GJ664" s="199"/>
      <c r="GK664" s="199"/>
      <c r="GO664" s="322"/>
      <c r="GP664" s="1190"/>
      <c r="GQ664" s="1190"/>
      <c r="GS664" s="2879"/>
      <c r="GT664" s="2880"/>
      <c r="GU664" s="2881"/>
    </row>
    <row r="665" spans="1:203" ht="12" customHeight="1">
      <c r="A665" s="1252"/>
      <c r="B665" s="200"/>
      <c r="C665" s="486"/>
      <c r="T665" s="1186"/>
      <c r="U665" s="233"/>
      <c r="W665" s="218"/>
      <c r="X665" s="218"/>
      <c r="Y665" s="216"/>
      <c r="Z665" s="216"/>
      <c r="AA665" s="215"/>
      <c r="AB665" s="216"/>
      <c r="AC665" s="216"/>
      <c r="AD665" s="239"/>
      <c r="AE665" s="216"/>
      <c r="AF665" s="216"/>
      <c r="AG665" s="216"/>
      <c r="AH665" s="216"/>
      <c r="AI665" s="216"/>
      <c r="AJ665" s="216"/>
      <c r="AK665" s="239"/>
      <c r="AL665" s="216"/>
      <c r="AM665" s="216"/>
      <c r="AN665" s="216"/>
      <c r="AO665" s="216"/>
      <c r="AP665" s="216"/>
      <c r="AQ665" s="216"/>
      <c r="AR665" s="216"/>
      <c r="AS665" s="216"/>
      <c r="AT665" s="216"/>
      <c r="AU665" s="216"/>
      <c r="AV665" s="217"/>
      <c r="AW665" s="355"/>
      <c r="AX665" s="217"/>
      <c r="AY665" s="305"/>
      <c r="AZ665" s="249"/>
      <c r="BA665" s="221"/>
      <c r="BB665" s="300"/>
      <c r="BC665" s="217"/>
      <c r="BD665" s="392"/>
      <c r="BE665" s="1244"/>
      <c r="BF665" s="249"/>
      <c r="BG665" s="252"/>
      <c r="BH665" s="1469"/>
      <c r="BI665" s="216"/>
      <c r="BJ665" s="1469"/>
      <c r="BK665" s="1459"/>
      <c r="BL665" s="260"/>
      <c r="BM665" s="214"/>
      <c r="BN665" s="293"/>
      <c r="BO665" s="217"/>
      <c r="BP665" s="355"/>
      <c r="BQ665" s="217"/>
      <c r="BR665" s="1193"/>
      <c r="BS665" s="249"/>
      <c r="BT665" s="216"/>
      <c r="BU665" s="1195"/>
      <c r="BV665" s="249"/>
      <c r="BW665" s="216"/>
      <c r="BX665" s="1195"/>
      <c r="BY665" s="249"/>
      <c r="BZ665" s="216"/>
      <c r="CA665" s="1195"/>
      <c r="CB665" s="249"/>
      <c r="CC665" s="216"/>
      <c r="CD665" s="1195"/>
      <c r="CE665" s="249"/>
      <c r="CF665" s="216"/>
      <c r="CG665" s="1195"/>
      <c r="CH665" s="249"/>
      <c r="CI665" s="216"/>
      <c r="CJ665" s="1195"/>
      <c r="CK665" s="249"/>
      <c r="CL665" s="216"/>
      <c r="CM665" s="1194"/>
      <c r="CN665" s="1524"/>
      <c r="CO665" s="217"/>
      <c r="CP665" s="1193"/>
      <c r="CQ665" s="293"/>
      <c r="CR665" s="217"/>
      <c r="CS665" s="305"/>
      <c r="CT665" s="249"/>
      <c r="CU665" s="216"/>
      <c r="CV665" s="1193"/>
      <c r="CW665" s="249"/>
      <c r="CX665" s="216"/>
      <c r="CY665" s="305"/>
      <c r="CZ665" s="249"/>
      <c r="DA665" s="216"/>
      <c r="DB665" s="307"/>
      <c r="DC665" s="328"/>
      <c r="DD665" s="322"/>
      <c r="DE665" s="305"/>
      <c r="DF665" s="249"/>
      <c r="DG665" s="216"/>
      <c r="DH665" s="305"/>
      <c r="DI665" s="249"/>
      <c r="DJ665" s="216"/>
      <c r="DK665" s="309"/>
      <c r="DL665" s="293"/>
      <c r="DM665" s="326"/>
      <c r="DN665" s="1256"/>
      <c r="DO665" s="214"/>
      <c r="DP665" s="1257"/>
      <c r="DQ665" s="1258"/>
      <c r="DR665" s="305"/>
      <c r="DS665" s="249"/>
      <c r="DT665" s="216"/>
      <c r="DU665" s="305"/>
      <c r="DV665" s="2520"/>
      <c r="DW665" s="2521"/>
      <c r="DX665" s="305"/>
      <c r="DY665" s="249"/>
      <c r="DZ665" s="221"/>
      <c r="EA665" s="388"/>
      <c r="EB665" s="249"/>
      <c r="EC665" s="216"/>
      <c r="ED665" s="1461"/>
      <c r="EE665" s="249"/>
      <c r="EF665" s="216"/>
      <c r="EG665" s="355"/>
      <c r="EH665" s="1425"/>
      <c r="EI665" s="1470"/>
      <c r="EJ665" s="249"/>
      <c r="EK665" s="221"/>
      <c r="EL665" s="313"/>
      <c r="EM665" s="249"/>
      <c r="EN665" s="221"/>
      <c r="EO665" s="313"/>
      <c r="EP665" s="249"/>
      <c r="EQ665" s="216"/>
      <c r="ER665" s="313"/>
      <c r="ES665" s="249"/>
      <c r="ET665" s="216"/>
      <c r="EU665" s="313"/>
      <c r="EV665" s="249"/>
      <c r="EW665" s="216"/>
      <c r="EX665" s="2505"/>
      <c r="EY665" s="249"/>
      <c r="EZ665" s="221"/>
      <c r="FA665" s="313"/>
      <c r="FB665" s="249"/>
      <c r="FC665" s="221"/>
      <c r="FD665" s="313"/>
      <c r="FE665" s="249"/>
      <c r="FF665" s="221"/>
      <c r="FG665" s="313"/>
      <c r="FH665" s="249"/>
      <c r="FI665" s="216"/>
      <c r="FJ665" s="1435"/>
      <c r="FK665" s="216"/>
      <c r="FL665" s="1268"/>
      <c r="FM665" s="1655"/>
      <c r="FN665" s="1268"/>
      <c r="FO665" s="1655"/>
      <c r="FP665" s="1268"/>
      <c r="FQ665" s="1656"/>
      <c r="FR665" s="249"/>
      <c r="FS665" s="216"/>
      <c r="FT665" s="1657"/>
      <c r="FU665" s="1658"/>
      <c r="FV665" s="242"/>
      <c r="FW665" s="343"/>
      <c r="FX665" s="222"/>
      <c r="FY665" s="336"/>
      <c r="FZ665" s="223"/>
      <c r="GA665" s="338"/>
      <c r="GB665" s="204"/>
      <c r="GC665" s="339"/>
      <c r="GD665" s="342"/>
      <c r="GE665" s="199"/>
      <c r="GF665" s="199"/>
      <c r="GG665" s="199"/>
      <c r="GH665" s="199"/>
      <c r="GI665" s="199"/>
      <c r="GJ665" s="199"/>
      <c r="GK665" s="199"/>
      <c r="GO665" s="322"/>
      <c r="GP665" s="1190"/>
      <c r="GQ665" s="1190"/>
      <c r="GS665" s="2879"/>
      <c r="GT665" s="2880"/>
      <c r="GU665" s="2881"/>
    </row>
    <row r="666" spans="1:203" ht="12" customHeight="1">
      <c r="A666" s="1252"/>
      <c r="B666" s="200"/>
      <c r="C666" s="486"/>
      <c r="T666" s="1186"/>
      <c r="U666" s="233"/>
      <c r="W666" s="218"/>
      <c r="X666" s="218"/>
      <c r="Y666" s="216"/>
      <c r="Z666" s="216"/>
      <c r="AA666" s="215"/>
      <c r="AB666" s="216"/>
      <c r="AC666" s="216"/>
      <c r="AD666" s="239"/>
      <c r="AE666" s="216"/>
      <c r="AF666" s="216"/>
      <c r="AG666" s="216"/>
      <c r="AH666" s="216"/>
      <c r="AI666" s="216"/>
      <c r="AJ666" s="216"/>
      <c r="AK666" s="239"/>
      <c r="AL666" s="216"/>
      <c r="AM666" s="216"/>
      <c r="AN666" s="216"/>
      <c r="AO666" s="216"/>
      <c r="AP666" s="216"/>
      <c r="AQ666" s="216"/>
      <c r="AR666" s="216"/>
      <c r="AS666" s="216"/>
      <c r="AT666" s="216"/>
      <c r="AU666" s="216"/>
      <c r="AV666" s="217"/>
      <c r="AW666" s="355"/>
      <c r="AX666" s="217"/>
      <c r="AY666" s="305"/>
      <c r="AZ666" s="249"/>
      <c r="BA666" s="221"/>
      <c r="BB666" s="300"/>
      <c r="BC666" s="217"/>
      <c r="BD666" s="392"/>
      <c r="BE666" s="1244"/>
      <c r="BF666" s="249"/>
      <c r="BG666" s="252"/>
      <c r="BH666" s="1469"/>
      <c r="BI666" s="216"/>
      <c r="BJ666" s="1469"/>
      <c r="BK666" s="1459"/>
      <c r="BL666" s="260"/>
      <c r="BM666" s="214"/>
      <c r="BN666" s="293"/>
      <c r="BO666" s="217"/>
      <c r="BP666" s="355"/>
      <c r="BQ666" s="217"/>
      <c r="BR666" s="1193"/>
      <c r="BS666" s="249"/>
      <c r="BT666" s="216"/>
      <c r="BU666" s="1195"/>
      <c r="BV666" s="249"/>
      <c r="BW666" s="216"/>
      <c r="BX666" s="1195"/>
      <c r="BY666" s="249"/>
      <c r="BZ666" s="216"/>
      <c r="CA666" s="1195"/>
      <c r="CB666" s="249"/>
      <c r="CC666" s="216"/>
      <c r="CD666" s="1195"/>
      <c r="CE666" s="249"/>
      <c r="CF666" s="216"/>
      <c r="CG666" s="1195"/>
      <c r="CH666" s="249"/>
      <c r="CI666" s="216"/>
      <c r="CJ666" s="1195"/>
      <c r="CK666" s="249"/>
      <c r="CL666" s="216"/>
      <c r="CM666" s="1194"/>
      <c r="CN666" s="1524"/>
      <c r="CO666" s="217"/>
      <c r="CP666" s="1193"/>
      <c r="CQ666" s="293"/>
      <c r="CR666" s="217"/>
      <c r="CS666" s="305"/>
      <c r="CT666" s="249"/>
      <c r="CU666" s="216"/>
      <c r="CV666" s="1193"/>
      <c r="CW666" s="249"/>
      <c r="CX666" s="216"/>
      <c r="CY666" s="305"/>
      <c r="CZ666" s="249"/>
      <c r="DA666" s="216"/>
      <c r="DB666" s="307"/>
      <c r="DC666" s="328"/>
      <c r="DD666" s="322"/>
      <c r="DE666" s="305"/>
      <c r="DF666" s="249"/>
      <c r="DG666" s="216"/>
      <c r="DH666" s="305"/>
      <c r="DI666" s="249"/>
      <c r="DJ666" s="216"/>
      <c r="DK666" s="309"/>
      <c r="DL666" s="293"/>
      <c r="DM666" s="326"/>
      <c r="DN666" s="1256"/>
      <c r="DO666" s="214"/>
      <c r="DP666" s="1257"/>
      <c r="DQ666" s="1258"/>
      <c r="DR666" s="305"/>
      <c r="DS666" s="249"/>
      <c r="DT666" s="216"/>
      <c r="DU666" s="305"/>
      <c r="DV666" s="2520"/>
      <c r="DW666" s="2521"/>
      <c r="DX666" s="305"/>
      <c r="DY666" s="249"/>
      <c r="DZ666" s="221"/>
      <c r="EA666" s="388"/>
      <c r="EB666" s="249"/>
      <c r="EC666" s="216"/>
      <c r="ED666" s="1461"/>
      <c r="EE666" s="249"/>
      <c r="EF666" s="216"/>
      <c r="EG666" s="355"/>
      <c r="EH666" s="1425"/>
      <c r="EI666" s="1470"/>
      <c r="EJ666" s="249"/>
      <c r="EK666" s="221"/>
      <c r="EL666" s="313"/>
      <c r="EM666" s="249"/>
      <c r="EN666" s="221"/>
      <c r="EO666" s="313"/>
      <c r="EP666" s="249"/>
      <c r="EQ666" s="216"/>
      <c r="ER666" s="313"/>
      <c r="ES666" s="249"/>
      <c r="ET666" s="216"/>
      <c r="EU666" s="313"/>
      <c r="EV666" s="249"/>
      <c r="EW666" s="216"/>
      <c r="EX666" s="2505"/>
      <c r="EY666" s="249"/>
      <c r="EZ666" s="221"/>
      <c r="FA666" s="313"/>
      <c r="FB666" s="249"/>
      <c r="FC666" s="221"/>
      <c r="FD666" s="313"/>
      <c r="FE666" s="249"/>
      <c r="FF666" s="221"/>
      <c r="FG666" s="313"/>
      <c r="FH666" s="249"/>
      <c r="FI666" s="216"/>
      <c r="FJ666" s="1435"/>
      <c r="FK666" s="216"/>
      <c r="FL666" s="1268"/>
      <c r="FM666" s="1655"/>
      <c r="FN666" s="1268"/>
      <c r="FO666" s="1655"/>
      <c r="FP666" s="1268"/>
      <c r="FQ666" s="1656"/>
      <c r="FR666" s="249"/>
      <c r="FS666" s="216"/>
      <c r="FT666" s="1657"/>
      <c r="FU666" s="1658"/>
      <c r="FV666" s="242"/>
      <c r="FW666" s="343"/>
      <c r="FX666" s="222"/>
      <c r="FY666" s="336"/>
      <c r="FZ666" s="223"/>
      <c r="GA666" s="338"/>
      <c r="GB666" s="204"/>
      <c r="GC666" s="339"/>
      <c r="GD666" s="342"/>
      <c r="GE666" s="199"/>
      <c r="GF666" s="199"/>
      <c r="GG666" s="199"/>
      <c r="GH666" s="199"/>
      <c r="GI666" s="199"/>
      <c r="GJ666" s="199"/>
      <c r="GK666" s="199"/>
      <c r="GO666" s="322"/>
      <c r="GP666" s="1190"/>
      <c r="GQ666" s="1190"/>
      <c r="GS666" s="2879"/>
      <c r="GT666" s="2880"/>
      <c r="GU666" s="2881"/>
    </row>
    <row r="667" spans="1:203" ht="12" customHeight="1">
      <c r="A667" s="1252"/>
      <c r="B667" s="200"/>
      <c r="C667" s="486"/>
      <c r="T667" s="1186"/>
      <c r="U667" s="233"/>
      <c r="W667" s="218"/>
      <c r="X667" s="218"/>
      <c r="Y667" s="216"/>
      <c r="Z667" s="216"/>
      <c r="AA667" s="215"/>
      <c r="AB667" s="216"/>
      <c r="AC667" s="216"/>
      <c r="AD667" s="239"/>
      <c r="AE667" s="216"/>
      <c r="AF667" s="216"/>
      <c r="AG667" s="216"/>
      <c r="AH667" s="216"/>
      <c r="AI667" s="216"/>
      <c r="AJ667" s="216"/>
      <c r="AK667" s="239"/>
      <c r="AL667" s="216"/>
      <c r="AM667" s="216"/>
      <c r="AN667" s="216"/>
      <c r="AO667" s="216"/>
      <c r="AP667" s="216"/>
      <c r="AQ667" s="216"/>
      <c r="AR667" s="216"/>
      <c r="AS667" s="216"/>
      <c r="AT667" s="216"/>
      <c r="AU667" s="216"/>
      <c r="AV667" s="217"/>
      <c r="AW667" s="355"/>
      <c r="AX667" s="217"/>
      <c r="AY667" s="305"/>
      <c r="AZ667" s="249"/>
      <c r="BA667" s="221"/>
      <c r="BB667" s="300"/>
      <c r="BC667" s="217"/>
      <c r="BD667" s="392"/>
      <c r="BE667" s="1244"/>
      <c r="BF667" s="249"/>
      <c r="BG667" s="252"/>
      <c r="BH667" s="1469"/>
      <c r="BI667" s="216"/>
      <c r="BJ667" s="1469"/>
      <c r="BK667" s="1459"/>
      <c r="BL667" s="260"/>
      <c r="BM667" s="214"/>
      <c r="BN667" s="293"/>
      <c r="BO667" s="217"/>
      <c r="BP667" s="355"/>
      <c r="BQ667" s="217"/>
      <c r="BR667" s="1193"/>
      <c r="BS667" s="249"/>
      <c r="BT667" s="216"/>
      <c r="BU667" s="1195"/>
      <c r="BV667" s="249"/>
      <c r="BW667" s="216"/>
      <c r="BX667" s="1195"/>
      <c r="BY667" s="249"/>
      <c r="BZ667" s="216"/>
      <c r="CA667" s="1195"/>
      <c r="CB667" s="249"/>
      <c r="CC667" s="216"/>
      <c r="CD667" s="1195"/>
      <c r="CE667" s="249"/>
      <c r="CF667" s="216"/>
      <c r="CG667" s="1195"/>
      <c r="CH667" s="249"/>
      <c r="CI667" s="216"/>
      <c r="CJ667" s="1195"/>
      <c r="CK667" s="249"/>
      <c r="CL667" s="216"/>
      <c r="CM667" s="1194"/>
      <c r="CN667" s="1524"/>
      <c r="CO667" s="217"/>
      <c r="CP667" s="1193"/>
      <c r="CQ667" s="293"/>
      <c r="CR667" s="217"/>
      <c r="CS667" s="305"/>
      <c r="CT667" s="249"/>
      <c r="CU667" s="216"/>
      <c r="CV667" s="1193"/>
      <c r="CW667" s="249"/>
      <c r="CX667" s="216"/>
      <c r="CY667" s="305"/>
      <c r="CZ667" s="249"/>
      <c r="DA667" s="216"/>
      <c r="DB667" s="307"/>
      <c r="DC667" s="328"/>
      <c r="DD667" s="322"/>
      <c r="DE667" s="305"/>
      <c r="DF667" s="249"/>
      <c r="DG667" s="216"/>
      <c r="DH667" s="305"/>
      <c r="DI667" s="249"/>
      <c r="DJ667" s="216"/>
      <c r="DK667" s="309"/>
      <c r="DL667" s="293"/>
      <c r="DM667" s="326"/>
      <c r="DN667" s="1256"/>
      <c r="DO667" s="214"/>
      <c r="DP667" s="1257"/>
      <c r="DQ667" s="1258"/>
      <c r="DR667" s="305"/>
      <c r="DS667" s="249"/>
      <c r="DT667" s="216"/>
      <c r="DU667" s="305"/>
      <c r="DV667" s="2520"/>
      <c r="DW667" s="2521"/>
      <c r="DX667" s="305"/>
      <c r="DY667" s="249"/>
      <c r="DZ667" s="221"/>
      <c r="EA667" s="388"/>
      <c r="EB667" s="249"/>
      <c r="EC667" s="216"/>
      <c r="ED667" s="1461"/>
      <c r="EE667" s="249"/>
      <c r="EF667" s="216"/>
      <c r="EG667" s="355"/>
      <c r="EH667" s="1425"/>
      <c r="EI667" s="1470"/>
      <c r="EJ667" s="249"/>
      <c r="EK667" s="221"/>
      <c r="EL667" s="313"/>
      <c r="EM667" s="249"/>
      <c r="EN667" s="221"/>
      <c r="EO667" s="313"/>
      <c r="EP667" s="249"/>
      <c r="EQ667" s="216"/>
      <c r="ER667" s="313"/>
      <c r="ES667" s="249"/>
      <c r="ET667" s="216"/>
      <c r="EU667" s="313"/>
      <c r="EV667" s="249"/>
      <c r="EW667" s="216"/>
      <c r="EX667" s="2505"/>
      <c r="EY667" s="249"/>
      <c r="EZ667" s="221"/>
      <c r="FA667" s="313"/>
      <c r="FB667" s="249"/>
      <c r="FC667" s="221"/>
      <c r="FD667" s="313"/>
      <c r="FE667" s="249"/>
      <c r="FF667" s="221"/>
      <c r="FG667" s="313"/>
      <c r="FH667" s="249"/>
      <c r="FI667" s="216"/>
      <c r="FJ667" s="1435"/>
      <c r="FK667" s="216"/>
      <c r="FL667" s="1268"/>
      <c r="FM667" s="1655"/>
      <c r="FN667" s="1268"/>
      <c r="FO667" s="1655"/>
      <c r="FP667" s="1268"/>
      <c r="FQ667" s="1656"/>
      <c r="FR667" s="249"/>
      <c r="FS667" s="216"/>
      <c r="FT667" s="1657"/>
      <c r="FU667" s="1658"/>
      <c r="FV667" s="242"/>
      <c r="FW667" s="343"/>
      <c r="FX667" s="222"/>
      <c r="FY667" s="336"/>
      <c r="FZ667" s="223"/>
      <c r="GA667" s="338"/>
      <c r="GB667" s="204"/>
      <c r="GC667" s="339"/>
      <c r="GD667" s="342"/>
      <c r="GE667" s="199"/>
      <c r="GF667" s="199"/>
      <c r="GG667" s="199"/>
      <c r="GH667" s="199"/>
      <c r="GI667" s="199"/>
      <c r="GJ667" s="199"/>
      <c r="GK667" s="199"/>
      <c r="GO667" s="322"/>
      <c r="GP667" s="1190"/>
      <c r="GQ667" s="1190"/>
      <c r="GS667" s="2879"/>
      <c r="GT667" s="2880"/>
      <c r="GU667" s="2881"/>
    </row>
    <row r="668" spans="1:203" ht="12" customHeight="1">
      <c r="A668" s="1252"/>
      <c r="B668" s="200"/>
      <c r="C668" s="486"/>
      <c r="T668" s="1186"/>
      <c r="U668" s="233"/>
      <c r="W668" s="218"/>
      <c r="X668" s="218"/>
      <c r="Y668" s="216"/>
      <c r="Z668" s="216"/>
      <c r="AA668" s="215"/>
      <c r="AB668" s="216"/>
      <c r="AC668" s="216"/>
      <c r="AD668" s="239"/>
      <c r="AE668" s="216"/>
      <c r="AF668" s="216"/>
      <c r="AG668" s="216"/>
      <c r="AH668" s="216"/>
      <c r="AI668" s="216"/>
      <c r="AJ668" s="216"/>
      <c r="AK668" s="239"/>
      <c r="AL668" s="216"/>
      <c r="AM668" s="216"/>
      <c r="AN668" s="216"/>
      <c r="AO668" s="216"/>
      <c r="AP668" s="216"/>
      <c r="AQ668" s="216"/>
      <c r="AR668" s="216"/>
      <c r="AS668" s="216"/>
      <c r="AT668" s="216"/>
      <c r="AU668" s="216"/>
      <c r="AV668" s="217"/>
      <c r="AW668" s="355"/>
      <c r="AX668" s="217"/>
      <c r="AY668" s="305"/>
      <c r="AZ668" s="249"/>
      <c r="BA668" s="221"/>
      <c r="BB668" s="300"/>
      <c r="BC668" s="217"/>
      <c r="BD668" s="392"/>
      <c r="BE668" s="1244"/>
      <c r="BF668" s="249"/>
      <c r="BG668" s="252"/>
      <c r="BH668" s="1469"/>
      <c r="BI668" s="216"/>
      <c r="BJ668" s="1469"/>
      <c r="BK668" s="1459"/>
      <c r="BL668" s="260"/>
      <c r="BM668" s="214"/>
      <c r="BN668" s="293"/>
      <c r="BO668" s="217"/>
      <c r="BP668" s="355"/>
      <c r="BQ668" s="217"/>
      <c r="BR668" s="1193"/>
      <c r="BS668" s="249"/>
      <c r="BT668" s="216"/>
      <c r="BU668" s="1195"/>
      <c r="BV668" s="249"/>
      <c r="BW668" s="216"/>
      <c r="BX668" s="1195"/>
      <c r="BY668" s="249"/>
      <c r="BZ668" s="216"/>
      <c r="CA668" s="1195"/>
      <c r="CB668" s="249"/>
      <c r="CC668" s="216"/>
      <c r="CD668" s="1195"/>
      <c r="CE668" s="249"/>
      <c r="CF668" s="216"/>
      <c r="CG668" s="1195"/>
      <c r="CH668" s="249"/>
      <c r="CI668" s="216"/>
      <c r="CJ668" s="1195"/>
      <c r="CK668" s="249"/>
      <c r="CL668" s="216"/>
      <c r="CM668" s="1194"/>
      <c r="CN668" s="1524"/>
      <c r="CO668" s="217"/>
      <c r="CP668" s="1193"/>
      <c r="CQ668" s="293"/>
      <c r="CR668" s="217"/>
      <c r="CS668" s="305"/>
      <c r="CT668" s="249"/>
      <c r="CU668" s="216"/>
      <c r="CV668" s="1193"/>
      <c r="CW668" s="249"/>
      <c r="CX668" s="216"/>
      <c r="CY668" s="305"/>
      <c r="CZ668" s="249"/>
      <c r="DA668" s="216"/>
      <c r="DB668" s="307"/>
      <c r="DC668" s="328"/>
      <c r="DD668" s="322"/>
      <c r="DE668" s="305"/>
      <c r="DF668" s="249"/>
      <c r="DG668" s="216"/>
      <c r="DH668" s="305"/>
      <c r="DI668" s="249"/>
      <c r="DJ668" s="216"/>
      <c r="DK668" s="309"/>
      <c r="DL668" s="293"/>
      <c r="DM668" s="326"/>
      <c r="DN668" s="1256"/>
      <c r="DO668" s="214"/>
      <c r="DP668" s="1257"/>
      <c r="DQ668" s="1258"/>
      <c r="DR668" s="305"/>
      <c r="DS668" s="249"/>
      <c r="DT668" s="216"/>
      <c r="DU668" s="305"/>
      <c r="DV668" s="2520"/>
      <c r="DW668" s="2521"/>
      <c r="DX668" s="305"/>
      <c r="DY668" s="249"/>
      <c r="DZ668" s="221"/>
      <c r="EA668" s="388"/>
      <c r="EB668" s="249"/>
      <c r="EC668" s="216"/>
      <c r="ED668" s="1461"/>
      <c r="EE668" s="249"/>
      <c r="EF668" s="216"/>
      <c r="EG668" s="355"/>
      <c r="EH668" s="1425"/>
      <c r="EI668" s="1470"/>
      <c r="EJ668" s="249"/>
      <c r="EK668" s="221"/>
      <c r="EL668" s="313"/>
      <c r="EM668" s="249"/>
      <c r="EN668" s="221"/>
      <c r="EO668" s="313"/>
      <c r="EP668" s="249"/>
      <c r="EQ668" s="216"/>
      <c r="ER668" s="313"/>
      <c r="ES668" s="249"/>
      <c r="ET668" s="216"/>
      <c r="EU668" s="313"/>
      <c r="EV668" s="249"/>
      <c r="EW668" s="216"/>
      <c r="EX668" s="2505"/>
      <c r="EY668" s="249"/>
      <c r="EZ668" s="221"/>
      <c r="FA668" s="313"/>
      <c r="FB668" s="249"/>
      <c r="FC668" s="221"/>
      <c r="FD668" s="313"/>
      <c r="FE668" s="249"/>
      <c r="FF668" s="221"/>
      <c r="FG668" s="313"/>
      <c r="FH668" s="249"/>
      <c r="FI668" s="216"/>
      <c r="FJ668" s="1435"/>
      <c r="FK668" s="216"/>
      <c r="FL668" s="1268"/>
      <c r="FM668" s="1655"/>
      <c r="FN668" s="1268"/>
      <c r="FO668" s="1655"/>
      <c r="FP668" s="1268"/>
      <c r="FQ668" s="1656"/>
      <c r="FR668" s="249"/>
      <c r="FS668" s="216"/>
      <c r="FT668" s="1657"/>
      <c r="FU668" s="1658"/>
      <c r="FV668" s="242"/>
      <c r="FW668" s="343"/>
      <c r="FX668" s="222"/>
      <c r="FY668" s="336"/>
      <c r="FZ668" s="223"/>
      <c r="GA668" s="338"/>
      <c r="GB668" s="204"/>
      <c r="GC668" s="339"/>
      <c r="GD668" s="342"/>
      <c r="GE668" s="199"/>
      <c r="GF668" s="199"/>
      <c r="GG668" s="199"/>
      <c r="GH668" s="199"/>
      <c r="GI668" s="199"/>
      <c r="GJ668" s="199"/>
      <c r="GK668" s="199"/>
      <c r="GO668" s="322"/>
      <c r="GP668" s="1190"/>
      <c r="GQ668" s="1190"/>
      <c r="GS668" s="2879"/>
      <c r="GT668" s="2880"/>
      <c r="GU668" s="2881"/>
    </row>
    <row r="669" spans="1:203" ht="12" customHeight="1">
      <c r="A669" s="1252"/>
      <c r="B669" s="200"/>
      <c r="C669" s="486"/>
      <c r="T669" s="1186"/>
      <c r="U669" s="233"/>
      <c r="W669" s="218"/>
      <c r="X669" s="218"/>
      <c r="Y669" s="216"/>
      <c r="Z669" s="216"/>
      <c r="AA669" s="215"/>
      <c r="AB669" s="216"/>
      <c r="AC669" s="216"/>
      <c r="AD669" s="239"/>
      <c r="AE669" s="216"/>
      <c r="AF669" s="216"/>
      <c r="AG669" s="216"/>
      <c r="AH669" s="216"/>
      <c r="AI669" s="216"/>
      <c r="AJ669" s="216"/>
      <c r="AK669" s="239"/>
      <c r="AL669" s="216"/>
      <c r="AM669" s="216"/>
      <c r="AN669" s="216"/>
      <c r="AO669" s="216"/>
      <c r="AP669" s="216"/>
      <c r="AQ669" s="216"/>
      <c r="AR669" s="216"/>
      <c r="AS669" s="216"/>
      <c r="AT669" s="216"/>
      <c r="AU669" s="216"/>
      <c r="AV669" s="217"/>
      <c r="AW669" s="355"/>
      <c r="AX669" s="217"/>
      <c r="AY669" s="305"/>
      <c r="AZ669" s="249"/>
      <c r="BA669" s="221"/>
      <c r="BB669" s="300"/>
      <c r="BC669" s="217"/>
      <c r="BD669" s="392"/>
      <c r="BE669" s="1244"/>
      <c r="BF669" s="249"/>
      <c r="BG669" s="252"/>
      <c r="BH669" s="1469"/>
      <c r="BI669" s="216"/>
      <c r="BJ669" s="1469"/>
      <c r="BK669" s="1459"/>
      <c r="BL669" s="260"/>
      <c r="BM669" s="214"/>
      <c r="BN669" s="293"/>
      <c r="BO669" s="217"/>
      <c r="BP669" s="355"/>
      <c r="BQ669" s="217"/>
      <c r="BR669" s="1193"/>
      <c r="BS669" s="249"/>
      <c r="BT669" s="216"/>
      <c r="BU669" s="1195"/>
      <c r="BV669" s="249"/>
      <c r="BW669" s="216"/>
      <c r="BX669" s="1195"/>
      <c r="BY669" s="249"/>
      <c r="BZ669" s="216"/>
      <c r="CA669" s="1195"/>
      <c r="CB669" s="249"/>
      <c r="CC669" s="216"/>
      <c r="CD669" s="1195"/>
      <c r="CE669" s="249"/>
      <c r="CF669" s="216"/>
      <c r="CG669" s="1195"/>
      <c r="CH669" s="249"/>
      <c r="CI669" s="216"/>
      <c r="CJ669" s="1195"/>
      <c r="CK669" s="249"/>
      <c r="CL669" s="216"/>
      <c r="CM669" s="1194"/>
      <c r="CN669" s="1524"/>
      <c r="CO669" s="217"/>
      <c r="CP669" s="1193"/>
      <c r="CQ669" s="293"/>
      <c r="CR669" s="217"/>
      <c r="CS669" s="305"/>
      <c r="CT669" s="249"/>
      <c r="CU669" s="216"/>
      <c r="CV669" s="1193"/>
      <c r="CW669" s="249"/>
      <c r="CX669" s="216"/>
      <c r="CY669" s="305"/>
      <c r="CZ669" s="249"/>
      <c r="DA669" s="216"/>
      <c r="DB669" s="307"/>
      <c r="DC669" s="328"/>
      <c r="DD669" s="322"/>
      <c r="DE669" s="305"/>
      <c r="DF669" s="249"/>
      <c r="DG669" s="216"/>
      <c r="DH669" s="305"/>
      <c r="DI669" s="249"/>
      <c r="DJ669" s="216"/>
      <c r="DK669" s="309"/>
      <c r="DL669" s="293"/>
      <c r="DM669" s="326"/>
      <c r="DN669" s="1256"/>
      <c r="DO669" s="214"/>
      <c r="DP669" s="1257"/>
      <c r="DQ669" s="1258"/>
      <c r="DR669" s="305"/>
      <c r="DS669" s="249"/>
      <c r="DT669" s="216"/>
      <c r="DU669" s="305"/>
      <c r="DV669" s="2520"/>
      <c r="DW669" s="2521"/>
      <c r="DX669" s="305"/>
      <c r="DY669" s="249"/>
      <c r="DZ669" s="221"/>
      <c r="EA669" s="388"/>
      <c r="EB669" s="249"/>
      <c r="EC669" s="216"/>
      <c r="ED669" s="1461"/>
      <c r="EE669" s="249"/>
      <c r="EF669" s="216"/>
      <c r="EG669" s="355"/>
      <c r="EH669" s="1425"/>
      <c r="EI669" s="1470"/>
      <c r="EJ669" s="249"/>
      <c r="EK669" s="221"/>
      <c r="EL669" s="313"/>
      <c r="EM669" s="249"/>
      <c r="EN669" s="221"/>
      <c r="EO669" s="313"/>
      <c r="EP669" s="249"/>
      <c r="EQ669" s="216"/>
      <c r="ER669" s="313"/>
      <c r="ES669" s="249"/>
      <c r="ET669" s="216"/>
      <c r="EU669" s="313"/>
      <c r="EV669" s="249"/>
      <c r="EW669" s="216"/>
      <c r="EX669" s="2505"/>
      <c r="EY669" s="249"/>
      <c r="EZ669" s="221"/>
      <c r="FA669" s="313"/>
      <c r="FB669" s="249"/>
      <c r="FC669" s="221"/>
      <c r="FD669" s="313"/>
      <c r="FE669" s="249"/>
      <c r="FF669" s="221"/>
      <c r="FG669" s="313"/>
      <c r="FH669" s="249"/>
      <c r="FI669" s="216"/>
      <c r="FJ669" s="1435"/>
      <c r="FK669" s="216"/>
      <c r="FL669" s="1268"/>
      <c r="FM669" s="1655"/>
      <c r="FN669" s="1268"/>
      <c r="FO669" s="1655"/>
      <c r="FP669" s="1268"/>
      <c r="FQ669" s="1656"/>
      <c r="FR669" s="249"/>
      <c r="FS669" s="216"/>
      <c r="FT669" s="1657"/>
      <c r="FU669" s="1658"/>
      <c r="FV669" s="242"/>
      <c r="FW669" s="343"/>
      <c r="FX669" s="222"/>
      <c r="FY669" s="336"/>
      <c r="FZ669" s="223"/>
      <c r="GA669" s="338"/>
      <c r="GB669" s="204"/>
      <c r="GC669" s="339"/>
      <c r="GD669" s="342"/>
      <c r="GE669" s="199"/>
      <c r="GF669" s="199"/>
      <c r="GG669" s="199"/>
      <c r="GH669" s="199"/>
      <c r="GI669" s="199"/>
      <c r="GJ669" s="199"/>
      <c r="GK669" s="199"/>
      <c r="GO669" s="322"/>
      <c r="GP669" s="1190"/>
      <c r="GQ669" s="1190"/>
      <c r="GS669" s="2879"/>
      <c r="GT669" s="2880"/>
      <c r="GU669" s="2881"/>
    </row>
    <row r="670" spans="1:203" ht="12" customHeight="1">
      <c r="A670" s="1252"/>
      <c r="B670" s="200"/>
      <c r="C670" s="486"/>
      <c r="T670" s="1186"/>
      <c r="U670" s="233"/>
      <c r="W670" s="218"/>
      <c r="X670" s="218"/>
      <c r="Y670" s="216"/>
      <c r="Z670" s="216"/>
      <c r="AA670" s="215"/>
      <c r="AB670" s="216"/>
      <c r="AC670" s="216"/>
      <c r="AD670" s="239"/>
      <c r="AE670" s="216"/>
      <c r="AF670" s="216"/>
      <c r="AG670" s="216"/>
      <c r="AH670" s="216"/>
      <c r="AI670" s="216"/>
      <c r="AJ670" s="216"/>
      <c r="AK670" s="239"/>
      <c r="AL670" s="216"/>
      <c r="AM670" s="216"/>
      <c r="AN670" s="216"/>
      <c r="AO670" s="216"/>
      <c r="AP670" s="216"/>
      <c r="AQ670" s="216"/>
      <c r="AR670" s="216"/>
      <c r="AS670" s="216"/>
      <c r="AT670" s="216"/>
      <c r="AU670" s="216"/>
      <c r="AV670" s="217"/>
      <c r="AW670" s="355"/>
      <c r="AX670" s="217"/>
      <c r="AY670" s="305"/>
      <c r="AZ670" s="249"/>
      <c r="BA670" s="221"/>
      <c r="BB670" s="300"/>
      <c r="BC670" s="217"/>
      <c r="BD670" s="392"/>
      <c r="BE670" s="1244"/>
      <c r="BF670" s="249"/>
      <c r="BG670" s="252"/>
      <c r="BH670" s="1469"/>
      <c r="BI670" s="216"/>
      <c r="BJ670" s="1469"/>
      <c r="BK670" s="1459"/>
      <c r="BL670" s="260"/>
      <c r="BM670" s="214"/>
      <c r="BN670" s="293"/>
      <c r="BO670" s="217"/>
      <c r="BP670" s="355"/>
      <c r="BQ670" s="217"/>
      <c r="BR670" s="1193"/>
      <c r="BS670" s="249"/>
      <c r="BT670" s="216"/>
      <c r="BU670" s="1195"/>
      <c r="BV670" s="249"/>
      <c r="BW670" s="216"/>
      <c r="BX670" s="1195"/>
      <c r="BY670" s="249"/>
      <c r="BZ670" s="216"/>
      <c r="CA670" s="1195"/>
      <c r="CB670" s="249"/>
      <c r="CC670" s="216"/>
      <c r="CD670" s="1195"/>
      <c r="CE670" s="249"/>
      <c r="CF670" s="216"/>
      <c r="CG670" s="1195"/>
      <c r="CH670" s="249"/>
      <c r="CI670" s="216"/>
      <c r="CJ670" s="1195"/>
      <c r="CK670" s="249"/>
      <c r="CL670" s="216"/>
      <c r="CM670" s="1194"/>
      <c r="CN670" s="1524"/>
      <c r="CO670" s="217"/>
      <c r="CP670" s="1193"/>
      <c r="CQ670" s="293"/>
      <c r="CR670" s="217"/>
      <c r="CS670" s="305"/>
      <c r="CT670" s="249"/>
      <c r="CU670" s="216"/>
      <c r="CV670" s="1193"/>
      <c r="CW670" s="249"/>
      <c r="CX670" s="216"/>
      <c r="CY670" s="305"/>
      <c r="CZ670" s="249"/>
      <c r="DA670" s="216"/>
      <c r="DB670" s="307"/>
      <c r="DC670" s="328"/>
      <c r="DD670" s="322"/>
      <c r="DE670" s="305"/>
      <c r="DF670" s="249"/>
      <c r="DG670" s="216"/>
      <c r="DH670" s="305"/>
      <c r="DI670" s="249"/>
      <c r="DJ670" s="216"/>
      <c r="DK670" s="309"/>
      <c r="DL670" s="293"/>
      <c r="DM670" s="326"/>
      <c r="DN670" s="1256"/>
      <c r="DO670" s="214"/>
      <c r="DP670" s="1257"/>
      <c r="DQ670" s="1258"/>
      <c r="DR670" s="305"/>
      <c r="DS670" s="249"/>
      <c r="DT670" s="216"/>
      <c r="DU670" s="305"/>
      <c r="DV670" s="2520"/>
      <c r="DW670" s="2521"/>
      <c r="DX670" s="305"/>
      <c r="DY670" s="249"/>
      <c r="DZ670" s="221"/>
      <c r="EA670" s="388"/>
      <c r="EB670" s="249"/>
      <c r="EC670" s="216"/>
      <c r="ED670" s="1461"/>
      <c r="EE670" s="249"/>
      <c r="EF670" s="216"/>
      <c r="EG670" s="355"/>
      <c r="EH670" s="1425"/>
      <c r="EI670" s="1470"/>
      <c r="EJ670" s="249"/>
      <c r="EK670" s="221"/>
      <c r="EL670" s="313"/>
      <c r="EM670" s="249"/>
      <c r="EN670" s="221"/>
      <c r="EO670" s="313"/>
      <c r="EP670" s="249"/>
      <c r="EQ670" s="216"/>
      <c r="ER670" s="313"/>
      <c r="ES670" s="249"/>
      <c r="ET670" s="216"/>
      <c r="EU670" s="313"/>
      <c r="EV670" s="249"/>
      <c r="EW670" s="216"/>
      <c r="EX670" s="2505"/>
      <c r="EY670" s="249"/>
      <c r="EZ670" s="221"/>
      <c r="FA670" s="313"/>
      <c r="FB670" s="249"/>
      <c r="FC670" s="221"/>
      <c r="FD670" s="313"/>
      <c r="FE670" s="249"/>
      <c r="FF670" s="221"/>
      <c r="FG670" s="313"/>
      <c r="FH670" s="249"/>
      <c r="FI670" s="216"/>
      <c r="FJ670" s="1435"/>
      <c r="FK670" s="216"/>
      <c r="FL670" s="1268"/>
      <c r="FM670" s="1655"/>
      <c r="FN670" s="1268"/>
      <c r="FO670" s="1655"/>
      <c r="FP670" s="1268"/>
      <c r="FQ670" s="1656"/>
      <c r="FR670" s="249"/>
      <c r="FS670" s="216"/>
      <c r="FT670" s="1657"/>
      <c r="FU670" s="1658"/>
      <c r="FV670" s="242"/>
      <c r="FW670" s="343"/>
      <c r="FX670" s="222"/>
      <c r="FY670" s="336"/>
      <c r="FZ670" s="223"/>
      <c r="GA670" s="338"/>
      <c r="GB670" s="204"/>
      <c r="GC670" s="339"/>
      <c r="GD670" s="342"/>
      <c r="GE670" s="199"/>
      <c r="GF670" s="199"/>
      <c r="GG670" s="199"/>
      <c r="GH670" s="199"/>
      <c r="GI670" s="199"/>
      <c r="GJ670" s="199"/>
      <c r="GK670" s="199"/>
      <c r="GO670" s="322"/>
      <c r="GP670" s="1190"/>
      <c r="GQ670" s="1190"/>
      <c r="GS670" s="2879"/>
      <c r="GT670" s="2880"/>
      <c r="GU670" s="2881"/>
    </row>
    <row r="671" spans="1:203" ht="12" customHeight="1">
      <c r="A671" s="1252"/>
      <c r="B671" s="200"/>
      <c r="C671" s="486"/>
      <c r="T671" s="1186"/>
      <c r="U671" s="233"/>
      <c r="W671" s="218"/>
      <c r="X671" s="218"/>
      <c r="Y671" s="216"/>
      <c r="Z671" s="216"/>
      <c r="AA671" s="215"/>
      <c r="AB671" s="216"/>
      <c r="AC671" s="216"/>
      <c r="AD671" s="239"/>
      <c r="AE671" s="216"/>
      <c r="AF671" s="216"/>
      <c r="AG671" s="216"/>
      <c r="AH671" s="216"/>
      <c r="AI671" s="216"/>
      <c r="AJ671" s="216"/>
      <c r="AK671" s="239"/>
      <c r="AL671" s="216"/>
      <c r="AM671" s="216"/>
      <c r="AN671" s="216"/>
      <c r="AO671" s="216"/>
      <c r="AP671" s="216"/>
      <c r="AQ671" s="216"/>
      <c r="AR671" s="216"/>
      <c r="AS671" s="216"/>
      <c r="AT671" s="216"/>
      <c r="AU671" s="216"/>
      <c r="AV671" s="217"/>
      <c r="AW671" s="355"/>
      <c r="AX671" s="217"/>
      <c r="AY671" s="305"/>
      <c r="AZ671" s="249"/>
      <c r="BA671" s="221"/>
      <c r="BB671" s="300"/>
      <c r="BC671" s="217"/>
      <c r="BD671" s="392"/>
      <c r="BE671" s="1244"/>
      <c r="BF671" s="249"/>
      <c r="BG671" s="252"/>
      <c r="BH671" s="1469"/>
      <c r="BI671" s="216"/>
      <c r="BJ671" s="1469"/>
      <c r="BK671" s="1459"/>
      <c r="BL671" s="260"/>
      <c r="BM671" s="214"/>
      <c r="BN671" s="293"/>
      <c r="BO671" s="217"/>
      <c r="BP671" s="355"/>
      <c r="BQ671" s="217"/>
      <c r="BR671" s="1193"/>
      <c r="BS671" s="249"/>
      <c r="BT671" s="216"/>
      <c r="BU671" s="1195"/>
      <c r="BV671" s="249"/>
      <c r="BW671" s="216"/>
      <c r="BX671" s="1195"/>
      <c r="BY671" s="249"/>
      <c r="BZ671" s="216"/>
      <c r="CA671" s="1195"/>
      <c r="CB671" s="249"/>
      <c r="CC671" s="216"/>
      <c r="CD671" s="1195"/>
      <c r="CE671" s="249"/>
      <c r="CF671" s="216"/>
      <c r="CG671" s="1195"/>
      <c r="CH671" s="249"/>
      <c r="CI671" s="216"/>
      <c r="CJ671" s="1195"/>
      <c r="CK671" s="249"/>
      <c r="CL671" s="216"/>
      <c r="CM671" s="1194"/>
      <c r="CN671" s="1524"/>
      <c r="CO671" s="217"/>
      <c r="CP671" s="1193"/>
      <c r="CQ671" s="293"/>
      <c r="CR671" s="217"/>
      <c r="CS671" s="305"/>
      <c r="CT671" s="249"/>
      <c r="CU671" s="216"/>
      <c r="CV671" s="1193"/>
      <c r="CW671" s="249"/>
      <c r="CX671" s="216"/>
      <c r="CY671" s="305"/>
      <c r="CZ671" s="249"/>
      <c r="DA671" s="216"/>
      <c r="DB671" s="307"/>
      <c r="DC671" s="328"/>
      <c r="DD671" s="322"/>
      <c r="DE671" s="305"/>
      <c r="DF671" s="249"/>
      <c r="DG671" s="216"/>
      <c r="DH671" s="305"/>
      <c r="DI671" s="249"/>
      <c r="DJ671" s="216"/>
      <c r="DK671" s="309"/>
      <c r="DL671" s="293"/>
      <c r="DM671" s="326"/>
      <c r="DN671" s="1256"/>
      <c r="DO671" s="214"/>
      <c r="DP671" s="1257"/>
      <c r="DQ671" s="1258"/>
      <c r="DR671" s="305"/>
      <c r="DS671" s="249"/>
      <c r="DT671" s="216"/>
      <c r="DU671" s="305"/>
      <c r="DV671" s="2520"/>
      <c r="DW671" s="2521"/>
      <c r="DX671" s="305"/>
      <c r="DY671" s="249"/>
      <c r="DZ671" s="221"/>
      <c r="EA671" s="388"/>
      <c r="EB671" s="249"/>
      <c r="EC671" s="216"/>
      <c r="ED671" s="1461"/>
      <c r="EE671" s="249"/>
      <c r="EF671" s="216"/>
      <c r="EG671" s="355"/>
      <c r="EH671" s="1425"/>
      <c r="EI671" s="1470"/>
      <c r="EJ671" s="249"/>
      <c r="EK671" s="221"/>
      <c r="EL671" s="313"/>
      <c r="EM671" s="249"/>
      <c r="EN671" s="221"/>
      <c r="EO671" s="313"/>
      <c r="EP671" s="249"/>
      <c r="EQ671" s="216"/>
      <c r="ER671" s="313"/>
      <c r="ES671" s="249"/>
      <c r="ET671" s="216"/>
      <c r="EU671" s="313"/>
      <c r="EV671" s="249"/>
      <c r="EW671" s="216"/>
      <c r="EX671" s="2505"/>
      <c r="EY671" s="249"/>
      <c r="EZ671" s="221"/>
      <c r="FA671" s="313"/>
      <c r="FB671" s="249"/>
      <c r="FC671" s="221"/>
      <c r="FD671" s="313"/>
      <c r="FE671" s="249"/>
      <c r="FF671" s="221"/>
      <c r="FG671" s="313"/>
      <c r="FH671" s="249"/>
      <c r="FI671" s="216"/>
      <c r="FJ671" s="1435"/>
      <c r="FK671" s="216"/>
      <c r="FL671" s="1268"/>
      <c r="FM671" s="1655"/>
      <c r="FN671" s="1268"/>
      <c r="FO671" s="1655"/>
      <c r="FP671" s="1268"/>
      <c r="FQ671" s="1656"/>
      <c r="FR671" s="249"/>
      <c r="FS671" s="216"/>
      <c r="FT671" s="1657"/>
      <c r="FU671" s="1658"/>
      <c r="FV671" s="242"/>
      <c r="FW671" s="343"/>
      <c r="FX671" s="222"/>
      <c r="FY671" s="336"/>
      <c r="FZ671" s="223"/>
      <c r="GA671" s="338"/>
      <c r="GB671" s="204"/>
      <c r="GC671" s="339"/>
      <c r="GD671" s="342"/>
      <c r="GE671" s="199"/>
      <c r="GF671" s="199"/>
      <c r="GG671" s="199"/>
      <c r="GH671" s="199"/>
      <c r="GI671" s="199"/>
      <c r="GJ671" s="199"/>
      <c r="GK671" s="199"/>
      <c r="GO671" s="322"/>
      <c r="GP671" s="1190"/>
      <c r="GQ671" s="1190"/>
      <c r="GS671" s="2879"/>
      <c r="GT671" s="2880"/>
      <c r="GU671" s="2881"/>
    </row>
    <row r="672" spans="1:203" ht="12" customHeight="1">
      <c r="A672" s="1252"/>
      <c r="B672" s="200"/>
      <c r="C672" s="486"/>
      <c r="T672" s="1186"/>
      <c r="U672" s="233"/>
      <c r="W672" s="218"/>
      <c r="X672" s="218"/>
      <c r="Y672" s="216"/>
      <c r="Z672" s="216"/>
      <c r="AA672" s="215"/>
      <c r="AB672" s="216"/>
      <c r="AC672" s="216"/>
      <c r="AD672" s="239"/>
      <c r="AE672" s="216"/>
      <c r="AF672" s="216"/>
      <c r="AG672" s="216"/>
      <c r="AH672" s="216"/>
      <c r="AI672" s="216"/>
      <c r="AJ672" s="216"/>
      <c r="AK672" s="239"/>
      <c r="AL672" s="216"/>
      <c r="AM672" s="216"/>
      <c r="AN672" s="216"/>
      <c r="AO672" s="216"/>
      <c r="AP672" s="216"/>
      <c r="AQ672" s="216"/>
      <c r="AR672" s="216"/>
      <c r="AS672" s="216"/>
      <c r="AT672" s="216"/>
      <c r="AU672" s="216"/>
      <c r="AV672" s="217"/>
      <c r="AW672" s="355"/>
      <c r="AX672" s="217"/>
      <c r="AY672" s="305"/>
      <c r="AZ672" s="249"/>
      <c r="BA672" s="221"/>
      <c r="BB672" s="300"/>
      <c r="BC672" s="217"/>
      <c r="BD672" s="392"/>
      <c r="BE672" s="1244"/>
      <c r="BF672" s="249"/>
      <c r="BG672" s="252"/>
      <c r="BH672" s="1469"/>
      <c r="BI672" s="216"/>
      <c r="BJ672" s="1469"/>
      <c r="BK672" s="1459"/>
      <c r="BL672" s="260"/>
      <c r="BM672" s="214"/>
      <c r="BN672" s="293"/>
      <c r="BO672" s="217"/>
      <c r="BP672" s="355"/>
      <c r="BQ672" s="217"/>
      <c r="BR672" s="1193"/>
      <c r="BS672" s="249"/>
      <c r="BT672" s="216"/>
      <c r="BU672" s="1195"/>
      <c r="BV672" s="249"/>
      <c r="BW672" s="216"/>
      <c r="BX672" s="1195"/>
      <c r="BY672" s="249"/>
      <c r="BZ672" s="216"/>
      <c r="CA672" s="1195"/>
      <c r="CB672" s="249"/>
      <c r="CC672" s="216"/>
      <c r="CD672" s="1195"/>
      <c r="CE672" s="249"/>
      <c r="CF672" s="216"/>
      <c r="CG672" s="1195"/>
      <c r="CH672" s="249"/>
      <c r="CI672" s="216"/>
      <c r="CJ672" s="1195"/>
      <c r="CK672" s="249"/>
      <c r="CL672" s="216"/>
      <c r="CM672" s="1194"/>
      <c r="CN672" s="1524"/>
      <c r="CO672" s="217"/>
      <c r="CP672" s="1193"/>
      <c r="CQ672" s="293"/>
      <c r="CR672" s="217"/>
      <c r="CS672" s="305"/>
      <c r="CT672" s="249"/>
      <c r="CU672" s="216"/>
      <c r="CV672" s="1193"/>
      <c r="CW672" s="249"/>
      <c r="CX672" s="216"/>
      <c r="CY672" s="305"/>
      <c r="CZ672" s="249"/>
      <c r="DA672" s="216"/>
      <c r="DB672" s="307"/>
      <c r="DC672" s="328"/>
      <c r="DD672" s="322"/>
      <c r="DE672" s="305"/>
      <c r="DF672" s="249"/>
      <c r="DG672" s="216"/>
      <c r="DH672" s="305"/>
      <c r="DI672" s="249"/>
      <c r="DJ672" s="216"/>
      <c r="DK672" s="309"/>
      <c r="DL672" s="293"/>
      <c r="DM672" s="326"/>
      <c r="DN672" s="1256"/>
      <c r="DO672" s="214"/>
      <c r="DP672" s="1257"/>
      <c r="DQ672" s="1258"/>
      <c r="DR672" s="305"/>
      <c r="DS672" s="249"/>
      <c r="DT672" s="216"/>
      <c r="DU672" s="305"/>
      <c r="DV672" s="2520"/>
      <c r="DW672" s="2521"/>
      <c r="DX672" s="305"/>
      <c r="DY672" s="249"/>
      <c r="DZ672" s="221"/>
      <c r="EA672" s="388"/>
      <c r="EB672" s="249"/>
      <c r="EC672" s="216"/>
      <c r="ED672" s="1461"/>
      <c r="EE672" s="249"/>
      <c r="EF672" s="216"/>
      <c r="EG672" s="355"/>
      <c r="EH672" s="1425"/>
      <c r="EI672" s="1470"/>
      <c r="EJ672" s="249"/>
      <c r="EK672" s="221"/>
      <c r="EL672" s="313"/>
      <c r="EM672" s="249"/>
      <c r="EN672" s="221"/>
      <c r="EO672" s="313"/>
      <c r="EP672" s="249"/>
      <c r="EQ672" s="216"/>
      <c r="ER672" s="313"/>
      <c r="ES672" s="249"/>
      <c r="ET672" s="216"/>
      <c r="EU672" s="313"/>
      <c r="EV672" s="249"/>
      <c r="EW672" s="216"/>
      <c r="EX672" s="2505"/>
      <c r="EY672" s="249"/>
      <c r="EZ672" s="221"/>
      <c r="FA672" s="313"/>
      <c r="FB672" s="249"/>
      <c r="FC672" s="221"/>
      <c r="FD672" s="313"/>
      <c r="FE672" s="249"/>
      <c r="FF672" s="221"/>
      <c r="FG672" s="313"/>
      <c r="FH672" s="249"/>
      <c r="FI672" s="216"/>
      <c r="FJ672" s="1435"/>
      <c r="FK672" s="216"/>
      <c r="FL672" s="1268"/>
      <c r="FM672" s="1655"/>
      <c r="FN672" s="1268"/>
      <c r="FO672" s="1655"/>
      <c r="FP672" s="1268"/>
      <c r="FQ672" s="1656"/>
      <c r="FR672" s="249"/>
      <c r="FS672" s="216"/>
      <c r="FT672" s="1657"/>
      <c r="FU672" s="1658"/>
      <c r="FV672" s="242"/>
      <c r="FW672" s="343"/>
      <c r="FX672" s="222"/>
      <c r="FY672" s="336"/>
      <c r="FZ672" s="223"/>
      <c r="GA672" s="338"/>
      <c r="GB672" s="204"/>
      <c r="GC672" s="339"/>
      <c r="GD672" s="342"/>
      <c r="GE672" s="199"/>
      <c r="GF672" s="199"/>
      <c r="GG672" s="199"/>
      <c r="GH672" s="199"/>
      <c r="GI672" s="199"/>
      <c r="GJ672" s="199"/>
      <c r="GK672" s="199"/>
      <c r="GO672" s="322"/>
      <c r="GP672" s="1190"/>
      <c r="GQ672" s="1190"/>
      <c r="GS672" s="2879"/>
      <c r="GT672" s="2880"/>
      <c r="GU672" s="2881"/>
    </row>
    <row r="673" spans="1:203" ht="12" customHeight="1">
      <c r="A673" s="1252"/>
      <c r="B673" s="200"/>
      <c r="C673" s="486"/>
      <c r="T673" s="1186"/>
      <c r="U673" s="233"/>
      <c r="W673" s="218"/>
      <c r="X673" s="218"/>
      <c r="Y673" s="216"/>
      <c r="Z673" s="216"/>
      <c r="AA673" s="215"/>
      <c r="AB673" s="216"/>
      <c r="AC673" s="216"/>
      <c r="AD673" s="239"/>
      <c r="AE673" s="216"/>
      <c r="AF673" s="216"/>
      <c r="AG673" s="216"/>
      <c r="AH673" s="216"/>
      <c r="AI673" s="216"/>
      <c r="AJ673" s="216"/>
      <c r="AK673" s="239"/>
      <c r="AL673" s="216"/>
      <c r="AM673" s="216"/>
      <c r="AN673" s="216"/>
      <c r="AO673" s="216"/>
      <c r="AP673" s="216"/>
      <c r="AQ673" s="216"/>
      <c r="AR673" s="216"/>
      <c r="AS673" s="216"/>
      <c r="AT673" s="216"/>
      <c r="AU673" s="216"/>
      <c r="AV673" s="217"/>
      <c r="AW673" s="355"/>
      <c r="AX673" s="217"/>
      <c r="AY673" s="305"/>
      <c r="AZ673" s="249"/>
      <c r="BA673" s="221"/>
      <c r="BB673" s="300"/>
      <c r="BC673" s="217"/>
      <c r="BD673" s="392"/>
      <c r="BE673" s="1244"/>
      <c r="BF673" s="249"/>
      <c r="BG673" s="252"/>
      <c r="BH673" s="1469"/>
      <c r="BI673" s="216"/>
      <c r="BJ673" s="1469"/>
      <c r="BK673" s="1459"/>
      <c r="BL673" s="260"/>
      <c r="BM673" s="214"/>
      <c r="BN673" s="293"/>
      <c r="BO673" s="217"/>
      <c r="BP673" s="355"/>
      <c r="BQ673" s="217"/>
      <c r="BR673" s="1193"/>
      <c r="BS673" s="249"/>
      <c r="BT673" s="216"/>
      <c r="BU673" s="1195"/>
      <c r="BV673" s="249"/>
      <c r="BW673" s="216"/>
      <c r="BX673" s="1195"/>
      <c r="BY673" s="249"/>
      <c r="BZ673" s="216"/>
      <c r="CA673" s="1195"/>
      <c r="CB673" s="249"/>
      <c r="CC673" s="216"/>
      <c r="CD673" s="1195"/>
      <c r="CE673" s="249"/>
      <c r="CF673" s="216"/>
      <c r="CG673" s="1195"/>
      <c r="CH673" s="249"/>
      <c r="CI673" s="216"/>
      <c r="CJ673" s="1195"/>
      <c r="CK673" s="249"/>
      <c r="CL673" s="216"/>
      <c r="CM673" s="1194"/>
      <c r="CN673" s="1524"/>
      <c r="CO673" s="217"/>
      <c r="CP673" s="1193"/>
      <c r="CQ673" s="293"/>
      <c r="CR673" s="217"/>
      <c r="CS673" s="305"/>
      <c r="CT673" s="249"/>
      <c r="CU673" s="216"/>
      <c r="CV673" s="1193"/>
      <c r="CW673" s="249"/>
      <c r="CX673" s="216"/>
      <c r="CY673" s="305"/>
      <c r="CZ673" s="249"/>
      <c r="DA673" s="216"/>
      <c r="DB673" s="307"/>
      <c r="DC673" s="328"/>
      <c r="DD673" s="322"/>
      <c r="DE673" s="305"/>
      <c r="DF673" s="249"/>
      <c r="DG673" s="216"/>
      <c r="DH673" s="305"/>
      <c r="DI673" s="249"/>
      <c r="DJ673" s="216"/>
      <c r="DK673" s="309"/>
      <c r="DL673" s="293"/>
      <c r="DM673" s="326"/>
      <c r="DN673" s="1256"/>
      <c r="DO673" s="214"/>
      <c r="DP673" s="1257"/>
      <c r="DQ673" s="1258"/>
      <c r="DR673" s="305"/>
      <c r="DS673" s="249"/>
      <c r="DT673" s="216"/>
      <c r="DU673" s="305"/>
      <c r="DV673" s="2520"/>
      <c r="DW673" s="2521"/>
      <c r="DX673" s="305"/>
      <c r="DY673" s="249"/>
      <c r="DZ673" s="221"/>
      <c r="EA673" s="388"/>
      <c r="EB673" s="249"/>
      <c r="EC673" s="216"/>
      <c r="ED673" s="1461"/>
      <c r="EE673" s="249"/>
      <c r="EF673" s="216"/>
      <c r="EG673" s="355"/>
      <c r="EH673" s="1425"/>
      <c r="EI673" s="1470"/>
      <c r="EJ673" s="249"/>
      <c r="EK673" s="221"/>
      <c r="EL673" s="313"/>
      <c r="EM673" s="249"/>
      <c r="EN673" s="221"/>
      <c r="EO673" s="313"/>
      <c r="EP673" s="249"/>
      <c r="EQ673" s="216"/>
      <c r="ER673" s="313"/>
      <c r="ES673" s="249"/>
      <c r="ET673" s="216"/>
      <c r="EU673" s="313"/>
      <c r="EV673" s="249"/>
      <c r="EW673" s="216"/>
      <c r="EX673" s="2505"/>
      <c r="EY673" s="249"/>
      <c r="EZ673" s="221"/>
      <c r="FA673" s="313"/>
      <c r="FB673" s="249"/>
      <c r="FC673" s="221"/>
      <c r="FD673" s="313"/>
      <c r="FE673" s="249"/>
      <c r="FF673" s="221"/>
      <c r="FG673" s="313"/>
      <c r="FH673" s="249"/>
      <c r="FI673" s="216"/>
      <c r="FJ673" s="1435"/>
      <c r="FK673" s="216"/>
      <c r="FL673" s="1268"/>
      <c r="FM673" s="1655"/>
      <c r="FN673" s="1268"/>
      <c r="FO673" s="1655"/>
      <c r="FP673" s="1268"/>
      <c r="FQ673" s="1656"/>
      <c r="FR673" s="249"/>
      <c r="FS673" s="216"/>
      <c r="FT673" s="1657"/>
      <c r="FU673" s="1658"/>
      <c r="FV673" s="242"/>
      <c r="FW673" s="343"/>
      <c r="FX673" s="222"/>
      <c r="FY673" s="336"/>
      <c r="FZ673" s="223"/>
      <c r="GA673" s="338"/>
      <c r="GB673" s="204"/>
      <c r="GC673" s="339"/>
      <c r="GD673" s="342"/>
      <c r="GE673" s="199"/>
      <c r="GF673" s="199"/>
      <c r="GG673" s="199"/>
      <c r="GH673" s="199"/>
      <c r="GI673" s="199"/>
      <c r="GJ673" s="199"/>
      <c r="GK673" s="199"/>
      <c r="GO673" s="322"/>
      <c r="GP673" s="1190"/>
      <c r="GQ673" s="1190"/>
      <c r="GS673" s="2879"/>
      <c r="GT673" s="2880"/>
      <c r="GU673" s="2881"/>
    </row>
    <row r="674" spans="1:203" ht="12" customHeight="1">
      <c r="A674" s="1252"/>
      <c r="B674" s="200"/>
      <c r="C674" s="486"/>
      <c r="T674" s="1186"/>
      <c r="U674" s="233"/>
      <c r="W674" s="218"/>
      <c r="X674" s="218"/>
      <c r="Y674" s="216"/>
      <c r="Z674" s="216"/>
      <c r="AA674" s="215"/>
      <c r="AB674" s="216"/>
      <c r="AC674" s="216"/>
      <c r="AD674" s="239"/>
      <c r="AE674" s="216"/>
      <c r="AF674" s="216"/>
      <c r="AG674" s="216"/>
      <c r="AH674" s="216"/>
      <c r="AI674" s="216"/>
      <c r="AJ674" s="216"/>
      <c r="AK674" s="239"/>
      <c r="AL674" s="216"/>
      <c r="AM674" s="216"/>
      <c r="AN674" s="216"/>
      <c r="AO674" s="216"/>
      <c r="AP674" s="216"/>
      <c r="AQ674" s="216"/>
      <c r="AR674" s="216"/>
      <c r="AS674" s="216"/>
      <c r="AT674" s="216"/>
      <c r="AU674" s="216"/>
      <c r="AV674" s="217"/>
      <c r="AW674" s="355"/>
      <c r="AX674" s="217"/>
      <c r="AY674" s="305"/>
      <c r="AZ674" s="249"/>
      <c r="BA674" s="221"/>
      <c r="BB674" s="300"/>
      <c r="BC674" s="217"/>
      <c r="BD674" s="392"/>
      <c r="BE674" s="1244"/>
      <c r="BF674" s="249"/>
      <c r="BG674" s="252"/>
      <c r="BH674" s="1469"/>
      <c r="BI674" s="216"/>
      <c r="BJ674" s="1469"/>
      <c r="BK674" s="1459"/>
      <c r="BL674" s="260"/>
      <c r="BM674" s="214"/>
      <c r="BN674" s="293"/>
      <c r="BO674" s="217"/>
      <c r="BP674" s="355"/>
      <c r="BQ674" s="217"/>
      <c r="BR674" s="1193"/>
      <c r="BS674" s="249"/>
      <c r="BT674" s="216"/>
      <c r="BU674" s="1195"/>
      <c r="BV674" s="249"/>
      <c r="BW674" s="216"/>
      <c r="BX674" s="1195"/>
      <c r="BY674" s="249"/>
      <c r="BZ674" s="216"/>
      <c r="CA674" s="1195"/>
      <c r="CB674" s="249"/>
      <c r="CC674" s="216"/>
      <c r="CD674" s="1195"/>
      <c r="CE674" s="249"/>
      <c r="CF674" s="216"/>
      <c r="CG674" s="1195"/>
      <c r="CH674" s="249"/>
      <c r="CI674" s="216"/>
      <c r="CJ674" s="1195"/>
      <c r="CK674" s="249"/>
      <c r="CL674" s="216"/>
      <c r="CM674" s="1194"/>
      <c r="CN674" s="1524"/>
      <c r="CO674" s="217"/>
      <c r="CP674" s="1193"/>
      <c r="CQ674" s="293"/>
      <c r="CR674" s="217"/>
      <c r="CS674" s="305"/>
      <c r="CT674" s="249"/>
      <c r="CU674" s="216"/>
      <c r="CV674" s="1193"/>
      <c r="CW674" s="249"/>
      <c r="CX674" s="216"/>
      <c r="CY674" s="305"/>
      <c r="CZ674" s="249"/>
      <c r="DA674" s="216"/>
      <c r="DB674" s="307"/>
      <c r="DC674" s="328"/>
      <c r="DD674" s="322"/>
      <c r="DE674" s="305"/>
      <c r="DF674" s="249"/>
      <c r="DG674" s="216"/>
      <c r="DH674" s="305"/>
      <c r="DI674" s="249"/>
      <c r="DJ674" s="216"/>
      <c r="DK674" s="309"/>
      <c r="DL674" s="293"/>
      <c r="DM674" s="326"/>
      <c r="DN674" s="1256"/>
      <c r="DO674" s="214"/>
      <c r="DP674" s="1257"/>
      <c r="DQ674" s="1258"/>
      <c r="DR674" s="305"/>
      <c r="DS674" s="249"/>
      <c r="DT674" s="216"/>
      <c r="DU674" s="305"/>
      <c r="DV674" s="2520"/>
      <c r="DW674" s="2521"/>
      <c r="DX674" s="305"/>
      <c r="DY674" s="249"/>
      <c r="DZ674" s="221"/>
      <c r="EA674" s="388"/>
      <c r="EB674" s="249"/>
      <c r="EC674" s="216"/>
      <c r="ED674" s="1461"/>
      <c r="EE674" s="249"/>
      <c r="EF674" s="216"/>
      <c r="EG674" s="355"/>
      <c r="EH674" s="1425"/>
      <c r="EI674" s="1470"/>
      <c r="EJ674" s="249"/>
      <c r="EK674" s="221"/>
      <c r="EL674" s="313"/>
      <c r="EM674" s="249"/>
      <c r="EN674" s="221"/>
      <c r="EO674" s="313"/>
      <c r="EP674" s="249"/>
      <c r="EQ674" s="216"/>
      <c r="ER674" s="313"/>
      <c r="ES674" s="249"/>
      <c r="ET674" s="216"/>
      <c r="EU674" s="313"/>
      <c r="EV674" s="249"/>
      <c r="EW674" s="216"/>
      <c r="EX674" s="2505"/>
      <c r="EY674" s="249"/>
      <c r="EZ674" s="221"/>
      <c r="FA674" s="313"/>
      <c r="FB674" s="249"/>
      <c r="FC674" s="221"/>
      <c r="FD674" s="313"/>
      <c r="FE674" s="249"/>
      <c r="FF674" s="221"/>
      <c r="FG674" s="313"/>
      <c r="FH674" s="249"/>
      <c r="FI674" s="216"/>
      <c r="FJ674" s="1435"/>
      <c r="FK674" s="216"/>
      <c r="FL674" s="1268"/>
      <c r="FM674" s="1655"/>
      <c r="FN674" s="1268"/>
      <c r="FO674" s="1655"/>
      <c r="FP674" s="1268"/>
      <c r="FQ674" s="1656"/>
      <c r="FR674" s="249"/>
      <c r="FS674" s="216"/>
      <c r="FT674" s="1657"/>
      <c r="FU674" s="1658"/>
      <c r="FV674" s="242"/>
      <c r="FW674" s="343"/>
      <c r="FX674" s="222"/>
      <c r="FY674" s="336"/>
      <c r="FZ674" s="223"/>
      <c r="GA674" s="338"/>
      <c r="GB674" s="204"/>
      <c r="GC674" s="339"/>
      <c r="GD674" s="342"/>
      <c r="GE674" s="199"/>
      <c r="GF674" s="199"/>
      <c r="GG674" s="199"/>
      <c r="GH674" s="199"/>
      <c r="GI674" s="199"/>
      <c r="GJ674" s="199"/>
      <c r="GK674" s="199"/>
      <c r="GO674" s="322"/>
      <c r="GP674" s="1190"/>
      <c r="GQ674" s="1190"/>
      <c r="GS674" s="2879"/>
      <c r="GT674" s="2880"/>
      <c r="GU674" s="2881"/>
    </row>
    <row r="675" spans="1:203" ht="12" customHeight="1">
      <c r="A675" s="1252"/>
      <c r="B675" s="200"/>
      <c r="C675" s="486"/>
      <c r="T675" s="1186"/>
      <c r="U675" s="233"/>
      <c r="W675" s="218"/>
      <c r="X675" s="218"/>
      <c r="Y675" s="216"/>
      <c r="Z675" s="216"/>
      <c r="AA675" s="215"/>
      <c r="AB675" s="216"/>
      <c r="AC675" s="216"/>
      <c r="AD675" s="239"/>
      <c r="AE675" s="216"/>
      <c r="AF675" s="216"/>
      <c r="AG675" s="216"/>
      <c r="AH675" s="216"/>
      <c r="AI675" s="216"/>
      <c r="AJ675" s="216"/>
      <c r="AK675" s="239"/>
      <c r="AL675" s="216"/>
      <c r="AM675" s="216"/>
      <c r="AN675" s="216"/>
      <c r="AO675" s="216"/>
      <c r="AP675" s="216"/>
      <c r="AQ675" s="216"/>
      <c r="AR675" s="216"/>
      <c r="AS675" s="216"/>
      <c r="AT675" s="216"/>
      <c r="AU675" s="216"/>
      <c r="AV675" s="217"/>
      <c r="AW675" s="355"/>
      <c r="AX675" s="217"/>
      <c r="AY675" s="305"/>
      <c r="AZ675" s="249"/>
      <c r="BA675" s="221"/>
      <c r="BB675" s="300"/>
      <c r="BC675" s="217"/>
      <c r="BD675" s="392"/>
      <c r="BE675" s="1244"/>
      <c r="BF675" s="249"/>
      <c r="BG675" s="252"/>
      <c r="BH675" s="1469"/>
      <c r="BI675" s="216"/>
      <c r="BJ675" s="1469"/>
      <c r="BK675" s="1459"/>
      <c r="BL675" s="260"/>
      <c r="BM675" s="214"/>
      <c r="BN675" s="293"/>
      <c r="BO675" s="217"/>
      <c r="BP675" s="355"/>
      <c r="BQ675" s="217"/>
      <c r="BR675" s="1193"/>
      <c r="BS675" s="249"/>
      <c r="BT675" s="216"/>
      <c r="BU675" s="1195"/>
      <c r="BV675" s="249"/>
      <c r="BW675" s="216"/>
      <c r="BX675" s="1195"/>
      <c r="BY675" s="249"/>
      <c r="BZ675" s="216"/>
      <c r="CA675" s="1195"/>
      <c r="CB675" s="249"/>
      <c r="CC675" s="216"/>
      <c r="CD675" s="1195"/>
      <c r="CE675" s="249"/>
      <c r="CF675" s="216"/>
      <c r="CG675" s="1195"/>
      <c r="CH675" s="249"/>
      <c r="CI675" s="216"/>
      <c r="CJ675" s="1195"/>
      <c r="CK675" s="249"/>
      <c r="CL675" s="216"/>
      <c r="CM675" s="1194"/>
      <c r="CN675" s="1524"/>
      <c r="CO675" s="217"/>
      <c r="CP675" s="1193"/>
      <c r="CQ675" s="293"/>
      <c r="CR675" s="217"/>
      <c r="CS675" s="305"/>
      <c r="CT675" s="249"/>
      <c r="CU675" s="216"/>
      <c r="CV675" s="1193"/>
      <c r="CW675" s="249"/>
      <c r="CX675" s="216"/>
      <c r="CY675" s="305"/>
      <c r="CZ675" s="249"/>
      <c r="DA675" s="216"/>
      <c r="DB675" s="307"/>
      <c r="DC675" s="328"/>
      <c r="DD675" s="322"/>
      <c r="DE675" s="305"/>
      <c r="DF675" s="249"/>
      <c r="DG675" s="216"/>
      <c r="DH675" s="305"/>
      <c r="DI675" s="249"/>
      <c r="DJ675" s="216"/>
      <c r="DK675" s="309"/>
      <c r="DL675" s="293"/>
      <c r="DM675" s="326"/>
      <c r="DN675" s="1256"/>
      <c r="DO675" s="214"/>
      <c r="DP675" s="1257"/>
      <c r="DQ675" s="1258"/>
      <c r="DR675" s="305"/>
      <c r="DS675" s="249"/>
      <c r="DT675" s="216"/>
      <c r="DU675" s="305"/>
      <c r="DV675" s="2520"/>
      <c r="DW675" s="2521"/>
      <c r="DX675" s="305"/>
      <c r="DY675" s="249"/>
      <c r="DZ675" s="221"/>
      <c r="EA675" s="388"/>
      <c r="EB675" s="249"/>
      <c r="EC675" s="216"/>
      <c r="ED675" s="1461"/>
      <c r="EE675" s="249"/>
      <c r="EF675" s="216"/>
      <c r="EG675" s="355"/>
      <c r="EH675" s="1425"/>
      <c r="EI675" s="1470"/>
      <c r="EJ675" s="249"/>
      <c r="EK675" s="221"/>
      <c r="EL675" s="313"/>
      <c r="EM675" s="249"/>
      <c r="EN675" s="221"/>
      <c r="EO675" s="313"/>
      <c r="EP675" s="249"/>
      <c r="EQ675" s="216"/>
      <c r="ER675" s="313"/>
      <c r="ES675" s="249"/>
      <c r="ET675" s="216"/>
      <c r="EU675" s="313"/>
      <c r="EV675" s="249"/>
      <c r="EW675" s="216"/>
      <c r="EX675" s="2505"/>
      <c r="EY675" s="249"/>
      <c r="EZ675" s="221"/>
      <c r="FA675" s="313"/>
      <c r="FB675" s="249"/>
      <c r="FC675" s="221"/>
      <c r="FD675" s="313"/>
      <c r="FE675" s="249"/>
      <c r="FF675" s="221"/>
      <c r="FG675" s="313"/>
      <c r="FH675" s="249"/>
      <c r="FI675" s="216"/>
      <c r="FJ675" s="1435"/>
      <c r="FK675" s="216"/>
      <c r="FL675" s="1268"/>
      <c r="FM675" s="1655"/>
      <c r="FN675" s="1268"/>
      <c r="FO675" s="1655"/>
      <c r="FP675" s="1268"/>
      <c r="FQ675" s="1656"/>
      <c r="FR675" s="249"/>
      <c r="FS675" s="216"/>
      <c r="FT675" s="1657"/>
      <c r="FU675" s="1658"/>
      <c r="FV675" s="242"/>
      <c r="FW675" s="343"/>
      <c r="FX675" s="222"/>
      <c r="FY675" s="336"/>
      <c r="FZ675" s="223"/>
      <c r="GA675" s="338"/>
      <c r="GB675" s="204"/>
      <c r="GC675" s="339"/>
      <c r="GD675" s="342"/>
      <c r="GE675" s="199"/>
      <c r="GF675" s="199"/>
      <c r="GG675" s="199"/>
      <c r="GH675" s="199"/>
      <c r="GI675" s="199"/>
      <c r="GJ675" s="199"/>
      <c r="GK675" s="199"/>
      <c r="GO675" s="322"/>
      <c r="GP675" s="1190"/>
      <c r="GQ675" s="1190"/>
      <c r="GS675" s="2879"/>
      <c r="GT675" s="2880"/>
      <c r="GU675" s="2881"/>
    </row>
    <row r="676" spans="1:203" ht="12" customHeight="1">
      <c r="A676" s="1252"/>
      <c r="B676" s="200"/>
      <c r="C676" s="486"/>
      <c r="T676" s="1186"/>
      <c r="U676" s="233"/>
      <c r="W676" s="218"/>
      <c r="X676" s="218"/>
      <c r="Y676" s="216"/>
      <c r="Z676" s="216"/>
      <c r="AA676" s="215"/>
      <c r="AB676" s="216"/>
      <c r="AC676" s="216"/>
      <c r="AD676" s="239"/>
      <c r="AE676" s="216"/>
      <c r="AF676" s="216"/>
      <c r="AG676" s="216"/>
      <c r="AH676" s="216"/>
      <c r="AI676" s="216"/>
      <c r="AJ676" s="216"/>
      <c r="AK676" s="239"/>
      <c r="AL676" s="216"/>
      <c r="AM676" s="216"/>
      <c r="AN676" s="216"/>
      <c r="AO676" s="216"/>
      <c r="AP676" s="216"/>
      <c r="AQ676" s="216"/>
      <c r="AR676" s="216"/>
      <c r="AS676" s="216"/>
      <c r="AT676" s="216"/>
      <c r="AU676" s="216"/>
      <c r="AV676" s="217"/>
      <c r="AW676" s="355"/>
      <c r="AX676" s="217"/>
      <c r="AY676" s="305"/>
      <c r="AZ676" s="249"/>
      <c r="BA676" s="221"/>
      <c r="BB676" s="300"/>
      <c r="BC676" s="217"/>
      <c r="BD676" s="392"/>
      <c r="BE676" s="1244"/>
      <c r="BF676" s="249"/>
      <c r="BG676" s="252"/>
      <c r="BH676" s="1469"/>
      <c r="BI676" s="216"/>
      <c r="BJ676" s="1469"/>
      <c r="BK676" s="1459"/>
      <c r="BL676" s="260"/>
      <c r="BM676" s="214"/>
      <c r="BN676" s="293"/>
      <c r="BO676" s="217"/>
      <c r="BP676" s="355"/>
      <c r="BQ676" s="217"/>
      <c r="BR676" s="1193"/>
      <c r="BS676" s="249"/>
      <c r="BT676" s="216"/>
      <c r="BU676" s="1195"/>
      <c r="BV676" s="249"/>
      <c r="BW676" s="216"/>
      <c r="BX676" s="1195"/>
      <c r="BY676" s="249"/>
      <c r="BZ676" s="216"/>
      <c r="CA676" s="1195"/>
      <c r="CB676" s="249"/>
      <c r="CC676" s="216"/>
      <c r="CD676" s="1195"/>
      <c r="CE676" s="249"/>
      <c r="CF676" s="216"/>
      <c r="CG676" s="1195"/>
      <c r="CH676" s="249"/>
      <c r="CI676" s="216"/>
      <c r="CJ676" s="1195"/>
      <c r="CK676" s="249"/>
      <c r="CL676" s="216"/>
      <c r="CM676" s="1194"/>
      <c r="CN676" s="1524"/>
      <c r="CO676" s="217"/>
      <c r="CP676" s="1193"/>
      <c r="CQ676" s="293"/>
      <c r="CR676" s="217"/>
      <c r="CS676" s="305"/>
      <c r="CT676" s="249"/>
      <c r="CU676" s="216"/>
      <c r="CV676" s="1193"/>
      <c r="CW676" s="249"/>
      <c r="CX676" s="216"/>
      <c r="CY676" s="305"/>
      <c r="CZ676" s="249"/>
      <c r="DA676" s="216"/>
      <c r="DB676" s="307"/>
      <c r="DC676" s="328"/>
      <c r="DD676" s="322"/>
      <c r="DE676" s="305"/>
      <c r="DF676" s="249"/>
      <c r="DG676" s="216"/>
      <c r="DH676" s="305"/>
      <c r="DI676" s="249"/>
      <c r="DJ676" s="216"/>
      <c r="DK676" s="309"/>
      <c r="DL676" s="293"/>
      <c r="DM676" s="326"/>
      <c r="DN676" s="1256"/>
      <c r="DO676" s="214"/>
      <c r="DP676" s="1257"/>
      <c r="DQ676" s="1258"/>
      <c r="DR676" s="305"/>
      <c r="DS676" s="249"/>
      <c r="DT676" s="216"/>
      <c r="DU676" s="305"/>
      <c r="DV676" s="2520"/>
      <c r="DW676" s="2521"/>
      <c r="DX676" s="305"/>
      <c r="DY676" s="249"/>
      <c r="DZ676" s="221"/>
      <c r="EA676" s="388"/>
      <c r="EB676" s="249"/>
      <c r="EC676" s="216"/>
      <c r="ED676" s="1461"/>
      <c r="EE676" s="249"/>
      <c r="EF676" s="216"/>
      <c r="EG676" s="355"/>
      <c r="EH676" s="1425"/>
      <c r="EI676" s="1470"/>
      <c r="EJ676" s="249"/>
      <c r="EK676" s="221"/>
      <c r="EL676" s="313"/>
      <c r="EM676" s="249"/>
      <c r="EN676" s="221"/>
      <c r="EO676" s="313"/>
      <c r="EP676" s="249"/>
      <c r="EQ676" s="216"/>
      <c r="ER676" s="313"/>
      <c r="ES676" s="249"/>
      <c r="ET676" s="216"/>
      <c r="EU676" s="313"/>
      <c r="EV676" s="249"/>
      <c r="EW676" s="216"/>
      <c r="EX676" s="2505"/>
      <c r="EY676" s="249"/>
      <c r="EZ676" s="221"/>
      <c r="FA676" s="313"/>
      <c r="FB676" s="249"/>
      <c r="FC676" s="221"/>
      <c r="FD676" s="313"/>
      <c r="FE676" s="249"/>
      <c r="FF676" s="221"/>
      <c r="FG676" s="313"/>
      <c r="FH676" s="249"/>
      <c r="FI676" s="216"/>
      <c r="FJ676" s="1435"/>
      <c r="FK676" s="216"/>
      <c r="FL676" s="1268"/>
      <c r="FM676" s="1655"/>
      <c r="FN676" s="1268"/>
      <c r="FO676" s="1655"/>
      <c r="FP676" s="1268"/>
      <c r="FQ676" s="1656"/>
      <c r="FR676" s="249"/>
      <c r="FS676" s="216"/>
      <c r="FT676" s="1657"/>
      <c r="FU676" s="1658"/>
      <c r="FV676" s="242"/>
      <c r="FW676" s="343"/>
      <c r="FX676" s="222"/>
      <c r="FY676" s="336"/>
      <c r="FZ676" s="223"/>
      <c r="GA676" s="338"/>
      <c r="GB676" s="204"/>
      <c r="GC676" s="339"/>
      <c r="GD676" s="342"/>
      <c r="GE676" s="199"/>
      <c r="GF676" s="199"/>
      <c r="GG676" s="199"/>
      <c r="GH676" s="199"/>
      <c r="GI676" s="199"/>
      <c r="GJ676" s="199"/>
      <c r="GK676" s="199"/>
      <c r="GO676" s="322"/>
      <c r="GP676" s="1190"/>
      <c r="GQ676" s="1190"/>
      <c r="GS676" s="2879"/>
      <c r="GT676" s="2880"/>
      <c r="GU676" s="2881"/>
    </row>
    <row r="677" spans="1:203" ht="12" customHeight="1">
      <c r="A677" s="1252"/>
      <c r="B677" s="200"/>
      <c r="C677" s="486"/>
      <c r="T677" s="1186"/>
      <c r="U677" s="233"/>
      <c r="W677" s="218"/>
      <c r="X677" s="218"/>
      <c r="Y677" s="216"/>
      <c r="Z677" s="216"/>
      <c r="AA677" s="215"/>
      <c r="AB677" s="216"/>
      <c r="AC677" s="216"/>
      <c r="AD677" s="239"/>
      <c r="AE677" s="216"/>
      <c r="AF677" s="216"/>
      <c r="AG677" s="216"/>
      <c r="AH677" s="216"/>
      <c r="AI677" s="216"/>
      <c r="AJ677" s="216"/>
      <c r="AK677" s="239"/>
      <c r="AL677" s="216"/>
      <c r="AM677" s="216"/>
      <c r="AN677" s="216"/>
      <c r="AO677" s="216"/>
      <c r="AP677" s="216"/>
      <c r="AQ677" s="216"/>
      <c r="AR677" s="216"/>
      <c r="AS677" s="216"/>
      <c r="AT677" s="216"/>
      <c r="AU677" s="216"/>
      <c r="AV677" s="217"/>
      <c r="AW677" s="355"/>
      <c r="AX677" s="217"/>
      <c r="AY677" s="305"/>
      <c r="AZ677" s="249"/>
      <c r="BA677" s="221"/>
      <c r="BB677" s="300"/>
      <c r="BC677" s="217"/>
      <c r="BD677" s="392"/>
      <c r="BE677" s="1244"/>
      <c r="BF677" s="249"/>
      <c r="BG677" s="252"/>
      <c r="BH677" s="1469"/>
      <c r="BI677" s="216"/>
      <c r="BJ677" s="1469"/>
      <c r="BK677" s="1459"/>
      <c r="BL677" s="260"/>
      <c r="BM677" s="214"/>
      <c r="BN677" s="293"/>
      <c r="BO677" s="217"/>
      <c r="BP677" s="355"/>
      <c r="BQ677" s="217"/>
      <c r="BR677" s="1193"/>
      <c r="BS677" s="249"/>
      <c r="BT677" s="216"/>
      <c r="BU677" s="1195"/>
      <c r="BV677" s="249"/>
      <c r="BW677" s="216"/>
      <c r="BX677" s="1195"/>
      <c r="BY677" s="249"/>
      <c r="BZ677" s="216"/>
      <c r="CA677" s="1195"/>
      <c r="CB677" s="249"/>
      <c r="CC677" s="216"/>
      <c r="CD677" s="1195"/>
      <c r="CE677" s="249"/>
      <c r="CF677" s="216"/>
      <c r="CG677" s="1195"/>
      <c r="CH677" s="249"/>
      <c r="CI677" s="216"/>
      <c r="CJ677" s="1195"/>
      <c r="CK677" s="249"/>
      <c r="CL677" s="216"/>
      <c r="CM677" s="1194"/>
      <c r="CN677" s="1524"/>
      <c r="CO677" s="217"/>
      <c r="CP677" s="1193"/>
      <c r="CQ677" s="293"/>
      <c r="CR677" s="217"/>
      <c r="CS677" s="305"/>
      <c r="CT677" s="249"/>
      <c r="CU677" s="216"/>
      <c r="CV677" s="1193"/>
      <c r="CW677" s="249"/>
      <c r="CX677" s="216"/>
      <c r="CY677" s="305"/>
      <c r="CZ677" s="249"/>
      <c r="DA677" s="216"/>
      <c r="DB677" s="307"/>
      <c r="DC677" s="328"/>
      <c r="DD677" s="322"/>
      <c r="DE677" s="305"/>
      <c r="DF677" s="249"/>
      <c r="DG677" s="216"/>
      <c r="DH677" s="305"/>
      <c r="DI677" s="249"/>
      <c r="DJ677" s="216"/>
      <c r="DK677" s="309"/>
      <c r="DL677" s="293"/>
      <c r="DM677" s="326"/>
      <c r="DN677" s="1256"/>
      <c r="DO677" s="214"/>
      <c r="DP677" s="1257"/>
      <c r="DQ677" s="1258"/>
      <c r="DR677" s="305"/>
      <c r="DS677" s="249"/>
      <c r="DT677" s="216"/>
      <c r="DU677" s="305"/>
      <c r="DV677" s="2520"/>
      <c r="DW677" s="2521"/>
      <c r="DX677" s="305"/>
      <c r="DY677" s="249"/>
      <c r="DZ677" s="221"/>
      <c r="EA677" s="388"/>
      <c r="EB677" s="249"/>
      <c r="EC677" s="216"/>
      <c r="ED677" s="1461"/>
      <c r="EE677" s="249"/>
      <c r="EF677" s="216"/>
      <c r="EG677" s="355"/>
      <c r="EH677" s="1425"/>
      <c r="EI677" s="1470"/>
      <c r="EJ677" s="249"/>
      <c r="EK677" s="221"/>
      <c r="EL677" s="313"/>
      <c r="EM677" s="249"/>
      <c r="EN677" s="221"/>
      <c r="EO677" s="313"/>
      <c r="EP677" s="249"/>
      <c r="EQ677" s="216"/>
      <c r="ER677" s="313"/>
      <c r="ES677" s="249"/>
      <c r="ET677" s="216"/>
      <c r="EU677" s="313"/>
      <c r="EV677" s="249"/>
      <c r="EW677" s="216"/>
      <c r="EX677" s="2505"/>
      <c r="EY677" s="249"/>
      <c r="EZ677" s="221"/>
      <c r="FA677" s="313"/>
      <c r="FB677" s="249"/>
      <c r="FC677" s="221"/>
      <c r="FD677" s="313"/>
      <c r="FE677" s="249"/>
      <c r="FF677" s="221"/>
      <c r="FG677" s="313"/>
      <c r="FH677" s="249"/>
      <c r="FI677" s="216"/>
      <c r="FJ677" s="1435"/>
      <c r="FK677" s="216"/>
      <c r="FL677" s="1268"/>
      <c r="FM677" s="1655"/>
      <c r="FN677" s="1268"/>
      <c r="FO677" s="1655"/>
      <c r="FP677" s="1268"/>
      <c r="FQ677" s="1656"/>
      <c r="FR677" s="249"/>
      <c r="FS677" s="216"/>
      <c r="FT677" s="1657"/>
      <c r="FU677" s="1658"/>
      <c r="FV677" s="242"/>
      <c r="FW677" s="343"/>
      <c r="FX677" s="222"/>
      <c r="FY677" s="336"/>
      <c r="FZ677" s="223"/>
      <c r="GA677" s="338"/>
      <c r="GB677" s="204"/>
      <c r="GC677" s="339"/>
      <c r="GD677" s="342"/>
      <c r="GE677" s="199"/>
      <c r="GF677" s="199"/>
      <c r="GG677" s="199"/>
      <c r="GH677" s="199"/>
      <c r="GI677" s="199"/>
      <c r="GJ677" s="199"/>
      <c r="GK677" s="199"/>
      <c r="GO677" s="322"/>
      <c r="GP677" s="1190"/>
      <c r="GQ677" s="1190"/>
      <c r="GS677" s="2879"/>
      <c r="GT677" s="2880"/>
      <c r="GU677" s="2881"/>
    </row>
    <row r="678" spans="1:203" ht="12" customHeight="1">
      <c r="A678" s="1252"/>
      <c r="B678" s="200"/>
      <c r="C678" s="486"/>
      <c r="T678" s="1186"/>
      <c r="U678" s="233"/>
      <c r="W678" s="218"/>
      <c r="X678" s="218"/>
      <c r="Y678" s="216"/>
      <c r="Z678" s="216"/>
      <c r="AA678" s="215"/>
      <c r="AB678" s="216"/>
      <c r="AC678" s="216"/>
      <c r="AD678" s="239"/>
      <c r="AE678" s="216"/>
      <c r="AF678" s="216"/>
      <c r="AG678" s="216"/>
      <c r="AH678" s="216"/>
      <c r="AI678" s="216"/>
      <c r="AJ678" s="216"/>
      <c r="AK678" s="239"/>
      <c r="AL678" s="216"/>
      <c r="AM678" s="216"/>
      <c r="AN678" s="216"/>
      <c r="AO678" s="216"/>
      <c r="AP678" s="216"/>
      <c r="AQ678" s="216"/>
      <c r="AR678" s="216"/>
      <c r="AS678" s="216"/>
      <c r="AT678" s="216"/>
      <c r="AU678" s="216"/>
      <c r="AV678" s="217"/>
      <c r="AW678" s="355"/>
      <c r="AX678" s="217"/>
      <c r="AY678" s="305"/>
      <c r="AZ678" s="249"/>
      <c r="BA678" s="221"/>
      <c r="BB678" s="300"/>
      <c r="BC678" s="217"/>
      <c r="BD678" s="392"/>
      <c r="BE678" s="1244"/>
      <c r="BF678" s="249"/>
      <c r="BG678" s="252"/>
      <c r="BH678" s="1469"/>
      <c r="BI678" s="216"/>
      <c r="BJ678" s="1469"/>
      <c r="BK678" s="1459"/>
      <c r="BL678" s="260"/>
      <c r="BM678" s="214"/>
      <c r="BN678" s="293"/>
      <c r="BO678" s="217"/>
      <c r="BP678" s="355"/>
      <c r="BQ678" s="217"/>
      <c r="BR678" s="1193"/>
      <c r="BS678" s="249"/>
      <c r="BT678" s="216"/>
      <c r="BU678" s="1195"/>
      <c r="BV678" s="249"/>
      <c r="BW678" s="216"/>
      <c r="BX678" s="1195"/>
      <c r="BY678" s="249"/>
      <c r="BZ678" s="216"/>
      <c r="CA678" s="1195"/>
      <c r="CB678" s="249"/>
      <c r="CC678" s="216"/>
      <c r="CD678" s="1195"/>
      <c r="CE678" s="249"/>
      <c r="CF678" s="216"/>
      <c r="CG678" s="1195"/>
      <c r="CH678" s="249"/>
      <c r="CI678" s="216"/>
      <c r="CJ678" s="1195"/>
      <c r="CK678" s="249"/>
      <c r="CL678" s="216"/>
      <c r="CM678" s="1194"/>
      <c r="CN678" s="1524"/>
      <c r="CO678" s="217"/>
      <c r="CP678" s="1193"/>
      <c r="CQ678" s="293"/>
      <c r="CR678" s="217"/>
      <c r="CS678" s="305"/>
      <c r="CT678" s="249"/>
      <c r="CU678" s="216"/>
      <c r="CV678" s="1193"/>
      <c r="CW678" s="249"/>
      <c r="CX678" s="216"/>
      <c r="CY678" s="305"/>
      <c r="CZ678" s="249"/>
      <c r="DA678" s="216"/>
      <c r="DB678" s="307"/>
      <c r="DC678" s="328"/>
      <c r="DD678" s="322"/>
      <c r="DE678" s="305"/>
      <c r="DF678" s="249"/>
      <c r="DG678" s="216"/>
      <c r="DH678" s="305"/>
      <c r="DI678" s="249"/>
      <c r="DJ678" s="216"/>
      <c r="DK678" s="309"/>
      <c r="DL678" s="293"/>
      <c r="DM678" s="326"/>
      <c r="DN678" s="1256"/>
      <c r="DO678" s="214"/>
      <c r="DP678" s="1257"/>
      <c r="DQ678" s="1258"/>
      <c r="DR678" s="305"/>
      <c r="DS678" s="249"/>
      <c r="DT678" s="216"/>
      <c r="DU678" s="305"/>
      <c r="DV678" s="2520"/>
      <c r="DW678" s="2521"/>
      <c r="DX678" s="305"/>
      <c r="DY678" s="249"/>
      <c r="DZ678" s="221"/>
      <c r="EA678" s="388"/>
      <c r="EB678" s="249"/>
      <c r="EC678" s="216"/>
      <c r="ED678" s="1461"/>
      <c r="EE678" s="249"/>
      <c r="EF678" s="216"/>
      <c r="EG678" s="355"/>
      <c r="EH678" s="1425"/>
      <c r="EI678" s="1470"/>
      <c r="EJ678" s="249"/>
      <c r="EK678" s="221"/>
      <c r="EL678" s="313"/>
      <c r="EM678" s="249"/>
      <c r="EN678" s="221"/>
      <c r="EO678" s="313"/>
      <c r="EP678" s="249"/>
      <c r="EQ678" s="216"/>
      <c r="ER678" s="313"/>
      <c r="ES678" s="249"/>
      <c r="ET678" s="216"/>
      <c r="EU678" s="313"/>
      <c r="EV678" s="249"/>
      <c r="EW678" s="216"/>
      <c r="EX678" s="2505"/>
      <c r="EY678" s="249"/>
      <c r="EZ678" s="221"/>
      <c r="FA678" s="313"/>
      <c r="FB678" s="249"/>
      <c r="FC678" s="221"/>
      <c r="FD678" s="313"/>
      <c r="FE678" s="249"/>
      <c r="FF678" s="221"/>
      <c r="FG678" s="313"/>
      <c r="FH678" s="249"/>
      <c r="FI678" s="216"/>
      <c r="FJ678" s="1435"/>
      <c r="FK678" s="216"/>
      <c r="FL678" s="1268"/>
      <c r="FM678" s="1655"/>
      <c r="FN678" s="1268"/>
      <c r="FO678" s="1655"/>
      <c r="FP678" s="1268"/>
      <c r="FQ678" s="1656"/>
      <c r="FR678" s="249"/>
      <c r="FS678" s="216"/>
      <c r="FT678" s="1657"/>
      <c r="FU678" s="1658"/>
      <c r="FV678" s="242"/>
      <c r="FW678" s="343"/>
      <c r="FX678" s="222"/>
      <c r="FY678" s="336"/>
      <c r="FZ678" s="223"/>
      <c r="GA678" s="338"/>
      <c r="GB678" s="204"/>
      <c r="GC678" s="339"/>
      <c r="GD678" s="342"/>
      <c r="GE678" s="199"/>
      <c r="GF678" s="199"/>
      <c r="GG678" s="199"/>
      <c r="GH678" s="199"/>
      <c r="GI678" s="199"/>
      <c r="GJ678" s="199"/>
      <c r="GK678" s="199"/>
      <c r="GO678" s="322"/>
      <c r="GP678" s="1190"/>
      <c r="GQ678" s="1190"/>
      <c r="GS678" s="2879"/>
      <c r="GT678" s="2880"/>
      <c r="GU678" s="2881"/>
    </row>
    <row r="679" spans="1:203" ht="12" customHeight="1">
      <c r="A679" s="1252"/>
      <c r="B679" s="200"/>
      <c r="C679" s="486"/>
      <c r="T679" s="1186"/>
      <c r="U679" s="233"/>
      <c r="W679" s="218"/>
      <c r="X679" s="218"/>
      <c r="Y679" s="216"/>
      <c r="Z679" s="216"/>
      <c r="AA679" s="215"/>
      <c r="AB679" s="216"/>
      <c r="AC679" s="216"/>
      <c r="AD679" s="239"/>
      <c r="AE679" s="216"/>
      <c r="AF679" s="216"/>
      <c r="AG679" s="216"/>
      <c r="AH679" s="216"/>
      <c r="AI679" s="216"/>
      <c r="AJ679" s="216"/>
      <c r="AK679" s="239"/>
      <c r="AL679" s="216"/>
      <c r="AM679" s="216"/>
      <c r="AN679" s="216"/>
      <c r="AO679" s="216"/>
      <c r="AP679" s="216"/>
      <c r="AQ679" s="216"/>
      <c r="AR679" s="216"/>
      <c r="AS679" s="216"/>
      <c r="AT679" s="216"/>
      <c r="AU679" s="216"/>
      <c r="AV679" s="217"/>
      <c r="AW679" s="355"/>
      <c r="AX679" s="217"/>
      <c r="AY679" s="305"/>
      <c r="AZ679" s="249"/>
      <c r="BA679" s="221"/>
      <c r="BB679" s="300"/>
      <c r="BC679" s="217"/>
      <c r="BD679" s="392"/>
      <c r="BE679" s="1244"/>
      <c r="BF679" s="249"/>
      <c r="BG679" s="252"/>
      <c r="BH679" s="1469"/>
      <c r="BI679" s="216"/>
      <c r="BJ679" s="1469"/>
      <c r="BK679" s="1459"/>
      <c r="BL679" s="260"/>
      <c r="BM679" s="214"/>
      <c r="BN679" s="293"/>
      <c r="BO679" s="217"/>
      <c r="BP679" s="355"/>
      <c r="BQ679" s="217"/>
      <c r="BR679" s="1193"/>
      <c r="BS679" s="249"/>
      <c r="BT679" s="216"/>
      <c r="BU679" s="1195"/>
      <c r="BV679" s="249"/>
      <c r="BW679" s="216"/>
      <c r="BX679" s="1195"/>
      <c r="BY679" s="249"/>
      <c r="BZ679" s="216"/>
      <c r="CA679" s="1195"/>
      <c r="CB679" s="249"/>
      <c r="CC679" s="216"/>
      <c r="CD679" s="1195"/>
      <c r="CE679" s="249"/>
      <c r="CF679" s="216"/>
      <c r="CG679" s="1195"/>
      <c r="CH679" s="249"/>
      <c r="CI679" s="216"/>
      <c r="CJ679" s="1195"/>
      <c r="CK679" s="249"/>
      <c r="CL679" s="216"/>
      <c r="CM679" s="1194"/>
      <c r="CN679" s="1524"/>
      <c r="CO679" s="217"/>
      <c r="CP679" s="1193"/>
      <c r="CQ679" s="293"/>
      <c r="CR679" s="217"/>
      <c r="CS679" s="305"/>
      <c r="CT679" s="249"/>
      <c r="CU679" s="216"/>
      <c r="CV679" s="1193"/>
      <c r="CW679" s="249"/>
      <c r="CX679" s="216"/>
      <c r="CY679" s="305"/>
      <c r="CZ679" s="249"/>
      <c r="DA679" s="216"/>
      <c r="DB679" s="307"/>
      <c r="DC679" s="328"/>
      <c r="DD679" s="322"/>
      <c r="DE679" s="305"/>
      <c r="DF679" s="249"/>
      <c r="DG679" s="216"/>
      <c r="DH679" s="305"/>
      <c r="DI679" s="249"/>
      <c r="DJ679" s="216"/>
      <c r="DK679" s="309"/>
      <c r="DL679" s="293"/>
      <c r="DM679" s="326"/>
      <c r="DN679" s="1256"/>
      <c r="DO679" s="214"/>
      <c r="DP679" s="1257"/>
      <c r="DQ679" s="1258"/>
      <c r="DR679" s="305"/>
      <c r="DS679" s="249"/>
      <c r="DT679" s="216"/>
      <c r="DU679" s="305"/>
      <c r="DV679" s="2520"/>
      <c r="DW679" s="2521"/>
      <c r="DX679" s="305"/>
      <c r="DY679" s="249"/>
      <c r="DZ679" s="221"/>
      <c r="EA679" s="388"/>
      <c r="EB679" s="249"/>
      <c r="EC679" s="216"/>
      <c r="ED679" s="1461"/>
      <c r="EE679" s="249"/>
      <c r="EF679" s="216"/>
      <c r="EG679" s="355"/>
      <c r="EH679" s="1425"/>
      <c r="EI679" s="1470"/>
      <c r="EJ679" s="249"/>
      <c r="EK679" s="221"/>
      <c r="EL679" s="313"/>
      <c r="EM679" s="249"/>
      <c r="EN679" s="221"/>
      <c r="EO679" s="313"/>
      <c r="EP679" s="249"/>
      <c r="EQ679" s="216"/>
      <c r="ER679" s="313"/>
      <c r="ES679" s="249"/>
      <c r="ET679" s="216"/>
      <c r="EU679" s="313"/>
      <c r="EV679" s="249"/>
      <c r="EW679" s="216"/>
      <c r="EX679" s="2505"/>
      <c r="EY679" s="249"/>
      <c r="EZ679" s="221"/>
      <c r="FA679" s="313"/>
      <c r="FB679" s="249"/>
      <c r="FC679" s="221"/>
      <c r="FD679" s="313"/>
      <c r="FE679" s="249"/>
      <c r="FF679" s="221"/>
      <c r="FG679" s="313"/>
      <c r="FH679" s="249"/>
      <c r="FI679" s="216"/>
      <c r="FJ679" s="1435"/>
      <c r="FK679" s="216"/>
      <c r="FL679" s="1268"/>
      <c r="FM679" s="1655"/>
      <c r="FN679" s="1268"/>
      <c r="FO679" s="1655"/>
      <c r="FP679" s="1268"/>
      <c r="FQ679" s="1656"/>
      <c r="FR679" s="249"/>
      <c r="FS679" s="216"/>
      <c r="FT679" s="1657"/>
      <c r="FU679" s="1658"/>
      <c r="FV679" s="242"/>
      <c r="FW679" s="343"/>
      <c r="FX679" s="222"/>
      <c r="FY679" s="336"/>
      <c r="FZ679" s="223"/>
      <c r="GA679" s="338"/>
      <c r="GB679" s="204"/>
      <c r="GC679" s="339"/>
      <c r="GD679" s="342"/>
      <c r="GE679" s="199"/>
      <c r="GF679" s="199"/>
      <c r="GG679" s="199"/>
      <c r="GH679" s="199"/>
      <c r="GI679" s="199"/>
      <c r="GJ679" s="199"/>
      <c r="GK679" s="199"/>
      <c r="GO679" s="322"/>
      <c r="GP679" s="1190"/>
      <c r="GQ679" s="1190"/>
      <c r="GS679" s="2879"/>
      <c r="GT679" s="2880"/>
      <c r="GU679" s="2881"/>
    </row>
    <row r="680" spans="1:203" ht="12" customHeight="1">
      <c r="A680" s="1252"/>
      <c r="B680" s="200"/>
      <c r="C680" s="486"/>
      <c r="T680" s="1186"/>
      <c r="U680" s="233"/>
      <c r="W680" s="218"/>
      <c r="X680" s="218"/>
      <c r="Y680" s="216"/>
      <c r="Z680" s="216"/>
      <c r="AA680" s="215"/>
      <c r="AB680" s="216"/>
      <c r="AC680" s="216"/>
      <c r="AD680" s="239"/>
      <c r="AE680" s="216"/>
      <c r="AF680" s="216"/>
      <c r="AG680" s="216"/>
      <c r="AH680" s="216"/>
      <c r="AI680" s="216"/>
      <c r="AJ680" s="216"/>
      <c r="AK680" s="239"/>
      <c r="AL680" s="216"/>
      <c r="AM680" s="216"/>
      <c r="AN680" s="216"/>
      <c r="AO680" s="216"/>
      <c r="AP680" s="216"/>
      <c r="AQ680" s="216"/>
      <c r="AR680" s="216"/>
      <c r="AS680" s="216"/>
      <c r="AT680" s="216"/>
      <c r="AU680" s="216"/>
      <c r="AV680" s="217"/>
      <c r="AW680" s="355"/>
      <c r="AX680" s="217"/>
      <c r="AY680" s="305"/>
      <c r="AZ680" s="249"/>
      <c r="BA680" s="221"/>
      <c r="BB680" s="300"/>
      <c r="BC680" s="217"/>
      <c r="BD680" s="392"/>
      <c r="BE680" s="1244"/>
      <c r="BF680" s="249"/>
      <c r="BG680" s="252"/>
      <c r="BH680" s="1469"/>
      <c r="BI680" s="216"/>
      <c r="BJ680" s="1469"/>
      <c r="BK680" s="1459"/>
      <c r="BL680" s="260"/>
      <c r="BM680" s="214"/>
      <c r="BN680" s="293"/>
      <c r="BO680" s="217"/>
      <c r="BP680" s="355"/>
      <c r="BQ680" s="217"/>
      <c r="BR680" s="1193"/>
      <c r="BS680" s="249"/>
      <c r="BT680" s="216"/>
      <c r="BU680" s="1195"/>
      <c r="BV680" s="249"/>
      <c r="BW680" s="216"/>
      <c r="BX680" s="1195"/>
      <c r="BY680" s="249"/>
      <c r="BZ680" s="216"/>
      <c r="CA680" s="1195"/>
      <c r="CB680" s="249"/>
      <c r="CC680" s="216"/>
      <c r="CD680" s="1195"/>
      <c r="CE680" s="249"/>
      <c r="CF680" s="216"/>
      <c r="CG680" s="1195"/>
      <c r="CH680" s="249"/>
      <c r="CI680" s="216"/>
      <c r="CJ680" s="1195"/>
      <c r="CK680" s="249"/>
      <c r="CL680" s="216"/>
      <c r="CM680" s="1194"/>
      <c r="CN680" s="1524"/>
      <c r="CO680" s="217"/>
      <c r="CP680" s="1193"/>
      <c r="CQ680" s="293"/>
      <c r="CR680" s="217"/>
      <c r="CS680" s="305"/>
      <c r="CT680" s="249"/>
      <c r="CU680" s="216"/>
      <c r="CV680" s="1193"/>
      <c r="CW680" s="249"/>
      <c r="CX680" s="216"/>
      <c r="CY680" s="305"/>
      <c r="CZ680" s="249"/>
      <c r="DA680" s="216"/>
      <c r="DB680" s="307"/>
      <c r="DC680" s="328"/>
      <c r="DD680" s="322"/>
      <c r="DE680" s="305"/>
      <c r="DF680" s="249"/>
      <c r="DG680" s="216"/>
      <c r="DH680" s="305"/>
      <c r="DI680" s="249"/>
      <c r="DJ680" s="216"/>
      <c r="DK680" s="309"/>
      <c r="DL680" s="293"/>
      <c r="DM680" s="326"/>
      <c r="DN680" s="1256"/>
      <c r="DO680" s="214"/>
      <c r="DP680" s="1257"/>
      <c r="DQ680" s="1258"/>
      <c r="DR680" s="305"/>
      <c r="DS680" s="249"/>
      <c r="DT680" s="216"/>
      <c r="DU680" s="305"/>
      <c r="DV680" s="2520"/>
      <c r="DW680" s="2521"/>
      <c r="DX680" s="305"/>
      <c r="DY680" s="249"/>
      <c r="DZ680" s="221"/>
      <c r="EA680" s="388"/>
      <c r="EB680" s="249"/>
      <c r="EC680" s="216"/>
      <c r="ED680" s="1461"/>
      <c r="EE680" s="249"/>
      <c r="EF680" s="216"/>
      <c r="EG680" s="355"/>
      <c r="EH680" s="1425"/>
      <c r="EI680" s="1470"/>
      <c r="EJ680" s="249"/>
      <c r="EK680" s="221"/>
      <c r="EL680" s="313"/>
      <c r="EM680" s="249"/>
      <c r="EN680" s="221"/>
      <c r="EO680" s="313"/>
      <c r="EP680" s="249"/>
      <c r="EQ680" s="216"/>
      <c r="ER680" s="313"/>
      <c r="ES680" s="249"/>
      <c r="ET680" s="216"/>
      <c r="EU680" s="313"/>
      <c r="EV680" s="249"/>
      <c r="EW680" s="216"/>
      <c r="EX680" s="2505"/>
      <c r="EY680" s="249"/>
      <c r="EZ680" s="221"/>
      <c r="FA680" s="313"/>
      <c r="FB680" s="249"/>
      <c r="FC680" s="221"/>
      <c r="FD680" s="313"/>
      <c r="FE680" s="249"/>
      <c r="FF680" s="221"/>
      <c r="FG680" s="313"/>
      <c r="FH680" s="249"/>
      <c r="FI680" s="216"/>
      <c r="FJ680" s="1435"/>
      <c r="FK680" s="216"/>
      <c r="FL680" s="1268"/>
      <c r="FM680" s="1655"/>
      <c r="FN680" s="1268"/>
      <c r="FO680" s="1655"/>
      <c r="FP680" s="1268"/>
      <c r="FQ680" s="1656"/>
      <c r="FR680" s="249"/>
      <c r="FS680" s="216"/>
      <c r="FT680" s="1657"/>
      <c r="FU680" s="1658"/>
      <c r="FV680" s="242"/>
      <c r="FW680" s="343"/>
      <c r="FX680" s="222"/>
      <c r="FY680" s="336"/>
      <c r="FZ680" s="223"/>
      <c r="GA680" s="338"/>
      <c r="GB680" s="204"/>
      <c r="GC680" s="339"/>
      <c r="GD680" s="342"/>
      <c r="GE680" s="199"/>
      <c r="GF680" s="199"/>
      <c r="GG680" s="199"/>
      <c r="GH680" s="199"/>
      <c r="GI680" s="199"/>
      <c r="GJ680" s="199"/>
      <c r="GK680" s="199"/>
      <c r="GO680" s="322"/>
      <c r="GP680" s="1190"/>
      <c r="GQ680" s="1190"/>
      <c r="GS680" s="2879"/>
      <c r="GT680" s="2880"/>
      <c r="GU680" s="2881"/>
    </row>
    <row r="681" spans="1:203" ht="12" customHeight="1">
      <c r="A681" s="1252"/>
      <c r="B681" s="200"/>
      <c r="C681" s="486"/>
      <c r="T681" s="1186"/>
      <c r="U681" s="233"/>
      <c r="W681" s="218"/>
      <c r="X681" s="218"/>
      <c r="Y681" s="216"/>
      <c r="Z681" s="216"/>
      <c r="AA681" s="215"/>
      <c r="AB681" s="216"/>
      <c r="AC681" s="216"/>
      <c r="AD681" s="239"/>
      <c r="AE681" s="216"/>
      <c r="AF681" s="216"/>
      <c r="AG681" s="216"/>
      <c r="AH681" s="216"/>
      <c r="AI681" s="216"/>
      <c r="AJ681" s="216"/>
      <c r="AK681" s="239"/>
      <c r="AL681" s="216"/>
      <c r="AM681" s="216"/>
      <c r="AN681" s="216"/>
      <c r="AO681" s="216"/>
      <c r="AP681" s="216"/>
      <c r="AQ681" s="216"/>
      <c r="AR681" s="216"/>
      <c r="AS681" s="216"/>
      <c r="AT681" s="216"/>
      <c r="AU681" s="216"/>
      <c r="AV681" s="217"/>
      <c r="AW681" s="355"/>
      <c r="AX681" s="217"/>
      <c r="AY681" s="305"/>
      <c r="AZ681" s="249"/>
      <c r="BA681" s="221"/>
      <c r="BB681" s="300"/>
      <c r="BC681" s="217"/>
      <c r="BD681" s="392"/>
      <c r="BE681" s="1244"/>
      <c r="BF681" s="249"/>
      <c r="BG681" s="252"/>
      <c r="BH681" s="1469"/>
      <c r="BI681" s="216"/>
      <c r="BJ681" s="1469"/>
      <c r="BK681" s="1459"/>
      <c r="BL681" s="260"/>
      <c r="BM681" s="214"/>
      <c r="BN681" s="293"/>
      <c r="BO681" s="217"/>
      <c r="BP681" s="355"/>
      <c r="BQ681" s="217"/>
      <c r="BR681" s="1193"/>
      <c r="BS681" s="249"/>
      <c r="BT681" s="216"/>
      <c r="BU681" s="1195"/>
      <c r="BV681" s="249"/>
      <c r="BW681" s="216"/>
      <c r="BX681" s="1195"/>
      <c r="BY681" s="249"/>
      <c r="BZ681" s="216"/>
      <c r="CA681" s="1195"/>
      <c r="CB681" s="249"/>
      <c r="CC681" s="216"/>
      <c r="CD681" s="1195"/>
      <c r="CE681" s="249"/>
      <c r="CF681" s="216"/>
      <c r="CG681" s="1195"/>
      <c r="CH681" s="249"/>
      <c r="CI681" s="216"/>
      <c r="CJ681" s="1195"/>
      <c r="CK681" s="249"/>
      <c r="CL681" s="216"/>
      <c r="CM681" s="1194"/>
      <c r="CN681" s="1524"/>
      <c r="CO681" s="217"/>
      <c r="CP681" s="1193"/>
      <c r="CQ681" s="293"/>
      <c r="CR681" s="217"/>
      <c r="CS681" s="305"/>
      <c r="CT681" s="249"/>
      <c r="CU681" s="216"/>
      <c r="CV681" s="1193"/>
      <c r="CW681" s="249"/>
      <c r="CX681" s="216"/>
      <c r="CY681" s="305"/>
      <c r="CZ681" s="249"/>
      <c r="DA681" s="216"/>
      <c r="DB681" s="307"/>
      <c r="DC681" s="328"/>
      <c r="DD681" s="322"/>
      <c r="DE681" s="305"/>
      <c r="DF681" s="249"/>
      <c r="DG681" s="216"/>
      <c r="DH681" s="305"/>
      <c r="DI681" s="249"/>
      <c r="DJ681" s="216"/>
      <c r="DK681" s="309"/>
      <c r="DL681" s="293"/>
      <c r="DM681" s="326"/>
      <c r="DN681" s="1256"/>
      <c r="DO681" s="214"/>
      <c r="DP681" s="1257"/>
      <c r="DQ681" s="1258"/>
      <c r="DR681" s="305"/>
      <c r="DS681" s="249"/>
      <c r="DT681" s="216"/>
      <c r="DU681" s="305"/>
      <c r="DV681" s="2520"/>
      <c r="DW681" s="2521"/>
      <c r="DX681" s="305"/>
      <c r="DY681" s="249"/>
      <c r="DZ681" s="221"/>
      <c r="EA681" s="388"/>
      <c r="EB681" s="249"/>
      <c r="EC681" s="216"/>
      <c r="ED681" s="1461"/>
      <c r="EE681" s="249"/>
      <c r="EF681" s="216"/>
      <c r="EG681" s="355"/>
      <c r="EH681" s="1425"/>
      <c r="EI681" s="1470"/>
      <c r="EJ681" s="249"/>
      <c r="EK681" s="221"/>
      <c r="EL681" s="313"/>
      <c r="EM681" s="249"/>
      <c r="EN681" s="221"/>
      <c r="EO681" s="313"/>
      <c r="EP681" s="249"/>
      <c r="EQ681" s="216"/>
      <c r="ER681" s="313"/>
      <c r="ES681" s="249"/>
      <c r="ET681" s="216"/>
      <c r="EU681" s="313"/>
      <c r="EV681" s="249"/>
      <c r="EW681" s="216"/>
      <c r="EX681" s="2505"/>
      <c r="EY681" s="249"/>
      <c r="EZ681" s="221"/>
      <c r="FA681" s="313"/>
      <c r="FB681" s="249"/>
      <c r="FC681" s="221"/>
      <c r="FD681" s="313"/>
      <c r="FE681" s="249"/>
      <c r="FF681" s="221"/>
      <c r="FG681" s="313"/>
      <c r="FH681" s="249"/>
      <c r="FI681" s="216"/>
      <c r="FJ681" s="1435"/>
      <c r="FK681" s="216"/>
      <c r="FL681" s="1268"/>
      <c r="FM681" s="1655"/>
      <c r="FN681" s="1268"/>
      <c r="FO681" s="1655"/>
      <c r="FP681" s="1268"/>
      <c r="FQ681" s="1656"/>
      <c r="FR681" s="249"/>
      <c r="FS681" s="216"/>
      <c r="FT681" s="1657"/>
      <c r="FU681" s="1658"/>
      <c r="FV681" s="242"/>
      <c r="FW681" s="343"/>
      <c r="FX681" s="222"/>
      <c r="FY681" s="336"/>
      <c r="FZ681" s="223"/>
      <c r="GA681" s="338"/>
      <c r="GB681" s="204"/>
      <c r="GC681" s="339"/>
      <c r="GD681" s="342"/>
      <c r="GE681" s="199"/>
      <c r="GF681" s="199"/>
      <c r="GG681" s="199"/>
      <c r="GH681" s="199"/>
      <c r="GI681" s="199"/>
      <c r="GJ681" s="199"/>
      <c r="GK681" s="199"/>
      <c r="GO681" s="322"/>
      <c r="GP681" s="1190"/>
      <c r="GQ681" s="1190"/>
      <c r="GS681" s="2879"/>
      <c r="GT681" s="2880"/>
      <c r="GU681" s="2881"/>
    </row>
    <row r="682" spans="1:203" ht="12" customHeight="1">
      <c r="A682" s="1252"/>
      <c r="B682" s="200"/>
      <c r="C682" s="486"/>
      <c r="T682" s="1186"/>
      <c r="U682" s="233"/>
      <c r="W682" s="218"/>
      <c r="X682" s="218"/>
      <c r="Y682" s="216"/>
      <c r="Z682" s="216"/>
      <c r="AA682" s="215"/>
      <c r="AB682" s="216"/>
      <c r="AC682" s="216"/>
      <c r="AD682" s="239"/>
      <c r="AE682" s="216"/>
      <c r="AF682" s="216"/>
      <c r="AG682" s="216"/>
      <c r="AH682" s="216"/>
      <c r="AI682" s="216"/>
      <c r="AJ682" s="216"/>
      <c r="AK682" s="239"/>
      <c r="AL682" s="216"/>
      <c r="AM682" s="216"/>
      <c r="AN682" s="216"/>
      <c r="AO682" s="216"/>
      <c r="AP682" s="216"/>
      <c r="AQ682" s="216"/>
      <c r="AR682" s="216"/>
      <c r="AS682" s="216"/>
      <c r="AT682" s="216"/>
      <c r="AU682" s="216"/>
      <c r="AV682" s="217"/>
      <c r="AW682" s="355"/>
      <c r="AX682" s="217"/>
      <c r="AY682" s="305"/>
      <c r="AZ682" s="249"/>
      <c r="BA682" s="221"/>
      <c r="BB682" s="300"/>
      <c r="BC682" s="217"/>
      <c r="BD682" s="392"/>
      <c r="BE682" s="1244"/>
      <c r="BF682" s="249"/>
      <c r="BG682" s="252"/>
      <c r="BH682" s="1469"/>
      <c r="BI682" s="216"/>
      <c r="BJ682" s="1469"/>
      <c r="BK682" s="1459"/>
      <c r="BL682" s="260"/>
      <c r="BM682" s="214"/>
      <c r="BN682" s="293"/>
      <c r="BO682" s="217"/>
      <c r="BP682" s="355"/>
      <c r="BQ682" s="217"/>
      <c r="BR682" s="1193"/>
      <c r="BS682" s="249"/>
      <c r="BT682" s="216"/>
      <c r="BU682" s="1195"/>
      <c r="BV682" s="249"/>
      <c r="BW682" s="216"/>
      <c r="BX682" s="1195"/>
      <c r="BY682" s="249"/>
      <c r="BZ682" s="216"/>
      <c r="CA682" s="1195"/>
      <c r="CB682" s="249"/>
      <c r="CC682" s="216"/>
      <c r="CD682" s="1195"/>
      <c r="CE682" s="249"/>
      <c r="CF682" s="216"/>
      <c r="CG682" s="1195"/>
      <c r="CH682" s="249"/>
      <c r="CI682" s="216"/>
      <c r="CJ682" s="1195"/>
      <c r="CK682" s="249"/>
      <c r="CL682" s="216"/>
      <c r="CM682" s="1194"/>
      <c r="CN682" s="1524"/>
      <c r="CO682" s="217"/>
      <c r="CP682" s="1193"/>
      <c r="CQ682" s="293"/>
      <c r="CR682" s="217"/>
      <c r="CS682" s="305"/>
      <c r="CT682" s="249"/>
      <c r="CU682" s="216"/>
      <c r="CV682" s="1193"/>
      <c r="CW682" s="249"/>
      <c r="CX682" s="216"/>
      <c r="CY682" s="305"/>
      <c r="CZ682" s="249"/>
      <c r="DA682" s="216"/>
      <c r="DB682" s="307"/>
      <c r="DC682" s="328"/>
      <c r="DD682" s="322"/>
      <c r="DE682" s="305"/>
      <c r="DF682" s="249"/>
      <c r="DG682" s="216"/>
      <c r="DH682" s="305"/>
      <c r="DI682" s="249"/>
      <c r="DJ682" s="216"/>
      <c r="DK682" s="309"/>
      <c r="DL682" s="293"/>
      <c r="DM682" s="326"/>
      <c r="DN682" s="1256"/>
      <c r="DO682" s="214"/>
      <c r="DP682" s="1257"/>
      <c r="DQ682" s="1258"/>
      <c r="DR682" s="305"/>
      <c r="DS682" s="249"/>
      <c r="DT682" s="216"/>
      <c r="DU682" s="305"/>
      <c r="DV682" s="2520"/>
      <c r="DW682" s="2521"/>
      <c r="DX682" s="305"/>
      <c r="DY682" s="249"/>
      <c r="DZ682" s="221"/>
      <c r="EA682" s="388"/>
      <c r="EB682" s="249"/>
      <c r="EC682" s="216"/>
      <c r="ED682" s="1461"/>
      <c r="EE682" s="249"/>
      <c r="EF682" s="216"/>
      <c r="EG682" s="355"/>
      <c r="EH682" s="1425"/>
      <c r="EI682" s="1470"/>
      <c r="EJ682" s="249"/>
      <c r="EK682" s="221"/>
      <c r="EL682" s="313"/>
      <c r="EM682" s="249"/>
      <c r="EN682" s="221"/>
      <c r="EO682" s="313"/>
      <c r="EP682" s="249"/>
      <c r="EQ682" s="216"/>
      <c r="ER682" s="313"/>
      <c r="ES682" s="249"/>
      <c r="ET682" s="216"/>
      <c r="EU682" s="313"/>
      <c r="EV682" s="249"/>
      <c r="EW682" s="216"/>
      <c r="EX682" s="2505"/>
      <c r="EY682" s="249"/>
      <c r="EZ682" s="221"/>
      <c r="FA682" s="313"/>
      <c r="FB682" s="249"/>
      <c r="FC682" s="221"/>
      <c r="FD682" s="313"/>
      <c r="FE682" s="249"/>
      <c r="FF682" s="221"/>
      <c r="FG682" s="313"/>
      <c r="FH682" s="249"/>
      <c r="FI682" s="216"/>
      <c r="FJ682" s="1435"/>
      <c r="FK682" s="216"/>
      <c r="FL682" s="1268"/>
      <c r="FM682" s="1655"/>
      <c r="FN682" s="1268"/>
      <c r="FO682" s="1655"/>
      <c r="FP682" s="1268"/>
      <c r="FQ682" s="1656"/>
      <c r="FR682" s="249"/>
      <c r="FS682" s="216"/>
      <c r="FT682" s="1657"/>
      <c r="FU682" s="1658"/>
      <c r="FV682" s="242"/>
      <c r="FW682" s="343"/>
      <c r="FX682" s="222"/>
      <c r="FY682" s="336"/>
      <c r="FZ682" s="223"/>
      <c r="GA682" s="338"/>
      <c r="GB682" s="204"/>
      <c r="GC682" s="339"/>
      <c r="GD682" s="342"/>
      <c r="GE682" s="199"/>
      <c r="GF682" s="199"/>
      <c r="GG682" s="199"/>
      <c r="GH682" s="199"/>
      <c r="GI682" s="199"/>
      <c r="GJ682" s="199"/>
      <c r="GK682" s="199"/>
      <c r="GO682" s="322"/>
      <c r="GP682" s="1190"/>
      <c r="GQ682" s="1190"/>
      <c r="GS682" s="2879"/>
      <c r="GT682" s="2880"/>
      <c r="GU682" s="2881"/>
    </row>
    <row r="683" spans="1:203" ht="12" customHeight="1">
      <c r="A683" s="1252"/>
      <c r="B683" s="200"/>
      <c r="C683" s="486"/>
      <c r="T683" s="1186"/>
      <c r="U683" s="233"/>
      <c r="W683" s="218"/>
      <c r="X683" s="218"/>
      <c r="Y683" s="216"/>
      <c r="Z683" s="216"/>
      <c r="AA683" s="215"/>
      <c r="AB683" s="216"/>
      <c r="AC683" s="216"/>
      <c r="AD683" s="239"/>
      <c r="AE683" s="216"/>
      <c r="AF683" s="216"/>
      <c r="AG683" s="216"/>
      <c r="AH683" s="216"/>
      <c r="AI683" s="216"/>
      <c r="AJ683" s="216"/>
      <c r="AK683" s="239"/>
      <c r="AL683" s="216"/>
      <c r="AM683" s="216"/>
      <c r="AN683" s="216"/>
      <c r="AO683" s="216"/>
      <c r="AP683" s="216"/>
      <c r="AQ683" s="216"/>
      <c r="AR683" s="216"/>
      <c r="AS683" s="216"/>
      <c r="AT683" s="216"/>
      <c r="AU683" s="216"/>
      <c r="AV683" s="217"/>
      <c r="AW683" s="355"/>
      <c r="AX683" s="217"/>
      <c r="AY683" s="305"/>
      <c r="AZ683" s="249"/>
      <c r="BA683" s="221"/>
      <c r="BB683" s="300"/>
      <c r="BC683" s="217"/>
      <c r="BD683" s="392"/>
      <c r="BE683" s="1244"/>
      <c r="BF683" s="249"/>
      <c r="BG683" s="252"/>
      <c r="BH683" s="1469"/>
      <c r="BI683" s="216"/>
      <c r="BJ683" s="1469"/>
      <c r="BK683" s="1459"/>
      <c r="BL683" s="260"/>
      <c r="BM683" s="214"/>
      <c r="BN683" s="293"/>
      <c r="BO683" s="217"/>
      <c r="BP683" s="355"/>
      <c r="BQ683" s="217"/>
      <c r="BR683" s="1193"/>
      <c r="BS683" s="249"/>
      <c r="BT683" s="216"/>
      <c r="BU683" s="1195"/>
      <c r="BV683" s="249"/>
      <c r="BW683" s="216"/>
      <c r="BX683" s="1195"/>
      <c r="BY683" s="249"/>
      <c r="BZ683" s="216"/>
      <c r="CA683" s="1195"/>
      <c r="CB683" s="249"/>
      <c r="CC683" s="216"/>
      <c r="CD683" s="1195"/>
      <c r="CE683" s="249"/>
      <c r="CF683" s="216"/>
      <c r="CG683" s="1195"/>
      <c r="CH683" s="249"/>
      <c r="CI683" s="216"/>
      <c r="CJ683" s="1195"/>
      <c r="CK683" s="249"/>
      <c r="CL683" s="216"/>
      <c r="CM683" s="1194"/>
      <c r="CN683" s="1524"/>
      <c r="CO683" s="217"/>
      <c r="CP683" s="1193"/>
      <c r="CQ683" s="293"/>
      <c r="CR683" s="217"/>
      <c r="CS683" s="305"/>
      <c r="CT683" s="249"/>
      <c r="CU683" s="216"/>
      <c r="CV683" s="1193"/>
      <c r="CW683" s="249"/>
      <c r="CX683" s="216"/>
      <c r="CY683" s="305"/>
      <c r="CZ683" s="249"/>
      <c r="DA683" s="216"/>
      <c r="DB683" s="307"/>
      <c r="DC683" s="328"/>
      <c r="DD683" s="322"/>
      <c r="DE683" s="305"/>
      <c r="DF683" s="249"/>
      <c r="DG683" s="216"/>
      <c r="DH683" s="305"/>
      <c r="DI683" s="249"/>
      <c r="DJ683" s="216"/>
      <c r="DK683" s="309"/>
      <c r="DL683" s="293"/>
      <c r="DM683" s="326"/>
      <c r="DN683" s="1256"/>
      <c r="DO683" s="214"/>
      <c r="DP683" s="1257"/>
      <c r="DQ683" s="1258"/>
      <c r="DR683" s="305"/>
      <c r="DS683" s="249"/>
      <c r="DT683" s="216"/>
      <c r="DU683" s="305"/>
      <c r="DV683" s="2520"/>
      <c r="DW683" s="2521"/>
      <c r="DX683" s="305"/>
      <c r="DY683" s="249"/>
      <c r="DZ683" s="221"/>
      <c r="EA683" s="388"/>
      <c r="EB683" s="249"/>
      <c r="EC683" s="216"/>
      <c r="ED683" s="1461"/>
      <c r="EE683" s="249"/>
      <c r="EF683" s="216"/>
      <c r="EG683" s="355"/>
      <c r="EH683" s="1425"/>
      <c r="EI683" s="1470"/>
      <c r="EJ683" s="249"/>
      <c r="EK683" s="221"/>
      <c r="EL683" s="313"/>
      <c r="EM683" s="249"/>
      <c r="EN683" s="221"/>
      <c r="EO683" s="313"/>
      <c r="EP683" s="249"/>
      <c r="EQ683" s="216"/>
      <c r="ER683" s="313"/>
      <c r="ES683" s="249"/>
      <c r="ET683" s="216"/>
      <c r="EU683" s="313"/>
      <c r="EV683" s="249"/>
      <c r="EW683" s="216"/>
      <c r="EX683" s="2505"/>
      <c r="EY683" s="249"/>
      <c r="EZ683" s="221"/>
      <c r="FA683" s="313"/>
      <c r="FB683" s="249"/>
      <c r="FC683" s="221"/>
      <c r="FD683" s="313"/>
      <c r="FE683" s="249"/>
      <c r="FF683" s="221"/>
      <c r="FG683" s="313"/>
      <c r="FH683" s="249"/>
      <c r="FI683" s="216"/>
      <c r="FJ683" s="1435"/>
      <c r="FK683" s="216"/>
      <c r="FL683" s="1268"/>
      <c r="FM683" s="1655"/>
      <c r="FN683" s="1268"/>
      <c r="FO683" s="1655"/>
      <c r="FP683" s="1268"/>
      <c r="FQ683" s="1656"/>
      <c r="FR683" s="249"/>
      <c r="FS683" s="216"/>
      <c r="FT683" s="1657"/>
      <c r="FU683" s="1658"/>
      <c r="FV683" s="242"/>
      <c r="FW683" s="343"/>
      <c r="FX683" s="222"/>
      <c r="FY683" s="336"/>
      <c r="FZ683" s="223"/>
      <c r="GA683" s="338"/>
      <c r="GB683" s="204"/>
      <c r="GC683" s="339"/>
      <c r="GD683" s="342"/>
      <c r="GE683" s="199"/>
      <c r="GF683" s="199"/>
      <c r="GG683" s="199"/>
      <c r="GH683" s="199"/>
      <c r="GI683" s="199"/>
      <c r="GJ683" s="199"/>
      <c r="GK683" s="199"/>
      <c r="GO683" s="322"/>
      <c r="GP683" s="1190"/>
      <c r="GQ683" s="1190"/>
      <c r="GS683" s="2879"/>
      <c r="GT683" s="2880"/>
      <c r="GU683" s="2881"/>
    </row>
    <row r="684" spans="1:203" ht="12" customHeight="1">
      <c r="A684" s="1252"/>
      <c r="B684" s="200"/>
      <c r="C684" s="486"/>
      <c r="T684" s="1186"/>
      <c r="U684" s="233"/>
      <c r="W684" s="218"/>
      <c r="X684" s="218"/>
      <c r="Y684" s="216"/>
      <c r="Z684" s="216"/>
      <c r="AA684" s="215"/>
      <c r="AB684" s="216"/>
      <c r="AC684" s="216"/>
      <c r="AD684" s="239"/>
      <c r="AE684" s="216"/>
      <c r="AF684" s="216"/>
      <c r="AG684" s="216"/>
      <c r="AH684" s="216"/>
      <c r="AI684" s="216"/>
      <c r="AJ684" s="216"/>
      <c r="AK684" s="239"/>
      <c r="AL684" s="216"/>
      <c r="AM684" s="216"/>
      <c r="AN684" s="216"/>
      <c r="AO684" s="216"/>
      <c r="AP684" s="216"/>
      <c r="AQ684" s="216"/>
      <c r="AR684" s="216"/>
      <c r="AS684" s="216"/>
      <c r="AT684" s="216"/>
      <c r="AU684" s="216"/>
      <c r="AV684" s="217"/>
      <c r="AW684" s="355"/>
      <c r="AX684" s="217"/>
      <c r="AY684" s="305"/>
      <c r="AZ684" s="249"/>
      <c r="BA684" s="221"/>
      <c r="BB684" s="300"/>
      <c r="BC684" s="217"/>
      <c r="BD684" s="392"/>
      <c r="BE684" s="1244"/>
      <c r="BF684" s="249"/>
      <c r="BG684" s="252"/>
      <c r="BH684" s="1469"/>
      <c r="BI684" s="216"/>
      <c r="BJ684" s="1469"/>
      <c r="BK684" s="1459"/>
      <c r="BL684" s="260"/>
      <c r="BM684" s="214"/>
      <c r="BN684" s="293"/>
      <c r="BO684" s="217"/>
      <c r="BP684" s="355"/>
      <c r="BQ684" s="217"/>
      <c r="BR684" s="1193"/>
      <c r="BS684" s="249"/>
      <c r="BT684" s="216"/>
      <c r="BU684" s="1195"/>
      <c r="BV684" s="249"/>
      <c r="BW684" s="216"/>
      <c r="BX684" s="1195"/>
      <c r="BY684" s="249"/>
      <c r="BZ684" s="216"/>
      <c r="CA684" s="1195"/>
      <c r="CB684" s="249"/>
      <c r="CC684" s="216"/>
      <c r="CD684" s="1195"/>
      <c r="CE684" s="249"/>
      <c r="CF684" s="216"/>
      <c r="CG684" s="1195"/>
      <c r="CH684" s="249"/>
      <c r="CI684" s="216"/>
      <c r="CJ684" s="1195"/>
      <c r="CK684" s="249"/>
      <c r="CL684" s="216"/>
      <c r="CM684" s="1194"/>
      <c r="CN684" s="1524"/>
      <c r="CO684" s="217"/>
      <c r="CP684" s="1193"/>
      <c r="CQ684" s="293"/>
      <c r="CR684" s="217"/>
      <c r="CS684" s="305"/>
      <c r="CT684" s="249"/>
      <c r="CU684" s="216"/>
      <c r="CV684" s="1193"/>
      <c r="CW684" s="249"/>
      <c r="CX684" s="216"/>
      <c r="CY684" s="305"/>
      <c r="CZ684" s="249"/>
      <c r="DA684" s="216"/>
      <c r="DB684" s="307"/>
      <c r="DC684" s="328"/>
      <c r="DD684" s="322"/>
      <c r="DE684" s="305"/>
      <c r="DF684" s="249"/>
      <c r="DG684" s="216"/>
      <c r="DH684" s="305"/>
      <c r="DI684" s="249"/>
      <c r="DJ684" s="216"/>
      <c r="DK684" s="309"/>
      <c r="DL684" s="293"/>
      <c r="DM684" s="326"/>
      <c r="DN684" s="1256"/>
      <c r="DO684" s="214"/>
      <c r="DP684" s="1257"/>
      <c r="DQ684" s="1258"/>
      <c r="DR684" s="305"/>
      <c r="DS684" s="249"/>
      <c r="DT684" s="216"/>
      <c r="DU684" s="305"/>
      <c r="DV684" s="2520"/>
      <c r="DW684" s="2521"/>
      <c r="DX684" s="305"/>
      <c r="DY684" s="249"/>
      <c r="DZ684" s="221"/>
      <c r="EA684" s="388"/>
      <c r="EB684" s="249"/>
      <c r="EC684" s="216"/>
      <c r="ED684" s="1461"/>
      <c r="EE684" s="249"/>
      <c r="EF684" s="216"/>
      <c r="EG684" s="355"/>
      <c r="EH684" s="1425"/>
      <c r="EI684" s="1470"/>
      <c r="EJ684" s="249"/>
      <c r="EK684" s="221"/>
      <c r="EL684" s="313"/>
      <c r="EM684" s="249"/>
      <c r="EN684" s="221"/>
      <c r="EO684" s="313"/>
      <c r="EP684" s="249"/>
      <c r="EQ684" s="216"/>
      <c r="ER684" s="313"/>
      <c r="ES684" s="249"/>
      <c r="ET684" s="216"/>
      <c r="EU684" s="313"/>
      <c r="EV684" s="249"/>
      <c r="EW684" s="216"/>
      <c r="EX684" s="2505"/>
      <c r="EY684" s="249"/>
      <c r="EZ684" s="221"/>
      <c r="FA684" s="313"/>
      <c r="FB684" s="249"/>
      <c r="FC684" s="221"/>
      <c r="FD684" s="313"/>
      <c r="FE684" s="249"/>
      <c r="FF684" s="221"/>
      <c r="FG684" s="313"/>
      <c r="FH684" s="249"/>
      <c r="FI684" s="216"/>
      <c r="FJ684" s="1435"/>
      <c r="FK684" s="216"/>
      <c r="FL684" s="1268"/>
      <c r="FM684" s="1655"/>
      <c r="FN684" s="1268"/>
      <c r="FO684" s="1655"/>
      <c r="FP684" s="1268"/>
      <c r="FQ684" s="1656"/>
      <c r="FR684" s="249"/>
      <c r="FS684" s="216"/>
      <c r="FT684" s="1657"/>
      <c r="FU684" s="1658"/>
      <c r="FV684" s="242"/>
      <c r="FW684" s="343"/>
      <c r="FX684" s="222"/>
      <c r="FY684" s="336"/>
      <c r="FZ684" s="223"/>
      <c r="GA684" s="338"/>
      <c r="GB684" s="204"/>
      <c r="GC684" s="339"/>
      <c r="GD684" s="342"/>
      <c r="GE684" s="199"/>
      <c r="GF684" s="199"/>
      <c r="GG684" s="199"/>
      <c r="GH684" s="199"/>
      <c r="GI684" s="199"/>
      <c r="GJ684" s="199"/>
      <c r="GK684" s="199"/>
      <c r="GO684" s="322"/>
      <c r="GP684" s="1190"/>
      <c r="GQ684" s="1190"/>
      <c r="GS684" s="2879"/>
      <c r="GT684" s="2880"/>
      <c r="GU684" s="2881"/>
    </row>
    <row r="685" spans="1:203" ht="12" customHeight="1">
      <c r="A685" s="1252"/>
      <c r="B685" s="200"/>
      <c r="C685" s="486"/>
      <c r="T685" s="1186"/>
      <c r="U685" s="233"/>
      <c r="W685" s="218"/>
      <c r="X685" s="218"/>
      <c r="Y685" s="216"/>
      <c r="Z685" s="216"/>
      <c r="AA685" s="215"/>
      <c r="AB685" s="216"/>
      <c r="AC685" s="216"/>
      <c r="AD685" s="239"/>
      <c r="AE685" s="216"/>
      <c r="AF685" s="216"/>
      <c r="AG685" s="216"/>
      <c r="AH685" s="216"/>
      <c r="AI685" s="216"/>
      <c r="AJ685" s="216"/>
      <c r="AK685" s="239"/>
      <c r="AL685" s="216"/>
      <c r="AM685" s="216"/>
      <c r="AN685" s="216"/>
      <c r="AO685" s="216"/>
      <c r="AP685" s="216"/>
      <c r="AQ685" s="216"/>
      <c r="AR685" s="216"/>
      <c r="AS685" s="216"/>
      <c r="AT685" s="216"/>
      <c r="AU685" s="216"/>
      <c r="AV685" s="217"/>
      <c r="AW685" s="355"/>
      <c r="AX685" s="217"/>
      <c r="AY685" s="305"/>
      <c r="AZ685" s="249"/>
      <c r="BA685" s="221"/>
      <c r="BB685" s="300"/>
      <c r="BC685" s="217"/>
      <c r="BD685" s="392"/>
      <c r="BE685" s="1244"/>
      <c r="BF685" s="249"/>
      <c r="BG685" s="252"/>
      <c r="BH685" s="1469"/>
      <c r="BI685" s="216"/>
      <c r="BJ685" s="1469"/>
      <c r="BK685" s="1459"/>
      <c r="BL685" s="260"/>
      <c r="BM685" s="214"/>
      <c r="BN685" s="293"/>
      <c r="BO685" s="217"/>
      <c r="BP685" s="355"/>
      <c r="BQ685" s="217"/>
      <c r="BR685" s="1193"/>
      <c r="BS685" s="249"/>
      <c r="BT685" s="216"/>
      <c r="BU685" s="1195"/>
      <c r="BV685" s="249"/>
      <c r="BW685" s="216"/>
      <c r="BX685" s="1195"/>
      <c r="BY685" s="249"/>
      <c r="BZ685" s="216"/>
      <c r="CA685" s="1195"/>
      <c r="CB685" s="249"/>
      <c r="CC685" s="216"/>
      <c r="CD685" s="1195"/>
      <c r="CE685" s="249"/>
      <c r="CF685" s="216"/>
      <c r="CG685" s="1195"/>
      <c r="CH685" s="249"/>
      <c r="CI685" s="216"/>
      <c r="CJ685" s="1195"/>
      <c r="CK685" s="249"/>
      <c r="CL685" s="216"/>
      <c r="CM685" s="1194"/>
      <c r="CN685" s="1524"/>
      <c r="CO685" s="217"/>
      <c r="CP685" s="1193"/>
      <c r="CQ685" s="293"/>
      <c r="CR685" s="217"/>
      <c r="CS685" s="305"/>
      <c r="CT685" s="249"/>
      <c r="CU685" s="216"/>
      <c r="CV685" s="1193"/>
      <c r="CW685" s="249"/>
      <c r="CX685" s="216"/>
      <c r="CY685" s="305"/>
      <c r="CZ685" s="249"/>
      <c r="DA685" s="216"/>
      <c r="DB685" s="307"/>
      <c r="DC685" s="328"/>
      <c r="DD685" s="322"/>
      <c r="DE685" s="305"/>
      <c r="DF685" s="249"/>
      <c r="DG685" s="216"/>
      <c r="DH685" s="305"/>
      <c r="DI685" s="249"/>
      <c r="DJ685" s="216"/>
      <c r="DK685" s="309"/>
      <c r="DL685" s="293"/>
      <c r="DM685" s="326"/>
      <c r="DN685" s="1256"/>
      <c r="DO685" s="214"/>
      <c r="DP685" s="1257"/>
      <c r="DQ685" s="1258"/>
      <c r="DR685" s="305"/>
      <c r="DS685" s="249"/>
      <c r="DT685" s="216"/>
      <c r="DU685" s="305"/>
      <c r="DV685" s="2520"/>
      <c r="DW685" s="2521"/>
      <c r="DX685" s="305"/>
      <c r="DY685" s="249"/>
      <c r="DZ685" s="221"/>
      <c r="EA685" s="388"/>
      <c r="EB685" s="249"/>
      <c r="EC685" s="216"/>
      <c r="ED685" s="1461"/>
      <c r="EE685" s="249"/>
      <c r="EF685" s="216"/>
      <c r="EG685" s="355"/>
      <c r="EH685" s="1425"/>
      <c r="EI685" s="1470"/>
      <c r="EJ685" s="249"/>
      <c r="EK685" s="221"/>
      <c r="EL685" s="313"/>
      <c r="EM685" s="249"/>
      <c r="EN685" s="221"/>
      <c r="EO685" s="313"/>
      <c r="EP685" s="249"/>
      <c r="EQ685" s="216"/>
      <c r="ER685" s="313"/>
      <c r="ES685" s="249"/>
      <c r="ET685" s="216"/>
      <c r="EU685" s="313"/>
      <c r="EV685" s="249"/>
      <c r="EW685" s="216"/>
      <c r="EX685" s="2505"/>
      <c r="EY685" s="249"/>
      <c r="EZ685" s="221"/>
      <c r="FA685" s="313"/>
      <c r="FB685" s="249"/>
      <c r="FC685" s="221"/>
      <c r="FD685" s="313"/>
      <c r="FE685" s="249"/>
      <c r="FF685" s="221"/>
      <c r="FG685" s="313"/>
      <c r="FH685" s="249"/>
      <c r="FI685" s="216"/>
      <c r="FJ685" s="1435"/>
      <c r="FK685" s="216"/>
      <c r="FL685" s="1268"/>
      <c r="FM685" s="1655"/>
      <c r="FN685" s="1268"/>
      <c r="FO685" s="1655"/>
      <c r="FP685" s="1268"/>
      <c r="FQ685" s="1656"/>
      <c r="FR685" s="249"/>
      <c r="FS685" s="216"/>
      <c r="FT685" s="1657"/>
      <c r="FU685" s="1658"/>
      <c r="FV685" s="242"/>
      <c r="FW685" s="343"/>
      <c r="FX685" s="222"/>
      <c r="FY685" s="336"/>
      <c r="FZ685" s="223"/>
      <c r="GA685" s="338"/>
      <c r="GB685" s="204"/>
      <c r="GC685" s="339"/>
      <c r="GD685" s="342"/>
      <c r="GE685" s="199"/>
      <c r="GF685" s="199"/>
      <c r="GG685" s="199"/>
      <c r="GH685" s="199"/>
      <c r="GI685" s="199"/>
      <c r="GJ685" s="199"/>
      <c r="GK685" s="199"/>
      <c r="GO685" s="322"/>
      <c r="GP685" s="1190"/>
      <c r="GQ685" s="1190"/>
      <c r="GS685" s="2879"/>
      <c r="GT685" s="2880"/>
      <c r="GU685" s="2881"/>
    </row>
    <row r="686" spans="1:203" ht="12" customHeight="1">
      <c r="A686" s="1252"/>
      <c r="B686" s="200"/>
      <c r="C686" s="486"/>
      <c r="T686" s="1186"/>
      <c r="U686" s="233"/>
      <c r="W686" s="218"/>
      <c r="X686" s="218"/>
      <c r="Y686" s="216"/>
      <c r="Z686" s="216"/>
      <c r="AA686" s="215"/>
      <c r="AB686" s="216"/>
      <c r="AC686" s="216"/>
      <c r="AD686" s="239"/>
      <c r="AE686" s="216"/>
      <c r="AF686" s="216"/>
      <c r="AG686" s="216"/>
      <c r="AH686" s="216"/>
      <c r="AI686" s="216"/>
      <c r="AJ686" s="216"/>
      <c r="AK686" s="239"/>
      <c r="AL686" s="216"/>
      <c r="AM686" s="216"/>
      <c r="AN686" s="216"/>
      <c r="AO686" s="216"/>
      <c r="AP686" s="216"/>
      <c r="AQ686" s="216"/>
      <c r="AR686" s="216"/>
      <c r="AS686" s="216"/>
      <c r="AT686" s="216"/>
      <c r="AU686" s="216"/>
      <c r="AV686" s="217"/>
      <c r="AW686" s="355"/>
      <c r="AX686" s="217"/>
      <c r="AY686" s="305"/>
      <c r="AZ686" s="249"/>
      <c r="BA686" s="221"/>
      <c r="BB686" s="300"/>
      <c r="BC686" s="217"/>
      <c r="BD686" s="392"/>
      <c r="BE686" s="1244"/>
      <c r="BF686" s="249"/>
      <c r="BG686" s="252"/>
      <c r="BH686" s="1469"/>
      <c r="BI686" s="216"/>
      <c r="BJ686" s="1469"/>
      <c r="BK686" s="1459"/>
      <c r="BL686" s="260"/>
      <c r="BM686" s="214"/>
      <c r="BN686" s="293"/>
      <c r="BO686" s="217"/>
      <c r="BP686" s="355"/>
      <c r="BQ686" s="217"/>
      <c r="BR686" s="1193"/>
      <c r="BS686" s="249"/>
      <c r="BT686" s="216"/>
      <c r="BU686" s="1195"/>
      <c r="BV686" s="249"/>
      <c r="BW686" s="216"/>
      <c r="BX686" s="1195"/>
      <c r="BY686" s="249"/>
      <c r="BZ686" s="216"/>
      <c r="CA686" s="1195"/>
      <c r="CB686" s="249"/>
      <c r="CC686" s="216"/>
      <c r="CD686" s="1195"/>
      <c r="CE686" s="249"/>
      <c r="CF686" s="216"/>
      <c r="CG686" s="1195"/>
      <c r="CH686" s="249"/>
      <c r="CI686" s="216"/>
      <c r="CJ686" s="1195"/>
      <c r="CK686" s="249"/>
      <c r="CL686" s="216"/>
      <c r="CM686" s="1194"/>
      <c r="CN686" s="1524"/>
      <c r="CO686" s="217"/>
      <c r="CP686" s="1193"/>
      <c r="CQ686" s="293"/>
      <c r="CR686" s="217"/>
      <c r="CS686" s="305"/>
      <c r="CT686" s="249"/>
      <c r="CU686" s="216"/>
      <c r="CV686" s="1193"/>
      <c r="CW686" s="249"/>
      <c r="CX686" s="216"/>
      <c r="CY686" s="305"/>
      <c r="CZ686" s="249"/>
      <c r="DA686" s="216"/>
      <c r="DB686" s="307"/>
      <c r="DC686" s="328"/>
      <c r="DD686" s="322"/>
      <c r="DE686" s="305"/>
      <c r="DF686" s="249"/>
      <c r="DG686" s="216"/>
      <c r="DH686" s="305"/>
      <c r="DI686" s="249"/>
      <c r="DJ686" s="216"/>
      <c r="DK686" s="309"/>
      <c r="DL686" s="293"/>
      <c r="DM686" s="326"/>
      <c r="DN686" s="1256"/>
      <c r="DO686" s="214"/>
      <c r="DP686" s="1257"/>
      <c r="DQ686" s="1258"/>
      <c r="DR686" s="305"/>
      <c r="DS686" s="249"/>
      <c r="DT686" s="216"/>
      <c r="DU686" s="305"/>
      <c r="DV686" s="2520"/>
      <c r="DW686" s="2521"/>
      <c r="DX686" s="305"/>
      <c r="DY686" s="249"/>
      <c r="DZ686" s="221"/>
      <c r="EA686" s="388"/>
      <c r="EB686" s="249"/>
      <c r="EC686" s="216"/>
      <c r="ED686" s="1461"/>
      <c r="EE686" s="249"/>
      <c r="EF686" s="216"/>
      <c r="EG686" s="355"/>
      <c r="EH686" s="1425"/>
      <c r="EI686" s="1470"/>
      <c r="EJ686" s="249"/>
      <c r="EK686" s="221"/>
      <c r="EL686" s="313"/>
      <c r="EM686" s="249"/>
      <c r="EN686" s="221"/>
      <c r="EO686" s="313"/>
      <c r="EP686" s="249"/>
      <c r="EQ686" s="216"/>
      <c r="ER686" s="313"/>
      <c r="ES686" s="249"/>
      <c r="ET686" s="216"/>
      <c r="EU686" s="313"/>
      <c r="EV686" s="249"/>
      <c r="EW686" s="216"/>
      <c r="EX686" s="2505"/>
      <c r="EY686" s="249"/>
      <c r="EZ686" s="221"/>
      <c r="FA686" s="313"/>
      <c r="FB686" s="249"/>
      <c r="FC686" s="221"/>
      <c r="FD686" s="313"/>
      <c r="FE686" s="249"/>
      <c r="FF686" s="221"/>
      <c r="FG686" s="313"/>
      <c r="FH686" s="249"/>
      <c r="FI686" s="216"/>
      <c r="FJ686" s="1435"/>
      <c r="FK686" s="216"/>
      <c r="FL686" s="1268"/>
      <c r="FM686" s="1655"/>
      <c r="FN686" s="1268"/>
      <c r="FO686" s="1655"/>
      <c r="FP686" s="1268"/>
      <c r="FQ686" s="1656"/>
      <c r="FR686" s="249"/>
      <c r="FS686" s="216"/>
      <c r="FT686" s="1657"/>
      <c r="FU686" s="1658"/>
      <c r="FV686" s="242"/>
      <c r="FW686" s="343"/>
      <c r="FX686" s="222"/>
      <c r="FY686" s="336"/>
      <c r="FZ686" s="223"/>
      <c r="GA686" s="338"/>
      <c r="GB686" s="204"/>
      <c r="GC686" s="339"/>
      <c r="GD686" s="342"/>
      <c r="GE686" s="199"/>
      <c r="GF686" s="199"/>
      <c r="GG686" s="199"/>
      <c r="GH686" s="199"/>
      <c r="GI686" s="199"/>
      <c r="GJ686" s="199"/>
      <c r="GK686" s="199"/>
      <c r="GO686" s="322"/>
      <c r="GP686" s="1190"/>
      <c r="GQ686" s="1190"/>
      <c r="GS686" s="2879"/>
      <c r="GT686" s="2880"/>
      <c r="GU686" s="2881"/>
    </row>
    <row r="687" spans="1:203" ht="12" customHeight="1">
      <c r="A687" s="1252"/>
      <c r="B687" s="200"/>
      <c r="C687" s="486"/>
      <c r="T687" s="1186"/>
      <c r="U687" s="233"/>
      <c r="W687" s="218"/>
      <c r="X687" s="218"/>
      <c r="Y687" s="216"/>
      <c r="Z687" s="216"/>
      <c r="AA687" s="215"/>
      <c r="AB687" s="216"/>
      <c r="AC687" s="216"/>
      <c r="AD687" s="239"/>
      <c r="AE687" s="216"/>
      <c r="AF687" s="216"/>
      <c r="AG687" s="216"/>
      <c r="AH687" s="216"/>
      <c r="AI687" s="216"/>
      <c r="AJ687" s="216"/>
      <c r="AK687" s="239"/>
      <c r="AL687" s="216"/>
      <c r="AM687" s="216"/>
      <c r="AN687" s="216"/>
      <c r="AO687" s="216"/>
      <c r="AP687" s="216"/>
      <c r="AQ687" s="216"/>
      <c r="AR687" s="216"/>
      <c r="AS687" s="216"/>
      <c r="AT687" s="216"/>
      <c r="AU687" s="216"/>
      <c r="AV687" s="217"/>
      <c r="AW687" s="355"/>
      <c r="AX687" s="217"/>
      <c r="AY687" s="305"/>
      <c r="AZ687" s="249"/>
      <c r="BA687" s="221"/>
      <c r="BB687" s="300"/>
      <c r="BC687" s="217"/>
      <c r="BD687" s="392"/>
      <c r="BE687" s="1244"/>
      <c r="BF687" s="249"/>
      <c r="BG687" s="252"/>
      <c r="BH687" s="1469"/>
      <c r="BI687" s="216"/>
      <c r="BJ687" s="1469"/>
      <c r="BK687" s="1459"/>
      <c r="BL687" s="260"/>
      <c r="BM687" s="214"/>
      <c r="BN687" s="293"/>
      <c r="BO687" s="217"/>
      <c r="BP687" s="355"/>
      <c r="BQ687" s="217"/>
      <c r="BR687" s="1193"/>
      <c r="BS687" s="249"/>
      <c r="BT687" s="216"/>
      <c r="BU687" s="1195"/>
      <c r="BV687" s="249"/>
      <c r="BW687" s="216"/>
      <c r="BX687" s="1195"/>
      <c r="BY687" s="249"/>
      <c r="BZ687" s="216"/>
      <c r="CA687" s="1195"/>
      <c r="CB687" s="249"/>
      <c r="CC687" s="216"/>
      <c r="CD687" s="1195"/>
      <c r="CE687" s="249"/>
      <c r="CF687" s="216"/>
      <c r="CG687" s="1195"/>
      <c r="CH687" s="249"/>
      <c r="CI687" s="216"/>
      <c r="CJ687" s="1195"/>
      <c r="CK687" s="249"/>
      <c r="CL687" s="216"/>
      <c r="CM687" s="1194"/>
      <c r="CN687" s="1524"/>
      <c r="CO687" s="217"/>
      <c r="CP687" s="1193"/>
      <c r="CQ687" s="293"/>
      <c r="CR687" s="217"/>
      <c r="CS687" s="305"/>
      <c r="CT687" s="249"/>
      <c r="CU687" s="216"/>
      <c r="CV687" s="1193"/>
      <c r="CW687" s="249"/>
      <c r="CX687" s="216"/>
      <c r="CY687" s="305"/>
      <c r="CZ687" s="249"/>
      <c r="DA687" s="216"/>
      <c r="DB687" s="307"/>
      <c r="DC687" s="328"/>
      <c r="DD687" s="322"/>
      <c r="DE687" s="305"/>
      <c r="DF687" s="249"/>
      <c r="DG687" s="216"/>
      <c r="DH687" s="305"/>
      <c r="DI687" s="249"/>
      <c r="DJ687" s="216"/>
      <c r="DK687" s="309"/>
      <c r="DL687" s="293"/>
      <c r="DM687" s="326"/>
      <c r="DN687" s="1256"/>
      <c r="DO687" s="214"/>
      <c r="DP687" s="1257"/>
      <c r="DQ687" s="1258"/>
      <c r="DR687" s="305"/>
      <c r="DS687" s="249"/>
      <c r="DT687" s="216"/>
      <c r="DU687" s="305"/>
      <c r="DV687" s="2520"/>
      <c r="DW687" s="2521"/>
      <c r="DX687" s="305"/>
      <c r="DY687" s="249"/>
      <c r="DZ687" s="221"/>
      <c r="EA687" s="388"/>
      <c r="EB687" s="249"/>
      <c r="EC687" s="216"/>
      <c r="ED687" s="1461"/>
      <c r="EE687" s="249"/>
      <c r="EF687" s="216"/>
      <c r="EG687" s="355"/>
      <c r="EH687" s="1425"/>
      <c r="EI687" s="1470"/>
      <c r="EJ687" s="249"/>
      <c r="EK687" s="221"/>
      <c r="EL687" s="313"/>
      <c r="EM687" s="249"/>
      <c r="EN687" s="221"/>
      <c r="EO687" s="313"/>
      <c r="EP687" s="249"/>
      <c r="EQ687" s="216"/>
      <c r="ER687" s="313"/>
      <c r="ES687" s="249"/>
      <c r="ET687" s="216"/>
      <c r="EU687" s="313"/>
      <c r="EV687" s="249"/>
      <c r="EW687" s="216"/>
      <c r="EX687" s="2505"/>
      <c r="EY687" s="249"/>
      <c r="EZ687" s="221"/>
      <c r="FA687" s="313"/>
      <c r="FB687" s="249"/>
      <c r="FC687" s="221"/>
      <c r="FD687" s="313"/>
      <c r="FE687" s="249"/>
      <c r="FF687" s="221"/>
      <c r="FG687" s="313"/>
      <c r="FH687" s="249"/>
      <c r="FI687" s="216"/>
      <c r="FJ687" s="1435"/>
      <c r="FK687" s="216"/>
      <c r="FL687" s="1268"/>
      <c r="FM687" s="1655"/>
      <c r="FN687" s="1268"/>
      <c r="FO687" s="1655"/>
      <c r="FP687" s="1268"/>
      <c r="FQ687" s="1656"/>
      <c r="FR687" s="249"/>
      <c r="FS687" s="216"/>
      <c r="FT687" s="1657"/>
      <c r="FU687" s="1658"/>
      <c r="FV687" s="242"/>
      <c r="FW687" s="343"/>
      <c r="FX687" s="222"/>
      <c r="FY687" s="336"/>
      <c r="FZ687" s="223"/>
      <c r="GA687" s="338"/>
      <c r="GB687" s="204"/>
      <c r="GC687" s="339"/>
      <c r="GD687" s="342"/>
      <c r="GE687" s="199"/>
      <c r="GF687" s="199"/>
      <c r="GG687" s="199"/>
      <c r="GH687" s="199"/>
      <c r="GI687" s="199"/>
      <c r="GJ687" s="199"/>
      <c r="GK687" s="199"/>
      <c r="GO687" s="322"/>
      <c r="GP687" s="1190"/>
      <c r="GQ687" s="1190"/>
      <c r="GS687" s="2879"/>
      <c r="GT687" s="2880"/>
      <c r="GU687" s="2881"/>
    </row>
    <row r="688" spans="1:203" ht="12" customHeight="1">
      <c r="A688" s="1252"/>
      <c r="B688" s="200"/>
      <c r="C688" s="486"/>
      <c r="T688" s="1186"/>
      <c r="U688" s="233"/>
      <c r="W688" s="218"/>
      <c r="X688" s="218"/>
      <c r="Y688" s="216"/>
      <c r="Z688" s="216"/>
      <c r="AA688" s="215"/>
      <c r="AB688" s="216"/>
      <c r="AC688" s="216"/>
      <c r="AD688" s="239"/>
      <c r="AE688" s="216"/>
      <c r="AF688" s="216"/>
      <c r="AG688" s="216"/>
      <c r="AH688" s="216"/>
      <c r="AI688" s="216"/>
      <c r="AJ688" s="216"/>
      <c r="AK688" s="239"/>
      <c r="AL688" s="216"/>
      <c r="AM688" s="216"/>
      <c r="AN688" s="216"/>
      <c r="AO688" s="216"/>
      <c r="AP688" s="216"/>
      <c r="AQ688" s="216"/>
      <c r="AR688" s="216"/>
      <c r="AS688" s="216"/>
      <c r="AT688" s="216"/>
      <c r="AU688" s="216"/>
      <c r="AV688" s="217"/>
      <c r="AW688" s="355"/>
      <c r="AX688" s="217"/>
      <c r="AY688" s="305"/>
      <c r="AZ688" s="249"/>
      <c r="BA688" s="221"/>
      <c r="BB688" s="300"/>
      <c r="BC688" s="217"/>
      <c r="BD688" s="392"/>
      <c r="BE688" s="1244"/>
      <c r="BF688" s="249"/>
      <c r="BG688" s="252"/>
      <c r="BH688" s="1469"/>
      <c r="BI688" s="216"/>
      <c r="BJ688" s="1469"/>
      <c r="BK688" s="1459"/>
      <c r="BL688" s="260"/>
      <c r="BM688" s="214"/>
      <c r="BN688" s="293"/>
      <c r="BO688" s="217"/>
      <c r="BP688" s="355"/>
      <c r="BQ688" s="217"/>
      <c r="BR688" s="1193"/>
      <c r="BS688" s="249"/>
      <c r="BT688" s="216"/>
      <c r="BU688" s="1195"/>
      <c r="BV688" s="249"/>
      <c r="BW688" s="216"/>
      <c r="BX688" s="1195"/>
      <c r="BY688" s="249"/>
      <c r="BZ688" s="216"/>
      <c r="CA688" s="1195"/>
      <c r="CB688" s="249"/>
      <c r="CC688" s="216"/>
      <c r="CD688" s="1195"/>
      <c r="CE688" s="249"/>
      <c r="CF688" s="216"/>
      <c r="CG688" s="1195"/>
      <c r="CH688" s="249"/>
      <c r="CI688" s="216"/>
      <c r="CJ688" s="1195"/>
      <c r="CK688" s="249"/>
      <c r="CL688" s="216"/>
      <c r="CM688" s="1194"/>
      <c r="CN688" s="1524"/>
      <c r="CO688" s="217"/>
      <c r="CP688" s="1193"/>
      <c r="CQ688" s="293"/>
      <c r="CR688" s="217"/>
      <c r="CS688" s="305"/>
      <c r="CT688" s="249"/>
      <c r="CU688" s="216"/>
      <c r="CV688" s="1193"/>
      <c r="CW688" s="249"/>
      <c r="CX688" s="216"/>
      <c r="CY688" s="305"/>
      <c r="CZ688" s="249"/>
      <c r="DA688" s="216"/>
      <c r="DB688" s="307"/>
      <c r="DC688" s="328"/>
      <c r="DD688" s="322"/>
      <c r="DE688" s="305"/>
      <c r="DF688" s="249"/>
      <c r="DG688" s="216"/>
      <c r="DH688" s="305"/>
      <c r="DI688" s="249"/>
      <c r="DJ688" s="216"/>
      <c r="DK688" s="309"/>
      <c r="DL688" s="293"/>
      <c r="DM688" s="326"/>
      <c r="DN688" s="1256"/>
      <c r="DO688" s="214"/>
      <c r="DP688" s="1257"/>
      <c r="DQ688" s="1258"/>
      <c r="DR688" s="305"/>
      <c r="DS688" s="249"/>
      <c r="DT688" s="216"/>
      <c r="DU688" s="305"/>
      <c r="DV688" s="2520"/>
      <c r="DW688" s="2521"/>
      <c r="DX688" s="305"/>
      <c r="DY688" s="249"/>
      <c r="DZ688" s="221"/>
      <c r="EA688" s="388"/>
      <c r="EB688" s="249"/>
      <c r="EC688" s="216"/>
      <c r="ED688" s="1461"/>
      <c r="EE688" s="249"/>
      <c r="EF688" s="216"/>
      <c r="EG688" s="355"/>
      <c r="EH688" s="1425"/>
      <c r="EI688" s="1470"/>
      <c r="EJ688" s="249"/>
      <c r="EK688" s="221"/>
      <c r="EL688" s="313"/>
      <c r="EM688" s="249"/>
      <c r="EN688" s="221"/>
      <c r="EO688" s="313"/>
      <c r="EP688" s="249"/>
      <c r="EQ688" s="216"/>
      <c r="ER688" s="313"/>
      <c r="ES688" s="249"/>
      <c r="ET688" s="216"/>
      <c r="EU688" s="313"/>
      <c r="EV688" s="249"/>
      <c r="EW688" s="216"/>
      <c r="EX688" s="2505"/>
      <c r="EY688" s="249"/>
      <c r="EZ688" s="221"/>
      <c r="FA688" s="313"/>
      <c r="FB688" s="249"/>
      <c r="FC688" s="221"/>
      <c r="FD688" s="313"/>
      <c r="FE688" s="249"/>
      <c r="FF688" s="221"/>
      <c r="FG688" s="313"/>
      <c r="FH688" s="249"/>
      <c r="FI688" s="216"/>
      <c r="FJ688" s="1435"/>
      <c r="FK688" s="216"/>
      <c r="FL688" s="1268"/>
      <c r="FM688" s="1655"/>
      <c r="FN688" s="1268"/>
      <c r="FO688" s="1655"/>
      <c r="FP688" s="1268"/>
      <c r="FQ688" s="1656"/>
      <c r="FR688" s="249"/>
      <c r="FS688" s="216"/>
      <c r="FT688" s="1657"/>
      <c r="FU688" s="1658"/>
      <c r="FV688" s="242"/>
      <c r="FW688" s="343"/>
      <c r="FX688" s="222"/>
      <c r="FY688" s="336"/>
      <c r="FZ688" s="223"/>
      <c r="GA688" s="338"/>
      <c r="GB688" s="204"/>
      <c r="GC688" s="339"/>
      <c r="GD688" s="342"/>
      <c r="GE688" s="199"/>
      <c r="GF688" s="199"/>
      <c r="GG688" s="199"/>
      <c r="GH688" s="199"/>
      <c r="GI688" s="199"/>
      <c r="GJ688" s="199"/>
      <c r="GK688" s="199"/>
      <c r="GO688" s="322"/>
      <c r="GP688" s="1190"/>
      <c r="GQ688" s="1190"/>
      <c r="GS688" s="2879"/>
      <c r="GT688" s="2880"/>
      <c r="GU688" s="2881"/>
    </row>
    <row r="689" spans="1:203" ht="12" customHeight="1">
      <c r="A689" s="1252"/>
      <c r="B689" s="200"/>
      <c r="C689" s="486"/>
      <c r="T689" s="1186"/>
      <c r="U689" s="233"/>
      <c r="W689" s="218"/>
      <c r="X689" s="218"/>
      <c r="Y689" s="216"/>
      <c r="Z689" s="216"/>
      <c r="AA689" s="215"/>
      <c r="AB689" s="216"/>
      <c r="AC689" s="216"/>
      <c r="AD689" s="239"/>
      <c r="AE689" s="216"/>
      <c r="AF689" s="216"/>
      <c r="AG689" s="216"/>
      <c r="AH689" s="216"/>
      <c r="AI689" s="216"/>
      <c r="AJ689" s="216"/>
      <c r="AK689" s="239"/>
      <c r="AL689" s="216"/>
      <c r="AM689" s="216"/>
      <c r="AN689" s="216"/>
      <c r="AO689" s="216"/>
      <c r="AP689" s="216"/>
      <c r="AQ689" s="216"/>
      <c r="AR689" s="216"/>
      <c r="AS689" s="216"/>
      <c r="AT689" s="216"/>
      <c r="AU689" s="216"/>
      <c r="AV689" s="217"/>
      <c r="AW689" s="355"/>
      <c r="AX689" s="217"/>
      <c r="AY689" s="305"/>
      <c r="AZ689" s="249"/>
      <c r="BA689" s="221"/>
      <c r="BB689" s="300"/>
      <c r="BC689" s="217"/>
      <c r="BD689" s="392"/>
      <c r="BE689" s="1244"/>
      <c r="BF689" s="249"/>
      <c r="BG689" s="252"/>
      <c r="BH689" s="1469"/>
      <c r="BI689" s="216"/>
      <c r="BJ689" s="1469"/>
      <c r="BK689" s="1459"/>
      <c r="BL689" s="260"/>
      <c r="BM689" s="214"/>
      <c r="BN689" s="293"/>
      <c r="BO689" s="217"/>
      <c r="BP689" s="355"/>
      <c r="BQ689" s="217"/>
      <c r="BR689" s="1193"/>
      <c r="BS689" s="249"/>
      <c r="BT689" s="216"/>
      <c r="BU689" s="1195"/>
      <c r="BV689" s="249"/>
      <c r="BW689" s="216"/>
      <c r="BX689" s="1195"/>
      <c r="BY689" s="249"/>
      <c r="BZ689" s="216"/>
      <c r="CA689" s="1195"/>
      <c r="CB689" s="249"/>
      <c r="CC689" s="216"/>
      <c r="CD689" s="1195"/>
      <c r="CE689" s="249"/>
      <c r="CF689" s="216"/>
      <c r="CG689" s="1195"/>
      <c r="CH689" s="249"/>
      <c r="CI689" s="216"/>
      <c r="CJ689" s="1195"/>
      <c r="CK689" s="249"/>
      <c r="CL689" s="216"/>
      <c r="CM689" s="1194"/>
      <c r="CN689" s="1524"/>
      <c r="CO689" s="217"/>
      <c r="CP689" s="1193"/>
      <c r="CQ689" s="293"/>
      <c r="CR689" s="217"/>
      <c r="CS689" s="305"/>
      <c r="CT689" s="249"/>
      <c r="CU689" s="216"/>
      <c r="CV689" s="1193"/>
      <c r="CW689" s="249"/>
      <c r="CX689" s="216"/>
      <c r="CY689" s="305"/>
      <c r="CZ689" s="249"/>
      <c r="DA689" s="216"/>
      <c r="DB689" s="307"/>
      <c r="DC689" s="328"/>
      <c r="DD689" s="322"/>
      <c r="DE689" s="305"/>
      <c r="DF689" s="249"/>
      <c r="DG689" s="216"/>
      <c r="DH689" s="305"/>
      <c r="DI689" s="249"/>
      <c r="DJ689" s="216"/>
      <c r="DK689" s="309"/>
      <c r="DL689" s="293"/>
      <c r="DM689" s="326"/>
      <c r="DN689" s="1256"/>
      <c r="DO689" s="214"/>
      <c r="DP689" s="1257"/>
      <c r="DQ689" s="1258"/>
      <c r="DR689" s="305"/>
      <c r="DS689" s="249"/>
      <c r="DT689" s="216"/>
      <c r="DU689" s="305"/>
      <c r="DV689" s="2520"/>
      <c r="DW689" s="2521"/>
      <c r="DX689" s="305"/>
      <c r="DY689" s="249"/>
      <c r="DZ689" s="221"/>
      <c r="EA689" s="388"/>
      <c r="EB689" s="249"/>
      <c r="EC689" s="216"/>
      <c r="ED689" s="1461"/>
      <c r="EE689" s="249"/>
      <c r="EF689" s="216"/>
      <c r="EG689" s="355"/>
      <c r="EH689" s="1425"/>
      <c r="EI689" s="1470"/>
      <c r="EJ689" s="249"/>
      <c r="EK689" s="221"/>
      <c r="EL689" s="313"/>
      <c r="EM689" s="249"/>
      <c r="EN689" s="221"/>
      <c r="EO689" s="313"/>
      <c r="EP689" s="249"/>
      <c r="EQ689" s="216"/>
      <c r="ER689" s="313"/>
      <c r="ES689" s="249"/>
      <c r="ET689" s="216"/>
      <c r="EU689" s="313"/>
      <c r="EV689" s="249"/>
      <c r="EW689" s="216"/>
      <c r="EX689" s="2505"/>
      <c r="EY689" s="249"/>
      <c r="EZ689" s="221"/>
      <c r="FA689" s="313"/>
      <c r="FB689" s="249"/>
      <c r="FC689" s="221"/>
      <c r="FD689" s="313"/>
      <c r="FE689" s="249"/>
      <c r="FF689" s="221"/>
      <c r="FG689" s="313"/>
      <c r="FH689" s="249"/>
      <c r="FI689" s="216"/>
      <c r="FJ689" s="1435"/>
      <c r="FK689" s="216"/>
      <c r="FL689" s="1268"/>
      <c r="FM689" s="1655"/>
      <c r="FN689" s="1268"/>
      <c r="FO689" s="1655"/>
      <c r="FP689" s="1268"/>
      <c r="FQ689" s="1656"/>
      <c r="FR689" s="249"/>
      <c r="FS689" s="216"/>
      <c r="FT689" s="1657"/>
      <c r="FU689" s="1658"/>
      <c r="FV689" s="242"/>
      <c r="FW689" s="343"/>
      <c r="FX689" s="222"/>
      <c r="FY689" s="336"/>
      <c r="FZ689" s="223"/>
      <c r="GA689" s="338"/>
      <c r="GB689" s="204"/>
      <c r="GC689" s="339"/>
      <c r="GD689" s="342"/>
      <c r="GE689" s="199"/>
      <c r="GF689" s="199"/>
      <c r="GG689" s="199"/>
      <c r="GH689" s="199"/>
      <c r="GI689" s="199"/>
      <c r="GJ689" s="199"/>
      <c r="GK689" s="199"/>
      <c r="GO689" s="322"/>
      <c r="GP689" s="1190"/>
      <c r="GQ689" s="1190"/>
      <c r="GS689" s="2879"/>
      <c r="GT689" s="2880"/>
      <c r="GU689" s="2881"/>
    </row>
    <row r="690" spans="1:203" ht="12" customHeight="1">
      <c r="A690" s="1252"/>
      <c r="B690" s="200"/>
      <c r="C690" s="486"/>
      <c r="T690" s="1186"/>
      <c r="U690" s="233"/>
      <c r="W690" s="218"/>
      <c r="X690" s="218"/>
      <c r="Y690" s="216"/>
      <c r="Z690" s="216"/>
      <c r="AA690" s="215"/>
      <c r="AB690" s="216"/>
      <c r="AC690" s="216"/>
      <c r="AD690" s="239"/>
      <c r="AE690" s="216"/>
      <c r="AF690" s="216"/>
      <c r="AG690" s="216"/>
      <c r="AH690" s="216"/>
      <c r="AI690" s="216"/>
      <c r="AJ690" s="216"/>
      <c r="AK690" s="239"/>
      <c r="AL690" s="216"/>
      <c r="AM690" s="216"/>
      <c r="AN690" s="216"/>
      <c r="AO690" s="216"/>
      <c r="AP690" s="216"/>
      <c r="AQ690" s="216"/>
      <c r="AR690" s="216"/>
      <c r="AS690" s="216"/>
      <c r="AT690" s="216"/>
      <c r="AU690" s="216"/>
      <c r="AV690" s="217"/>
      <c r="AW690" s="355"/>
      <c r="AX690" s="217"/>
      <c r="AY690" s="305"/>
      <c r="AZ690" s="249"/>
      <c r="BA690" s="221"/>
      <c r="BB690" s="300"/>
      <c r="BC690" s="217"/>
      <c r="BD690" s="392"/>
      <c r="BE690" s="1244"/>
      <c r="BF690" s="249"/>
      <c r="BG690" s="252"/>
      <c r="BH690" s="1469"/>
      <c r="BI690" s="216"/>
      <c r="BJ690" s="1469"/>
      <c r="BK690" s="1459"/>
      <c r="BL690" s="260"/>
      <c r="BM690" s="214"/>
      <c r="BN690" s="293"/>
      <c r="BO690" s="217"/>
      <c r="BP690" s="355"/>
      <c r="BQ690" s="217"/>
      <c r="BR690" s="1193"/>
      <c r="BS690" s="249"/>
      <c r="BT690" s="216"/>
      <c r="BU690" s="1195"/>
      <c r="BV690" s="249"/>
      <c r="BW690" s="216"/>
      <c r="BX690" s="1195"/>
      <c r="BY690" s="249"/>
      <c r="BZ690" s="216"/>
      <c r="CA690" s="1195"/>
      <c r="CB690" s="249"/>
      <c r="CC690" s="216"/>
      <c r="CD690" s="1195"/>
      <c r="CE690" s="249"/>
      <c r="CF690" s="216"/>
      <c r="CG690" s="1195"/>
      <c r="CH690" s="249"/>
      <c r="CI690" s="216"/>
      <c r="CJ690" s="1195"/>
      <c r="CK690" s="249"/>
      <c r="CL690" s="216"/>
      <c r="CM690" s="1194"/>
      <c r="CN690" s="1524"/>
      <c r="CO690" s="217"/>
      <c r="CP690" s="1193"/>
      <c r="CQ690" s="293"/>
      <c r="CR690" s="217"/>
      <c r="CS690" s="305"/>
      <c r="CT690" s="249"/>
      <c r="CU690" s="216"/>
      <c r="CV690" s="1193"/>
      <c r="CW690" s="249"/>
      <c r="CX690" s="216"/>
      <c r="CY690" s="305"/>
      <c r="CZ690" s="249"/>
      <c r="DA690" s="216"/>
      <c r="DB690" s="307"/>
      <c r="DC690" s="328"/>
      <c r="DD690" s="322"/>
      <c r="DE690" s="305"/>
      <c r="DF690" s="249"/>
      <c r="DG690" s="216"/>
      <c r="DH690" s="305"/>
      <c r="DI690" s="249"/>
      <c r="DJ690" s="216"/>
      <c r="DK690" s="309"/>
      <c r="DL690" s="293"/>
      <c r="DM690" s="326"/>
      <c r="DN690" s="1256"/>
      <c r="DO690" s="214"/>
      <c r="DP690" s="1257"/>
      <c r="DQ690" s="1258"/>
      <c r="DR690" s="305"/>
      <c r="DS690" s="249"/>
      <c r="DT690" s="216"/>
      <c r="DU690" s="305"/>
      <c r="DV690" s="2520"/>
      <c r="DW690" s="2521"/>
      <c r="DX690" s="305"/>
      <c r="DY690" s="249"/>
      <c r="DZ690" s="221"/>
      <c r="EA690" s="388"/>
      <c r="EB690" s="249"/>
      <c r="EC690" s="216"/>
      <c r="ED690" s="1461"/>
      <c r="EE690" s="249"/>
      <c r="EF690" s="216"/>
      <c r="EG690" s="355"/>
      <c r="EH690" s="1425"/>
      <c r="EI690" s="1470"/>
      <c r="EJ690" s="249"/>
      <c r="EK690" s="221"/>
      <c r="EL690" s="313"/>
      <c r="EM690" s="249"/>
      <c r="EN690" s="221"/>
      <c r="EO690" s="313"/>
      <c r="EP690" s="249"/>
      <c r="EQ690" s="216"/>
      <c r="ER690" s="313"/>
      <c r="ES690" s="249"/>
      <c r="ET690" s="216"/>
      <c r="EU690" s="313"/>
      <c r="EV690" s="249"/>
      <c r="EW690" s="216"/>
      <c r="EX690" s="2505"/>
      <c r="EY690" s="249"/>
      <c r="EZ690" s="221"/>
      <c r="FA690" s="313"/>
      <c r="FB690" s="249"/>
      <c r="FC690" s="221"/>
      <c r="FD690" s="313"/>
      <c r="FE690" s="249"/>
      <c r="FF690" s="221"/>
      <c r="FG690" s="313"/>
      <c r="FH690" s="249"/>
      <c r="FI690" s="216"/>
      <c r="FJ690" s="1435"/>
      <c r="FK690" s="216"/>
      <c r="FL690" s="1268"/>
      <c r="FM690" s="1655"/>
      <c r="FN690" s="1268"/>
      <c r="FO690" s="1655"/>
      <c r="FP690" s="1268"/>
      <c r="FQ690" s="1656"/>
      <c r="FR690" s="249"/>
      <c r="FS690" s="216"/>
      <c r="FT690" s="1657"/>
      <c r="FU690" s="1658"/>
      <c r="FV690" s="242"/>
      <c r="FW690" s="343"/>
      <c r="FX690" s="222"/>
      <c r="FY690" s="336"/>
      <c r="FZ690" s="223"/>
      <c r="GA690" s="338"/>
      <c r="GB690" s="204"/>
      <c r="GC690" s="339"/>
      <c r="GD690" s="342"/>
      <c r="GE690" s="199"/>
      <c r="GF690" s="199"/>
      <c r="GG690" s="199"/>
      <c r="GH690" s="199"/>
      <c r="GI690" s="199"/>
      <c r="GJ690" s="199"/>
      <c r="GK690" s="199"/>
      <c r="GO690" s="322"/>
      <c r="GP690" s="1190"/>
      <c r="GQ690" s="1190"/>
      <c r="GS690" s="2879"/>
      <c r="GT690" s="2880"/>
      <c r="GU690" s="2881"/>
    </row>
    <row r="691" spans="1:203" ht="12" customHeight="1">
      <c r="A691" s="1252"/>
      <c r="B691" s="200"/>
      <c r="C691" s="486"/>
      <c r="T691" s="1186"/>
      <c r="U691" s="233"/>
      <c r="W691" s="218"/>
      <c r="X691" s="218"/>
      <c r="Y691" s="216"/>
      <c r="Z691" s="216"/>
      <c r="AA691" s="215"/>
      <c r="AB691" s="216"/>
      <c r="AC691" s="216"/>
      <c r="AD691" s="239"/>
      <c r="AE691" s="216"/>
      <c r="AF691" s="216"/>
      <c r="AG691" s="216"/>
      <c r="AH691" s="216"/>
      <c r="AI691" s="216"/>
      <c r="AJ691" s="216"/>
      <c r="AK691" s="239"/>
      <c r="AL691" s="216"/>
      <c r="AM691" s="216"/>
      <c r="AN691" s="216"/>
      <c r="AO691" s="216"/>
      <c r="AP691" s="216"/>
      <c r="AQ691" s="216"/>
      <c r="AR691" s="216"/>
      <c r="AS691" s="216"/>
      <c r="AT691" s="216"/>
      <c r="AU691" s="216"/>
      <c r="AV691" s="217"/>
      <c r="AW691" s="355"/>
      <c r="AX691" s="217"/>
      <c r="AY691" s="305"/>
      <c r="AZ691" s="249"/>
      <c r="BA691" s="221"/>
      <c r="BB691" s="300"/>
      <c r="BC691" s="217"/>
      <c r="BD691" s="392"/>
      <c r="BE691" s="1244"/>
      <c r="BF691" s="249"/>
      <c r="BG691" s="252"/>
      <c r="BH691" s="1469"/>
      <c r="BI691" s="216"/>
      <c r="BJ691" s="1469"/>
      <c r="BK691" s="1459"/>
      <c r="BL691" s="260"/>
      <c r="BM691" s="214"/>
      <c r="BN691" s="293"/>
      <c r="BO691" s="217"/>
      <c r="BP691" s="355"/>
      <c r="BQ691" s="217"/>
      <c r="BR691" s="1193"/>
      <c r="BS691" s="249"/>
      <c r="BT691" s="216"/>
      <c r="BU691" s="1195"/>
      <c r="BV691" s="249"/>
      <c r="BW691" s="216"/>
      <c r="BX691" s="1195"/>
      <c r="BY691" s="249"/>
      <c r="BZ691" s="216"/>
      <c r="CA691" s="1195"/>
      <c r="CB691" s="249"/>
      <c r="CC691" s="216"/>
      <c r="CD691" s="1195"/>
      <c r="CE691" s="249"/>
      <c r="CF691" s="216"/>
      <c r="CG691" s="1195"/>
      <c r="CH691" s="249"/>
      <c r="CI691" s="216"/>
      <c r="CJ691" s="1195"/>
      <c r="CK691" s="249"/>
      <c r="CL691" s="216"/>
      <c r="CM691" s="1194"/>
      <c r="CN691" s="1524"/>
      <c r="CO691" s="217"/>
      <c r="CP691" s="1193"/>
      <c r="CQ691" s="293"/>
      <c r="CR691" s="217"/>
      <c r="CS691" s="305"/>
      <c r="CT691" s="249"/>
      <c r="CU691" s="216"/>
      <c r="CV691" s="1193"/>
      <c r="CW691" s="249"/>
      <c r="CX691" s="216"/>
      <c r="CY691" s="305"/>
      <c r="CZ691" s="249"/>
      <c r="DA691" s="216"/>
      <c r="DB691" s="307"/>
      <c r="DC691" s="328"/>
      <c r="DD691" s="322"/>
      <c r="DE691" s="305"/>
      <c r="DF691" s="249"/>
      <c r="DG691" s="216"/>
      <c r="DH691" s="305"/>
      <c r="DI691" s="249"/>
      <c r="DJ691" s="216"/>
      <c r="DK691" s="309"/>
      <c r="DL691" s="293"/>
      <c r="DM691" s="326"/>
      <c r="DN691" s="1256"/>
      <c r="DO691" s="214"/>
      <c r="DP691" s="1257"/>
      <c r="DQ691" s="1258"/>
      <c r="DR691" s="305"/>
      <c r="DS691" s="249"/>
      <c r="DT691" s="216"/>
      <c r="DU691" s="305"/>
      <c r="DV691" s="2520"/>
      <c r="DW691" s="2521"/>
      <c r="DX691" s="305"/>
      <c r="DY691" s="249"/>
      <c r="DZ691" s="221"/>
      <c r="EA691" s="388"/>
      <c r="EB691" s="249"/>
      <c r="EC691" s="216"/>
      <c r="ED691" s="1461"/>
      <c r="EE691" s="249"/>
      <c r="EF691" s="216"/>
      <c r="EG691" s="355"/>
      <c r="EH691" s="1425"/>
      <c r="EI691" s="1470"/>
      <c r="EJ691" s="249"/>
      <c r="EK691" s="221"/>
      <c r="EL691" s="313"/>
      <c r="EM691" s="249"/>
      <c r="EN691" s="221"/>
      <c r="EO691" s="313"/>
      <c r="EP691" s="249"/>
      <c r="EQ691" s="216"/>
      <c r="ER691" s="313"/>
      <c r="ES691" s="249"/>
      <c r="ET691" s="216"/>
      <c r="EU691" s="313"/>
      <c r="EV691" s="249"/>
      <c r="EW691" s="216"/>
      <c r="EX691" s="2505"/>
      <c r="EY691" s="249"/>
      <c r="EZ691" s="221"/>
      <c r="FA691" s="313"/>
      <c r="FB691" s="249"/>
      <c r="FC691" s="221"/>
      <c r="FD691" s="313"/>
      <c r="FE691" s="249"/>
      <c r="FF691" s="221"/>
      <c r="FG691" s="313"/>
      <c r="FH691" s="249"/>
      <c r="FI691" s="216"/>
      <c r="FJ691" s="1435"/>
      <c r="FK691" s="216"/>
      <c r="FL691" s="1268"/>
      <c r="FM691" s="1655"/>
      <c r="FN691" s="1268"/>
      <c r="FO691" s="1655"/>
      <c r="FP691" s="1268"/>
      <c r="FQ691" s="1656"/>
      <c r="FR691" s="249"/>
      <c r="FS691" s="216"/>
      <c r="FT691" s="1657"/>
      <c r="FU691" s="1658"/>
      <c r="FV691" s="242"/>
      <c r="FW691" s="343"/>
      <c r="FX691" s="222"/>
      <c r="FY691" s="336"/>
      <c r="FZ691" s="223"/>
      <c r="GA691" s="338"/>
      <c r="GB691" s="204"/>
      <c r="GC691" s="339"/>
      <c r="GD691" s="342"/>
      <c r="GE691" s="199"/>
      <c r="GF691" s="199"/>
      <c r="GG691" s="199"/>
      <c r="GH691" s="199"/>
      <c r="GI691" s="199"/>
      <c r="GJ691" s="199"/>
      <c r="GK691" s="199"/>
      <c r="GO691" s="322"/>
      <c r="GP691" s="1190"/>
      <c r="GQ691" s="1190"/>
      <c r="GS691" s="2879"/>
      <c r="GT691" s="2880"/>
      <c r="GU691" s="2881"/>
    </row>
    <row r="692" spans="1:203" ht="12" customHeight="1">
      <c r="A692" s="1252"/>
      <c r="B692" s="200"/>
      <c r="C692" s="486"/>
      <c r="T692" s="1186"/>
      <c r="U692" s="233"/>
      <c r="W692" s="218"/>
      <c r="X692" s="218"/>
      <c r="Y692" s="216"/>
      <c r="Z692" s="216"/>
      <c r="AA692" s="215"/>
      <c r="AB692" s="216"/>
      <c r="AC692" s="216"/>
      <c r="AD692" s="239"/>
      <c r="AE692" s="216"/>
      <c r="AF692" s="216"/>
      <c r="AG692" s="216"/>
      <c r="AH692" s="216"/>
      <c r="AI692" s="216"/>
      <c r="AJ692" s="216"/>
      <c r="AK692" s="239"/>
      <c r="AL692" s="216"/>
      <c r="AM692" s="216"/>
      <c r="AN692" s="216"/>
      <c r="AO692" s="216"/>
      <c r="AP692" s="216"/>
      <c r="AQ692" s="216"/>
      <c r="AR692" s="216"/>
      <c r="AS692" s="216"/>
      <c r="AT692" s="216"/>
      <c r="AU692" s="216"/>
      <c r="AV692" s="217"/>
      <c r="AW692" s="355"/>
      <c r="AX692" s="217"/>
      <c r="AY692" s="305"/>
      <c r="AZ692" s="249"/>
      <c r="BA692" s="221"/>
      <c r="BB692" s="300"/>
      <c r="BC692" s="217"/>
      <c r="BD692" s="392"/>
      <c r="BE692" s="1244"/>
      <c r="BF692" s="249"/>
      <c r="BG692" s="252"/>
      <c r="BH692" s="1469"/>
      <c r="BI692" s="216"/>
      <c r="BJ692" s="1469"/>
      <c r="BK692" s="1459"/>
      <c r="BL692" s="260"/>
      <c r="BM692" s="214"/>
      <c r="BN692" s="293"/>
      <c r="BO692" s="217"/>
      <c r="BP692" s="355"/>
      <c r="BQ692" s="217"/>
      <c r="BR692" s="1193"/>
      <c r="BS692" s="249"/>
      <c r="BT692" s="216"/>
      <c r="BU692" s="1195"/>
      <c r="BV692" s="249"/>
      <c r="BW692" s="216"/>
      <c r="BX692" s="1195"/>
      <c r="BY692" s="249"/>
      <c r="BZ692" s="216"/>
      <c r="CA692" s="1195"/>
      <c r="CB692" s="249"/>
      <c r="CC692" s="216"/>
      <c r="CD692" s="1195"/>
      <c r="CE692" s="249"/>
      <c r="CF692" s="216"/>
      <c r="CG692" s="1195"/>
      <c r="CH692" s="249"/>
      <c r="CI692" s="216"/>
      <c r="CJ692" s="1195"/>
      <c r="CK692" s="249"/>
      <c r="CL692" s="216"/>
      <c r="CM692" s="1194"/>
      <c r="CN692" s="1524"/>
      <c r="CO692" s="217"/>
      <c r="CP692" s="1193"/>
      <c r="CQ692" s="293"/>
      <c r="CR692" s="217"/>
      <c r="CS692" s="305"/>
      <c r="CT692" s="249"/>
      <c r="CU692" s="216"/>
      <c r="CV692" s="1193"/>
      <c r="CW692" s="249"/>
      <c r="CX692" s="216"/>
      <c r="CY692" s="305"/>
      <c r="CZ692" s="249"/>
      <c r="DA692" s="216"/>
      <c r="DB692" s="307"/>
      <c r="DC692" s="328"/>
      <c r="DD692" s="322"/>
      <c r="DE692" s="305"/>
      <c r="DF692" s="249"/>
      <c r="DG692" s="216"/>
      <c r="DH692" s="305"/>
      <c r="DI692" s="249"/>
      <c r="DJ692" s="216"/>
      <c r="DK692" s="309"/>
      <c r="DL692" s="293"/>
      <c r="DM692" s="326"/>
      <c r="DN692" s="1256"/>
      <c r="DO692" s="214"/>
      <c r="DP692" s="1257"/>
      <c r="DQ692" s="1258"/>
      <c r="DR692" s="305"/>
      <c r="DS692" s="249"/>
      <c r="DT692" s="216"/>
      <c r="DU692" s="305"/>
      <c r="DV692" s="2520"/>
      <c r="DW692" s="2521"/>
      <c r="DX692" s="305"/>
      <c r="DY692" s="249"/>
      <c r="DZ692" s="221"/>
      <c r="EA692" s="388"/>
      <c r="EB692" s="249"/>
      <c r="EC692" s="216"/>
      <c r="ED692" s="1461"/>
      <c r="EE692" s="249"/>
      <c r="EF692" s="216"/>
      <c r="EG692" s="355"/>
      <c r="EH692" s="1425"/>
      <c r="EI692" s="1470"/>
      <c r="EJ692" s="249"/>
      <c r="EK692" s="221"/>
      <c r="EL692" s="313"/>
      <c r="EM692" s="249"/>
      <c r="EN692" s="221"/>
      <c r="EO692" s="313"/>
      <c r="EP692" s="249"/>
      <c r="EQ692" s="216"/>
      <c r="ER692" s="313"/>
      <c r="ES692" s="249"/>
      <c r="ET692" s="216"/>
      <c r="EU692" s="313"/>
      <c r="EV692" s="249"/>
      <c r="EW692" s="216"/>
      <c r="EX692" s="2505"/>
      <c r="EY692" s="249"/>
      <c r="EZ692" s="221"/>
      <c r="FA692" s="313"/>
      <c r="FB692" s="249"/>
      <c r="FC692" s="221"/>
      <c r="FD692" s="313"/>
      <c r="FE692" s="249"/>
      <c r="FF692" s="221"/>
      <c r="FG692" s="313"/>
      <c r="FH692" s="249"/>
      <c r="FI692" s="216"/>
      <c r="FJ692" s="1435"/>
      <c r="FK692" s="216"/>
      <c r="FL692" s="1268"/>
      <c r="FM692" s="1655"/>
      <c r="FN692" s="1268"/>
      <c r="FO692" s="1655"/>
      <c r="FP692" s="1268"/>
      <c r="FQ692" s="1656"/>
      <c r="FR692" s="249"/>
      <c r="FS692" s="216"/>
      <c r="FT692" s="1657"/>
      <c r="FU692" s="1658"/>
      <c r="FV692" s="242"/>
      <c r="FW692" s="343"/>
      <c r="FX692" s="222"/>
      <c r="FY692" s="336"/>
      <c r="FZ692" s="223"/>
      <c r="GA692" s="338"/>
      <c r="GB692" s="204"/>
      <c r="GC692" s="339"/>
      <c r="GD692" s="342"/>
      <c r="GE692" s="199"/>
      <c r="GF692" s="199"/>
      <c r="GG692" s="199"/>
      <c r="GH692" s="199"/>
      <c r="GI692" s="199"/>
      <c r="GJ692" s="199"/>
      <c r="GK692" s="199"/>
      <c r="GO692" s="322"/>
      <c r="GP692" s="1190"/>
      <c r="GQ692" s="1190"/>
      <c r="GS692" s="2879"/>
      <c r="GT692" s="2880"/>
      <c r="GU692" s="2881"/>
    </row>
    <row r="693" spans="1:203" ht="12" customHeight="1">
      <c r="A693" s="1252"/>
      <c r="B693" s="200"/>
      <c r="C693" s="486"/>
      <c r="T693" s="1186"/>
      <c r="U693" s="233"/>
      <c r="W693" s="218"/>
      <c r="X693" s="218"/>
      <c r="Y693" s="216"/>
      <c r="Z693" s="216"/>
      <c r="AA693" s="215"/>
      <c r="AB693" s="216"/>
      <c r="AC693" s="216"/>
      <c r="AD693" s="239"/>
      <c r="AE693" s="216"/>
      <c r="AF693" s="216"/>
      <c r="AG693" s="216"/>
      <c r="AH693" s="216"/>
      <c r="AI693" s="216"/>
      <c r="AJ693" s="216"/>
      <c r="AK693" s="239"/>
      <c r="AL693" s="216"/>
      <c r="AM693" s="216"/>
      <c r="AN693" s="216"/>
      <c r="AO693" s="216"/>
      <c r="AP693" s="216"/>
      <c r="AQ693" s="216"/>
      <c r="AR693" s="216"/>
      <c r="AS693" s="216"/>
      <c r="AT693" s="216"/>
      <c r="AU693" s="216"/>
      <c r="AV693" s="217"/>
      <c r="AW693" s="355"/>
      <c r="AX693" s="217"/>
      <c r="AY693" s="305"/>
      <c r="AZ693" s="249"/>
      <c r="BA693" s="221"/>
      <c r="BB693" s="300"/>
      <c r="BC693" s="217"/>
      <c r="BD693" s="392"/>
      <c r="BE693" s="1244"/>
      <c r="BF693" s="249"/>
      <c r="BG693" s="252"/>
      <c r="BH693" s="1469"/>
      <c r="BI693" s="216"/>
      <c r="BJ693" s="1469"/>
      <c r="BK693" s="1459"/>
      <c r="BL693" s="260"/>
      <c r="BM693" s="214"/>
      <c r="BN693" s="293"/>
      <c r="BO693" s="217"/>
      <c r="BP693" s="355"/>
      <c r="BQ693" s="217"/>
      <c r="BR693" s="1193"/>
      <c r="BS693" s="249"/>
      <c r="BT693" s="216"/>
      <c r="BU693" s="1195"/>
      <c r="BV693" s="249"/>
      <c r="BW693" s="216"/>
      <c r="BX693" s="1195"/>
      <c r="BY693" s="249"/>
      <c r="BZ693" s="216"/>
      <c r="CA693" s="1195"/>
      <c r="CB693" s="249"/>
      <c r="CC693" s="216"/>
      <c r="CD693" s="1195"/>
      <c r="CE693" s="249"/>
      <c r="CF693" s="216"/>
      <c r="CG693" s="1195"/>
      <c r="CH693" s="249"/>
      <c r="CI693" s="216"/>
      <c r="CJ693" s="1195"/>
      <c r="CK693" s="249"/>
      <c r="CL693" s="216"/>
      <c r="CM693" s="1194"/>
      <c r="CN693" s="1524"/>
      <c r="CO693" s="217"/>
      <c r="CP693" s="1193"/>
      <c r="CQ693" s="293"/>
      <c r="CR693" s="217"/>
      <c r="CS693" s="305"/>
      <c r="CT693" s="249"/>
      <c r="CU693" s="216"/>
      <c r="CV693" s="1193"/>
      <c r="CW693" s="249"/>
      <c r="CX693" s="216"/>
      <c r="CY693" s="305"/>
      <c r="CZ693" s="249"/>
      <c r="DA693" s="216"/>
      <c r="DB693" s="307"/>
      <c r="DC693" s="328"/>
      <c r="DD693" s="322"/>
      <c r="DE693" s="305"/>
      <c r="DF693" s="249"/>
      <c r="DG693" s="216"/>
      <c r="DH693" s="305"/>
      <c r="DI693" s="249"/>
      <c r="DJ693" s="216"/>
      <c r="DK693" s="309"/>
      <c r="DL693" s="293"/>
      <c r="DM693" s="326"/>
      <c r="DN693" s="1256"/>
      <c r="DO693" s="214"/>
      <c r="DP693" s="1257"/>
      <c r="DQ693" s="1258"/>
      <c r="DR693" s="305"/>
      <c r="DS693" s="249"/>
      <c r="DT693" s="216"/>
      <c r="DU693" s="305"/>
      <c r="DV693" s="2520"/>
      <c r="DW693" s="2521"/>
      <c r="DX693" s="305"/>
      <c r="DY693" s="249"/>
      <c r="DZ693" s="221"/>
      <c r="EA693" s="388"/>
      <c r="EB693" s="249"/>
      <c r="EC693" s="216"/>
      <c r="ED693" s="1461"/>
      <c r="EE693" s="249"/>
      <c r="EF693" s="216"/>
      <c r="EG693" s="355"/>
      <c r="EH693" s="1425"/>
      <c r="EI693" s="1470"/>
      <c r="EJ693" s="249"/>
      <c r="EK693" s="221"/>
      <c r="EL693" s="313"/>
      <c r="EM693" s="249"/>
      <c r="EN693" s="221"/>
      <c r="EO693" s="313"/>
      <c r="EP693" s="249"/>
      <c r="EQ693" s="216"/>
      <c r="ER693" s="313"/>
      <c r="ES693" s="249"/>
      <c r="ET693" s="216"/>
      <c r="EU693" s="313"/>
      <c r="EV693" s="249"/>
      <c r="EW693" s="216"/>
      <c r="EX693" s="2505"/>
      <c r="EY693" s="249"/>
      <c r="EZ693" s="221"/>
      <c r="FA693" s="313"/>
      <c r="FB693" s="249"/>
      <c r="FC693" s="221"/>
      <c r="FD693" s="313"/>
      <c r="FE693" s="249"/>
      <c r="FF693" s="221"/>
      <c r="FG693" s="313"/>
      <c r="FH693" s="249"/>
      <c r="FI693" s="216"/>
      <c r="FJ693" s="1435"/>
      <c r="FK693" s="216"/>
      <c r="FL693" s="1268"/>
      <c r="FM693" s="1655"/>
      <c r="FN693" s="1268"/>
      <c r="FO693" s="1655"/>
      <c r="FP693" s="1268"/>
      <c r="FQ693" s="1656"/>
      <c r="FR693" s="249"/>
      <c r="FS693" s="216"/>
      <c r="FT693" s="1657"/>
      <c r="FU693" s="1658"/>
      <c r="FV693" s="242"/>
      <c r="FW693" s="343"/>
      <c r="FX693" s="222"/>
      <c r="FY693" s="336"/>
      <c r="FZ693" s="223"/>
      <c r="GA693" s="338"/>
      <c r="GB693" s="204"/>
      <c r="GC693" s="339"/>
      <c r="GD693" s="342"/>
      <c r="GE693" s="199"/>
      <c r="GF693" s="199"/>
      <c r="GG693" s="199"/>
      <c r="GH693" s="199"/>
      <c r="GI693" s="199"/>
      <c r="GJ693" s="199"/>
      <c r="GK693" s="199"/>
      <c r="GO693" s="322"/>
      <c r="GP693" s="1190"/>
      <c r="GQ693" s="1190"/>
      <c r="GS693" s="2879"/>
      <c r="GT693" s="2880"/>
      <c r="GU693" s="2881"/>
    </row>
    <row r="694" spans="1:203" ht="12" customHeight="1">
      <c r="A694" s="1252"/>
      <c r="B694" s="200"/>
      <c r="C694" s="486"/>
      <c r="T694" s="1186"/>
      <c r="U694" s="233"/>
      <c r="W694" s="218"/>
      <c r="X694" s="218"/>
      <c r="Y694" s="216"/>
      <c r="Z694" s="216"/>
      <c r="AA694" s="215"/>
      <c r="AB694" s="216"/>
      <c r="AC694" s="216"/>
      <c r="AD694" s="239"/>
      <c r="AE694" s="216"/>
      <c r="AF694" s="216"/>
      <c r="AG694" s="216"/>
      <c r="AH694" s="216"/>
      <c r="AI694" s="216"/>
      <c r="AJ694" s="216"/>
      <c r="AK694" s="239"/>
      <c r="AL694" s="216"/>
      <c r="AM694" s="216"/>
      <c r="AN694" s="216"/>
      <c r="AO694" s="216"/>
      <c r="AP694" s="216"/>
      <c r="AQ694" s="216"/>
      <c r="AR694" s="216"/>
      <c r="AS694" s="216"/>
      <c r="AT694" s="216"/>
      <c r="AU694" s="216"/>
      <c r="AV694" s="217"/>
      <c r="AW694" s="355"/>
      <c r="AX694" s="217"/>
      <c r="AY694" s="305"/>
      <c r="AZ694" s="249"/>
      <c r="BA694" s="221"/>
      <c r="BB694" s="300"/>
      <c r="BC694" s="217"/>
      <c r="BD694" s="392"/>
      <c r="BE694" s="1244"/>
      <c r="BF694" s="249"/>
      <c r="BG694" s="252"/>
      <c r="BH694" s="1469"/>
      <c r="BI694" s="216"/>
      <c r="BJ694" s="1469"/>
      <c r="BK694" s="1459"/>
      <c r="BL694" s="260"/>
      <c r="BM694" s="214"/>
      <c r="BN694" s="293"/>
      <c r="BO694" s="217"/>
      <c r="BP694" s="355"/>
      <c r="BQ694" s="217"/>
      <c r="BR694" s="1193"/>
      <c r="BS694" s="249"/>
      <c r="BT694" s="216"/>
      <c r="BU694" s="1195"/>
      <c r="BV694" s="249"/>
      <c r="BW694" s="216"/>
      <c r="BX694" s="1195"/>
      <c r="BY694" s="249"/>
      <c r="BZ694" s="216"/>
      <c r="CA694" s="1195"/>
      <c r="CB694" s="249"/>
      <c r="CC694" s="216"/>
      <c r="CD694" s="1195"/>
      <c r="CE694" s="249"/>
      <c r="CF694" s="216"/>
      <c r="CG694" s="1195"/>
      <c r="CH694" s="249"/>
      <c r="CI694" s="216"/>
      <c r="CJ694" s="1195"/>
      <c r="CK694" s="249"/>
      <c r="CL694" s="216"/>
      <c r="CM694" s="1194"/>
      <c r="CN694" s="1524"/>
      <c r="CO694" s="217"/>
      <c r="CP694" s="1193"/>
      <c r="CQ694" s="293"/>
      <c r="CR694" s="217"/>
      <c r="CS694" s="305"/>
      <c r="CT694" s="249"/>
      <c r="CU694" s="216"/>
      <c r="CV694" s="1193"/>
      <c r="CW694" s="249"/>
      <c r="CX694" s="216"/>
      <c r="CY694" s="305"/>
      <c r="CZ694" s="249"/>
      <c r="DA694" s="216"/>
      <c r="DB694" s="307"/>
      <c r="DC694" s="328"/>
      <c r="DD694" s="322"/>
      <c r="DE694" s="305"/>
      <c r="DF694" s="249"/>
      <c r="DG694" s="216"/>
      <c r="DH694" s="305"/>
      <c r="DI694" s="249"/>
      <c r="DJ694" s="216"/>
      <c r="DK694" s="309"/>
      <c r="DL694" s="293"/>
      <c r="DM694" s="326"/>
      <c r="DN694" s="1256"/>
      <c r="DO694" s="214"/>
      <c r="DP694" s="1257"/>
      <c r="DQ694" s="1258"/>
      <c r="DR694" s="305"/>
      <c r="DS694" s="249"/>
      <c r="DT694" s="216"/>
      <c r="DU694" s="305"/>
      <c r="DV694" s="2520"/>
      <c r="DW694" s="2521"/>
      <c r="DX694" s="305"/>
      <c r="DY694" s="249"/>
      <c r="DZ694" s="221"/>
      <c r="EA694" s="388"/>
      <c r="EB694" s="249"/>
      <c r="EC694" s="216"/>
      <c r="ED694" s="1461"/>
      <c r="EE694" s="249"/>
      <c r="EF694" s="216"/>
      <c r="EG694" s="355"/>
      <c r="EH694" s="1425"/>
      <c r="EI694" s="1470"/>
      <c r="EJ694" s="249"/>
      <c r="EK694" s="221"/>
      <c r="EL694" s="313"/>
      <c r="EM694" s="249"/>
      <c r="EN694" s="221"/>
      <c r="EO694" s="313"/>
      <c r="EP694" s="249"/>
      <c r="EQ694" s="216"/>
      <c r="ER694" s="313"/>
      <c r="ES694" s="249"/>
      <c r="ET694" s="216"/>
      <c r="EU694" s="313"/>
      <c r="EV694" s="249"/>
      <c r="EW694" s="216"/>
      <c r="EX694" s="2505"/>
      <c r="EY694" s="249"/>
      <c r="EZ694" s="221"/>
      <c r="FA694" s="313"/>
      <c r="FB694" s="249"/>
      <c r="FC694" s="221"/>
      <c r="FD694" s="313"/>
      <c r="FE694" s="249"/>
      <c r="FF694" s="221"/>
      <c r="FG694" s="313"/>
      <c r="FH694" s="249"/>
      <c r="FI694" s="216"/>
      <c r="FJ694" s="1435"/>
      <c r="FK694" s="216"/>
      <c r="FL694" s="1268"/>
      <c r="FM694" s="1655"/>
      <c r="FN694" s="1268"/>
      <c r="FO694" s="1655"/>
      <c r="FP694" s="1268"/>
      <c r="FQ694" s="1656"/>
      <c r="FR694" s="249"/>
      <c r="FS694" s="216"/>
      <c r="FT694" s="1657"/>
      <c r="FU694" s="1658"/>
      <c r="FV694" s="242"/>
      <c r="FW694" s="343"/>
      <c r="FX694" s="222"/>
      <c r="FY694" s="336"/>
      <c r="FZ694" s="223"/>
      <c r="GA694" s="338"/>
      <c r="GB694" s="204"/>
      <c r="GC694" s="339"/>
      <c r="GD694" s="342"/>
      <c r="GE694" s="199"/>
      <c r="GF694" s="199"/>
      <c r="GG694" s="199"/>
      <c r="GH694" s="199"/>
      <c r="GI694" s="199"/>
      <c r="GJ694" s="199"/>
      <c r="GK694" s="199"/>
      <c r="GO694" s="322"/>
      <c r="GP694" s="1190"/>
      <c r="GQ694" s="1190"/>
      <c r="GS694" s="2879"/>
      <c r="GT694" s="2880"/>
      <c r="GU694" s="2881"/>
    </row>
    <row r="695" spans="1:203" ht="12" customHeight="1">
      <c r="A695" s="1252"/>
      <c r="B695" s="200"/>
      <c r="C695" s="486"/>
      <c r="T695" s="1186"/>
      <c r="U695" s="233"/>
      <c r="W695" s="218"/>
      <c r="X695" s="218"/>
      <c r="Y695" s="216"/>
      <c r="Z695" s="216"/>
      <c r="AA695" s="215"/>
      <c r="AB695" s="216"/>
      <c r="AC695" s="216"/>
      <c r="AD695" s="239"/>
      <c r="AE695" s="216"/>
      <c r="AF695" s="216"/>
      <c r="AG695" s="216"/>
      <c r="AH695" s="216"/>
      <c r="AI695" s="216"/>
      <c r="AJ695" s="216"/>
      <c r="AK695" s="239"/>
      <c r="AL695" s="216"/>
      <c r="AM695" s="216"/>
      <c r="AN695" s="216"/>
      <c r="AO695" s="216"/>
      <c r="AP695" s="216"/>
      <c r="AQ695" s="216"/>
      <c r="AR695" s="216"/>
      <c r="AS695" s="216"/>
      <c r="AT695" s="216"/>
      <c r="AU695" s="216"/>
      <c r="AV695" s="217"/>
      <c r="AW695" s="355"/>
      <c r="AX695" s="217"/>
      <c r="AY695" s="305"/>
      <c r="AZ695" s="249"/>
      <c r="BA695" s="221"/>
      <c r="BB695" s="300"/>
      <c r="BC695" s="217"/>
      <c r="BD695" s="392"/>
      <c r="BE695" s="1244"/>
      <c r="BF695" s="249"/>
      <c r="BG695" s="252"/>
      <c r="BH695" s="1469"/>
      <c r="BI695" s="216"/>
      <c r="BJ695" s="1469"/>
      <c r="BK695" s="1459"/>
      <c r="BL695" s="260"/>
      <c r="BM695" s="214"/>
      <c r="BN695" s="293"/>
      <c r="BO695" s="217"/>
      <c r="BP695" s="355"/>
      <c r="BQ695" s="217"/>
      <c r="BR695" s="1193"/>
      <c r="BS695" s="249"/>
      <c r="BT695" s="216"/>
      <c r="BU695" s="1195"/>
      <c r="BV695" s="249"/>
      <c r="BW695" s="216"/>
      <c r="BX695" s="1195"/>
      <c r="BY695" s="249"/>
      <c r="BZ695" s="216"/>
      <c r="CA695" s="1195"/>
      <c r="CB695" s="249"/>
      <c r="CC695" s="216"/>
      <c r="CD695" s="1195"/>
      <c r="CE695" s="249"/>
      <c r="CF695" s="216"/>
      <c r="CG695" s="1195"/>
      <c r="CH695" s="249"/>
      <c r="CI695" s="216"/>
      <c r="CJ695" s="1195"/>
      <c r="CK695" s="249"/>
      <c r="CL695" s="216"/>
      <c r="CM695" s="1194"/>
      <c r="CN695" s="1524"/>
      <c r="CO695" s="217"/>
      <c r="CP695" s="1193"/>
      <c r="CQ695" s="293"/>
      <c r="CR695" s="217"/>
      <c r="CS695" s="305"/>
      <c r="CT695" s="249"/>
      <c r="CU695" s="216"/>
      <c r="CV695" s="1193"/>
      <c r="CW695" s="249"/>
      <c r="CX695" s="216"/>
      <c r="CY695" s="305"/>
      <c r="CZ695" s="249"/>
      <c r="DA695" s="216"/>
      <c r="DB695" s="307"/>
      <c r="DC695" s="328"/>
      <c r="DD695" s="322"/>
      <c r="DE695" s="305"/>
      <c r="DF695" s="249"/>
      <c r="DG695" s="216"/>
      <c r="DH695" s="305"/>
      <c r="DI695" s="249"/>
      <c r="DJ695" s="216"/>
      <c r="DK695" s="309"/>
      <c r="DL695" s="293"/>
      <c r="DM695" s="326"/>
      <c r="DN695" s="1256"/>
      <c r="DO695" s="214"/>
      <c r="DP695" s="1257"/>
      <c r="DQ695" s="1258"/>
      <c r="DR695" s="305"/>
      <c r="DS695" s="249"/>
      <c r="DT695" s="216"/>
      <c r="DU695" s="305"/>
      <c r="DV695" s="2520"/>
      <c r="DW695" s="2521"/>
      <c r="DX695" s="305"/>
      <c r="DY695" s="249"/>
      <c r="DZ695" s="221"/>
      <c r="EA695" s="388"/>
      <c r="EB695" s="249"/>
      <c r="EC695" s="216"/>
      <c r="ED695" s="1461"/>
      <c r="EE695" s="249"/>
      <c r="EF695" s="216"/>
      <c r="EG695" s="355"/>
      <c r="EH695" s="1425"/>
      <c r="EI695" s="1470"/>
      <c r="EJ695" s="249"/>
      <c r="EK695" s="221"/>
      <c r="EL695" s="313"/>
      <c r="EM695" s="249"/>
      <c r="EN695" s="221"/>
      <c r="EO695" s="313"/>
      <c r="EP695" s="249"/>
      <c r="EQ695" s="216"/>
      <c r="ER695" s="313"/>
      <c r="ES695" s="249"/>
      <c r="ET695" s="216"/>
      <c r="EU695" s="313"/>
      <c r="EV695" s="249"/>
      <c r="EW695" s="216"/>
      <c r="EX695" s="2505"/>
      <c r="EY695" s="249"/>
      <c r="EZ695" s="221"/>
      <c r="FA695" s="313"/>
      <c r="FB695" s="249"/>
      <c r="FC695" s="221"/>
      <c r="FD695" s="313"/>
      <c r="FE695" s="249"/>
      <c r="FF695" s="221"/>
      <c r="FG695" s="313"/>
      <c r="FH695" s="249"/>
      <c r="FI695" s="216"/>
      <c r="FJ695" s="1435"/>
      <c r="FK695" s="216"/>
      <c r="FL695" s="1268"/>
      <c r="FM695" s="1655"/>
      <c r="FN695" s="1268"/>
      <c r="FO695" s="1655"/>
      <c r="FP695" s="1268"/>
      <c r="FQ695" s="1656"/>
      <c r="FR695" s="249"/>
      <c r="FS695" s="216"/>
      <c r="FT695" s="1657"/>
      <c r="FU695" s="1658"/>
      <c r="FV695" s="242"/>
      <c r="FW695" s="343"/>
      <c r="FX695" s="222"/>
      <c r="FY695" s="336"/>
      <c r="FZ695" s="223"/>
      <c r="GA695" s="338"/>
      <c r="GB695" s="204"/>
      <c r="GC695" s="339"/>
      <c r="GD695" s="342"/>
      <c r="GE695" s="199"/>
      <c r="GF695" s="199"/>
      <c r="GG695" s="199"/>
      <c r="GH695" s="199"/>
      <c r="GI695" s="199"/>
      <c r="GJ695" s="199"/>
      <c r="GK695" s="199"/>
      <c r="GO695" s="322"/>
      <c r="GP695" s="1190"/>
      <c r="GQ695" s="1190"/>
      <c r="GS695" s="2879"/>
      <c r="GT695" s="2880"/>
      <c r="GU695" s="2881"/>
    </row>
    <row r="696" spans="1:203" ht="12" customHeight="1">
      <c r="A696" s="1252"/>
      <c r="B696" s="200"/>
      <c r="C696" s="486"/>
      <c r="T696" s="1186"/>
      <c r="U696" s="233"/>
      <c r="W696" s="218"/>
      <c r="X696" s="218"/>
      <c r="Y696" s="216"/>
      <c r="Z696" s="216"/>
      <c r="AA696" s="215"/>
      <c r="AB696" s="216"/>
      <c r="AC696" s="216"/>
      <c r="AD696" s="239"/>
      <c r="AE696" s="216"/>
      <c r="AF696" s="216"/>
      <c r="AG696" s="216"/>
      <c r="AH696" s="216"/>
      <c r="AI696" s="216"/>
      <c r="AJ696" s="216"/>
      <c r="AK696" s="239"/>
      <c r="AL696" s="216"/>
      <c r="AM696" s="216"/>
      <c r="AN696" s="216"/>
      <c r="AO696" s="216"/>
      <c r="AP696" s="216"/>
      <c r="AQ696" s="216"/>
      <c r="AR696" s="216"/>
      <c r="AS696" s="216"/>
      <c r="AT696" s="216"/>
      <c r="AU696" s="216"/>
      <c r="AV696" s="217"/>
      <c r="AW696" s="355"/>
      <c r="AX696" s="217"/>
      <c r="AY696" s="305"/>
      <c r="AZ696" s="249"/>
      <c r="BA696" s="221"/>
      <c r="BB696" s="300"/>
      <c r="BC696" s="217"/>
      <c r="BD696" s="392"/>
      <c r="BE696" s="1244"/>
      <c r="BF696" s="249"/>
      <c r="BG696" s="252"/>
      <c r="BH696" s="1469"/>
      <c r="BI696" s="216"/>
      <c r="BJ696" s="1469"/>
      <c r="BK696" s="1459"/>
      <c r="BL696" s="260"/>
      <c r="BM696" s="214"/>
      <c r="BN696" s="293"/>
      <c r="BO696" s="217"/>
      <c r="BP696" s="355"/>
      <c r="BQ696" s="217"/>
      <c r="BR696" s="1193"/>
      <c r="BS696" s="249"/>
      <c r="BT696" s="216"/>
      <c r="BU696" s="1195"/>
      <c r="BV696" s="249"/>
      <c r="BW696" s="216"/>
      <c r="BX696" s="1195"/>
      <c r="BY696" s="249"/>
      <c r="BZ696" s="216"/>
      <c r="CA696" s="1195"/>
      <c r="CB696" s="249"/>
      <c r="CC696" s="216"/>
      <c r="CD696" s="1195"/>
      <c r="CE696" s="249"/>
      <c r="CF696" s="216"/>
      <c r="CG696" s="1195"/>
      <c r="CH696" s="249"/>
      <c r="CI696" s="216"/>
      <c r="CJ696" s="1195"/>
      <c r="CK696" s="249"/>
      <c r="CL696" s="216"/>
      <c r="CM696" s="1194"/>
      <c r="CN696" s="1524"/>
      <c r="CO696" s="217"/>
      <c r="CP696" s="1193"/>
      <c r="CQ696" s="293"/>
      <c r="CR696" s="217"/>
      <c r="CS696" s="305"/>
      <c r="CT696" s="249"/>
      <c r="CU696" s="216"/>
      <c r="CV696" s="1193"/>
      <c r="CW696" s="249"/>
      <c r="CX696" s="216"/>
      <c r="CY696" s="305"/>
      <c r="CZ696" s="249"/>
      <c r="DA696" s="216"/>
      <c r="DB696" s="307"/>
      <c r="DC696" s="328"/>
      <c r="DD696" s="322"/>
      <c r="DE696" s="305"/>
      <c r="DF696" s="249"/>
      <c r="DG696" s="216"/>
      <c r="DH696" s="305"/>
      <c r="DI696" s="249"/>
      <c r="DJ696" s="216"/>
      <c r="DK696" s="309"/>
      <c r="DL696" s="293"/>
      <c r="DM696" s="326"/>
      <c r="DN696" s="1256"/>
      <c r="DO696" s="214"/>
      <c r="DP696" s="1257"/>
      <c r="DQ696" s="1258"/>
      <c r="DR696" s="305"/>
      <c r="DS696" s="249"/>
      <c r="DT696" s="216"/>
      <c r="DU696" s="305"/>
      <c r="DV696" s="2520"/>
      <c r="DW696" s="2521"/>
      <c r="DX696" s="305"/>
      <c r="DY696" s="249"/>
      <c r="DZ696" s="221"/>
      <c r="EA696" s="388"/>
      <c r="EB696" s="249"/>
      <c r="EC696" s="216"/>
      <c r="ED696" s="1461"/>
      <c r="EE696" s="249"/>
      <c r="EF696" s="216"/>
      <c r="EG696" s="355"/>
      <c r="EH696" s="1425"/>
      <c r="EI696" s="1470"/>
      <c r="EJ696" s="249"/>
      <c r="EK696" s="221"/>
      <c r="EL696" s="313"/>
      <c r="EM696" s="249"/>
      <c r="EN696" s="221"/>
      <c r="EO696" s="313"/>
      <c r="EP696" s="249"/>
      <c r="EQ696" s="216"/>
      <c r="ER696" s="313"/>
      <c r="ES696" s="249"/>
      <c r="ET696" s="216"/>
      <c r="EU696" s="313"/>
      <c r="EV696" s="249"/>
      <c r="EW696" s="216"/>
      <c r="EX696" s="2505"/>
      <c r="EY696" s="249"/>
      <c r="EZ696" s="221"/>
      <c r="FA696" s="313"/>
      <c r="FB696" s="249"/>
      <c r="FC696" s="221"/>
      <c r="FD696" s="313"/>
      <c r="FE696" s="249"/>
      <c r="FF696" s="221"/>
      <c r="FG696" s="313"/>
      <c r="FH696" s="249"/>
      <c r="FI696" s="216"/>
      <c r="FJ696" s="1435"/>
      <c r="FK696" s="216"/>
      <c r="FL696" s="1268"/>
      <c r="FM696" s="1655"/>
      <c r="FN696" s="1268"/>
      <c r="FO696" s="1655"/>
      <c r="FP696" s="1268"/>
      <c r="FQ696" s="1656"/>
      <c r="FR696" s="249"/>
      <c r="FS696" s="216"/>
      <c r="FT696" s="1657"/>
      <c r="FU696" s="1658"/>
      <c r="FV696" s="242"/>
      <c r="FW696" s="343"/>
      <c r="FX696" s="222"/>
      <c r="FY696" s="336"/>
      <c r="FZ696" s="223"/>
      <c r="GA696" s="338"/>
      <c r="GB696" s="204"/>
      <c r="GC696" s="339"/>
      <c r="GD696" s="342"/>
      <c r="GE696" s="199"/>
      <c r="GF696" s="199"/>
      <c r="GG696" s="199"/>
      <c r="GH696" s="199"/>
      <c r="GI696" s="199"/>
      <c r="GJ696" s="199"/>
      <c r="GK696" s="199"/>
      <c r="GO696" s="322"/>
      <c r="GP696" s="1190"/>
      <c r="GQ696" s="1190"/>
      <c r="GS696" s="2879"/>
      <c r="GT696" s="2880"/>
      <c r="GU696" s="2881"/>
    </row>
    <row r="697" spans="1:203" ht="12" customHeight="1">
      <c r="A697" s="1252"/>
      <c r="B697" s="200"/>
      <c r="C697" s="486"/>
      <c r="T697" s="1186"/>
      <c r="U697" s="233"/>
      <c r="W697" s="218"/>
      <c r="X697" s="218"/>
      <c r="Y697" s="216"/>
      <c r="Z697" s="216"/>
      <c r="AA697" s="215"/>
      <c r="AB697" s="216"/>
      <c r="AC697" s="216"/>
      <c r="AD697" s="239"/>
      <c r="AE697" s="216"/>
      <c r="AF697" s="216"/>
      <c r="AG697" s="216"/>
      <c r="AH697" s="216"/>
      <c r="AI697" s="216"/>
      <c r="AJ697" s="216"/>
      <c r="AK697" s="239"/>
      <c r="AL697" s="216"/>
      <c r="AM697" s="216"/>
      <c r="AN697" s="216"/>
      <c r="AO697" s="216"/>
      <c r="AP697" s="216"/>
      <c r="AQ697" s="216"/>
      <c r="AR697" s="216"/>
      <c r="AS697" s="216"/>
      <c r="AT697" s="216"/>
      <c r="AU697" s="216"/>
      <c r="AV697" s="217"/>
      <c r="AW697" s="355"/>
      <c r="AX697" s="217"/>
      <c r="AY697" s="305"/>
      <c r="AZ697" s="249"/>
      <c r="BA697" s="221"/>
      <c r="BB697" s="300"/>
      <c r="BC697" s="217"/>
      <c r="BD697" s="392"/>
      <c r="BE697" s="1244"/>
      <c r="BF697" s="249"/>
      <c r="BG697" s="252"/>
      <c r="BH697" s="1469"/>
      <c r="BI697" s="216"/>
      <c r="BJ697" s="1469"/>
      <c r="BK697" s="1459"/>
      <c r="BL697" s="260"/>
      <c r="BM697" s="214"/>
      <c r="BN697" s="293"/>
      <c r="BO697" s="217"/>
      <c r="BP697" s="355"/>
      <c r="BQ697" s="217"/>
      <c r="BR697" s="1193"/>
      <c r="BS697" s="249"/>
      <c r="BT697" s="216"/>
      <c r="BU697" s="1195"/>
      <c r="BV697" s="249"/>
      <c r="BW697" s="216"/>
      <c r="BX697" s="1195"/>
      <c r="BY697" s="249"/>
      <c r="BZ697" s="216"/>
      <c r="CA697" s="1195"/>
      <c r="CB697" s="249"/>
      <c r="CC697" s="216"/>
      <c r="CD697" s="1195"/>
      <c r="CE697" s="249"/>
      <c r="CF697" s="216"/>
      <c r="CG697" s="1195"/>
      <c r="CH697" s="249"/>
      <c r="CI697" s="216"/>
      <c r="CJ697" s="1195"/>
      <c r="CK697" s="249"/>
      <c r="CL697" s="216"/>
      <c r="CM697" s="1194"/>
      <c r="CN697" s="1524"/>
      <c r="CO697" s="217"/>
      <c r="CP697" s="1193"/>
      <c r="CQ697" s="293"/>
      <c r="CR697" s="217"/>
      <c r="CS697" s="305"/>
      <c r="CT697" s="249"/>
      <c r="CU697" s="216"/>
      <c r="CV697" s="1193"/>
      <c r="CW697" s="249"/>
      <c r="CX697" s="216"/>
      <c r="CY697" s="305"/>
      <c r="CZ697" s="249"/>
      <c r="DA697" s="216"/>
      <c r="DB697" s="307"/>
      <c r="DC697" s="328"/>
      <c r="DD697" s="322"/>
      <c r="DE697" s="305"/>
      <c r="DF697" s="249"/>
      <c r="DG697" s="216"/>
      <c r="DH697" s="305"/>
      <c r="DI697" s="249"/>
      <c r="DJ697" s="216"/>
      <c r="DK697" s="309"/>
      <c r="DL697" s="293"/>
      <c r="DM697" s="326"/>
      <c r="DN697" s="1256"/>
      <c r="DO697" s="214"/>
      <c r="DP697" s="1257"/>
      <c r="DQ697" s="1258"/>
      <c r="DR697" s="305"/>
      <c r="DS697" s="249"/>
      <c r="DT697" s="216"/>
      <c r="DU697" s="305"/>
      <c r="DV697" s="2520"/>
      <c r="DW697" s="2521"/>
      <c r="DX697" s="305"/>
      <c r="DY697" s="249"/>
      <c r="DZ697" s="221"/>
      <c r="EA697" s="388"/>
      <c r="EB697" s="249"/>
      <c r="EC697" s="216"/>
      <c r="ED697" s="1461"/>
      <c r="EE697" s="249"/>
      <c r="EF697" s="216"/>
      <c r="EG697" s="355"/>
      <c r="EH697" s="1425"/>
      <c r="EI697" s="1470"/>
      <c r="EJ697" s="249"/>
      <c r="EK697" s="221"/>
      <c r="EL697" s="313"/>
      <c r="EM697" s="249"/>
      <c r="EN697" s="221"/>
      <c r="EO697" s="313"/>
      <c r="EP697" s="249"/>
      <c r="EQ697" s="216"/>
      <c r="ER697" s="313"/>
      <c r="ES697" s="249"/>
      <c r="ET697" s="216"/>
      <c r="EU697" s="313"/>
      <c r="EV697" s="249"/>
      <c r="EW697" s="216"/>
      <c r="EX697" s="2505"/>
      <c r="EY697" s="249"/>
      <c r="EZ697" s="221"/>
      <c r="FA697" s="313"/>
      <c r="FB697" s="249"/>
      <c r="FC697" s="221"/>
      <c r="FD697" s="313"/>
      <c r="FE697" s="249"/>
      <c r="FF697" s="221"/>
      <c r="FG697" s="313"/>
      <c r="FH697" s="249"/>
      <c r="FI697" s="216"/>
      <c r="FJ697" s="1435"/>
      <c r="FK697" s="216"/>
      <c r="FL697" s="1268"/>
      <c r="FM697" s="1655"/>
      <c r="FN697" s="1268"/>
      <c r="FO697" s="1655"/>
      <c r="FP697" s="1268"/>
      <c r="FQ697" s="1656"/>
      <c r="FR697" s="249"/>
      <c r="FS697" s="216"/>
      <c r="FT697" s="1657"/>
      <c r="FU697" s="1658"/>
      <c r="FV697" s="242"/>
      <c r="FW697" s="343"/>
      <c r="FX697" s="222"/>
      <c r="FY697" s="336"/>
      <c r="FZ697" s="223"/>
      <c r="GA697" s="338"/>
      <c r="GB697" s="204"/>
      <c r="GC697" s="339"/>
      <c r="GD697" s="342"/>
      <c r="GE697" s="199"/>
      <c r="GF697" s="199"/>
      <c r="GG697" s="199"/>
      <c r="GH697" s="199"/>
      <c r="GI697" s="199"/>
      <c r="GJ697" s="199"/>
      <c r="GK697" s="199"/>
      <c r="GO697" s="322"/>
      <c r="GP697" s="1190"/>
      <c r="GQ697" s="1190"/>
      <c r="GS697" s="2879"/>
      <c r="GT697" s="2880"/>
      <c r="GU697" s="2881"/>
    </row>
    <row r="698" spans="1:203" ht="12" customHeight="1">
      <c r="A698" s="1252"/>
      <c r="B698" s="200"/>
      <c r="C698" s="486"/>
      <c r="T698" s="1186"/>
      <c r="U698" s="233"/>
      <c r="W698" s="218"/>
      <c r="X698" s="218"/>
      <c r="Y698" s="216"/>
      <c r="Z698" s="216"/>
      <c r="AA698" s="215"/>
      <c r="AB698" s="216"/>
      <c r="AC698" s="216"/>
      <c r="AD698" s="239"/>
      <c r="AE698" s="216"/>
      <c r="AF698" s="216"/>
      <c r="AG698" s="216"/>
      <c r="AH698" s="216"/>
      <c r="AI698" s="216"/>
      <c r="AJ698" s="216"/>
      <c r="AK698" s="239"/>
      <c r="AL698" s="216"/>
      <c r="AM698" s="216"/>
      <c r="AN698" s="216"/>
      <c r="AO698" s="216"/>
      <c r="AP698" s="216"/>
      <c r="AQ698" s="216"/>
      <c r="AR698" s="216"/>
      <c r="AS698" s="216"/>
      <c r="AT698" s="216"/>
      <c r="AU698" s="216"/>
      <c r="AV698" s="217"/>
      <c r="AW698" s="355"/>
      <c r="AX698" s="217"/>
      <c r="AY698" s="305"/>
      <c r="AZ698" s="249"/>
      <c r="BA698" s="221"/>
      <c r="BB698" s="300"/>
      <c r="BC698" s="217"/>
      <c r="BD698" s="392"/>
      <c r="BE698" s="1244"/>
      <c r="BF698" s="249"/>
      <c r="BG698" s="252"/>
      <c r="BH698" s="1469"/>
      <c r="BI698" s="216"/>
      <c r="BJ698" s="1469"/>
      <c r="BK698" s="1459"/>
      <c r="BL698" s="260"/>
      <c r="BM698" s="214"/>
      <c r="BN698" s="293"/>
      <c r="BO698" s="217"/>
      <c r="BP698" s="355"/>
      <c r="BQ698" s="217"/>
      <c r="BR698" s="1193"/>
      <c r="BS698" s="249"/>
      <c r="BT698" s="216"/>
      <c r="BU698" s="1195"/>
      <c r="BV698" s="249"/>
      <c r="BW698" s="216"/>
      <c r="BX698" s="1195"/>
      <c r="BY698" s="249"/>
      <c r="BZ698" s="216"/>
      <c r="CA698" s="1195"/>
      <c r="CB698" s="249"/>
      <c r="CC698" s="216"/>
      <c r="CD698" s="1195"/>
      <c r="CE698" s="249"/>
      <c r="CF698" s="216"/>
      <c r="CG698" s="1195"/>
      <c r="CH698" s="249"/>
      <c r="CI698" s="216"/>
      <c r="CJ698" s="1195"/>
      <c r="CK698" s="249"/>
      <c r="CL698" s="216"/>
      <c r="CM698" s="1194"/>
      <c r="CN698" s="1524"/>
      <c r="CO698" s="217"/>
      <c r="CP698" s="1193"/>
      <c r="CQ698" s="293"/>
      <c r="CR698" s="217"/>
      <c r="CS698" s="305"/>
      <c r="CT698" s="249"/>
      <c r="CU698" s="216"/>
      <c r="CV698" s="1193"/>
      <c r="CW698" s="249"/>
      <c r="CX698" s="216"/>
      <c r="CY698" s="305"/>
      <c r="CZ698" s="249"/>
      <c r="DA698" s="216"/>
      <c r="DB698" s="307"/>
      <c r="DC698" s="328"/>
      <c r="DD698" s="322"/>
      <c r="DE698" s="305"/>
      <c r="DF698" s="249"/>
      <c r="DG698" s="216"/>
      <c r="DH698" s="305"/>
      <c r="DI698" s="249"/>
      <c r="DJ698" s="216"/>
      <c r="DK698" s="309"/>
      <c r="DL698" s="293"/>
      <c r="DM698" s="326"/>
      <c r="DN698" s="1256"/>
      <c r="DO698" s="214"/>
      <c r="DP698" s="1257"/>
      <c r="DQ698" s="1258"/>
      <c r="DR698" s="305"/>
      <c r="DS698" s="249"/>
      <c r="DT698" s="216"/>
      <c r="DU698" s="305"/>
      <c r="DV698" s="2520"/>
      <c r="DW698" s="2521"/>
      <c r="DX698" s="305"/>
      <c r="DY698" s="249"/>
      <c r="DZ698" s="221"/>
      <c r="EA698" s="388"/>
      <c r="EB698" s="249"/>
      <c r="EC698" s="216"/>
      <c r="ED698" s="1461"/>
      <c r="EE698" s="249"/>
      <c r="EF698" s="216"/>
      <c r="EG698" s="355"/>
      <c r="EH698" s="1425"/>
      <c r="EI698" s="1470"/>
      <c r="EJ698" s="249"/>
      <c r="EK698" s="221"/>
      <c r="EL698" s="313"/>
      <c r="EM698" s="249"/>
      <c r="EN698" s="221"/>
      <c r="EO698" s="313"/>
      <c r="EP698" s="249"/>
      <c r="EQ698" s="216"/>
      <c r="ER698" s="313"/>
      <c r="ES698" s="249"/>
      <c r="ET698" s="216"/>
      <c r="EU698" s="313"/>
      <c r="EV698" s="249"/>
      <c r="EW698" s="216"/>
      <c r="EX698" s="2505"/>
      <c r="EY698" s="249"/>
      <c r="EZ698" s="221"/>
      <c r="FA698" s="313"/>
      <c r="FB698" s="249"/>
      <c r="FC698" s="221"/>
      <c r="FD698" s="313"/>
      <c r="FE698" s="249"/>
      <c r="FF698" s="221"/>
      <c r="FG698" s="313"/>
      <c r="FH698" s="249"/>
      <c r="FI698" s="216"/>
      <c r="FJ698" s="1435"/>
      <c r="FK698" s="216"/>
      <c r="FL698" s="1268"/>
      <c r="FM698" s="1655"/>
      <c r="FN698" s="1268"/>
      <c r="FO698" s="1655"/>
      <c r="FP698" s="1268"/>
      <c r="FQ698" s="1656"/>
      <c r="FR698" s="249"/>
      <c r="FS698" s="216"/>
      <c r="FT698" s="1657"/>
      <c r="FU698" s="1658"/>
      <c r="FV698" s="242"/>
      <c r="FW698" s="343"/>
      <c r="FX698" s="222"/>
      <c r="FY698" s="336"/>
      <c r="FZ698" s="223"/>
      <c r="GA698" s="338"/>
      <c r="GB698" s="204"/>
      <c r="GC698" s="339"/>
      <c r="GD698" s="342"/>
      <c r="GE698" s="199"/>
      <c r="GF698" s="199"/>
      <c r="GG698" s="199"/>
      <c r="GH698" s="199"/>
      <c r="GI698" s="199"/>
      <c r="GJ698" s="199"/>
      <c r="GK698" s="199"/>
      <c r="GO698" s="322"/>
      <c r="GP698" s="1190"/>
      <c r="GQ698" s="1190"/>
      <c r="GS698" s="2879"/>
      <c r="GT698" s="2880"/>
      <c r="GU698" s="2881"/>
    </row>
    <row r="699" spans="1:203" ht="12" customHeight="1">
      <c r="A699" s="1252"/>
      <c r="B699" s="200"/>
      <c r="C699" s="486"/>
      <c r="T699" s="1186"/>
      <c r="U699" s="233"/>
      <c r="W699" s="218"/>
      <c r="X699" s="218"/>
      <c r="Y699" s="216"/>
      <c r="Z699" s="216"/>
      <c r="AA699" s="215"/>
      <c r="AB699" s="216"/>
      <c r="AC699" s="216"/>
      <c r="AD699" s="239"/>
      <c r="AE699" s="216"/>
      <c r="AF699" s="216"/>
      <c r="AG699" s="216"/>
      <c r="AH699" s="216"/>
      <c r="AI699" s="216"/>
      <c r="AJ699" s="216"/>
      <c r="AK699" s="239"/>
      <c r="AL699" s="216"/>
      <c r="AM699" s="216"/>
      <c r="AN699" s="216"/>
      <c r="AO699" s="216"/>
      <c r="AP699" s="216"/>
      <c r="AQ699" s="216"/>
      <c r="AR699" s="216"/>
      <c r="AS699" s="216"/>
      <c r="AT699" s="216"/>
      <c r="AU699" s="216"/>
      <c r="AV699" s="217"/>
      <c r="AW699" s="355"/>
      <c r="AX699" s="217"/>
      <c r="AY699" s="305"/>
      <c r="AZ699" s="249"/>
      <c r="BA699" s="221"/>
      <c r="BB699" s="300"/>
      <c r="BC699" s="217"/>
      <c r="BD699" s="392"/>
      <c r="BE699" s="1244"/>
      <c r="BF699" s="249"/>
      <c r="BG699" s="252"/>
      <c r="BH699" s="1469"/>
      <c r="BI699" s="216"/>
      <c r="BJ699" s="1469"/>
      <c r="BK699" s="1459"/>
      <c r="BL699" s="260"/>
      <c r="BM699" s="214"/>
      <c r="BN699" s="293"/>
      <c r="BO699" s="217"/>
      <c r="BP699" s="355"/>
      <c r="BQ699" s="217"/>
      <c r="BR699" s="1193"/>
      <c r="BS699" s="249"/>
      <c r="BT699" s="216"/>
      <c r="BU699" s="1195"/>
      <c r="BV699" s="249"/>
      <c r="BW699" s="216"/>
      <c r="BX699" s="1195"/>
      <c r="BY699" s="249"/>
      <c r="BZ699" s="216"/>
      <c r="CA699" s="1195"/>
      <c r="CB699" s="249"/>
      <c r="CC699" s="216"/>
      <c r="CD699" s="1195"/>
      <c r="CE699" s="249"/>
      <c r="CF699" s="216"/>
      <c r="CG699" s="1195"/>
      <c r="CH699" s="249"/>
      <c r="CI699" s="216"/>
      <c r="CJ699" s="1195"/>
      <c r="CK699" s="249"/>
      <c r="CL699" s="216"/>
      <c r="CM699" s="1194"/>
      <c r="CN699" s="1524"/>
      <c r="CO699" s="217"/>
      <c r="CP699" s="1193"/>
      <c r="CQ699" s="293"/>
      <c r="CR699" s="217"/>
      <c r="CS699" s="305"/>
      <c r="CT699" s="249"/>
      <c r="CU699" s="216"/>
      <c r="CV699" s="1193"/>
      <c r="CW699" s="249"/>
      <c r="CX699" s="216"/>
      <c r="CY699" s="305"/>
      <c r="CZ699" s="249"/>
      <c r="DA699" s="216"/>
      <c r="DB699" s="307"/>
      <c r="DC699" s="328"/>
      <c r="DD699" s="322"/>
      <c r="DE699" s="305"/>
      <c r="DF699" s="249"/>
      <c r="DG699" s="216"/>
      <c r="DH699" s="305"/>
      <c r="DI699" s="249"/>
      <c r="DJ699" s="216"/>
      <c r="DK699" s="309"/>
      <c r="DL699" s="293"/>
      <c r="DM699" s="326"/>
      <c r="DN699" s="1256"/>
      <c r="DO699" s="214"/>
      <c r="DP699" s="1257"/>
      <c r="DQ699" s="1258"/>
      <c r="DR699" s="305"/>
      <c r="DS699" s="249"/>
      <c r="DT699" s="216"/>
      <c r="DU699" s="305"/>
      <c r="DV699" s="2520"/>
      <c r="DW699" s="2521"/>
      <c r="DX699" s="305"/>
      <c r="DY699" s="249"/>
      <c r="DZ699" s="221"/>
      <c r="EA699" s="388"/>
      <c r="EB699" s="249"/>
      <c r="EC699" s="216"/>
      <c r="ED699" s="1461"/>
      <c r="EE699" s="249"/>
      <c r="EF699" s="216"/>
      <c r="EG699" s="355"/>
      <c r="EH699" s="1425"/>
      <c r="EI699" s="1470"/>
      <c r="EJ699" s="249"/>
      <c r="EK699" s="221"/>
      <c r="EL699" s="313"/>
      <c r="EM699" s="249"/>
      <c r="EN699" s="221"/>
      <c r="EO699" s="313"/>
      <c r="EP699" s="249"/>
      <c r="EQ699" s="216"/>
      <c r="ER699" s="313"/>
      <c r="ES699" s="249"/>
      <c r="ET699" s="216"/>
      <c r="EU699" s="313"/>
      <c r="EV699" s="249"/>
      <c r="EW699" s="216"/>
      <c r="EX699" s="2505"/>
      <c r="EY699" s="249"/>
      <c r="EZ699" s="221"/>
      <c r="FA699" s="313"/>
      <c r="FB699" s="249"/>
      <c r="FC699" s="221"/>
      <c r="FD699" s="313"/>
      <c r="FE699" s="249"/>
      <c r="FF699" s="221"/>
      <c r="FG699" s="313"/>
      <c r="FH699" s="249"/>
      <c r="FI699" s="216"/>
      <c r="FJ699" s="1435"/>
      <c r="FK699" s="216"/>
      <c r="FL699" s="1268"/>
      <c r="FM699" s="1655"/>
      <c r="FN699" s="1268"/>
      <c r="FO699" s="1655"/>
      <c r="FP699" s="1268"/>
      <c r="FQ699" s="1656"/>
      <c r="FR699" s="249"/>
      <c r="FS699" s="216"/>
      <c r="FT699" s="1657"/>
      <c r="FU699" s="1658"/>
      <c r="FV699" s="242"/>
      <c r="FW699" s="343"/>
      <c r="FX699" s="222"/>
      <c r="FY699" s="336"/>
      <c r="FZ699" s="223"/>
      <c r="GA699" s="338"/>
      <c r="GB699" s="204"/>
      <c r="GC699" s="339"/>
      <c r="GD699" s="342"/>
      <c r="GE699" s="199"/>
      <c r="GF699" s="199"/>
      <c r="GG699" s="199"/>
      <c r="GH699" s="199"/>
      <c r="GI699" s="199"/>
      <c r="GJ699" s="199"/>
      <c r="GK699" s="199"/>
      <c r="GO699" s="322"/>
      <c r="GP699" s="1190"/>
      <c r="GQ699" s="1190"/>
      <c r="GS699" s="2879"/>
      <c r="GT699" s="2880"/>
      <c r="GU699" s="2881"/>
    </row>
    <row r="700" spans="1:203" ht="12" customHeight="1">
      <c r="A700" s="1252"/>
      <c r="B700" s="200"/>
      <c r="C700" s="486"/>
      <c r="T700" s="1186"/>
      <c r="U700" s="233"/>
      <c r="W700" s="218"/>
      <c r="X700" s="218"/>
      <c r="Y700" s="216"/>
      <c r="Z700" s="216"/>
      <c r="AA700" s="215"/>
      <c r="AB700" s="216"/>
      <c r="AC700" s="216"/>
      <c r="AD700" s="239"/>
      <c r="AE700" s="216"/>
      <c r="AF700" s="216"/>
      <c r="AG700" s="216"/>
      <c r="AH700" s="216"/>
      <c r="AI700" s="216"/>
      <c r="AJ700" s="216"/>
      <c r="AK700" s="239"/>
      <c r="AL700" s="216"/>
      <c r="AM700" s="216"/>
      <c r="AN700" s="216"/>
      <c r="AO700" s="216"/>
      <c r="AP700" s="216"/>
      <c r="AQ700" s="216"/>
      <c r="AR700" s="216"/>
      <c r="AS700" s="216"/>
      <c r="AT700" s="216"/>
      <c r="AU700" s="216"/>
      <c r="AV700" s="217"/>
      <c r="AW700" s="355"/>
      <c r="AX700" s="217"/>
      <c r="AY700" s="305"/>
      <c r="AZ700" s="249"/>
      <c r="BA700" s="221"/>
      <c r="BB700" s="300"/>
      <c r="BC700" s="217"/>
      <c r="BD700" s="392"/>
      <c r="BE700" s="1244"/>
      <c r="BF700" s="249"/>
      <c r="BG700" s="252"/>
      <c r="BH700" s="1469"/>
      <c r="BI700" s="216"/>
      <c r="BJ700" s="1469"/>
      <c r="BK700" s="1459"/>
      <c r="BL700" s="260"/>
      <c r="BM700" s="214"/>
      <c r="BN700" s="293"/>
      <c r="BO700" s="217"/>
      <c r="BP700" s="355"/>
      <c r="BQ700" s="217"/>
      <c r="BR700" s="1193"/>
      <c r="BS700" s="249"/>
      <c r="BT700" s="216"/>
      <c r="BU700" s="1195"/>
      <c r="BV700" s="249"/>
      <c r="BW700" s="216"/>
      <c r="BX700" s="1195"/>
      <c r="BY700" s="249"/>
      <c r="BZ700" s="216"/>
      <c r="CA700" s="1195"/>
      <c r="CB700" s="249"/>
      <c r="CC700" s="216"/>
      <c r="CD700" s="1195"/>
      <c r="CE700" s="249"/>
      <c r="CF700" s="216"/>
      <c r="CG700" s="1195"/>
      <c r="CH700" s="249"/>
      <c r="CI700" s="216"/>
      <c r="CJ700" s="1195"/>
      <c r="CK700" s="249"/>
      <c r="CL700" s="216"/>
      <c r="CM700" s="1194"/>
      <c r="CN700" s="1524"/>
      <c r="CO700" s="217"/>
      <c r="CP700" s="1193"/>
      <c r="CQ700" s="293"/>
      <c r="CR700" s="217"/>
      <c r="CS700" s="305"/>
      <c r="CT700" s="249"/>
      <c r="CU700" s="216"/>
      <c r="CV700" s="1193"/>
      <c r="CW700" s="249"/>
      <c r="CX700" s="216"/>
      <c r="CY700" s="305"/>
      <c r="CZ700" s="249"/>
      <c r="DA700" s="216"/>
      <c r="DB700" s="307"/>
      <c r="DC700" s="328"/>
      <c r="DD700" s="322"/>
      <c r="DE700" s="305"/>
      <c r="DF700" s="249"/>
      <c r="DG700" s="216"/>
      <c r="DH700" s="305"/>
      <c r="DI700" s="249"/>
      <c r="DJ700" s="216"/>
      <c r="DK700" s="309"/>
      <c r="DL700" s="293"/>
      <c r="DM700" s="326"/>
      <c r="DN700" s="1256"/>
      <c r="DO700" s="214"/>
      <c r="DP700" s="1257"/>
      <c r="DQ700" s="1258"/>
      <c r="DR700" s="305"/>
      <c r="DS700" s="249"/>
      <c r="DT700" s="216"/>
      <c r="DU700" s="305"/>
      <c r="DV700" s="2520"/>
      <c r="DW700" s="2521"/>
      <c r="DX700" s="305"/>
      <c r="DY700" s="249"/>
      <c r="DZ700" s="221"/>
      <c r="EA700" s="388"/>
      <c r="EB700" s="249"/>
      <c r="EC700" s="216"/>
      <c r="ED700" s="1461"/>
      <c r="EE700" s="249"/>
      <c r="EF700" s="216"/>
      <c r="EG700" s="355"/>
      <c r="EH700" s="1425"/>
      <c r="EI700" s="1470"/>
      <c r="EJ700" s="249"/>
      <c r="EK700" s="221"/>
      <c r="EL700" s="313"/>
      <c r="EM700" s="249"/>
      <c r="EN700" s="221"/>
      <c r="EO700" s="313"/>
      <c r="EP700" s="249"/>
      <c r="EQ700" s="216"/>
      <c r="ER700" s="313"/>
      <c r="ES700" s="249"/>
      <c r="ET700" s="216"/>
      <c r="EU700" s="313"/>
      <c r="EV700" s="249"/>
      <c r="EW700" s="216"/>
      <c r="EX700" s="2505"/>
      <c r="EY700" s="249"/>
      <c r="EZ700" s="221"/>
      <c r="FA700" s="313"/>
      <c r="FB700" s="249"/>
      <c r="FC700" s="221"/>
      <c r="FD700" s="313"/>
      <c r="FE700" s="249"/>
      <c r="FF700" s="221"/>
      <c r="FG700" s="313"/>
      <c r="FH700" s="249"/>
      <c r="FI700" s="216"/>
      <c r="FJ700" s="1435"/>
      <c r="FK700" s="216"/>
      <c r="FL700" s="1268"/>
      <c r="FM700" s="1655"/>
      <c r="FN700" s="1268"/>
      <c r="FO700" s="1655"/>
      <c r="FP700" s="1268"/>
      <c r="FQ700" s="1656"/>
      <c r="FR700" s="249"/>
      <c r="FS700" s="216"/>
      <c r="FT700" s="1657"/>
      <c r="FU700" s="1658"/>
      <c r="FV700" s="242"/>
      <c r="FW700" s="343"/>
      <c r="FX700" s="222"/>
      <c r="FY700" s="336"/>
      <c r="FZ700" s="223"/>
      <c r="GA700" s="338"/>
      <c r="GB700" s="204"/>
      <c r="GC700" s="339"/>
      <c r="GD700" s="342"/>
      <c r="GE700" s="199"/>
      <c r="GF700" s="199"/>
      <c r="GG700" s="199"/>
      <c r="GH700" s="199"/>
      <c r="GI700" s="199"/>
      <c r="GJ700" s="199"/>
      <c r="GK700" s="199"/>
      <c r="GO700" s="322"/>
      <c r="GP700" s="1190"/>
      <c r="GQ700" s="1190"/>
      <c r="GS700" s="2879"/>
      <c r="GT700" s="2880"/>
      <c r="GU700" s="2881"/>
    </row>
    <row r="701" spans="1:203" ht="12" customHeight="1">
      <c r="A701" s="1252"/>
      <c r="B701" s="200"/>
      <c r="C701" s="486"/>
      <c r="T701" s="1186"/>
      <c r="U701" s="233"/>
      <c r="W701" s="218"/>
      <c r="X701" s="218"/>
      <c r="Y701" s="216"/>
      <c r="Z701" s="216"/>
      <c r="AA701" s="215"/>
      <c r="AB701" s="216"/>
      <c r="AC701" s="216"/>
      <c r="AD701" s="239"/>
      <c r="AE701" s="216"/>
      <c r="AF701" s="216"/>
      <c r="AG701" s="216"/>
      <c r="AH701" s="216"/>
      <c r="AI701" s="216"/>
      <c r="AJ701" s="216"/>
      <c r="AK701" s="239"/>
      <c r="AL701" s="216"/>
      <c r="AM701" s="216"/>
      <c r="AN701" s="216"/>
      <c r="AO701" s="216"/>
      <c r="AP701" s="216"/>
      <c r="AQ701" s="216"/>
      <c r="AR701" s="216"/>
      <c r="AS701" s="216"/>
      <c r="AT701" s="216"/>
      <c r="AU701" s="216"/>
      <c r="AV701" s="217"/>
      <c r="AW701" s="355"/>
      <c r="AX701" s="217"/>
      <c r="AY701" s="305"/>
      <c r="AZ701" s="249"/>
      <c r="BA701" s="221"/>
      <c r="BB701" s="300"/>
      <c r="BC701" s="217"/>
      <c r="BD701" s="392"/>
      <c r="BE701" s="1244"/>
      <c r="BF701" s="249"/>
      <c r="BG701" s="252"/>
      <c r="BH701" s="1469"/>
      <c r="BI701" s="216"/>
      <c r="BJ701" s="1469"/>
      <c r="BK701" s="1459"/>
      <c r="BL701" s="260"/>
      <c r="BM701" s="214"/>
      <c r="BN701" s="293"/>
      <c r="BO701" s="217"/>
      <c r="BP701" s="355"/>
      <c r="BQ701" s="217"/>
      <c r="BR701" s="1193"/>
      <c r="BS701" s="249"/>
      <c r="BT701" s="216"/>
      <c r="BU701" s="1195"/>
      <c r="BV701" s="249"/>
      <c r="BW701" s="216"/>
      <c r="BX701" s="1195"/>
      <c r="BY701" s="249"/>
      <c r="BZ701" s="216"/>
      <c r="CA701" s="1195"/>
      <c r="CB701" s="249"/>
      <c r="CC701" s="216"/>
      <c r="CD701" s="1195"/>
      <c r="CE701" s="249"/>
      <c r="CF701" s="216"/>
      <c r="CG701" s="1195"/>
      <c r="CH701" s="249"/>
      <c r="CI701" s="216"/>
      <c r="CJ701" s="1195"/>
      <c r="CK701" s="249"/>
      <c r="CL701" s="216"/>
      <c r="CM701" s="1194"/>
      <c r="CN701" s="1524"/>
      <c r="CO701" s="217"/>
      <c r="CP701" s="1193"/>
      <c r="CQ701" s="293"/>
      <c r="CR701" s="217"/>
      <c r="CS701" s="305"/>
      <c r="CT701" s="249"/>
      <c r="CU701" s="216"/>
      <c r="CV701" s="1193"/>
      <c r="CW701" s="249"/>
      <c r="CX701" s="216"/>
      <c r="CY701" s="305"/>
      <c r="CZ701" s="249"/>
      <c r="DA701" s="216"/>
      <c r="DB701" s="307"/>
      <c r="DC701" s="328"/>
      <c r="DD701" s="322"/>
      <c r="DE701" s="305"/>
      <c r="DF701" s="249"/>
      <c r="DG701" s="216"/>
      <c r="DH701" s="305"/>
      <c r="DI701" s="249"/>
      <c r="DJ701" s="216"/>
      <c r="DK701" s="309"/>
      <c r="DL701" s="293"/>
      <c r="DM701" s="326"/>
      <c r="DN701" s="1256"/>
      <c r="DO701" s="214"/>
      <c r="DP701" s="1257"/>
      <c r="DQ701" s="1258"/>
      <c r="DR701" s="305"/>
      <c r="DS701" s="249"/>
      <c r="DT701" s="216"/>
      <c r="DU701" s="305"/>
      <c r="DV701" s="2520"/>
      <c r="DW701" s="2521"/>
      <c r="DX701" s="305"/>
      <c r="DY701" s="249"/>
      <c r="DZ701" s="221"/>
      <c r="EA701" s="388"/>
      <c r="EB701" s="249"/>
      <c r="EC701" s="216"/>
      <c r="ED701" s="1461"/>
      <c r="EE701" s="249"/>
      <c r="EF701" s="216"/>
      <c r="EG701" s="355"/>
      <c r="EH701" s="1425"/>
      <c r="EI701" s="1470"/>
      <c r="EJ701" s="249"/>
      <c r="EK701" s="221"/>
      <c r="EL701" s="313"/>
      <c r="EM701" s="249"/>
      <c r="EN701" s="221"/>
      <c r="EO701" s="313"/>
      <c r="EP701" s="249"/>
      <c r="EQ701" s="216"/>
      <c r="ER701" s="313"/>
      <c r="ES701" s="249"/>
      <c r="ET701" s="216"/>
      <c r="EU701" s="313"/>
      <c r="EV701" s="249"/>
      <c r="EW701" s="216"/>
      <c r="EX701" s="2505"/>
      <c r="EY701" s="249"/>
      <c r="EZ701" s="221"/>
      <c r="FA701" s="313"/>
      <c r="FB701" s="249"/>
      <c r="FC701" s="221"/>
      <c r="FD701" s="313"/>
      <c r="FE701" s="249"/>
      <c r="FF701" s="221"/>
      <c r="FG701" s="313"/>
      <c r="FH701" s="249"/>
      <c r="FI701" s="216"/>
      <c r="FJ701" s="1435"/>
      <c r="FK701" s="216"/>
      <c r="FL701" s="1268"/>
      <c r="FM701" s="1655"/>
      <c r="FN701" s="1268"/>
      <c r="FO701" s="1655"/>
      <c r="FP701" s="1268"/>
      <c r="FQ701" s="1656"/>
      <c r="FR701" s="249"/>
      <c r="FS701" s="216"/>
      <c r="FT701" s="1657"/>
      <c r="FU701" s="1658"/>
      <c r="FV701" s="242"/>
      <c r="FW701" s="343"/>
      <c r="FX701" s="222"/>
      <c r="FY701" s="336"/>
      <c r="FZ701" s="223"/>
      <c r="GA701" s="338"/>
      <c r="GB701" s="204"/>
      <c r="GC701" s="339"/>
      <c r="GD701" s="342"/>
      <c r="GE701" s="199"/>
      <c r="GF701" s="199"/>
      <c r="GG701" s="199"/>
      <c r="GH701" s="199"/>
      <c r="GI701" s="199"/>
      <c r="GJ701" s="199"/>
      <c r="GK701" s="199"/>
      <c r="GO701" s="322"/>
      <c r="GP701" s="1190"/>
      <c r="GQ701" s="1190"/>
      <c r="GS701" s="2879"/>
      <c r="GT701" s="2880"/>
      <c r="GU701" s="2881"/>
    </row>
    <row r="702" spans="1:203" ht="12" customHeight="1">
      <c r="A702" s="1252"/>
      <c r="B702" s="200"/>
      <c r="C702" s="486"/>
      <c r="T702" s="1186"/>
      <c r="U702" s="233"/>
      <c r="W702" s="218"/>
      <c r="X702" s="218"/>
      <c r="Y702" s="216"/>
      <c r="Z702" s="216"/>
      <c r="AA702" s="215"/>
      <c r="AB702" s="216"/>
      <c r="AC702" s="216"/>
      <c r="AD702" s="239"/>
      <c r="AE702" s="216"/>
      <c r="AF702" s="216"/>
      <c r="AG702" s="216"/>
      <c r="AH702" s="216"/>
      <c r="AI702" s="216"/>
      <c r="AJ702" s="216"/>
      <c r="AK702" s="239"/>
      <c r="AL702" s="216"/>
      <c r="AM702" s="216"/>
      <c r="AN702" s="216"/>
      <c r="AO702" s="216"/>
      <c r="AP702" s="216"/>
      <c r="AQ702" s="216"/>
      <c r="AR702" s="216"/>
      <c r="AS702" s="216"/>
      <c r="AT702" s="216"/>
      <c r="AU702" s="216"/>
      <c r="AV702" s="217"/>
      <c r="AW702" s="355"/>
      <c r="AX702" s="217"/>
      <c r="AY702" s="305"/>
      <c r="AZ702" s="249"/>
      <c r="BA702" s="221"/>
      <c r="BB702" s="300"/>
      <c r="BC702" s="217"/>
      <c r="BD702" s="392"/>
      <c r="BE702" s="1244"/>
      <c r="BF702" s="249"/>
      <c r="BG702" s="252"/>
      <c r="BH702" s="1469"/>
      <c r="BI702" s="216"/>
      <c r="BJ702" s="1469"/>
      <c r="BK702" s="1459"/>
      <c r="BL702" s="260"/>
      <c r="BM702" s="214"/>
      <c r="BN702" s="293"/>
      <c r="BO702" s="217"/>
      <c r="BP702" s="355"/>
      <c r="BQ702" s="217"/>
      <c r="BR702" s="1193"/>
      <c r="BS702" s="249"/>
      <c r="BT702" s="216"/>
      <c r="BU702" s="1195"/>
      <c r="BV702" s="249"/>
      <c r="BW702" s="216"/>
      <c r="BX702" s="1195"/>
      <c r="BY702" s="249"/>
      <c r="BZ702" s="216"/>
      <c r="CA702" s="1195"/>
      <c r="CB702" s="249"/>
      <c r="CC702" s="216"/>
      <c r="CD702" s="1195"/>
      <c r="CE702" s="249"/>
      <c r="CF702" s="216"/>
      <c r="CG702" s="1195"/>
      <c r="CH702" s="249"/>
      <c r="CI702" s="216"/>
      <c r="CJ702" s="1195"/>
      <c r="CK702" s="249"/>
      <c r="CL702" s="216"/>
      <c r="CM702" s="1194"/>
      <c r="CN702" s="1524"/>
      <c r="CO702" s="217"/>
      <c r="CP702" s="1193"/>
      <c r="CQ702" s="293"/>
      <c r="CR702" s="217"/>
      <c r="CS702" s="305"/>
      <c r="CT702" s="249"/>
      <c r="CU702" s="216"/>
      <c r="CV702" s="1193"/>
      <c r="CW702" s="249"/>
      <c r="CX702" s="216"/>
      <c r="CY702" s="305"/>
      <c r="CZ702" s="249"/>
      <c r="DA702" s="216"/>
      <c r="DB702" s="307"/>
      <c r="DC702" s="328"/>
      <c r="DD702" s="322"/>
      <c r="DE702" s="305"/>
      <c r="DF702" s="249"/>
      <c r="DG702" s="216"/>
      <c r="DH702" s="305"/>
      <c r="DI702" s="249"/>
      <c r="DJ702" s="216"/>
      <c r="DK702" s="309"/>
      <c r="DL702" s="293"/>
      <c r="DM702" s="326"/>
      <c r="DN702" s="1256"/>
      <c r="DO702" s="214"/>
      <c r="DP702" s="1257"/>
      <c r="DQ702" s="1258"/>
      <c r="DR702" s="305"/>
      <c r="DS702" s="249"/>
      <c r="DT702" s="216"/>
      <c r="DU702" s="305"/>
      <c r="DV702" s="2520"/>
      <c r="DW702" s="2521"/>
      <c r="DX702" s="305"/>
      <c r="DY702" s="249"/>
      <c r="DZ702" s="221"/>
      <c r="EA702" s="388"/>
      <c r="EB702" s="249"/>
      <c r="EC702" s="216"/>
      <c r="ED702" s="1461"/>
      <c r="EE702" s="249"/>
      <c r="EF702" s="216"/>
      <c r="EG702" s="355"/>
      <c r="EH702" s="1425"/>
      <c r="EI702" s="1470"/>
      <c r="EJ702" s="249"/>
      <c r="EK702" s="221"/>
      <c r="EL702" s="313"/>
      <c r="EM702" s="249"/>
      <c r="EN702" s="221"/>
      <c r="EO702" s="313"/>
      <c r="EP702" s="249"/>
      <c r="EQ702" s="216"/>
      <c r="ER702" s="313"/>
      <c r="ES702" s="249"/>
      <c r="ET702" s="216"/>
      <c r="EU702" s="313"/>
      <c r="EV702" s="249"/>
      <c r="EW702" s="216"/>
      <c r="EX702" s="2505"/>
      <c r="EY702" s="249"/>
      <c r="EZ702" s="221"/>
      <c r="FA702" s="313"/>
      <c r="FB702" s="249"/>
      <c r="FC702" s="221"/>
      <c r="FD702" s="313"/>
      <c r="FE702" s="249"/>
      <c r="FF702" s="221"/>
      <c r="FG702" s="313"/>
      <c r="FH702" s="249"/>
      <c r="FI702" s="216"/>
      <c r="FJ702" s="1435"/>
      <c r="FK702" s="216"/>
      <c r="FL702" s="1268"/>
      <c r="FM702" s="1655"/>
      <c r="FN702" s="1268"/>
      <c r="FO702" s="1655"/>
      <c r="FP702" s="1268"/>
      <c r="FQ702" s="1656"/>
      <c r="FR702" s="249"/>
      <c r="FS702" s="216"/>
      <c r="FT702" s="1657"/>
      <c r="FU702" s="1658"/>
      <c r="FV702" s="242"/>
      <c r="FW702" s="343"/>
      <c r="FX702" s="222"/>
      <c r="FY702" s="336"/>
      <c r="FZ702" s="223"/>
      <c r="GA702" s="338"/>
      <c r="GB702" s="204"/>
      <c r="GC702" s="339"/>
      <c r="GD702" s="342"/>
      <c r="GE702" s="199"/>
      <c r="GF702" s="199"/>
      <c r="GG702" s="199"/>
      <c r="GH702" s="199"/>
      <c r="GI702" s="199"/>
      <c r="GJ702" s="199"/>
      <c r="GK702" s="199"/>
      <c r="GO702" s="322"/>
      <c r="GP702" s="1190"/>
      <c r="GQ702" s="1190"/>
      <c r="GS702" s="2879"/>
      <c r="GT702" s="2880"/>
      <c r="GU702" s="2881"/>
    </row>
    <row r="703" spans="1:203" ht="12" customHeight="1">
      <c r="A703" s="1252"/>
      <c r="B703" s="200"/>
      <c r="C703" s="486"/>
      <c r="T703" s="1186"/>
      <c r="U703" s="233"/>
      <c r="W703" s="218"/>
      <c r="X703" s="218"/>
      <c r="Y703" s="216"/>
      <c r="Z703" s="216"/>
      <c r="AA703" s="215"/>
      <c r="AB703" s="216"/>
      <c r="AC703" s="216"/>
      <c r="AD703" s="239"/>
      <c r="AE703" s="216"/>
      <c r="AF703" s="216"/>
      <c r="AG703" s="216"/>
      <c r="AH703" s="216"/>
      <c r="AI703" s="216"/>
      <c r="AJ703" s="216"/>
      <c r="AK703" s="239"/>
      <c r="AL703" s="216"/>
      <c r="AM703" s="216"/>
      <c r="AN703" s="216"/>
      <c r="AO703" s="216"/>
      <c r="AP703" s="216"/>
      <c r="AQ703" s="216"/>
      <c r="AR703" s="216"/>
      <c r="AS703" s="216"/>
      <c r="AT703" s="216"/>
      <c r="AU703" s="216"/>
      <c r="AV703" s="217"/>
      <c r="AW703" s="355"/>
      <c r="AX703" s="217"/>
      <c r="AY703" s="305"/>
      <c r="AZ703" s="249"/>
      <c r="BA703" s="221"/>
      <c r="BB703" s="300"/>
      <c r="BC703" s="217"/>
      <c r="BD703" s="392"/>
      <c r="BE703" s="1244"/>
      <c r="BF703" s="249"/>
      <c r="BG703" s="252"/>
      <c r="BH703" s="1469"/>
      <c r="BI703" s="216"/>
      <c r="BJ703" s="1469"/>
      <c r="BK703" s="1459"/>
      <c r="BL703" s="260"/>
      <c r="BM703" s="214"/>
      <c r="BN703" s="293"/>
      <c r="BO703" s="217"/>
      <c r="BP703" s="355"/>
      <c r="BQ703" s="217"/>
      <c r="BR703" s="1193"/>
      <c r="BS703" s="249"/>
      <c r="BT703" s="216"/>
      <c r="BU703" s="1195"/>
      <c r="BV703" s="249"/>
      <c r="BW703" s="216"/>
      <c r="BX703" s="1195"/>
      <c r="BY703" s="249"/>
      <c r="BZ703" s="216"/>
      <c r="CA703" s="1195"/>
      <c r="CB703" s="249"/>
      <c r="CC703" s="216"/>
      <c r="CD703" s="1195"/>
      <c r="CE703" s="249"/>
      <c r="CF703" s="216"/>
      <c r="CG703" s="1195"/>
      <c r="CH703" s="249"/>
      <c r="CI703" s="216"/>
      <c r="CJ703" s="1195"/>
      <c r="CK703" s="249"/>
      <c r="CL703" s="216"/>
      <c r="CM703" s="1194"/>
      <c r="CN703" s="1524"/>
      <c r="CO703" s="217"/>
      <c r="CP703" s="1193"/>
      <c r="CQ703" s="293"/>
      <c r="CR703" s="217"/>
      <c r="CS703" s="305"/>
      <c r="CT703" s="249"/>
      <c r="CU703" s="216"/>
      <c r="CV703" s="1193"/>
      <c r="CW703" s="249"/>
      <c r="CX703" s="216"/>
      <c r="CY703" s="305"/>
      <c r="CZ703" s="249"/>
      <c r="DA703" s="216"/>
      <c r="DB703" s="307"/>
      <c r="DC703" s="328"/>
      <c r="DD703" s="322"/>
      <c r="DE703" s="305"/>
      <c r="DF703" s="249"/>
      <c r="DG703" s="216"/>
      <c r="DH703" s="305"/>
      <c r="DI703" s="249"/>
      <c r="DJ703" s="216"/>
      <c r="DK703" s="309"/>
      <c r="DL703" s="293"/>
      <c r="DM703" s="326"/>
      <c r="DN703" s="1256"/>
      <c r="DO703" s="214"/>
      <c r="DP703" s="1257"/>
      <c r="DQ703" s="1258"/>
      <c r="DR703" s="305"/>
      <c r="DS703" s="249"/>
      <c r="DT703" s="216"/>
      <c r="DU703" s="305"/>
      <c r="DV703" s="2520"/>
      <c r="DW703" s="2521"/>
      <c r="DX703" s="305"/>
      <c r="DY703" s="249"/>
      <c r="DZ703" s="221"/>
      <c r="EA703" s="388"/>
      <c r="EB703" s="249"/>
      <c r="EC703" s="216"/>
      <c r="ED703" s="1461"/>
      <c r="EE703" s="249"/>
      <c r="EF703" s="216"/>
      <c r="EG703" s="355"/>
      <c r="EH703" s="1425"/>
      <c r="EI703" s="1470"/>
      <c r="EJ703" s="249"/>
      <c r="EK703" s="221"/>
      <c r="EL703" s="313"/>
      <c r="EM703" s="249"/>
      <c r="EN703" s="221"/>
      <c r="EO703" s="313"/>
      <c r="EP703" s="249"/>
      <c r="EQ703" s="216"/>
      <c r="ER703" s="313"/>
      <c r="ES703" s="249"/>
      <c r="ET703" s="216"/>
      <c r="EU703" s="313"/>
      <c r="EV703" s="249"/>
      <c r="EW703" s="216"/>
      <c r="EX703" s="2505"/>
      <c r="EY703" s="249"/>
      <c r="EZ703" s="221"/>
      <c r="FA703" s="313"/>
      <c r="FB703" s="249"/>
      <c r="FC703" s="221"/>
      <c r="FD703" s="313"/>
      <c r="FE703" s="249"/>
      <c r="FF703" s="221"/>
      <c r="FG703" s="313"/>
      <c r="FH703" s="249"/>
      <c r="FI703" s="216"/>
      <c r="FJ703" s="1435"/>
      <c r="FK703" s="216"/>
      <c r="FL703" s="1268"/>
      <c r="FM703" s="1655"/>
      <c r="FN703" s="1268"/>
      <c r="FO703" s="1655"/>
      <c r="FP703" s="1268"/>
      <c r="FQ703" s="1656"/>
      <c r="FR703" s="249"/>
      <c r="FS703" s="216"/>
      <c r="FT703" s="1657"/>
      <c r="FU703" s="1658"/>
      <c r="FV703" s="242"/>
      <c r="FW703" s="343"/>
      <c r="FX703" s="222"/>
      <c r="FY703" s="336"/>
      <c r="FZ703" s="223"/>
      <c r="GA703" s="338"/>
      <c r="GB703" s="204"/>
      <c r="GC703" s="339"/>
      <c r="GD703" s="342"/>
      <c r="GE703" s="199"/>
      <c r="GF703" s="199"/>
      <c r="GG703" s="199"/>
      <c r="GH703" s="199"/>
      <c r="GI703" s="199"/>
      <c r="GJ703" s="199"/>
      <c r="GK703" s="199"/>
      <c r="GO703" s="322"/>
      <c r="GP703" s="1190"/>
      <c r="GQ703" s="1190"/>
      <c r="GS703" s="2879"/>
      <c r="GT703" s="2880"/>
      <c r="GU703" s="2881"/>
    </row>
    <row r="704" spans="1:203" ht="12" customHeight="1">
      <c r="A704" s="1252"/>
      <c r="B704" s="200"/>
      <c r="C704" s="486"/>
      <c r="T704" s="1186"/>
      <c r="U704" s="233"/>
      <c r="W704" s="218"/>
      <c r="X704" s="218"/>
      <c r="Y704" s="216"/>
      <c r="Z704" s="216"/>
      <c r="AA704" s="215"/>
      <c r="AB704" s="216"/>
      <c r="AC704" s="216"/>
      <c r="AD704" s="239"/>
      <c r="AE704" s="216"/>
      <c r="AF704" s="216"/>
      <c r="AG704" s="216"/>
      <c r="AH704" s="216"/>
      <c r="AI704" s="216"/>
      <c r="AJ704" s="216"/>
      <c r="AK704" s="239"/>
      <c r="AL704" s="216"/>
      <c r="AM704" s="216"/>
      <c r="AN704" s="216"/>
      <c r="AO704" s="216"/>
      <c r="AP704" s="216"/>
      <c r="AQ704" s="216"/>
      <c r="AR704" s="216"/>
      <c r="AS704" s="216"/>
      <c r="AT704" s="216"/>
      <c r="AU704" s="216"/>
      <c r="AV704" s="217"/>
      <c r="AW704" s="355"/>
      <c r="AX704" s="217"/>
      <c r="AY704" s="305"/>
      <c r="AZ704" s="249"/>
      <c r="BA704" s="221"/>
      <c r="BB704" s="300"/>
      <c r="BC704" s="217"/>
      <c r="BD704" s="392"/>
      <c r="BE704" s="1244"/>
      <c r="BF704" s="249"/>
      <c r="BG704" s="252"/>
      <c r="BH704" s="1469"/>
      <c r="BI704" s="216"/>
      <c r="BJ704" s="1469"/>
      <c r="BK704" s="1459"/>
      <c r="BL704" s="260"/>
      <c r="BM704" s="214"/>
      <c r="BN704" s="293"/>
      <c r="BO704" s="217"/>
      <c r="BP704" s="355"/>
      <c r="BQ704" s="217"/>
      <c r="BR704" s="1193"/>
      <c r="BS704" s="249"/>
      <c r="BT704" s="216"/>
      <c r="BU704" s="1195"/>
      <c r="BV704" s="249"/>
      <c r="BW704" s="216"/>
      <c r="BX704" s="1195"/>
      <c r="BY704" s="249"/>
      <c r="BZ704" s="216"/>
      <c r="CA704" s="1195"/>
      <c r="CB704" s="249"/>
      <c r="CC704" s="216"/>
      <c r="CD704" s="1195"/>
      <c r="CE704" s="249"/>
      <c r="CF704" s="216"/>
      <c r="CG704" s="1195"/>
      <c r="CH704" s="249"/>
      <c r="CI704" s="216"/>
      <c r="CJ704" s="1195"/>
      <c r="CK704" s="249"/>
      <c r="CL704" s="216"/>
      <c r="CM704" s="1194"/>
      <c r="CN704" s="1524"/>
      <c r="CO704" s="217"/>
      <c r="CP704" s="1193"/>
      <c r="CQ704" s="293"/>
      <c r="CR704" s="217"/>
      <c r="CS704" s="305"/>
      <c r="CT704" s="249"/>
      <c r="CU704" s="216"/>
      <c r="CV704" s="1193"/>
      <c r="CW704" s="249"/>
      <c r="CX704" s="216"/>
      <c r="CY704" s="305"/>
      <c r="CZ704" s="249"/>
      <c r="DA704" s="216"/>
      <c r="DB704" s="307"/>
      <c r="DC704" s="328"/>
      <c r="DD704" s="322"/>
      <c r="DE704" s="305"/>
      <c r="DF704" s="249"/>
      <c r="DG704" s="216"/>
      <c r="DH704" s="305"/>
      <c r="DI704" s="249"/>
      <c r="DJ704" s="216"/>
      <c r="DK704" s="309"/>
      <c r="DL704" s="293"/>
      <c r="DM704" s="326"/>
      <c r="DN704" s="1256"/>
      <c r="DO704" s="214"/>
      <c r="DP704" s="1257"/>
      <c r="DQ704" s="1258"/>
      <c r="DR704" s="305"/>
      <c r="DS704" s="249"/>
      <c r="DT704" s="216"/>
      <c r="DU704" s="305"/>
      <c r="DV704" s="2520"/>
      <c r="DW704" s="2521"/>
      <c r="DX704" s="305"/>
      <c r="DY704" s="249"/>
      <c r="DZ704" s="221"/>
      <c r="EA704" s="388"/>
      <c r="EB704" s="249"/>
      <c r="EC704" s="216"/>
      <c r="ED704" s="1461"/>
      <c r="EE704" s="249"/>
      <c r="EF704" s="216"/>
      <c r="EG704" s="355"/>
      <c r="EH704" s="1425"/>
      <c r="EI704" s="1470"/>
      <c r="EJ704" s="249"/>
      <c r="EK704" s="221"/>
      <c r="EL704" s="313"/>
      <c r="EM704" s="249"/>
      <c r="EN704" s="221"/>
      <c r="EO704" s="313"/>
      <c r="EP704" s="249"/>
      <c r="EQ704" s="216"/>
      <c r="ER704" s="313"/>
      <c r="ES704" s="249"/>
      <c r="ET704" s="216"/>
      <c r="EU704" s="313"/>
      <c r="EV704" s="249"/>
      <c r="EW704" s="216"/>
      <c r="EX704" s="2505"/>
      <c r="EY704" s="249"/>
      <c r="EZ704" s="221"/>
      <c r="FA704" s="313"/>
      <c r="FB704" s="249"/>
      <c r="FC704" s="221"/>
      <c r="FD704" s="313"/>
      <c r="FE704" s="249"/>
      <c r="FF704" s="221"/>
      <c r="FG704" s="313"/>
      <c r="FH704" s="249"/>
      <c r="FI704" s="216"/>
      <c r="FJ704" s="1435"/>
      <c r="FK704" s="216"/>
      <c r="FL704" s="1268"/>
      <c r="FM704" s="1655"/>
      <c r="FN704" s="1268"/>
      <c r="FO704" s="1655"/>
      <c r="FP704" s="1268"/>
      <c r="FQ704" s="1656"/>
      <c r="FR704" s="249"/>
      <c r="FS704" s="216"/>
      <c r="FT704" s="1657"/>
      <c r="FU704" s="1658"/>
      <c r="FV704" s="242"/>
      <c r="FW704" s="343"/>
      <c r="FX704" s="222"/>
      <c r="FY704" s="336"/>
      <c r="FZ704" s="223"/>
      <c r="GA704" s="338"/>
      <c r="GB704" s="204"/>
      <c r="GC704" s="339"/>
      <c r="GD704" s="342"/>
      <c r="GE704" s="199"/>
      <c r="GF704" s="199"/>
      <c r="GG704" s="199"/>
      <c r="GH704" s="199"/>
      <c r="GI704" s="199"/>
      <c r="GJ704" s="199"/>
      <c r="GK704" s="199"/>
      <c r="GO704" s="322"/>
      <c r="GP704" s="1190"/>
      <c r="GQ704" s="1190"/>
      <c r="GS704" s="2879"/>
      <c r="GT704" s="2880"/>
      <c r="GU704" s="2881"/>
    </row>
    <row r="705" spans="1:203" ht="12" customHeight="1">
      <c r="A705" s="1252"/>
      <c r="B705" s="200"/>
      <c r="C705" s="486"/>
      <c r="T705" s="1186"/>
      <c r="U705" s="233"/>
      <c r="W705" s="218"/>
      <c r="X705" s="218"/>
      <c r="Y705" s="216"/>
      <c r="Z705" s="216"/>
      <c r="AA705" s="215"/>
      <c r="AB705" s="216"/>
      <c r="AC705" s="216"/>
      <c r="AD705" s="239"/>
      <c r="AE705" s="216"/>
      <c r="AF705" s="216"/>
      <c r="AG705" s="216"/>
      <c r="AH705" s="216"/>
      <c r="AI705" s="216"/>
      <c r="AJ705" s="216"/>
      <c r="AK705" s="239"/>
      <c r="AL705" s="216"/>
      <c r="AM705" s="216"/>
      <c r="AN705" s="216"/>
      <c r="AO705" s="216"/>
      <c r="AP705" s="216"/>
      <c r="AQ705" s="216"/>
      <c r="AR705" s="216"/>
      <c r="AS705" s="216"/>
      <c r="AT705" s="216"/>
      <c r="AU705" s="216"/>
      <c r="AV705" s="217"/>
      <c r="AW705" s="355"/>
      <c r="AX705" s="217"/>
      <c r="AY705" s="305"/>
      <c r="AZ705" s="249"/>
      <c r="BA705" s="221"/>
      <c r="BB705" s="300"/>
      <c r="BC705" s="217"/>
      <c r="BD705" s="392"/>
      <c r="BE705" s="1244"/>
      <c r="BF705" s="249"/>
      <c r="BG705" s="252"/>
      <c r="BH705" s="1469"/>
      <c r="BI705" s="216"/>
      <c r="BJ705" s="1469"/>
      <c r="BK705" s="1459"/>
      <c r="BL705" s="260"/>
      <c r="BM705" s="214"/>
      <c r="BN705" s="293"/>
      <c r="BO705" s="217"/>
      <c r="BP705" s="355"/>
      <c r="BQ705" s="217"/>
      <c r="BR705" s="1193"/>
      <c r="BS705" s="249"/>
      <c r="BT705" s="216"/>
      <c r="BU705" s="1195"/>
      <c r="BV705" s="249"/>
      <c r="BW705" s="216"/>
      <c r="BX705" s="1195"/>
      <c r="BY705" s="249"/>
      <c r="BZ705" s="216"/>
      <c r="CA705" s="1195"/>
      <c r="CB705" s="249"/>
      <c r="CC705" s="216"/>
      <c r="CD705" s="1195"/>
      <c r="CE705" s="249"/>
      <c r="CF705" s="216"/>
      <c r="CG705" s="1195"/>
      <c r="CH705" s="249"/>
      <c r="CI705" s="216"/>
      <c r="CJ705" s="1195"/>
      <c r="CK705" s="249"/>
      <c r="CL705" s="216"/>
      <c r="CM705" s="1194"/>
      <c r="CN705" s="1524"/>
      <c r="CO705" s="217"/>
      <c r="CP705" s="1193"/>
      <c r="CQ705" s="293"/>
      <c r="CR705" s="217"/>
      <c r="CS705" s="305"/>
      <c r="CT705" s="249"/>
      <c r="CU705" s="216"/>
      <c r="CV705" s="1193"/>
      <c r="CW705" s="249"/>
      <c r="CX705" s="216"/>
      <c r="CY705" s="305"/>
      <c r="CZ705" s="249"/>
      <c r="DA705" s="216"/>
      <c r="DB705" s="307"/>
      <c r="DC705" s="328"/>
      <c r="DD705" s="322"/>
      <c r="DE705" s="305"/>
      <c r="DF705" s="249"/>
      <c r="DG705" s="216"/>
      <c r="DH705" s="305"/>
      <c r="DI705" s="249"/>
      <c r="DJ705" s="216"/>
      <c r="DK705" s="309"/>
      <c r="DL705" s="293"/>
      <c r="DM705" s="326"/>
      <c r="DN705" s="1256"/>
      <c r="DO705" s="214"/>
      <c r="DP705" s="1257"/>
      <c r="DQ705" s="1258"/>
      <c r="DR705" s="305"/>
      <c r="DS705" s="249"/>
      <c r="DT705" s="216"/>
      <c r="DU705" s="305"/>
      <c r="DV705" s="2520"/>
      <c r="DW705" s="2521"/>
      <c r="DX705" s="305"/>
      <c r="DY705" s="249"/>
      <c r="DZ705" s="221"/>
      <c r="EA705" s="388"/>
      <c r="EB705" s="249"/>
      <c r="EC705" s="216"/>
      <c r="ED705" s="1461"/>
      <c r="EE705" s="249"/>
      <c r="EF705" s="216"/>
      <c r="EG705" s="355"/>
      <c r="EH705" s="1425"/>
      <c r="EI705" s="1470"/>
      <c r="EJ705" s="249"/>
      <c r="EK705" s="221"/>
      <c r="EL705" s="313"/>
      <c r="EM705" s="249"/>
      <c r="EN705" s="221"/>
      <c r="EO705" s="313"/>
      <c r="EP705" s="249"/>
      <c r="EQ705" s="216"/>
      <c r="ER705" s="313"/>
      <c r="ES705" s="249"/>
      <c r="ET705" s="216"/>
      <c r="EU705" s="313"/>
      <c r="EV705" s="249"/>
      <c r="EW705" s="216"/>
      <c r="EX705" s="2505"/>
      <c r="EY705" s="249"/>
      <c r="EZ705" s="221"/>
      <c r="FA705" s="313"/>
      <c r="FB705" s="249"/>
      <c r="FC705" s="221"/>
      <c r="FD705" s="313"/>
      <c r="FE705" s="249"/>
      <c r="FF705" s="221"/>
      <c r="FG705" s="313"/>
      <c r="FH705" s="249"/>
      <c r="FI705" s="216"/>
      <c r="FJ705" s="1435"/>
      <c r="FK705" s="216"/>
      <c r="FL705" s="1268"/>
      <c r="FM705" s="1655"/>
      <c r="FN705" s="1268"/>
      <c r="FO705" s="1655"/>
      <c r="FP705" s="1268"/>
      <c r="FQ705" s="1656"/>
      <c r="FR705" s="249"/>
      <c r="FS705" s="216"/>
      <c r="FT705" s="1657"/>
      <c r="FU705" s="1658"/>
      <c r="FV705" s="242"/>
      <c r="FW705" s="343"/>
      <c r="FX705" s="222"/>
      <c r="FY705" s="336"/>
      <c r="FZ705" s="223"/>
      <c r="GA705" s="338"/>
      <c r="GB705" s="204"/>
      <c r="GC705" s="339"/>
      <c r="GD705" s="342"/>
      <c r="GE705" s="199"/>
      <c r="GF705" s="199"/>
      <c r="GG705" s="199"/>
      <c r="GH705" s="199"/>
      <c r="GI705" s="199"/>
      <c r="GJ705" s="199"/>
      <c r="GK705" s="199"/>
      <c r="GO705" s="322"/>
      <c r="GP705" s="1190"/>
      <c r="GQ705" s="1190"/>
      <c r="GS705" s="2879"/>
      <c r="GT705" s="2880"/>
      <c r="GU705" s="2881"/>
    </row>
    <row r="706" spans="1:203" ht="12" customHeight="1">
      <c r="A706" s="1252"/>
      <c r="B706" s="200"/>
      <c r="C706" s="486"/>
      <c r="T706" s="1186"/>
      <c r="U706" s="233"/>
      <c r="W706" s="218"/>
      <c r="X706" s="218"/>
      <c r="Y706" s="216"/>
      <c r="Z706" s="216"/>
      <c r="AA706" s="215"/>
      <c r="AB706" s="216"/>
      <c r="AC706" s="216"/>
      <c r="AD706" s="239"/>
      <c r="AE706" s="216"/>
      <c r="AF706" s="216"/>
      <c r="AG706" s="216"/>
      <c r="AH706" s="216"/>
      <c r="AI706" s="216"/>
      <c r="AJ706" s="216"/>
      <c r="AK706" s="239"/>
      <c r="AL706" s="216"/>
      <c r="AM706" s="216"/>
      <c r="AN706" s="216"/>
      <c r="AO706" s="216"/>
      <c r="AP706" s="216"/>
      <c r="AQ706" s="216"/>
      <c r="AR706" s="216"/>
      <c r="AS706" s="216"/>
      <c r="AT706" s="216"/>
      <c r="AU706" s="216"/>
      <c r="AV706" s="217"/>
      <c r="AW706" s="355"/>
      <c r="AX706" s="217"/>
      <c r="AY706" s="305"/>
      <c r="AZ706" s="249"/>
      <c r="BA706" s="221"/>
      <c r="BB706" s="300"/>
      <c r="BC706" s="217"/>
      <c r="BD706" s="392"/>
      <c r="BE706" s="1244"/>
      <c r="BF706" s="249"/>
      <c r="BG706" s="252"/>
      <c r="BH706" s="1469"/>
      <c r="BI706" s="216"/>
      <c r="BJ706" s="1469"/>
      <c r="BK706" s="1459"/>
      <c r="BL706" s="260"/>
      <c r="BM706" s="214"/>
      <c r="BN706" s="293"/>
      <c r="BO706" s="217"/>
      <c r="BP706" s="355"/>
      <c r="BQ706" s="217"/>
      <c r="BR706" s="1193"/>
      <c r="BS706" s="249"/>
      <c r="BT706" s="216"/>
      <c r="BU706" s="1195"/>
      <c r="BV706" s="249"/>
      <c r="BW706" s="216"/>
      <c r="BX706" s="1195"/>
      <c r="BY706" s="249"/>
      <c r="BZ706" s="216"/>
      <c r="CA706" s="1195"/>
      <c r="CB706" s="249"/>
      <c r="CC706" s="216"/>
      <c r="CD706" s="1195"/>
      <c r="CE706" s="249"/>
      <c r="CF706" s="216"/>
      <c r="CG706" s="1195"/>
      <c r="CH706" s="249"/>
      <c r="CI706" s="216"/>
      <c r="CJ706" s="1195"/>
      <c r="CK706" s="249"/>
      <c r="CL706" s="216"/>
      <c r="CM706" s="1194"/>
      <c r="CN706" s="1524"/>
      <c r="CO706" s="217"/>
      <c r="CP706" s="1193"/>
      <c r="CQ706" s="293"/>
      <c r="CR706" s="217"/>
      <c r="CS706" s="305"/>
      <c r="CT706" s="249"/>
      <c r="CU706" s="216"/>
      <c r="CV706" s="1193"/>
      <c r="CW706" s="249"/>
      <c r="CX706" s="216"/>
      <c r="CY706" s="305"/>
      <c r="CZ706" s="249"/>
      <c r="DA706" s="216"/>
      <c r="DB706" s="307"/>
      <c r="DC706" s="328"/>
      <c r="DD706" s="322"/>
      <c r="DE706" s="305"/>
      <c r="DF706" s="249"/>
      <c r="DG706" s="216"/>
      <c r="DH706" s="305"/>
      <c r="DI706" s="249"/>
      <c r="DJ706" s="216"/>
      <c r="DK706" s="309"/>
      <c r="DL706" s="293"/>
      <c r="DM706" s="326"/>
      <c r="DN706" s="1256"/>
      <c r="DO706" s="214"/>
      <c r="DP706" s="1257"/>
      <c r="DQ706" s="1258"/>
      <c r="DR706" s="305"/>
      <c r="DS706" s="249"/>
      <c r="DT706" s="216"/>
      <c r="DU706" s="305"/>
      <c r="DV706" s="2520"/>
      <c r="DW706" s="2521"/>
      <c r="DX706" s="305"/>
      <c r="DY706" s="249"/>
      <c r="DZ706" s="221"/>
      <c r="EA706" s="388"/>
      <c r="EB706" s="249"/>
      <c r="EC706" s="216"/>
      <c r="ED706" s="1461"/>
      <c r="EE706" s="249"/>
      <c r="EF706" s="216"/>
      <c r="EG706" s="355"/>
      <c r="EH706" s="1425"/>
      <c r="EI706" s="1470"/>
      <c r="EJ706" s="249"/>
      <c r="EK706" s="221"/>
      <c r="EL706" s="313"/>
      <c r="EM706" s="249"/>
      <c r="EN706" s="221"/>
      <c r="EO706" s="313"/>
      <c r="EP706" s="249"/>
      <c r="EQ706" s="216"/>
      <c r="ER706" s="313"/>
      <c r="ES706" s="249"/>
      <c r="ET706" s="216"/>
      <c r="EU706" s="313"/>
      <c r="EV706" s="249"/>
      <c r="EW706" s="216"/>
      <c r="EX706" s="2505"/>
      <c r="EY706" s="249"/>
      <c r="EZ706" s="221"/>
      <c r="FA706" s="313"/>
      <c r="FB706" s="249"/>
      <c r="FC706" s="221"/>
      <c r="FD706" s="313"/>
      <c r="FE706" s="249"/>
      <c r="FF706" s="221"/>
      <c r="FG706" s="313"/>
      <c r="FH706" s="249"/>
      <c r="FI706" s="216"/>
      <c r="FJ706" s="1435"/>
      <c r="FK706" s="216"/>
      <c r="FL706" s="1268"/>
      <c r="FM706" s="1655"/>
      <c r="FN706" s="1268"/>
      <c r="FO706" s="1655"/>
      <c r="FP706" s="1268"/>
      <c r="FQ706" s="1656"/>
      <c r="FR706" s="249"/>
      <c r="FS706" s="216"/>
      <c r="FT706" s="1657"/>
      <c r="FU706" s="1658"/>
      <c r="FV706" s="242"/>
      <c r="FW706" s="343"/>
      <c r="FX706" s="222"/>
      <c r="FY706" s="336"/>
      <c r="FZ706" s="223"/>
      <c r="GA706" s="338"/>
      <c r="GB706" s="204"/>
      <c r="GC706" s="339"/>
      <c r="GD706" s="342"/>
      <c r="GE706" s="199"/>
      <c r="GF706" s="199"/>
      <c r="GG706" s="199"/>
      <c r="GH706" s="199"/>
      <c r="GI706" s="199"/>
      <c r="GJ706" s="199"/>
      <c r="GK706" s="199"/>
      <c r="GO706" s="322"/>
      <c r="GP706" s="1190"/>
      <c r="GQ706" s="1190"/>
      <c r="GS706" s="2879"/>
      <c r="GT706" s="2880"/>
      <c r="GU706" s="2881"/>
    </row>
    <row r="707" spans="1:203" ht="12" customHeight="1">
      <c r="A707" s="1252"/>
      <c r="B707" s="200"/>
      <c r="C707" s="486"/>
      <c r="T707" s="1186"/>
      <c r="U707" s="233"/>
      <c r="W707" s="218"/>
      <c r="X707" s="218"/>
      <c r="Y707" s="216"/>
      <c r="Z707" s="216"/>
      <c r="AA707" s="215"/>
      <c r="AB707" s="216"/>
      <c r="AC707" s="216"/>
      <c r="AD707" s="239"/>
      <c r="AE707" s="216"/>
      <c r="AF707" s="216"/>
      <c r="AG707" s="216"/>
      <c r="AH707" s="216"/>
      <c r="AI707" s="216"/>
      <c r="AJ707" s="216"/>
      <c r="AK707" s="239"/>
      <c r="AL707" s="216"/>
      <c r="AM707" s="216"/>
      <c r="AN707" s="216"/>
      <c r="AO707" s="216"/>
      <c r="AP707" s="216"/>
      <c r="AQ707" s="216"/>
      <c r="AR707" s="216"/>
      <c r="AS707" s="216"/>
      <c r="AT707" s="216"/>
      <c r="AU707" s="216"/>
      <c r="AV707" s="217"/>
      <c r="AW707" s="355"/>
      <c r="AX707" s="217"/>
      <c r="AY707" s="305"/>
      <c r="AZ707" s="249"/>
      <c r="BA707" s="221"/>
      <c r="BB707" s="300"/>
      <c r="BC707" s="217"/>
      <c r="BD707" s="392"/>
      <c r="BE707" s="1244"/>
      <c r="BF707" s="249"/>
      <c r="BG707" s="252"/>
      <c r="BH707" s="1469"/>
      <c r="BI707" s="216"/>
      <c r="BJ707" s="1469"/>
      <c r="BK707" s="1459"/>
      <c r="BL707" s="260"/>
      <c r="BM707" s="214"/>
      <c r="BN707" s="293"/>
      <c r="BO707" s="217"/>
      <c r="BP707" s="355"/>
      <c r="BQ707" s="217"/>
      <c r="BR707" s="1193"/>
      <c r="BS707" s="249"/>
      <c r="BT707" s="216"/>
      <c r="BU707" s="1195"/>
      <c r="BV707" s="249"/>
      <c r="BW707" s="216"/>
      <c r="BX707" s="1195"/>
      <c r="BY707" s="249"/>
      <c r="BZ707" s="216"/>
      <c r="CA707" s="1195"/>
      <c r="CB707" s="249"/>
      <c r="CC707" s="216"/>
      <c r="CD707" s="1195"/>
      <c r="CE707" s="249"/>
      <c r="CF707" s="216"/>
      <c r="CG707" s="1195"/>
      <c r="CH707" s="249"/>
      <c r="CI707" s="216"/>
      <c r="CJ707" s="1195"/>
      <c r="CK707" s="249"/>
      <c r="CL707" s="216"/>
      <c r="CM707" s="1194"/>
      <c r="CN707" s="1524"/>
      <c r="CO707" s="217"/>
      <c r="CP707" s="1193"/>
      <c r="CQ707" s="293"/>
      <c r="CR707" s="217"/>
      <c r="CS707" s="305"/>
      <c r="CT707" s="249"/>
      <c r="CU707" s="216"/>
      <c r="CV707" s="1193"/>
      <c r="CW707" s="249"/>
      <c r="CX707" s="216"/>
      <c r="CY707" s="305"/>
      <c r="CZ707" s="249"/>
      <c r="DA707" s="216"/>
      <c r="DB707" s="307"/>
      <c r="DC707" s="328"/>
      <c r="DD707" s="322"/>
      <c r="DE707" s="305"/>
      <c r="DF707" s="249"/>
      <c r="DG707" s="216"/>
      <c r="DH707" s="305"/>
      <c r="DI707" s="249"/>
      <c r="DJ707" s="216"/>
      <c r="DK707" s="309"/>
      <c r="DL707" s="293"/>
      <c r="DM707" s="326"/>
      <c r="DN707" s="1256"/>
      <c r="DO707" s="214"/>
      <c r="DP707" s="1257"/>
      <c r="DQ707" s="1258"/>
      <c r="DR707" s="305"/>
      <c r="DS707" s="249"/>
      <c r="DT707" s="216"/>
      <c r="DU707" s="305"/>
      <c r="DV707" s="2520"/>
      <c r="DW707" s="2521"/>
      <c r="DX707" s="305"/>
      <c r="DY707" s="249"/>
      <c r="DZ707" s="221"/>
      <c r="EA707" s="388"/>
      <c r="EB707" s="249"/>
      <c r="EC707" s="216"/>
      <c r="ED707" s="1461"/>
      <c r="EE707" s="249"/>
      <c r="EF707" s="216"/>
      <c r="EG707" s="355"/>
      <c r="EH707" s="1425"/>
      <c r="EI707" s="1470"/>
      <c r="EJ707" s="249"/>
      <c r="EK707" s="221"/>
      <c r="EL707" s="313"/>
      <c r="EM707" s="249"/>
      <c r="EN707" s="221"/>
      <c r="EO707" s="313"/>
      <c r="EP707" s="249"/>
      <c r="EQ707" s="216"/>
      <c r="ER707" s="313"/>
      <c r="ES707" s="249"/>
      <c r="ET707" s="216"/>
      <c r="EU707" s="313"/>
      <c r="EV707" s="249"/>
      <c r="EW707" s="216"/>
      <c r="EX707" s="2505"/>
      <c r="EY707" s="249"/>
      <c r="EZ707" s="221"/>
      <c r="FA707" s="313"/>
      <c r="FB707" s="249"/>
      <c r="FC707" s="221"/>
      <c r="FD707" s="313"/>
      <c r="FE707" s="249"/>
      <c r="FF707" s="221"/>
      <c r="FG707" s="313"/>
      <c r="FH707" s="249"/>
      <c r="FI707" s="216"/>
      <c r="FJ707" s="1435"/>
      <c r="FK707" s="216"/>
      <c r="FL707" s="1268"/>
      <c r="FM707" s="1655"/>
      <c r="FN707" s="1268"/>
      <c r="FO707" s="1655"/>
      <c r="FP707" s="1268"/>
      <c r="FQ707" s="1656"/>
      <c r="FR707" s="249"/>
      <c r="FS707" s="216"/>
      <c r="FT707" s="1657"/>
      <c r="FU707" s="1658"/>
      <c r="FV707" s="242"/>
      <c r="FW707" s="343"/>
      <c r="FX707" s="222"/>
      <c r="FY707" s="336"/>
      <c r="FZ707" s="223"/>
      <c r="GA707" s="338"/>
      <c r="GB707" s="204"/>
      <c r="GC707" s="339"/>
      <c r="GD707" s="342"/>
      <c r="GE707" s="199"/>
      <c r="GF707" s="199"/>
      <c r="GG707" s="199"/>
      <c r="GH707" s="199"/>
      <c r="GI707" s="199"/>
      <c r="GJ707" s="199"/>
      <c r="GK707" s="199"/>
      <c r="GO707" s="322"/>
      <c r="GP707" s="1190"/>
      <c r="GQ707" s="1190"/>
      <c r="GS707" s="2879"/>
      <c r="GT707" s="2880"/>
      <c r="GU707" s="2881"/>
    </row>
    <row r="708" spans="1:203" ht="12" customHeight="1">
      <c r="A708" s="1252"/>
      <c r="B708" s="200"/>
      <c r="C708" s="486"/>
      <c r="T708" s="1186"/>
      <c r="U708" s="233"/>
      <c r="W708" s="218"/>
      <c r="X708" s="218"/>
      <c r="Y708" s="216"/>
      <c r="Z708" s="216"/>
      <c r="AA708" s="215"/>
      <c r="AB708" s="216"/>
      <c r="AC708" s="216"/>
      <c r="AD708" s="239"/>
      <c r="AE708" s="216"/>
      <c r="AF708" s="216"/>
      <c r="AG708" s="216"/>
      <c r="AH708" s="216"/>
      <c r="AI708" s="216"/>
      <c r="AJ708" s="216"/>
      <c r="AK708" s="239"/>
      <c r="AL708" s="216"/>
      <c r="AM708" s="216"/>
      <c r="AN708" s="216"/>
      <c r="AO708" s="216"/>
      <c r="AP708" s="216"/>
      <c r="AQ708" s="216"/>
      <c r="AR708" s="216"/>
      <c r="AS708" s="216"/>
      <c r="AT708" s="216"/>
      <c r="AU708" s="216"/>
      <c r="AV708" s="217"/>
      <c r="AW708" s="355"/>
      <c r="AX708" s="217"/>
      <c r="AY708" s="305"/>
      <c r="AZ708" s="249"/>
      <c r="BA708" s="221"/>
      <c r="BB708" s="300"/>
      <c r="BC708" s="217"/>
      <c r="BD708" s="392"/>
      <c r="BE708" s="1244"/>
      <c r="BF708" s="249"/>
      <c r="BG708" s="252"/>
      <c r="BH708" s="1469"/>
      <c r="BI708" s="216"/>
      <c r="BJ708" s="1469"/>
      <c r="BK708" s="1459"/>
      <c r="BL708" s="260"/>
      <c r="BM708" s="214"/>
      <c r="BN708" s="293"/>
      <c r="BO708" s="217"/>
      <c r="BP708" s="355"/>
      <c r="BQ708" s="217"/>
      <c r="BR708" s="1193"/>
      <c r="BS708" s="249"/>
      <c r="BT708" s="216"/>
      <c r="BU708" s="1195"/>
      <c r="BV708" s="249"/>
      <c r="BW708" s="216"/>
      <c r="BX708" s="1195"/>
      <c r="BY708" s="249"/>
      <c r="BZ708" s="216"/>
      <c r="CA708" s="1195"/>
      <c r="CB708" s="249"/>
      <c r="CC708" s="216"/>
      <c r="CD708" s="1195"/>
      <c r="CE708" s="249"/>
      <c r="CF708" s="216"/>
      <c r="CG708" s="1195"/>
      <c r="CH708" s="249"/>
      <c r="CI708" s="216"/>
      <c r="CJ708" s="1195"/>
      <c r="CK708" s="249"/>
      <c r="CL708" s="216"/>
      <c r="CM708" s="1194"/>
      <c r="CN708" s="1524"/>
      <c r="CO708" s="217"/>
      <c r="CP708" s="1193"/>
      <c r="CQ708" s="293"/>
      <c r="CR708" s="217"/>
      <c r="CS708" s="305"/>
      <c r="CT708" s="249"/>
      <c r="CU708" s="216"/>
      <c r="CV708" s="1193"/>
      <c r="CW708" s="249"/>
      <c r="CX708" s="216"/>
      <c r="CY708" s="305"/>
      <c r="CZ708" s="249"/>
      <c r="DA708" s="216"/>
      <c r="DB708" s="307"/>
      <c r="DC708" s="328"/>
      <c r="DD708" s="322"/>
      <c r="DE708" s="305"/>
      <c r="DF708" s="249"/>
      <c r="DG708" s="216"/>
      <c r="DH708" s="305"/>
      <c r="DI708" s="249"/>
      <c r="DJ708" s="216"/>
      <c r="DK708" s="309"/>
      <c r="DL708" s="293"/>
      <c r="DM708" s="326"/>
      <c r="DN708" s="1256"/>
      <c r="DO708" s="214"/>
      <c r="DP708" s="1257"/>
      <c r="DQ708" s="1258"/>
      <c r="DR708" s="305"/>
      <c r="DS708" s="249"/>
      <c r="DT708" s="216"/>
      <c r="DU708" s="305"/>
      <c r="DV708" s="2520"/>
      <c r="DW708" s="2521"/>
      <c r="DX708" s="305"/>
      <c r="DY708" s="249"/>
      <c r="DZ708" s="221"/>
      <c r="EA708" s="388"/>
      <c r="EB708" s="249"/>
      <c r="EC708" s="216"/>
      <c r="ED708" s="1461"/>
      <c r="EE708" s="249"/>
      <c r="EF708" s="216"/>
      <c r="EG708" s="355"/>
      <c r="EH708" s="1425"/>
      <c r="EI708" s="1470"/>
      <c r="EJ708" s="249"/>
      <c r="EK708" s="221"/>
      <c r="EL708" s="313"/>
      <c r="EM708" s="249"/>
      <c r="EN708" s="221"/>
      <c r="EO708" s="313"/>
      <c r="EP708" s="249"/>
      <c r="EQ708" s="216"/>
      <c r="ER708" s="313"/>
      <c r="ES708" s="249"/>
      <c r="ET708" s="216"/>
      <c r="EU708" s="313"/>
      <c r="EV708" s="249"/>
      <c r="EW708" s="216"/>
      <c r="EX708" s="2505"/>
      <c r="EY708" s="249"/>
      <c r="EZ708" s="221"/>
      <c r="FA708" s="313"/>
      <c r="FB708" s="249"/>
      <c r="FC708" s="221"/>
      <c r="FD708" s="313"/>
      <c r="FE708" s="249"/>
      <c r="FF708" s="221"/>
      <c r="FG708" s="313"/>
      <c r="FH708" s="249"/>
      <c r="FI708" s="216"/>
      <c r="FJ708" s="1435"/>
      <c r="FK708" s="216"/>
      <c r="FL708" s="1268"/>
      <c r="FM708" s="1655"/>
      <c r="FN708" s="1268"/>
      <c r="FO708" s="1655"/>
      <c r="FP708" s="1268"/>
      <c r="FQ708" s="1656"/>
      <c r="FR708" s="249"/>
      <c r="FS708" s="216"/>
      <c r="FT708" s="1657"/>
      <c r="FU708" s="1658"/>
      <c r="FV708" s="242"/>
      <c r="FW708" s="343"/>
      <c r="FX708" s="222"/>
      <c r="FY708" s="336"/>
      <c r="FZ708" s="223"/>
      <c r="GA708" s="338"/>
      <c r="GB708" s="204"/>
      <c r="GC708" s="339"/>
      <c r="GD708" s="342"/>
      <c r="GE708" s="199"/>
      <c r="GF708" s="199"/>
      <c r="GG708" s="199"/>
      <c r="GH708" s="199"/>
      <c r="GI708" s="199"/>
      <c r="GJ708" s="199"/>
      <c r="GK708" s="199"/>
      <c r="GO708" s="322"/>
      <c r="GP708" s="1190"/>
      <c r="GQ708" s="1190"/>
      <c r="GS708" s="2879"/>
      <c r="GT708" s="2880"/>
      <c r="GU708" s="2881"/>
    </row>
    <row r="709" spans="1:203" ht="12" customHeight="1">
      <c r="A709" s="1252"/>
      <c r="B709" s="200"/>
      <c r="C709" s="486"/>
      <c r="T709" s="1186"/>
      <c r="U709" s="233"/>
      <c r="W709" s="218"/>
      <c r="X709" s="218"/>
      <c r="Y709" s="216"/>
      <c r="Z709" s="216"/>
      <c r="AA709" s="215"/>
      <c r="AB709" s="216"/>
      <c r="AC709" s="216"/>
      <c r="AD709" s="239"/>
      <c r="AE709" s="216"/>
      <c r="AF709" s="216"/>
      <c r="AG709" s="216"/>
      <c r="AH709" s="216"/>
      <c r="AI709" s="216"/>
      <c r="AJ709" s="216"/>
      <c r="AK709" s="239"/>
      <c r="AL709" s="216"/>
      <c r="AM709" s="216"/>
      <c r="AN709" s="216"/>
      <c r="AO709" s="216"/>
      <c r="AP709" s="216"/>
      <c r="AQ709" s="216"/>
      <c r="AR709" s="216"/>
      <c r="AS709" s="216"/>
      <c r="AT709" s="216"/>
      <c r="AU709" s="216"/>
      <c r="AV709" s="217"/>
      <c r="AW709" s="355"/>
      <c r="AX709" s="217"/>
      <c r="AY709" s="305"/>
      <c r="AZ709" s="249"/>
      <c r="BA709" s="221"/>
      <c r="BB709" s="300"/>
      <c r="BC709" s="217"/>
      <c r="BD709" s="392"/>
      <c r="BE709" s="1244"/>
      <c r="BF709" s="249"/>
      <c r="BG709" s="252"/>
      <c r="BH709" s="1469"/>
      <c r="BI709" s="216"/>
      <c r="BJ709" s="1469"/>
      <c r="BK709" s="1459"/>
      <c r="BL709" s="260"/>
      <c r="BM709" s="214"/>
      <c r="BN709" s="293"/>
      <c r="BO709" s="217"/>
      <c r="BP709" s="355"/>
      <c r="BQ709" s="217"/>
      <c r="BR709" s="1193"/>
      <c r="BS709" s="249"/>
      <c r="BT709" s="216"/>
      <c r="BU709" s="1195"/>
      <c r="BV709" s="249"/>
      <c r="BW709" s="216"/>
      <c r="BX709" s="1195"/>
      <c r="BY709" s="249"/>
      <c r="BZ709" s="216"/>
      <c r="CA709" s="1195"/>
      <c r="CB709" s="249"/>
      <c r="CC709" s="216"/>
      <c r="CD709" s="1195"/>
      <c r="CE709" s="249"/>
      <c r="CF709" s="216"/>
      <c r="CG709" s="1195"/>
      <c r="CH709" s="249"/>
      <c r="CI709" s="216"/>
      <c r="CJ709" s="1195"/>
      <c r="CK709" s="249"/>
      <c r="CL709" s="216"/>
      <c r="CM709" s="1194"/>
      <c r="CN709" s="1524"/>
      <c r="CO709" s="217"/>
      <c r="CP709" s="1193"/>
      <c r="CQ709" s="293"/>
      <c r="CR709" s="217"/>
      <c r="CS709" s="305"/>
      <c r="CT709" s="249"/>
      <c r="CU709" s="216"/>
      <c r="CV709" s="1193"/>
      <c r="CW709" s="249"/>
      <c r="CX709" s="216"/>
      <c r="CY709" s="305"/>
      <c r="CZ709" s="249"/>
      <c r="DA709" s="216"/>
      <c r="DB709" s="307"/>
      <c r="DC709" s="328"/>
      <c r="DD709" s="322"/>
      <c r="DE709" s="305"/>
      <c r="DF709" s="249"/>
      <c r="DG709" s="216"/>
      <c r="DH709" s="305"/>
      <c r="DI709" s="249"/>
      <c r="DJ709" s="216"/>
      <c r="DK709" s="309"/>
      <c r="DL709" s="293"/>
      <c r="DM709" s="326"/>
      <c r="DN709" s="1256"/>
      <c r="DO709" s="214"/>
      <c r="DP709" s="1257"/>
      <c r="DQ709" s="1258"/>
      <c r="DR709" s="305"/>
      <c r="DS709" s="249"/>
      <c r="DT709" s="216"/>
      <c r="DU709" s="305"/>
      <c r="DV709" s="2520"/>
      <c r="DW709" s="2521"/>
      <c r="DX709" s="305"/>
      <c r="DY709" s="249"/>
      <c r="DZ709" s="221"/>
      <c r="EA709" s="388"/>
      <c r="EB709" s="249"/>
      <c r="EC709" s="216"/>
      <c r="ED709" s="1461"/>
      <c r="EE709" s="249"/>
      <c r="EF709" s="216"/>
      <c r="EG709" s="355"/>
      <c r="EH709" s="1425"/>
      <c r="EI709" s="1470"/>
      <c r="EJ709" s="249"/>
      <c r="EK709" s="221"/>
      <c r="EL709" s="313"/>
      <c r="EM709" s="249"/>
      <c r="EN709" s="221"/>
      <c r="EO709" s="313"/>
      <c r="EP709" s="249"/>
      <c r="EQ709" s="216"/>
      <c r="ER709" s="313"/>
      <c r="ES709" s="249"/>
      <c r="ET709" s="216"/>
      <c r="EU709" s="313"/>
      <c r="EV709" s="249"/>
      <c r="EW709" s="216"/>
      <c r="EX709" s="2505"/>
      <c r="EY709" s="249"/>
      <c r="EZ709" s="221"/>
      <c r="FA709" s="313"/>
      <c r="FB709" s="249"/>
      <c r="FC709" s="221"/>
      <c r="FD709" s="313"/>
      <c r="FE709" s="249"/>
      <c r="FF709" s="221"/>
      <c r="FG709" s="313"/>
      <c r="FH709" s="249"/>
      <c r="FI709" s="216"/>
      <c r="FJ709" s="1435"/>
      <c r="FK709" s="216"/>
      <c r="FL709" s="1268"/>
      <c r="FM709" s="1655"/>
      <c r="FN709" s="1268"/>
      <c r="FO709" s="1655"/>
      <c r="FP709" s="1268"/>
      <c r="FQ709" s="1656"/>
      <c r="FR709" s="249"/>
      <c r="FS709" s="216"/>
      <c r="FT709" s="1657"/>
      <c r="FU709" s="1658"/>
      <c r="FV709" s="242"/>
      <c r="FW709" s="343"/>
      <c r="FX709" s="222"/>
      <c r="FY709" s="336"/>
      <c r="FZ709" s="223"/>
      <c r="GA709" s="338"/>
      <c r="GB709" s="204"/>
      <c r="GC709" s="339"/>
      <c r="GD709" s="342"/>
      <c r="GE709" s="199"/>
      <c r="GF709" s="199"/>
      <c r="GG709" s="199"/>
      <c r="GH709" s="199"/>
      <c r="GI709" s="199"/>
      <c r="GJ709" s="199"/>
      <c r="GK709" s="199"/>
      <c r="GO709" s="322"/>
      <c r="GP709" s="1190"/>
      <c r="GQ709" s="1190"/>
      <c r="GS709" s="2879"/>
      <c r="GT709" s="2880"/>
      <c r="GU709" s="2881"/>
    </row>
    <row r="710" spans="1:203" ht="12" customHeight="1">
      <c r="A710" s="1252"/>
      <c r="B710" s="200"/>
      <c r="C710" s="486"/>
      <c r="T710" s="1186"/>
      <c r="U710" s="233"/>
      <c r="W710" s="218"/>
      <c r="X710" s="218"/>
      <c r="Y710" s="216"/>
      <c r="Z710" s="216"/>
      <c r="AA710" s="215"/>
      <c r="AB710" s="216"/>
      <c r="AC710" s="216"/>
      <c r="AD710" s="239"/>
      <c r="AE710" s="216"/>
      <c r="AF710" s="216"/>
      <c r="AG710" s="216"/>
      <c r="AH710" s="216"/>
      <c r="AI710" s="216"/>
      <c r="AJ710" s="216"/>
      <c r="AK710" s="239"/>
      <c r="AL710" s="216"/>
      <c r="AM710" s="216"/>
      <c r="AN710" s="216"/>
      <c r="AO710" s="216"/>
      <c r="AP710" s="216"/>
      <c r="AQ710" s="216"/>
      <c r="AR710" s="216"/>
      <c r="AS710" s="216"/>
      <c r="AT710" s="216"/>
      <c r="AU710" s="216"/>
      <c r="AV710" s="217"/>
      <c r="AW710" s="355"/>
      <c r="AX710" s="217"/>
      <c r="AY710" s="305"/>
      <c r="AZ710" s="249"/>
      <c r="BA710" s="221"/>
      <c r="BB710" s="300"/>
      <c r="BC710" s="217"/>
      <c r="BD710" s="392"/>
      <c r="BE710" s="1244"/>
      <c r="BF710" s="249"/>
      <c r="BG710" s="252"/>
      <c r="BH710" s="1469"/>
      <c r="BI710" s="216"/>
      <c r="BJ710" s="1469"/>
      <c r="BK710" s="1459"/>
      <c r="BL710" s="260"/>
      <c r="BM710" s="214"/>
      <c r="BN710" s="293"/>
      <c r="BO710" s="217"/>
      <c r="BP710" s="355"/>
      <c r="BQ710" s="217"/>
      <c r="BR710" s="1193"/>
      <c r="BS710" s="249"/>
      <c r="BT710" s="216"/>
      <c r="BU710" s="1195"/>
      <c r="BV710" s="249"/>
      <c r="BW710" s="216"/>
      <c r="BX710" s="1195"/>
      <c r="BY710" s="249"/>
      <c r="BZ710" s="216"/>
      <c r="CA710" s="1195"/>
      <c r="CB710" s="249"/>
      <c r="CC710" s="216"/>
      <c r="CD710" s="1195"/>
      <c r="CE710" s="249"/>
      <c r="CF710" s="216"/>
      <c r="CG710" s="1195"/>
      <c r="CH710" s="249"/>
      <c r="CI710" s="216"/>
      <c r="CJ710" s="1195"/>
      <c r="CK710" s="249"/>
      <c r="CL710" s="216"/>
      <c r="CM710" s="1194"/>
      <c r="CN710" s="1524"/>
      <c r="CO710" s="217"/>
      <c r="CP710" s="1193"/>
      <c r="CQ710" s="293"/>
      <c r="CR710" s="217"/>
      <c r="CS710" s="305"/>
      <c r="CT710" s="249"/>
      <c r="CU710" s="216"/>
      <c r="CV710" s="1193"/>
      <c r="CW710" s="249"/>
      <c r="CX710" s="216"/>
      <c r="CY710" s="305"/>
      <c r="CZ710" s="249"/>
      <c r="DA710" s="216"/>
      <c r="DB710" s="307"/>
      <c r="DC710" s="328"/>
      <c r="DD710" s="322"/>
      <c r="DE710" s="305"/>
      <c r="DF710" s="249"/>
      <c r="DG710" s="216"/>
      <c r="DH710" s="305"/>
      <c r="DI710" s="249"/>
      <c r="DJ710" s="216"/>
      <c r="DK710" s="309"/>
      <c r="DL710" s="293"/>
      <c r="DM710" s="326"/>
      <c r="DN710" s="1256"/>
      <c r="DO710" s="214"/>
      <c r="DP710" s="1257"/>
      <c r="DQ710" s="1258"/>
      <c r="DR710" s="305"/>
      <c r="DS710" s="249"/>
      <c r="DT710" s="216"/>
      <c r="DU710" s="305"/>
      <c r="DV710" s="2520"/>
      <c r="DW710" s="2521"/>
      <c r="DX710" s="305"/>
      <c r="DY710" s="249"/>
      <c r="DZ710" s="221"/>
      <c r="EA710" s="388"/>
      <c r="EB710" s="249"/>
      <c r="EC710" s="216"/>
      <c r="ED710" s="1461"/>
      <c r="EE710" s="249"/>
      <c r="EF710" s="216"/>
      <c r="EG710" s="355"/>
      <c r="EH710" s="1425"/>
      <c r="EI710" s="1470"/>
      <c r="EJ710" s="249"/>
      <c r="EK710" s="221"/>
      <c r="EL710" s="313"/>
      <c r="EM710" s="249"/>
      <c r="EN710" s="221"/>
      <c r="EO710" s="313"/>
      <c r="EP710" s="249"/>
      <c r="EQ710" s="216"/>
      <c r="ER710" s="313"/>
      <c r="ES710" s="249"/>
      <c r="ET710" s="216"/>
      <c r="EU710" s="313"/>
      <c r="EV710" s="249"/>
      <c r="EW710" s="216"/>
      <c r="EX710" s="2505"/>
      <c r="EY710" s="249"/>
      <c r="EZ710" s="221"/>
      <c r="FA710" s="313"/>
      <c r="FB710" s="249"/>
      <c r="FC710" s="221"/>
      <c r="FD710" s="313"/>
      <c r="FE710" s="249"/>
      <c r="FF710" s="221"/>
      <c r="FG710" s="313"/>
      <c r="FH710" s="249"/>
      <c r="FI710" s="216"/>
      <c r="FJ710" s="1435"/>
      <c r="FK710" s="216"/>
      <c r="FL710" s="1268"/>
      <c r="FM710" s="1655"/>
      <c r="FN710" s="1268"/>
      <c r="FO710" s="1655"/>
      <c r="FP710" s="1268"/>
      <c r="FQ710" s="1656"/>
      <c r="FR710" s="249"/>
      <c r="FS710" s="216"/>
      <c r="FT710" s="1657"/>
      <c r="FU710" s="1658"/>
      <c r="FV710" s="242"/>
      <c r="FW710" s="343"/>
      <c r="FX710" s="222"/>
      <c r="FY710" s="336"/>
      <c r="FZ710" s="223"/>
      <c r="GA710" s="338"/>
      <c r="GB710" s="204"/>
      <c r="GC710" s="339"/>
      <c r="GD710" s="342"/>
      <c r="GE710" s="199"/>
      <c r="GF710" s="199"/>
      <c r="GG710" s="199"/>
      <c r="GH710" s="199"/>
      <c r="GI710" s="199"/>
      <c r="GJ710" s="199"/>
      <c r="GK710" s="199"/>
      <c r="GO710" s="322"/>
      <c r="GP710" s="1190"/>
      <c r="GQ710" s="1190"/>
      <c r="GS710" s="2879"/>
      <c r="GT710" s="2880"/>
      <c r="GU710" s="2881"/>
    </row>
    <row r="711" spans="1:203" ht="12" customHeight="1">
      <c r="A711" s="1252"/>
      <c r="B711" s="200"/>
      <c r="C711" s="486"/>
      <c r="T711" s="1186"/>
      <c r="U711" s="233"/>
      <c r="W711" s="218"/>
      <c r="X711" s="218"/>
      <c r="Y711" s="216"/>
      <c r="Z711" s="216"/>
      <c r="AA711" s="215"/>
      <c r="AB711" s="216"/>
      <c r="AC711" s="216"/>
      <c r="AD711" s="239"/>
      <c r="AE711" s="216"/>
      <c r="AF711" s="216"/>
      <c r="AG711" s="216"/>
      <c r="AH711" s="216"/>
      <c r="AI711" s="216"/>
      <c r="AJ711" s="216"/>
      <c r="AK711" s="239"/>
      <c r="AL711" s="216"/>
      <c r="AM711" s="216"/>
      <c r="AN711" s="216"/>
      <c r="AO711" s="216"/>
      <c r="AP711" s="216"/>
      <c r="AQ711" s="216"/>
      <c r="AR711" s="216"/>
      <c r="AS711" s="216"/>
      <c r="AT711" s="216"/>
      <c r="AU711" s="216"/>
      <c r="AV711" s="217"/>
      <c r="AW711" s="355"/>
      <c r="AX711" s="217"/>
      <c r="AY711" s="305"/>
      <c r="AZ711" s="249"/>
      <c r="BA711" s="221"/>
      <c r="BB711" s="300"/>
      <c r="BC711" s="217"/>
      <c r="BD711" s="392"/>
      <c r="BE711" s="1244"/>
      <c r="BF711" s="249"/>
      <c r="BG711" s="252"/>
      <c r="BH711" s="1469"/>
      <c r="BI711" s="216"/>
      <c r="BJ711" s="1469"/>
      <c r="BK711" s="1459"/>
      <c r="BL711" s="260"/>
      <c r="BM711" s="214"/>
      <c r="BN711" s="293"/>
      <c r="BO711" s="217"/>
      <c r="BP711" s="355"/>
      <c r="BQ711" s="217"/>
      <c r="BR711" s="1193"/>
      <c r="BS711" s="249"/>
      <c r="BT711" s="216"/>
      <c r="BU711" s="1195"/>
      <c r="BV711" s="249"/>
      <c r="BW711" s="216"/>
      <c r="BX711" s="1195"/>
      <c r="BY711" s="249"/>
      <c r="BZ711" s="216"/>
      <c r="CA711" s="1195"/>
      <c r="CB711" s="249"/>
      <c r="CC711" s="216"/>
      <c r="CD711" s="1195"/>
      <c r="CE711" s="249"/>
      <c r="CF711" s="216"/>
      <c r="CG711" s="1195"/>
      <c r="CH711" s="249"/>
      <c r="CI711" s="216"/>
      <c r="CJ711" s="1195"/>
      <c r="CK711" s="249"/>
      <c r="CL711" s="216"/>
      <c r="CM711" s="1194"/>
      <c r="CN711" s="1524"/>
      <c r="CO711" s="217"/>
      <c r="CP711" s="1193"/>
      <c r="CQ711" s="293"/>
      <c r="CR711" s="217"/>
      <c r="CS711" s="305"/>
      <c r="CT711" s="249"/>
      <c r="CU711" s="216"/>
      <c r="CV711" s="1193"/>
      <c r="CW711" s="249"/>
      <c r="CX711" s="216"/>
      <c r="CY711" s="305"/>
      <c r="CZ711" s="249"/>
      <c r="DA711" s="216"/>
      <c r="DB711" s="307"/>
      <c r="DC711" s="328"/>
      <c r="DD711" s="322"/>
      <c r="DE711" s="305"/>
      <c r="DF711" s="249"/>
      <c r="DG711" s="216"/>
      <c r="DH711" s="305"/>
      <c r="DI711" s="249"/>
      <c r="DJ711" s="216"/>
      <c r="DK711" s="309"/>
      <c r="DL711" s="293"/>
      <c r="DM711" s="326"/>
      <c r="DN711" s="1256"/>
      <c r="DO711" s="214"/>
      <c r="DP711" s="1257"/>
      <c r="DQ711" s="1258"/>
      <c r="DR711" s="305"/>
      <c r="DS711" s="249"/>
      <c r="DT711" s="216"/>
      <c r="DU711" s="305"/>
      <c r="DV711" s="2520"/>
      <c r="DW711" s="2521"/>
      <c r="DX711" s="305"/>
      <c r="DY711" s="249"/>
      <c r="DZ711" s="221"/>
      <c r="EA711" s="388"/>
      <c r="EB711" s="249"/>
      <c r="EC711" s="216"/>
      <c r="ED711" s="1461"/>
      <c r="EE711" s="249"/>
      <c r="EF711" s="216"/>
      <c r="EG711" s="355"/>
      <c r="EH711" s="1425"/>
      <c r="EI711" s="1470"/>
      <c r="EJ711" s="249"/>
      <c r="EK711" s="221"/>
      <c r="EL711" s="313"/>
      <c r="EM711" s="249"/>
      <c r="EN711" s="221"/>
      <c r="EO711" s="313"/>
      <c r="EP711" s="249"/>
      <c r="EQ711" s="216"/>
      <c r="ER711" s="313"/>
      <c r="ES711" s="249"/>
      <c r="ET711" s="216"/>
      <c r="EU711" s="313"/>
      <c r="EV711" s="249"/>
      <c r="EW711" s="216"/>
      <c r="EX711" s="2505"/>
      <c r="EY711" s="249"/>
      <c r="EZ711" s="221"/>
      <c r="FA711" s="313"/>
      <c r="FB711" s="249"/>
      <c r="FC711" s="221"/>
      <c r="FD711" s="313"/>
      <c r="FE711" s="249"/>
      <c r="FF711" s="221"/>
      <c r="FG711" s="313"/>
      <c r="FH711" s="249"/>
      <c r="FI711" s="216"/>
      <c r="FJ711" s="1435"/>
      <c r="FK711" s="216"/>
      <c r="FL711" s="1268"/>
      <c r="FM711" s="1655"/>
      <c r="FN711" s="1268"/>
      <c r="FO711" s="1655"/>
      <c r="FP711" s="1268"/>
      <c r="FQ711" s="1656"/>
      <c r="FR711" s="249"/>
      <c r="FS711" s="216"/>
      <c r="FT711" s="1657"/>
      <c r="FU711" s="1658"/>
      <c r="FV711" s="242"/>
      <c r="FW711" s="343"/>
      <c r="FX711" s="222"/>
      <c r="FY711" s="336"/>
      <c r="FZ711" s="223"/>
      <c r="GA711" s="338"/>
      <c r="GB711" s="204"/>
      <c r="GC711" s="339"/>
      <c r="GD711" s="342"/>
      <c r="GE711" s="199"/>
      <c r="GF711" s="199"/>
      <c r="GG711" s="199"/>
      <c r="GH711" s="199"/>
      <c r="GI711" s="199"/>
      <c r="GJ711" s="199"/>
      <c r="GK711" s="199"/>
      <c r="GO711" s="322"/>
      <c r="GP711" s="1190"/>
      <c r="GQ711" s="1190"/>
      <c r="GS711" s="2879"/>
      <c r="GT711" s="2880"/>
      <c r="GU711" s="2881"/>
    </row>
    <row r="712" spans="1:203" ht="12" customHeight="1">
      <c r="A712" s="1252"/>
      <c r="B712" s="200"/>
      <c r="C712" s="486"/>
      <c r="T712" s="1186"/>
      <c r="U712" s="233"/>
      <c r="W712" s="218"/>
      <c r="X712" s="218"/>
      <c r="Y712" s="216"/>
      <c r="Z712" s="216"/>
      <c r="AA712" s="215"/>
      <c r="AB712" s="216"/>
      <c r="AC712" s="216"/>
      <c r="AD712" s="239"/>
      <c r="AE712" s="216"/>
      <c r="AF712" s="216"/>
      <c r="AG712" s="216"/>
      <c r="AH712" s="216"/>
      <c r="AI712" s="216"/>
      <c r="AJ712" s="216"/>
      <c r="AK712" s="239"/>
      <c r="AL712" s="216"/>
      <c r="AM712" s="216"/>
      <c r="AN712" s="216"/>
      <c r="AO712" s="216"/>
      <c r="AP712" s="216"/>
      <c r="AQ712" s="216"/>
      <c r="AR712" s="216"/>
      <c r="AS712" s="216"/>
      <c r="AT712" s="216"/>
      <c r="AU712" s="216"/>
      <c r="AV712" s="217"/>
      <c r="AW712" s="355"/>
      <c r="AX712" s="217"/>
      <c r="AY712" s="305"/>
      <c r="AZ712" s="249"/>
      <c r="BA712" s="221"/>
      <c r="BB712" s="300"/>
      <c r="BC712" s="217"/>
      <c r="BD712" s="392"/>
      <c r="BE712" s="1244"/>
      <c r="BF712" s="249"/>
      <c r="BG712" s="252"/>
      <c r="BH712" s="1469"/>
      <c r="BI712" s="216"/>
      <c r="BJ712" s="1469"/>
      <c r="BK712" s="1459"/>
      <c r="BL712" s="260"/>
      <c r="BM712" s="214"/>
      <c r="BN712" s="293"/>
      <c r="BO712" s="217"/>
      <c r="BP712" s="355"/>
      <c r="BQ712" s="217"/>
      <c r="BR712" s="1193"/>
      <c r="BS712" s="249"/>
      <c r="BT712" s="216"/>
      <c r="BU712" s="1195"/>
      <c r="BV712" s="249"/>
      <c r="BW712" s="216"/>
      <c r="BX712" s="1195"/>
      <c r="BY712" s="249"/>
      <c r="BZ712" s="216"/>
      <c r="CA712" s="1195"/>
      <c r="CB712" s="249"/>
      <c r="CC712" s="216"/>
      <c r="CD712" s="1195"/>
      <c r="CE712" s="249"/>
      <c r="CF712" s="216"/>
      <c r="CG712" s="1195"/>
      <c r="CH712" s="249"/>
      <c r="CI712" s="216"/>
      <c r="CJ712" s="1195"/>
      <c r="CK712" s="249"/>
      <c r="CL712" s="216"/>
      <c r="CM712" s="1194"/>
      <c r="CN712" s="1524"/>
      <c r="CO712" s="217"/>
      <c r="CP712" s="1193"/>
      <c r="CQ712" s="293"/>
      <c r="CR712" s="217"/>
      <c r="CS712" s="305"/>
      <c r="CT712" s="249"/>
      <c r="CU712" s="216"/>
      <c r="CV712" s="1193"/>
      <c r="CW712" s="249"/>
      <c r="CX712" s="216"/>
      <c r="CY712" s="305"/>
      <c r="CZ712" s="249"/>
      <c r="DA712" s="216"/>
      <c r="DB712" s="307"/>
      <c r="DC712" s="328"/>
      <c r="DD712" s="322"/>
      <c r="DE712" s="305"/>
      <c r="DF712" s="249"/>
      <c r="DG712" s="216"/>
      <c r="DH712" s="305"/>
      <c r="DI712" s="249"/>
      <c r="DJ712" s="216"/>
      <c r="DK712" s="309"/>
      <c r="DL712" s="293"/>
      <c r="DM712" s="326"/>
      <c r="DN712" s="1256"/>
      <c r="DO712" s="214"/>
      <c r="DP712" s="1257"/>
      <c r="DQ712" s="1258"/>
      <c r="DR712" s="305"/>
      <c r="DS712" s="249"/>
      <c r="DT712" s="216"/>
      <c r="DU712" s="305"/>
      <c r="DV712" s="2520"/>
      <c r="DW712" s="2521"/>
      <c r="DX712" s="305"/>
      <c r="DY712" s="249"/>
      <c r="DZ712" s="221"/>
      <c r="EA712" s="388"/>
      <c r="EB712" s="249"/>
      <c r="EC712" s="216"/>
      <c r="ED712" s="1461"/>
      <c r="EE712" s="249"/>
      <c r="EF712" s="216"/>
      <c r="EG712" s="355"/>
      <c r="EH712" s="1425"/>
      <c r="EI712" s="1470"/>
      <c r="EJ712" s="249"/>
      <c r="EK712" s="221"/>
      <c r="EL712" s="313"/>
      <c r="EM712" s="249"/>
      <c r="EN712" s="221"/>
      <c r="EO712" s="313"/>
      <c r="EP712" s="249"/>
      <c r="EQ712" s="216"/>
      <c r="ER712" s="313"/>
      <c r="ES712" s="249"/>
      <c r="ET712" s="216"/>
      <c r="EU712" s="313"/>
      <c r="EV712" s="249"/>
      <c r="EW712" s="216"/>
      <c r="EX712" s="2505"/>
      <c r="EY712" s="249"/>
      <c r="EZ712" s="221"/>
      <c r="FA712" s="313"/>
      <c r="FB712" s="249"/>
      <c r="FC712" s="221"/>
      <c r="FD712" s="313"/>
      <c r="FE712" s="249"/>
      <c r="FF712" s="221"/>
      <c r="FG712" s="313"/>
      <c r="FH712" s="249"/>
      <c r="FI712" s="216"/>
      <c r="FJ712" s="1435"/>
      <c r="FK712" s="216"/>
      <c r="FL712" s="1268"/>
      <c r="FM712" s="1655"/>
      <c r="FN712" s="1268"/>
      <c r="FO712" s="1655"/>
      <c r="FP712" s="1268"/>
      <c r="FQ712" s="1656"/>
      <c r="FR712" s="249"/>
      <c r="FS712" s="216"/>
      <c r="FT712" s="1657"/>
      <c r="FU712" s="1658"/>
      <c r="FV712" s="242"/>
      <c r="FW712" s="343"/>
      <c r="FX712" s="222"/>
      <c r="FY712" s="336"/>
      <c r="FZ712" s="223"/>
      <c r="GA712" s="338"/>
      <c r="GB712" s="204"/>
      <c r="GC712" s="339"/>
      <c r="GD712" s="342"/>
      <c r="GE712" s="199"/>
      <c r="GF712" s="199"/>
      <c r="GG712" s="199"/>
      <c r="GH712" s="199"/>
      <c r="GI712" s="199"/>
      <c r="GJ712" s="199"/>
      <c r="GK712" s="199"/>
      <c r="GO712" s="322"/>
      <c r="GP712" s="1190"/>
      <c r="GQ712" s="1190"/>
      <c r="GS712" s="2879"/>
      <c r="GT712" s="2880"/>
      <c r="GU712" s="2881"/>
    </row>
    <row r="713" spans="1:203" ht="12" customHeight="1">
      <c r="A713" s="1252"/>
      <c r="B713" s="200"/>
      <c r="C713" s="486"/>
      <c r="T713" s="1186"/>
      <c r="U713" s="233"/>
      <c r="W713" s="218"/>
      <c r="X713" s="218"/>
      <c r="Y713" s="216"/>
      <c r="Z713" s="216"/>
      <c r="AA713" s="215"/>
      <c r="AB713" s="216"/>
      <c r="AC713" s="216"/>
      <c r="AD713" s="239"/>
      <c r="AE713" s="216"/>
      <c r="AF713" s="216"/>
      <c r="AG713" s="216"/>
      <c r="AH713" s="216"/>
      <c r="AI713" s="216"/>
      <c r="AJ713" s="216"/>
      <c r="AK713" s="239"/>
      <c r="AL713" s="216"/>
      <c r="AM713" s="216"/>
      <c r="AN713" s="216"/>
      <c r="AO713" s="216"/>
      <c r="AP713" s="216"/>
      <c r="AQ713" s="216"/>
      <c r="AR713" s="216"/>
      <c r="AS713" s="216"/>
      <c r="AT713" s="216"/>
      <c r="AU713" s="216"/>
      <c r="AV713" s="217"/>
      <c r="AW713" s="355"/>
      <c r="AX713" s="217"/>
      <c r="AY713" s="305"/>
      <c r="AZ713" s="249"/>
      <c r="BA713" s="221"/>
      <c r="BB713" s="300"/>
      <c r="BC713" s="217"/>
      <c r="BD713" s="392"/>
      <c r="BE713" s="1244"/>
      <c r="BF713" s="249"/>
      <c r="BG713" s="252"/>
      <c r="BH713" s="1469"/>
      <c r="BI713" s="216"/>
      <c r="BJ713" s="1469"/>
      <c r="BK713" s="1459"/>
      <c r="BL713" s="260"/>
      <c r="BM713" s="214"/>
      <c r="BN713" s="293"/>
      <c r="BO713" s="217"/>
      <c r="BP713" s="355"/>
      <c r="BQ713" s="217"/>
      <c r="BR713" s="1193"/>
      <c r="BS713" s="249"/>
      <c r="BT713" s="216"/>
      <c r="BU713" s="1195"/>
      <c r="BV713" s="249"/>
      <c r="BW713" s="216"/>
      <c r="BX713" s="1195"/>
      <c r="BY713" s="249"/>
      <c r="BZ713" s="216"/>
      <c r="CA713" s="1195"/>
      <c r="CB713" s="249"/>
      <c r="CC713" s="216"/>
      <c r="CD713" s="1195"/>
      <c r="CE713" s="249"/>
      <c r="CF713" s="216"/>
      <c r="CG713" s="1195"/>
      <c r="CH713" s="249"/>
      <c r="CI713" s="216"/>
      <c r="CJ713" s="1195"/>
      <c r="CK713" s="249"/>
      <c r="CL713" s="216"/>
      <c r="CM713" s="1194"/>
      <c r="CN713" s="1524"/>
      <c r="CO713" s="217"/>
      <c r="CP713" s="1193"/>
      <c r="CQ713" s="293"/>
      <c r="CR713" s="217"/>
      <c r="CS713" s="305"/>
      <c r="CT713" s="249"/>
      <c r="CU713" s="216"/>
      <c r="CV713" s="1193"/>
      <c r="CW713" s="249"/>
      <c r="CX713" s="216"/>
      <c r="CY713" s="305"/>
      <c r="CZ713" s="249"/>
      <c r="DA713" s="216"/>
      <c r="DB713" s="307"/>
      <c r="DC713" s="328"/>
      <c r="DD713" s="322"/>
      <c r="DE713" s="305"/>
      <c r="DF713" s="249"/>
      <c r="DG713" s="216"/>
      <c r="DH713" s="305"/>
      <c r="DI713" s="249"/>
      <c r="DJ713" s="216"/>
      <c r="DK713" s="309"/>
      <c r="DL713" s="293"/>
      <c r="DM713" s="326"/>
      <c r="DN713" s="1256"/>
      <c r="DO713" s="214"/>
      <c r="DP713" s="1257"/>
      <c r="DQ713" s="1258"/>
      <c r="DR713" s="305"/>
      <c r="DS713" s="249"/>
      <c r="DT713" s="216"/>
      <c r="DU713" s="305"/>
      <c r="DV713" s="2520"/>
      <c r="DW713" s="2521"/>
      <c r="DX713" s="305"/>
      <c r="DY713" s="249"/>
      <c r="DZ713" s="221"/>
      <c r="EA713" s="388"/>
      <c r="EB713" s="249"/>
      <c r="EC713" s="216"/>
      <c r="ED713" s="1461"/>
      <c r="EE713" s="249"/>
      <c r="EF713" s="216"/>
      <c r="EG713" s="355"/>
      <c r="EH713" s="1425"/>
      <c r="EI713" s="1470"/>
      <c r="EJ713" s="249"/>
      <c r="EK713" s="221"/>
      <c r="EL713" s="313"/>
      <c r="EM713" s="249"/>
      <c r="EN713" s="221"/>
      <c r="EO713" s="313"/>
      <c r="EP713" s="249"/>
      <c r="EQ713" s="216"/>
      <c r="ER713" s="313"/>
      <c r="ES713" s="249"/>
      <c r="ET713" s="216"/>
      <c r="EU713" s="313"/>
      <c r="EV713" s="249"/>
      <c r="EW713" s="216"/>
      <c r="EX713" s="2505"/>
      <c r="EY713" s="249"/>
      <c r="EZ713" s="221"/>
      <c r="FA713" s="313"/>
      <c r="FB713" s="249"/>
      <c r="FC713" s="221"/>
      <c r="FD713" s="313"/>
      <c r="FE713" s="249"/>
      <c r="FF713" s="221"/>
      <c r="FG713" s="313"/>
      <c r="FH713" s="249"/>
      <c r="FI713" s="216"/>
      <c r="FJ713" s="1435"/>
      <c r="FK713" s="216"/>
      <c r="FL713" s="1268"/>
      <c r="FM713" s="1655"/>
      <c r="FN713" s="1268"/>
      <c r="FO713" s="1655"/>
      <c r="FP713" s="1268"/>
      <c r="FQ713" s="1656"/>
      <c r="FR713" s="249"/>
      <c r="FS713" s="216"/>
      <c r="FT713" s="1657"/>
      <c r="FU713" s="1658"/>
      <c r="FV713" s="242"/>
      <c r="FW713" s="343"/>
      <c r="FX713" s="222"/>
      <c r="FY713" s="336"/>
      <c r="FZ713" s="223"/>
      <c r="GA713" s="338"/>
      <c r="GB713" s="204"/>
      <c r="GC713" s="339"/>
      <c r="GD713" s="342"/>
      <c r="GE713" s="199"/>
      <c r="GF713" s="199"/>
      <c r="GG713" s="199"/>
      <c r="GH713" s="199"/>
      <c r="GI713" s="199"/>
      <c r="GJ713" s="199"/>
      <c r="GK713" s="199"/>
      <c r="GO713" s="322"/>
      <c r="GP713" s="1190"/>
      <c r="GQ713" s="1190"/>
      <c r="GS713" s="2879"/>
      <c r="GT713" s="2880"/>
      <c r="GU713" s="2881"/>
    </row>
    <row r="714" spans="1:203" ht="12" customHeight="1">
      <c r="A714" s="1252"/>
      <c r="B714" s="200"/>
      <c r="C714" s="486"/>
      <c r="T714" s="1186"/>
      <c r="U714" s="233"/>
      <c r="W714" s="218"/>
      <c r="X714" s="218"/>
      <c r="Y714" s="216"/>
      <c r="Z714" s="216"/>
      <c r="AA714" s="215"/>
      <c r="AB714" s="216"/>
      <c r="AC714" s="216"/>
      <c r="AD714" s="239"/>
      <c r="AE714" s="216"/>
      <c r="AF714" s="216"/>
      <c r="AG714" s="216"/>
      <c r="AH714" s="216"/>
      <c r="AI714" s="216"/>
      <c r="AJ714" s="216"/>
      <c r="AK714" s="239"/>
      <c r="AL714" s="216"/>
      <c r="AM714" s="216"/>
      <c r="AN714" s="216"/>
      <c r="AO714" s="216"/>
      <c r="AP714" s="216"/>
      <c r="AQ714" s="216"/>
      <c r="AR714" s="216"/>
      <c r="AS714" s="216"/>
      <c r="AT714" s="216"/>
      <c r="AU714" s="216"/>
      <c r="AV714" s="217"/>
      <c r="AW714" s="355"/>
      <c r="AX714" s="217"/>
      <c r="AY714" s="305"/>
      <c r="AZ714" s="249"/>
      <c r="BA714" s="221"/>
      <c r="BB714" s="300"/>
      <c r="BC714" s="217"/>
      <c r="BD714" s="392"/>
      <c r="BE714" s="1244"/>
      <c r="BF714" s="249"/>
      <c r="BG714" s="252"/>
      <c r="BH714" s="1469"/>
      <c r="BI714" s="216"/>
      <c r="BJ714" s="1469"/>
      <c r="BK714" s="1459"/>
      <c r="BL714" s="260"/>
      <c r="BM714" s="214"/>
      <c r="BN714" s="293"/>
      <c r="BO714" s="217"/>
      <c r="BP714" s="355"/>
      <c r="BQ714" s="217"/>
      <c r="BR714" s="1193"/>
      <c r="BS714" s="249"/>
      <c r="BT714" s="216"/>
      <c r="BU714" s="1195"/>
      <c r="BV714" s="249"/>
      <c r="BW714" s="216"/>
      <c r="BX714" s="1195"/>
      <c r="BY714" s="249"/>
      <c r="BZ714" s="216"/>
      <c r="CA714" s="1195"/>
      <c r="CB714" s="249"/>
      <c r="CC714" s="216"/>
      <c r="CD714" s="1195"/>
      <c r="CE714" s="249"/>
      <c r="CF714" s="216"/>
      <c r="CG714" s="1195"/>
      <c r="CH714" s="249"/>
      <c r="CI714" s="216"/>
      <c r="CJ714" s="1195"/>
      <c r="CK714" s="249"/>
      <c r="CL714" s="216"/>
      <c r="CM714" s="1194"/>
      <c r="CN714" s="1524"/>
      <c r="CO714" s="217"/>
      <c r="CP714" s="1193"/>
      <c r="CQ714" s="293"/>
      <c r="CR714" s="217"/>
      <c r="CS714" s="305"/>
      <c r="CT714" s="249"/>
      <c r="CU714" s="216"/>
      <c r="CV714" s="1193"/>
      <c r="CW714" s="249"/>
      <c r="CX714" s="216"/>
      <c r="CY714" s="305"/>
      <c r="CZ714" s="249"/>
      <c r="DA714" s="216"/>
      <c r="DB714" s="307"/>
      <c r="DC714" s="328"/>
      <c r="DD714" s="322"/>
      <c r="DE714" s="305"/>
      <c r="DF714" s="249"/>
      <c r="DG714" s="216"/>
      <c r="DH714" s="305"/>
      <c r="DI714" s="249"/>
      <c r="DJ714" s="216"/>
      <c r="DK714" s="309"/>
      <c r="DL714" s="293"/>
      <c r="DM714" s="326"/>
      <c r="DN714" s="1256"/>
      <c r="DO714" s="214"/>
      <c r="DP714" s="1257"/>
      <c r="DQ714" s="1258"/>
      <c r="DR714" s="305"/>
      <c r="DS714" s="249"/>
      <c r="DT714" s="216"/>
      <c r="DU714" s="305"/>
      <c r="DV714" s="2520"/>
      <c r="DW714" s="2521"/>
      <c r="DX714" s="305"/>
      <c r="DY714" s="249"/>
      <c r="DZ714" s="221"/>
      <c r="EA714" s="388"/>
      <c r="EB714" s="249"/>
      <c r="EC714" s="216"/>
      <c r="ED714" s="1461"/>
      <c r="EE714" s="249"/>
      <c r="EF714" s="216"/>
      <c r="EG714" s="355"/>
      <c r="EH714" s="1425"/>
      <c r="EI714" s="1470"/>
      <c r="EJ714" s="249"/>
      <c r="EK714" s="221"/>
      <c r="EL714" s="313"/>
      <c r="EM714" s="249"/>
      <c r="EN714" s="221"/>
      <c r="EO714" s="313"/>
      <c r="EP714" s="249"/>
      <c r="EQ714" s="216"/>
      <c r="ER714" s="313"/>
      <c r="ES714" s="249"/>
      <c r="ET714" s="216"/>
      <c r="EU714" s="313"/>
      <c r="EV714" s="249"/>
      <c r="EW714" s="216"/>
      <c r="EX714" s="2505"/>
      <c r="EY714" s="249"/>
      <c r="EZ714" s="221"/>
      <c r="FA714" s="313"/>
      <c r="FB714" s="249"/>
      <c r="FC714" s="221"/>
      <c r="FD714" s="313"/>
      <c r="FE714" s="249"/>
      <c r="FF714" s="221"/>
      <c r="FG714" s="313"/>
      <c r="FH714" s="249"/>
      <c r="FI714" s="216"/>
      <c r="FJ714" s="1435"/>
      <c r="FK714" s="216"/>
      <c r="FL714" s="1268"/>
      <c r="FM714" s="1655"/>
      <c r="FN714" s="1268"/>
      <c r="FO714" s="1655"/>
      <c r="FP714" s="1268"/>
      <c r="FQ714" s="1656"/>
      <c r="FR714" s="249"/>
      <c r="FS714" s="216"/>
      <c r="FT714" s="1657"/>
      <c r="FU714" s="1658"/>
      <c r="FV714" s="242"/>
      <c r="FW714" s="343"/>
      <c r="FX714" s="222"/>
      <c r="FY714" s="336"/>
      <c r="FZ714" s="223"/>
      <c r="GA714" s="338"/>
      <c r="GB714" s="204"/>
      <c r="GC714" s="339"/>
      <c r="GD714" s="342"/>
      <c r="GE714" s="199"/>
      <c r="GF714" s="199"/>
      <c r="GG714" s="199"/>
      <c r="GH714" s="199"/>
      <c r="GI714" s="199"/>
      <c r="GJ714" s="199"/>
      <c r="GK714" s="199"/>
      <c r="GO714" s="322"/>
      <c r="GP714" s="1190"/>
      <c r="GQ714" s="1190"/>
      <c r="GS714" s="2879"/>
      <c r="GT714" s="2880"/>
      <c r="GU714" s="2881"/>
    </row>
    <row r="715" spans="1:203" ht="12" customHeight="1">
      <c r="A715" s="1252"/>
      <c r="B715" s="200"/>
      <c r="C715" s="486"/>
      <c r="T715" s="1186"/>
      <c r="U715" s="233"/>
      <c r="W715" s="218"/>
      <c r="X715" s="218"/>
      <c r="Y715" s="216"/>
      <c r="Z715" s="216"/>
      <c r="AA715" s="215"/>
      <c r="AB715" s="216"/>
      <c r="AC715" s="216"/>
      <c r="AD715" s="239"/>
      <c r="AE715" s="216"/>
      <c r="AF715" s="216"/>
      <c r="AG715" s="216"/>
      <c r="AH715" s="216"/>
      <c r="AI715" s="216"/>
      <c r="AJ715" s="216"/>
      <c r="AK715" s="239"/>
      <c r="AL715" s="216"/>
      <c r="AM715" s="216"/>
      <c r="AN715" s="216"/>
      <c r="AO715" s="216"/>
      <c r="AP715" s="216"/>
      <c r="AQ715" s="216"/>
      <c r="AR715" s="216"/>
      <c r="AS715" s="216"/>
      <c r="AT715" s="216"/>
      <c r="AU715" s="216"/>
      <c r="AV715" s="217"/>
      <c r="AW715" s="355"/>
      <c r="AX715" s="217"/>
      <c r="AY715" s="305"/>
      <c r="AZ715" s="249"/>
      <c r="BA715" s="221"/>
      <c r="BB715" s="300"/>
      <c r="BC715" s="217"/>
      <c r="BD715" s="392"/>
      <c r="BE715" s="1244"/>
      <c r="BF715" s="249"/>
      <c r="BG715" s="252"/>
      <c r="BH715" s="1469"/>
      <c r="BI715" s="216"/>
      <c r="BJ715" s="1469"/>
      <c r="BK715" s="1459"/>
      <c r="BL715" s="260"/>
      <c r="BM715" s="214"/>
      <c r="BN715" s="293"/>
      <c r="BO715" s="217"/>
      <c r="BP715" s="355"/>
      <c r="BQ715" s="217"/>
      <c r="BR715" s="1193"/>
      <c r="BS715" s="249"/>
      <c r="BT715" s="216"/>
      <c r="BU715" s="1195"/>
      <c r="BV715" s="249"/>
      <c r="BW715" s="216"/>
      <c r="BX715" s="1195"/>
      <c r="BY715" s="249"/>
      <c r="BZ715" s="216"/>
      <c r="CA715" s="1195"/>
      <c r="CB715" s="249"/>
      <c r="CC715" s="216"/>
      <c r="CD715" s="1195"/>
      <c r="CE715" s="249"/>
      <c r="CF715" s="216"/>
      <c r="CG715" s="1195"/>
      <c r="CH715" s="249"/>
      <c r="CI715" s="216"/>
      <c r="CJ715" s="1195"/>
      <c r="CK715" s="249"/>
      <c r="CL715" s="216"/>
      <c r="CM715" s="1194"/>
      <c r="CN715" s="1524"/>
      <c r="CO715" s="217"/>
      <c r="CP715" s="1193"/>
      <c r="CQ715" s="293"/>
      <c r="CR715" s="217"/>
      <c r="CS715" s="305"/>
      <c r="CT715" s="249"/>
      <c r="CU715" s="216"/>
      <c r="CV715" s="1193"/>
      <c r="CW715" s="249"/>
      <c r="CX715" s="216"/>
      <c r="CY715" s="305"/>
      <c r="CZ715" s="249"/>
      <c r="DA715" s="216"/>
      <c r="DB715" s="307"/>
      <c r="DC715" s="328"/>
      <c r="DD715" s="322"/>
      <c r="DE715" s="305"/>
      <c r="DF715" s="249"/>
      <c r="DG715" s="216"/>
      <c r="DH715" s="305"/>
      <c r="DI715" s="249"/>
      <c r="DJ715" s="216"/>
      <c r="DK715" s="309"/>
      <c r="DL715" s="293"/>
      <c r="DM715" s="326"/>
      <c r="DN715" s="1256"/>
      <c r="DO715" s="214"/>
      <c r="DP715" s="1257"/>
      <c r="DQ715" s="1258"/>
      <c r="DR715" s="305"/>
      <c r="DS715" s="249"/>
      <c r="DT715" s="216"/>
      <c r="DU715" s="305"/>
      <c r="DV715" s="2520"/>
      <c r="DW715" s="2521"/>
      <c r="DX715" s="305"/>
      <c r="DY715" s="249"/>
      <c r="DZ715" s="221"/>
      <c r="EA715" s="388"/>
      <c r="EB715" s="249"/>
      <c r="EC715" s="216"/>
      <c r="ED715" s="1461"/>
      <c r="EE715" s="249"/>
      <c r="EF715" s="216"/>
      <c r="EG715" s="355"/>
      <c r="EH715" s="1425"/>
      <c r="EI715" s="1470"/>
      <c r="EJ715" s="249"/>
      <c r="EK715" s="221"/>
      <c r="EL715" s="313"/>
      <c r="EM715" s="249"/>
      <c r="EN715" s="221"/>
      <c r="EO715" s="313"/>
      <c r="EP715" s="249"/>
      <c r="EQ715" s="216"/>
      <c r="ER715" s="313"/>
      <c r="ES715" s="249"/>
      <c r="ET715" s="216"/>
      <c r="EU715" s="313"/>
      <c r="EV715" s="249"/>
      <c r="EW715" s="216"/>
      <c r="EX715" s="2505"/>
      <c r="EY715" s="249"/>
      <c r="EZ715" s="221"/>
      <c r="FA715" s="313"/>
      <c r="FB715" s="249"/>
      <c r="FC715" s="221"/>
      <c r="FD715" s="313"/>
      <c r="FE715" s="249"/>
      <c r="FF715" s="221"/>
      <c r="FG715" s="313"/>
      <c r="FH715" s="249"/>
      <c r="FI715" s="216"/>
      <c r="FJ715" s="1435"/>
      <c r="FK715" s="216"/>
      <c r="FL715" s="1268"/>
      <c r="FM715" s="1655"/>
      <c r="FN715" s="1268"/>
      <c r="FO715" s="1655"/>
      <c r="FP715" s="1268"/>
      <c r="FQ715" s="1656"/>
      <c r="FR715" s="249"/>
      <c r="FS715" s="216"/>
      <c r="FT715" s="1657"/>
      <c r="FU715" s="1658"/>
      <c r="FV715" s="242"/>
      <c r="FW715" s="343"/>
      <c r="FX715" s="222"/>
      <c r="FY715" s="336"/>
      <c r="FZ715" s="223"/>
      <c r="GA715" s="338"/>
      <c r="GB715" s="204"/>
      <c r="GC715" s="339"/>
      <c r="GD715" s="342"/>
      <c r="GE715" s="199"/>
      <c r="GF715" s="199"/>
      <c r="GG715" s="199"/>
      <c r="GH715" s="199"/>
      <c r="GI715" s="199"/>
      <c r="GJ715" s="199"/>
      <c r="GK715" s="199"/>
      <c r="GO715" s="322"/>
      <c r="GP715" s="1190"/>
      <c r="GQ715" s="1190"/>
      <c r="GS715" s="2879"/>
      <c r="GT715" s="2880"/>
      <c r="GU715" s="2881"/>
    </row>
    <row r="716" spans="1:203" ht="12" customHeight="1">
      <c r="A716" s="1252"/>
      <c r="B716" s="200"/>
      <c r="C716" s="486"/>
      <c r="T716" s="1186"/>
      <c r="U716" s="233"/>
      <c r="W716" s="218"/>
      <c r="X716" s="218"/>
      <c r="Y716" s="216"/>
      <c r="Z716" s="216"/>
      <c r="AA716" s="215"/>
      <c r="AB716" s="216"/>
      <c r="AC716" s="216"/>
      <c r="AD716" s="239"/>
      <c r="AE716" s="216"/>
      <c r="AF716" s="216"/>
      <c r="AG716" s="216"/>
      <c r="AH716" s="216"/>
      <c r="AI716" s="216"/>
      <c r="AJ716" s="216"/>
      <c r="AK716" s="239"/>
      <c r="AL716" s="216"/>
      <c r="AM716" s="216"/>
      <c r="AN716" s="216"/>
      <c r="AO716" s="216"/>
      <c r="AP716" s="216"/>
      <c r="AQ716" s="216"/>
      <c r="AR716" s="216"/>
      <c r="AS716" s="216"/>
      <c r="AT716" s="216"/>
      <c r="AU716" s="216"/>
      <c r="AV716" s="217"/>
      <c r="AW716" s="355"/>
      <c r="AX716" s="217"/>
      <c r="AY716" s="305"/>
      <c r="AZ716" s="249"/>
      <c r="BA716" s="221"/>
      <c r="BB716" s="300"/>
      <c r="BC716" s="217"/>
      <c r="BD716" s="392"/>
      <c r="BE716" s="1244"/>
      <c r="BF716" s="249"/>
      <c r="BG716" s="252"/>
      <c r="BH716" s="1469"/>
      <c r="BI716" s="216"/>
      <c r="BJ716" s="1469"/>
      <c r="BK716" s="1459"/>
      <c r="BL716" s="260"/>
      <c r="BM716" s="214"/>
      <c r="BN716" s="293"/>
      <c r="BO716" s="217"/>
      <c r="BP716" s="355"/>
      <c r="BQ716" s="217"/>
      <c r="BR716" s="1193"/>
      <c r="BS716" s="249"/>
      <c r="BT716" s="216"/>
      <c r="BU716" s="1195"/>
      <c r="BV716" s="249"/>
      <c r="BW716" s="216"/>
      <c r="BX716" s="1195"/>
      <c r="BY716" s="249"/>
      <c r="BZ716" s="216"/>
      <c r="CA716" s="1195"/>
      <c r="CB716" s="249"/>
      <c r="CC716" s="216"/>
      <c r="CD716" s="1195"/>
      <c r="CE716" s="249"/>
      <c r="CF716" s="216"/>
      <c r="CG716" s="1195"/>
      <c r="CH716" s="249"/>
      <c r="CI716" s="216"/>
      <c r="CJ716" s="1195"/>
      <c r="CK716" s="249"/>
      <c r="CL716" s="216"/>
      <c r="CM716" s="1194"/>
      <c r="CN716" s="1524"/>
      <c r="CO716" s="217"/>
      <c r="CP716" s="1193"/>
      <c r="CQ716" s="293"/>
      <c r="CR716" s="217"/>
      <c r="CS716" s="305"/>
      <c r="CT716" s="249"/>
      <c r="CU716" s="216"/>
      <c r="CV716" s="1193"/>
      <c r="CW716" s="249"/>
      <c r="CX716" s="216"/>
      <c r="CY716" s="305"/>
      <c r="CZ716" s="249"/>
      <c r="DA716" s="216"/>
      <c r="DB716" s="307"/>
      <c r="DC716" s="328"/>
      <c r="DD716" s="322"/>
      <c r="DE716" s="305"/>
      <c r="DF716" s="249"/>
      <c r="DG716" s="216"/>
      <c r="DH716" s="305"/>
      <c r="DI716" s="249"/>
      <c r="DJ716" s="216"/>
      <c r="DK716" s="309"/>
      <c r="DL716" s="293"/>
      <c r="DM716" s="326"/>
      <c r="DN716" s="1256"/>
      <c r="DO716" s="214"/>
      <c r="DP716" s="1257"/>
      <c r="DQ716" s="1258"/>
      <c r="DR716" s="305"/>
      <c r="DS716" s="249"/>
      <c r="DT716" s="216"/>
      <c r="DU716" s="305"/>
      <c r="DV716" s="2520"/>
      <c r="DW716" s="2521"/>
      <c r="DX716" s="305"/>
      <c r="DY716" s="249"/>
      <c r="DZ716" s="221"/>
      <c r="EA716" s="388"/>
      <c r="EB716" s="249"/>
      <c r="EC716" s="216"/>
      <c r="ED716" s="1461"/>
      <c r="EE716" s="249"/>
      <c r="EF716" s="216"/>
      <c r="EG716" s="355"/>
      <c r="EH716" s="1425"/>
      <c r="EI716" s="1470"/>
      <c r="EJ716" s="249"/>
      <c r="EK716" s="221"/>
      <c r="EL716" s="313"/>
      <c r="EM716" s="249"/>
      <c r="EN716" s="221"/>
      <c r="EO716" s="313"/>
      <c r="EP716" s="249"/>
      <c r="EQ716" s="216"/>
      <c r="ER716" s="313"/>
      <c r="ES716" s="249"/>
      <c r="ET716" s="216"/>
      <c r="EU716" s="313"/>
      <c r="EV716" s="249"/>
      <c r="EW716" s="216"/>
      <c r="EX716" s="2505"/>
      <c r="EY716" s="249"/>
      <c r="EZ716" s="221"/>
      <c r="FA716" s="313"/>
      <c r="FB716" s="249"/>
      <c r="FC716" s="221"/>
      <c r="FD716" s="313"/>
      <c r="FE716" s="249"/>
      <c r="FF716" s="221"/>
      <c r="FG716" s="313"/>
      <c r="FH716" s="249"/>
      <c r="FI716" s="216"/>
      <c r="FJ716" s="1435"/>
      <c r="FK716" s="216"/>
      <c r="FL716" s="1268"/>
      <c r="FM716" s="1655"/>
      <c r="FN716" s="1268"/>
      <c r="FO716" s="1655"/>
      <c r="FP716" s="1268"/>
      <c r="FQ716" s="1656"/>
      <c r="FR716" s="249"/>
      <c r="FS716" s="216"/>
      <c r="FT716" s="1657"/>
      <c r="FU716" s="1658"/>
      <c r="FV716" s="242"/>
      <c r="FW716" s="343"/>
      <c r="FX716" s="222"/>
      <c r="FY716" s="336"/>
      <c r="FZ716" s="223"/>
      <c r="GA716" s="338"/>
      <c r="GB716" s="204"/>
      <c r="GC716" s="339"/>
      <c r="GD716" s="342"/>
      <c r="GE716" s="199"/>
      <c r="GF716" s="199"/>
      <c r="GG716" s="199"/>
      <c r="GH716" s="199"/>
      <c r="GI716" s="199"/>
      <c r="GJ716" s="199"/>
      <c r="GK716" s="199"/>
      <c r="GO716" s="322"/>
      <c r="GP716" s="1190"/>
      <c r="GQ716" s="1190"/>
      <c r="GS716" s="2879"/>
      <c r="GT716" s="2880"/>
      <c r="GU716" s="2881"/>
    </row>
    <row r="717" spans="1:203" ht="12" customHeight="1">
      <c r="A717" s="1252"/>
      <c r="B717" s="200"/>
      <c r="C717" s="486"/>
      <c r="T717" s="1186"/>
      <c r="U717" s="233"/>
      <c r="W717" s="218"/>
      <c r="X717" s="218"/>
      <c r="Y717" s="216"/>
      <c r="Z717" s="216"/>
      <c r="AA717" s="215"/>
      <c r="AB717" s="216"/>
      <c r="AC717" s="216"/>
      <c r="AD717" s="239"/>
      <c r="AE717" s="216"/>
      <c r="AF717" s="216"/>
      <c r="AG717" s="216"/>
      <c r="AH717" s="216"/>
      <c r="AI717" s="216"/>
      <c r="AJ717" s="216"/>
      <c r="AK717" s="239"/>
      <c r="AL717" s="216"/>
      <c r="AM717" s="216"/>
      <c r="AN717" s="216"/>
      <c r="AO717" s="216"/>
      <c r="AP717" s="216"/>
      <c r="AQ717" s="216"/>
      <c r="AR717" s="216"/>
      <c r="AS717" s="216"/>
      <c r="AT717" s="216"/>
      <c r="AU717" s="216"/>
      <c r="AV717" s="217"/>
      <c r="AW717" s="355"/>
      <c r="AX717" s="217"/>
      <c r="AY717" s="305"/>
      <c r="AZ717" s="249"/>
      <c r="BA717" s="221"/>
      <c r="BB717" s="300"/>
      <c r="BC717" s="217"/>
      <c r="BD717" s="392"/>
      <c r="BE717" s="1244"/>
      <c r="BF717" s="249"/>
      <c r="BG717" s="252"/>
      <c r="BH717" s="1469"/>
      <c r="BI717" s="216"/>
      <c r="BJ717" s="1469"/>
      <c r="BK717" s="1459"/>
      <c r="BL717" s="260"/>
      <c r="BM717" s="214"/>
      <c r="BN717" s="293"/>
      <c r="BO717" s="217"/>
      <c r="BP717" s="355"/>
      <c r="BQ717" s="217"/>
      <c r="BR717" s="1193"/>
      <c r="BS717" s="249"/>
      <c r="BT717" s="216"/>
      <c r="BU717" s="1195"/>
      <c r="BV717" s="249"/>
      <c r="BW717" s="216"/>
      <c r="BX717" s="1195"/>
      <c r="BY717" s="249"/>
      <c r="BZ717" s="216"/>
      <c r="CA717" s="1195"/>
      <c r="CB717" s="249"/>
      <c r="CC717" s="216"/>
      <c r="CD717" s="1195"/>
      <c r="CE717" s="249"/>
      <c r="CF717" s="216"/>
      <c r="CG717" s="1195"/>
      <c r="CH717" s="249"/>
      <c r="CI717" s="216"/>
      <c r="CJ717" s="1195"/>
      <c r="CK717" s="249"/>
      <c r="CL717" s="216"/>
      <c r="CM717" s="1194"/>
      <c r="CN717" s="1524"/>
      <c r="CO717" s="217"/>
      <c r="CP717" s="1193"/>
      <c r="CQ717" s="293"/>
      <c r="CR717" s="217"/>
      <c r="CS717" s="305"/>
      <c r="CT717" s="249"/>
      <c r="CU717" s="216"/>
      <c r="CV717" s="1193"/>
      <c r="CW717" s="249"/>
      <c r="CX717" s="216"/>
      <c r="CY717" s="305"/>
      <c r="CZ717" s="249"/>
      <c r="DA717" s="216"/>
      <c r="DB717" s="307"/>
      <c r="DC717" s="328"/>
      <c r="DD717" s="322"/>
      <c r="DE717" s="305"/>
      <c r="DF717" s="249"/>
      <c r="DG717" s="216"/>
      <c r="DH717" s="305"/>
      <c r="DI717" s="249"/>
      <c r="DJ717" s="216"/>
      <c r="DK717" s="309"/>
      <c r="DL717" s="293"/>
      <c r="DM717" s="326"/>
      <c r="DN717" s="1256"/>
      <c r="DO717" s="214"/>
      <c r="DP717" s="1257"/>
      <c r="DQ717" s="1258"/>
      <c r="DR717" s="305"/>
      <c r="DS717" s="249"/>
      <c r="DT717" s="216"/>
      <c r="DU717" s="305"/>
      <c r="DV717" s="2520"/>
      <c r="DW717" s="2521"/>
      <c r="DX717" s="305"/>
      <c r="DY717" s="249"/>
      <c r="DZ717" s="221"/>
      <c r="EA717" s="388"/>
      <c r="EB717" s="249"/>
      <c r="EC717" s="216"/>
      <c r="ED717" s="1461"/>
      <c r="EE717" s="249"/>
      <c r="EF717" s="216"/>
      <c r="EG717" s="355"/>
      <c r="EH717" s="1425"/>
      <c r="EI717" s="1470"/>
      <c r="EJ717" s="249"/>
      <c r="EK717" s="221"/>
      <c r="EL717" s="313"/>
      <c r="EM717" s="249"/>
      <c r="EN717" s="221"/>
      <c r="EO717" s="313"/>
      <c r="EP717" s="249"/>
      <c r="EQ717" s="216"/>
      <c r="ER717" s="313"/>
      <c r="ES717" s="249"/>
      <c r="ET717" s="216"/>
      <c r="EU717" s="313"/>
      <c r="EV717" s="249"/>
      <c r="EW717" s="216"/>
      <c r="EX717" s="2505"/>
      <c r="EY717" s="249"/>
      <c r="EZ717" s="221"/>
      <c r="FA717" s="313"/>
      <c r="FB717" s="249"/>
      <c r="FC717" s="221"/>
      <c r="FD717" s="313"/>
      <c r="FE717" s="249"/>
      <c r="FF717" s="221"/>
      <c r="FG717" s="313"/>
      <c r="FH717" s="249"/>
      <c r="FI717" s="216"/>
      <c r="FJ717" s="1435"/>
      <c r="FK717" s="216"/>
      <c r="FL717" s="1268"/>
      <c r="FM717" s="1655"/>
      <c r="FN717" s="1268"/>
      <c r="FO717" s="1655"/>
      <c r="FP717" s="1268"/>
      <c r="FQ717" s="1656"/>
      <c r="FR717" s="249"/>
      <c r="FS717" s="216"/>
      <c r="FT717" s="1657"/>
      <c r="FU717" s="1658"/>
      <c r="FV717" s="242"/>
      <c r="FW717" s="343"/>
      <c r="FX717" s="222"/>
      <c r="FY717" s="336"/>
      <c r="FZ717" s="223"/>
      <c r="GA717" s="338"/>
      <c r="GB717" s="204"/>
      <c r="GC717" s="339"/>
      <c r="GD717" s="342"/>
      <c r="GE717" s="199"/>
      <c r="GF717" s="199"/>
      <c r="GG717" s="199"/>
      <c r="GH717" s="199"/>
      <c r="GI717" s="199"/>
      <c r="GJ717" s="199"/>
      <c r="GK717" s="199"/>
      <c r="GO717" s="322"/>
      <c r="GP717" s="1190"/>
      <c r="GQ717" s="1190"/>
      <c r="GS717" s="2879"/>
      <c r="GT717" s="2880"/>
      <c r="GU717" s="2881"/>
    </row>
    <row r="718" spans="1:203" ht="12" customHeight="1">
      <c r="A718" s="1252"/>
      <c r="B718" s="200"/>
      <c r="C718" s="486"/>
      <c r="T718" s="1186"/>
      <c r="U718" s="233"/>
      <c r="W718" s="218"/>
      <c r="X718" s="218"/>
      <c r="Y718" s="216"/>
      <c r="Z718" s="216"/>
      <c r="AA718" s="215"/>
      <c r="AB718" s="216"/>
      <c r="AC718" s="216"/>
      <c r="AD718" s="239"/>
      <c r="AE718" s="216"/>
      <c r="AF718" s="216"/>
      <c r="AG718" s="216"/>
      <c r="AH718" s="216"/>
      <c r="AI718" s="216"/>
      <c r="AJ718" s="216"/>
      <c r="AK718" s="239"/>
      <c r="AL718" s="216"/>
      <c r="AM718" s="216"/>
      <c r="AN718" s="216"/>
      <c r="AO718" s="216"/>
      <c r="AP718" s="216"/>
      <c r="AQ718" s="216"/>
      <c r="AR718" s="216"/>
      <c r="AS718" s="216"/>
      <c r="AT718" s="216"/>
      <c r="AU718" s="216"/>
      <c r="AV718" s="217"/>
      <c r="AW718" s="355"/>
      <c r="AX718" s="217"/>
      <c r="AY718" s="305"/>
      <c r="AZ718" s="249"/>
      <c r="BA718" s="221"/>
      <c r="BB718" s="300"/>
      <c r="BC718" s="217"/>
      <c r="BD718" s="392"/>
      <c r="BE718" s="1244"/>
      <c r="BF718" s="249"/>
      <c r="BG718" s="252"/>
      <c r="BH718" s="1469"/>
      <c r="BI718" s="216"/>
      <c r="BJ718" s="1469"/>
      <c r="BK718" s="1459"/>
      <c r="BL718" s="260"/>
      <c r="BM718" s="214"/>
      <c r="BN718" s="293"/>
      <c r="BO718" s="217"/>
      <c r="BP718" s="355"/>
      <c r="BQ718" s="217"/>
      <c r="BR718" s="1193"/>
      <c r="BS718" s="249"/>
      <c r="BT718" s="216"/>
      <c r="BU718" s="1195"/>
      <c r="BV718" s="249"/>
      <c r="BW718" s="216"/>
      <c r="BX718" s="1195"/>
      <c r="BY718" s="249"/>
      <c r="BZ718" s="216"/>
      <c r="CA718" s="1195"/>
      <c r="CB718" s="249"/>
      <c r="CC718" s="216"/>
      <c r="CD718" s="1195"/>
      <c r="CE718" s="249"/>
      <c r="CF718" s="216"/>
      <c r="CG718" s="1195"/>
      <c r="CH718" s="249"/>
      <c r="CI718" s="216"/>
      <c r="CJ718" s="1195"/>
      <c r="CK718" s="249"/>
      <c r="CL718" s="216"/>
      <c r="CM718" s="1194"/>
      <c r="CN718" s="1524"/>
      <c r="CO718" s="217"/>
      <c r="CP718" s="1193"/>
      <c r="CQ718" s="293"/>
      <c r="CR718" s="217"/>
      <c r="CS718" s="305"/>
      <c r="CT718" s="249"/>
      <c r="CU718" s="216"/>
      <c r="CV718" s="1193"/>
      <c r="CW718" s="249"/>
      <c r="CX718" s="216"/>
      <c r="CY718" s="305"/>
      <c r="CZ718" s="249"/>
      <c r="DA718" s="216"/>
      <c r="DB718" s="307"/>
      <c r="DC718" s="328"/>
      <c r="DD718" s="322"/>
      <c r="DE718" s="305"/>
      <c r="DF718" s="249"/>
      <c r="DG718" s="216"/>
      <c r="DH718" s="305"/>
      <c r="DI718" s="249"/>
      <c r="DJ718" s="216"/>
      <c r="DK718" s="309"/>
      <c r="DL718" s="293"/>
      <c r="DM718" s="326"/>
      <c r="DN718" s="1256"/>
      <c r="DO718" s="214"/>
      <c r="DP718" s="1257"/>
      <c r="DQ718" s="1258"/>
      <c r="DR718" s="305"/>
      <c r="DS718" s="249"/>
      <c r="DT718" s="216"/>
      <c r="DU718" s="305"/>
      <c r="DV718" s="2520"/>
      <c r="DW718" s="2521"/>
      <c r="DX718" s="305"/>
      <c r="DY718" s="249"/>
      <c r="DZ718" s="221"/>
      <c r="EA718" s="388"/>
      <c r="EB718" s="249"/>
      <c r="EC718" s="216"/>
      <c r="ED718" s="1461"/>
      <c r="EE718" s="249"/>
      <c r="EF718" s="216"/>
      <c r="EG718" s="355"/>
      <c r="EH718" s="1425"/>
      <c r="EI718" s="1470"/>
      <c r="EJ718" s="249"/>
      <c r="EK718" s="221"/>
      <c r="EL718" s="313"/>
      <c r="EM718" s="249"/>
      <c r="EN718" s="221"/>
      <c r="EO718" s="313"/>
      <c r="EP718" s="249"/>
      <c r="EQ718" s="216"/>
      <c r="ER718" s="313"/>
      <c r="ES718" s="249"/>
      <c r="ET718" s="216"/>
      <c r="EU718" s="313"/>
      <c r="EV718" s="249"/>
      <c r="EW718" s="216"/>
      <c r="EX718" s="2505"/>
      <c r="EY718" s="249"/>
      <c r="EZ718" s="221"/>
      <c r="FA718" s="313"/>
      <c r="FB718" s="249"/>
      <c r="FC718" s="221"/>
      <c r="FD718" s="313"/>
      <c r="FE718" s="249"/>
      <c r="FF718" s="221"/>
      <c r="FG718" s="313"/>
      <c r="FH718" s="249"/>
      <c r="FI718" s="216"/>
      <c r="FJ718" s="1435"/>
      <c r="FK718" s="216"/>
      <c r="FL718" s="1268"/>
      <c r="FM718" s="1655"/>
      <c r="FN718" s="1268"/>
      <c r="FO718" s="1655"/>
      <c r="FP718" s="1268"/>
      <c r="FQ718" s="1656"/>
      <c r="FR718" s="249"/>
      <c r="FS718" s="216"/>
      <c r="FT718" s="1657"/>
      <c r="FU718" s="1658"/>
      <c r="FV718" s="242"/>
      <c r="FW718" s="343"/>
      <c r="FX718" s="222"/>
      <c r="FY718" s="336"/>
      <c r="FZ718" s="223"/>
      <c r="GA718" s="338"/>
      <c r="GB718" s="204"/>
      <c r="GC718" s="339"/>
      <c r="GD718" s="342"/>
      <c r="GE718" s="199"/>
      <c r="GF718" s="199"/>
      <c r="GG718" s="199"/>
      <c r="GH718" s="199"/>
      <c r="GI718" s="199"/>
      <c r="GJ718" s="199"/>
      <c r="GK718" s="199"/>
      <c r="GO718" s="322"/>
      <c r="GP718" s="1190"/>
      <c r="GQ718" s="1190"/>
      <c r="GS718" s="2879"/>
      <c r="GT718" s="2880"/>
      <c r="GU718" s="2881"/>
    </row>
    <row r="719" spans="1:203" ht="12" customHeight="1">
      <c r="A719" s="1252"/>
      <c r="B719" s="200"/>
      <c r="C719" s="486"/>
      <c r="T719" s="1186"/>
      <c r="U719" s="233"/>
      <c r="W719" s="218"/>
      <c r="X719" s="218"/>
      <c r="Y719" s="216"/>
      <c r="Z719" s="216"/>
      <c r="AA719" s="215"/>
      <c r="AB719" s="216"/>
      <c r="AC719" s="216"/>
      <c r="AD719" s="239"/>
      <c r="AE719" s="216"/>
      <c r="AF719" s="216"/>
      <c r="AG719" s="216"/>
      <c r="AH719" s="216"/>
      <c r="AI719" s="216"/>
      <c r="AJ719" s="216"/>
      <c r="AK719" s="239"/>
      <c r="AL719" s="216"/>
      <c r="AM719" s="216"/>
      <c r="AN719" s="216"/>
      <c r="AO719" s="216"/>
      <c r="AP719" s="216"/>
      <c r="AQ719" s="216"/>
      <c r="AR719" s="216"/>
      <c r="AS719" s="216"/>
      <c r="AT719" s="216"/>
      <c r="AU719" s="216"/>
      <c r="AV719" s="217"/>
      <c r="AW719" s="355"/>
      <c r="AX719" s="217"/>
      <c r="AY719" s="305"/>
      <c r="AZ719" s="249"/>
      <c r="BA719" s="221"/>
      <c r="BB719" s="300"/>
      <c r="BC719" s="217"/>
      <c r="BD719" s="392"/>
      <c r="BE719" s="1244"/>
      <c r="BF719" s="249"/>
      <c r="BG719" s="252"/>
      <c r="BH719" s="1469"/>
      <c r="BI719" s="216"/>
      <c r="BJ719" s="1469"/>
      <c r="BK719" s="1459"/>
      <c r="BL719" s="260"/>
      <c r="BM719" s="214"/>
      <c r="BN719" s="293"/>
      <c r="BO719" s="217"/>
      <c r="BP719" s="355"/>
      <c r="BQ719" s="217"/>
      <c r="BR719" s="1193"/>
      <c r="BS719" s="249"/>
      <c r="BT719" s="216"/>
      <c r="BU719" s="1195"/>
      <c r="BV719" s="249"/>
      <c r="BW719" s="216"/>
      <c r="BX719" s="1195"/>
      <c r="BY719" s="249"/>
      <c r="BZ719" s="216"/>
      <c r="CA719" s="1195"/>
      <c r="CB719" s="249"/>
      <c r="CC719" s="216"/>
      <c r="CD719" s="1195"/>
      <c r="CE719" s="249"/>
      <c r="CF719" s="216"/>
      <c r="CG719" s="1195"/>
      <c r="CH719" s="249"/>
      <c r="CI719" s="216"/>
      <c r="CJ719" s="1195"/>
      <c r="CK719" s="249"/>
      <c r="CL719" s="216"/>
      <c r="CM719" s="1194"/>
      <c r="CN719" s="1524"/>
      <c r="CO719" s="217"/>
      <c r="CP719" s="1193"/>
      <c r="CQ719" s="293"/>
      <c r="CR719" s="217"/>
      <c r="CS719" s="305"/>
      <c r="CT719" s="249"/>
      <c r="CU719" s="216"/>
      <c r="CV719" s="1193"/>
      <c r="CW719" s="249"/>
      <c r="CX719" s="216"/>
      <c r="CY719" s="305"/>
      <c r="CZ719" s="249"/>
      <c r="DA719" s="216"/>
      <c r="DB719" s="307"/>
      <c r="DC719" s="328"/>
      <c r="DD719" s="322"/>
      <c r="DE719" s="305"/>
      <c r="DF719" s="249"/>
      <c r="DG719" s="216"/>
      <c r="DH719" s="305"/>
      <c r="DI719" s="249"/>
      <c r="DJ719" s="216"/>
      <c r="DK719" s="309"/>
      <c r="DL719" s="293"/>
      <c r="DM719" s="326"/>
      <c r="DN719" s="1256"/>
      <c r="DO719" s="214"/>
      <c r="DP719" s="1257"/>
      <c r="DQ719" s="1258"/>
      <c r="DR719" s="305"/>
      <c r="DS719" s="249"/>
      <c r="DT719" s="216"/>
      <c r="DU719" s="305"/>
      <c r="DV719" s="2520"/>
      <c r="DW719" s="2521"/>
      <c r="DX719" s="305"/>
      <c r="DY719" s="249"/>
      <c r="DZ719" s="221"/>
      <c r="EA719" s="388"/>
      <c r="EB719" s="249"/>
      <c r="EC719" s="216"/>
      <c r="ED719" s="1461"/>
      <c r="EE719" s="249"/>
      <c r="EF719" s="216"/>
      <c r="EG719" s="355"/>
      <c r="EH719" s="1425"/>
      <c r="EI719" s="1470"/>
      <c r="EJ719" s="249"/>
      <c r="EK719" s="221"/>
      <c r="EL719" s="313"/>
      <c r="EM719" s="249"/>
      <c r="EN719" s="221"/>
      <c r="EO719" s="313"/>
      <c r="EP719" s="249"/>
      <c r="EQ719" s="216"/>
      <c r="ER719" s="313"/>
      <c r="ES719" s="249"/>
      <c r="ET719" s="216"/>
      <c r="EU719" s="313"/>
      <c r="EV719" s="249"/>
      <c r="EW719" s="216"/>
      <c r="EX719" s="2505"/>
      <c r="EY719" s="249"/>
      <c r="EZ719" s="221"/>
      <c r="FA719" s="313"/>
      <c r="FB719" s="249"/>
      <c r="FC719" s="221"/>
      <c r="FD719" s="313"/>
      <c r="FE719" s="249"/>
      <c r="FF719" s="221"/>
      <c r="FG719" s="313"/>
      <c r="FH719" s="249"/>
      <c r="FI719" s="216"/>
      <c r="FJ719" s="1435"/>
      <c r="FK719" s="216"/>
      <c r="FL719" s="1268"/>
      <c r="FM719" s="1655"/>
      <c r="FN719" s="1268"/>
      <c r="FO719" s="1655"/>
      <c r="FP719" s="1268"/>
      <c r="FQ719" s="1656"/>
      <c r="FR719" s="249"/>
      <c r="FS719" s="216"/>
      <c r="FT719" s="1657"/>
      <c r="FU719" s="1658"/>
      <c r="FV719" s="242"/>
      <c r="FW719" s="343"/>
      <c r="FX719" s="222"/>
      <c r="FY719" s="336"/>
      <c r="FZ719" s="223"/>
      <c r="GA719" s="338"/>
      <c r="GB719" s="204"/>
      <c r="GC719" s="339"/>
      <c r="GD719" s="342"/>
      <c r="GE719" s="199"/>
      <c r="GF719" s="199"/>
      <c r="GG719" s="199"/>
      <c r="GH719" s="199"/>
      <c r="GI719" s="199"/>
      <c r="GJ719" s="199"/>
      <c r="GK719" s="199"/>
      <c r="GO719" s="322"/>
      <c r="GP719" s="1190"/>
      <c r="GQ719" s="1190"/>
      <c r="GS719" s="2879"/>
      <c r="GT719" s="2880"/>
      <c r="GU719" s="2881"/>
    </row>
    <row r="720" spans="1:203" ht="12" customHeight="1">
      <c r="A720" s="1252"/>
      <c r="B720" s="200"/>
      <c r="C720" s="486"/>
      <c r="T720" s="1186"/>
      <c r="U720" s="233"/>
      <c r="W720" s="218"/>
      <c r="X720" s="218"/>
      <c r="Y720" s="216"/>
      <c r="Z720" s="216"/>
      <c r="AA720" s="215"/>
      <c r="AB720" s="216"/>
      <c r="AC720" s="216"/>
      <c r="AD720" s="239"/>
      <c r="AE720" s="216"/>
      <c r="AF720" s="216"/>
      <c r="AG720" s="216"/>
      <c r="AH720" s="216"/>
      <c r="AI720" s="216"/>
      <c r="AJ720" s="216"/>
      <c r="AK720" s="239"/>
      <c r="AL720" s="216"/>
      <c r="AM720" s="216"/>
      <c r="AN720" s="216"/>
      <c r="AO720" s="216"/>
      <c r="AP720" s="216"/>
      <c r="AQ720" s="216"/>
      <c r="AR720" s="216"/>
      <c r="AS720" s="216"/>
      <c r="AT720" s="216"/>
      <c r="AU720" s="216"/>
      <c r="AV720" s="217"/>
      <c r="AW720" s="355"/>
      <c r="AX720" s="217"/>
      <c r="AY720" s="305"/>
      <c r="AZ720" s="249"/>
      <c r="BA720" s="221"/>
      <c r="BB720" s="300"/>
      <c r="BC720" s="217"/>
      <c r="BD720" s="392"/>
      <c r="BE720" s="1244"/>
      <c r="BF720" s="249"/>
      <c r="BG720" s="252"/>
      <c r="BH720" s="1469"/>
      <c r="BI720" s="216"/>
      <c r="BJ720" s="1469"/>
      <c r="BK720" s="1459"/>
      <c r="BL720" s="260"/>
      <c r="BM720" s="214"/>
      <c r="BN720" s="293"/>
      <c r="BO720" s="217"/>
      <c r="BP720" s="355"/>
      <c r="BQ720" s="217"/>
      <c r="BR720" s="1193"/>
      <c r="BS720" s="249"/>
      <c r="BT720" s="216"/>
      <c r="BU720" s="1195"/>
      <c r="BV720" s="249"/>
      <c r="BW720" s="216"/>
      <c r="BX720" s="1195"/>
      <c r="BY720" s="249"/>
      <c r="BZ720" s="216"/>
      <c r="CA720" s="1195"/>
      <c r="CB720" s="249"/>
      <c r="CC720" s="216"/>
      <c r="CD720" s="1195"/>
      <c r="CE720" s="249"/>
      <c r="CF720" s="216"/>
      <c r="CG720" s="1195"/>
      <c r="CH720" s="249"/>
      <c r="CI720" s="216"/>
      <c r="CJ720" s="1195"/>
      <c r="CK720" s="249"/>
      <c r="CL720" s="216"/>
      <c r="CM720" s="1194"/>
      <c r="CN720" s="1524"/>
      <c r="CO720" s="217"/>
      <c r="CP720" s="1193"/>
      <c r="CQ720" s="293"/>
      <c r="CR720" s="217"/>
      <c r="CS720" s="305"/>
      <c r="CT720" s="249"/>
      <c r="CU720" s="216"/>
      <c r="CV720" s="1193"/>
      <c r="CW720" s="249"/>
      <c r="CX720" s="216"/>
      <c r="CY720" s="305"/>
      <c r="CZ720" s="249"/>
      <c r="DA720" s="216"/>
      <c r="DB720" s="307"/>
      <c r="DC720" s="328"/>
      <c r="DD720" s="322"/>
      <c r="DE720" s="305"/>
      <c r="DF720" s="249"/>
      <c r="DG720" s="216"/>
      <c r="DH720" s="305"/>
      <c r="DI720" s="249"/>
      <c r="DJ720" s="216"/>
      <c r="DK720" s="309"/>
      <c r="DL720" s="293"/>
      <c r="DM720" s="326"/>
      <c r="DN720" s="1256"/>
      <c r="DO720" s="214"/>
      <c r="DP720" s="1257"/>
      <c r="DQ720" s="1258"/>
      <c r="DR720" s="305"/>
      <c r="DS720" s="249"/>
      <c r="DT720" s="216"/>
      <c r="DU720" s="305"/>
      <c r="DV720" s="2520"/>
      <c r="DW720" s="2521"/>
      <c r="DX720" s="305"/>
      <c r="DY720" s="249"/>
      <c r="DZ720" s="221"/>
      <c r="EA720" s="388"/>
      <c r="EB720" s="249"/>
      <c r="EC720" s="216"/>
      <c r="ED720" s="1461"/>
      <c r="EE720" s="249"/>
      <c r="EF720" s="216"/>
      <c r="EG720" s="355"/>
      <c r="EH720" s="1425"/>
      <c r="EI720" s="1470"/>
      <c r="EJ720" s="249"/>
      <c r="EK720" s="221"/>
      <c r="EL720" s="313"/>
      <c r="EM720" s="249"/>
      <c r="EN720" s="221"/>
      <c r="EO720" s="313"/>
      <c r="EP720" s="249"/>
      <c r="EQ720" s="216"/>
      <c r="ER720" s="313"/>
      <c r="ES720" s="249"/>
      <c r="ET720" s="216"/>
      <c r="EU720" s="313"/>
      <c r="EV720" s="249"/>
      <c r="EW720" s="216"/>
      <c r="EX720" s="2505"/>
      <c r="EY720" s="249"/>
      <c r="EZ720" s="221"/>
      <c r="FA720" s="313"/>
      <c r="FB720" s="249"/>
      <c r="FC720" s="221"/>
      <c r="FD720" s="313"/>
      <c r="FE720" s="249"/>
      <c r="FF720" s="221"/>
      <c r="FG720" s="313"/>
      <c r="FH720" s="249"/>
      <c r="FI720" s="216"/>
      <c r="FJ720" s="1435"/>
      <c r="FK720" s="216"/>
      <c r="FL720" s="1268"/>
      <c r="FM720" s="1655"/>
      <c r="FN720" s="1268"/>
      <c r="FO720" s="1655"/>
      <c r="FP720" s="1268"/>
      <c r="FQ720" s="1656"/>
      <c r="FR720" s="249"/>
      <c r="FS720" s="216"/>
      <c r="FT720" s="1657"/>
      <c r="FU720" s="1658"/>
      <c r="FV720" s="242"/>
      <c r="FW720" s="343"/>
      <c r="FX720" s="222"/>
      <c r="FY720" s="336"/>
      <c r="FZ720" s="223"/>
      <c r="GA720" s="338"/>
      <c r="GB720" s="204"/>
      <c r="GC720" s="339"/>
      <c r="GD720" s="342"/>
      <c r="GE720" s="199"/>
      <c r="GF720" s="199"/>
      <c r="GG720" s="199"/>
      <c r="GH720" s="199"/>
      <c r="GI720" s="199"/>
      <c r="GJ720" s="199"/>
      <c r="GK720" s="199"/>
      <c r="GO720" s="322"/>
      <c r="GP720" s="1190"/>
      <c r="GQ720" s="1190"/>
      <c r="GS720" s="2879"/>
      <c r="GT720" s="2880"/>
      <c r="GU720" s="2881"/>
    </row>
    <row r="721" spans="1:203" ht="12" customHeight="1">
      <c r="A721" s="1252"/>
      <c r="B721" s="200"/>
      <c r="C721" s="486"/>
      <c r="T721" s="1186"/>
      <c r="U721" s="233"/>
      <c r="W721" s="218"/>
      <c r="X721" s="218"/>
      <c r="Y721" s="216"/>
      <c r="Z721" s="216"/>
      <c r="AA721" s="215"/>
      <c r="AB721" s="216"/>
      <c r="AC721" s="216"/>
      <c r="AD721" s="239"/>
      <c r="AE721" s="216"/>
      <c r="AF721" s="216"/>
      <c r="AG721" s="216"/>
      <c r="AH721" s="216"/>
      <c r="AI721" s="216"/>
      <c r="AJ721" s="216"/>
      <c r="AK721" s="239"/>
      <c r="AL721" s="216"/>
      <c r="AM721" s="216"/>
      <c r="AN721" s="216"/>
      <c r="AO721" s="216"/>
      <c r="AP721" s="216"/>
      <c r="AQ721" s="216"/>
      <c r="AR721" s="216"/>
      <c r="AS721" s="216"/>
      <c r="AT721" s="216"/>
      <c r="AU721" s="216"/>
      <c r="AV721" s="217"/>
      <c r="AW721" s="355"/>
      <c r="AX721" s="217"/>
      <c r="AY721" s="305"/>
      <c r="AZ721" s="249"/>
      <c r="BA721" s="221"/>
      <c r="BB721" s="300"/>
      <c r="BC721" s="217"/>
      <c r="BD721" s="392"/>
      <c r="BE721" s="1244"/>
      <c r="BF721" s="249"/>
      <c r="BG721" s="252"/>
      <c r="BH721" s="1469"/>
      <c r="BI721" s="216"/>
      <c r="BJ721" s="1469"/>
      <c r="BK721" s="1459"/>
      <c r="BL721" s="260"/>
      <c r="BM721" s="214"/>
      <c r="BN721" s="293"/>
      <c r="BO721" s="217"/>
      <c r="BP721" s="355"/>
      <c r="BQ721" s="217"/>
      <c r="BR721" s="1193"/>
      <c r="BS721" s="249"/>
      <c r="BT721" s="216"/>
      <c r="BU721" s="1195"/>
      <c r="BV721" s="249"/>
      <c r="BW721" s="216"/>
      <c r="BX721" s="1195"/>
      <c r="BY721" s="249"/>
      <c r="BZ721" s="216"/>
      <c r="CA721" s="1195"/>
      <c r="CB721" s="249"/>
      <c r="CC721" s="216"/>
      <c r="CD721" s="1195"/>
      <c r="CE721" s="249"/>
      <c r="CF721" s="216"/>
      <c r="CG721" s="1195"/>
      <c r="CH721" s="249"/>
      <c r="CI721" s="216"/>
      <c r="CJ721" s="1195"/>
      <c r="CK721" s="249"/>
      <c r="CL721" s="216"/>
      <c r="CM721" s="1194"/>
      <c r="CN721" s="1524"/>
      <c r="CO721" s="217"/>
      <c r="CP721" s="1193"/>
      <c r="CQ721" s="293"/>
      <c r="CR721" s="217"/>
      <c r="CS721" s="305"/>
      <c r="CT721" s="249"/>
      <c r="CU721" s="216"/>
      <c r="CV721" s="1193"/>
      <c r="CW721" s="249"/>
      <c r="CX721" s="216"/>
      <c r="CY721" s="305"/>
      <c r="CZ721" s="249"/>
      <c r="DA721" s="216"/>
      <c r="DB721" s="307"/>
      <c r="DC721" s="328"/>
      <c r="DD721" s="322"/>
      <c r="DE721" s="305"/>
      <c r="DF721" s="249"/>
      <c r="DG721" s="216"/>
      <c r="DH721" s="305"/>
      <c r="DI721" s="249"/>
      <c r="DJ721" s="216"/>
      <c r="DK721" s="309"/>
      <c r="DL721" s="293"/>
      <c r="DM721" s="326"/>
      <c r="DN721" s="1256"/>
      <c r="DO721" s="214"/>
      <c r="DP721" s="1257"/>
      <c r="DQ721" s="1258"/>
      <c r="DR721" s="305"/>
      <c r="DS721" s="249"/>
      <c r="DT721" s="216"/>
      <c r="DU721" s="305"/>
      <c r="DV721" s="2520"/>
      <c r="DW721" s="2521"/>
      <c r="DX721" s="305"/>
      <c r="DY721" s="249"/>
      <c r="DZ721" s="221"/>
      <c r="EA721" s="388"/>
      <c r="EB721" s="249"/>
      <c r="EC721" s="216"/>
      <c r="ED721" s="1461"/>
      <c r="EE721" s="249"/>
      <c r="EF721" s="216"/>
      <c r="EG721" s="355"/>
      <c r="EH721" s="1425"/>
      <c r="EI721" s="1470"/>
      <c r="EJ721" s="249"/>
      <c r="EK721" s="221"/>
      <c r="EL721" s="313"/>
      <c r="EM721" s="249"/>
      <c r="EN721" s="221"/>
      <c r="EO721" s="313"/>
      <c r="EP721" s="249"/>
      <c r="EQ721" s="216"/>
      <c r="ER721" s="313"/>
      <c r="ES721" s="249"/>
      <c r="ET721" s="216"/>
      <c r="EU721" s="313"/>
      <c r="EV721" s="249"/>
      <c r="EW721" s="216"/>
      <c r="EX721" s="2505"/>
      <c r="EY721" s="249"/>
      <c r="EZ721" s="221"/>
      <c r="FA721" s="313"/>
      <c r="FB721" s="249"/>
      <c r="FC721" s="221"/>
      <c r="FD721" s="313"/>
      <c r="FE721" s="249"/>
      <c r="FF721" s="221"/>
      <c r="FG721" s="313"/>
      <c r="FH721" s="249"/>
      <c r="FI721" s="216"/>
      <c r="FJ721" s="1435"/>
      <c r="FK721" s="216"/>
      <c r="FL721" s="1268"/>
      <c r="FM721" s="1655"/>
      <c r="FN721" s="1268"/>
      <c r="FO721" s="1655"/>
      <c r="FP721" s="1268"/>
      <c r="FQ721" s="1656"/>
      <c r="FR721" s="249"/>
      <c r="FS721" s="216"/>
      <c r="FT721" s="1657"/>
      <c r="FU721" s="1658"/>
      <c r="FV721" s="242"/>
      <c r="FW721" s="343"/>
      <c r="FX721" s="222"/>
      <c r="FY721" s="336"/>
      <c r="FZ721" s="223"/>
      <c r="GA721" s="338"/>
      <c r="GB721" s="204"/>
      <c r="GC721" s="339"/>
      <c r="GD721" s="342"/>
      <c r="GE721" s="199"/>
      <c r="GF721" s="199"/>
      <c r="GG721" s="199"/>
      <c r="GH721" s="199"/>
      <c r="GI721" s="199"/>
      <c r="GJ721" s="199"/>
      <c r="GK721" s="199"/>
      <c r="GO721" s="322"/>
      <c r="GP721" s="1190"/>
      <c r="GQ721" s="1190"/>
      <c r="GS721" s="2879"/>
      <c r="GT721" s="2880"/>
      <c r="GU721" s="2881"/>
    </row>
    <row r="722" spans="1:203" ht="12" customHeight="1">
      <c r="A722" s="1252"/>
      <c r="B722" s="200"/>
      <c r="C722" s="486"/>
      <c r="T722" s="1186"/>
      <c r="U722" s="233"/>
      <c r="W722" s="218"/>
      <c r="X722" s="218"/>
      <c r="Y722" s="216"/>
      <c r="Z722" s="216"/>
      <c r="AA722" s="215"/>
      <c r="AB722" s="216"/>
      <c r="AC722" s="216"/>
      <c r="AD722" s="239"/>
      <c r="AE722" s="216"/>
      <c r="AF722" s="216"/>
      <c r="AG722" s="216"/>
      <c r="AH722" s="216"/>
      <c r="AI722" s="216"/>
      <c r="AJ722" s="216"/>
      <c r="AK722" s="239"/>
      <c r="AL722" s="216"/>
      <c r="AM722" s="216"/>
      <c r="AN722" s="216"/>
      <c r="AO722" s="216"/>
      <c r="AP722" s="216"/>
      <c r="AQ722" s="216"/>
      <c r="AR722" s="216"/>
      <c r="AS722" s="216"/>
      <c r="AT722" s="216"/>
      <c r="AU722" s="216"/>
      <c r="AV722" s="217"/>
      <c r="AW722" s="355"/>
      <c r="AX722" s="217"/>
      <c r="AY722" s="305"/>
      <c r="AZ722" s="249"/>
      <c r="BA722" s="221"/>
      <c r="BB722" s="300"/>
      <c r="BC722" s="217"/>
      <c r="BD722" s="392"/>
      <c r="BE722" s="1244"/>
      <c r="BF722" s="249"/>
      <c r="BG722" s="252"/>
      <c r="BH722" s="1469"/>
      <c r="BI722" s="216"/>
      <c r="BJ722" s="1469"/>
      <c r="BK722" s="1459"/>
      <c r="BL722" s="260"/>
      <c r="BM722" s="214"/>
      <c r="BN722" s="293"/>
      <c r="BO722" s="217"/>
      <c r="BP722" s="355"/>
      <c r="BQ722" s="217"/>
      <c r="BR722" s="1193"/>
      <c r="BS722" s="249"/>
      <c r="BT722" s="216"/>
      <c r="BU722" s="1195"/>
      <c r="BV722" s="249"/>
      <c r="BW722" s="216"/>
      <c r="BX722" s="1195"/>
      <c r="BY722" s="249"/>
      <c r="BZ722" s="216"/>
      <c r="CA722" s="1195"/>
      <c r="CB722" s="249"/>
      <c r="CC722" s="216"/>
      <c r="CD722" s="1195"/>
      <c r="CE722" s="249"/>
      <c r="CF722" s="216"/>
      <c r="CG722" s="1195"/>
      <c r="CH722" s="249"/>
      <c r="CI722" s="216"/>
      <c r="CJ722" s="1195"/>
      <c r="CK722" s="249"/>
      <c r="CL722" s="216"/>
      <c r="CM722" s="1194"/>
      <c r="CN722" s="1524"/>
      <c r="CO722" s="217"/>
      <c r="CP722" s="1193"/>
      <c r="CQ722" s="293"/>
      <c r="CR722" s="217"/>
      <c r="CS722" s="305"/>
      <c r="CT722" s="249"/>
      <c r="CU722" s="216"/>
      <c r="CV722" s="1193"/>
      <c r="CW722" s="249"/>
      <c r="CX722" s="216"/>
      <c r="CY722" s="305"/>
      <c r="CZ722" s="249"/>
      <c r="DA722" s="216"/>
      <c r="DB722" s="307"/>
      <c r="DC722" s="328"/>
      <c r="DD722" s="322"/>
      <c r="DE722" s="305"/>
      <c r="DF722" s="249"/>
      <c r="DG722" s="216"/>
      <c r="DH722" s="305"/>
      <c r="DI722" s="249"/>
      <c r="DJ722" s="216"/>
      <c r="DK722" s="309"/>
      <c r="DL722" s="293"/>
      <c r="DM722" s="326"/>
      <c r="DN722" s="1256"/>
      <c r="DO722" s="214"/>
      <c r="DP722" s="1257"/>
      <c r="DQ722" s="1258"/>
      <c r="DR722" s="305"/>
      <c r="DS722" s="249"/>
      <c r="DT722" s="216"/>
      <c r="DU722" s="305"/>
      <c r="DV722" s="2520"/>
      <c r="DW722" s="2521"/>
      <c r="DX722" s="305"/>
      <c r="DY722" s="249"/>
      <c r="DZ722" s="221"/>
      <c r="EA722" s="388"/>
      <c r="EB722" s="249"/>
      <c r="EC722" s="216"/>
      <c r="ED722" s="1461"/>
      <c r="EE722" s="249"/>
      <c r="EF722" s="216"/>
      <c r="EG722" s="355"/>
      <c r="EH722" s="1425"/>
      <c r="EI722" s="1470"/>
      <c r="EJ722" s="249"/>
      <c r="EK722" s="221"/>
      <c r="EL722" s="313"/>
      <c r="EM722" s="249"/>
      <c r="EN722" s="221"/>
      <c r="EO722" s="313"/>
      <c r="EP722" s="249"/>
      <c r="EQ722" s="216"/>
      <c r="ER722" s="313"/>
      <c r="ES722" s="249"/>
      <c r="ET722" s="216"/>
      <c r="EU722" s="313"/>
      <c r="EV722" s="249"/>
      <c r="EW722" s="216"/>
      <c r="EX722" s="2505"/>
      <c r="EY722" s="249"/>
      <c r="EZ722" s="221"/>
      <c r="FA722" s="313"/>
      <c r="FB722" s="249"/>
      <c r="FC722" s="221"/>
      <c r="FD722" s="313"/>
      <c r="FE722" s="249"/>
      <c r="FF722" s="221"/>
      <c r="FG722" s="313"/>
      <c r="FH722" s="249"/>
      <c r="FI722" s="216"/>
      <c r="FJ722" s="1435"/>
      <c r="FK722" s="216"/>
      <c r="FL722" s="1268"/>
      <c r="FM722" s="1655"/>
      <c r="FN722" s="1268"/>
      <c r="FO722" s="1655"/>
      <c r="FP722" s="1268"/>
      <c r="FQ722" s="1656"/>
      <c r="FR722" s="249"/>
      <c r="FS722" s="216"/>
      <c r="FT722" s="1657"/>
      <c r="FU722" s="1658"/>
      <c r="FV722" s="242"/>
      <c r="FW722" s="343"/>
      <c r="FX722" s="222"/>
      <c r="FY722" s="336"/>
      <c r="FZ722" s="223"/>
      <c r="GA722" s="338"/>
      <c r="GB722" s="204"/>
      <c r="GC722" s="339"/>
      <c r="GD722" s="342"/>
      <c r="GE722" s="199"/>
      <c r="GF722" s="199"/>
      <c r="GG722" s="199"/>
      <c r="GH722" s="199"/>
      <c r="GI722" s="199"/>
      <c r="GJ722" s="199"/>
      <c r="GK722" s="199"/>
      <c r="GO722" s="322"/>
      <c r="GP722" s="1190"/>
      <c r="GQ722" s="1190"/>
      <c r="GS722" s="2879"/>
      <c r="GT722" s="2880"/>
      <c r="GU722" s="2881"/>
    </row>
    <row r="723" spans="1:203" ht="12" customHeight="1">
      <c r="A723" s="1252"/>
      <c r="B723" s="200"/>
      <c r="C723" s="486"/>
      <c r="T723" s="1186"/>
      <c r="U723" s="233"/>
      <c r="W723" s="218"/>
      <c r="X723" s="218"/>
      <c r="Y723" s="216"/>
      <c r="Z723" s="216"/>
      <c r="AA723" s="215"/>
      <c r="AB723" s="216"/>
      <c r="AC723" s="216"/>
      <c r="AD723" s="239"/>
      <c r="AE723" s="216"/>
      <c r="AF723" s="216"/>
      <c r="AG723" s="216"/>
      <c r="AH723" s="216"/>
      <c r="AI723" s="216"/>
      <c r="AJ723" s="216"/>
      <c r="AK723" s="239"/>
      <c r="AL723" s="216"/>
      <c r="AM723" s="216"/>
      <c r="AN723" s="216"/>
      <c r="AO723" s="216"/>
      <c r="AP723" s="216"/>
      <c r="AQ723" s="216"/>
      <c r="AR723" s="216"/>
      <c r="AS723" s="216"/>
      <c r="AT723" s="216"/>
      <c r="AU723" s="216"/>
      <c r="AV723" s="217"/>
      <c r="AW723" s="355"/>
      <c r="AX723" s="217"/>
      <c r="AY723" s="305"/>
      <c r="AZ723" s="249"/>
      <c r="BA723" s="221"/>
      <c r="BB723" s="300"/>
      <c r="BC723" s="217"/>
      <c r="BD723" s="392"/>
      <c r="BE723" s="1244"/>
      <c r="BF723" s="249"/>
      <c r="BG723" s="252"/>
      <c r="BH723" s="1469"/>
      <c r="BI723" s="216"/>
      <c r="BJ723" s="1469"/>
      <c r="BK723" s="1459"/>
      <c r="BL723" s="260"/>
      <c r="BM723" s="214"/>
      <c r="BN723" s="293"/>
      <c r="BO723" s="217"/>
      <c r="BP723" s="355"/>
      <c r="BQ723" s="217"/>
      <c r="BR723" s="1193"/>
      <c r="BS723" s="249"/>
      <c r="BT723" s="216"/>
      <c r="BU723" s="1195"/>
      <c r="BV723" s="249"/>
      <c r="BW723" s="216"/>
      <c r="BX723" s="1195"/>
      <c r="BY723" s="249"/>
      <c r="BZ723" s="216"/>
      <c r="CA723" s="1195"/>
      <c r="CB723" s="249"/>
      <c r="CC723" s="216"/>
      <c r="CD723" s="1195"/>
      <c r="CE723" s="249"/>
      <c r="CF723" s="216"/>
      <c r="CG723" s="1195"/>
      <c r="CH723" s="249"/>
      <c r="CI723" s="216"/>
      <c r="CJ723" s="1195"/>
      <c r="CK723" s="249"/>
      <c r="CL723" s="216"/>
      <c r="CM723" s="1194"/>
      <c r="CN723" s="1524"/>
      <c r="CO723" s="217"/>
      <c r="CP723" s="1193"/>
      <c r="CQ723" s="293"/>
      <c r="CR723" s="217"/>
      <c r="CS723" s="305"/>
      <c r="CT723" s="249"/>
      <c r="CU723" s="216"/>
      <c r="CV723" s="1193"/>
      <c r="CW723" s="249"/>
      <c r="CX723" s="216"/>
      <c r="CY723" s="305"/>
      <c r="CZ723" s="249"/>
      <c r="DA723" s="216"/>
      <c r="DB723" s="307"/>
      <c r="DC723" s="328"/>
      <c r="DD723" s="322"/>
      <c r="DE723" s="305"/>
      <c r="DF723" s="249"/>
      <c r="DG723" s="216"/>
      <c r="DH723" s="305"/>
      <c r="DI723" s="249"/>
      <c r="DJ723" s="216"/>
      <c r="DK723" s="309"/>
      <c r="DL723" s="293"/>
      <c r="DM723" s="326"/>
      <c r="DN723" s="1256"/>
      <c r="DO723" s="214"/>
      <c r="DP723" s="1257"/>
      <c r="DQ723" s="1258"/>
      <c r="DR723" s="305"/>
      <c r="DS723" s="249"/>
      <c r="DT723" s="216"/>
      <c r="DU723" s="305"/>
      <c r="DV723" s="2520"/>
      <c r="DW723" s="2521"/>
      <c r="DX723" s="305"/>
      <c r="DY723" s="249"/>
      <c r="DZ723" s="221"/>
      <c r="EA723" s="388"/>
      <c r="EB723" s="249"/>
      <c r="EC723" s="216"/>
      <c r="ED723" s="1461"/>
      <c r="EE723" s="249"/>
      <c r="EF723" s="216"/>
      <c r="EG723" s="355"/>
      <c r="EH723" s="1425"/>
      <c r="EI723" s="1470"/>
      <c r="EJ723" s="249"/>
      <c r="EK723" s="221"/>
      <c r="EL723" s="313"/>
      <c r="EM723" s="249"/>
      <c r="EN723" s="221"/>
      <c r="EO723" s="313"/>
      <c r="EP723" s="249"/>
      <c r="EQ723" s="216"/>
      <c r="ER723" s="313"/>
      <c r="ES723" s="249"/>
      <c r="ET723" s="216"/>
      <c r="EU723" s="313"/>
      <c r="EV723" s="249"/>
      <c r="EW723" s="216"/>
      <c r="EX723" s="2505"/>
      <c r="EY723" s="249"/>
      <c r="EZ723" s="221"/>
      <c r="FA723" s="313"/>
      <c r="FB723" s="249"/>
      <c r="FC723" s="221"/>
      <c r="FD723" s="313"/>
      <c r="FE723" s="249"/>
      <c r="FF723" s="221"/>
      <c r="FG723" s="313"/>
      <c r="FH723" s="249"/>
      <c r="FI723" s="216"/>
      <c r="FJ723" s="1435"/>
      <c r="FK723" s="216"/>
      <c r="FL723" s="1268"/>
      <c r="FM723" s="1655"/>
      <c r="FN723" s="1268"/>
      <c r="FO723" s="1655"/>
      <c r="FP723" s="1268"/>
      <c r="FQ723" s="1656"/>
      <c r="FR723" s="249"/>
      <c r="FS723" s="216"/>
      <c r="FT723" s="1657"/>
      <c r="FU723" s="1658"/>
      <c r="FV723" s="242"/>
      <c r="FW723" s="343"/>
      <c r="FX723" s="222"/>
      <c r="FY723" s="336"/>
      <c r="FZ723" s="223"/>
      <c r="GA723" s="338"/>
      <c r="GB723" s="204"/>
      <c r="GC723" s="339"/>
      <c r="GD723" s="342"/>
      <c r="GE723" s="199"/>
      <c r="GF723" s="199"/>
      <c r="GG723" s="199"/>
      <c r="GH723" s="199"/>
      <c r="GI723" s="199"/>
      <c r="GJ723" s="199"/>
      <c r="GK723" s="199"/>
      <c r="GO723" s="322"/>
      <c r="GP723" s="1190"/>
      <c r="GQ723" s="1190"/>
      <c r="GS723" s="2879"/>
      <c r="GT723" s="2880"/>
      <c r="GU723" s="2881"/>
    </row>
    <row r="724" spans="1:203" ht="12" customHeight="1">
      <c r="A724" s="1252"/>
      <c r="B724" s="200"/>
      <c r="C724" s="486"/>
      <c r="T724" s="1186"/>
      <c r="U724" s="233"/>
      <c r="W724" s="218"/>
      <c r="X724" s="218"/>
      <c r="Y724" s="216"/>
      <c r="Z724" s="216"/>
      <c r="AA724" s="215"/>
      <c r="AB724" s="216"/>
      <c r="AC724" s="216"/>
      <c r="AD724" s="239"/>
      <c r="AE724" s="216"/>
      <c r="AF724" s="216"/>
      <c r="AG724" s="216"/>
      <c r="AH724" s="216"/>
      <c r="AI724" s="216"/>
      <c r="AJ724" s="216"/>
      <c r="AK724" s="239"/>
      <c r="AL724" s="216"/>
      <c r="AM724" s="216"/>
      <c r="AN724" s="216"/>
      <c r="AO724" s="216"/>
      <c r="AP724" s="216"/>
      <c r="AQ724" s="216"/>
      <c r="AR724" s="216"/>
      <c r="AS724" s="216"/>
      <c r="AT724" s="216"/>
      <c r="AU724" s="216"/>
      <c r="AV724" s="217"/>
      <c r="AW724" s="355"/>
      <c r="AX724" s="217"/>
      <c r="AY724" s="305"/>
      <c r="AZ724" s="249"/>
      <c r="BA724" s="221"/>
      <c r="BB724" s="300"/>
      <c r="BC724" s="217"/>
      <c r="BD724" s="392"/>
      <c r="BE724" s="1244"/>
      <c r="BF724" s="249"/>
      <c r="BG724" s="252"/>
      <c r="BH724" s="1469"/>
      <c r="BI724" s="216"/>
      <c r="BJ724" s="1469"/>
      <c r="BK724" s="1459"/>
      <c r="BL724" s="260"/>
      <c r="BM724" s="214"/>
      <c r="BN724" s="293"/>
      <c r="BO724" s="217"/>
      <c r="BP724" s="355"/>
      <c r="BQ724" s="217"/>
      <c r="BR724" s="1193"/>
      <c r="BS724" s="249"/>
      <c r="BT724" s="216"/>
      <c r="BU724" s="1195"/>
      <c r="BV724" s="249"/>
      <c r="BW724" s="216"/>
      <c r="BX724" s="1195"/>
      <c r="BY724" s="249"/>
      <c r="BZ724" s="216"/>
      <c r="CA724" s="1195"/>
      <c r="CB724" s="249"/>
      <c r="CC724" s="216"/>
      <c r="CD724" s="1195"/>
      <c r="CE724" s="249"/>
      <c r="CF724" s="216"/>
      <c r="CG724" s="1195"/>
      <c r="CH724" s="249"/>
      <c r="CI724" s="216"/>
      <c r="CJ724" s="1195"/>
      <c r="CK724" s="249"/>
      <c r="CL724" s="216"/>
      <c r="CM724" s="1194"/>
      <c r="CN724" s="1524"/>
      <c r="CO724" s="217"/>
      <c r="CP724" s="1193"/>
      <c r="CQ724" s="293"/>
      <c r="CR724" s="217"/>
      <c r="CS724" s="305"/>
      <c r="CT724" s="249"/>
      <c r="CU724" s="216"/>
      <c r="CV724" s="1193"/>
      <c r="CW724" s="249"/>
      <c r="CX724" s="216"/>
      <c r="CY724" s="305"/>
      <c r="CZ724" s="249"/>
      <c r="DA724" s="216"/>
      <c r="DB724" s="307"/>
      <c r="DC724" s="328"/>
      <c r="DD724" s="322"/>
      <c r="DE724" s="305"/>
      <c r="DF724" s="249"/>
      <c r="DG724" s="216"/>
      <c r="DH724" s="305"/>
      <c r="DI724" s="249"/>
      <c r="DJ724" s="216"/>
      <c r="DK724" s="309"/>
      <c r="DL724" s="293"/>
      <c r="DM724" s="326"/>
      <c r="DN724" s="1256"/>
      <c r="DO724" s="214"/>
      <c r="DP724" s="1257"/>
      <c r="DQ724" s="1258"/>
      <c r="DR724" s="305"/>
      <c r="DS724" s="249"/>
      <c r="DT724" s="216"/>
      <c r="DU724" s="305"/>
      <c r="DV724" s="2520"/>
      <c r="DW724" s="2521"/>
      <c r="DX724" s="305"/>
      <c r="DY724" s="249"/>
      <c r="DZ724" s="221"/>
      <c r="EA724" s="388"/>
      <c r="EB724" s="249"/>
      <c r="EC724" s="216"/>
      <c r="ED724" s="1461"/>
      <c r="EE724" s="249"/>
      <c r="EF724" s="216"/>
      <c r="EG724" s="355"/>
      <c r="EH724" s="1425"/>
      <c r="EI724" s="1470"/>
      <c r="EJ724" s="249"/>
      <c r="EK724" s="221"/>
      <c r="EL724" s="313"/>
      <c r="EM724" s="249"/>
      <c r="EN724" s="221"/>
      <c r="EO724" s="313"/>
      <c r="EP724" s="249"/>
      <c r="EQ724" s="216"/>
      <c r="ER724" s="313"/>
      <c r="ES724" s="249"/>
      <c r="ET724" s="216"/>
      <c r="EU724" s="313"/>
      <c r="EV724" s="249"/>
      <c r="EW724" s="216"/>
      <c r="EX724" s="2505"/>
      <c r="EY724" s="249"/>
      <c r="EZ724" s="221"/>
      <c r="FA724" s="313"/>
      <c r="FB724" s="249"/>
      <c r="FC724" s="221"/>
      <c r="FD724" s="313"/>
      <c r="FE724" s="249"/>
      <c r="FF724" s="221"/>
      <c r="FG724" s="313"/>
      <c r="FH724" s="249"/>
      <c r="FI724" s="216"/>
      <c r="FJ724" s="1435"/>
      <c r="FK724" s="216"/>
      <c r="FL724" s="1268"/>
      <c r="FM724" s="1655"/>
      <c r="FN724" s="1268"/>
      <c r="FO724" s="1655"/>
      <c r="FP724" s="1268"/>
      <c r="FQ724" s="1656"/>
      <c r="FR724" s="249"/>
      <c r="FS724" s="216"/>
      <c r="FT724" s="1657"/>
      <c r="FU724" s="1658"/>
      <c r="FV724" s="242"/>
      <c r="FW724" s="343"/>
      <c r="FX724" s="222"/>
      <c r="FY724" s="336"/>
      <c r="FZ724" s="223"/>
      <c r="GA724" s="338"/>
      <c r="GB724" s="204"/>
      <c r="GC724" s="339"/>
      <c r="GD724" s="342"/>
      <c r="GE724" s="199"/>
      <c r="GF724" s="199"/>
      <c r="GG724" s="199"/>
      <c r="GH724" s="199"/>
      <c r="GI724" s="199"/>
      <c r="GJ724" s="199"/>
      <c r="GK724" s="199"/>
      <c r="GO724" s="322"/>
      <c r="GP724" s="1190"/>
      <c r="GQ724" s="1190"/>
      <c r="GS724" s="2879"/>
      <c r="GT724" s="2880"/>
      <c r="GU724" s="2881"/>
    </row>
    <row r="725" spans="1:203" ht="12" customHeight="1">
      <c r="A725" s="1252"/>
      <c r="B725" s="200"/>
      <c r="C725" s="486"/>
      <c r="T725" s="1186"/>
      <c r="U725" s="233"/>
      <c r="W725" s="218"/>
      <c r="X725" s="218"/>
      <c r="Y725" s="216"/>
      <c r="Z725" s="216"/>
      <c r="AA725" s="215"/>
      <c r="AB725" s="216"/>
      <c r="AC725" s="216"/>
      <c r="AD725" s="239"/>
      <c r="AE725" s="216"/>
      <c r="AF725" s="216"/>
      <c r="AG725" s="216"/>
      <c r="AH725" s="216"/>
      <c r="AI725" s="216"/>
      <c r="AJ725" s="216"/>
      <c r="AK725" s="239"/>
      <c r="AL725" s="216"/>
      <c r="AM725" s="216"/>
      <c r="AN725" s="216"/>
      <c r="AO725" s="216"/>
      <c r="AP725" s="216"/>
      <c r="AQ725" s="216"/>
      <c r="AR725" s="216"/>
      <c r="AS725" s="216"/>
      <c r="AT725" s="216"/>
      <c r="AU725" s="216"/>
      <c r="AV725" s="217"/>
      <c r="AW725" s="355"/>
      <c r="AX725" s="217"/>
      <c r="AY725" s="305"/>
      <c r="AZ725" s="249"/>
      <c r="BA725" s="221"/>
      <c r="BB725" s="300"/>
      <c r="BC725" s="217"/>
      <c r="BD725" s="392"/>
      <c r="BE725" s="1244"/>
      <c r="BF725" s="249"/>
      <c r="BG725" s="252"/>
      <c r="BH725" s="1469"/>
      <c r="BI725" s="216"/>
      <c r="BJ725" s="1469"/>
      <c r="BK725" s="1459"/>
      <c r="BL725" s="260"/>
      <c r="BM725" s="214"/>
      <c r="BN725" s="293"/>
      <c r="BO725" s="217"/>
      <c r="BP725" s="355"/>
      <c r="BQ725" s="217"/>
      <c r="BR725" s="1193"/>
      <c r="BS725" s="249"/>
      <c r="BT725" s="216"/>
      <c r="BU725" s="1195"/>
      <c r="BV725" s="249"/>
      <c r="BW725" s="216"/>
      <c r="BX725" s="1195"/>
      <c r="BY725" s="249"/>
      <c r="BZ725" s="216"/>
      <c r="CA725" s="1195"/>
      <c r="CB725" s="249"/>
      <c r="CC725" s="216"/>
      <c r="CD725" s="1195"/>
      <c r="CE725" s="249"/>
      <c r="CF725" s="216"/>
      <c r="CG725" s="1195"/>
      <c r="CH725" s="249"/>
      <c r="CI725" s="216"/>
      <c r="CJ725" s="1195"/>
      <c r="CK725" s="249"/>
      <c r="CL725" s="216"/>
      <c r="CM725" s="1194"/>
      <c r="CN725" s="1524"/>
      <c r="CO725" s="217"/>
      <c r="CP725" s="1193"/>
      <c r="CQ725" s="293"/>
      <c r="CR725" s="217"/>
      <c r="CS725" s="305"/>
      <c r="CT725" s="249"/>
      <c r="CU725" s="216"/>
      <c r="CV725" s="1193"/>
      <c r="CW725" s="249"/>
      <c r="CX725" s="216"/>
      <c r="CY725" s="305"/>
      <c r="CZ725" s="249"/>
      <c r="DA725" s="216"/>
      <c r="DB725" s="307"/>
      <c r="DC725" s="328"/>
      <c r="DD725" s="322"/>
      <c r="DE725" s="305"/>
      <c r="DF725" s="249"/>
      <c r="DG725" s="216"/>
      <c r="DH725" s="305"/>
      <c r="DI725" s="249"/>
      <c r="DJ725" s="216"/>
      <c r="DK725" s="309"/>
      <c r="DL725" s="293"/>
      <c r="DM725" s="326"/>
      <c r="DN725" s="1256"/>
      <c r="DO725" s="214"/>
      <c r="DP725" s="1257"/>
      <c r="DQ725" s="1258"/>
      <c r="DR725" s="305"/>
      <c r="DS725" s="249"/>
      <c r="DT725" s="216"/>
      <c r="DU725" s="305"/>
      <c r="DV725" s="2520"/>
      <c r="DW725" s="2521"/>
      <c r="DX725" s="305"/>
      <c r="DY725" s="249"/>
      <c r="DZ725" s="221"/>
      <c r="EA725" s="388"/>
      <c r="EB725" s="249"/>
      <c r="EC725" s="216"/>
      <c r="ED725" s="1461"/>
      <c r="EE725" s="249"/>
      <c r="EF725" s="216"/>
      <c r="EG725" s="355"/>
      <c r="EH725" s="1425"/>
      <c r="EI725" s="1470"/>
      <c r="EJ725" s="249"/>
      <c r="EK725" s="221"/>
      <c r="EL725" s="313"/>
      <c r="EM725" s="249"/>
      <c r="EN725" s="221"/>
      <c r="EO725" s="313"/>
      <c r="EP725" s="249"/>
      <c r="EQ725" s="216"/>
      <c r="ER725" s="313"/>
      <c r="ES725" s="249"/>
      <c r="ET725" s="216"/>
      <c r="EU725" s="313"/>
      <c r="EV725" s="249"/>
      <c r="EW725" s="216"/>
      <c r="EX725" s="2505"/>
      <c r="EY725" s="249"/>
      <c r="EZ725" s="221"/>
      <c r="FA725" s="313"/>
      <c r="FB725" s="249"/>
      <c r="FC725" s="221"/>
      <c r="FD725" s="313"/>
      <c r="FE725" s="249"/>
      <c r="FF725" s="221"/>
      <c r="FG725" s="313"/>
      <c r="FH725" s="249"/>
      <c r="FI725" s="216"/>
      <c r="FJ725" s="1435"/>
      <c r="FK725" s="216"/>
      <c r="FL725" s="1268"/>
      <c r="FM725" s="1655"/>
      <c r="FN725" s="1268"/>
      <c r="FO725" s="1655"/>
      <c r="FP725" s="1268"/>
      <c r="FQ725" s="1656"/>
      <c r="FR725" s="249"/>
      <c r="FS725" s="216"/>
      <c r="FT725" s="1657"/>
      <c r="FU725" s="1658"/>
      <c r="FV725" s="242"/>
      <c r="FW725" s="343"/>
      <c r="FX725" s="222"/>
      <c r="FY725" s="336"/>
      <c r="FZ725" s="223"/>
      <c r="GA725" s="338"/>
      <c r="GB725" s="204"/>
      <c r="GC725" s="339"/>
      <c r="GD725" s="342"/>
      <c r="GE725" s="199"/>
      <c r="GF725" s="199"/>
      <c r="GG725" s="199"/>
      <c r="GH725" s="199"/>
      <c r="GI725" s="199"/>
      <c r="GJ725" s="199"/>
      <c r="GK725" s="199"/>
      <c r="GO725" s="322"/>
      <c r="GP725" s="1190"/>
      <c r="GQ725" s="1190"/>
      <c r="GS725" s="2879"/>
      <c r="GT725" s="2880"/>
      <c r="GU725" s="2881"/>
    </row>
    <row r="726" spans="1:203" ht="12" customHeight="1">
      <c r="A726" s="1252"/>
      <c r="B726" s="200"/>
      <c r="C726" s="486"/>
      <c r="T726" s="1186"/>
      <c r="U726" s="233"/>
      <c r="W726" s="218"/>
      <c r="X726" s="218"/>
      <c r="Y726" s="216"/>
      <c r="Z726" s="216"/>
      <c r="AA726" s="215"/>
      <c r="AB726" s="216"/>
      <c r="AC726" s="216"/>
      <c r="AD726" s="239"/>
      <c r="AE726" s="216"/>
      <c r="AF726" s="216"/>
      <c r="AG726" s="216"/>
      <c r="AH726" s="216"/>
      <c r="AI726" s="216"/>
      <c r="AJ726" s="216"/>
      <c r="AK726" s="239"/>
      <c r="AL726" s="216"/>
      <c r="AM726" s="216"/>
      <c r="AN726" s="216"/>
      <c r="AO726" s="216"/>
      <c r="AP726" s="216"/>
      <c r="AQ726" s="216"/>
      <c r="AR726" s="216"/>
      <c r="AS726" s="216"/>
      <c r="AT726" s="216"/>
      <c r="AU726" s="216"/>
      <c r="AV726" s="217"/>
      <c r="AW726" s="355"/>
      <c r="AX726" s="217"/>
      <c r="AY726" s="305"/>
      <c r="AZ726" s="249"/>
      <c r="BA726" s="221"/>
      <c r="BB726" s="300"/>
      <c r="BC726" s="217"/>
      <c r="BD726" s="392"/>
      <c r="BE726" s="1244"/>
      <c r="BF726" s="249"/>
      <c r="BG726" s="252"/>
      <c r="BH726" s="1469"/>
      <c r="BI726" s="216"/>
      <c r="BJ726" s="1469"/>
      <c r="BK726" s="1459"/>
      <c r="BL726" s="260"/>
      <c r="BM726" s="214"/>
      <c r="BN726" s="293"/>
      <c r="BO726" s="217"/>
      <c r="BP726" s="355"/>
      <c r="BQ726" s="217"/>
      <c r="BR726" s="1193"/>
      <c r="BS726" s="249"/>
      <c r="BT726" s="216"/>
      <c r="BU726" s="1195"/>
      <c r="BV726" s="249"/>
      <c r="BW726" s="216"/>
      <c r="BX726" s="1195"/>
      <c r="BY726" s="249"/>
      <c r="BZ726" s="216"/>
      <c r="CA726" s="1195"/>
      <c r="CB726" s="249"/>
      <c r="CC726" s="216"/>
      <c r="CD726" s="1195"/>
      <c r="CE726" s="249"/>
      <c r="CF726" s="216"/>
      <c r="CG726" s="1195"/>
      <c r="CH726" s="249"/>
      <c r="CI726" s="216"/>
      <c r="CJ726" s="1195"/>
      <c r="CK726" s="249"/>
      <c r="CL726" s="216"/>
      <c r="CM726" s="1194"/>
      <c r="CN726" s="1524"/>
      <c r="CO726" s="217"/>
      <c r="CP726" s="1193"/>
      <c r="CQ726" s="293"/>
      <c r="CR726" s="217"/>
      <c r="CS726" s="305"/>
      <c r="CT726" s="249"/>
      <c r="CU726" s="216"/>
      <c r="CV726" s="1193"/>
      <c r="CW726" s="249"/>
      <c r="CX726" s="216"/>
      <c r="CY726" s="305"/>
      <c r="CZ726" s="249"/>
      <c r="DA726" s="216"/>
      <c r="DB726" s="307"/>
      <c r="DC726" s="328"/>
      <c r="DD726" s="322"/>
      <c r="DE726" s="305"/>
      <c r="DF726" s="249"/>
      <c r="DG726" s="216"/>
      <c r="DH726" s="305"/>
      <c r="DI726" s="249"/>
      <c r="DJ726" s="216"/>
      <c r="DK726" s="309"/>
      <c r="DL726" s="293"/>
      <c r="DM726" s="326"/>
      <c r="DN726" s="1256"/>
      <c r="DO726" s="214"/>
      <c r="DP726" s="1257"/>
      <c r="DQ726" s="1258"/>
      <c r="DR726" s="305"/>
      <c r="DS726" s="249"/>
      <c r="DT726" s="216"/>
      <c r="DU726" s="305"/>
      <c r="DV726" s="2520"/>
      <c r="DW726" s="2521"/>
      <c r="DX726" s="305"/>
      <c r="DY726" s="249"/>
      <c r="DZ726" s="221"/>
      <c r="EA726" s="388"/>
      <c r="EB726" s="249"/>
      <c r="EC726" s="216"/>
      <c r="ED726" s="1461"/>
      <c r="EE726" s="249"/>
      <c r="EF726" s="216"/>
      <c r="EG726" s="355"/>
      <c r="EH726" s="1425"/>
      <c r="EI726" s="1470"/>
      <c r="EJ726" s="249"/>
      <c r="EK726" s="221"/>
      <c r="EL726" s="313"/>
      <c r="EM726" s="249"/>
      <c r="EN726" s="221"/>
      <c r="EO726" s="313"/>
      <c r="EP726" s="249"/>
      <c r="EQ726" s="216"/>
      <c r="ER726" s="313"/>
      <c r="ES726" s="249"/>
      <c r="ET726" s="216"/>
      <c r="EU726" s="313"/>
      <c r="EV726" s="249"/>
      <c r="EW726" s="216"/>
      <c r="EX726" s="2505"/>
      <c r="EY726" s="249"/>
      <c r="EZ726" s="221"/>
      <c r="FA726" s="313"/>
      <c r="FB726" s="249"/>
      <c r="FC726" s="221"/>
      <c r="FD726" s="313"/>
      <c r="FE726" s="249"/>
      <c r="FF726" s="221"/>
      <c r="FG726" s="313"/>
      <c r="FH726" s="249"/>
      <c r="FI726" s="216"/>
      <c r="FJ726" s="1435"/>
      <c r="FK726" s="216"/>
      <c r="FL726" s="1268"/>
      <c r="FM726" s="1655"/>
      <c r="FN726" s="1268"/>
      <c r="FO726" s="1655"/>
      <c r="FP726" s="1268"/>
      <c r="FQ726" s="1656"/>
      <c r="FR726" s="249"/>
      <c r="FS726" s="216"/>
      <c r="FT726" s="1657"/>
      <c r="FU726" s="1658"/>
      <c r="FV726" s="242"/>
      <c r="FW726" s="343"/>
      <c r="FX726" s="222"/>
      <c r="FY726" s="336"/>
      <c r="FZ726" s="223"/>
      <c r="GA726" s="338"/>
      <c r="GB726" s="204"/>
      <c r="GC726" s="339"/>
      <c r="GD726" s="342"/>
      <c r="GE726" s="199"/>
      <c r="GF726" s="199"/>
      <c r="GG726" s="199"/>
      <c r="GH726" s="199"/>
      <c r="GI726" s="199"/>
      <c r="GJ726" s="199"/>
      <c r="GK726" s="199"/>
      <c r="GO726" s="322"/>
      <c r="GP726" s="1190"/>
      <c r="GQ726" s="1190"/>
      <c r="GS726" s="2879"/>
      <c r="GT726" s="2880"/>
      <c r="GU726" s="2881"/>
    </row>
    <row r="727" spans="1:203" ht="12" customHeight="1">
      <c r="A727" s="1252"/>
      <c r="B727" s="200"/>
      <c r="C727" s="486"/>
      <c r="T727" s="1186"/>
      <c r="U727" s="233"/>
      <c r="W727" s="218"/>
      <c r="X727" s="218"/>
      <c r="Y727" s="216"/>
      <c r="Z727" s="216"/>
      <c r="AA727" s="215"/>
      <c r="AB727" s="216"/>
      <c r="AC727" s="216"/>
      <c r="AD727" s="239"/>
      <c r="AE727" s="216"/>
      <c r="AF727" s="216"/>
      <c r="AG727" s="216"/>
      <c r="AH727" s="216"/>
      <c r="AI727" s="216"/>
      <c r="AJ727" s="216"/>
      <c r="AK727" s="239"/>
      <c r="AL727" s="216"/>
      <c r="AM727" s="216"/>
      <c r="AN727" s="216"/>
      <c r="AO727" s="216"/>
      <c r="AP727" s="216"/>
      <c r="AQ727" s="216"/>
      <c r="AR727" s="216"/>
      <c r="AS727" s="216"/>
      <c r="AT727" s="216"/>
      <c r="AU727" s="216"/>
      <c r="AV727" s="217"/>
      <c r="AW727" s="355"/>
      <c r="AX727" s="217"/>
      <c r="AY727" s="305"/>
      <c r="AZ727" s="249"/>
      <c r="BA727" s="221"/>
      <c r="BB727" s="300"/>
      <c r="BC727" s="217"/>
      <c r="BD727" s="392"/>
      <c r="BE727" s="1244"/>
      <c r="BF727" s="249"/>
      <c r="BG727" s="252"/>
      <c r="BH727" s="1469"/>
      <c r="BI727" s="216"/>
      <c r="BJ727" s="1469"/>
      <c r="BK727" s="1459"/>
      <c r="BL727" s="260"/>
      <c r="BM727" s="214"/>
      <c r="BN727" s="293"/>
      <c r="BO727" s="217"/>
      <c r="BP727" s="355"/>
      <c r="BQ727" s="217"/>
      <c r="BR727" s="1193"/>
      <c r="BS727" s="249"/>
      <c r="BT727" s="216"/>
      <c r="BU727" s="1195"/>
      <c r="BV727" s="249"/>
      <c r="BW727" s="216"/>
      <c r="BX727" s="1195"/>
      <c r="BY727" s="249"/>
      <c r="BZ727" s="216"/>
      <c r="CA727" s="1195"/>
      <c r="CB727" s="249"/>
      <c r="CC727" s="216"/>
      <c r="CD727" s="1195"/>
      <c r="CE727" s="249"/>
      <c r="CF727" s="216"/>
      <c r="CG727" s="1195"/>
      <c r="CH727" s="249"/>
      <c r="CI727" s="216"/>
      <c r="CJ727" s="1195"/>
      <c r="CK727" s="249"/>
      <c r="CL727" s="216"/>
      <c r="CM727" s="1194"/>
      <c r="CN727" s="1524"/>
      <c r="CO727" s="217"/>
      <c r="CP727" s="1193"/>
      <c r="CQ727" s="293"/>
      <c r="CR727" s="217"/>
      <c r="CS727" s="305"/>
      <c r="CT727" s="249"/>
      <c r="CU727" s="216"/>
      <c r="CV727" s="1193"/>
      <c r="CW727" s="249"/>
      <c r="CX727" s="216"/>
      <c r="CY727" s="305"/>
      <c r="CZ727" s="249"/>
      <c r="DA727" s="216"/>
      <c r="DB727" s="307"/>
      <c r="DC727" s="328"/>
      <c r="DD727" s="322"/>
      <c r="DE727" s="305"/>
      <c r="DF727" s="249"/>
      <c r="DG727" s="216"/>
      <c r="DH727" s="305"/>
      <c r="DI727" s="249"/>
      <c r="DJ727" s="216"/>
      <c r="DK727" s="309"/>
      <c r="DL727" s="293"/>
      <c r="DM727" s="326"/>
      <c r="DN727" s="1256"/>
      <c r="DO727" s="214"/>
      <c r="DP727" s="1257"/>
      <c r="DQ727" s="1258"/>
      <c r="DR727" s="305"/>
      <c r="DS727" s="249"/>
      <c r="DT727" s="216"/>
      <c r="DU727" s="305"/>
      <c r="DV727" s="2520"/>
      <c r="DW727" s="2521"/>
      <c r="DX727" s="305"/>
      <c r="DY727" s="249"/>
      <c r="DZ727" s="221"/>
      <c r="EA727" s="388"/>
      <c r="EB727" s="249"/>
      <c r="EC727" s="216"/>
      <c r="ED727" s="1461"/>
      <c r="EE727" s="249"/>
      <c r="EF727" s="216"/>
      <c r="EG727" s="355"/>
      <c r="EH727" s="1425"/>
      <c r="EI727" s="1470"/>
      <c r="EJ727" s="249"/>
      <c r="EK727" s="221"/>
      <c r="EL727" s="313"/>
      <c r="EM727" s="249"/>
      <c r="EN727" s="221"/>
      <c r="EO727" s="313"/>
      <c r="EP727" s="249"/>
      <c r="EQ727" s="216"/>
      <c r="ER727" s="313"/>
      <c r="ES727" s="249"/>
      <c r="ET727" s="216"/>
      <c r="EU727" s="313"/>
      <c r="EV727" s="249"/>
      <c r="EW727" s="216"/>
      <c r="EX727" s="2505"/>
      <c r="EY727" s="249"/>
      <c r="EZ727" s="221"/>
      <c r="FA727" s="313"/>
      <c r="FB727" s="249"/>
      <c r="FC727" s="221"/>
      <c r="FD727" s="313"/>
      <c r="FE727" s="249"/>
      <c r="FF727" s="221"/>
      <c r="FG727" s="313"/>
      <c r="FH727" s="249"/>
      <c r="FI727" s="216"/>
      <c r="FJ727" s="1435"/>
      <c r="FK727" s="216"/>
      <c r="FL727" s="1268"/>
      <c r="FM727" s="1655"/>
      <c r="FN727" s="1268"/>
      <c r="FO727" s="1655"/>
      <c r="FP727" s="1268"/>
      <c r="FQ727" s="1656"/>
      <c r="FR727" s="249"/>
      <c r="FS727" s="216"/>
      <c r="FT727" s="1657"/>
      <c r="FU727" s="1658"/>
      <c r="FV727" s="242"/>
      <c r="FW727" s="343"/>
      <c r="FX727" s="222"/>
      <c r="FY727" s="336"/>
      <c r="FZ727" s="223"/>
      <c r="GA727" s="338"/>
      <c r="GB727" s="204"/>
      <c r="GC727" s="339"/>
      <c r="GD727" s="342"/>
      <c r="GE727" s="199"/>
      <c r="GF727" s="199"/>
      <c r="GG727" s="199"/>
      <c r="GH727" s="199"/>
      <c r="GI727" s="199"/>
      <c r="GJ727" s="199"/>
      <c r="GK727" s="199"/>
      <c r="GO727" s="322"/>
      <c r="GP727" s="1190"/>
      <c r="GQ727" s="1190"/>
      <c r="GS727" s="2879"/>
      <c r="GT727" s="2880"/>
      <c r="GU727" s="2881"/>
    </row>
    <row r="728" spans="1:203" ht="12" customHeight="1">
      <c r="A728" s="1252"/>
      <c r="B728" s="200"/>
      <c r="C728" s="486"/>
      <c r="T728" s="1186"/>
      <c r="U728" s="233"/>
      <c r="W728" s="218"/>
      <c r="X728" s="218"/>
      <c r="Y728" s="216"/>
      <c r="Z728" s="216"/>
      <c r="AA728" s="215"/>
      <c r="AB728" s="216"/>
      <c r="AC728" s="216"/>
      <c r="AD728" s="239"/>
      <c r="AE728" s="216"/>
      <c r="AF728" s="216"/>
      <c r="AG728" s="216"/>
      <c r="AH728" s="216"/>
      <c r="AI728" s="216"/>
      <c r="AJ728" s="216"/>
      <c r="AK728" s="239"/>
      <c r="AL728" s="216"/>
      <c r="AM728" s="216"/>
      <c r="AN728" s="216"/>
      <c r="AO728" s="216"/>
      <c r="AP728" s="216"/>
      <c r="AQ728" s="216"/>
      <c r="AR728" s="216"/>
      <c r="AS728" s="216"/>
      <c r="AT728" s="216"/>
      <c r="AU728" s="216"/>
      <c r="AV728" s="217"/>
      <c r="AW728" s="355"/>
      <c r="AX728" s="217"/>
      <c r="AY728" s="305"/>
      <c r="AZ728" s="249"/>
      <c r="BA728" s="221"/>
      <c r="BB728" s="300"/>
      <c r="BC728" s="217"/>
      <c r="BD728" s="392"/>
      <c r="BE728" s="1244"/>
      <c r="BF728" s="249"/>
      <c r="BG728" s="252"/>
      <c r="BH728" s="1469"/>
      <c r="BI728" s="216"/>
      <c r="BJ728" s="1469"/>
      <c r="BK728" s="1459"/>
      <c r="BL728" s="260"/>
      <c r="BM728" s="214"/>
      <c r="BN728" s="293"/>
      <c r="BO728" s="217"/>
      <c r="BP728" s="355"/>
      <c r="BQ728" s="217"/>
      <c r="BR728" s="1193"/>
      <c r="BS728" s="249"/>
      <c r="BT728" s="216"/>
      <c r="BU728" s="1195"/>
      <c r="BV728" s="249"/>
      <c r="BW728" s="216"/>
      <c r="BX728" s="1195"/>
      <c r="BY728" s="249"/>
      <c r="BZ728" s="216"/>
      <c r="CA728" s="1195"/>
      <c r="CB728" s="249"/>
      <c r="CC728" s="216"/>
      <c r="CD728" s="1195"/>
      <c r="CE728" s="249"/>
      <c r="CF728" s="216"/>
      <c r="CG728" s="1195"/>
      <c r="CH728" s="249"/>
      <c r="CI728" s="216"/>
      <c r="CJ728" s="1195"/>
      <c r="CK728" s="249"/>
      <c r="CL728" s="216"/>
      <c r="CM728" s="1194"/>
      <c r="CN728" s="1524"/>
      <c r="CO728" s="217"/>
      <c r="CP728" s="1193"/>
      <c r="CQ728" s="293"/>
      <c r="CR728" s="217"/>
      <c r="CS728" s="305"/>
      <c r="CT728" s="249"/>
      <c r="CU728" s="216"/>
      <c r="CV728" s="1193"/>
      <c r="CW728" s="249"/>
      <c r="CX728" s="216"/>
      <c r="CY728" s="305"/>
      <c r="CZ728" s="249"/>
      <c r="DA728" s="216"/>
      <c r="DB728" s="307"/>
      <c r="DC728" s="328"/>
      <c r="DD728" s="322"/>
      <c r="DE728" s="305"/>
      <c r="DF728" s="249"/>
      <c r="DG728" s="216"/>
      <c r="DH728" s="305"/>
      <c r="DI728" s="249"/>
      <c r="DJ728" s="216"/>
      <c r="DK728" s="309"/>
      <c r="DL728" s="293"/>
      <c r="DM728" s="326"/>
      <c r="DN728" s="1256"/>
      <c r="DO728" s="214"/>
      <c r="DP728" s="1257"/>
      <c r="DQ728" s="1258"/>
      <c r="DR728" s="305"/>
      <c r="DS728" s="249"/>
      <c r="DT728" s="216"/>
      <c r="DU728" s="305"/>
      <c r="DV728" s="2520"/>
      <c r="DW728" s="2521"/>
      <c r="DX728" s="305"/>
      <c r="DY728" s="249"/>
      <c r="DZ728" s="221"/>
      <c r="EA728" s="388"/>
      <c r="EB728" s="249"/>
      <c r="EC728" s="216"/>
      <c r="ED728" s="1461"/>
      <c r="EE728" s="249"/>
      <c r="EF728" s="216"/>
      <c r="EG728" s="355"/>
      <c r="EH728" s="1425"/>
      <c r="EI728" s="1470"/>
      <c r="EJ728" s="249"/>
      <c r="EK728" s="221"/>
      <c r="EL728" s="313"/>
      <c r="EM728" s="249"/>
      <c r="EN728" s="221"/>
      <c r="EO728" s="313"/>
      <c r="EP728" s="249"/>
      <c r="EQ728" s="216"/>
      <c r="ER728" s="313"/>
      <c r="ES728" s="249"/>
      <c r="ET728" s="216"/>
      <c r="EU728" s="313"/>
      <c r="EV728" s="249"/>
      <c r="EW728" s="216"/>
      <c r="EX728" s="2505"/>
      <c r="EY728" s="249"/>
      <c r="EZ728" s="221"/>
      <c r="FA728" s="313"/>
      <c r="FB728" s="249"/>
      <c r="FC728" s="221"/>
      <c r="FD728" s="313"/>
      <c r="FE728" s="249"/>
      <c r="FF728" s="221"/>
      <c r="FG728" s="313"/>
      <c r="FH728" s="249"/>
      <c r="FI728" s="216"/>
      <c r="FJ728" s="1435"/>
      <c r="FK728" s="216"/>
      <c r="FL728" s="1268"/>
      <c r="FM728" s="1655"/>
      <c r="FN728" s="1268"/>
      <c r="FO728" s="1655"/>
      <c r="FP728" s="1268"/>
      <c r="FQ728" s="1656"/>
      <c r="FR728" s="249"/>
      <c r="FS728" s="216"/>
      <c r="FT728" s="1657"/>
      <c r="FU728" s="1658"/>
      <c r="FV728" s="242"/>
      <c r="FW728" s="343"/>
      <c r="FX728" s="222"/>
      <c r="FY728" s="336"/>
      <c r="FZ728" s="223"/>
      <c r="GA728" s="338"/>
      <c r="GB728" s="204"/>
      <c r="GC728" s="339"/>
      <c r="GD728" s="342"/>
      <c r="GE728" s="199"/>
      <c r="GF728" s="199"/>
      <c r="GG728" s="199"/>
      <c r="GH728" s="199"/>
      <c r="GI728" s="199"/>
      <c r="GJ728" s="199"/>
      <c r="GK728" s="199"/>
      <c r="GO728" s="322"/>
      <c r="GP728" s="1190"/>
      <c r="GQ728" s="1190"/>
      <c r="GS728" s="2879"/>
      <c r="GT728" s="2880"/>
      <c r="GU728" s="2881"/>
    </row>
    <row r="729" spans="1:203" ht="12" customHeight="1">
      <c r="A729" s="1252"/>
      <c r="B729" s="200"/>
      <c r="C729" s="486"/>
      <c r="T729" s="1186"/>
      <c r="U729" s="233"/>
      <c r="W729" s="218"/>
      <c r="X729" s="218"/>
      <c r="Y729" s="216"/>
      <c r="Z729" s="216"/>
      <c r="AA729" s="215"/>
      <c r="AB729" s="216"/>
      <c r="AC729" s="216"/>
      <c r="AD729" s="239"/>
      <c r="AE729" s="216"/>
      <c r="AF729" s="216"/>
      <c r="AG729" s="216"/>
      <c r="AH729" s="216"/>
      <c r="AI729" s="216"/>
      <c r="AJ729" s="216"/>
      <c r="AK729" s="239"/>
      <c r="AL729" s="216"/>
      <c r="AM729" s="216"/>
      <c r="AN729" s="216"/>
      <c r="AO729" s="216"/>
      <c r="AP729" s="216"/>
      <c r="AQ729" s="216"/>
      <c r="AR729" s="216"/>
      <c r="AS729" s="216"/>
      <c r="AT729" s="216"/>
      <c r="AU729" s="216"/>
      <c r="AV729" s="217"/>
      <c r="AW729" s="355"/>
      <c r="AX729" s="217"/>
      <c r="AY729" s="305"/>
      <c r="AZ729" s="249"/>
      <c r="BA729" s="221"/>
      <c r="BB729" s="300"/>
      <c r="BC729" s="217"/>
      <c r="BD729" s="392"/>
      <c r="BE729" s="1244"/>
      <c r="BF729" s="249"/>
      <c r="BG729" s="252"/>
      <c r="BH729" s="1469"/>
      <c r="BI729" s="216"/>
      <c r="BJ729" s="1469"/>
      <c r="BK729" s="1459"/>
      <c r="BL729" s="260"/>
      <c r="BM729" s="214"/>
      <c r="BN729" s="293"/>
      <c r="BO729" s="217"/>
      <c r="BP729" s="355"/>
      <c r="BQ729" s="217"/>
      <c r="BR729" s="1193"/>
      <c r="BS729" s="249"/>
      <c r="BT729" s="216"/>
      <c r="BU729" s="1195"/>
      <c r="BV729" s="249"/>
      <c r="BW729" s="216"/>
      <c r="BX729" s="1195"/>
      <c r="BY729" s="249"/>
      <c r="BZ729" s="216"/>
      <c r="CA729" s="1195"/>
      <c r="CB729" s="249"/>
      <c r="CC729" s="216"/>
      <c r="CD729" s="1195"/>
      <c r="CE729" s="249"/>
      <c r="CF729" s="216"/>
      <c r="CG729" s="1195"/>
      <c r="CH729" s="249"/>
      <c r="CI729" s="216"/>
      <c r="CJ729" s="1195"/>
      <c r="CK729" s="249"/>
      <c r="CL729" s="216"/>
      <c r="CM729" s="1194"/>
      <c r="CN729" s="1524"/>
      <c r="CO729" s="217"/>
      <c r="CP729" s="1193"/>
      <c r="CQ729" s="293"/>
      <c r="CR729" s="217"/>
      <c r="CS729" s="305"/>
      <c r="CT729" s="249"/>
      <c r="CU729" s="216"/>
      <c r="CV729" s="1193"/>
      <c r="CW729" s="249"/>
      <c r="CX729" s="216"/>
      <c r="CY729" s="305"/>
      <c r="CZ729" s="249"/>
      <c r="DA729" s="216"/>
      <c r="DB729" s="307"/>
      <c r="DC729" s="328"/>
      <c r="DD729" s="322"/>
      <c r="DE729" s="305"/>
      <c r="DF729" s="249"/>
      <c r="DG729" s="216"/>
      <c r="DH729" s="305"/>
      <c r="DI729" s="249"/>
      <c r="DJ729" s="216"/>
      <c r="DK729" s="309"/>
      <c r="DL729" s="293"/>
      <c r="DM729" s="326"/>
      <c r="DN729" s="1256"/>
      <c r="DO729" s="214"/>
      <c r="DP729" s="1257"/>
      <c r="DQ729" s="1258"/>
      <c r="DR729" s="305"/>
      <c r="DS729" s="249"/>
      <c r="DT729" s="216"/>
      <c r="DU729" s="305"/>
      <c r="DV729" s="2520"/>
      <c r="DW729" s="2521"/>
      <c r="DX729" s="305"/>
      <c r="DY729" s="249"/>
      <c r="DZ729" s="221"/>
      <c r="EA729" s="388"/>
      <c r="EB729" s="249"/>
      <c r="EC729" s="216"/>
      <c r="ED729" s="1461"/>
      <c r="EE729" s="249"/>
      <c r="EF729" s="216"/>
      <c r="EG729" s="355"/>
      <c r="EH729" s="1425"/>
      <c r="EI729" s="1470"/>
      <c r="EJ729" s="249"/>
      <c r="EK729" s="221"/>
      <c r="EL729" s="313"/>
      <c r="EM729" s="249"/>
      <c r="EN729" s="221"/>
      <c r="EO729" s="313"/>
      <c r="EP729" s="249"/>
      <c r="EQ729" s="216"/>
      <c r="ER729" s="313"/>
      <c r="ES729" s="249"/>
      <c r="ET729" s="216"/>
      <c r="EU729" s="313"/>
      <c r="EV729" s="249"/>
      <c r="EW729" s="216"/>
      <c r="EX729" s="2505"/>
      <c r="EY729" s="249"/>
      <c r="EZ729" s="221"/>
      <c r="FA729" s="313"/>
      <c r="FB729" s="249"/>
      <c r="FC729" s="221"/>
      <c r="FD729" s="313"/>
      <c r="FE729" s="249"/>
      <c r="FF729" s="221"/>
      <c r="FG729" s="313"/>
      <c r="FH729" s="249"/>
      <c r="FI729" s="216"/>
      <c r="FJ729" s="1435"/>
      <c r="FK729" s="216"/>
      <c r="FL729" s="1268"/>
      <c r="FM729" s="1655"/>
      <c r="FN729" s="1268"/>
      <c r="FO729" s="1655"/>
      <c r="FP729" s="1268"/>
      <c r="FQ729" s="1656"/>
      <c r="FR729" s="249"/>
      <c r="FS729" s="216"/>
      <c r="FT729" s="1657"/>
      <c r="FU729" s="1658"/>
      <c r="FV729" s="242"/>
      <c r="FW729" s="343"/>
      <c r="FX729" s="222"/>
      <c r="FY729" s="336"/>
      <c r="FZ729" s="223"/>
      <c r="GA729" s="338"/>
      <c r="GB729" s="204"/>
      <c r="GC729" s="339"/>
      <c r="GD729" s="342"/>
      <c r="GE729" s="199"/>
      <c r="GF729" s="199"/>
      <c r="GG729" s="199"/>
      <c r="GH729" s="199"/>
      <c r="GI729" s="199"/>
      <c r="GJ729" s="199"/>
      <c r="GK729" s="199"/>
      <c r="GO729" s="322"/>
      <c r="GP729" s="1190"/>
      <c r="GQ729" s="1190"/>
      <c r="GS729" s="2879"/>
      <c r="GT729" s="2880"/>
      <c r="GU729" s="2881"/>
    </row>
    <row r="730" spans="1:203" ht="12" customHeight="1">
      <c r="A730" s="1252"/>
      <c r="B730" s="200"/>
      <c r="C730" s="486"/>
      <c r="T730" s="1186"/>
      <c r="U730" s="233"/>
      <c r="W730" s="218"/>
      <c r="X730" s="218"/>
      <c r="Y730" s="216"/>
      <c r="Z730" s="216"/>
      <c r="AA730" s="215"/>
      <c r="AB730" s="216"/>
      <c r="AC730" s="216"/>
      <c r="AD730" s="239"/>
      <c r="AE730" s="216"/>
      <c r="AF730" s="216"/>
      <c r="AG730" s="216"/>
      <c r="AH730" s="216"/>
      <c r="AI730" s="216"/>
      <c r="AJ730" s="216"/>
      <c r="AK730" s="239"/>
      <c r="AL730" s="216"/>
      <c r="AM730" s="216"/>
      <c r="AN730" s="216"/>
      <c r="AO730" s="216"/>
      <c r="AP730" s="216"/>
      <c r="AQ730" s="216"/>
      <c r="AR730" s="216"/>
      <c r="AS730" s="216"/>
      <c r="AT730" s="216"/>
      <c r="AU730" s="216"/>
      <c r="AV730" s="217"/>
      <c r="AW730" s="355"/>
      <c r="AX730" s="217"/>
      <c r="AY730" s="305"/>
      <c r="AZ730" s="249"/>
      <c r="BA730" s="221"/>
      <c r="BB730" s="300"/>
      <c r="BC730" s="217"/>
      <c r="BD730" s="392"/>
      <c r="BE730" s="1244"/>
      <c r="BF730" s="249"/>
      <c r="BG730" s="252"/>
      <c r="BH730" s="1469"/>
      <c r="BI730" s="216"/>
      <c r="BJ730" s="1469"/>
      <c r="BK730" s="1459"/>
      <c r="BL730" s="260"/>
      <c r="BM730" s="214"/>
      <c r="BN730" s="293"/>
      <c r="BO730" s="217"/>
      <c r="BP730" s="355"/>
      <c r="BQ730" s="217"/>
      <c r="BR730" s="1193"/>
      <c r="BS730" s="249"/>
      <c r="BT730" s="216"/>
      <c r="BU730" s="1195"/>
      <c r="BV730" s="249"/>
      <c r="BW730" s="216"/>
      <c r="BX730" s="1195"/>
      <c r="BY730" s="249"/>
      <c r="BZ730" s="216"/>
      <c r="CA730" s="1195"/>
      <c r="CB730" s="249"/>
      <c r="CC730" s="216"/>
      <c r="CD730" s="1195"/>
      <c r="CE730" s="249"/>
      <c r="CF730" s="216"/>
      <c r="CG730" s="1195"/>
      <c r="CH730" s="249"/>
      <c r="CI730" s="216"/>
      <c r="CJ730" s="1195"/>
      <c r="CK730" s="249"/>
      <c r="CL730" s="216"/>
      <c r="CM730" s="1194"/>
      <c r="CN730" s="1524"/>
      <c r="CO730" s="217"/>
      <c r="CP730" s="1193"/>
      <c r="CQ730" s="293"/>
      <c r="CR730" s="217"/>
      <c r="CS730" s="305"/>
      <c r="CT730" s="249"/>
      <c r="CU730" s="216"/>
      <c r="CV730" s="1193"/>
      <c r="CW730" s="249"/>
      <c r="CX730" s="216"/>
      <c r="CY730" s="305"/>
      <c r="CZ730" s="249"/>
      <c r="DA730" s="216"/>
      <c r="DB730" s="307"/>
      <c r="DC730" s="328"/>
      <c r="DD730" s="322"/>
      <c r="DE730" s="305"/>
      <c r="DF730" s="249"/>
      <c r="DG730" s="216"/>
      <c r="DH730" s="305"/>
      <c r="DI730" s="249"/>
      <c r="DJ730" s="216"/>
      <c r="DK730" s="309"/>
      <c r="DL730" s="293"/>
      <c r="DM730" s="326"/>
      <c r="DN730" s="1256"/>
      <c r="DO730" s="214"/>
      <c r="DP730" s="1257"/>
      <c r="DQ730" s="1258"/>
      <c r="DR730" s="305"/>
      <c r="DS730" s="249"/>
      <c r="DT730" s="216"/>
      <c r="DU730" s="305"/>
      <c r="DV730" s="2520"/>
      <c r="DW730" s="2521"/>
      <c r="DX730" s="305"/>
      <c r="DY730" s="249"/>
      <c r="DZ730" s="221"/>
      <c r="EA730" s="388"/>
      <c r="EB730" s="249"/>
      <c r="EC730" s="216"/>
      <c r="ED730" s="1461"/>
      <c r="EE730" s="249"/>
      <c r="EF730" s="216"/>
      <c r="EG730" s="355"/>
      <c r="EH730" s="1425"/>
      <c r="EI730" s="1470"/>
      <c r="EJ730" s="249"/>
      <c r="EK730" s="221"/>
      <c r="EL730" s="313"/>
      <c r="EM730" s="249"/>
      <c r="EN730" s="221"/>
      <c r="EO730" s="313"/>
      <c r="EP730" s="249"/>
      <c r="EQ730" s="216"/>
      <c r="ER730" s="313"/>
      <c r="ES730" s="249"/>
      <c r="ET730" s="216"/>
      <c r="EU730" s="313"/>
      <c r="EV730" s="249"/>
      <c r="EW730" s="216"/>
      <c r="EX730" s="2505"/>
      <c r="EY730" s="249"/>
      <c r="EZ730" s="221"/>
      <c r="FA730" s="313"/>
      <c r="FB730" s="249"/>
      <c r="FC730" s="221"/>
      <c r="FD730" s="313"/>
      <c r="FE730" s="249"/>
      <c r="FF730" s="221"/>
      <c r="FG730" s="313"/>
      <c r="FH730" s="249"/>
      <c r="FI730" s="216"/>
      <c r="FJ730" s="1435"/>
      <c r="FK730" s="216"/>
      <c r="FL730" s="1268"/>
      <c r="FM730" s="1655"/>
      <c r="FN730" s="1268"/>
      <c r="FO730" s="1655"/>
      <c r="FP730" s="1268"/>
      <c r="FQ730" s="1656"/>
      <c r="FR730" s="249"/>
      <c r="FS730" s="216"/>
      <c r="FT730" s="1657"/>
      <c r="FU730" s="1658"/>
      <c r="FV730" s="242"/>
      <c r="FW730" s="343"/>
      <c r="FX730" s="222"/>
      <c r="FY730" s="336"/>
      <c r="FZ730" s="223"/>
      <c r="GA730" s="338"/>
      <c r="GB730" s="204"/>
      <c r="GC730" s="339"/>
      <c r="GD730" s="342"/>
      <c r="GE730" s="199"/>
      <c r="GF730" s="199"/>
      <c r="GG730" s="199"/>
      <c r="GH730" s="199"/>
      <c r="GI730" s="199"/>
      <c r="GJ730" s="199"/>
      <c r="GK730" s="199"/>
      <c r="GO730" s="322"/>
      <c r="GP730" s="1190"/>
      <c r="GQ730" s="1190"/>
      <c r="GS730" s="2879"/>
      <c r="GT730" s="2880"/>
      <c r="GU730" s="2881"/>
    </row>
    <row r="731" spans="1:203" ht="12" customHeight="1">
      <c r="A731" s="1252"/>
      <c r="B731" s="200"/>
      <c r="C731" s="486"/>
      <c r="T731" s="1186"/>
      <c r="U731" s="233"/>
      <c r="W731" s="218"/>
      <c r="X731" s="218"/>
      <c r="Y731" s="216"/>
      <c r="Z731" s="216"/>
      <c r="AA731" s="215"/>
      <c r="AB731" s="216"/>
      <c r="AC731" s="216"/>
      <c r="AD731" s="239"/>
      <c r="AE731" s="216"/>
      <c r="AF731" s="216"/>
      <c r="AG731" s="216"/>
      <c r="AH731" s="216"/>
      <c r="AI731" s="216"/>
      <c r="AJ731" s="216"/>
      <c r="AK731" s="239"/>
      <c r="AL731" s="216"/>
      <c r="AM731" s="216"/>
      <c r="AN731" s="216"/>
      <c r="AO731" s="216"/>
      <c r="AP731" s="216"/>
      <c r="AQ731" s="216"/>
      <c r="AR731" s="216"/>
      <c r="AS731" s="216"/>
      <c r="AT731" s="216"/>
      <c r="AU731" s="216"/>
      <c r="AV731" s="217"/>
      <c r="AW731" s="355"/>
      <c r="AX731" s="217"/>
      <c r="AY731" s="305"/>
      <c r="AZ731" s="249"/>
      <c r="BA731" s="221"/>
      <c r="BB731" s="300"/>
      <c r="BC731" s="217"/>
      <c r="BD731" s="392"/>
      <c r="BE731" s="1244"/>
      <c r="BF731" s="249"/>
      <c r="BG731" s="252"/>
      <c r="BH731" s="1469"/>
      <c r="BI731" s="216"/>
      <c r="BJ731" s="1469"/>
      <c r="BK731" s="1459"/>
      <c r="BL731" s="260"/>
      <c r="BM731" s="214"/>
      <c r="BN731" s="293"/>
      <c r="BO731" s="217"/>
      <c r="BP731" s="355"/>
      <c r="BQ731" s="217"/>
      <c r="BR731" s="1193"/>
      <c r="BS731" s="249"/>
      <c r="BT731" s="216"/>
      <c r="BU731" s="1195"/>
      <c r="BV731" s="249"/>
      <c r="BW731" s="216"/>
      <c r="BX731" s="1195"/>
      <c r="BY731" s="249"/>
      <c r="BZ731" s="216"/>
      <c r="CA731" s="1195"/>
      <c r="CB731" s="249"/>
      <c r="CC731" s="216"/>
      <c r="CD731" s="1195"/>
      <c r="CE731" s="249"/>
      <c r="CF731" s="216"/>
      <c r="CG731" s="1195"/>
      <c r="CH731" s="249"/>
      <c r="CI731" s="216"/>
      <c r="CJ731" s="1195"/>
      <c r="CK731" s="249"/>
      <c r="CL731" s="216"/>
      <c r="CM731" s="1194"/>
      <c r="CN731" s="1524"/>
      <c r="CO731" s="217"/>
      <c r="CP731" s="1193"/>
      <c r="CQ731" s="293"/>
      <c r="CR731" s="217"/>
      <c r="CS731" s="305"/>
      <c r="CT731" s="249"/>
      <c r="CU731" s="216"/>
      <c r="CV731" s="1193"/>
      <c r="CW731" s="249"/>
      <c r="CX731" s="216"/>
      <c r="CY731" s="305"/>
      <c r="CZ731" s="249"/>
      <c r="DA731" s="216"/>
      <c r="DB731" s="307"/>
      <c r="DC731" s="328"/>
      <c r="DD731" s="322"/>
      <c r="DE731" s="305"/>
      <c r="DF731" s="249"/>
      <c r="DG731" s="216"/>
      <c r="DH731" s="305"/>
      <c r="DI731" s="249"/>
      <c r="DJ731" s="216"/>
      <c r="DK731" s="309"/>
      <c r="DL731" s="293"/>
      <c r="DM731" s="326"/>
      <c r="DN731" s="1256"/>
      <c r="DO731" s="214"/>
      <c r="DP731" s="1257"/>
      <c r="DQ731" s="1258"/>
      <c r="DR731" s="305"/>
      <c r="DS731" s="249"/>
      <c r="DT731" s="216"/>
      <c r="DU731" s="305"/>
      <c r="DV731" s="2520"/>
      <c r="DW731" s="2521"/>
      <c r="DX731" s="305"/>
      <c r="DY731" s="249"/>
      <c r="DZ731" s="221"/>
      <c r="EA731" s="388"/>
      <c r="EB731" s="249"/>
      <c r="EC731" s="216"/>
      <c r="ED731" s="1461"/>
      <c r="EE731" s="249"/>
      <c r="EF731" s="216"/>
      <c r="EG731" s="355"/>
      <c r="EH731" s="1425"/>
      <c r="EI731" s="1470"/>
      <c r="EJ731" s="249"/>
      <c r="EK731" s="221"/>
      <c r="EL731" s="313"/>
      <c r="EM731" s="249"/>
      <c r="EN731" s="221"/>
      <c r="EO731" s="313"/>
      <c r="EP731" s="249"/>
      <c r="EQ731" s="216"/>
      <c r="ER731" s="313"/>
      <c r="ES731" s="249"/>
      <c r="ET731" s="216"/>
      <c r="EU731" s="313"/>
      <c r="EV731" s="249"/>
      <c r="EW731" s="216"/>
      <c r="EX731" s="2505"/>
      <c r="EY731" s="249"/>
      <c r="EZ731" s="221"/>
      <c r="FA731" s="313"/>
      <c r="FB731" s="249"/>
      <c r="FC731" s="221"/>
      <c r="FD731" s="313"/>
      <c r="FE731" s="249"/>
      <c r="FF731" s="221"/>
      <c r="FG731" s="313"/>
      <c r="FH731" s="249"/>
      <c r="FI731" s="216"/>
      <c r="FJ731" s="1435"/>
      <c r="FK731" s="216"/>
      <c r="FL731" s="1268"/>
      <c r="FM731" s="1655"/>
      <c r="FN731" s="1268"/>
      <c r="FO731" s="1655"/>
      <c r="FP731" s="1268"/>
      <c r="FQ731" s="1656"/>
      <c r="FR731" s="249"/>
      <c r="FS731" s="216"/>
      <c r="FT731" s="1657"/>
      <c r="FU731" s="1658"/>
      <c r="FV731" s="242"/>
      <c r="FW731" s="343"/>
      <c r="FX731" s="222"/>
      <c r="FY731" s="336"/>
      <c r="FZ731" s="223"/>
      <c r="GA731" s="338"/>
      <c r="GB731" s="204"/>
      <c r="GC731" s="339"/>
      <c r="GD731" s="342"/>
      <c r="GE731" s="199"/>
      <c r="GF731" s="199"/>
      <c r="GG731" s="199"/>
      <c r="GH731" s="199"/>
      <c r="GI731" s="199"/>
      <c r="GJ731" s="199"/>
      <c r="GK731" s="199"/>
      <c r="GO731" s="322"/>
      <c r="GP731" s="1190"/>
      <c r="GQ731" s="1190"/>
      <c r="GS731" s="2879"/>
      <c r="GT731" s="2880"/>
      <c r="GU731" s="2881"/>
    </row>
    <row r="732" spans="1:203" ht="12" customHeight="1">
      <c r="A732" s="1252"/>
      <c r="B732" s="200"/>
      <c r="C732" s="486"/>
      <c r="T732" s="1186"/>
      <c r="U732" s="233"/>
      <c r="W732" s="218"/>
      <c r="X732" s="218"/>
      <c r="Y732" s="216"/>
      <c r="Z732" s="216"/>
      <c r="AA732" s="215"/>
      <c r="AB732" s="216"/>
      <c r="AC732" s="216"/>
      <c r="AD732" s="239"/>
      <c r="AE732" s="216"/>
      <c r="AF732" s="216"/>
      <c r="AG732" s="216"/>
      <c r="AH732" s="216"/>
      <c r="AI732" s="216"/>
      <c r="AJ732" s="216"/>
      <c r="AK732" s="239"/>
      <c r="AL732" s="216"/>
      <c r="AM732" s="216"/>
      <c r="AN732" s="216"/>
      <c r="AO732" s="216"/>
      <c r="AP732" s="216"/>
      <c r="AQ732" s="216"/>
      <c r="AR732" s="216"/>
      <c r="AS732" s="216"/>
      <c r="AT732" s="216"/>
      <c r="AU732" s="216"/>
      <c r="AV732" s="217"/>
      <c r="AW732" s="355"/>
      <c r="AX732" s="217"/>
      <c r="AY732" s="305"/>
      <c r="AZ732" s="249"/>
      <c r="BA732" s="221"/>
      <c r="BB732" s="300"/>
      <c r="BC732" s="217"/>
      <c r="BD732" s="392"/>
      <c r="BE732" s="1244"/>
      <c r="BF732" s="249"/>
      <c r="BG732" s="252"/>
      <c r="BH732" s="1469"/>
      <c r="BI732" s="216"/>
      <c r="BJ732" s="1469"/>
      <c r="BK732" s="1459"/>
      <c r="BL732" s="260"/>
      <c r="BM732" s="214"/>
      <c r="BN732" s="293"/>
      <c r="BO732" s="217"/>
      <c r="BP732" s="355"/>
      <c r="BQ732" s="217"/>
      <c r="BR732" s="1193"/>
      <c r="BS732" s="249"/>
      <c r="BT732" s="216"/>
      <c r="BU732" s="1195"/>
      <c r="BV732" s="249"/>
      <c r="BW732" s="216"/>
      <c r="BX732" s="1195"/>
      <c r="BY732" s="249"/>
      <c r="BZ732" s="216"/>
      <c r="CA732" s="1195"/>
      <c r="CB732" s="249"/>
      <c r="CC732" s="216"/>
      <c r="CD732" s="1195"/>
      <c r="CE732" s="249"/>
      <c r="CF732" s="216"/>
      <c r="CG732" s="1195"/>
      <c r="CH732" s="249"/>
      <c r="CI732" s="216"/>
      <c r="CJ732" s="1195"/>
      <c r="CK732" s="249"/>
      <c r="CL732" s="216"/>
      <c r="CM732" s="1194"/>
      <c r="CN732" s="1524"/>
      <c r="CO732" s="217"/>
      <c r="CP732" s="1193"/>
      <c r="CQ732" s="293"/>
      <c r="CR732" s="217"/>
      <c r="CS732" s="305"/>
      <c r="CT732" s="249"/>
      <c r="CU732" s="216"/>
      <c r="CV732" s="1193"/>
      <c r="CW732" s="249"/>
      <c r="CX732" s="216"/>
      <c r="CY732" s="305"/>
      <c r="CZ732" s="249"/>
      <c r="DA732" s="216"/>
      <c r="DB732" s="307"/>
      <c r="DC732" s="328"/>
      <c r="DD732" s="322"/>
      <c r="DE732" s="305"/>
      <c r="DF732" s="249"/>
      <c r="DG732" s="216"/>
      <c r="DH732" s="305"/>
      <c r="DI732" s="249"/>
      <c r="DJ732" s="216"/>
      <c r="DK732" s="309"/>
      <c r="DL732" s="293"/>
      <c r="DM732" s="326"/>
      <c r="DN732" s="1256"/>
      <c r="DO732" s="214"/>
      <c r="DP732" s="1257"/>
      <c r="DQ732" s="1258"/>
      <c r="DR732" s="305"/>
      <c r="DS732" s="249"/>
      <c r="DT732" s="216"/>
      <c r="DU732" s="305"/>
      <c r="DV732" s="2520"/>
      <c r="DW732" s="2521"/>
      <c r="DX732" s="305"/>
      <c r="DY732" s="249"/>
      <c r="DZ732" s="221"/>
      <c r="EA732" s="388"/>
      <c r="EB732" s="249"/>
      <c r="EC732" s="216"/>
      <c r="ED732" s="1461"/>
      <c r="EE732" s="249"/>
      <c r="EF732" s="216"/>
      <c r="EG732" s="355"/>
      <c r="EH732" s="1425"/>
      <c r="EI732" s="1470"/>
      <c r="EJ732" s="249"/>
      <c r="EK732" s="221"/>
      <c r="EL732" s="313"/>
      <c r="EM732" s="249"/>
      <c r="EN732" s="221"/>
      <c r="EO732" s="313"/>
      <c r="EP732" s="249"/>
      <c r="EQ732" s="216"/>
      <c r="ER732" s="313"/>
      <c r="ES732" s="249"/>
      <c r="ET732" s="216"/>
      <c r="EU732" s="313"/>
      <c r="EV732" s="249"/>
      <c r="EW732" s="216"/>
      <c r="EX732" s="2505"/>
      <c r="EY732" s="249"/>
      <c r="EZ732" s="221"/>
      <c r="FA732" s="313"/>
      <c r="FB732" s="249"/>
      <c r="FC732" s="221"/>
      <c r="FD732" s="313"/>
      <c r="FE732" s="249"/>
      <c r="FF732" s="221"/>
      <c r="FG732" s="313"/>
      <c r="FH732" s="249"/>
      <c r="FI732" s="216"/>
      <c r="FJ732" s="1435"/>
      <c r="FK732" s="216"/>
      <c r="FL732" s="1268"/>
      <c r="FM732" s="1655"/>
      <c r="FN732" s="1268"/>
      <c r="FO732" s="1655"/>
      <c r="FP732" s="1268"/>
      <c r="FQ732" s="1656"/>
      <c r="FR732" s="249"/>
      <c r="FS732" s="216"/>
      <c r="FT732" s="1657"/>
      <c r="FU732" s="1658"/>
      <c r="FV732" s="242"/>
      <c r="FW732" s="343"/>
      <c r="FX732" s="222"/>
      <c r="FY732" s="336"/>
      <c r="FZ732" s="223"/>
      <c r="GA732" s="338"/>
      <c r="GB732" s="204"/>
      <c r="GC732" s="339"/>
      <c r="GD732" s="342"/>
      <c r="GE732" s="199"/>
      <c r="GF732" s="199"/>
      <c r="GG732" s="199"/>
      <c r="GH732" s="199"/>
      <c r="GI732" s="199"/>
      <c r="GJ732" s="199"/>
      <c r="GK732" s="199"/>
      <c r="GO732" s="322"/>
      <c r="GP732" s="1190"/>
      <c r="GQ732" s="1190"/>
      <c r="GS732" s="2879"/>
      <c r="GT732" s="2880"/>
      <c r="GU732" s="2881"/>
    </row>
    <row r="733" spans="1:203" ht="12" customHeight="1">
      <c r="A733" s="1252"/>
      <c r="B733" s="200"/>
      <c r="C733" s="486"/>
      <c r="T733" s="1186"/>
      <c r="U733" s="233"/>
      <c r="W733" s="218"/>
      <c r="X733" s="218"/>
      <c r="Y733" s="216"/>
      <c r="Z733" s="216"/>
      <c r="AA733" s="215"/>
      <c r="AB733" s="216"/>
      <c r="AC733" s="216"/>
      <c r="AD733" s="239"/>
      <c r="AE733" s="216"/>
      <c r="AF733" s="216"/>
      <c r="AG733" s="216"/>
      <c r="AH733" s="216"/>
      <c r="AI733" s="216"/>
      <c r="AJ733" s="216"/>
      <c r="AK733" s="239"/>
      <c r="AL733" s="216"/>
      <c r="AM733" s="216"/>
      <c r="AN733" s="216"/>
      <c r="AO733" s="216"/>
      <c r="AP733" s="216"/>
      <c r="AQ733" s="216"/>
      <c r="AR733" s="216"/>
      <c r="AS733" s="216"/>
      <c r="AT733" s="216"/>
      <c r="AU733" s="216"/>
      <c r="AV733" s="217"/>
      <c r="AW733" s="355"/>
      <c r="AX733" s="217"/>
      <c r="AY733" s="305"/>
      <c r="AZ733" s="249"/>
      <c r="BA733" s="221"/>
      <c r="BB733" s="300"/>
      <c r="BC733" s="217"/>
      <c r="BD733" s="392"/>
      <c r="BE733" s="1244"/>
      <c r="BF733" s="249"/>
      <c r="BG733" s="252"/>
      <c r="BH733" s="1469"/>
      <c r="BI733" s="216"/>
      <c r="BJ733" s="1469"/>
      <c r="BK733" s="1459"/>
      <c r="BL733" s="260"/>
      <c r="BM733" s="214"/>
      <c r="BN733" s="293"/>
      <c r="BO733" s="217"/>
      <c r="BP733" s="355"/>
      <c r="BQ733" s="217"/>
      <c r="BR733" s="1193"/>
      <c r="BS733" s="249"/>
      <c r="BT733" s="216"/>
      <c r="BU733" s="1195"/>
      <c r="BV733" s="249"/>
      <c r="BW733" s="216"/>
      <c r="BX733" s="1195"/>
      <c r="BY733" s="249"/>
      <c r="BZ733" s="216"/>
      <c r="CA733" s="1195"/>
      <c r="CB733" s="249"/>
      <c r="CC733" s="216"/>
      <c r="CD733" s="1195"/>
      <c r="CE733" s="249"/>
      <c r="CF733" s="216"/>
      <c r="CG733" s="1195"/>
      <c r="CH733" s="249"/>
      <c r="CI733" s="216"/>
      <c r="CJ733" s="1195"/>
      <c r="CK733" s="249"/>
      <c r="CL733" s="216"/>
      <c r="CM733" s="1194"/>
      <c r="CN733" s="1524"/>
      <c r="CO733" s="217"/>
      <c r="CP733" s="1193"/>
      <c r="CQ733" s="293"/>
      <c r="CR733" s="217"/>
      <c r="CS733" s="305"/>
      <c r="CT733" s="249"/>
      <c r="CU733" s="216"/>
      <c r="CV733" s="1193"/>
      <c r="CW733" s="249"/>
      <c r="CX733" s="216"/>
      <c r="CY733" s="305"/>
      <c r="CZ733" s="249"/>
      <c r="DA733" s="216"/>
      <c r="DB733" s="307"/>
      <c r="DC733" s="328"/>
      <c r="DD733" s="322"/>
      <c r="DE733" s="305"/>
      <c r="DF733" s="249"/>
      <c r="DG733" s="216"/>
      <c r="DH733" s="305"/>
      <c r="DI733" s="249"/>
      <c r="DJ733" s="216"/>
      <c r="DK733" s="309"/>
      <c r="DL733" s="293"/>
      <c r="DM733" s="326"/>
      <c r="DN733" s="1256"/>
      <c r="DO733" s="214"/>
      <c r="DP733" s="1257"/>
      <c r="DQ733" s="1258"/>
      <c r="DR733" s="305"/>
      <c r="DS733" s="249"/>
      <c r="DT733" s="216"/>
      <c r="DU733" s="305"/>
      <c r="DV733" s="2520"/>
      <c r="DW733" s="2521"/>
      <c r="DX733" s="305"/>
      <c r="DY733" s="249"/>
      <c r="DZ733" s="221"/>
      <c r="EA733" s="388"/>
      <c r="EB733" s="249"/>
      <c r="EC733" s="216"/>
      <c r="ED733" s="1461"/>
      <c r="EE733" s="249"/>
      <c r="EF733" s="216"/>
      <c r="EG733" s="355"/>
      <c r="EH733" s="1425"/>
      <c r="EI733" s="1470"/>
      <c r="EJ733" s="249"/>
      <c r="EK733" s="221"/>
      <c r="EL733" s="313"/>
      <c r="EM733" s="249"/>
      <c r="EN733" s="221"/>
      <c r="EO733" s="313"/>
      <c r="EP733" s="249"/>
      <c r="EQ733" s="216"/>
      <c r="ER733" s="313"/>
      <c r="ES733" s="249"/>
      <c r="ET733" s="216"/>
      <c r="EU733" s="313"/>
      <c r="EV733" s="249"/>
      <c r="EW733" s="216"/>
      <c r="EX733" s="2505"/>
      <c r="EY733" s="249"/>
      <c r="EZ733" s="221"/>
      <c r="FA733" s="313"/>
      <c r="FB733" s="249"/>
      <c r="FC733" s="221"/>
      <c r="FD733" s="313"/>
      <c r="FE733" s="249"/>
      <c r="FF733" s="221"/>
      <c r="FG733" s="313"/>
      <c r="FH733" s="249"/>
      <c r="FI733" s="216"/>
      <c r="FJ733" s="1435"/>
      <c r="FK733" s="216"/>
      <c r="FL733" s="1268"/>
      <c r="FM733" s="1655"/>
      <c r="FN733" s="1268"/>
      <c r="FO733" s="1655"/>
      <c r="FP733" s="1268"/>
      <c r="FQ733" s="1656"/>
      <c r="FR733" s="249"/>
      <c r="FS733" s="216"/>
      <c r="FT733" s="1657"/>
      <c r="FU733" s="1658"/>
      <c r="FV733" s="242"/>
      <c r="FW733" s="343"/>
      <c r="FX733" s="222"/>
      <c r="FY733" s="336"/>
      <c r="FZ733" s="223"/>
      <c r="GA733" s="338"/>
      <c r="GB733" s="204"/>
      <c r="GC733" s="339"/>
      <c r="GD733" s="342"/>
      <c r="GE733" s="199"/>
      <c r="GF733" s="199"/>
      <c r="GG733" s="199"/>
      <c r="GH733" s="199"/>
      <c r="GI733" s="199"/>
      <c r="GJ733" s="199"/>
      <c r="GK733" s="199"/>
      <c r="GO733" s="322"/>
      <c r="GP733" s="1190"/>
      <c r="GQ733" s="1190"/>
      <c r="GS733" s="2879"/>
      <c r="GT733" s="2880"/>
      <c r="GU733" s="2881"/>
    </row>
    <row r="734" spans="1:203" ht="12" customHeight="1">
      <c r="A734" s="1252"/>
      <c r="B734" s="200"/>
      <c r="C734" s="486"/>
      <c r="T734" s="1186"/>
      <c r="U734" s="233"/>
      <c r="W734" s="218"/>
      <c r="X734" s="218"/>
      <c r="Y734" s="216"/>
      <c r="Z734" s="216"/>
      <c r="AA734" s="215"/>
      <c r="AB734" s="216"/>
      <c r="AC734" s="216"/>
      <c r="AD734" s="239"/>
      <c r="AE734" s="216"/>
      <c r="AF734" s="216"/>
      <c r="AG734" s="216"/>
      <c r="AH734" s="216"/>
      <c r="AI734" s="216"/>
      <c r="AJ734" s="216"/>
      <c r="AK734" s="239"/>
      <c r="AL734" s="216"/>
      <c r="AM734" s="216"/>
      <c r="AN734" s="216"/>
      <c r="AO734" s="216"/>
      <c r="AP734" s="216"/>
      <c r="AQ734" s="216"/>
      <c r="AR734" s="216"/>
      <c r="AS734" s="216"/>
      <c r="AT734" s="216"/>
      <c r="AU734" s="216"/>
      <c r="AV734" s="217"/>
      <c r="AW734" s="355"/>
      <c r="AX734" s="217"/>
      <c r="AY734" s="305"/>
      <c r="AZ734" s="249"/>
      <c r="BA734" s="221"/>
      <c r="BB734" s="300"/>
      <c r="BC734" s="217"/>
      <c r="BD734" s="392"/>
      <c r="BE734" s="1244"/>
      <c r="BF734" s="249"/>
      <c r="BG734" s="252"/>
      <c r="BH734" s="1469"/>
      <c r="BI734" s="216"/>
      <c r="BJ734" s="1469"/>
      <c r="BK734" s="1459"/>
      <c r="BL734" s="260"/>
      <c r="BM734" s="214"/>
      <c r="BN734" s="293"/>
      <c r="BO734" s="217"/>
      <c r="BP734" s="355"/>
      <c r="BQ734" s="217"/>
      <c r="BR734" s="1193"/>
      <c r="BS734" s="249"/>
      <c r="BT734" s="216"/>
      <c r="BU734" s="1195"/>
      <c r="BV734" s="249"/>
      <c r="BW734" s="216"/>
      <c r="BX734" s="1195"/>
      <c r="BY734" s="249"/>
      <c r="BZ734" s="216"/>
      <c r="CA734" s="1195"/>
      <c r="CB734" s="249"/>
      <c r="CC734" s="216"/>
      <c r="CD734" s="1195"/>
      <c r="CE734" s="249"/>
      <c r="CF734" s="216"/>
      <c r="CG734" s="1195"/>
      <c r="CH734" s="249"/>
      <c r="CI734" s="216"/>
      <c r="CJ734" s="1195"/>
      <c r="CK734" s="249"/>
      <c r="CL734" s="216"/>
      <c r="CM734" s="1194"/>
      <c r="CN734" s="1524"/>
      <c r="CO734" s="217"/>
      <c r="CP734" s="1193"/>
      <c r="CQ734" s="293"/>
      <c r="CR734" s="217"/>
      <c r="CS734" s="305"/>
      <c r="CT734" s="249"/>
      <c r="CU734" s="216"/>
      <c r="CV734" s="1193"/>
      <c r="CW734" s="249"/>
      <c r="CX734" s="216"/>
      <c r="CY734" s="305"/>
      <c r="CZ734" s="249"/>
      <c r="DA734" s="216"/>
      <c r="DB734" s="307"/>
      <c r="DC734" s="328"/>
      <c r="DD734" s="322"/>
      <c r="DE734" s="305"/>
      <c r="DF734" s="249"/>
      <c r="DG734" s="216"/>
      <c r="DH734" s="305"/>
      <c r="DI734" s="249"/>
      <c r="DJ734" s="216"/>
      <c r="DK734" s="309"/>
      <c r="DL734" s="293"/>
      <c r="DM734" s="326"/>
      <c r="DN734" s="1256"/>
      <c r="DO734" s="214"/>
      <c r="DP734" s="1257"/>
      <c r="DQ734" s="1258"/>
      <c r="DR734" s="305"/>
      <c r="DS734" s="249"/>
      <c r="DT734" s="216"/>
      <c r="DU734" s="305"/>
      <c r="DV734" s="2520"/>
      <c r="DW734" s="2521"/>
      <c r="DX734" s="305"/>
      <c r="DY734" s="249"/>
      <c r="DZ734" s="221"/>
      <c r="EA734" s="388"/>
      <c r="EB734" s="249"/>
      <c r="EC734" s="216"/>
      <c r="ED734" s="1461"/>
      <c r="EE734" s="249"/>
      <c r="EF734" s="216"/>
      <c r="EG734" s="355"/>
      <c r="EH734" s="1425"/>
      <c r="EI734" s="1470"/>
      <c r="EJ734" s="249"/>
      <c r="EK734" s="221"/>
      <c r="EL734" s="313"/>
      <c r="EM734" s="249"/>
      <c r="EN734" s="221"/>
      <c r="EO734" s="313"/>
      <c r="EP734" s="249"/>
      <c r="EQ734" s="216"/>
      <c r="ER734" s="313"/>
      <c r="ES734" s="249"/>
      <c r="ET734" s="216"/>
      <c r="EU734" s="313"/>
      <c r="EV734" s="249"/>
      <c r="EW734" s="216"/>
      <c r="EX734" s="2505"/>
      <c r="EY734" s="249"/>
      <c r="EZ734" s="221"/>
      <c r="FA734" s="313"/>
      <c r="FB734" s="249"/>
      <c r="FC734" s="221"/>
      <c r="FD734" s="313"/>
      <c r="FE734" s="249"/>
      <c r="FF734" s="221"/>
      <c r="FG734" s="313"/>
      <c r="FH734" s="249"/>
      <c r="FI734" s="216"/>
      <c r="FJ734" s="1435"/>
      <c r="FK734" s="216"/>
      <c r="FL734" s="1268"/>
      <c r="FM734" s="1655"/>
      <c r="FN734" s="1268"/>
      <c r="FO734" s="1655"/>
      <c r="FP734" s="1268"/>
      <c r="FQ734" s="1656"/>
      <c r="FR734" s="249"/>
      <c r="FS734" s="216"/>
      <c r="FT734" s="1657"/>
      <c r="FU734" s="1658"/>
      <c r="FV734" s="242"/>
      <c r="FW734" s="343"/>
      <c r="FX734" s="222"/>
      <c r="FY734" s="336"/>
      <c r="FZ734" s="223"/>
      <c r="GA734" s="338"/>
      <c r="GB734" s="204"/>
      <c r="GC734" s="339"/>
      <c r="GD734" s="342"/>
      <c r="GE734" s="199"/>
      <c r="GF734" s="199"/>
      <c r="GG734" s="199"/>
      <c r="GH734" s="199"/>
      <c r="GI734" s="199"/>
      <c r="GJ734" s="199"/>
      <c r="GK734" s="199"/>
      <c r="GO734" s="322"/>
      <c r="GP734" s="1190"/>
      <c r="GQ734" s="1190"/>
      <c r="GS734" s="2879"/>
      <c r="GT734" s="2880"/>
      <c r="GU734" s="2881"/>
    </row>
    <row r="735" spans="1:203" ht="12" customHeight="1">
      <c r="A735" s="1252"/>
      <c r="B735" s="200"/>
      <c r="C735" s="486"/>
      <c r="T735" s="1186"/>
      <c r="U735" s="233"/>
      <c r="W735" s="218"/>
      <c r="X735" s="218"/>
      <c r="Y735" s="216"/>
      <c r="Z735" s="216"/>
      <c r="AA735" s="215"/>
      <c r="AB735" s="216"/>
      <c r="AC735" s="216"/>
      <c r="AD735" s="239"/>
      <c r="AE735" s="216"/>
      <c r="AF735" s="216"/>
      <c r="AG735" s="216"/>
      <c r="AH735" s="216"/>
      <c r="AI735" s="216"/>
      <c r="AJ735" s="216"/>
      <c r="AK735" s="239"/>
      <c r="AL735" s="216"/>
      <c r="AM735" s="216"/>
      <c r="AN735" s="216"/>
      <c r="AO735" s="216"/>
      <c r="AP735" s="216"/>
      <c r="AQ735" s="216"/>
      <c r="AR735" s="216"/>
      <c r="AS735" s="216"/>
      <c r="AT735" s="216"/>
      <c r="AU735" s="216"/>
      <c r="AV735" s="217"/>
      <c r="AW735" s="355"/>
      <c r="AX735" s="217"/>
      <c r="AY735" s="305"/>
      <c r="AZ735" s="249"/>
      <c r="BA735" s="221"/>
      <c r="BB735" s="300"/>
      <c r="BC735" s="217"/>
      <c r="BD735" s="392"/>
      <c r="BE735" s="1244"/>
      <c r="BF735" s="249"/>
      <c r="BG735" s="252"/>
      <c r="BH735" s="1469"/>
      <c r="BI735" s="216"/>
      <c r="BJ735" s="1469"/>
      <c r="BK735" s="1459"/>
      <c r="BL735" s="260"/>
      <c r="BM735" s="214"/>
      <c r="BN735" s="293"/>
      <c r="BO735" s="217"/>
      <c r="BP735" s="355"/>
      <c r="BQ735" s="217"/>
      <c r="BR735" s="1193"/>
      <c r="BS735" s="249"/>
      <c r="BT735" s="216"/>
      <c r="BU735" s="1195"/>
      <c r="BV735" s="249"/>
      <c r="BW735" s="216"/>
      <c r="BX735" s="1195"/>
      <c r="BY735" s="249"/>
      <c r="BZ735" s="216"/>
      <c r="CA735" s="1195"/>
      <c r="CB735" s="249"/>
      <c r="CC735" s="216"/>
      <c r="CD735" s="1195"/>
      <c r="CE735" s="249"/>
      <c r="CF735" s="216"/>
      <c r="CG735" s="1195"/>
      <c r="CH735" s="249"/>
      <c r="CI735" s="216"/>
      <c r="CJ735" s="1195"/>
      <c r="CK735" s="249"/>
      <c r="CL735" s="216"/>
      <c r="CM735" s="1194"/>
      <c r="CN735" s="1524"/>
      <c r="CO735" s="217"/>
      <c r="CP735" s="1193"/>
      <c r="CQ735" s="293"/>
      <c r="CR735" s="217"/>
      <c r="CS735" s="305"/>
      <c r="CT735" s="249"/>
      <c r="CU735" s="216"/>
      <c r="CV735" s="1193"/>
      <c r="CW735" s="249"/>
      <c r="CX735" s="216"/>
      <c r="CY735" s="305"/>
      <c r="CZ735" s="249"/>
      <c r="DA735" s="216"/>
      <c r="DB735" s="307"/>
      <c r="DC735" s="328"/>
      <c r="DD735" s="322"/>
      <c r="DE735" s="305"/>
      <c r="DF735" s="249"/>
      <c r="DG735" s="216"/>
      <c r="DH735" s="305"/>
      <c r="DI735" s="249"/>
      <c r="DJ735" s="216"/>
      <c r="DK735" s="309"/>
      <c r="DL735" s="293"/>
      <c r="DM735" s="326"/>
      <c r="DN735" s="1256"/>
      <c r="DO735" s="214"/>
      <c r="DP735" s="1257"/>
      <c r="DQ735" s="1258"/>
      <c r="DR735" s="305"/>
      <c r="DS735" s="249"/>
      <c r="DT735" s="216"/>
      <c r="DU735" s="305"/>
      <c r="DV735" s="2520"/>
      <c r="DW735" s="2521"/>
      <c r="DX735" s="305"/>
      <c r="DY735" s="249"/>
      <c r="DZ735" s="221"/>
      <c r="EA735" s="388"/>
      <c r="EB735" s="249"/>
      <c r="EC735" s="216"/>
      <c r="ED735" s="1461"/>
      <c r="EE735" s="249"/>
      <c r="EF735" s="216"/>
      <c r="EG735" s="355"/>
      <c r="EH735" s="1425"/>
      <c r="EI735" s="1470"/>
      <c r="EJ735" s="249"/>
      <c r="EK735" s="221"/>
      <c r="EL735" s="313"/>
      <c r="EM735" s="249"/>
      <c r="EN735" s="221"/>
      <c r="EO735" s="313"/>
      <c r="EP735" s="249"/>
      <c r="EQ735" s="216"/>
      <c r="ER735" s="313"/>
      <c r="ES735" s="249"/>
      <c r="ET735" s="216"/>
      <c r="EU735" s="313"/>
      <c r="EV735" s="249"/>
      <c r="EW735" s="216"/>
      <c r="EX735" s="2505"/>
      <c r="EY735" s="249"/>
      <c r="EZ735" s="221"/>
      <c r="FA735" s="313"/>
      <c r="FB735" s="249"/>
      <c r="FC735" s="221"/>
      <c r="FD735" s="313"/>
      <c r="FE735" s="249"/>
      <c r="FF735" s="221"/>
      <c r="FG735" s="313"/>
      <c r="FH735" s="249"/>
      <c r="FI735" s="216"/>
      <c r="FJ735" s="1435"/>
      <c r="FK735" s="216"/>
      <c r="FL735" s="1268"/>
      <c r="FM735" s="1655"/>
      <c r="FN735" s="1268"/>
      <c r="FO735" s="1655"/>
      <c r="FP735" s="1268"/>
      <c r="FQ735" s="1656"/>
      <c r="FR735" s="249"/>
      <c r="FS735" s="216"/>
      <c r="FT735" s="1657"/>
      <c r="FU735" s="1658"/>
      <c r="FV735" s="242"/>
      <c r="FW735" s="343"/>
      <c r="FX735" s="222"/>
      <c r="FY735" s="336"/>
      <c r="FZ735" s="223"/>
      <c r="GA735" s="338"/>
      <c r="GB735" s="204"/>
      <c r="GC735" s="339"/>
      <c r="GD735" s="342"/>
      <c r="GE735" s="199"/>
      <c r="GF735" s="199"/>
      <c r="GG735" s="199"/>
      <c r="GH735" s="199"/>
      <c r="GI735" s="199"/>
      <c r="GJ735" s="199"/>
      <c r="GK735" s="199"/>
      <c r="GO735" s="322"/>
      <c r="GP735" s="1190"/>
      <c r="GQ735" s="1190"/>
      <c r="GS735" s="2879"/>
      <c r="GT735" s="2880"/>
      <c r="GU735" s="2881"/>
    </row>
    <row r="736" spans="1:203" ht="12" customHeight="1">
      <c r="A736" s="1252"/>
      <c r="B736" s="200"/>
      <c r="C736" s="486"/>
      <c r="T736" s="1186"/>
      <c r="U736" s="233"/>
      <c r="W736" s="218"/>
      <c r="X736" s="218"/>
      <c r="Y736" s="216"/>
      <c r="Z736" s="216"/>
      <c r="AA736" s="215"/>
      <c r="AB736" s="216"/>
      <c r="AC736" s="216"/>
      <c r="AD736" s="239"/>
      <c r="AE736" s="216"/>
      <c r="AF736" s="216"/>
      <c r="AG736" s="216"/>
      <c r="AH736" s="216"/>
      <c r="AI736" s="216"/>
      <c r="AJ736" s="216"/>
      <c r="AK736" s="239"/>
      <c r="AL736" s="216"/>
      <c r="AM736" s="216"/>
      <c r="AN736" s="216"/>
      <c r="AO736" s="216"/>
      <c r="AP736" s="216"/>
      <c r="AQ736" s="216"/>
      <c r="AR736" s="216"/>
      <c r="AS736" s="216"/>
      <c r="AT736" s="216"/>
      <c r="AU736" s="216"/>
      <c r="AV736" s="217"/>
      <c r="AW736" s="355"/>
      <c r="AX736" s="217"/>
      <c r="AY736" s="305"/>
      <c r="AZ736" s="249"/>
      <c r="BA736" s="221"/>
      <c r="BB736" s="300"/>
      <c r="BC736" s="217"/>
      <c r="BD736" s="392"/>
      <c r="BE736" s="1244"/>
      <c r="BF736" s="249"/>
      <c r="BG736" s="252"/>
      <c r="BH736" s="1469"/>
      <c r="BI736" s="216"/>
      <c r="BJ736" s="1469"/>
      <c r="BK736" s="1459"/>
      <c r="BL736" s="260"/>
      <c r="BM736" s="214"/>
      <c r="BN736" s="293"/>
      <c r="BO736" s="217"/>
      <c r="BP736" s="355"/>
      <c r="BQ736" s="217"/>
      <c r="BR736" s="1193"/>
      <c r="BS736" s="249"/>
      <c r="BT736" s="216"/>
      <c r="BU736" s="1195"/>
      <c r="BV736" s="249"/>
      <c r="BW736" s="216"/>
      <c r="BX736" s="1195"/>
      <c r="BY736" s="249"/>
      <c r="BZ736" s="216"/>
      <c r="CA736" s="1195"/>
      <c r="CB736" s="249"/>
      <c r="CC736" s="216"/>
      <c r="CD736" s="1195"/>
      <c r="CE736" s="249"/>
      <c r="CF736" s="216"/>
      <c r="CG736" s="1195"/>
      <c r="CH736" s="249"/>
      <c r="CI736" s="216"/>
      <c r="CJ736" s="1195"/>
      <c r="CK736" s="249"/>
      <c r="CL736" s="216"/>
      <c r="CM736" s="1194"/>
      <c r="CN736" s="1524"/>
      <c r="CO736" s="217"/>
      <c r="CP736" s="1193"/>
      <c r="CQ736" s="293"/>
      <c r="CR736" s="217"/>
      <c r="CS736" s="305"/>
      <c r="CT736" s="249"/>
      <c r="CU736" s="216"/>
      <c r="CV736" s="1193"/>
      <c r="CW736" s="249"/>
      <c r="CX736" s="216"/>
      <c r="CY736" s="305"/>
      <c r="CZ736" s="249"/>
      <c r="DA736" s="216"/>
      <c r="DB736" s="307"/>
      <c r="DC736" s="328"/>
      <c r="DD736" s="322"/>
      <c r="DE736" s="305"/>
      <c r="DF736" s="249"/>
      <c r="DG736" s="216"/>
      <c r="DH736" s="305"/>
      <c r="DI736" s="249"/>
      <c r="DJ736" s="216"/>
      <c r="DK736" s="309"/>
      <c r="DL736" s="293"/>
      <c r="DM736" s="326"/>
      <c r="DN736" s="1256"/>
      <c r="DO736" s="214"/>
      <c r="DP736" s="1257"/>
      <c r="DQ736" s="1258"/>
      <c r="DR736" s="305"/>
      <c r="DS736" s="249"/>
      <c r="DT736" s="216"/>
      <c r="DU736" s="305"/>
      <c r="DV736" s="2520"/>
      <c r="DW736" s="2521"/>
      <c r="DX736" s="305"/>
      <c r="DY736" s="249"/>
      <c r="DZ736" s="221"/>
      <c r="EA736" s="388"/>
      <c r="EB736" s="249"/>
      <c r="EC736" s="216"/>
      <c r="ED736" s="1461"/>
      <c r="EE736" s="249"/>
      <c r="EF736" s="216"/>
      <c r="EG736" s="355"/>
      <c r="EH736" s="1425"/>
      <c r="EI736" s="1470"/>
      <c r="EJ736" s="249"/>
      <c r="EK736" s="221"/>
      <c r="EL736" s="313"/>
      <c r="EM736" s="249"/>
      <c r="EN736" s="221"/>
      <c r="EO736" s="313"/>
      <c r="EP736" s="249"/>
      <c r="EQ736" s="216"/>
      <c r="ER736" s="313"/>
      <c r="ES736" s="249"/>
      <c r="ET736" s="216"/>
      <c r="EU736" s="313"/>
      <c r="EV736" s="249"/>
      <c r="EW736" s="216"/>
      <c r="EX736" s="2505"/>
      <c r="EY736" s="249"/>
      <c r="EZ736" s="221"/>
      <c r="FA736" s="313"/>
      <c r="FB736" s="249"/>
      <c r="FC736" s="221"/>
      <c r="FD736" s="313"/>
      <c r="FE736" s="249"/>
      <c r="FF736" s="221"/>
      <c r="FG736" s="313"/>
      <c r="FH736" s="249"/>
      <c r="FI736" s="216"/>
      <c r="FJ736" s="1435"/>
      <c r="FK736" s="216"/>
      <c r="FL736" s="1268"/>
      <c r="FM736" s="1655"/>
      <c r="FN736" s="1268"/>
      <c r="FO736" s="1655"/>
      <c r="FP736" s="1268"/>
      <c r="FQ736" s="1656"/>
      <c r="FR736" s="249"/>
      <c r="FS736" s="216"/>
      <c r="FT736" s="1657"/>
      <c r="FU736" s="1658"/>
      <c r="FV736" s="242"/>
      <c r="FW736" s="343"/>
      <c r="FX736" s="222"/>
      <c r="FY736" s="336"/>
      <c r="FZ736" s="223"/>
      <c r="GA736" s="338"/>
      <c r="GB736" s="204"/>
      <c r="GC736" s="339"/>
      <c r="GD736" s="342"/>
      <c r="GE736" s="199"/>
      <c r="GF736" s="199"/>
      <c r="GG736" s="199"/>
      <c r="GH736" s="199"/>
      <c r="GI736" s="199"/>
      <c r="GJ736" s="199"/>
      <c r="GK736" s="199"/>
      <c r="GO736" s="322"/>
      <c r="GP736" s="1190"/>
      <c r="GQ736" s="1190"/>
      <c r="GS736" s="2879"/>
      <c r="GT736" s="2880"/>
      <c r="GU736" s="2881"/>
    </row>
    <row r="737" spans="1:203" ht="12" customHeight="1">
      <c r="A737" s="1252"/>
      <c r="B737" s="200"/>
      <c r="C737" s="486"/>
      <c r="T737" s="1186"/>
      <c r="U737" s="233"/>
      <c r="W737" s="218"/>
      <c r="X737" s="218"/>
      <c r="Y737" s="216"/>
      <c r="Z737" s="216"/>
      <c r="AA737" s="215"/>
      <c r="AB737" s="216"/>
      <c r="AC737" s="216"/>
      <c r="AD737" s="239"/>
      <c r="AE737" s="216"/>
      <c r="AF737" s="216"/>
      <c r="AG737" s="216"/>
      <c r="AH737" s="216"/>
      <c r="AI737" s="216"/>
      <c r="AJ737" s="216"/>
      <c r="AK737" s="239"/>
      <c r="AL737" s="216"/>
      <c r="AM737" s="216"/>
      <c r="AN737" s="216"/>
      <c r="AO737" s="216"/>
      <c r="AP737" s="216"/>
      <c r="AQ737" s="216"/>
      <c r="AR737" s="216"/>
      <c r="AS737" s="216"/>
      <c r="AT737" s="216"/>
      <c r="AU737" s="216"/>
      <c r="AV737" s="217"/>
      <c r="AW737" s="355"/>
      <c r="AX737" s="217"/>
      <c r="AY737" s="305"/>
      <c r="AZ737" s="249"/>
      <c r="BA737" s="221"/>
      <c r="BB737" s="300"/>
      <c r="BC737" s="217"/>
      <c r="BD737" s="392"/>
      <c r="BE737" s="1244"/>
      <c r="BF737" s="249"/>
      <c r="BG737" s="252"/>
      <c r="BH737" s="1469"/>
      <c r="BI737" s="216"/>
      <c r="BJ737" s="1469"/>
      <c r="BK737" s="1459"/>
      <c r="BL737" s="260"/>
      <c r="BM737" s="214"/>
      <c r="BN737" s="293"/>
      <c r="BO737" s="217"/>
      <c r="BP737" s="355"/>
      <c r="BQ737" s="217"/>
      <c r="BR737" s="1193"/>
      <c r="BS737" s="249"/>
      <c r="BT737" s="216"/>
      <c r="BU737" s="1195"/>
      <c r="BV737" s="249"/>
      <c r="BW737" s="216"/>
      <c r="BX737" s="1195"/>
      <c r="BY737" s="249"/>
      <c r="BZ737" s="216"/>
      <c r="CA737" s="1195"/>
      <c r="CB737" s="249"/>
      <c r="CC737" s="216"/>
      <c r="CD737" s="1195"/>
      <c r="CE737" s="249"/>
      <c r="CF737" s="216"/>
      <c r="CG737" s="1195"/>
      <c r="CH737" s="249"/>
      <c r="CI737" s="216"/>
      <c r="CJ737" s="1195"/>
      <c r="CK737" s="249"/>
      <c r="CL737" s="216"/>
      <c r="CM737" s="1194"/>
      <c r="CN737" s="1524"/>
      <c r="CO737" s="217"/>
      <c r="CP737" s="1193"/>
      <c r="CQ737" s="293"/>
      <c r="CR737" s="217"/>
      <c r="CS737" s="305"/>
      <c r="CT737" s="249"/>
      <c r="CU737" s="216"/>
      <c r="CV737" s="1193"/>
      <c r="CW737" s="249"/>
      <c r="CX737" s="216"/>
      <c r="CY737" s="305"/>
      <c r="CZ737" s="249"/>
      <c r="DA737" s="216"/>
      <c r="DB737" s="307"/>
      <c r="DC737" s="328"/>
      <c r="DD737" s="322"/>
      <c r="DE737" s="305"/>
      <c r="DF737" s="249"/>
      <c r="DG737" s="216"/>
      <c r="DH737" s="305"/>
      <c r="DI737" s="249"/>
      <c r="DJ737" s="216"/>
      <c r="DK737" s="309"/>
      <c r="DL737" s="293"/>
      <c r="DM737" s="326"/>
      <c r="DN737" s="1256"/>
      <c r="DO737" s="214"/>
      <c r="DP737" s="1257"/>
      <c r="DQ737" s="1258"/>
      <c r="DR737" s="305"/>
      <c r="DS737" s="249"/>
      <c r="DT737" s="216"/>
      <c r="DU737" s="305"/>
      <c r="DV737" s="2520"/>
      <c r="DW737" s="2521"/>
      <c r="DX737" s="305"/>
      <c r="DY737" s="249"/>
      <c r="DZ737" s="221"/>
      <c r="EA737" s="388"/>
      <c r="EB737" s="249"/>
      <c r="EC737" s="216"/>
      <c r="ED737" s="1461"/>
      <c r="EE737" s="249"/>
      <c r="EF737" s="216"/>
      <c r="EG737" s="355"/>
      <c r="EH737" s="1425"/>
      <c r="EI737" s="1470"/>
      <c r="EJ737" s="249"/>
      <c r="EK737" s="221"/>
      <c r="EL737" s="313"/>
      <c r="EM737" s="249"/>
      <c r="EN737" s="221"/>
      <c r="EO737" s="313"/>
      <c r="EP737" s="249"/>
      <c r="EQ737" s="216"/>
      <c r="ER737" s="313"/>
      <c r="ES737" s="249"/>
      <c r="ET737" s="216"/>
      <c r="EU737" s="313"/>
      <c r="EV737" s="249"/>
      <c r="EW737" s="216"/>
      <c r="EX737" s="2505"/>
      <c r="EY737" s="249"/>
      <c r="EZ737" s="221"/>
      <c r="FA737" s="313"/>
      <c r="FB737" s="249"/>
      <c r="FC737" s="221"/>
      <c r="FD737" s="313"/>
      <c r="FE737" s="249"/>
      <c r="FF737" s="221"/>
      <c r="FG737" s="313"/>
      <c r="FH737" s="249"/>
      <c r="FI737" s="216"/>
      <c r="FJ737" s="1435"/>
      <c r="FK737" s="216"/>
      <c r="FL737" s="1268"/>
      <c r="FM737" s="1655"/>
      <c r="FN737" s="1268"/>
      <c r="FO737" s="1655"/>
      <c r="FP737" s="1268"/>
      <c r="FQ737" s="1656"/>
      <c r="FR737" s="249"/>
      <c r="FS737" s="216"/>
      <c r="FT737" s="1657"/>
      <c r="FU737" s="1658"/>
      <c r="FV737" s="242"/>
      <c r="FW737" s="343"/>
      <c r="FX737" s="222"/>
      <c r="FY737" s="336"/>
      <c r="FZ737" s="223"/>
      <c r="GA737" s="338"/>
      <c r="GB737" s="204"/>
      <c r="GC737" s="339"/>
      <c r="GD737" s="342"/>
      <c r="GE737" s="199"/>
      <c r="GF737" s="199"/>
      <c r="GG737" s="199"/>
      <c r="GH737" s="199"/>
      <c r="GI737" s="199"/>
      <c r="GJ737" s="199"/>
      <c r="GK737" s="199"/>
      <c r="GO737" s="322"/>
      <c r="GP737" s="1190"/>
      <c r="GQ737" s="1190"/>
      <c r="GS737" s="2879"/>
      <c r="GT737" s="2880"/>
      <c r="GU737" s="2881"/>
    </row>
    <row r="738" spans="1:203" ht="12" customHeight="1">
      <c r="A738" s="1252"/>
      <c r="B738" s="200"/>
      <c r="C738" s="486"/>
      <c r="T738" s="1186"/>
      <c r="U738" s="233"/>
      <c r="W738" s="218"/>
      <c r="X738" s="218"/>
      <c r="Y738" s="216"/>
      <c r="Z738" s="216"/>
      <c r="AA738" s="215"/>
      <c r="AB738" s="216"/>
      <c r="AC738" s="216"/>
      <c r="AD738" s="239"/>
      <c r="AE738" s="216"/>
      <c r="AF738" s="216"/>
      <c r="AG738" s="216"/>
      <c r="AH738" s="216"/>
      <c r="AI738" s="216"/>
      <c r="AJ738" s="216"/>
      <c r="AK738" s="239"/>
      <c r="AL738" s="216"/>
      <c r="AM738" s="216"/>
      <c r="AN738" s="216"/>
      <c r="AO738" s="216"/>
      <c r="AP738" s="216"/>
      <c r="AQ738" s="216"/>
      <c r="AR738" s="216"/>
      <c r="AS738" s="216"/>
      <c r="AT738" s="216"/>
      <c r="AU738" s="216"/>
      <c r="AV738" s="217"/>
      <c r="AW738" s="355"/>
      <c r="AX738" s="217"/>
      <c r="AY738" s="305"/>
      <c r="AZ738" s="249"/>
      <c r="BA738" s="221"/>
      <c r="BB738" s="300"/>
      <c r="BC738" s="217"/>
      <c r="BD738" s="392"/>
      <c r="BE738" s="1244"/>
      <c r="BF738" s="249"/>
      <c r="BG738" s="252"/>
      <c r="BH738" s="1469"/>
      <c r="BI738" s="216"/>
      <c r="BJ738" s="1469"/>
      <c r="BK738" s="1459"/>
      <c r="BL738" s="260"/>
      <c r="BM738" s="214"/>
      <c r="BN738" s="293"/>
      <c r="BO738" s="217"/>
      <c r="BP738" s="355"/>
      <c r="BQ738" s="217"/>
      <c r="BR738" s="1193"/>
      <c r="BS738" s="249"/>
      <c r="BT738" s="216"/>
      <c r="BU738" s="1195"/>
      <c r="BV738" s="249"/>
      <c r="BW738" s="216"/>
      <c r="BX738" s="1195"/>
      <c r="BY738" s="249"/>
      <c r="BZ738" s="216"/>
      <c r="CA738" s="1195"/>
      <c r="CB738" s="249"/>
      <c r="CC738" s="216"/>
      <c r="CD738" s="1195"/>
      <c r="CE738" s="249"/>
      <c r="CF738" s="216"/>
      <c r="CG738" s="1195"/>
      <c r="CH738" s="249"/>
      <c r="CI738" s="216"/>
      <c r="CJ738" s="1195"/>
      <c r="CK738" s="249"/>
      <c r="CL738" s="216"/>
      <c r="CM738" s="1194"/>
      <c r="CN738" s="1524"/>
      <c r="CO738" s="217"/>
      <c r="CP738" s="1193"/>
      <c r="CQ738" s="293"/>
      <c r="CR738" s="217"/>
      <c r="CS738" s="305"/>
      <c r="CT738" s="249"/>
      <c r="CU738" s="216"/>
      <c r="CV738" s="1193"/>
      <c r="CW738" s="249"/>
      <c r="CX738" s="216"/>
      <c r="CY738" s="305"/>
      <c r="CZ738" s="249"/>
      <c r="DA738" s="216"/>
      <c r="DB738" s="307"/>
      <c r="DC738" s="328"/>
      <c r="DD738" s="322"/>
      <c r="DE738" s="305"/>
      <c r="DF738" s="249"/>
      <c r="DG738" s="216"/>
      <c r="DH738" s="305"/>
      <c r="DI738" s="249"/>
      <c r="DJ738" s="216"/>
      <c r="DK738" s="309"/>
      <c r="DL738" s="293"/>
      <c r="DM738" s="326"/>
      <c r="DN738" s="1256"/>
      <c r="DO738" s="214"/>
      <c r="DP738" s="1257"/>
      <c r="DQ738" s="1258"/>
      <c r="DR738" s="305"/>
      <c r="DS738" s="249"/>
      <c r="DT738" s="216"/>
      <c r="DU738" s="305"/>
      <c r="DV738" s="2520"/>
      <c r="DW738" s="2521"/>
      <c r="DX738" s="305"/>
      <c r="DY738" s="249"/>
      <c r="DZ738" s="221"/>
      <c r="EA738" s="388"/>
      <c r="EB738" s="249"/>
      <c r="EC738" s="216"/>
      <c r="ED738" s="1461"/>
      <c r="EE738" s="249"/>
      <c r="EF738" s="216"/>
      <c r="EG738" s="355"/>
      <c r="EH738" s="1425"/>
      <c r="EI738" s="1470"/>
      <c r="EJ738" s="249"/>
      <c r="EK738" s="221"/>
      <c r="EL738" s="313"/>
      <c r="EM738" s="249"/>
      <c r="EN738" s="221"/>
      <c r="EO738" s="313"/>
      <c r="EP738" s="249"/>
      <c r="EQ738" s="216"/>
      <c r="ER738" s="313"/>
      <c r="ES738" s="249"/>
      <c r="ET738" s="216"/>
      <c r="EU738" s="313"/>
      <c r="EV738" s="249"/>
      <c r="EW738" s="216"/>
      <c r="EX738" s="2505"/>
      <c r="EY738" s="249"/>
      <c r="EZ738" s="221"/>
      <c r="FA738" s="313"/>
      <c r="FB738" s="249"/>
      <c r="FC738" s="221"/>
      <c r="FD738" s="313"/>
      <c r="FE738" s="249"/>
      <c r="FF738" s="221"/>
      <c r="FG738" s="313"/>
      <c r="FH738" s="249"/>
      <c r="FI738" s="216"/>
      <c r="FJ738" s="1435"/>
      <c r="FK738" s="216"/>
      <c r="FL738" s="1268"/>
      <c r="FM738" s="1655"/>
      <c r="FN738" s="1268"/>
      <c r="FO738" s="1655"/>
      <c r="FP738" s="1268"/>
      <c r="FQ738" s="1656"/>
      <c r="FR738" s="249"/>
      <c r="FS738" s="216"/>
      <c r="FT738" s="1657"/>
      <c r="FU738" s="1658"/>
      <c r="FV738" s="242"/>
      <c r="FW738" s="343"/>
      <c r="FX738" s="222"/>
      <c r="FY738" s="336"/>
      <c r="FZ738" s="223"/>
      <c r="GA738" s="338"/>
      <c r="GB738" s="204"/>
      <c r="GC738" s="339"/>
      <c r="GD738" s="342"/>
      <c r="GE738" s="199"/>
      <c r="GF738" s="199"/>
      <c r="GG738" s="199"/>
      <c r="GH738" s="199"/>
      <c r="GI738" s="199"/>
      <c r="GJ738" s="199"/>
      <c r="GK738" s="199"/>
      <c r="GO738" s="322"/>
      <c r="GP738" s="1190"/>
      <c r="GQ738" s="1190"/>
      <c r="GS738" s="2879"/>
      <c r="GT738" s="2880"/>
      <c r="GU738" s="2881"/>
    </row>
    <row r="739" spans="1:203" ht="12" customHeight="1">
      <c r="A739" s="1252"/>
      <c r="B739" s="200"/>
      <c r="C739" s="486"/>
      <c r="T739" s="1186"/>
      <c r="U739" s="233"/>
      <c r="W739" s="218"/>
      <c r="X739" s="218"/>
      <c r="Y739" s="216"/>
      <c r="Z739" s="216"/>
      <c r="AA739" s="215"/>
      <c r="AB739" s="216"/>
      <c r="AC739" s="216"/>
      <c r="AD739" s="239"/>
      <c r="AE739" s="216"/>
      <c r="AF739" s="216"/>
      <c r="AG739" s="216"/>
      <c r="AH739" s="216"/>
      <c r="AI739" s="216"/>
      <c r="AJ739" s="216"/>
      <c r="AK739" s="239"/>
      <c r="AL739" s="216"/>
      <c r="AM739" s="216"/>
      <c r="AN739" s="216"/>
      <c r="AO739" s="216"/>
      <c r="AP739" s="216"/>
      <c r="AQ739" s="216"/>
      <c r="AR739" s="216"/>
      <c r="AS739" s="216"/>
      <c r="AT739" s="216"/>
      <c r="AU739" s="216"/>
      <c r="AV739" s="217"/>
      <c r="AW739" s="355"/>
      <c r="AX739" s="217"/>
      <c r="AY739" s="305"/>
      <c r="AZ739" s="249"/>
      <c r="BA739" s="221"/>
      <c r="BB739" s="300"/>
      <c r="BC739" s="217"/>
      <c r="BD739" s="392"/>
      <c r="BE739" s="1244"/>
      <c r="BF739" s="249"/>
      <c r="BG739" s="252"/>
      <c r="BH739" s="1469"/>
      <c r="BI739" s="216"/>
      <c r="BJ739" s="1469"/>
      <c r="BK739" s="1459"/>
      <c r="BL739" s="260"/>
      <c r="BM739" s="214"/>
      <c r="BN739" s="293"/>
      <c r="BO739" s="217"/>
      <c r="BP739" s="355"/>
      <c r="BQ739" s="217"/>
      <c r="BR739" s="1193"/>
      <c r="BS739" s="249"/>
      <c r="BT739" s="216"/>
      <c r="BU739" s="1195"/>
      <c r="BV739" s="249"/>
      <c r="BW739" s="216"/>
      <c r="BX739" s="1195"/>
      <c r="BY739" s="249"/>
      <c r="BZ739" s="216"/>
      <c r="CA739" s="1195"/>
      <c r="CB739" s="249"/>
      <c r="CC739" s="216"/>
      <c r="CD739" s="1195"/>
      <c r="CE739" s="249"/>
      <c r="CF739" s="216"/>
      <c r="CG739" s="1195"/>
      <c r="CH739" s="249"/>
      <c r="CI739" s="216"/>
      <c r="CJ739" s="1195"/>
      <c r="CK739" s="249"/>
      <c r="CL739" s="216"/>
      <c r="CM739" s="1194"/>
      <c r="CN739" s="1524"/>
      <c r="CO739" s="217"/>
      <c r="CP739" s="1193"/>
      <c r="CQ739" s="293"/>
      <c r="CR739" s="217"/>
      <c r="CS739" s="305"/>
      <c r="CT739" s="249"/>
      <c r="CU739" s="216"/>
      <c r="CV739" s="1193"/>
      <c r="CW739" s="249"/>
      <c r="CX739" s="216"/>
      <c r="CY739" s="305"/>
      <c r="CZ739" s="249"/>
      <c r="DA739" s="216"/>
      <c r="DB739" s="307"/>
      <c r="DC739" s="328"/>
      <c r="DD739" s="322"/>
      <c r="DE739" s="305"/>
      <c r="DF739" s="249"/>
      <c r="DG739" s="216"/>
      <c r="DH739" s="305"/>
      <c r="DI739" s="249"/>
      <c r="DJ739" s="216"/>
      <c r="DK739" s="309"/>
      <c r="DL739" s="293"/>
      <c r="DM739" s="326"/>
      <c r="DN739" s="1256"/>
      <c r="DO739" s="214"/>
      <c r="DP739" s="1257"/>
      <c r="DQ739" s="1258"/>
      <c r="DR739" s="305"/>
      <c r="DS739" s="249"/>
      <c r="DT739" s="216"/>
      <c r="DU739" s="305"/>
      <c r="DV739" s="2520"/>
      <c r="DW739" s="2521"/>
      <c r="DX739" s="305"/>
      <c r="DY739" s="249"/>
      <c r="DZ739" s="221"/>
      <c r="EA739" s="388"/>
      <c r="EB739" s="249"/>
      <c r="EC739" s="216"/>
      <c r="ED739" s="1461"/>
      <c r="EE739" s="249"/>
      <c r="EF739" s="216"/>
      <c r="EG739" s="355"/>
      <c r="EH739" s="1425"/>
      <c r="EI739" s="1470"/>
      <c r="EJ739" s="249"/>
      <c r="EK739" s="221"/>
      <c r="EL739" s="313"/>
      <c r="EM739" s="249"/>
      <c r="EN739" s="221"/>
      <c r="EO739" s="313"/>
      <c r="EP739" s="249"/>
      <c r="EQ739" s="216"/>
      <c r="ER739" s="313"/>
      <c r="ES739" s="249"/>
      <c r="ET739" s="216"/>
      <c r="EU739" s="313"/>
      <c r="EV739" s="249"/>
      <c r="EW739" s="216"/>
      <c r="EX739" s="2505"/>
      <c r="EY739" s="249"/>
      <c r="EZ739" s="221"/>
      <c r="FA739" s="313"/>
      <c r="FB739" s="249"/>
      <c r="FC739" s="221"/>
      <c r="FD739" s="313"/>
      <c r="FE739" s="249"/>
      <c r="FF739" s="221"/>
      <c r="FG739" s="313"/>
      <c r="FH739" s="249"/>
      <c r="FI739" s="216"/>
      <c r="FJ739" s="1435"/>
      <c r="FK739" s="216"/>
      <c r="FL739" s="1268"/>
      <c r="FM739" s="1655"/>
      <c r="FN739" s="1268"/>
      <c r="FO739" s="1655"/>
      <c r="FP739" s="1268"/>
      <c r="FQ739" s="1656"/>
      <c r="FR739" s="249"/>
      <c r="FS739" s="216"/>
      <c r="FT739" s="1657"/>
      <c r="FU739" s="1658"/>
      <c r="FV739" s="242"/>
      <c r="FW739" s="343"/>
      <c r="FX739" s="222"/>
      <c r="FY739" s="336"/>
      <c r="FZ739" s="223"/>
      <c r="GA739" s="338"/>
      <c r="GB739" s="204"/>
      <c r="GC739" s="339"/>
      <c r="GD739" s="342"/>
      <c r="GE739" s="199"/>
      <c r="GF739" s="199"/>
      <c r="GG739" s="199"/>
      <c r="GH739" s="199"/>
      <c r="GI739" s="199"/>
      <c r="GJ739" s="199"/>
      <c r="GK739" s="199"/>
      <c r="GO739" s="322"/>
      <c r="GP739" s="1190"/>
      <c r="GQ739" s="1190"/>
      <c r="GS739" s="2879"/>
      <c r="GT739" s="2880"/>
      <c r="GU739" s="2881"/>
    </row>
    <row r="740" spans="1:203" ht="12" customHeight="1">
      <c r="A740" s="1252"/>
      <c r="B740" s="200"/>
      <c r="C740" s="486"/>
      <c r="T740" s="1186"/>
      <c r="U740" s="233"/>
      <c r="W740" s="218"/>
      <c r="X740" s="218"/>
      <c r="Y740" s="216"/>
      <c r="Z740" s="216"/>
      <c r="AA740" s="215"/>
      <c r="AB740" s="216"/>
      <c r="AC740" s="216"/>
      <c r="AD740" s="239"/>
      <c r="AE740" s="216"/>
      <c r="AF740" s="216"/>
      <c r="AG740" s="216"/>
      <c r="AH740" s="216"/>
      <c r="AI740" s="216"/>
      <c r="AJ740" s="216"/>
      <c r="AK740" s="239"/>
      <c r="AL740" s="216"/>
      <c r="AM740" s="216"/>
      <c r="AN740" s="216"/>
      <c r="AO740" s="216"/>
      <c r="AP740" s="216"/>
      <c r="AQ740" s="216"/>
      <c r="AR740" s="216"/>
      <c r="AS740" s="216"/>
      <c r="AT740" s="216"/>
      <c r="AU740" s="216"/>
      <c r="AV740" s="217"/>
      <c r="AW740" s="355"/>
      <c r="AX740" s="217"/>
      <c r="AY740" s="305"/>
      <c r="AZ740" s="249"/>
      <c r="BA740" s="221"/>
      <c r="BB740" s="300"/>
      <c r="BC740" s="217"/>
      <c r="BD740" s="392"/>
      <c r="BE740" s="1244"/>
      <c r="BF740" s="249"/>
      <c r="BG740" s="252"/>
      <c r="BH740" s="1469"/>
      <c r="BI740" s="216"/>
      <c r="BJ740" s="1469"/>
      <c r="BK740" s="1459"/>
      <c r="BL740" s="260"/>
      <c r="BM740" s="214"/>
      <c r="BN740" s="293"/>
      <c r="BO740" s="217"/>
      <c r="BP740" s="355"/>
      <c r="BQ740" s="217"/>
      <c r="BR740" s="1193"/>
      <c r="BS740" s="249"/>
      <c r="BT740" s="216"/>
      <c r="BU740" s="1195"/>
      <c r="BV740" s="249"/>
      <c r="BW740" s="216"/>
      <c r="BX740" s="1195"/>
      <c r="BY740" s="249"/>
      <c r="BZ740" s="216"/>
      <c r="CA740" s="1195"/>
      <c r="CB740" s="249"/>
      <c r="CC740" s="216"/>
      <c r="CD740" s="1195"/>
      <c r="CE740" s="249"/>
      <c r="CF740" s="216"/>
      <c r="CG740" s="1195"/>
      <c r="CH740" s="249"/>
      <c r="CI740" s="216"/>
      <c r="CJ740" s="1195"/>
      <c r="CK740" s="249"/>
      <c r="CL740" s="216"/>
      <c r="CM740" s="1194"/>
      <c r="CN740" s="1524"/>
      <c r="CO740" s="217"/>
      <c r="CP740" s="1193"/>
      <c r="CQ740" s="293"/>
      <c r="CR740" s="217"/>
      <c r="CS740" s="305"/>
      <c r="CT740" s="249"/>
      <c r="CU740" s="216"/>
      <c r="CV740" s="1193"/>
      <c r="CW740" s="249"/>
      <c r="CX740" s="216"/>
      <c r="CY740" s="305"/>
      <c r="CZ740" s="249"/>
      <c r="DA740" s="216"/>
      <c r="DB740" s="307"/>
      <c r="DC740" s="328"/>
      <c r="DD740" s="322"/>
      <c r="DE740" s="305"/>
      <c r="DF740" s="249"/>
      <c r="DG740" s="216"/>
      <c r="DH740" s="305"/>
      <c r="DI740" s="249"/>
      <c r="DJ740" s="216"/>
      <c r="DK740" s="309"/>
      <c r="DL740" s="293"/>
      <c r="DM740" s="326"/>
      <c r="DN740" s="1256"/>
      <c r="DO740" s="214"/>
      <c r="DP740" s="1257"/>
      <c r="DQ740" s="1258"/>
      <c r="DR740" s="305"/>
      <c r="DS740" s="249"/>
      <c r="DT740" s="216"/>
      <c r="DU740" s="305"/>
      <c r="DV740" s="2520"/>
      <c r="DW740" s="2521"/>
      <c r="DX740" s="305"/>
      <c r="DY740" s="249"/>
      <c r="DZ740" s="221"/>
      <c r="EA740" s="388"/>
      <c r="EB740" s="249"/>
      <c r="EC740" s="216"/>
      <c r="ED740" s="1461"/>
      <c r="EE740" s="249"/>
      <c r="EF740" s="216"/>
      <c r="EG740" s="355"/>
      <c r="EH740" s="1425"/>
      <c r="EI740" s="1470"/>
      <c r="EJ740" s="249"/>
      <c r="EK740" s="221"/>
      <c r="EL740" s="313"/>
      <c r="EM740" s="249"/>
      <c r="EN740" s="221"/>
      <c r="EO740" s="313"/>
      <c r="EP740" s="249"/>
      <c r="EQ740" s="216"/>
      <c r="ER740" s="313"/>
      <c r="ES740" s="249"/>
      <c r="ET740" s="216"/>
      <c r="EU740" s="313"/>
      <c r="EV740" s="249"/>
      <c r="EW740" s="216"/>
      <c r="EX740" s="2505"/>
      <c r="EY740" s="249"/>
      <c r="EZ740" s="221"/>
      <c r="FA740" s="313"/>
      <c r="FB740" s="249"/>
      <c r="FC740" s="221"/>
      <c r="FD740" s="313"/>
      <c r="FE740" s="249"/>
      <c r="FF740" s="221"/>
      <c r="FG740" s="313"/>
      <c r="FH740" s="249"/>
      <c r="FI740" s="216"/>
      <c r="FJ740" s="1435"/>
      <c r="FK740" s="216"/>
      <c r="FL740" s="1268"/>
      <c r="FM740" s="1655"/>
      <c r="FN740" s="1268"/>
      <c r="FO740" s="1655"/>
      <c r="FP740" s="1268"/>
      <c r="FQ740" s="1656"/>
      <c r="FR740" s="249"/>
      <c r="FS740" s="216"/>
      <c r="FT740" s="1657"/>
      <c r="FU740" s="1658"/>
      <c r="FV740" s="242"/>
      <c r="FW740" s="343"/>
      <c r="FX740" s="222"/>
      <c r="FY740" s="336"/>
      <c r="FZ740" s="223"/>
      <c r="GA740" s="338"/>
      <c r="GB740" s="204"/>
      <c r="GC740" s="339"/>
      <c r="GD740" s="342"/>
      <c r="GE740" s="199"/>
      <c r="GF740" s="199"/>
      <c r="GG740" s="199"/>
      <c r="GH740" s="199"/>
      <c r="GI740" s="199"/>
      <c r="GJ740" s="199"/>
      <c r="GK740" s="199"/>
      <c r="GO740" s="322"/>
      <c r="GP740" s="1190"/>
      <c r="GQ740" s="1190"/>
      <c r="GS740" s="2879"/>
      <c r="GT740" s="2880"/>
      <c r="GU740" s="2881"/>
    </row>
    <row r="741" spans="1:203" ht="12" customHeight="1">
      <c r="A741" s="1252"/>
      <c r="B741" s="200"/>
      <c r="C741" s="486"/>
      <c r="T741" s="1186"/>
      <c r="U741" s="233"/>
      <c r="W741" s="218"/>
      <c r="X741" s="218"/>
      <c r="Y741" s="216"/>
      <c r="Z741" s="216"/>
      <c r="AA741" s="215"/>
      <c r="AB741" s="216"/>
      <c r="AC741" s="216"/>
      <c r="AD741" s="239"/>
      <c r="AE741" s="216"/>
      <c r="AF741" s="216"/>
      <c r="AG741" s="216"/>
      <c r="AH741" s="216"/>
      <c r="AI741" s="216"/>
      <c r="AJ741" s="216"/>
      <c r="AK741" s="239"/>
      <c r="AL741" s="216"/>
      <c r="AM741" s="216"/>
      <c r="AN741" s="216"/>
      <c r="AO741" s="216"/>
      <c r="AP741" s="216"/>
      <c r="AQ741" s="216"/>
      <c r="AR741" s="216"/>
      <c r="AS741" s="216"/>
      <c r="AT741" s="216"/>
      <c r="AU741" s="216"/>
      <c r="AV741" s="217"/>
      <c r="AW741" s="355"/>
      <c r="AX741" s="217"/>
      <c r="AY741" s="305"/>
      <c r="AZ741" s="249"/>
      <c r="BA741" s="221"/>
      <c r="BB741" s="300"/>
      <c r="BC741" s="217"/>
      <c r="BD741" s="392"/>
      <c r="BE741" s="1244"/>
      <c r="BF741" s="249"/>
      <c r="BG741" s="252"/>
      <c r="BH741" s="1469"/>
      <c r="BI741" s="216"/>
      <c r="BJ741" s="1469"/>
      <c r="BK741" s="1459"/>
      <c r="BL741" s="260"/>
      <c r="BM741" s="214"/>
      <c r="BN741" s="293"/>
      <c r="BO741" s="217"/>
      <c r="BP741" s="355"/>
      <c r="BQ741" s="217"/>
      <c r="BR741" s="1193"/>
      <c r="BS741" s="249"/>
      <c r="BT741" s="216"/>
      <c r="BU741" s="1195"/>
      <c r="BV741" s="249"/>
      <c r="BW741" s="216"/>
      <c r="BX741" s="1195"/>
      <c r="BY741" s="249"/>
      <c r="BZ741" s="216"/>
      <c r="CA741" s="1195"/>
      <c r="CB741" s="249"/>
      <c r="CC741" s="216"/>
      <c r="CD741" s="1195"/>
      <c r="CE741" s="249"/>
      <c r="CF741" s="216"/>
      <c r="CG741" s="1195"/>
      <c r="CH741" s="249"/>
      <c r="CI741" s="216"/>
      <c r="CJ741" s="1195"/>
      <c r="CK741" s="249"/>
      <c r="CL741" s="216"/>
      <c r="CM741" s="1194"/>
      <c r="CN741" s="1524"/>
      <c r="CO741" s="217"/>
      <c r="CP741" s="1193"/>
      <c r="CQ741" s="293"/>
      <c r="CR741" s="217"/>
      <c r="CS741" s="305"/>
      <c r="CT741" s="249"/>
      <c r="CU741" s="216"/>
      <c r="CV741" s="1193"/>
      <c r="CW741" s="249"/>
      <c r="CX741" s="216"/>
      <c r="CY741" s="305"/>
      <c r="CZ741" s="249"/>
      <c r="DA741" s="216"/>
      <c r="DB741" s="307"/>
      <c r="DC741" s="328"/>
      <c r="DD741" s="322"/>
      <c r="DE741" s="305"/>
      <c r="DF741" s="249"/>
      <c r="DG741" s="216"/>
      <c r="DH741" s="305"/>
      <c r="DI741" s="249"/>
      <c r="DJ741" s="216"/>
      <c r="DK741" s="309"/>
      <c r="DL741" s="293"/>
      <c r="DM741" s="326"/>
      <c r="DN741" s="1256"/>
      <c r="DO741" s="214"/>
      <c r="DP741" s="1257"/>
      <c r="DQ741" s="1258"/>
      <c r="DR741" s="305"/>
      <c r="DS741" s="249"/>
      <c r="DT741" s="216"/>
      <c r="DU741" s="305"/>
      <c r="DV741" s="2520"/>
      <c r="DW741" s="2521"/>
      <c r="DX741" s="305"/>
      <c r="DY741" s="249"/>
      <c r="DZ741" s="221"/>
      <c r="EA741" s="388"/>
      <c r="EB741" s="249"/>
      <c r="EC741" s="216"/>
      <c r="ED741" s="1461"/>
      <c r="EE741" s="249"/>
      <c r="EF741" s="216"/>
      <c r="EG741" s="355"/>
      <c r="EH741" s="1425"/>
      <c r="EI741" s="1470"/>
      <c r="EJ741" s="249"/>
      <c r="EK741" s="221"/>
      <c r="EL741" s="313"/>
      <c r="EM741" s="249"/>
      <c r="EN741" s="221"/>
      <c r="EO741" s="313"/>
      <c r="EP741" s="249"/>
      <c r="EQ741" s="216"/>
      <c r="ER741" s="313"/>
      <c r="ES741" s="249"/>
      <c r="ET741" s="216"/>
      <c r="EU741" s="313"/>
      <c r="EV741" s="249"/>
      <c r="EW741" s="216"/>
      <c r="EX741" s="2505"/>
      <c r="EY741" s="249"/>
      <c r="EZ741" s="221"/>
      <c r="FA741" s="313"/>
      <c r="FB741" s="249"/>
      <c r="FC741" s="221"/>
      <c r="FD741" s="313"/>
      <c r="FE741" s="249"/>
      <c r="FF741" s="221"/>
      <c r="FG741" s="313"/>
      <c r="FH741" s="249"/>
      <c r="FI741" s="216"/>
      <c r="FJ741" s="1435"/>
      <c r="FK741" s="216"/>
      <c r="FL741" s="1268"/>
      <c r="FM741" s="1655"/>
      <c r="FN741" s="1268"/>
      <c r="FO741" s="1655"/>
      <c r="FP741" s="1268"/>
      <c r="FQ741" s="1656"/>
      <c r="FR741" s="249"/>
      <c r="FS741" s="216"/>
      <c r="FT741" s="1657"/>
      <c r="FU741" s="1658"/>
      <c r="FV741" s="242"/>
      <c r="FW741" s="343"/>
      <c r="FX741" s="222"/>
      <c r="FY741" s="336"/>
      <c r="FZ741" s="223"/>
      <c r="GA741" s="338"/>
      <c r="GB741" s="204"/>
      <c r="GC741" s="339"/>
      <c r="GD741" s="342"/>
      <c r="GE741" s="199"/>
      <c r="GF741" s="199"/>
      <c r="GG741" s="199"/>
      <c r="GH741" s="199"/>
      <c r="GI741" s="199"/>
      <c r="GJ741" s="199"/>
      <c r="GK741" s="199"/>
      <c r="GO741" s="322"/>
      <c r="GP741" s="1190"/>
      <c r="GQ741" s="1190"/>
      <c r="GS741" s="2879"/>
      <c r="GT741" s="2880"/>
      <c r="GU741" s="2881"/>
    </row>
    <row r="742" spans="1:203" ht="12" customHeight="1">
      <c r="A742" s="1252"/>
      <c r="B742" s="200"/>
      <c r="C742" s="486"/>
      <c r="T742" s="1186"/>
      <c r="U742" s="233"/>
      <c r="W742" s="218"/>
      <c r="X742" s="218"/>
      <c r="Y742" s="216"/>
      <c r="Z742" s="216"/>
      <c r="AA742" s="215"/>
      <c r="AB742" s="216"/>
      <c r="AC742" s="216"/>
      <c r="AD742" s="239"/>
      <c r="AE742" s="216"/>
      <c r="AF742" s="216"/>
      <c r="AG742" s="216"/>
      <c r="AH742" s="216"/>
      <c r="AI742" s="216"/>
      <c r="AJ742" s="216"/>
      <c r="AK742" s="239"/>
      <c r="AL742" s="216"/>
      <c r="AM742" s="216"/>
      <c r="AN742" s="216"/>
      <c r="AO742" s="216"/>
      <c r="AP742" s="216"/>
      <c r="AQ742" s="216"/>
      <c r="AR742" s="216"/>
      <c r="AS742" s="216"/>
      <c r="AT742" s="216"/>
      <c r="AU742" s="216"/>
      <c r="AV742" s="217"/>
      <c r="AW742" s="355"/>
      <c r="AX742" s="217"/>
      <c r="AY742" s="305"/>
      <c r="AZ742" s="249"/>
      <c r="BA742" s="221"/>
      <c r="BB742" s="300"/>
      <c r="BC742" s="217"/>
      <c r="BD742" s="392"/>
      <c r="BE742" s="1244"/>
      <c r="BF742" s="249"/>
      <c r="BG742" s="252"/>
      <c r="BH742" s="1469"/>
      <c r="BI742" s="216"/>
      <c r="BJ742" s="1469"/>
      <c r="BK742" s="1459"/>
      <c r="BL742" s="260"/>
      <c r="BM742" s="214"/>
      <c r="BN742" s="293"/>
      <c r="BO742" s="217"/>
      <c r="BP742" s="355"/>
      <c r="BQ742" s="217"/>
      <c r="BR742" s="1193"/>
      <c r="BS742" s="249"/>
      <c r="BT742" s="216"/>
      <c r="BU742" s="1195"/>
      <c r="BV742" s="249"/>
      <c r="BW742" s="216"/>
      <c r="BX742" s="1195"/>
      <c r="BY742" s="249"/>
      <c r="BZ742" s="216"/>
      <c r="CA742" s="1195"/>
      <c r="CB742" s="249"/>
      <c r="CC742" s="216"/>
      <c r="CD742" s="1195"/>
      <c r="CE742" s="249"/>
      <c r="CF742" s="216"/>
      <c r="CG742" s="1195"/>
      <c r="CH742" s="249"/>
      <c r="CI742" s="216"/>
      <c r="CJ742" s="1195"/>
      <c r="CK742" s="249"/>
      <c r="CL742" s="216"/>
      <c r="CM742" s="1194"/>
      <c r="CN742" s="1524"/>
      <c r="CO742" s="217"/>
      <c r="CP742" s="1193"/>
      <c r="CQ742" s="293"/>
      <c r="CR742" s="217"/>
      <c r="CS742" s="305"/>
      <c r="CT742" s="249"/>
      <c r="CU742" s="216"/>
      <c r="CV742" s="1193"/>
      <c r="CW742" s="249"/>
      <c r="CX742" s="216"/>
      <c r="CY742" s="305"/>
      <c r="CZ742" s="249"/>
      <c r="DA742" s="216"/>
      <c r="DB742" s="307"/>
      <c r="DC742" s="328"/>
      <c r="DD742" s="322"/>
      <c r="DE742" s="305"/>
      <c r="DF742" s="249"/>
      <c r="DG742" s="216"/>
      <c r="DH742" s="305"/>
      <c r="DI742" s="249"/>
      <c r="DJ742" s="216"/>
      <c r="DK742" s="309"/>
      <c r="DL742" s="293"/>
      <c r="DM742" s="326"/>
      <c r="DN742" s="1256"/>
      <c r="DO742" s="214"/>
      <c r="DP742" s="1257"/>
      <c r="DQ742" s="1258"/>
      <c r="DR742" s="305"/>
      <c r="DS742" s="249"/>
      <c r="DT742" s="216"/>
      <c r="DU742" s="305"/>
      <c r="DV742" s="2520"/>
      <c r="DW742" s="2521"/>
      <c r="DX742" s="305"/>
      <c r="DY742" s="249"/>
      <c r="DZ742" s="221"/>
      <c r="EA742" s="388"/>
      <c r="EB742" s="249"/>
      <c r="EC742" s="216"/>
      <c r="ED742" s="1461"/>
      <c r="EE742" s="249"/>
      <c r="EF742" s="216"/>
      <c r="EG742" s="355"/>
      <c r="EH742" s="1425"/>
      <c r="EI742" s="1470"/>
      <c r="EJ742" s="249"/>
      <c r="EK742" s="221"/>
      <c r="EL742" s="313"/>
      <c r="EM742" s="249"/>
      <c r="EN742" s="221"/>
      <c r="EO742" s="313"/>
      <c r="EP742" s="249"/>
      <c r="EQ742" s="216"/>
      <c r="ER742" s="313"/>
      <c r="ES742" s="249"/>
      <c r="ET742" s="216"/>
      <c r="EU742" s="313"/>
      <c r="EV742" s="249"/>
      <c r="EW742" s="216"/>
      <c r="EX742" s="2505"/>
      <c r="EY742" s="249"/>
      <c r="EZ742" s="221"/>
      <c r="FA742" s="313"/>
      <c r="FB742" s="249"/>
      <c r="FC742" s="221"/>
      <c r="FD742" s="313"/>
      <c r="FE742" s="249"/>
      <c r="FF742" s="221"/>
      <c r="FG742" s="313"/>
      <c r="FH742" s="249"/>
      <c r="FI742" s="216"/>
      <c r="FJ742" s="1435"/>
      <c r="FK742" s="216"/>
      <c r="FL742" s="1268"/>
      <c r="FM742" s="1655"/>
      <c r="FN742" s="1268"/>
      <c r="FO742" s="1655"/>
      <c r="FP742" s="1268"/>
      <c r="FQ742" s="1656"/>
      <c r="FR742" s="249"/>
      <c r="FS742" s="216"/>
      <c r="FT742" s="1657"/>
      <c r="FU742" s="1658"/>
      <c r="FV742" s="242"/>
      <c r="FW742" s="343"/>
      <c r="FX742" s="222"/>
      <c r="FY742" s="336"/>
      <c r="FZ742" s="223"/>
      <c r="GA742" s="338"/>
      <c r="GB742" s="204"/>
      <c r="GC742" s="339"/>
      <c r="GD742" s="342"/>
      <c r="GE742" s="199"/>
      <c r="GF742" s="199"/>
      <c r="GG742" s="199"/>
      <c r="GH742" s="199"/>
      <c r="GI742" s="199"/>
      <c r="GJ742" s="199"/>
      <c r="GK742" s="199"/>
      <c r="GO742" s="322"/>
      <c r="GP742" s="1190"/>
      <c r="GQ742" s="1190"/>
      <c r="GS742" s="2879"/>
      <c r="GT742" s="2880"/>
      <c r="GU742" s="2881"/>
    </row>
    <row r="743" spans="1:203" ht="12" customHeight="1">
      <c r="A743" s="1252"/>
      <c r="B743" s="200"/>
      <c r="C743" s="486"/>
      <c r="T743" s="1186"/>
      <c r="U743" s="233"/>
      <c r="W743" s="218"/>
      <c r="X743" s="218"/>
      <c r="Y743" s="216"/>
      <c r="Z743" s="216"/>
      <c r="AA743" s="215"/>
      <c r="AB743" s="216"/>
      <c r="AC743" s="216"/>
      <c r="AD743" s="239"/>
      <c r="AE743" s="216"/>
      <c r="AF743" s="216"/>
      <c r="AG743" s="216"/>
      <c r="AH743" s="216"/>
      <c r="AI743" s="216"/>
      <c r="AJ743" s="216"/>
      <c r="AK743" s="239"/>
      <c r="AL743" s="216"/>
      <c r="AM743" s="216"/>
      <c r="AN743" s="216"/>
      <c r="AO743" s="216"/>
      <c r="AP743" s="216"/>
      <c r="AQ743" s="216"/>
      <c r="AR743" s="216"/>
      <c r="AS743" s="216"/>
      <c r="AT743" s="216"/>
      <c r="AU743" s="216"/>
      <c r="AV743" s="217"/>
      <c r="AW743" s="355"/>
      <c r="AX743" s="217"/>
      <c r="AY743" s="305"/>
      <c r="AZ743" s="249"/>
      <c r="BA743" s="221"/>
      <c r="BB743" s="300"/>
      <c r="BC743" s="217"/>
      <c r="BD743" s="392"/>
      <c r="BE743" s="1244"/>
      <c r="BF743" s="249"/>
      <c r="BG743" s="252"/>
      <c r="BH743" s="1469"/>
      <c r="BI743" s="216"/>
      <c r="BJ743" s="1469"/>
      <c r="BK743" s="1459"/>
      <c r="BL743" s="260"/>
      <c r="BM743" s="214"/>
      <c r="BN743" s="293"/>
      <c r="BO743" s="217"/>
      <c r="BP743" s="355"/>
      <c r="BQ743" s="217"/>
      <c r="BR743" s="1193"/>
      <c r="BS743" s="249"/>
      <c r="BT743" s="216"/>
      <c r="BU743" s="1195"/>
      <c r="BV743" s="249"/>
      <c r="BW743" s="216"/>
      <c r="BX743" s="1195"/>
      <c r="BY743" s="249"/>
      <c r="BZ743" s="216"/>
      <c r="CA743" s="1195"/>
      <c r="CB743" s="249"/>
      <c r="CC743" s="216"/>
      <c r="CD743" s="1195"/>
      <c r="CE743" s="249"/>
      <c r="CF743" s="216"/>
      <c r="CG743" s="1195"/>
      <c r="CH743" s="249"/>
      <c r="CI743" s="216"/>
      <c r="CJ743" s="1195"/>
      <c r="CK743" s="249"/>
      <c r="CL743" s="216"/>
      <c r="CM743" s="1194"/>
      <c r="CN743" s="1524"/>
      <c r="CO743" s="217"/>
      <c r="CP743" s="1193"/>
      <c r="CQ743" s="293"/>
      <c r="CR743" s="217"/>
      <c r="CS743" s="305"/>
      <c r="CT743" s="249"/>
      <c r="CU743" s="216"/>
      <c r="CV743" s="1193"/>
      <c r="CW743" s="249"/>
      <c r="CX743" s="216"/>
      <c r="CY743" s="305"/>
      <c r="CZ743" s="249"/>
      <c r="DA743" s="216"/>
      <c r="DB743" s="307"/>
      <c r="DC743" s="328"/>
      <c r="DD743" s="322"/>
      <c r="DE743" s="305"/>
      <c r="DF743" s="249"/>
      <c r="DG743" s="216"/>
      <c r="DH743" s="305"/>
      <c r="DI743" s="249"/>
      <c r="DJ743" s="216"/>
      <c r="DK743" s="309"/>
      <c r="DL743" s="293"/>
      <c r="DM743" s="326"/>
      <c r="DN743" s="1256"/>
      <c r="DO743" s="214"/>
      <c r="DP743" s="1257"/>
      <c r="DQ743" s="1258"/>
      <c r="DR743" s="305"/>
      <c r="DS743" s="249"/>
      <c r="DT743" s="216"/>
      <c r="DU743" s="305"/>
      <c r="DV743" s="2520"/>
      <c r="DW743" s="2521"/>
      <c r="DX743" s="305"/>
      <c r="DY743" s="249"/>
      <c r="DZ743" s="221"/>
      <c r="EA743" s="388"/>
      <c r="EB743" s="249"/>
      <c r="EC743" s="216"/>
      <c r="ED743" s="1461"/>
      <c r="EE743" s="249"/>
      <c r="EF743" s="216"/>
      <c r="EG743" s="355"/>
      <c r="EH743" s="1425"/>
      <c r="EI743" s="1470"/>
      <c r="EJ743" s="249"/>
      <c r="EK743" s="221"/>
      <c r="EL743" s="313"/>
      <c r="EM743" s="249"/>
      <c r="EN743" s="221"/>
      <c r="EO743" s="313"/>
      <c r="EP743" s="249"/>
      <c r="EQ743" s="216"/>
      <c r="ER743" s="313"/>
      <c r="ES743" s="249"/>
      <c r="ET743" s="216"/>
      <c r="EU743" s="313"/>
      <c r="EV743" s="249"/>
      <c r="EW743" s="216"/>
      <c r="EX743" s="2505"/>
      <c r="EY743" s="249"/>
      <c r="EZ743" s="221"/>
      <c r="FA743" s="313"/>
      <c r="FB743" s="249"/>
      <c r="FC743" s="221"/>
      <c r="FD743" s="313"/>
      <c r="FE743" s="249"/>
      <c r="FF743" s="221"/>
      <c r="FG743" s="313"/>
      <c r="FH743" s="249"/>
      <c r="FI743" s="216"/>
      <c r="FJ743" s="1435"/>
      <c r="FK743" s="216"/>
      <c r="FL743" s="1268"/>
      <c r="FM743" s="1655"/>
      <c r="FN743" s="1268"/>
      <c r="FO743" s="1655"/>
      <c r="FP743" s="1268"/>
      <c r="FQ743" s="1656"/>
      <c r="FR743" s="249"/>
      <c r="FS743" s="216"/>
      <c r="FT743" s="1657"/>
      <c r="FU743" s="1658"/>
      <c r="FV743" s="242"/>
      <c r="FW743" s="343"/>
      <c r="FX743" s="222"/>
      <c r="FY743" s="336"/>
      <c r="FZ743" s="223"/>
      <c r="GA743" s="338"/>
      <c r="GB743" s="204"/>
      <c r="GC743" s="339"/>
      <c r="GD743" s="342"/>
      <c r="GE743" s="199"/>
      <c r="GF743" s="199"/>
      <c r="GG743" s="199"/>
      <c r="GH743" s="199"/>
      <c r="GI743" s="199"/>
      <c r="GJ743" s="199"/>
      <c r="GK743" s="199"/>
      <c r="GO743" s="322"/>
      <c r="GP743" s="1190"/>
      <c r="GQ743" s="1190"/>
      <c r="GS743" s="2879"/>
      <c r="GT743" s="2880"/>
      <c r="GU743" s="2881"/>
    </row>
    <row r="744" spans="1:203" ht="12" customHeight="1">
      <c r="A744" s="1252"/>
      <c r="B744" s="200"/>
      <c r="C744" s="486"/>
      <c r="T744" s="1186"/>
      <c r="U744" s="233"/>
      <c r="W744" s="218"/>
      <c r="X744" s="218"/>
      <c r="Y744" s="216"/>
      <c r="Z744" s="216"/>
      <c r="AA744" s="215"/>
      <c r="AB744" s="216"/>
      <c r="AC744" s="216"/>
      <c r="AD744" s="239"/>
      <c r="AE744" s="216"/>
      <c r="AF744" s="216"/>
      <c r="AG744" s="216"/>
      <c r="AH744" s="216"/>
      <c r="AI744" s="216"/>
      <c r="AJ744" s="216"/>
      <c r="AK744" s="239"/>
      <c r="AL744" s="216"/>
      <c r="AM744" s="216"/>
      <c r="AN744" s="216"/>
      <c r="AO744" s="216"/>
      <c r="AP744" s="216"/>
      <c r="AQ744" s="216"/>
      <c r="AR744" s="216"/>
      <c r="AS744" s="216"/>
      <c r="AT744" s="216"/>
      <c r="AU744" s="216"/>
      <c r="AV744" s="217"/>
      <c r="AW744" s="355"/>
      <c r="AX744" s="217"/>
      <c r="AY744" s="305"/>
      <c r="AZ744" s="249"/>
      <c r="BA744" s="221"/>
      <c r="BB744" s="300"/>
      <c r="BC744" s="217"/>
      <c r="BD744" s="392"/>
      <c r="BE744" s="1244"/>
      <c r="BF744" s="249"/>
      <c r="BG744" s="252"/>
      <c r="BH744" s="1469"/>
      <c r="BI744" s="216"/>
      <c r="BJ744" s="1469"/>
      <c r="BK744" s="1459"/>
      <c r="BL744" s="260"/>
      <c r="BM744" s="214"/>
      <c r="BN744" s="293"/>
      <c r="BO744" s="217"/>
      <c r="BP744" s="355"/>
      <c r="BQ744" s="217"/>
      <c r="BR744" s="1193"/>
      <c r="BS744" s="249"/>
      <c r="BT744" s="216"/>
      <c r="BU744" s="1195"/>
      <c r="BV744" s="249"/>
      <c r="BW744" s="216"/>
      <c r="BX744" s="1195"/>
      <c r="BY744" s="249"/>
      <c r="BZ744" s="216"/>
      <c r="CA744" s="1195"/>
      <c r="CB744" s="249"/>
      <c r="CC744" s="216"/>
      <c r="CD744" s="1195"/>
      <c r="CE744" s="249"/>
      <c r="CF744" s="216"/>
      <c r="CG744" s="1195"/>
      <c r="CH744" s="249"/>
      <c r="CI744" s="216"/>
      <c r="CJ744" s="1195"/>
      <c r="CK744" s="249"/>
      <c r="CL744" s="216"/>
      <c r="CM744" s="1194"/>
      <c r="CN744" s="1524"/>
      <c r="CO744" s="217"/>
      <c r="CP744" s="1193"/>
      <c r="CQ744" s="293"/>
      <c r="CR744" s="217"/>
      <c r="CS744" s="305"/>
      <c r="CT744" s="249"/>
      <c r="CU744" s="216"/>
      <c r="CV744" s="1193"/>
      <c r="CW744" s="249"/>
      <c r="CX744" s="216"/>
      <c r="CY744" s="305"/>
      <c r="CZ744" s="249"/>
      <c r="DA744" s="216"/>
      <c r="DB744" s="307"/>
      <c r="DC744" s="328"/>
      <c r="DD744" s="322"/>
      <c r="DE744" s="305"/>
      <c r="DF744" s="249"/>
      <c r="DG744" s="216"/>
      <c r="DH744" s="305"/>
      <c r="DI744" s="249"/>
      <c r="DJ744" s="216"/>
      <c r="DK744" s="309"/>
      <c r="DL744" s="293"/>
      <c r="DM744" s="326"/>
      <c r="DN744" s="1256"/>
      <c r="DO744" s="214"/>
      <c r="DP744" s="1257"/>
      <c r="DQ744" s="1258"/>
      <c r="DR744" s="305"/>
      <c r="DS744" s="249"/>
      <c r="DT744" s="216"/>
      <c r="DU744" s="305"/>
      <c r="DV744" s="2520"/>
      <c r="DW744" s="2521"/>
      <c r="DX744" s="305"/>
      <c r="DY744" s="249"/>
      <c r="DZ744" s="221"/>
      <c r="EA744" s="388"/>
      <c r="EB744" s="249"/>
      <c r="EC744" s="216"/>
      <c r="ED744" s="1461"/>
      <c r="EE744" s="249"/>
      <c r="EF744" s="216"/>
      <c r="EG744" s="355"/>
      <c r="EH744" s="1425"/>
      <c r="EI744" s="1470"/>
      <c r="EJ744" s="249"/>
      <c r="EK744" s="221"/>
      <c r="EL744" s="313"/>
      <c r="EM744" s="249"/>
      <c r="EN744" s="221"/>
      <c r="EO744" s="313"/>
      <c r="EP744" s="249"/>
      <c r="EQ744" s="216"/>
      <c r="ER744" s="313"/>
      <c r="ES744" s="249"/>
      <c r="ET744" s="216"/>
      <c r="EU744" s="313"/>
      <c r="EV744" s="249"/>
      <c r="EW744" s="216"/>
      <c r="EX744" s="2505"/>
      <c r="EY744" s="249"/>
      <c r="EZ744" s="221"/>
      <c r="FA744" s="313"/>
      <c r="FB744" s="249"/>
      <c r="FC744" s="221"/>
      <c r="FD744" s="313"/>
      <c r="FE744" s="249"/>
      <c r="FF744" s="221"/>
      <c r="FG744" s="313"/>
      <c r="FH744" s="249"/>
      <c r="FI744" s="216"/>
      <c r="FJ744" s="1435"/>
      <c r="FK744" s="216"/>
      <c r="FL744" s="1268"/>
      <c r="FM744" s="1655"/>
      <c r="FN744" s="1268"/>
      <c r="FO744" s="1655"/>
      <c r="FP744" s="1268"/>
      <c r="FQ744" s="1656"/>
      <c r="FR744" s="249"/>
      <c r="FS744" s="216"/>
      <c r="FT744" s="1657"/>
      <c r="FU744" s="1658"/>
      <c r="FV744" s="242"/>
      <c r="FW744" s="343"/>
      <c r="FX744" s="222"/>
      <c r="FY744" s="336"/>
      <c r="FZ744" s="223"/>
      <c r="GA744" s="338"/>
      <c r="GB744" s="204"/>
      <c r="GC744" s="339"/>
      <c r="GD744" s="342"/>
      <c r="GE744" s="199"/>
      <c r="GF744" s="199"/>
      <c r="GG744" s="199"/>
      <c r="GH744" s="199"/>
      <c r="GI744" s="199"/>
      <c r="GJ744" s="199"/>
      <c r="GK744" s="199"/>
      <c r="GO744" s="322"/>
      <c r="GP744" s="1190"/>
      <c r="GQ744" s="1190"/>
      <c r="GS744" s="2879"/>
      <c r="GT744" s="2880"/>
      <c r="GU744" s="2881"/>
    </row>
    <row r="745" spans="1:203" ht="12" customHeight="1">
      <c r="A745" s="1252"/>
      <c r="B745" s="200"/>
      <c r="C745" s="486"/>
      <c r="T745" s="1186"/>
      <c r="U745" s="233"/>
      <c r="W745" s="218"/>
      <c r="X745" s="218"/>
      <c r="Y745" s="216"/>
      <c r="Z745" s="216"/>
      <c r="AA745" s="215"/>
      <c r="AB745" s="216"/>
      <c r="AC745" s="216"/>
      <c r="AD745" s="239"/>
      <c r="AE745" s="216"/>
      <c r="AF745" s="216"/>
      <c r="AG745" s="216"/>
      <c r="AH745" s="216"/>
      <c r="AI745" s="216"/>
      <c r="AJ745" s="216"/>
      <c r="AK745" s="239"/>
      <c r="AL745" s="216"/>
      <c r="AM745" s="216"/>
      <c r="AN745" s="216"/>
      <c r="AO745" s="216"/>
      <c r="AP745" s="216"/>
      <c r="AQ745" s="216"/>
      <c r="AR745" s="216"/>
      <c r="AS745" s="216"/>
      <c r="AT745" s="216"/>
      <c r="AU745" s="216"/>
      <c r="AV745" s="217"/>
      <c r="AW745" s="355"/>
      <c r="AX745" s="217"/>
      <c r="AY745" s="305"/>
      <c r="AZ745" s="249"/>
      <c r="BA745" s="221"/>
      <c r="BB745" s="300"/>
      <c r="BC745" s="217"/>
      <c r="BD745" s="392"/>
      <c r="BE745" s="1244"/>
      <c r="BF745" s="249"/>
      <c r="BG745" s="252"/>
      <c r="BH745" s="1469"/>
      <c r="BI745" s="216"/>
      <c r="BJ745" s="1469"/>
      <c r="BK745" s="1459"/>
      <c r="BL745" s="260"/>
      <c r="BM745" s="214"/>
      <c r="BN745" s="293"/>
      <c r="BO745" s="217"/>
      <c r="BP745" s="355"/>
      <c r="BQ745" s="217"/>
      <c r="BR745" s="1193"/>
      <c r="BS745" s="249"/>
      <c r="BT745" s="216"/>
      <c r="BU745" s="1195"/>
      <c r="BV745" s="249"/>
      <c r="BW745" s="216"/>
      <c r="BX745" s="1195"/>
      <c r="BY745" s="249"/>
      <c r="BZ745" s="216"/>
      <c r="CA745" s="1195"/>
      <c r="CB745" s="249"/>
      <c r="CC745" s="216"/>
      <c r="CD745" s="1195"/>
      <c r="CE745" s="249"/>
      <c r="CF745" s="216"/>
      <c r="CG745" s="1195"/>
      <c r="CH745" s="249"/>
      <c r="CI745" s="216"/>
      <c r="CJ745" s="1195"/>
      <c r="CK745" s="249"/>
      <c r="CL745" s="216"/>
      <c r="CM745" s="1194"/>
      <c r="CN745" s="1524"/>
      <c r="CO745" s="217"/>
      <c r="CP745" s="1193"/>
      <c r="CQ745" s="293"/>
      <c r="CR745" s="217"/>
      <c r="CS745" s="305"/>
      <c r="CT745" s="249"/>
      <c r="CU745" s="216"/>
      <c r="CV745" s="1193"/>
      <c r="CW745" s="249"/>
      <c r="CX745" s="216"/>
      <c r="CY745" s="305"/>
      <c r="CZ745" s="249"/>
      <c r="DA745" s="216"/>
      <c r="DB745" s="307"/>
      <c r="DC745" s="328"/>
      <c r="DD745" s="322"/>
      <c r="DE745" s="305"/>
      <c r="DF745" s="249"/>
      <c r="DG745" s="216"/>
      <c r="DH745" s="305"/>
      <c r="DI745" s="249"/>
      <c r="DJ745" s="216"/>
      <c r="DK745" s="309"/>
      <c r="DL745" s="293"/>
      <c r="DM745" s="326"/>
      <c r="DN745" s="1256"/>
      <c r="DO745" s="214"/>
      <c r="DP745" s="1257"/>
      <c r="DQ745" s="1258"/>
      <c r="DR745" s="305"/>
      <c r="DS745" s="249"/>
      <c r="DT745" s="216"/>
      <c r="DU745" s="305"/>
      <c r="DV745" s="2520"/>
      <c r="DW745" s="2521"/>
      <c r="DX745" s="305"/>
      <c r="DY745" s="249"/>
      <c r="DZ745" s="221"/>
      <c r="EA745" s="388"/>
      <c r="EB745" s="249"/>
      <c r="EC745" s="216"/>
      <c r="ED745" s="1461"/>
      <c r="EE745" s="249"/>
      <c r="EF745" s="216"/>
      <c r="EG745" s="355"/>
      <c r="EH745" s="1425"/>
      <c r="EI745" s="1470"/>
      <c r="EJ745" s="249"/>
      <c r="EK745" s="221"/>
      <c r="EL745" s="313"/>
      <c r="EM745" s="249"/>
      <c r="EN745" s="221"/>
      <c r="EO745" s="313"/>
      <c r="EP745" s="249"/>
      <c r="EQ745" s="216"/>
      <c r="ER745" s="313"/>
      <c r="ES745" s="249"/>
      <c r="ET745" s="216"/>
      <c r="EU745" s="313"/>
      <c r="EV745" s="249"/>
      <c r="EW745" s="216"/>
      <c r="EX745" s="2505"/>
      <c r="EY745" s="249"/>
      <c r="EZ745" s="221"/>
      <c r="FA745" s="313"/>
      <c r="FB745" s="249"/>
      <c r="FC745" s="221"/>
      <c r="FD745" s="313"/>
      <c r="FE745" s="249"/>
      <c r="FF745" s="221"/>
      <c r="FG745" s="313"/>
      <c r="FH745" s="249"/>
      <c r="FI745" s="216"/>
      <c r="FJ745" s="1435"/>
      <c r="FK745" s="216"/>
      <c r="FL745" s="1268"/>
      <c r="FM745" s="1655"/>
      <c r="FN745" s="1268"/>
      <c r="FO745" s="1655"/>
      <c r="FP745" s="1268"/>
      <c r="FQ745" s="1656"/>
      <c r="FR745" s="249"/>
      <c r="FS745" s="216"/>
      <c r="FT745" s="1657"/>
      <c r="FU745" s="1658"/>
      <c r="FV745" s="242"/>
      <c r="FW745" s="343"/>
      <c r="FX745" s="222"/>
      <c r="FY745" s="336"/>
      <c r="FZ745" s="223"/>
      <c r="GA745" s="338"/>
      <c r="GB745" s="204"/>
      <c r="GC745" s="339"/>
      <c r="GD745" s="342"/>
      <c r="GE745" s="199"/>
      <c r="GF745" s="199"/>
      <c r="GG745" s="199"/>
      <c r="GH745" s="199"/>
      <c r="GI745" s="199"/>
      <c r="GJ745" s="199"/>
      <c r="GK745" s="199"/>
      <c r="GO745" s="322"/>
      <c r="GP745" s="1190"/>
      <c r="GQ745" s="1190"/>
      <c r="GS745" s="2879"/>
      <c r="GT745" s="2880"/>
      <c r="GU745" s="2881"/>
    </row>
    <row r="746" spans="1:203" ht="12" customHeight="1">
      <c r="A746" s="1252"/>
      <c r="B746" s="200"/>
      <c r="C746" s="486"/>
      <c r="T746" s="1186"/>
      <c r="U746" s="233"/>
      <c r="W746" s="218"/>
      <c r="X746" s="218"/>
      <c r="Y746" s="216"/>
      <c r="Z746" s="216"/>
      <c r="AA746" s="215"/>
      <c r="AB746" s="216"/>
      <c r="AC746" s="216"/>
      <c r="AD746" s="239"/>
      <c r="AE746" s="216"/>
      <c r="AF746" s="216"/>
      <c r="AG746" s="216"/>
      <c r="AH746" s="216"/>
      <c r="AI746" s="216"/>
      <c r="AJ746" s="216"/>
      <c r="AK746" s="239"/>
      <c r="AL746" s="216"/>
      <c r="AM746" s="216"/>
      <c r="AN746" s="216"/>
      <c r="AO746" s="216"/>
      <c r="AP746" s="216"/>
      <c r="AQ746" s="216"/>
      <c r="AR746" s="216"/>
      <c r="AS746" s="216"/>
      <c r="AT746" s="216"/>
      <c r="AU746" s="216"/>
      <c r="AV746" s="217"/>
      <c r="AW746" s="355"/>
      <c r="AX746" s="217"/>
      <c r="AY746" s="305"/>
      <c r="AZ746" s="249"/>
      <c r="BA746" s="221"/>
      <c r="BB746" s="300"/>
      <c r="BC746" s="217"/>
      <c r="BD746" s="392"/>
      <c r="BE746" s="1244"/>
      <c r="BF746" s="249"/>
      <c r="BG746" s="252"/>
      <c r="BH746" s="1469"/>
      <c r="BI746" s="216"/>
      <c r="BJ746" s="1469"/>
      <c r="BK746" s="1459"/>
      <c r="BL746" s="260"/>
      <c r="BM746" s="214"/>
      <c r="BN746" s="293"/>
      <c r="BO746" s="217"/>
      <c r="BP746" s="355"/>
      <c r="BQ746" s="217"/>
      <c r="BR746" s="1193"/>
      <c r="BS746" s="249"/>
      <c r="BT746" s="216"/>
      <c r="BU746" s="1195"/>
      <c r="BV746" s="249"/>
      <c r="BW746" s="216"/>
      <c r="BX746" s="1195"/>
      <c r="BY746" s="249"/>
      <c r="BZ746" s="216"/>
      <c r="CA746" s="1195"/>
      <c r="CB746" s="249"/>
      <c r="CC746" s="216"/>
      <c r="CD746" s="1195"/>
      <c r="CE746" s="249"/>
      <c r="CF746" s="216"/>
      <c r="CG746" s="1195"/>
      <c r="CH746" s="249"/>
      <c r="CI746" s="216"/>
      <c r="CJ746" s="1195"/>
      <c r="CK746" s="249"/>
      <c r="CL746" s="216"/>
      <c r="CM746" s="1194"/>
      <c r="CN746" s="1524"/>
      <c r="CO746" s="217"/>
      <c r="CP746" s="1193"/>
      <c r="CQ746" s="293"/>
      <c r="CR746" s="217"/>
      <c r="CS746" s="305"/>
      <c r="CT746" s="249"/>
      <c r="CU746" s="216"/>
      <c r="CV746" s="1193"/>
      <c r="CW746" s="249"/>
      <c r="CX746" s="216"/>
      <c r="CY746" s="305"/>
      <c r="CZ746" s="249"/>
      <c r="DA746" s="216"/>
      <c r="DB746" s="307"/>
      <c r="DC746" s="328"/>
      <c r="DD746" s="322"/>
      <c r="DE746" s="305"/>
      <c r="DF746" s="249"/>
      <c r="DG746" s="216"/>
      <c r="DH746" s="305"/>
      <c r="DI746" s="249"/>
      <c r="DJ746" s="216"/>
      <c r="DK746" s="309"/>
      <c r="DL746" s="293"/>
      <c r="DM746" s="326"/>
      <c r="DN746" s="1256"/>
      <c r="DO746" s="214"/>
      <c r="DP746" s="1257"/>
      <c r="DQ746" s="1258"/>
      <c r="DR746" s="305"/>
      <c r="DS746" s="249"/>
      <c r="DT746" s="216"/>
      <c r="DU746" s="305"/>
      <c r="DV746" s="2520"/>
      <c r="DW746" s="2521"/>
      <c r="DX746" s="305"/>
      <c r="DY746" s="249"/>
      <c r="DZ746" s="221"/>
      <c r="EA746" s="388"/>
      <c r="EB746" s="249"/>
      <c r="EC746" s="216"/>
      <c r="ED746" s="1461"/>
      <c r="EE746" s="249"/>
      <c r="EF746" s="216"/>
      <c r="EG746" s="355"/>
      <c r="EH746" s="1425"/>
      <c r="EI746" s="1470"/>
      <c r="EJ746" s="249"/>
      <c r="EK746" s="221"/>
      <c r="EL746" s="313"/>
      <c r="EM746" s="249"/>
      <c r="EN746" s="221"/>
      <c r="EO746" s="313"/>
      <c r="EP746" s="249"/>
      <c r="EQ746" s="216"/>
      <c r="ER746" s="313"/>
      <c r="ES746" s="249"/>
      <c r="ET746" s="216"/>
      <c r="EU746" s="313"/>
      <c r="EV746" s="249"/>
      <c r="EW746" s="216"/>
      <c r="EX746" s="2505"/>
      <c r="EY746" s="249"/>
      <c r="EZ746" s="221"/>
      <c r="FA746" s="313"/>
      <c r="FB746" s="249"/>
      <c r="FC746" s="221"/>
      <c r="FD746" s="313"/>
      <c r="FE746" s="249"/>
      <c r="FF746" s="221"/>
      <c r="FG746" s="313"/>
      <c r="FH746" s="249"/>
      <c r="FI746" s="216"/>
      <c r="FJ746" s="1435"/>
      <c r="FK746" s="216"/>
      <c r="FL746" s="1268"/>
      <c r="FM746" s="1655"/>
      <c r="FN746" s="1268"/>
      <c r="FO746" s="1655"/>
      <c r="FP746" s="1268"/>
      <c r="FQ746" s="1656"/>
      <c r="FR746" s="249"/>
      <c r="FS746" s="216"/>
      <c r="FT746" s="1657"/>
      <c r="FU746" s="1658"/>
      <c r="FV746" s="242"/>
      <c r="FW746" s="343"/>
      <c r="FX746" s="222"/>
      <c r="FY746" s="336"/>
      <c r="FZ746" s="223"/>
      <c r="GA746" s="338"/>
      <c r="GB746" s="204"/>
      <c r="GC746" s="339"/>
      <c r="GD746" s="342"/>
      <c r="GE746" s="199"/>
      <c r="GF746" s="199"/>
      <c r="GG746" s="199"/>
      <c r="GH746" s="199"/>
      <c r="GI746" s="199"/>
      <c r="GJ746" s="199"/>
      <c r="GK746" s="199"/>
      <c r="GO746" s="322"/>
      <c r="GP746" s="1190"/>
      <c r="GQ746" s="1190"/>
      <c r="GS746" s="2879"/>
      <c r="GT746" s="2880"/>
      <c r="GU746" s="2881"/>
    </row>
    <row r="747" spans="1:203" ht="12" customHeight="1">
      <c r="A747" s="1252"/>
      <c r="B747" s="200"/>
      <c r="C747" s="486"/>
      <c r="T747" s="1186"/>
      <c r="U747" s="233"/>
      <c r="W747" s="218"/>
      <c r="X747" s="218"/>
      <c r="Y747" s="216"/>
      <c r="Z747" s="216"/>
      <c r="AA747" s="215"/>
      <c r="AB747" s="216"/>
      <c r="AC747" s="216"/>
      <c r="AD747" s="239"/>
      <c r="AE747" s="216"/>
      <c r="AF747" s="216"/>
      <c r="AG747" s="216"/>
      <c r="AH747" s="216"/>
      <c r="AI747" s="216"/>
      <c r="AJ747" s="216"/>
      <c r="AK747" s="239"/>
      <c r="AL747" s="216"/>
      <c r="AM747" s="216"/>
      <c r="AN747" s="216"/>
      <c r="AO747" s="216"/>
      <c r="AP747" s="216"/>
      <c r="AQ747" s="216"/>
      <c r="AR747" s="216"/>
      <c r="AS747" s="216"/>
      <c r="AT747" s="216"/>
      <c r="AU747" s="216"/>
      <c r="AV747" s="217"/>
      <c r="AW747" s="355"/>
      <c r="AX747" s="217"/>
      <c r="AY747" s="305"/>
      <c r="AZ747" s="249"/>
      <c r="BA747" s="221"/>
      <c r="BB747" s="300"/>
      <c r="BC747" s="217"/>
      <c r="BD747" s="392"/>
      <c r="BE747" s="1244"/>
      <c r="BF747" s="249"/>
      <c r="BG747" s="252"/>
      <c r="BH747" s="1469"/>
      <c r="BI747" s="216"/>
      <c r="BJ747" s="1469"/>
      <c r="BK747" s="1459"/>
      <c r="BL747" s="260"/>
      <c r="BM747" s="214"/>
      <c r="BN747" s="293"/>
      <c r="BO747" s="217"/>
      <c r="BP747" s="355"/>
      <c r="BQ747" s="217"/>
      <c r="BR747" s="1193"/>
      <c r="BS747" s="249"/>
      <c r="BT747" s="216"/>
      <c r="BU747" s="1195"/>
      <c r="BV747" s="249"/>
      <c r="BW747" s="216"/>
      <c r="BX747" s="1195"/>
      <c r="BY747" s="249"/>
      <c r="BZ747" s="216"/>
      <c r="CA747" s="1195"/>
      <c r="CB747" s="249"/>
      <c r="CC747" s="216"/>
      <c r="CD747" s="1195"/>
      <c r="CE747" s="249"/>
      <c r="CF747" s="216"/>
      <c r="CG747" s="1195"/>
      <c r="CH747" s="249"/>
      <c r="CI747" s="216"/>
      <c r="CJ747" s="1195"/>
      <c r="CK747" s="249"/>
      <c r="CL747" s="216"/>
      <c r="CM747" s="1194"/>
      <c r="CN747" s="1524"/>
      <c r="CO747" s="217"/>
      <c r="CP747" s="1193"/>
      <c r="CQ747" s="293"/>
      <c r="CR747" s="217"/>
      <c r="CS747" s="305"/>
      <c r="CT747" s="249"/>
      <c r="CU747" s="216"/>
      <c r="CV747" s="1193"/>
      <c r="CW747" s="249"/>
      <c r="CX747" s="216"/>
      <c r="CY747" s="305"/>
      <c r="CZ747" s="249"/>
      <c r="DA747" s="216"/>
      <c r="DB747" s="307"/>
      <c r="DC747" s="328"/>
      <c r="DD747" s="322"/>
      <c r="DE747" s="305"/>
      <c r="DF747" s="249"/>
      <c r="DG747" s="216"/>
      <c r="DH747" s="305"/>
      <c r="DI747" s="249"/>
      <c r="DJ747" s="216"/>
      <c r="DK747" s="309"/>
      <c r="DL747" s="293"/>
      <c r="DM747" s="326"/>
      <c r="DN747" s="1256"/>
      <c r="DO747" s="214"/>
      <c r="DP747" s="1257"/>
      <c r="DQ747" s="1258"/>
      <c r="DR747" s="305"/>
      <c r="DS747" s="249"/>
      <c r="DT747" s="216"/>
      <c r="DU747" s="305"/>
      <c r="DV747" s="2520"/>
      <c r="DW747" s="2521"/>
      <c r="DX747" s="305"/>
      <c r="DY747" s="249"/>
      <c r="DZ747" s="221"/>
      <c r="EA747" s="388"/>
      <c r="EB747" s="249"/>
      <c r="EC747" s="216"/>
      <c r="ED747" s="1461"/>
      <c r="EE747" s="249"/>
      <c r="EF747" s="216"/>
      <c r="EG747" s="355"/>
      <c r="EH747" s="1425"/>
      <c r="EI747" s="1470"/>
      <c r="EJ747" s="249"/>
      <c r="EK747" s="221"/>
      <c r="EL747" s="313"/>
      <c r="EM747" s="249"/>
      <c r="EN747" s="221"/>
      <c r="EO747" s="313"/>
      <c r="EP747" s="249"/>
      <c r="EQ747" s="216"/>
      <c r="ER747" s="313"/>
      <c r="ES747" s="249"/>
      <c r="ET747" s="216"/>
      <c r="EU747" s="313"/>
      <c r="EV747" s="249"/>
      <c r="EW747" s="216"/>
      <c r="EX747" s="2505"/>
      <c r="EY747" s="249"/>
      <c r="EZ747" s="221"/>
      <c r="FA747" s="313"/>
      <c r="FB747" s="249"/>
      <c r="FC747" s="221"/>
      <c r="FD747" s="313"/>
      <c r="FE747" s="249"/>
      <c r="FF747" s="221"/>
      <c r="FG747" s="313"/>
      <c r="FH747" s="249"/>
      <c r="FI747" s="216"/>
      <c r="FJ747" s="1435"/>
      <c r="FK747" s="216"/>
      <c r="FL747" s="1268"/>
      <c r="FM747" s="1655"/>
      <c r="FN747" s="1268"/>
      <c r="FO747" s="1655"/>
      <c r="FP747" s="1268"/>
      <c r="FQ747" s="1656"/>
      <c r="FR747" s="249"/>
      <c r="FS747" s="216"/>
      <c r="FT747" s="1657"/>
      <c r="FU747" s="1658"/>
      <c r="FV747" s="242"/>
      <c r="FW747" s="343"/>
      <c r="FX747" s="222"/>
      <c r="FY747" s="336"/>
      <c r="FZ747" s="223"/>
      <c r="GA747" s="338"/>
      <c r="GB747" s="204"/>
      <c r="GC747" s="339"/>
      <c r="GD747" s="342"/>
      <c r="GE747" s="199"/>
      <c r="GF747" s="199"/>
      <c r="GG747" s="199"/>
      <c r="GH747" s="199"/>
      <c r="GI747" s="199"/>
      <c r="GJ747" s="199"/>
      <c r="GK747" s="199"/>
      <c r="GO747" s="322"/>
      <c r="GP747" s="1190"/>
      <c r="GQ747" s="1190"/>
      <c r="GS747" s="2879"/>
      <c r="GT747" s="2880"/>
      <c r="GU747" s="2881"/>
    </row>
    <row r="748" spans="1:203" ht="12" customHeight="1">
      <c r="A748" s="1252"/>
      <c r="B748" s="200"/>
      <c r="C748" s="486"/>
      <c r="T748" s="1186"/>
      <c r="U748" s="233"/>
      <c r="W748" s="218"/>
      <c r="X748" s="218"/>
      <c r="Y748" s="216"/>
      <c r="Z748" s="216"/>
      <c r="AA748" s="215"/>
      <c r="AB748" s="216"/>
      <c r="AC748" s="216"/>
      <c r="AD748" s="239"/>
      <c r="AE748" s="216"/>
      <c r="AF748" s="216"/>
      <c r="AG748" s="216"/>
      <c r="AH748" s="216"/>
      <c r="AI748" s="216"/>
      <c r="AJ748" s="216"/>
      <c r="AK748" s="239"/>
      <c r="AL748" s="216"/>
      <c r="AM748" s="216"/>
      <c r="AN748" s="216"/>
      <c r="AO748" s="216"/>
      <c r="AP748" s="216"/>
      <c r="AQ748" s="216"/>
      <c r="AR748" s="216"/>
      <c r="AS748" s="216"/>
      <c r="AT748" s="216"/>
      <c r="AU748" s="216"/>
      <c r="AV748" s="217"/>
      <c r="AW748" s="355"/>
      <c r="AX748" s="217"/>
      <c r="AY748" s="305"/>
      <c r="AZ748" s="249"/>
      <c r="BA748" s="221"/>
      <c r="BB748" s="300"/>
      <c r="BC748" s="217"/>
      <c r="BD748" s="392"/>
      <c r="BE748" s="1244"/>
      <c r="BF748" s="249"/>
      <c r="BG748" s="252"/>
      <c r="BH748" s="1469"/>
      <c r="BI748" s="216"/>
      <c r="BJ748" s="1469"/>
      <c r="BK748" s="1459"/>
      <c r="BL748" s="260"/>
      <c r="BM748" s="214"/>
      <c r="BN748" s="293"/>
      <c r="BO748" s="217"/>
      <c r="BP748" s="355"/>
      <c r="BQ748" s="217"/>
      <c r="BR748" s="1193"/>
      <c r="BS748" s="249"/>
      <c r="BT748" s="216"/>
      <c r="BU748" s="1195"/>
      <c r="BV748" s="249"/>
      <c r="BW748" s="216"/>
      <c r="BX748" s="1195"/>
      <c r="BY748" s="249"/>
      <c r="BZ748" s="216"/>
      <c r="CA748" s="1195"/>
      <c r="CB748" s="249"/>
      <c r="CC748" s="216"/>
      <c r="CD748" s="1195"/>
      <c r="CE748" s="249"/>
      <c r="CF748" s="216"/>
      <c r="CG748" s="1195"/>
      <c r="CH748" s="249"/>
      <c r="CI748" s="216"/>
      <c r="CJ748" s="1195"/>
      <c r="CK748" s="249"/>
      <c r="CL748" s="216"/>
      <c r="CM748" s="1194"/>
      <c r="CN748" s="1524"/>
      <c r="CO748" s="217"/>
      <c r="CP748" s="1193"/>
      <c r="CQ748" s="293"/>
      <c r="CR748" s="217"/>
      <c r="CS748" s="305"/>
      <c r="CT748" s="249"/>
      <c r="CU748" s="216"/>
      <c r="CV748" s="1193"/>
      <c r="CW748" s="249"/>
      <c r="CX748" s="216"/>
      <c r="CY748" s="305"/>
      <c r="CZ748" s="249"/>
      <c r="DA748" s="216"/>
      <c r="DB748" s="307"/>
      <c r="DC748" s="328"/>
      <c r="DD748" s="322"/>
      <c r="DE748" s="305"/>
      <c r="DF748" s="249"/>
      <c r="DG748" s="216"/>
      <c r="DH748" s="305"/>
      <c r="DI748" s="249"/>
      <c r="DJ748" s="216"/>
      <c r="DK748" s="309"/>
      <c r="DL748" s="293"/>
      <c r="DM748" s="326"/>
      <c r="DN748" s="1256"/>
      <c r="DO748" s="214"/>
      <c r="DP748" s="1257"/>
      <c r="DQ748" s="1258"/>
      <c r="DR748" s="305"/>
      <c r="DS748" s="249"/>
      <c r="DT748" s="216"/>
      <c r="DU748" s="305"/>
      <c r="DV748" s="2520"/>
      <c r="DW748" s="2521"/>
      <c r="DX748" s="305"/>
      <c r="DY748" s="249"/>
      <c r="DZ748" s="221"/>
      <c r="EA748" s="388"/>
      <c r="EB748" s="249"/>
      <c r="EC748" s="216"/>
      <c r="ED748" s="1461"/>
      <c r="EE748" s="249"/>
      <c r="EF748" s="216"/>
      <c r="EG748" s="355"/>
      <c r="EH748" s="1425"/>
      <c r="EI748" s="1470"/>
      <c r="EJ748" s="249"/>
      <c r="EK748" s="221"/>
      <c r="EL748" s="313"/>
      <c r="EM748" s="249"/>
      <c r="EN748" s="221"/>
      <c r="EO748" s="313"/>
      <c r="EP748" s="249"/>
      <c r="EQ748" s="216"/>
      <c r="ER748" s="313"/>
      <c r="ES748" s="249"/>
      <c r="ET748" s="216"/>
      <c r="EU748" s="313"/>
      <c r="EV748" s="249"/>
      <c r="EW748" s="216"/>
      <c r="EX748" s="2505"/>
      <c r="EY748" s="249"/>
      <c r="EZ748" s="221"/>
      <c r="FA748" s="313"/>
      <c r="FB748" s="249"/>
      <c r="FC748" s="221"/>
      <c r="FD748" s="313"/>
      <c r="FE748" s="249"/>
      <c r="FF748" s="221"/>
      <c r="FG748" s="313"/>
      <c r="FH748" s="249"/>
      <c r="FI748" s="216"/>
      <c r="FJ748" s="1435"/>
      <c r="FK748" s="216"/>
      <c r="FL748" s="1268"/>
      <c r="FM748" s="1655"/>
      <c r="FN748" s="1268"/>
      <c r="FO748" s="1655"/>
      <c r="FP748" s="1268"/>
      <c r="FQ748" s="1656"/>
      <c r="FR748" s="249"/>
      <c r="FS748" s="216"/>
      <c r="FT748" s="1657"/>
      <c r="FU748" s="1658"/>
      <c r="FV748" s="242"/>
      <c r="FW748" s="343"/>
      <c r="FX748" s="222"/>
      <c r="FY748" s="336"/>
      <c r="FZ748" s="223"/>
      <c r="GA748" s="338"/>
      <c r="GB748" s="204"/>
      <c r="GC748" s="339"/>
      <c r="GD748" s="342"/>
      <c r="GE748" s="199"/>
      <c r="GF748" s="199"/>
      <c r="GG748" s="199"/>
      <c r="GH748" s="199"/>
      <c r="GI748" s="199"/>
      <c r="GJ748" s="199"/>
      <c r="GK748" s="199"/>
      <c r="GO748" s="322"/>
      <c r="GP748" s="1190"/>
      <c r="GQ748" s="1190"/>
      <c r="GS748" s="2879"/>
      <c r="GT748" s="2880"/>
      <c r="GU748" s="2881"/>
    </row>
    <row r="749" spans="1:203" ht="12" customHeight="1">
      <c r="A749" s="1252"/>
      <c r="B749" s="200"/>
      <c r="C749" s="486"/>
      <c r="T749" s="1186"/>
      <c r="U749" s="233"/>
      <c r="W749" s="218"/>
      <c r="X749" s="218"/>
      <c r="Y749" s="216"/>
      <c r="Z749" s="216"/>
      <c r="AA749" s="215"/>
      <c r="AB749" s="216"/>
      <c r="AC749" s="216"/>
      <c r="AD749" s="239"/>
      <c r="AE749" s="216"/>
      <c r="AF749" s="216"/>
      <c r="AG749" s="216"/>
      <c r="AH749" s="216"/>
      <c r="AI749" s="216"/>
      <c r="AJ749" s="216"/>
      <c r="AK749" s="239"/>
      <c r="AL749" s="216"/>
      <c r="AM749" s="216"/>
      <c r="AN749" s="216"/>
      <c r="AO749" s="216"/>
      <c r="AP749" s="216"/>
      <c r="AQ749" s="216"/>
      <c r="AR749" s="216"/>
      <c r="AS749" s="216"/>
      <c r="AT749" s="216"/>
      <c r="AU749" s="216"/>
      <c r="AV749" s="217"/>
      <c r="AW749" s="355"/>
      <c r="AX749" s="217"/>
      <c r="AY749" s="305"/>
      <c r="AZ749" s="249"/>
      <c r="BA749" s="221"/>
      <c r="BB749" s="300"/>
      <c r="BC749" s="217"/>
      <c r="BD749" s="392"/>
      <c r="BE749" s="1244"/>
      <c r="BF749" s="249"/>
      <c r="BG749" s="252"/>
      <c r="BH749" s="1469"/>
      <c r="BI749" s="216"/>
      <c r="BJ749" s="1469"/>
      <c r="BK749" s="1459"/>
      <c r="BL749" s="260"/>
      <c r="BM749" s="214"/>
      <c r="BN749" s="293"/>
      <c r="BO749" s="217"/>
      <c r="BP749" s="355"/>
      <c r="BQ749" s="217"/>
      <c r="BR749" s="1193"/>
      <c r="BS749" s="249"/>
      <c r="BT749" s="216"/>
      <c r="BU749" s="1195"/>
      <c r="BV749" s="249"/>
      <c r="BW749" s="216"/>
      <c r="BX749" s="1195"/>
      <c r="BY749" s="249"/>
      <c r="BZ749" s="216"/>
      <c r="CA749" s="1195"/>
      <c r="CB749" s="249"/>
      <c r="CC749" s="216"/>
      <c r="CD749" s="1195"/>
      <c r="CE749" s="249"/>
      <c r="CF749" s="216"/>
      <c r="CG749" s="1195"/>
      <c r="CH749" s="249"/>
      <c r="CI749" s="216"/>
      <c r="CJ749" s="1195"/>
      <c r="CK749" s="249"/>
      <c r="CL749" s="216"/>
      <c r="CM749" s="1194"/>
      <c r="CN749" s="1524"/>
      <c r="CO749" s="217"/>
      <c r="CP749" s="1193"/>
      <c r="CQ749" s="293"/>
      <c r="CR749" s="217"/>
      <c r="CS749" s="305"/>
      <c r="CT749" s="249"/>
      <c r="CU749" s="216"/>
      <c r="CV749" s="1193"/>
      <c r="CW749" s="249"/>
      <c r="CX749" s="216"/>
      <c r="CY749" s="305"/>
      <c r="CZ749" s="249"/>
      <c r="DA749" s="216"/>
      <c r="DB749" s="307"/>
      <c r="DC749" s="328"/>
      <c r="DD749" s="322"/>
      <c r="DE749" s="305"/>
      <c r="DF749" s="249"/>
      <c r="DG749" s="216"/>
      <c r="DH749" s="305"/>
      <c r="DI749" s="249"/>
      <c r="DJ749" s="216"/>
      <c r="DK749" s="309"/>
      <c r="DL749" s="293"/>
      <c r="DM749" s="326"/>
      <c r="DN749" s="1256"/>
      <c r="DO749" s="214"/>
      <c r="DP749" s="1257"/>
      <c r="DQ749" s="1258"/>
      <c r="DR749" s="305"/>
      <c r="DS749" s="249"/>
      <c r="DT749" s="216"/>
      <c r="DU749" s="305"/>
      <c r="DV749" s="2520"/>
      <c r="DW749" s="2521"/>
      <c r="DX749" s="305"/>
      <c r="DY749" s="249"/>
      <c r="DZ749" s="221"/>
      <c r="EA749" s="388"/>
      <c r="EB749" s="249"/>
      <c r="EC749" s="216"/>
      <c r="ED749" s="1461"/>
      <c r="EE749" s="249"/>
      <c r="EF749" s="216"/>
      <c r="EG749" s="355"/>
      <c r="EH749" s="1425"/>
      <c r="EI749" s="1470"/>
      <c r="EJ749" s="249"/>
      <c r="EK749" s="221"/>
      <c r="EL749" s="313"/>
      <c r="EM749" s="249"/>
      <c r="EN749" s="221"/>
      <c r="EO749" s="313"/>
      <c r="EP749" s="249"/>
      <c r="EQ749" s="216"/>
      <c r="ER749" s="313"/>
      <c r="ES749" s="249"/>
      <c r="ET749" s="216"/>
      <c r="EU749" s="313"/>
      <c r="EV749" s="249"/>
      <c r="EW749" s="216"/>
      <c r="EX749" s="2505"/>
      <c r="EY749" s="249"/>
      <c r="EZ749" s="221"/>
      <c r="FA749" s="313"/>
      <c r="FB749" s="249"/>
      <c r="FC749" s="221"/>
      <c r="FD749" s="313"/>
      <c r="FE749" s="249"/>
      <c r="FF749" s="221"/>
      <c r="FG749" s="313"/>
      <c r="FH749" s="249"/>
      <c r="FI749" s="216"/>
      <c r="FJ749" s="1435"/>
      <c r="FK749" s="216"/>
      <c r="FL749" s="1268"/>
      <c r="FM749" s="1655"/>
      <c r="FN749" s="1268"/>
      <c r="FO749" s="1655"/>
      <c r="FP749" s="1268"/>
      <c r="FQ749" s="1656"/>
      <c r="FR749" s="249"/>
      <c r="FS749" s="216"/>
      <c r="FT749" s="1657"/>
      <c r="FU749" s="1658"/>
      <c r="FV749" s="242"/>
      <c r="FW749" s="343"/>
      <c r="FX749" s="222"/>
      <c r="FY749" s="336"/>
      <c r="FZ749" s="223"/>
      <c r="GA749" s="338"/>
      <c r="GB749" s="204"/>
      <c r="GC749" s="339"/>
      <c r="GD749" s="342"/>
      <c r="GE749" s="199"/>
      <c r="GF749" s="199"/>
      <c r="GG749" s="199"/>
      <c r="GH749" s="199"/>
      <c r="GI749" s="199"/>
      <c r="GJ749" s="199"/>
      <c r="GK749" s="199"/>
      <c r="GO749" s="322"/>
      <c r="GP749" s="1190"/>
      <c r="GQ749" s="1190"/>
      <c r="GS749" s="2879"/>
      <c r="GT749" s="2880"/>
      <c r="GU749" s="2881"/>
    </row>
    <row r="750" spans="1:203" ht="12" customHeight="1">
      <c r="A750" s="1252"/>
      <c r="B750" s="200"/>
      <c r="C750" s="486"/>
      <c r="T750" s="1186"/>
      <c r="U750" s="233"/>
      <c r="W750" s="218"/>
      <c r="X750" s="218"/>
      <c r="Y750" s="216"/>
      <c r="Z750" s="216"/>
      <c r="AA750" s="215"/>
      <c r="AB750" s="216"/>
      <c r="AC750" s="216"/>
      <c r="AD750" s="239"/>
      <c r="AE750" s="216"/>
      <c r="AF750" s="216"/>
      <c r="AG750" s="216"/>
      <c r="AH750" s="216"/>
      <c r="AI750" s="216"/>
      <c r="AJ750" s="216"/>
      <c r="AK750" s="239"/>
      <c r="AL750" s="216"/>
      <c r="AM750" s="216"/>
      <c r="AN750" s="216"/>
      <c r="AO750" s="216"/>
      <c r="AP750" s="216"/>
      <c r="AQ750" s="216"/>
      <c r="AR750" s="216"/>
      <c r="AS750" s="216"/>
      <c r="AT750" s="216"/>
      <c r="AU750" s="216"/>
      <c r="AV750" s="217"/>
      <c r="AW750" s="355"/>
      <c r="AX750" s="217"/>
      <c r="AY750" s="305"/>
      <c r="AZ750" s="249"/>
      <c r="BA750" s="221"/>
      <c r="BB750" s="300"/>
      <c r="BC750" s="217"/>
      <c r="BD750" s="392"/>
      <c r="BE750" s="1244"/>
      <c r="BF750" s="249"/>
      <c r="BG750" s="252"/>
      <c r="BH750" s="1469"/>
      <c r="BI750" s="216"/>
      <c r="BJ750" s="1469"/>
      <c r="BK750" s="1459"/>
      <c r="BL750" s="260"/>
      <c r="BM750" s="214"/>
      <c r="BN750" s="293"/>
      <c r="BO750" s="217"/>
      <c r="BP750" s="355"/>
      <c r="BQ750" s="217"/>
      <c r="BR750" s="1193"/>
      <c r="BS750" s="249"/>
      <c r="BT750" s="216"/>
      <c r="BU750" s="1195"/>
      <c r="BV750" s="249"/>
      <c r="BW750" s="216"/>
      <c r="BX750" s="1195"/>
      <c r="BY750" s="249"/>
      <c r="BZ750" s="216"/>
      <c r="CA750" s="1195"/>
      <c r="CB750" s="249"/>
      <c r="CC750" s="216"/>
      <c r="CD750" s="1195"/>
      <c r="CE750" s="249"/>
      <c r="CF750" s="216"/>
      <c r="CG750" s="1195"/>
      <c r="CH750" s="249"/>
      <c r="CI750" s="216"/>
      <c r="CJ750" s="1195"/>
      <c r="CK750" s="249"/>
      <c r="CL750" s="216"/>
      <c r="CM750" s="1194"/>
      <c r="CN750" s="1524"/>
      <c r="CO750" s="217"/>
      <c r="CP750" s="1193"/>
      <c r="CQ750" s="293"/>
      <c r="CR750" s="217"/>
      <c r="CS750" s="305"/>
      <c r="CT750" s="249"/>
      <c r="CU750" s="216"/>
      <c r="CV750" s="1193"/>
      <c r="CW750" s="249"/>
      <c r="CX750" s="216"/>
      <c r="CY750" s="305"/>
      <c r="CZ750" s="249"/>
      <c r="DA750" s="216"/>
      <c r="DB750" s="307"/>
      <c r="DC750" s="328"/>
      <c r="DD750" s="322"/>
      <c r="DE750" s="305"/>
      <c r="DF750" s="249"/>
      <c r="DG750" s="216"/>
      <c r="DH750" s="305"/>
      <c r="DI750" s="249"/>
      <c r="DJ750" s="216"/>
      <c r="DK750" s="309"/>
      <c r="DL750" s="293"/>
      <c r="DM750" s="326"/>
      <c r="DN750" s="1256"/>
      <c r="DO750" s="214"/>
      <c r="DP750" s="1257"/>
      <c r="DQ750" s="1258"/>
      <c r="DR750" s="305"/>
      <c r="DS750" s="249"/>
      <c r="DT750" s="216"/>
      <c r="DU750" s="305"/>
      <c r="DV750" s="2520"/>
      <c r="DW750" s="2521"/>
      <c r="DX750" s="305"/>
      <c r="DY750" s="249"/>
      <c r="DZ750" s="221"/>
      <c r="EA750" s="388"/>
      <c r="EB750" s="249"/>
      <c r="EC750" s="216"/>
      <c r="ED750" s="1461"/>
      <c r="EE750" s="249"/>
      <c r="EF750" s="216"/>
      <c r="EG750" s="355"/>
      <c r="EH750" s="1425"/>
      <c r="EI750" s="1470"/>
      <c r="EJ750" s="249"/>
      <c r="EK750" s="221"/>
      <c r="EL750" s="313"/>
      <c r="EM750" s="249"/>
      <c r="EN750" s="221"/>
      <c r="EO750" s="313"/>
      <c r="EP750" s="249"/>
      <c r="EQ750" s="216"/>
      <c r="ER750" s="313"/>
      <c r="ES750" s="249"/>
      <c r="ET750" s="216"/>
      <c r="EU750" s="313"/>
      <c r="EV750" s="249"/>
      <c r="EW750" s="216"/>
      <c r="EX750" s="2505"/>
      <c r="EY750" s="249"/>
      <c r="EZ750" s="221"/>
      <c r="FA750" s="313"/>
      <c r="FB750" s="249"/>
      <c r="FC750" s="221"/>
      <c r="FD750" s="313"/>
      <c r="FE750" s="249"/>
      <c r="FF750" s="221"/>
      <c r="FG750" s="313"/>
      <c r="FH750" s="249"/>
      <c r="FI750" s="216"/>
      <c r="FJ750" s="1435"/>
      <c r="FK750" s="216"/>
      <c r="FL750" s="1268"/>
      <c r="FM750" s="1655"/>
      <c r="FN750" s="1268"/>
      <c r="FO750" s="1655"/>
      <c r="FP750" s="1268"/>
      <c r="FQ750" s="1656"/>
      <c r="FR750" s="249"/>
      <c r="FS750" s="216"/>
      <c r="FT750" s="1657"/>
      <c r="FU750" s="1658"/>
      <c r="FV750" s="242"/>
      <c r="FW750" s="343"/>
      <c r="FX750" s="222"/>
      <c r="FY750" s="336"/>
      <c r="FZ750" s="223"/>
      <c r="GA750" s="338"/>
      <c r="GB750" s="204"/>
      <c r="GC750" s="339"/>
      <c r="GD750" s="342"/>
      <c r="GE750" s="199"/>
      <c r="GF750" s="199"/>
      <c r="GG750" s="199"/>
      <c r="GH750" s="199"/>
      <c r="GI750" s="199"/>
      <c r="GJ750" s="199"/>
      <c r="GK750" s="199"/>
      <c r="GO750" s="322"/>
      <c r="GP750" s="1190"/>
      <c r="GQ750" s="1190"/>
      <c r="GS750" s="2879"/>
      <c r="GT750" s="2880"/>
      <c r="GU750" s="2881"/>
    </row>
    <row r="751" spans="1:203" ht="12" customHeight="1">
      <c r="A751" s="1252"/>
      <c r="B751" s="200"/>
      <c r="C751" s="486"/>
      <c r="T751" s="1186"/>
      <c r="U751" s="233"/>
      <c r="W751" s="218"/>
      <c r="X751" s="218"/>
      <c r="Y751" s="216"/>
      <c r="Z751" s="216"/>
      <c r="AA751" s="215"/>
      <c r="AB751" s="216"/>
      <c r="AC751" s="216"/>
      <c r="AD751" s="239"/>
      <c r="AE751" s="216"/>
      <c r="AF751" s="216"/>
      <c r="AG751" s="216"/>
      <c r="AH751" s="216"/>
      <c r="AI751" s="216"/>
      <c r="AJ751" s="216"/>
      <c r="AK751" s="239"/>
      <c r="AL751" s="216"/>
      <c r="AM751" s="216"/>
      <c r="AN751" s="216"/>
      <c r="AO751" s="216"/>
      <c r="AP751" s="216"/>
      <c r="AQ751" s="216"/>
      <c r="AR751" s="216"/>
      <c r="AS751" s="216"/>
      <c r="AT751" s="216"/>
      <c r="AU751" s="216"/>
      <c r="AV751" s="217"/>
      <c r="AW751" s="355"/>
      <c r="AX751" s="217"/>
      <c r="AY751" s="305"/>
      <c r="AZ751" s="249"/>
      <c r="BA751" s="221"/>
      <c r="BB751" s="300"/>
      <c r="BC751" s="217"/>
      <c r="BD751" s="392"/>
      <c r="BE751" s="1244"/>
      <c r="BF751" s="249"/>
      <c r="BG751" s="252"/>
      <c r="BH751" s="1469"/>
      <c r="BI751" s="216"/>
      <c r="BJ751" s="1469"/>
      <c r="BK751" s="1459"/>
      <c r="BL751" s="260"/>
      <c r="BM751" s="214"/>
      <c r="BN751" s="293"/>
      <c r="BO751" s="217"/>
      <c r="BP751" s="355"/>
      <c r="BQ751" s="217"/>
      <c r="BR751" s="1193"/>
      <c r="BS751" s="249"/>
      <c r="BT751" s="216"/>
      <c r="BU751" s="1195"/>
      <c r="BV751" s="249"/>
      <c r="BW751" s="216"/>
      <c r="BX751" s="1195"/>
      <c r="BY751" s="249"/>
      <c r="BZ751" s="216"/>
      <c r="CA751" s="1195"/>
      <c r="CB751" s="249"/>
      <c r="CC751" s="216"/>
      <c r="CD751" s="1195"/>
      <c r="CE751" s="249"/>
      <c r="CF751" s="216"/>
      <c r="CG751" s="1195"/>
      <c r="CH751" s="249"/>
      <c r="CI751" s="216"/>
      <c r="CJ751" s="1195"/>
      <c r="CK751" s="249"/>
      <c r="CL751" s="216"/>
      <c r="CM751" s="1194"/>
      <c r="CN751" s="1524"/>
      <c r="CO751" s="217"/>
      <c r="CP751" s="1193"/>
      <c r="CQ751" s="293"/>
      <c r="CR751" s="217"/>
      <c r="CS751" s="305"/>
      <c r="CT751" s="249"/>
      <c r="CU751" s="216"/>
      <c r="CV751" s="1193"/>
      <c r="CW751" s="249"/>
      <c r="CX751" s="216"/>
      <c r="CY751" s="305"/>
      <c r="CZ751" s="249"/>
      <c r="DA751" s="216"/>
      <c r="DB751" s="307"/>
      <c r="DC751" s="328"/>
      <c r="DD751" s="322"/>
      <c r="DE751" s="305"/>
      <c r="DF751" s="249"/>
      <c r="DG751" s="216"/>
      <c r="DH751" s="305"/>
      <c r="DI751" s="249"/>
      <c r="DJ751" s="216"/>
      <c r="DK751" s="309"/>
      <c r="DL751" s="293"/>
      <c r="DM751" s="326"/>
      <c r="DN751" s="1256"/>
      <c r="DO751" s="214"/>
      <c r="DP751" s="1257"/>
      <c r="DQ751" s="1258"/>
      <c r="DR751" s="305"/>
      <c r="DS751" s="249"/>
      <c r="DT751" s="216"/>
      <c r="DU751" s="305"/>
      <c r="DV751" s="2520"/>
      <c r="DW751" s="2521"/>
      <c r="DX751" s="305"/>
      <c r="DY751" s="249"/>
      <c r="DZ751" s="221"/>
      <c r="EA751" s="388"/>
      <c r="EB751" s="249"/>
      <c r="EC751" s="216"/>
      <c r="ED751" s="1461"/>
      <c r="EE751" s="249"/>
      <c r="EF751" s="216"/>
      <c r="EG751" s="355"/>
      <c r="EH751" s="1425"/>
      <c r="EI751" s="1470"/>
      <c r="EJ751" s="249"/>
      <c r="EK751" s="221"/>
      <c r="EL751" s="313"/>
      <c r="EM751" s="249"/>
      <c r="EN751" s="221"/>
      <c r="EO751" s="313"/>
      <c r="EP751" s="249"/>
      <c r="EQ751" s="216"/>
      <c r="ER751" s="313"/>
      <c r="ES751" s="249"/>
      <c r="ET751" s="216"/>
      <c r="EU751" s="313"/>
      <c r="EV751" s="249"/>
      <c r="EW751" s="216"/>
      <c r="EX751" s="2505"/>
      <c r="EY751" s="249"/>
      <c r="EZ751" s="221"/>
      <c r="FA751" s="313"/>
      <c r="FB751" s="249"/>
      <c r="FC751" s="221"/>
      <c r="FD751" s="313"/>
      <c r="FE751" s="249"/>
      <c r="FF751" s="221"/>
      <c r="FG751" s="313"/>
      <c r="FH751" s="249"/>
      <c r="FI751" s="216"/>
      <c r="FJ751" s="1435"/>
      <c r="FK751" s="216"/>
      <c r="FL751" s="1268"/>
      <c r="FM751" s="1655"/>
      <c r="FN751" s="1268"/>
      <c r="FO751" s="1655"/>
      <c r="FP751" s="1268"/>
      <c r="FQ751" s="1656"/>
      <c r="FR751" s="249"/>
      <c r="FS751" s="216"/>
      <c r="FT751" s="1657"/>
      <c r="FU751" s="1658"/>
      <c r="FV751" s="242"/>
      <c r="FW751" s="343"/>
      <c r="FX751" s="222"/>
      <c r="FY751" s="336"/>
      <c r="FZ751" s="223"/>
      <c r="GA751" s="338"/>
      <c r="GB751" s="204"/>
      <c r="GC751" s="339"/>
      <c r="GD751" s="342"/>
      <c r="GE751" s="199"/>
      <c r="GF751" s="199"/>
      <c r="GG751" s="199"/>
      <c r="GH751" s="199"/>
      <c r="GI751" s="199"/>
      <c r="GJ751" s="199"/>
      <c r="GK751" s="199"/>
      <c r="GO751" s="322"/>
      <c r="GP751" s="1190"/>
      <c r="GQ751" s="1190"/>
      <c r="GS751" s="2879"/>
      <c r="GT751" s="2880"/>
      <c r="GU751" s="2881"/>
    </row>
    <row r="752" spans="1:203" ht="12" customHeight="1">
      <c r="A752" s="1252"/>
      <c r="B752" s="200"/>
      <c r="C752" s="486"/>
      <c r="T752" s="1186"/>
      <c r="U752" s="233"/>
      <c r="W752" s="218"/>
      <c r="X752" s="218"/>
      <c r="Y752" s="216"/>
      <c r="Z752" s="216"/>
      <c r="AA752" s="215"/>
      <c r="AB752" s="216"/>
      <c r="AC752" s="216"/>
      <c r="AD752" s="239"/>
      <c r="AE752" s="216"/>
      <c r="AF752" s="216"/>
      <c r="AG752" s="216"/>
      <c r="AH752" s="216"/>
      <c r="AI752" s="216"/>
      <c r="AJ752" s="216"/>
      <c r="AK752" s="239"/>
      <c r="AL752" s="216"/>
      <c r="AM752" s="216"/>
      <c r="AN752" s="216"/>
      <c r="AO752" s="216"/>
      <c r="AP752" s="216"/>
      <c r="AQ752" s="216"/>
      <c r="AR752" s="216"/>
      <c r="AS752" s="216"/>
      <c r="AT752" s="216"/>
      <c r="AU752" s="216"/>
      <c r="AV752" s="217"/>
      <c r="AW752" s="355"/>
      <c r="AX752" s="217"/>
      <c r="AY752" s="305"/>
      <c r="AZ752" s="249"/>
      <c r="BA752" s="221"/>
      <c r="BB752" s="300"/>
      <c r="BC752" s="217"/>
      <c r="BD752" s="392"/>
      <c r="BE752" s="1244"/>
      <c r="BF752" s="249"/>
      <c r="BG752" s="252"/>
      <c r="BH752" s="1469"/>
      <c r="BI752" s="216"/>
      <c r="BJ752" s="1469"/>
      <c r="BK752" s="1459"/>
      <c r="BL752" s="260"/>
      <c r="BM752" s="214"/>
      <c r="BN752" s="293"/>
      <c r="BO752" s="217"/>
      <c r="BP752" s="355"/>
      <c r="BQ752" s="217"/>
      <c r="BR752" s="1193"/>
      <c r="BS752" s="249"/>
      <c r="BT752" s="216"/>
      <c r="BU752" s="1195"/>
      <c r="BV752" s="249"/>
      <c r="BW752" s="216"/>
      <c r="BX752" s="1195"/>
      <c r="BY752" s="249"/>
      <c r="BZ752" s="216"/>
      <c r="CA752" s="1195"/>
      <c r="CB752" s="249"/>
      <c r="CC752" s="216"/>
      <c r="CD752" s="1195"/>
      <c r="CE752" s="249"/>
      <c r="CF752" s="216"/>
      <c r="CG752" s="1195"/>
      <c r="CH752" s="249"/>
      <c r="CI752" s="216"/>
      <c r="CJ752" s="1195"/>
      <c r="CK752" s="249"/>
      <c r="CL752" s="216"/>
      <c r="CM752" s="1194"/>
      <c r="CN752" s="1524"/>
      <c r="CO752" s="217"/>
      <c r="CP752" s="1193"/>
      <c r="CQ752" s="293"/>
      <c r="CR752" s="217"/>
      <c r="CS752" s="305"/>
      <c r="CT752" s="249"/>
      <c r="CU752" s="216"/>
      <c r="CV752" s="1193"/>
      <c r="CW752" s="249"/>
      <c r="CX752" s="216"/>
      <c r="CY752" s="305"/>
      <c r="CZ752" s="249"/>
      <c r="DA752" s="216"/>
      <c r="DB752" s="307"/>
      <c r="DC752" s="328"/>
      <c r="DD752" s="322"/>
      <c r="DE752" s="305"/>
      <c r="DF752" s="249"/>
      <c r="DG752" s="216"/>
      <c r="DH752" s="305"/>
      <c r="DI752" s="249"/>
      <c r="DJ752" s="216"/>
      <c r="DK752" s="309"/>
      <c r="DL752" s="293"/>
      <c r="DM752" s="326"/>
      <c r="DN752" s="1256"/>
      <c r="DO752" s="214"/>
      <c r="DP752" s="1257"/>
      <c r="DQ752" s="1258"/>
      <c r="DR752" s="305"/>
      <c r="DS752" s="249"/>
      <c r="DT752" s="216"/>
      <c r="DU752" s="305"/>
      <c r="DV752" s="2520"/>
      <c r="DW752" s="2521"/>
      <c r="DX752" s="305"/>
      <c r="DY752" s="249"/>
      <c r="DZ752" s="221"/>
      <c r="EA752" s="388"/>
      <c r="EB752" s="249"/>
      <c r="EC752" s="216"/>
      <c r="ED752" s="1461"/>
      <c r="EE752" s="249"/>
      <c r="EF752" s="216"/>
      <c r="EG752" s="355"/>
      <c r="EH752" s="1425"/>
      <c r="EI752" s="1470"/>
      <c r="EJ752" s="249"/>
      <c r="EK752" s="221"/>
      <c r="EL752" s="313"/>
      <c r="EM752" s="249"/>
      <c r="EN752" s="221"/>
      <c r="EO752" s="313"/>
      <c r="EP752" s="249"/>
      <c r="EQ752" s="216"/>
      <c r="ER752" s="313"/>
      <c r="ES752" s="249"/>
      <c r="ET752" s="216"/>
      <c r="EU752" s="313"/>
      <c r="EV752" s="249"/>
      <c r="EW752" s="216"/>
      <c r="EX752" s="2505"/>
      <c r="EY752" s="249"/>
      <c r="EZ752" s="221"/>
      <c r="FA752" s="313"/>
      <c r="FB752" s="249"/>
      <c r="FC752" s="221"/>
      <c r="FD752" s="313"/>
      <c r="FE752" s="249"/>
      <c r="FF752" s="221"/>
      <c r="FG752" s="313"/>
      <c r="FH752" s="249"/>
      <c r="FI752" s="216"/>
      <c r="FJ752" s="1435"/>
      <c r="FK752" s="216"/>
      <c r="FL752" s="1268"/>
      <c r="FM752" s="1655"/>
      <c r="FN752" s="1268"/>
      <c r="FO752" s="1655"/>
      <c r="FP752" s="1268"/>
      <c r="FQ752" s="1656"/>
      <c r="FR752" s="249"/>
      <c r="FS752" s="216"/>
      <c r="FT752" s="1657"/>
      <c r="FU752" s="1658"/>
      <c r="FV752" s="242"/>
      <c r="FW752" s="343"/>
      <c r="FX752" s="222"/>
      <c r="FY752" s="336"/>
      <c r="FZ752" s="223"/>
      <c r="GA752" s="338"/>
      <c r="GB752" s="204"/>
      <c r="GC752" s="339"/>
      <c r="GD752" s="342"/>
      <c r="GE752" s="199"/>
      <c r="GF752" s="199"/>
      <c r="GG752" s="199"/>
      <c r="GH752" s="199"/>
      <c r="GI752" s="199"/>
      <c r="GJ752" s="199"/>
      <c r="GK752" s="199"/>
      <c r="GO752" s="322"/>
      <c r="GP752" s="1190"/>
      <c r="GQ752" s="1190"/>
      <c r="GS752" s="2879"/>
      <c r="GT752" s="2880"/>
      <c r="GU752" s="2881"/>
    </row>
    <row r="753" spans="1:203" ht="12" customHeight="1">
      <c r="A753" s="1252"/>
      <c r="B753" s="200"/>
      <c r="C753" s="486"/>
      <c r="T753" s="1186"/>
      <c r="U753" s="233"/>
      <c r="W753" s="218"/>
      <c r="X753" s="218"/>
      <c r="Y753" s="216"/>
      <c r="Z753" s="216"/>
      <c r="AA753" s="215"/>
      <c r="AB753" s="216"/>
      <c r="AC753" s="216"/>
      <c r="AD753" s="239"/>
      <c r="AE753" s="216"/>
      <c r="AF753" s="216"/>
      <c r="AG753" s="216"/>
      <c r="AH753" s="216"/>
      <c r="AI753" s="216"/>
      <c r="AJ753" s="216"/>
      <c r="AK753" s="239"/>
      <c r="AL753" s="216"/>
      <c r="AM753" s="216"/>
      <c r="AN753" s="216"/>
      <c r="AO753" s="216"/>
      <c r="AP753" s="216"/>
      <c r="AQ753" s="216"/>
      <c r="AR753" s="216"/>
      <c r="AS753" s="216"/>
      <c r="AT753" s="216"/>
      <c r="AU753" s="216"/>
      <c r="AV753" s="217"/>
      <c r="AW753" s="355"/>
      <c r="AX753" s="217"/>
      <c r="AY753" s="305"/>
      <c r="AZ753" s="249"/>
      <c r="BA753" s="221"/>
      <c r="BB753" s="300"/>
      <c r="BC753" s="217"/>
      <c r="BD753" s="392"/>
      <c r="BE753" s="1244"/>
      <c r="BF753" s="249"/>
      <c r="BG753" s="252"/>
      <c r="BH753" s="1469"/>
      <c r="BI753" s="216"/>
      <c r="BJ753" s="1469"/>
      <c r="BK753" s="1459"/>
      <c r="BL753" s="260"/>
      <c r="BM753" s="214"/>
      <c r="BN753" s="293"/>
      <c r="BO753" s="217"/>
      <c r="BP753" s="355"/>
      <c r="BQ753" s="217"/>
      <c r="BR753" s="1193"/>
      <c r="BS753" s="249"/>
      <c r="BT753" s="216"/>
      <c r="BU753" s="1195"/>
      <c r="BV753" s="249"/>
      <c r="BW753" s="216"/>
      <c r="BX753" s="1195"/>
      <c r="BY753" s="249"/>
      <c r="BZ753" s="216"/>
      <c r="CA753" s="1195"/>
      <c r="CB753" s="249"/>
      <c r="CC753" s="216"/>
      <c r="CD753" s="1195"/>
      <c r="CE753" s="249"/>
      <c r="CF753" s="216"/>
      <c r="CG753" s="1195"/>
      <c r="CH753" s="249"/>
      <c r="CI753" s="216"/>
      <c r="CJ753" s="1195"/>
      <c r="CK753" s="249"/>
      <c r="CL753" s="216"/>
      <c r="CM753" s="1194"/>
      <c r="CN753" s="1524"/>
      <c r="CO753" s="217"/>
      <c r="CP753" s="1193"/>
      <c r="CQ753" s="293"/>
      <c r="CR753" s="217"/>
      <c r="CS753" s="305"/>
      <c r="CT753" s="249"/>
      <c r="CU753" s="216"/>
      <c r="CV753" s="1193"/>
      <c r="CW753" s="249"/>
      <c r="CX753" s="216"/>
      <c r="CY753" s="305"/>
      <c r="CZ753" s="249"/>
      <c r="DA753" s="216"/>
      <c r="DB753" s="307"/>
      <c r="DC753" s="328"/>
      <c r="DD753" s="322"/>
      <c r="DE753" s="305"/>
      <c r="DF753" s="249"/>
      <c r="DG753" s="216"/>
      <c r="DH753" s="305"/>
      <c r="DI753" s="249"/>
      <c r="DJ753" s="216"/>
      <c r="DK753" s="309"/>
      <c r="DL753" s="293"/>
      <c r="DM753" s="326"/>
      <c r="DN753" s="1256"/>
      <c r="DO753" s="214"/>
      <c r="DP753" s="1257"/>
      <c r="DQ753" s="1258"/>
      <c r="DR753" s="305"/>
      <c r="DS753" s="249"/>
      <c r="DT753" s="216"/>
      <c r="DU753" s="305"/>
      <c r="DV753" s="2520"/>
      <c r="DW753" s="2521"/>
      <c r="DX753" s="305"/>
      <c r="DY753" s="249"/>
      <c r="DZ753" s="221"/>
      <c r="EA753" s="388"/>
      <c r="EB753" s="249"/>
      <c r="EC753" s="216"/>
      <c r="ED753" s="1461"/>
      <c r="EE753" s="249"/>
      <c r="EF753" s="216"/>
      <c r="EG753" s="355"/>
      <c r="EH753" s="1425"/>
      <c r="EI753" s="1470"/>
      <c r="EJ753" s="249"/>
      <c r="EK753" s="221"/>
      <c r="EL753" s="313"/>
      <c r="EM753" s="249"/>
      <c r="EN753" s="221"/>
      <c r="EO753" s="313"/>
      <c r="EP753" s="249"/>
      <c r="EQ753" s="216"/>
      <c r="ER753" s="313"/>
      <c r="ES753" s="249"/>
      <c r="ET753" s="216"/>
      <c r="EU753" s="313"/>
      <c r="EV753" s="249"/>
      <c r="EW753" s="216"/>
      <c r="EX753" s="2505"/>
      <c r="EY753" s="249"/>
      <c r="EZ753" s="221"/>
      <c r="FA753" s="313"/>
      <c r="FB753" s="249"/>
      <c r="FC753" s="221"/>
      <c r="FD753" s="313"/>
      <c r="FE753" s="249"/>
      <c r="FF753" s="221"/>
      <c r="FG753" s="313"/>
      <c r="FH753" s="249"/>
      <c r="FI753" s="216"/>
      <c r="FJ753" s="1435"/>
      <c r="FK753" s="216"/>
      <c r="FL753" s="1268"/>
      <c r="FM753" s="1655"/>
      <c r="FN753" s="1268"/>
      <c r="FO753" s="1655"/>
      <c r="FP753" s="1268"/>
      <c r="FQ753" s="1656"/>
      <c r="FR753" s="249"/>
      <c r="FS753" s="216"/>
      <c r="FT753" s="1657"/>
      <c r="FU753" s="1658"/>
      <c r="FV753" s="242"/>
      <c r="FW753" s="343"/>
      <c r="FX753" s="222"/>
      <c r="FY753" s="336"/>
      <c r="FZ753" s="223"/>
      <c r="GA753" s="338"/>
      <c r="GB753" s="204"/>
      <c r="GC753" s="339"/>
      <c r="GD753" s="342"/>
      <c r="GE753" s="199"/>
      <c r="GF753" s="199"/>
      <c r="GG753" s="199"/>
      <c r="GH753" s="199"/>
      <c r="GI753" s="199"/>
      <c r="GJ753" s="199"/>
      <c r="GK753" s="199"/>
      <c r="GO753" s="322"/>
      <c r="GP753" s="1190"/>
      <c r="GQ753" s="1190"/>
      <c r="GS753" s="2879"/>
      <c r="GT753" s="2880"/>
      <c r="GU753" s="2881"/>
    </row>
    <row r="754" spans="1:203" ht="12" customHeight="1">
      <c r="A754" s="1252"/>
      <c r="B754" s="200"/>
      <c r="C754" s="486"/>
      <c r="T754" s="1186"/>
      <c r="U754" s="233"/>
      <c r="W754" s="218"/>
      <c r="X754" s="218"/>
      <c r="Y754" s="216"/>
      <c r="Z754" s="216"/>
      <c r="AA754" s="215"/>
      <c r="AB754" s="216"/>
      <c r="AC754" s="216"/>
      <c r="AD754" s="239"/>
      <c r="AE754" s="216"/>
      <c r="AF754" s="216"/>
      <c r="AG754" s="216"/>
      <c r="AH754" s="216"/>
      <c r="AI754" s="216"/>
      <c r="AJ754" s="216"/>
      <c r="AK754" s="239"/>
      <c r="AL754" s="216"/>
      <c r="AM754" s="216"/>
      <c r="AN754" s="216"/>
      <c r="AO754" s="216"/>
      <c r="AP754" s="216"/>
      <c r="AQ754" s="216"/>
      <c r="AR754" s="216"/>
      <c r="AS754" s="216"/>
      <c r="AT754" s="216"/>
      <c r="AU754" s="216"/>
      <c r="AV754" s="217"/>
      <c r="AW754" s="355"/>
      <c r="AX754" s="217"/>
      <c r="AY754" s="305"/>
      <c r="AZ754" s="249"/>
      <c r="BA754" s="221"/>
      <c r="BB754" s="300"/>
      <c r="BC754" s="217"/>
      <c r="BD754" s="392"/>
      <c r="BE754" s="1244"/>
      <c r="BF754" s="249"/>
      <c r="BG754" s="252"/>
      <c r="BH754" s="1469"/>
      <c r="BI754" s="216"/>
      <c r="BJ754" s="1469"/>
      <c r="BK754" s="1459"/>
      <c r="BL754" s="260"/>
      <c r="BM754" s="214"/>
      <c r="BN754" s="293"/>
      <c r="BO754" s="217"/>
      <c r="BP754" s="355"/>
      <c r="BQ754" s="217"/>
      <c r="BR754" s="1193"/>
      <c r="BS754" s="249"/>
      <c r="BT754" s="216"/>
      <c r="BU754" s="1195"/>
      <c r="BV754" s="249"/>
      <c r="BW754" s="216"/>
      <c r="BX754" s="1195"/>
      <c r="BY754" s="249"/>
      <c r="BZ754" s="216"/>
      <c r="CA754" s="1195"/>
      <c r="CB754" s="249"/>
      <c r="CC754" s="216"/>
      <c r="CD754" s="1195"/>
      <c r="CE754" s="249"/>
      <c r="CF754" s="216"/>
      <c r="CG754" s="1195"/>
      <c r="CH754" s="249"/>
      <c r="CI754" s="216"/>
      <c r="CJ754" s="1195"/>
      <c r="CK754" s="249"/>
      <c r="CL754" s="216"/>
      <c r="CM754" s="1194"/>
      <c r="CN754" s="1524"/>
      <c r="CO754" s="217"/>
      <c r="CP754" s="1193"/>
      <c r="CQ754" s="293"/>
      <c r="CR754" s="217"/>
      <c r="CS754" s="305"/>
      <c r="CT754" s="249"/>
      <c r="CU754" s="216"/>
      <c r="CV754" s="1193"/>
      <c r="CW754" s="249"/>
      <c r="CX754" s="216"/>
      <c r="CY754" s="305"/>
      <c r="CZ754" s="249"/>
      <c r="DA754" s="216"/>
      <c r="DB754" s="307"/>
      <c r="DC754" s="328"/>
      <c r="DD754" s="322"/>
      <c r="DE754" s="305"/>
      <c r="DF754" s="249"/>
      <c r="DG754" s="216"/>
      <c r="DH754" s="305"/>
      <c r="DI754" s="249"/>
      <c r="DJ754" s="216"/>
      <c r="DK754" s="309"/>
      <c r="DL754" s="293"/>
      <c r="DM754" s="326"/>
      <c r="DN754" s="1256"/>
      <c r="DO754" s="214"/>
      <c r="DP754" s="1257"/>
      <c r="DQ754" s="1258"/>
      <c r="DR754" s="305"/>
      <c r="DS754" s="249"/>
      <c r="DT754" s="216"/>
      <c r="DU754" s="305"/>
      <c r="DV754" s="2520"/>
      <c r="DW754" s="2521"/>
      <c r="DX754" s="305"/>
      <c r="DY754" s="249"/>
      <c r="DZ754" s="221"/>
      <c r="EA754" s="388"/>
      <c r="EB754" s="249"/>
      <c r="EC754" s="216"/>
      <c r="ED754" s="1461"/>
      <c r="EE754" s="249"/>
      <c r="EF754" s="216"/>
      <c r="EG754" s="355"/>
      <c r="EH754" s="1425"/>
      <c r="EI754" s="1470"/>
      <c r="EJ754" s="249"/>
      <c r="EK754" s="221"/>
      <c r="EL754" s="313"/>
      <c r="EM754" s="249"/>
      <c r="EN754" s="221"/>
      <c r="EO754" s="313"/>
      <c r="EP754" s="249"/>
      <c r="EQ754" s="216"/>
      <c r="ER754" s="313"/>
      <c r="ES754" s="249"/>
      <c r="ET754" s="216"/>
      <c r="EU754" s="313"/>
      <c r="EV754" s="249"/>
      <c r="EW754" s="216"/>
      <c r="EX754" s="2505"/>
      <c r="EY754" s="249"/>
      <c r="EZ754" s="221"/>
      <c r="FA754" s="313"/>
      <c r="FB754" s="249"/>
      <c r="FC754" s="221"/>
      <c r="FD754" s="313"/>
      <c r="FE754" s="249"/>
      <c r="FF754" s="221"/>
      <c r="FG754" s="313"/>
      <c r="FH754" s="249"/>
      <c r="FI754" s="216"/>
      <c r="FJ754" s="1435"/>
      <c r="FK754" s="216"/>
      <c r="FL754" s="1268"/>
      <c r="FM754" s="1655"/>
      <c r="FN754" s="1268"/>
      <c r="FO754" s="1655"/>
      <c r="FP754" s="1268"/>
      <c r="FQ754" s="1656"/>
      <c r="FR754" s="249"/>
      <c r="FS754" s="216"/>
      <c r="FT754" s="1657"/>
      <c r="FU754" s="1658"/>
      <c r="FV754" s="242"/>
      <c r="FW754" s="343"/>
      <c r="FX754" s="222"/>
      <c r="FY754" s="336"/>
      <c r="FZ754" s="223"/>
      <c r="GA754" s="338"/>
      <c r="GB754" s="204"/>
      <c r="GC754" s="339"/>
      <c r="GD754" s="342"/>
      <c r="GE754" s="199"/>
      <c r="GF754" s="199"/>
      <c r="GG754" s="199"/>
      <c r="GH754" s="199"/>
      <c r="GI754" s="199"/>
      <c r="GJ754" s="199"/>
      <c r="GK754" s="199"/>
      <c r="GO754" s="322"/>
      <c r="GP754" s="1190"/>
      <c r="GQ754" s="1190"/>
      <c r="GS754" s="2879"/>
      <c r="GT754" s="2880"/>
      <c r="GU754" s="2881"/>
    </row>
    <row r="755" spans="1:203" ht="12" customHeight="1">
      <c r="A755" s="1252"/>
      <c r="B755" s="200"/>
      <c r="C755" s="486"/>
      <c r="T755" s="1186"/>
      <c r="U755" s="233"/>
      <c r="W755" s="218"/>
      <c r="X755" s="218"/>
      <c r="Y755" s="216"/>
      <c r="Z755" s="216"/>
      <c r="AA755" s="215"/>
      <c r="AB755" s="216"/>
      <c r="AC755" s="216"/>
      <c r="AD755" s="239"/>
      <c r="AE755" s="216"/>
      <c r="AF755" s="216"/>
      <c r="AG755" s="216"/>
      <c r="AH755" s="216"/>
      <c r="AI755" s="216"/>
      <c r="AJ755" s="216"/>
      <c r="AK755" s="239"/>
      <c r="AL755" s="216"/>
      <c r="AM755" s="216"/>
      <c r="AN755" s="216"/>
      <c r="AO755" s="216"/>
      <c r="AP755" s="216"/>
      <c r="AQ755" s="216"/>
      <c r="AR755" s="216"/>
      <c r="AS755" s="216"/>
      <c r="AT755" s="216"/>
      <c r="AU755" s="216"/>
      <c r="AV755" s="217"/>
      <c r="AW755" s="355"/>
      <c r="AX755" s="217"/>
      <c r="AY755" s="305"/>
      <c r="AZ755" s="249"/>
      <c r="BA755" s="221"/>
      <c r="BB755" s="300"/>
      <c r="BC755" s="217"/>
      <c r="BD755" s="392"/>
      <c r="BE755" s="1244"/>
      <c r="BF755" s="249"/>
      <c r="BG755" s="252"/>
      <c r="BH755" s="1469"/>
      <c r="BI755" s="216"/>
      <c r="BJ755" s="1469"/>
      <c r="BK755" s="1459"/>
      <c r="BL755" s="260"/>
      <c r="BM755" s="214"/>
      <c r="BN755" s="293"/>
      <c r="BO755" s="217"/>
      <c r="BP755" s="355"/>
      <c r="BQ755" s="217"/>
      <c r="BR755" s="1193"/>
      <c r="BS755" s="249"/>
      <c r="BT755" s="216"/>
      <c r="BU755" s="1195"/>
      <c r="BV755" s="249"/>
      <c r="BW755" s="216"/>
      <c r="BX755" s="1195"/>
      <c r="BY755" s="249"/>
      <c r="BZ755" s="216"/>
      <c r="CA755" s="1195"/>
      <c r="CB755" s="249"/>
      <c r="CC755" s="216"/>
      <c r="CD755" s="1195"/>
      <c r="CE755" s="249"/>
      <c r="CF755" s="216"/>
      <c r="CG755" s="1195"/>
      <c r="CH755" s="249"/>
      <c r="CI755" s="216"/>
      <c r="CJ755" s="1195"/>
      <c r="CK755" s="249"/>
      <c r="CL755" s="216"/>
      <c r="CM755" s="1194"/>
      <c r="CN755" s="1524"/>
      <c r="CO755" s="217"/>
      <c r="CP755" s="1193"/>
      <c r="CQ755" s="293"/>
      <c r="CR755" s="217"/>
      <c r="CS755" s="305"/>
      <c r="CT755" s="249"/>
      <c r="CU755" s="216"/>
      <c r="CV755" s="1193"/>
      <c r="CW755" s="249"/>
      <c r="CX755" s="216"/>
      <c r="CY755" s="305"/>
      <c r="CZ755" s="249"/>
      <c r="DA755" s="216"/>
      <c r="DB755" s="307"/>
      <c r="DC755" s="328"/>
      <c r="DD755" s="322"/>
      <c r="DE755" s="305"/>
      <c r="DF755" s="249"/>
      <c r="DG755" s="216"/>
      <c r="DH755" s="305"/>
      <c r="DI755" s="249"/>
      <c r="DJ755" s="216"/>
      <c r="DK755" s="309"/>
      <c r="DL755" s="293"/>
      <c r="DM755" s="326"/>
      <c r="DN755" s="1256"/>
      <c r="DO755" s="214"/>
      <c r="DP755" s="1257"/>
      <c r="DQ755" s="1258"/>
      <c r="DR755" s="305"/>
      <c r="DS755" s="249"/>
      <c r="DT755" s="216"/>
      <c r="DU755" s="305"/>
      <c r="DV755" s="2520"/>
      <c r="DW755" s="2521"/>
      <c r="DX755" s="305"/>
      <c r="DY755" s="249"/>
      <c r="DZ755" s="221"/>
      <c r="EA755" s="388"/>
      <c r="EB755" s="249"/>
      <c r="EC755" s="216"/>
      <c r="ED755" s="1461"/>
      <c r="EE755" s="249"/>
      <c r="EF755" s="216"/>
      <c r="EG755" s="355"/>
      <c r="EH755" s="1425"/>
      <c r="EI755" s="1470"/>
      <c r="EJ755" s="249"/>
      <c r="EK755" s="221"/>
      <c r="EL755" s="313"/>
      <c r="EM755" s="249"/>
      <c r="EN755" s="221"/>
      <c r="EO755" s="313"/>
      <c r="EP755" s="249"/>
      <c r="EQ755" s="216"/>
      <c r="ER755" s="313"/>
      <c r="ES755" s="249"/>
      <c r="ET755" s="216"/>
      <c r="EU755" s="313"/>
      <c r="EV755" s="249"/>
      <c r="EW755" s="216"/>
      <c r="EX755" s="2505"/>
      <c r="EY755" s="249"/>
      <c r="EZ755" s="221"/>
      <c r="FA755" s="313"/>
      <c r="FB755" s="249"/>
      <c r="FC755" s="221"/>
      <c r="FD755" s="313"/>
      <c r="FE755" s="249"/>
      <c r="FF755" s="221"/>
      <c r="FG755" s="313"/>
      <c r="FH755" s="249"/>
      <c r="FI755" s="216"/>
      <c r="FJ755" s="1435"/>
      <c r="FK755" s="216"/>
      <c r="FL755" s="1268"/>
      <c r="FM755" s="1655"/>
      <c r="FN755" s="1268"/>
      <c r="FO755" s="1655"/>
      <c r="FP755" s="1268"/>
      <c r="FQ755" s="1656"/>
      <c r="FR755" s="249"/>
      <c r="FS755" s="216"/>
      <c r="FT755" s="1657"/>
      <c r="FU755" s="1658"/>
      <c r="FV755" s="242"/>
      <c r="FW755" s="343"/>
      <c r="FX755" s="222"/>
      <c r="FY755" s="336"/>
      <c r="FZ755" s="223"/>
      <c r="GA755" s="338"/>
      <c r="GB755" s="204"/>
      <c r="GC755" s="339"/>
      <c r="GD755" s="342"/>
      <c r="GE755" s="199"/>
      <c r="GF755" s="199"/>
      <c r="GG755" s="199"/>
      <c r="GH755" s="199"/>
      <c r="GI755" s="199"/>
      <c r="GJ755" s="199"/>
      <c r="GK755" s="199"/>
      <c r="GO755" s="322"/>
      <c r="GP755" s="1190"/>
      <c r="GQ755" s="1190"/>
      <c r="GS755" s="2879"/>
      <c r="GT755" s="2880"/>
      <c r="GU755" s="2881"/>
    </row>
    <row r="756" spans="1:203" ht="12" customHeight="1">
      <c r="A756" s="1252"/>
      <c r="B756" s="200"/>
      <c r="C756" s="486"/>
      <c r="T756" s="1186"/>
      <c r="U756" s="233"/>
      <c r="W756" s="218"/>
      <c r="X756" s="218"/>
      <c r="Y756" s="216"/>
      <c r="Z756" s="216"/>
      <c r="AA756" s="215"/>
      <c r="AB756" s="216"/>
      <c r="AC756" s="216"/>
      <c r="AD756" s="239"/>
      <c r="AE756" s="216"/>
      <c r="AF756" s="216"/>
      <c r="AG756" s="216"/>
      <c r="AH756" s="216"/>
      <c r="AI756" s="216"/>
      <c r="AJ756" s="216"/>
      <c r="AK756" s="239"/>
      <c r="AL756" s="216"/>
      <c r="AM756" s="216"/>
      <c r="AN756" s="216"/>
      <c r="AO756" s="216"/>
      <c r="AP756" s="216"/>
      <c r="AQ756" s="216"/>
      <c r="AR756" s="216"/>
      <c r="AS756" s="216"/>
      <c r="AT756" s="216"/>
      <c r="AU756" s="216"/>
      <c r="AV756" s="217"/>
      <c r="AW756" s="355"/>
      <c r="AX756" s="217"/>
      <c r="AY756" s="305"/>
      <c r="AZ756" s="249"/>
      <c r="BA756" s="221"/>
      <c r="BB756" s="300"/>
      <c r="BC756" s="217"/>
      <c r="BD756" s="392"/>
      <c r="BE756" s="1244"/>
      <c r="BF756" s="249"/>
      <c r="BG756" s="252"/>
      <c r="BH756" s="1469"/>
      <c r="BI756" s="216"/>
      <c r="BJ756" s="1469"/>
      <c r="BK756" s="1459"/>
      <c r="BL756" s="260"/>
      <c r="BM756" s="214"/>
      <c r="BN756" s="293"/>
      <c r="BO756" s="217"/>
      <c r="BP756" s="355"/>
      <c r="BQ756" s="217"/>
      <c r="BR756" s="1193"/>
      <c r="BS756" s="249"/>
      <c r="BT756" s="216"/>
      <c r="BU756" s="1195"/>
      <c r="BV756" s="249"/>
      <c r="BW756" s="216"/>
      <c r="BX756" s="1195"/>
      <c r="BY756" s="249"/>
      <c r="BZ756" s="216"/>
      <c r="CA756" s="1195"/>
      <c r="CB756" s="249"/>
      <c r="CC756" s="216"/>
      <c r="CD756" s="1195"/>
      <c r="CE756" s="249"/>
      <c r="CF756" s="216"/>
      <c r="CG756" s="1195"/>
      <c r="CH756" s="249"/>
      <c r="CI756" s="216"/>
      <c r="CJ756" s="1195"/>
      <c r="CK756" s="249"/>
      <c r="CL756" s="216"/>
      <c r="CM756" s="1194"/>
      <c r="CN756" s="1524"/>
      <c r="CO756" s="217"/>
      <c r="CP756" s="1193"/>
      <c r="CQ756" s="293"/>
      <c r="CR756" s="217"/>
      <c r="CS756" s="305"/>
      <c r="CT756" s="249"/>
      <c r="CU756" s="216"/>
      <c r="CV756" s="1193"/>
      <c r="CW756" s="249"/>
      <c r="CX756" s="216"/>
      <c r="CY756" s="305"/>
      <c r="CZ756" s="249"/>
      <c r="DA756" s="216"/>
      <c r="DB756" s="307"/>
      <c r="DC756" s="328"/>
      <c r="DD756" s="322"/>
      <c r="DE756" s="305"/>
      <c r="DF756" s="249"/>
      <c r="DG756" s="216"/>
      <c r="DH756" s="305"/>
      <c r="DI756" s="249"/>
      <c r="DJ756" s="216"/>
      <c r="DK756" s="309"/>
      <c r="DL756" s="293"/>
      <c r="DM756" s="326"/>
      <c r="DN756" s="1256"/>
      <c r="DO756" s="214"/>
      <c r="DP756" s="1257"/>
      <c r="DQ756" s="1258"/>
      <c r="DR756" s="305"/>
      <c r="DS756" s="249"/>
      <c r="DT756" s="216"/>
      <c r="DU756" s="305"/>
      <c r="DV756" s="2520"/>
      <c r="DW756" s="2521"/>
      <c r="DX756" s="305"/>
      <c r="DY756" s="249"/>
      <c r="DZ756" s="221"/>
      <c r="EA756" s="388"/>
      <c r="EB756" s="249"/>
      <c r="EC756" s="216"/>
      <c r="ED756" s="1461"/>
      <c r="EE756" s="249"/>
      <c r="EF756" s="216"/>
      <c r="EG756" s="355"/>
      <c r="EH756" s="1425"/>
      <c r="EI756" s="1470"/>
      <c r="EJ756" s="249"/>
      <c r="EK756" s="221"/>
      <c r="EL756" s="313"/>
      <c r="EM756" s="249"/>
      <c r="EN756" s="221"/>
      <c r="EO756" s="313"/>
      <c r="EP756" s="249"/>
      <c r="EQ756" s="216"/>
      <c r="ER756" s="313"/>
      <c r="ES756" s="249"/>
      <c r="ET756" s="216"/>
      <c r="EU756" s="313"/>
      <c r="EV756" s="249"/>
      <c r="EW756" s="216"/>
      <c r="EX756" s="2505"/>
      <c r="EY756" s="249"/>
      <c r="EZ756" s="221"/>
      <c r="FA756" s="313"/>
      <c r="FB756" s="249"/>
      <c r="FC756" s="221"/>
      <c r="FD756" s="313"/>
      <c r="FE756" s="249"/>
      <c r="FF756" s="221"/>
      <c r="FG756" s="313"/>
      <c r="FH756" s="249"/>
      <c r="FI756" s="216"/>
      <c r="FJ756" s="1435"/>
      <c r="FK756" s="216"/>
      <c r="FL756" s="1268"/>
      <c r="FM756" s="1655"/>
      <c r="FN756" s="1268"/>
      <c r="FO756" s="1655"/>
      <c r="FP756" s="1268"/>
      <c r="FQ756" s="1656"/>
      <c r="FR756" s="249"/>
      <c r="FS756" s="216"/>
      <c r="FT756" s="1657"/>
      <c r="FU756" s="1658"/>
      <c r="FV756" s="242"/>
      <c r="FW756" s="343"/>
      <c r="FX756" s="222"/>
      <c r="FY756" s="336"/>
      <c r="FZ756" s="223"/>
      <c r="GA756" s="338"/>
      <c r="GB756" s="204"/>
      <c r="GC756" s="339"/>
      <c r="GD756" s="342"/>
      <c r="GE756" s="199"/>
      <c r="GF756" s="199"/>
      <c r="GG756" s="199"/>
      <c r="GH756" s="199"/>
      <c r="GI756" s="199"/>
      <c r="GJ756" s="199"/>
      <c r="GK756" s="199"/>
      <c r="GO756" s="322"/>
      <c r="GP756" s="1190"/>
      <c r="GQ756" s="1190"/>
      <c r="GS756" s="2879"/>
      <c r="GT756" s="2880"/>
      <c r="GU756" s="2881"/>
    </row>
    <row r="757" spans="1:203" ht="12" customHeight="1">
      <c r="A757" s="1252"/>
      <c r="B757" s="200"/>
      <c r="C757" s="486"/>
      <c r="T757" s="1186"/>
      <c r="U757" s="233"/>
      <c r="W757" s="218"/>
      <c r="X757" s="218"/>
      <c r="Y757" s="216"/>
      <c r="Z757" s="216"/>
      <c r="AA757" s="215"/>
      <c r="AB757" s="216"/>
      <c r="AC757" s="216"/>
      <c r="AD757" s="239"/>
      <c r="AE757" s="216"/>
      <c r="AF757" s="216"/>
      <c r="AG757" s="216"/>
      <c r="AH757" s="216"/>
      <c r="AI757" s="216"/>
      <c r="AJ757" s="216"/>
      <c r="AK757" s="239"/>
      <c r="AL757" s="216"/>
      <c r="AM757" s="216"/>
      <c r="AN757" s="216"/>
      <c r="AO757" s="216"/>
      <c r="AP757" s="216"/>
      <c r="AQ757" s="216"/>
      <c r="AR757" s="216"/>
      <c r="AS757" s="216"/>
      <c r="AT757" s="216"/>
      <c r="AU757" s="216"/>
      <c r="AV757" s="217"/>
      <c r="AW757" s="355"/>
      <c r="AX757" s="217"/>
      <c r="AY757" s="305"/>
      <c r="AZ757" s="249"/>
      <c r="BA757" s="221"/>
      <c r="BB757" s="300"/>
      <c r="BC757" s="217"/>
      <c r="BD757" s="392"/>
      <c r="BE757" s="1244"/>
      <c r="BF757" s="249"/>
      <c r="BG757" s="252"/>
      <c r="BH757" s="1469"/>
      <c r="BI757" s="216"/>
      <c r="BJ757" s="1469"/>
      <c r="BK757" s="1459"/>
      <c r="BL757" s="260"/>
      <c r="BM757" s="214"/>
      <c r="BN757" s="293"/>
      <c r="BO757" s="217"/>
      <c r="BP757" s="355"/>
      <c r="BQ757" s="217"/>
      <c r="BR757" s="1193"/>
      <c r="BS757" s="249"/>
      <c r="BT757" s="216"/>
      <c r="BU757" s="1195"/>
      <c r="BV757" s="249"/>
      <c r="BW757" s="216"/>
      <c r="BX757" s="1195"/>
      <c r="BY757" s="249"/>
      <c r="BZ757" s="216"/>
      <c r="CA757" s="1195"/>
      <c r="CB757" s="249"/>
      <c r="CC757" s="216"/>
      <c r="CD757" s="1195"/>
      <c r="CE757" s="249"/>
      <c r="CF757" s="216"/>
      <c r="CG757" s="1195"/>
      <c r="CH757" s="249"/>
      <c r="CI757" s="216"/>
      <c r="CJ757" s="1195"/>
      <c r="CK757" s="249"/>
      <c r="CL757" s="216"/>
      <c r="CM757" s="1194"/>
      <c r="CN757" s="1524"/>
      <c r="CO757" s="217"/>
      <c r="CP757" s="1193"/>
      <c r="CQ757" s="293"/>
      <c r="CR757" s="217"/>
      <c r="CS757" s="305"/>
      <c r="CT757" s="249"/>
      <c r="CU757" s="216"/>
      <c r="CV757" s="1193"/>
      <c r="CW757" s="249"/>
      <c r="CX757" s="216"/>
      <c r="CY757" s="305"/>
      <c r="CZ757" s="249"/>
      <c r="DA757" s="216"/>
      <c r="DB757" s="307"/>
      <c r="DC757" s="328"/>
      <c r="DD757" s="322"/>
      <c r="DE757" s="305"/>
      <c r="DF757" s="249"/>
      <c r="DG757" s="216"/>
      <c r="DH757" s="305"/>
      <c r="DI757" s="249"/>
      <c r="DJ757" s="216"/>
      <c r="DK757" s="309"/>
      <c r="DL757" s="293"/>
      <c r="DM757" s="326"/>
      <c r="DN757" s="1256"/>
      <c r="DO757" s="214"/>
      <c r="DP757" s="1257"/>
      <c r="DQ757" s="1258"/>
      <c r="DR757" s="305"/>
      <c r="DS757" s="249"/>
      <c r="DT757" s="216"/>
      <c r="DU757" s="305"/>
      <c r="DV757" s="2520"/>
      <c r="DW757" s="2521"/>
      <c r="DX757" s="305"/>
      <c r="DY757" s="249"/>
      <c r="DZ757" s="221"/>
      <c r="EA757" s="388"/>
      <c r="EB757" s="249"/>
      <c r="EC757" s="216"/>
      <c r="ED757" s="1461"/>
      <c r="EE757" s="249"/>
      <c r="EF757" s="216"/>
      <c r="EG757" s="355"/>
      <c r="EH757" s="1425"/>
      <c r="EI757" s="1470"/>
      <c r="EJ757" s="249"/>
      <c r="EK757" s="221"/>
      <c r="EL757" s="313"/>
      <c r="EM757" s="249"/>
      <c r="EN757" s="221"/>
      <c r="EO757" s="313"/>
      <c r="EP757" s="249"/>
      <c r="EQ757" s="216"/>
      <c r="ER757" s="313"/>
      <c r="ES757" s="249"/>
      <c r="ET757" s="216"/>
      <c r="EU757" s="313"/>
      <c r="EV757" s="249"/>
      <c r="EW757" s="216"/>
      <c r="EX757" s="2505"/>
      <c r="EY757" s="249"/>
      <c r="EZ757" s="221"/>
      <c r="FA757" s="313"/>
      <c r="FB757" s="249"/>
      <c r="FC757" s="221"/>
      <c r="FD757" s="313"/>
      <c r="FE757" s="249"/>
      <c r="FF757" s="221"/>
      <c r="FG757" s="313"/>
      <c r="FH757" s="249"/>
      <c r="FI757" s="216"/>
      <c r="FJ757" s="1435"/>
      <c r="FK757" s="216"/>
      <c r="FL757" s="1268"/>
      <c r="FM757" s="1655"/>
      <c r="FN757" s="1268"/>
      <c r="FO757" s="1655"/>
      <c r="FP757" s="1268"/>
      <c r="FQ757" s="1656"/>
      <c r="FR757" s="249"/>
      <c r="FS757" s="216"/>
      <c r="FT757" s="1657"/>
      <c r="FU757" s="1658"/>
      <c r="FV757" s="242"/>
      <c r="FW757" s="343"/>
      <c r="FX757" s="222"/>
      <c r="FY757" s="336"/>
      <c r="FZ757" s="223"/>
      <c r="GA757" s="338"/>
      <c r="GB757" s="204"/>
      <c r="GC757" s="339"/>
      <c r="GD757" s="342"/>
      <c r="GE757" s="199"/>
      <c r="GF757" s="199"/>
      <c r="GG757" s="199"/>
      <c r="GH757" s="199"/>
      <c r="GI757" s="199"/>
      <c r="GJ757" s="199"/>
      <c r="GK757" s="199"/>
      <c r="GO757" s="322"/>
      <c r="GP757" s="1190"/>
      <c r="GQ757" s="1190"/>
      <c r="GS757" s="2879"/>
      <c r="GT757" s="2880"/>
      <c r="GU757" s="2881"/>
    </row>
    <row r="758" spans="1:203" ht="12" customHeight="1">
      <c r="A758" s="1252"/>
      <c r="B758" s="200"/>
      <c r="C758" s="486"/>
      <c r="T758" s="1186"/>
      <c r="U758" s="233"/>
      <c r="W758" s="218"/>
      <c r="X758" s="218"/>
      <c r="Y758" s="216"/>
      <c r="Z758" s="216"/>
      <c r="AA758" s="215"/>
      <c r="AB758" s="216"/>
      <c r="AC758" s="216"/>
      <c r="AD758" s="239"/>
      <c r="AE758" s="216"/>
      <c r="AF758" s="216"/>
      <c r="AG758" s="216"/>
      <c r="AH758" s="216"/>
      <c r="AI758" s="216"/>
      <c r="AJ758" s="216"/>
      <c r="AK758" s="239"/>
      <c r="AL758" s="216"/>
      <c r="AM758" s="216"/>
      <c r="AN758" s="216"/>
      <c r="AO758" s="216"/>
      <c r="AP758" s="216"/>
      <c r="AQ758" s="216"/>
      <c r="AR758" s="216"/>
      <c r="AS758" s="216"/>
      <c r="AT758" s="216"/>
      <c r="AU758" s="216"/>
      <c r="AV758" s="217"/>
      <c r="AW758" s="355"/>
      <c r="AX758" s="217"/>
      <c r="AY758" s="305"/>
      <c r="AZ758" s="249"/>
      <c r="BA758" s="221"/>
      <c r="BB758" s="300"/>
      <c r="BC758" s="217"/>
      <c r="BD758" s="392"/>
      <c r="BE758" s="1244"/>
      <c r="BF758" s="249"/>
      <c r="BG758" s="252"/>
      <c r="BH758" s="1469"/>
      <c r="BI758" s="216"/>
      <c r="BJ758" s="1469"/>
      <c r="BK758" s="1459"/>
      <c r="BL758" s="260"/>
      <c r="BM758" s="214"/>
      <c r="BN758" s="293"/>
      <c r="BO758" s="217"/>
      <c r="BP758" s="355"/>
      <c r="BQ758" s="217"/>
      <c r="BR758" s="1193"/>
      <c r="BS758" s="249"/>
      <c r="BT758" s="216"/>
      <c r="BU758" s="1195"/>
      <c r="BV758" s="249"/>
      <c r="BW758" s="216"/>
      <c r="BX758" s="1195"/>
      <c r="BY758" s="249"/>
      <c r="BZ758" s="216"/>
      <c r="CA758" s="1195"/>
      <c r="CB758" s="249"/>
      <c r="CC758" s="216"/>
      <c r="CD758" s="1195"/>
      <c r="CE758" s="249"/>
      <c r="CF758" s="216"/>
      <c r="CG758" s="1195"/>
      <c r="CH758" s="249"/>
      <c r="CI758" s="216"/>
      <c r="CJ758" s="1195"/>
      <c r="CK758" s="249"/>
      <c r="CL758" s="216"/>
      <c r="CM758" s="1194"/>
      <c r="CN758" s="1524"/>
      <c r="CO758" s="217"/>
      <c r="CP758" s="1193"/>
      <c r="CQ758" s="293"/>
      <c r="CR758" s="217"/>
      <c r="CS758" s="305"/>
      <c r="CT758" s="249"/>
      <c r="CU758" s="216"/>
      <c r="CV758" s="1193"/>
      <c r="CW758" s="249"/>
      <c r="CX758" s="216"/>
      <c r="CY758" s="305"/>
      <c r="CZ758" s="249"/>
      <c r="DA758" s="216"/>
      <c r="DB758" s="307"/>
      <c r="DC758" s="328"/>
      <c r="DD758" s="322"/>
      <c r="DE758" s="305"/>
      <c r="DF758" s="249"/>
      <c r="DG758" s="216"/>
      <c r="DH758" s="305"/>
      <c r="DI758" s="249"/>
      <c r="DJ758" s="216"/>
      <c r="DK758" s="309"/>
      <c r="DL758" s="293"/>
      <c r="DM758" s="326"/>
      <c r="DN758" s="1256"/>
      <c r="DO758" s="214"/>
      <c r="DP758" s="1257"/>
      <c r="DQ758" s="1258"/>
      <c r="DR758" s="305"/>
      <c r="DS758" s="249"/>
      <c r="DT758" s="216"/>
      <c r="DU758" s="305"/>
      <c r="DV758" s="2520"/>
      <c r="DW758" s="2521"/>
      <c r="DX758" s="305"/>
      <c r="DY758" s="249"/>
      <c r="DZ758" s="221"/>
      <c r="EA758" s="388"/>
      <c r="EB758" s="249"/>
      <c r="EC758" s="216"/>
      <c r="ED758" s="1461"/>
      <c r="EE758" s="249"/>
      <c r="EF758" s="216"/>
      <c r="EG758" s="355"/>
      <c r="EH758" s="1425"/>
      <c r="EI758" s="1470"/>
      <c r="EJ758" s="249"/>
      <c r="EK758" s="221"/>
      <c r="EL758" s="313"/>
      <c r="EM758" s="249"/>
      <c r="EN758" s="221"/>
      <c r="EO758" s="313"/>
      <c r="EP758" s="249"/>
      <c r="EQ758" s="216"/>
      <c r="ER758" s="313"/>
      <c r="ES758" s="249"/>
      <c r="ET758" s="216"/>
      <c r="EU758" s="313"/>
      <c r="EV758" s="249"/>
      <c r="EW758" s="216"/>
      <c r="EX758" s="2505"/>
      <c r="EY758" s="249"/>
      <c r="EZ758" s="221"/>
      <c r="FA758" s="313"/>
      <c r="FB758" s="249"/>
      <c r="FC758" s="221"/>
      <c r="FD758" s="313"/>
      <c r="FE758" s="249"/>
      <c r="FF758" s="221"/>
      <c r="FG758" s="313"/>
      <c r="FH758" s="249"/>
      <c r="FI758" s="216"/>
      <c r="FJ758" s="1435"/>
      <c r="FK758" s="216"/>
      <c r="FL758" s="1268"/>
      <c r="FM758" s="1655"/>
      <c r="FN758" s="1268"/>
      <c r="FO758" s="1655"/>
      <c r="FP758" s="1268"/>
      <c r="FQ758" s="1656"/>
      <c r="FR758" s="249"/>
      <c r="FS758" s="216"/>
      <c r="FT758" s="1657"/>
      <c r="FU758" s="1658"/>
      <c r="FV758" s="242"/>
      <c r="FW758" s="343"/>
      <c r="FX758" s="222"/>
      <c r="FY758" s="336"/>
      <c r="FZ758" s="223"/>
      <c r="GA758" s="338"/>
      <c r="GB758" s="204"/>
      <c r="GC758" s="339"/>
      <c r="GD758" s="342"/>
      <c r="GE758" s="199"/>
      <c r="GF758" s="199"/>
      <c r="GG758" s="199"/>
      <c r="GH758" s="199"/>
      <c r="GI758" s="199"/>
      <c r="GJ758" s="199"/>
      <c r="GK758" s="199"/>
      <c r="GO758" s="322"/>
      <c r="GP758" s="1190"/>
      <c r="GQ758" s="1190"/>
      <c r="GS758" s="2879"/>
      <c r="GT758" s="2880"/>
      <c r="GU758" s="2881"/>
    </row>
    <row r="759" spans="1:203" ht="12" customHeight="1">
      <c r="A759" s="1252"/>
      <c r="B759" s="200"/>
      <c r="C759" s="486"/>
      <c r="T759" s="1186"/>
      <c r="U759" s="233"/>
      <c r="W759" s="218"/>
      <c r="X759" s="218"/>
      <c r="Y759" s="216"/>
      <c r="Z759" s="216"/>
      <c r="AA759" s="215"/>
      <c r="AB759" s="216"/>
      <c r="AC759" s="216"/>
      <c r="AD759" s="239"/>
      <c r="AE759" s="216"/>
      <c r="AF759" s="216"/>
      <c r="AG759" s="216"/>
      <c r="AH759" s="216"/>
      <c r="AI759" s="216"/>
      <c r="AJ759" s="216"/>
      <c r="AK759" s="239"/>
      <c r="AL759" s="216"/>
      <c r="AM759" s="216"/>
      <c r="AN759" s="216"/>
      <c r="AO759" s="216"/>
      <c r="AP759" s="216"/>
      <c r="AQ759" s="216"/>
      <c r="AR759" s="216"/>
      <c r="AS759" s="216"/>
      <c r="AT759" s="216"/>
      <c r="AU759" s="216"/>
      <c r="AV759" s="217"/>
      <c r="AW759" s="355"/>
      <c r="AX759" s="217"/>
      <c r="AY759" s="305"/>
      <c r="AZ759" s="249"/>
      <c r="BA759" s="221"/>
      <c r="BB759" s="300"/>
      <c r="BC759" s="217"/>
      <c r="BD759" s="392"/>
      <c r="BE759" s="1244"/>
      <c r="BF759" s="249"/>
      <c r="BG759" s="252"/>
      <c r="BH759" s="1469"/>
      <c r="BI759" s="216"/>
      <c r="BJ759" s="1469"/>
      <c r="BK759" s="1459"/>
      <c r="BL759" s="260"/>
      <c r="BM759" s="214"/>
      <c r="BN759" s="293"/>
      <c r="BO759" s="217"/>
      <c r="BP759" s="355"/>
      <c r="BQ759" s="217"/>
      <c r="BR759" s="1193"/>
      <c r="BS759" s="249"/>
      <c r="BT759" s="216"/>
      <c r="BU759" s="1195"/>
      <c r="BV759" s="249"/>
      <c r="BW759" s="216"/>
      <c r="BX759" s="1195"/>
      <c r="BY759" s="249"/>
      <c r="BZ759" s="216"/>
      <c r="CA759" s="1195"/>
      <c r="CB759" s="249"/>
      <c r="CC759" s="216"/>
      <c r="CD759" s="1195"/>
      <c r="CE759" s="249"/>
      <c r="CF759" s="216"/>
      <c r="CG759" s="1195"/>
      <c r="CH759" s="249"/>
      <c r="CI759" s="216"/>
      <c r="CJ759" s="1195"/>
      <c r="CK759" s="249"/>
      <c r="CL759" s="216"/>
      <c r="CM759" s="1194"/>
      <c r="CN759" s="1524"/>
      <c r="CO759" s="217"/>
      <c r="CP759" s="1193"/>
      <c r="CQ759" s="293"/>
      <c r="CR759" s="217"/>
      <c r="CS759" s="305"/>
      <c r="CT759" s="249"/>
      <c r="CU759" s="216"/>
      <c r="CV759" s="1193"/>
      <c r="CW759" s="249"/>
      <c r="CX759" s="216"/>
      <c r="CY759" s="305"/>
      <c r="CZ759" s="249"/>
      <c r="DA759" s="216"/>
      <c r="DB759" s="307"/>
      <c r="DC759" s="328"/>
      <c r="DD759" s="322"/>
      <c r="DE759" s="305"/>
      <c r="DF759" s="249"/>
      <c r="DG759" s="216"/>
      <c r="DH759" s="305"/>
      <c r="DI759" s="249"/>
      <c r="DJ759" s="216"/>
      <c r="DK759" s="309"/>
      <c r="DL759" s="293"/>
      <c r="DM759" s="326"/>
      <c r="DN759" s="1256"/>
      <c r="DO759" s="214"/>
      <c r="DP759" s="1257"/>
      <c r="DQ759" s="1258"/>
      <c r="DR759" s="305"/>
      <c r="DS759" s="249"/>
      <c r="DT759" s="216"/>
      <c r="DU759" s="305"/>
      <c r="DV759" s="2520"/>
      <c r="DW759" s="2521"/>
      <c r="DX759" s="305"/>
      <c r="DY759" s="249"/>
      <c r="DZ759" s="221"/>
      <c r="EA759" s="388"/>
      <c r="EB759" s="249"/>
      <c r="EC759" s="216"/>
      <c r="ED759" s="1461"/>
      <c r="EE759" s="249"/>
      <c r="EF759" s="216"/>
      <c r="EG759" s="355"/>
      <c r="EH759" s="1425"/>
      <c r="EI759" s="1470"/>
      <c r="EJ759" s="249"/>
      <c r="EK759" s="221"/>
      <c r="EL759" s="313"/>
      <c r="EM759" s="249"/>
      <c r="EN759" s="221"/>
      <c r="EO759" s="313"/>
      <c r="EP759" s="249"/>
      <c r="EQ759" s="216"/>
      <c r="ER759" s="313"/>
      <c r="ES759" s="249"/>
      <c r="ET759" s="216"/>
      <c r="EU759" s="313"/>
      <c r="EV759" s="249"/>
      <c r="EW759" s="216"/>
      <c r="EX759" s="2505"/>
      <c r="EY759" s="249"/>
      <c r="EZ759" s="221"/>
      <c r="FA759" s="313"/>
      <c r="FB759" s="249"/>
      <c r="FC759" s="221"/>
      <c r="FD759" s="313"/>
      <c r="FE759" s="249"/>
      <c r="FF759" s="221"/>
      <c r="FG759" s="313"/>
      <c r="FH759" s="249"/>
      <c r="FI759" s="216"/>
      <c r="FJ759" s="1435"/>
      <c r="FK759" s="216"/>
      <c r="FL759" s="1268"/>
      <c r="FM759" s="1655"/>
      <c r="FN759" s="1268"/>
      <c r="FO759" s="1655"/>
      <c r="FP759" s="1268"/>
      <c r="FQ759" s="1656"/>
      <c r="FR759" s="249"/>
      <c r="FS759" s="216"/>
      <c r="FT759" s="1657"/>
      <c r="FU759" s="1658"/>
      <c r="FV759" s="242"/>
      <c r="FW759" s="343"/>
      <c r="FX759" s="222"/>
      <c r="FY759" s="336"/>
      <c r="FZ759" s="223"/>
      <c r="GA759" s="338"/>
      <c r="GB759" s="204"/>
      <c r="GC759" s="339"/>
      <c r="GD759" s="342"/>
      <c r="GE759" s="199"/>
      <c r="GF759" s="199"/>
      <c r="GG759" s="199"/>
      <c r="GH759" s="199"/>
      <c r="GI759" s="199"/>
      <c r="GJ759" s="199"/>
      <c r="GK759" s="199"/>
      <c r="GO759" s="322"/>
      <c r="GP759" s="1190"/>
      <c r="GQ759" s="1190"/>
      <c r="GS759" s="2879"/>
      <c r="GT759" s="2880"/>
      <c r="GU759" s="2881"/>
    </row>
    <row r="760" spans="1:203" ht="12" customHeight="1">
      <c r="A760" s="1252"/>
      <c r="B760" s="200"/>
      <c r="C760" s="486"/>
      <c r="T760" s="1186"/>
      <c r="U760" s="233"/>
      <c r="W760" s="218"/>
      <c r="X760" s="218"/>
      <c r="Y760" s="216"/>
      <c r="Z760" s="216"/>
      <c r="AA760" s="215"/>
      <c r="AB760" s="216"/>
      <c r="AC760" s="216"/>
      <c r="AD760" s="239"/>
      <c r="AE760" s="216"/>
      <c r="AF760" s="216"/>
      <c r="AG760" s="216"/>
      <c r="AH760" s="216"/>
      <c r="AI760" s="216"/>
      <c r="AJ760" s="216"/>
      <c r="AK760" s="239"/>
      <c r="AL760" s="216"/>
      <c r="AM760" s="216"/>
      <c r="AN760" s="216"/>
      <c r="AO760" s="216"/>
      <c r="AP760" s="216"/>
      <c r="AQ760" s="216"/>
      <c r="AR760" s="216"/>
      <c r="AS760" s="216"/>
      <c r="AT760" s="216"/>
      <c r="AU760" s="216"/>
      <c r="AV760" s="217"/>
      <c r="AW760" s="355"/>
      <c r="AX760" s="217"/>
      <c r="AY760" s="305"/>
      <c r="AZ760" s="249"/>
      <c r="BA760" s="221"/>
      <c r="BB760" s="300"/>
      <c r="BC760" s="217"/>
      <c r="BD760" s="392"/>
      <c r="BE760" s="1244"/>
      <c r="BF760" s="249"/>
      <c r="BG760" s="252"/>
      <c r="BH760" s="1469"/>
      <c r="BI760" s="216"/>
      <c r="BJ760" s="1469"/>
      <c r="BK760" s="1459"/>
      <c r="BL760" s="260"/>
      <c r="BM760" s="214"/>
      <c r="BN760" s="293"/>
      <c r="BO760" s="217"/>
      <c r="BP760" s="355"/>
      <c r="BQ760" s="217"/>
      <c r="BR760" s="1193"/>
      <c r="BS760" s="249"/>
      <c r="BT760" s="216"/>
      <c r="BU760" s="1195"/>
      <c r="BV760" s="249"/>
      <c r="BW760" s="216"/>
      <c r="BX760" s="1195"/>
      <c r="BY760" s="249"/>
      <c r="BZ760" s="216"/>
      <c r="CA760" s="1195"/>
      <c r="CB760" s="249"/>
      <c r="CC760" s="216"/>
      <c r="CD760" s="1195"/>
      <c r="CE760" s="249"/>
      <c r="CF760" s="216"/>
      <c r="CG760" s="1195"/>
      <c r="CH760" s="249"/>
      <c r="CI760" s="216"/>
      <c r="CJ760" s="1195"/>
      <c r="CK760" s="249"/>
      <c r="CL760" s="216"/>
      <c r="CM760" s="1194"/>
      <c r="CN760" s="1524"/>
      <c r="CO760" s="217"/>
      <c r="CP760" s="1193"/>
      <c r="CQ760" s="293"/>
      <c r="CR760" s="217"/>
      <c r="CS760" s="305"/>
      <c r="CT760" s="249"/>
      <c r="CU760" s="216"/>
      <c r="CV760" s="1193"/>
      <c r="CW760" s="249"/>
      <c r="CX760" s="216"/>
      <c r="CY760" s="305"/>
      <c r="CZ760" s="249"/>
      <c r="DA760" s="216"/>
      <c r="DB760" s="307"/>
      <c r="DC760" s="328"/>
      <c r="DD760" s="322"/>
      <c r="DE760" s="305"/>
      <c r="DF760" s="249"/>
      <c r="DG760" s="216"/>
      <c r="DH760" s="305"/>
      <c r="DI760" s="249"/>
      <c r="DJ760" s="216"/>
      <c r="DK760" s="309"/>
      <c r="DL760" s="293"/>
      <c r="DM760" s="326"/>
      <c r="DN760" s="1256"/>
      <c r="DO760" s="214"/>
      <c r="DP760" s="1257"/>
      <c r="DQ760" s="1258"/>
      <c r="DR760" s="305"/>
      <c r="DS760" s="249"/>
      <c r="DT760" s="216"/>
      <c r="DU760" s="305"/>
      <c r="DV760" s="2520"/>
      <c r="DW760" s="2521"/>
      <c r="DX760" s="305"/>
      <c r="DY760" s="249"/>
      <c r="DZ760" s="221"/>
      <c r="EA760" s="388"/>
      <c r="EB760" s="249"/>
      <c r="EC760" s="216"/>
      <c r="ED760" s="1461"/>
      <c r="EE760" s="249"/>
      <c r="EF760" s="216"/>
      <c r="EG760" s="355"/>
      <c r="EH760" s="1425"/>
      <c r="EI760" s="1470"/>
      <c r="EJ760" s="249"/>
      <c r="EK760" s="221"/>
      <c r="EL760" s="313"/>
      <c r="EM760" s="249"/>
      <c r="EN760" s="221"/>
      <c r="EO760" s="313"/>
      <c r="EP760" s="249"/>
      <c r="EQ760" s="216"/>
      <c r="ER760" s="313"/>
      <c r="ES760" s="249"/>
      <c r="ET760" s="216"/>
      <c r="EU760" s="313"/>
      <c r="EV760" s="249"/>
      <c r="EW760" s="216"/>
      <c r="EX760" s="2505"/>
      <c r="EY760" s="249"/>
      <c r="EZ760" s="221"/>
      <c r="FA760" s="313"/>
      <c r="FB760" s="249"/>
      <c r="FC760" s="221"/>
      <c r="FD760" s="313"/>
      <c r="FE760" s="249"/>
      <c r="FF760" s="221"/>
      <c r="FG760" s="313"/>
      <c r="FH760" s="249"/>
      <c r="FI760" s="216"/>
      <c r="FJ760" s="1435"/>
      <c r="FK760" s="216"/>
      <c r="FL760" s="1268"/>
      <c r="FM760" s="1655"/>
      <c r="FN760" s="1268"/>
      <c r="FO760" s="1655"/>
      <c r="FP760" s="1268"/>
      <c r="FQ760" s="1656"/>
      <c r="FR760" s="249"/>
      <c r="FS760" s="216"/>
      <c r="FT760" s="1657"/>
      <c r="FU760" s="1658"/>
      <c r="FV760" s="242"/>
      <c r="FW760" s="343"/>
      <c r="FX760" s="222"/>
      <c r="FY760" s="336"/>
      <c r="FZ760" s="223"/>
      <c r="GA760" s="338"/>
      <c r="GB760" s="204"/>
      <c r="GC760" s="339"/>
      <c r="GD760" s="342"/>
      <c r="GE760" s="199"/>
      <c r="GF760" s="199"/>
      <c r="GG760" s="199"/>
      <c r="GH760" s="199"/>
      <c r="GI760" s="199"/>
      <c r="GJ760" s="199"/>
      <c r="GK760" s="199"/>
      <c r="GO760" s="322"/>
      <c r="GP760" s="1190"/>
      <c r="GQ760" s="1190"/>
      <c r="GS760" s="2879"/>
      <c r="GT760" s="2880"/>
      <c r="GU760" s="2881"/>
    </row>
    <row r="761" spans="1:203" ht="12" customHeight="1">
      <c r="A761" s="1252"/>
      <c r="B761" s="200"/>
      <c r="C761" s="486"/>
      <c r="T761" s="1186"/>
      <c r="U761" s="233"/>
      <c r="W761" s="218"/>
      <c r="X761" s="218"/>
      <c r="Y761" s="216"/>
      <c r="Z761" s="216"/>
      <c r="AA761" s="215"/>
      <c r="AB761" s="216"/>
      <c r="AC761" s="216"/>
      <c r="AD761" s="239"/>
      <c r="AE761" s="216"/>
      <c r="AF761" s="216"/>
      <c r="AG761" s="216"/>
      <c r="AH761" s="216"/>
      <c r="AI761" s="216"/>
      <c r="AJ761" s="216"/>
      <c r="AK761" s="239"/>
      <c r="AL761" s="216"/>
      <c r="AM761" s="216"/>
      <c r="AN761" s="216"/>
      <c r="AO761" s="216"/>
      <c r="AP761" s="216"/>
      <c r="AQ761" s="216"/>
      <c r="AR761" s="216"/>
      <c r="AS761" s="216"/>
      <c r="AT761" s="216"/>
      <c r="AU761" s="216"/>
      <c r="AV761" s="217"/>
      <c r="AW761" s="355"/>
      <c r="AX761" s="217"/>
      <c r="AY761" s="305"/>
      <c r="AZ761" s="249"/>
      <c r="BA761" s="221"/>
      <c r="BB761" s="300"/>
      <c r="BC761" s="217"/>
      <c r="BD761" s="392"/>
      <c r="BE761" s="1244"/>
      <c r="BF761" s="249"/>
      <c r="BG761" s="252"/>
      <c r="BH761" s="1469"/>
      <c r="BI761" s="216"/>
      <c r="BJ761" s="1469"/>
      <c r="BK761" s="1459"/>
      <c r="BL761" s="260"/>
      <c r="BM761" s="214"/>
      <c r="BN761" s="293"/>
      <c r="BO761" s="217"/>
      <c r="BP761" s="355"/>
      <c r="BQ761" s="217"/>
      <c r="BR761" s="1193"/>
      <c r="BS761" s="249"/>
      <c r="BT761" s="216"/>
      <c r="BU761" s="1195"/>
      <c r="BV761" s="249"/>
      <c r="BW761" s="216"/>
      <c r="BX761" s="1195"/>
      <c r="BY761" s="249"/>
      <c r="BZ761" s="216"/>
      <c r="CA761" s="1195"/>
      <c r="CB761" s="249"/>
      <c r="CC761" s="216"/>
      <c r="CD761" s="1195"/>
      <c r="CE761" s="249"/>
      <c r="CF761" s="216"/>
      <c r="CG761" s="1195"/>
      <c r="CH761" s="249"/>
      <c r="CI761" s="216"/>
      <c r="CJ761" s="1195"/>
      <c r="CK761" s="249"/>
      <c r="CL761" s="216"/>
      <c r="CM761" s="1194"/>
      <c r="CN761" s="1524"/>
      <c r="CO761" s="217"/>
      <c r="CP761" s="1193"/>
      <c r="CQ761" s="293"/>
      <c r="CR761" s="217"/>
      <c r="CS761" s="305"/>
      <c r="CT761" s="249"/>
      <c r="CU761" s="216"/>
      <c r="CV761" s="1193"/>
      <c r="CW761" s="249"/>
      <c r="CX761" s="216"/>
      <c r="CY761" s="305"/>
      <c r="CZ761" s="249"/>
      <c r="DA761" s="216"/>
      <c r="DB761" s="307"/>
      <c r="DC761" s="328"/>
      <c r="DD761" s="322"/>
      <c r="DE761" s="305"/>
      <c r="DF761" s="249"/>
      <c r="DG761" s="216"/>
      <c r="DH761" s="305"/>
      <c r="DI761" s="249"/>
      <c r="DJ761" s="216"/>
      <c r="DK761" s="309"/>
      <c r="DL761" s="293"/>
      <c r="DM761" s="326"/>
      <c r="DN761" s="1256"/>
      <c r="DO761" s="214"/>
      <c r="DP761" s="1257"/>
      <c r="DQ761" s="1258"/>
      <c r="DR761" s="305"/>
      <c r="DS761" s="249"/>
      <c r="DT761" s="216"/>
      <c r="DU761" s="305"/>
      <c r="DV761" s="2520"/>
      <c r="DW761" s="2521"/>
      <c r="DX761" s="305"/>
      <c r="DY761" s="249"/>
      <c r="DZ761" s="221"/>
      <c r="EA761" s="388"/>
      <c r="EB761" s="249"/>
      <c r="EC761" s="216"/>
      <c r="ED761" s="1461"/>
      <c r="EE761" s="249"/>
      <c r="EF761" s="216"/>
      <c r="EG761" s="355"/>
      <c r="EH761" s="1425"/>
      <c r="EI761" s="1470"/>
      <c r="EJ761" s="249"/>
      <c r="EK761" s="221"/>
      <c r="EL761" s="313"/>
      <c r="EM761" s="249"/>
      <c r="EN761" s="221"/>
      <c r="EO761" s="313"/>
      <c r="EP761" s="249"/>
      <c r="EQ761" s="216"/>
      <c r="ER761" s="313"/>
      <c r="ES761" s="249"/>
      <c r="ET761" s="216"/>
      <c r="EU761" s="313"/>
      <c r="EV761" s="249"/>
      <c r="EW761" s="216"/>
      <c r="EX761" s="2505"/>
      <c r="EY761" s="249"/>
      <c r="EZ761" s="221"/>
      <c r="FA761" s="313"/>
      <c r="FB761" s="249"/>
      <c r="FC761" s="221"/>
      <c r="FD761" s="313"/>
      <c r="FE761" s="249"/>
      <c r="FF761" s="221"/>
      <c r="FG761" s="313"/>
      <c r="FH761" s="249"/>
      <c r="FI761" s="216"/>
      <c r="FJ761" s="1435"/>
      <c r="FK761" s="216"/>
      <c r="FL761" s="1268"/>
      <c r="FM761" s="1655"/>
      <c r="FN761" s="1268"/>
      <c r="FO761" s="1655"/>
      <c r="FP761" s="1268"/>
      <c r="FQ761" s="1656"/>
      <c r="FR761" s="249"/>
      <c r="FS761" s="216"/>
      <c r="FT761" s="1657"/>
      <c r="FU761" s="1658"/>
      <c r="FV761" s="242"/>
      <c r="FW761" s="343"/>
      <c r="FX761" s="222"/>
      <c r="FY761" s="336"/>
      <c r="FZ761" s="223"/>
      <c r="GA761" s="338"/>
      <c r="GB761" s="204"/>
      <c r="GC761" s="339"/>
      <c r="GD761" s="342"/>
      <c r="GE761" s="199"/>
      <c r="GF761" s="199"/>
      <c r="GG761" s="199"/>
      <c r="GH761" s="199"/>
      <c r="GI761" s="199"/>
      <c r="GJ761" s="199"/>
      <c r="GK761" s="199"/>
      <c r="GO761" s="322"/>
      <c r="GP761" s="1190"/>
      <c r="GQ761" s="1190"/>
      <c r="GS761" s="2879"/>
      <c r="GT761" s="2880"/>
      <c r="GU761" s="2881"/>
    </row>
    <row r="762" spans="1:203" ht="12" customHeight="1">
      <c r="A762" s="1252"/>
      <c r="B762" s="200"/>
      <c r="C762" s="486"/>
      <c r="T762" s="1186"/>
      <c r="U762" s="233"/>
      <c r="W762" s="218"/>
      <c r="X762" s="218"/>
      <c r="Y762" s="216"/>
      <c r="Z762" s="216"/>
      <c r="AA762" s="215"/>
      <c r="AB762" s="216"/>
      <c r="AC762" s="216"/>
      <c r="AD762" s="239"/>
      <c r="AE762" s="216"/>
      <c r="AF762" s="216"/>
      <c r="AG762" s="216"/>
      <c r="AH762" s="216"/>
      <c r="AI762" s="216"/>
      <c r="AJ762" s="216"/>
      <c r="AK762" s="239"/>
      <c r="AL762" s="216"/>
      <c r="AM762" s="216"/>
      <c r="AN762" s="216"/>
      <c r="AO762" s="216"/>
      <c r="AP762" s="216"/>
      <c r="AQ762" s="216"/>
      <c r="AR762" s="216"/>
      <c r="AS762" s="216"/>
      <c r="AT762" s="216"/>
      <c r="AU762" s="216"/>
      <c r="AV762" s="217"/>
      <c r="AW762" s="355"/>
      <c r="AX762" s="217"/>
      <c r="AY762" s="305"/>
      <c r="AZ762" s="249"/>
      <c r="BA762" s="221"/>
      <c r="BB762" s="300"/>
      <c r="BC762" s="217"/>
      <c r="BD762" s="392"/>
      <c r="BE762" s="1244"/>
      <c r="BF762" s="249"/>
      <c r="BG762" s="252"/>
      <c r="BH762" s="1469"/>
      <c r="BI762" s="216"/>
      <c r="BJ762" s="1469"/>
      <c r="BK762" s="1459"/>
      <c r="BL762" s="260"/>
      <c r="BM762" s="214"/>
      <c r="BN762" s="293"/>
      <c r="BO762" s="217"/>
      <c r="BP762" s="355"/>
      <c r="BQ762" s="217"/>
      <c r="BR762" s="1193"/>
      <c r="BS762" s="249"/>
      <c r="BT762" s="216"/>
      <c r="BU762" s="1195"/>
      <c r="BV762" s="249"/>
      <c r="BW762" s="216"/>
      <c r="BX762" s="1195"/>
      <c r="BY762" s="249"/>
      <c r="BZ762" s="216"/>
      <c r="CA762" s="1195"/>
      <c r="CB762" s="249"/>
      <c r="CC762" s="216"/>
      <c r="CD762" s="1195"/>
      <c r="CE762" s="249"/>
      <c r="CF762" s="216"/>
      <c r="CG762" s="1195"/>
      <c r="CH762" s="249"/>
      <c r="CI762" s="216"/>
      <c r="CJ762" s="1195"/>
      <c r="CK762" s="249"/>
      <c r="CL762" s="216"/>
      <c r="CM762" s="1194"/>
      <c r="CN762" s="1524"/>
      <c r="CO762" s="217"/>
      <c r="CP762" s="1193"/>
      <c r="CQ762" s="293"/>
      <c r="CR762" s="217"/>
      <c r="CS762" s="305"/>
      <c r="CT762" s="249"/>
      <c r="CU762" s="216"/>
      <c r="CV762" s="1193"/>
      <c r="CW762" s="249"/>
      <c r="CX762" s="216"/>
      <c r="CY762" s="305"/>
      <c r="CZ762" s="249"/>
      <c r="DA762" s="216"/>
      <c r="DB762" s="307"/>
      <c r="DC762" s="328"/>
      <c r="DD762" s="322"/>
      <c r="DE762" s="305"/>
      <c r="DF762" s="249"/>
      <c r="DG762" s="216"/>
      <c r="DH762" s="305"/>
      <c r="DI762" s="249"/>
      <c r="DJ762" s="216"/>
      <c r="DK762" s="309"/>
      <c r="DL762" s="293"/>
      <c r="DM762" s="326"/>
      <c r="DN762" s="1256"/>
      <c r="DO762" s="214"/>
      <c r="DP762" s="1257"/>
      <c r="DQ762" s="1258"/>
      <c r="DR762" s="305"/>
      <c r="DS762" s="249"/>
      <c r="DT762" s="216"/>
      <c r="DU762" s="305"/>
      <c r="DV762" s="2520"/>
      <c r="DW762" s="2521"/>
      <c r="DX762" s="305"/>
      <c r="DY762" s="249"/>
      <c r="DZ762" s="221"/>
      <c r="EA762" s="388"/>
      <c r="EB762" s="249"/>
      <c r="EC762" s="216"/>
      <c r="ED762" s="1461"/>
      <c r="EE762" s="249"/>
      <c r="EF762" s="216"/>
      <c r="EG762" s="355"/>
      <c r="EH762" s="1425"/>
      <c r="EI762" s="1470"/>
      <c r="EJ762" s="249"/>
      <c r="EK762" s="221"/>
      <c r="EL762" s="313"/>
      <c r="EM762" s="249"/>
      <c r="EN762" s="221"/>
      <c r="EO762" s="313"/>
      <c r="EP762" s="249"/>
      <c r="EQ762" s="216"/>
      <c r="ER762" s="313"/>
      <c r="ES762" s="249"/>
      <c r="ET762" s="216"/>
      <c r="EU762" s="313"/>
      <c r="EV762" s="249"/>
      <c r="EW762" s="216"/>
      <c r="EX762" s="2505"/>
      <c r="EY762" s="249"/>
      <c r="EZ762" s="221"/>
      <c r="FA762" s="313"/>
      <c r="FB762" s="249"/>
      <c r="FC762" s="221"/>
      <c r="FD762" s="313"/>
      <c r="FE762" s="249"/>
      <c r="FF762" s="221"/>
      <c r="FG762" s="313"/>
      <c r="FH762" s="249"/>
      <c r="FI762" s="216"/>
      <c r="FJ762" s="1435"/>
      <c r="FK762" s="216"/>
      <c r="FL762" s="1268"/>
      <c r="FM762" s="1655"/>
      <c r="FN762" s="1268"/>
      <c r="FO762" s="1655"/>
      <c r="FP762" s="1268"/>
      <c r="FQ762" s="1656"/>
      <c r="FR762" s="249"/>
      <c r="FS762" s="216"/>
      <c r="FT762" s="1657"/>
      <c r="FU762" s="1658"/>
      <c r="FV762" s="242"/>
      <c r="FW762" s="343"/>
      <c r="FX762" s="222"/>
      <c r="FY762" s="336"/>
      <c r="FZ762" s="223"/>
      <c r="GA762" s="338"/>
      <c r="GB762" s="204"/>
      <c r="GC762" s="339"/>
      <c r="GD762" s="342"/>
      <c r="GE762" s="199"/>
      <c r="GF762" s="199"/>
      <c r="GG762" s="199"/>
      <c r="GH762" s="199"/>
      <c r="GI762" s="199"/>
      <c r="GJ762" s="199"/>
      <c r="GK762" s="199"/>
      <c r="GO762" s="322"/>
      <c r="GP762" s="1190"/>
      <c r="GQ762" s="1190"/>
      <c r="GS762" s="2879"/>
      <c r="GT762" s="2880"/>
      <c r="GU762" s="2881"/>
    </row>
    <row r="763" spans="1:203" ht="12" customHeight="1">
      <c r="A763" s="1252"/>
      <c r="B763" s="200"/>
      <c r="C763" s="486"/>
      <c r="T763" s="1186"/>
      <c r="U763" s="233"/>
      <c r="W763" s="218"/>
      <c r="X763" s="218"/>
      <c r="Y763" s="216"/>
      <c r="Z763" s="216"/>
      <c r="AA763" s="215"/>
      <c r="AB763" s="216"/>
      <c r="AC763" s="216"/>
      <c r="AD763" s="239"/>
      <c r="AE763" s="216"/>
      <c r="AF763" s="216"/>
      <c r="AG763" s="216"/>
      <c r="AH763" s="216"/>
      <c r="AI763" s="216"/>
      <c r="AJ763" s="216"/>
      <c r="AK763" s="239"/>
      <c r="AL763" s="216"/>
      <c r="AM763" s="216"/>
      <c r="AN763" s="216"/>
      <c r="AO763" s="216"/>
      <c r="AP763" s="216"/>
      <c r="AQ763" s="216"/>
      <c r="AR763" s="216"/>
      <c r="AS763" s="216"/>
      <c r="AT763" s="216"/>
      <c r="AU763" s="216"/>
      <c r="AV763" s="217"/>
      <c r="AW763" s="355"/>
      <c r="AX763" s="217"/>
      <c r="AY763" s="305"/>
      <c r="AZ763" s="249"/>
      <c r="BA763" s="221"/>
      <c r="BB763" s="300"/>
      <c r="BC763" s="217"/>
      <c r="BD763" s="392"/>
      <c r="BE763" s="1244"/>
      <c r="BF763" s="249"/>
      <c r="BG763" s="252"/>
      <c r="BH763" s="1469"/>
      <c r="BI763" s="216"/>
      <c r="BJ763" s="1469"/>
      <c r="BK763" s="1459"/>
      <c r="BL763" s="260"/>
      <c r="BM763" s="214"/>
      <c r="BN763" s="293"/>
      <c r="BO763" s="217"/>
      <c r="BP763" s="355"/>
      <c r="BQ763" s="217"/>
      <c r="BR763" s="1193"/>
      <c r="BS763" s="249"/>
      <c r="BT763" s="216"/>
      <c r="BU763" s="1195"/>
      <c r="BV763" s="249"/>
      <c r="BW763" s="216"/>
      <c r="BX763" s="1195"/>
      <c r="BY763" s="249"/>
      <c r="BZ763" s="216"/>
      <c r="CA763" s="1195"/>
      <c r="CB763" s="249"/>
      <c r="CC763" s="216"/>
      <c r="CD763" s="1195"/>
      <c r="CE763" s="249"/>
      <c r="CF763" s="216"/>
      <c r="CG763" s="1195"/>
      <c r="CH763" s="249"/>
      <c r="CI763" s="216"/>
      <c r="CJ763" s="1195"/>
      <c r="CK763" s="249"/>
      <c r="CL763" s="216"/>
      <c r="CM763" s="1194"/>
      <c r="CN763" s="1524"/>
      <c r="CO763" s="217"/>
      <c r="CP763" s="1193"/>
      <c r="CQ763" s="293"/>
      <c r="CR763" s="217"/>
      <c r="CS763" s="305"/>
      <c r="CT763" s="249"/>
      <c r="CU763" s="216"/>
      <c r="CV763" s="1193"/>
      <c r="CW763" s="249"/>
      <c r="CX763" s="216"/>
      <c r="CY763" s="305"/>
      <c r="CZ763" s="249"/>
      <c r="DA763" s="216"/>
      <c r="DB763" s="307"/>
      <c r="DC763" s="328"/>
      <c r="DD763" s="322"/>
      <c r="DE763" s="305"/>
      <c r="DF763" s="249"/>
      <c r="DG763" s="216"/>
      <c r="DH763" s="305"/>
      <c r="DI763" s="249"/>
      <c r="DJ763" s="216"/>
      <c r="DK763" s="309"/>
      <c r="DL763" s="293"/>
      <c r="DM763" s="326"/>
      <c r="DN763" s="1256"/>
      <c r="DO763" s="214"/>
      <c r="DP763" s="1257"/>
      <c r="DQ763" s="1258"/>
      <c r="DR763" s="305"/>
      <c r="DS763" s="249"/>
      <c r="DT763" s="216"/>
      <c r="DU763" s="305"/>
      <c r="DV763" s="2520"/>
      <c r="DW763" s="2521"/>
      <c r="DX763" s="305"/>
      <c r="DY763" s="249"/>
      <c r="DZ763" s="221"/>
      <c r="EA763" s="388"/>
      <c r="EB763" s="249"/>
      <c r="EC763" s="216"/>
      <c r="ED763" s="1461"/>
      <c r="EE763" s="249"/>
      <c r="EF763" s="216"/>
      <c r="EG763" s="355"/>
      <c r="EH763" s="1425"/>
      <c r="EI763" s="1470"/>
      <c r="EJ763" s="249"/>
      <c r="EK763" s="221"/>
      <c r="EL763" s="313"/>
      <c r="EM763" s="249"/>
      <c r="EN763" s="221"/>
      <c r="EO763" s="313"/>
      <c r="EP763" s="249"/>
      <c r="EQ763" s="216"/>
      <c r="ER763" s="313"/>
      <c r="ES763" s="249"/>
      <c r="ET763" s="216"/>
      <c r="EU763" s="313"/>
      <c r="EV763" s="249"/>
      <c r="EW763" s="216"/>
      <c r="EX763" s="2505"/>
      <c r="EY763" s="249"/>
      <c r="EZ763" s="221"/>
      <c r="FA763" s="313"/>
      <c r="FB763" s="249"/>
      <c r="FC763" s="221"/>
      <c r="FD763" s="313"/>
      <c r="FE763" s="249"/>
      <c r="FF763" s="221"/>
      <c r="FG763" s="313"/>
      <c r="FH763" s="249"/>
      <c r="FI763" s="216"/>
      <c r="FJ763" s="1435"/>
      <c r="FK763" s="216"/>
      <c r="FL763" s="1268"/>
      <c r="FM763" s="1655"/>
      <c r="FN763" s="1268"/>
      <c r="FO763" s="1655"/>
      <c r="FP763" s="1268"/>
      <c r="FQ763" s="1656"/>
      <c r="FR763" s="249"/>
      <c r="FS763" s="216"/>
      <c r="FT763" s="1657"/>
      <c r="FU763" s="1658"/>
      <c r="FV763" s="242"/>
      <c r="FW763" s="343"/>
      <c r="FX763" s="222"/>
      <c r="FY763" s="336"/>
      <c r="FZ763" s="223"/>
      <c r="GA763" s="338"/>
      <c r="GB763" s="204"/>
      <c r="GC763" s="339"/>
      <c r="GD763" s="342"/>
      <c r="GE763" s="199"/>
      <c r="GF763" s="199"/>
      <c r="GG763" s="199"/>
      <c r="GH763" s="199"/>
      <c r="GI763" s="199"/>
      <c r="GJ763" s="199"/>
      <c r="GK763" s="199"/>
      <c r="GO763" s="322"/>
      <c r="GP763" s="1190"/>
      <c r="GQ763" s="1190"/>
      <c r="GS763" s="2879"/>
      <c r="GT763" s="2880"/>
      <c r="GU763" s="2881"/>
    </row>
    <row r="764" spans="1:203" ht="12" customHeight="1">
      <c r="A764" s="1252"/>
      <c r="B764" s="200"/>
      <c r="C764" s="486"/>
      <c r="T764" s="1186"/>
      <c r="U764" s="233"/>
      <c r="W764" s="218"/>
      <c r="X764" s="218"/>
      <c r="Y764" s="216"/>
      <c r="Z764" s="216"/>
      <c r="AA764" s="215"/>
      <c r="AB764" s="216"/>
      <c r="AC764" s="216"/>
      <c r="AD764" s="239"/>
      <c r="AE764" s="216"/>
      <c r="AF764" s="216"/>
      <c r="AG764" s="216"/>
      <c r="AH764" s="216"/>
      <c r="AI764" s="216"/>
      <c r="AJ764" s="216"/>
      <c r="AK764" s="239"/>
      <c r="AL764" s="216"/>
      <c r="AM764" s="216"/>
      <c r="AN764" s="216"/>
      <c r="AO764" s="216"/>
      <c r="AP764" s="216"/>
      <c r="AQ764" s="216"/>
      <c r="AR764" s="216"/>
      <c r="AS764" s="216"/>
      <c r="AT764" s="216"/>
      <c r="AU764" s="216"/>
      <c r="AV764" s="217"/>
      <c r="AW764" s="355"/>
      <c r="AX764" s="217"/>
      <c r="AY764" s="305"/>
      <c r="AZ764" s="249"/>
      <c r="BA764" s="221"/>
      <c r="BB764" s="300"/>
      <c r="BC764" s="217"/>
      <c r="BD764" s="392"/>
      <c r="BE764" s="1244"/>
      <c r="BF764" s="249"/>
      <c r="BG764" s="252"/>
      <c r="BH764" s="1469"/>
      <c r="BI764" s="216"/>
      <c r="BJ764" s="1469"/>
      <c r="BK764" s="1459"/>
      <c r="BL764" s="260"/>
      <c r="BM764" s="214"/>
      <c r="BN764" s="293"/>
      <c r="BO764" s="217"/>
      <c r="BP764" s="355"/>
      <c r="BQ764" s="217"/>
      <c r="BR764" s="1193"/>
      <c r="BS764" s="249"/>
      <c r="BT764" s="216"/>
      <c r="BU764" s="1195"/>
      <c r="BV764" s="249"/>
      <c r="BW764" s="216"/>
      <c r="BX764" s="1195"/>
      <c r="BY764" s="249"/>
      <c r="BZ764" s="216"/>
      <c r="CA764" s="1195"/>
      <c r="CB764" s="249"/>
      <c r="CC764" s="216"/>
      <c r="CD764" s="1195"/>
      <c r="CE764" s="249"/>
      <c r="CF764" s="216"/>
      <c r="CG764" s="1195"/>
      <c r="CH764" s="249"/>
      <c r="CI764" s="216"/>
      <c r="CJ764" s="1195"/>
      <c r="CK764" s="249"/>
      <c r="CL764" s="216"/>
      <c r="CM764" s="1194"/>
      <c r="CN764" s="1524"/>
      <c r="CO764" s="217"/>
      <c r="CP764" s="1193"/>
      <c r="CQ764" s="293"/>
      <c r="CR764" s="217"/>
      <c r="CS764" s="305"/>
      <c r="CT764" s="249"/>
      <c r="CU764" s="216"/>
      <c r="CV764" s="1193"/>
      <c r="CW764" s="249"/>
      <c r="CX764" s="216"/>
      <c r="CY764" s="305"/>
      <c r="CZ764" s="249"/>
      <c r="DA764" s="216"/>
      <c r="DB764" s="307"/>
      <c r="DC764" s="328"/>
      <c r="DD764" s="322"/>
      <c r="DE764" s="305"/>
      <c r="DF764" s="249"/>
      <c r="DG764" s="216"/>
      <c r="DH764" s="305"/>
      <c r="DI764" s="249"/>
      <c r="DJ764" s="216"/>
      <c r="DK764" s="309"/>
      <c r="DL764" s="293"/>
      <c r="DM764" s="326"/>
      <c r="DN764" s="1256"/>
      <c r="DO764" s="214"/>
      <c r="DP764" s="1257"/>
      <c r="DQ764" s="1258"/>
      <c r="DR764" s="305"/>
      <c r="DS764" s="249"/>
      <c r="DT764" s="216"/>
      <c r="DU764" s="305"/>
      <c r="DV764" s="2520"/>
      <c r="DW764" s="2521"/>
      <c r="DX764" s="305"/>
      <c r="DY764" s="249"/>
      <c r="DZ764" s="221"/>
      <c r="EA764" s="388"/>
      <c r="EB764" s="249"/>
      <c r="EC764" s="216"/>
      <c r="ED764" s="1461"/>
      <c r="EE764" s="249"/>
      <c r="EF764" s="216"/>
      <c r="EG764" s="355"/>
      <c r="EH764" s="1425"/>
      <c r="EI764" s="1470"/>
      <c r="EJ764" s="249"/>
      <c r="EK764" s="221"/>
      <c r="EL764" s="313"/>
      <c r="EM764" s="249"/>
      <c r="EN764" s="221"/>
      <c r="EO764" s="313"/>
      <c r="EP764" s="249"/>
      <c r="EQ764" s="216"/>
      <c r="ER764" s="313"/>
      <c r="ES764" s="249"/>
      <c r="ET764" s="216"/>
      <c r="EU764" s="313"/>
      <c r="EV764" s="249"/>
      <c r="EW764" s="216"/>
      <c r="EX764" s="2505"/>
      <c r="EY764" s="249"/>
      <c r="EZ764" s="221"/>
      <c r="FA764" s="313"/>
      <c r="FB764" s="249"/>
      <c r="FC764" s="221"/>
      <c r="FD764" s="313"/>
      <c r="FE764" s="249"/>
      <c r="FF764" s="221"/>
      <c r="FG764" s="313"/>
      <c r="FH764" s="249"/>
      <c r="FI764" s="216"/>
      <c r="FJ764" s="1435"/>
      <c r="FK764" s="216"/>
      <c r="FL764" s="1268"/>
      <c r="FM764" s="1655"/>
      <c r="FN764" s="1268"/>
      <c r="FO764" s="1655"/>
      <c r="FP764" s="1268"/>
      <c r="FQ764" s="1656"/>
      <c r="FR764" s="249"/>
      <c r="FS764" s="216"/>
      <c r="FT764" s="1657"/>
      <c r="FU764" s="1658"/>
      <c r="FV764" s="242"/>
      <c r="FW764" s="343"/>
      <c r="FX764" s="222"/>
      <c r="FY764" s="336"/>
      <c r="FZ764" s="223"/>
      <c r="GA764" s="338"/>
      <c r="GB764" s="204"/>
      <c r="GC764" s="339"/>
      <c r="GD764" s="342"/>
      <c r="GE764" s="199"/>
      <c r="GF764" s="199"/>
      <c r="GG764" s="199"/>
      <c r="GH764" s="199"/>
      <c r="GI764" s="199"/>
      <c r="GJ764" s="199"/>
      <c r="GK764" s="199"/>
      <c r="GO764" s="322"/>
      <c r="GP764" s="1190"/>
      <c r="GQ764" s="1190"/>
      <c r="GS764" s="2879"/>
      <c r="GT764" s="2880"/>
      <c r="GU764" s="2881"/>
    </row>
    <row r="765" spans="1:203" ht="12" customHeight="1">
      <c r="A765" s="1252"/>
      <c r="B765" s="200"/>
      <c r="C765" s="486"/>
      <c r="T765" s="1186"/>
      <c r="U765" s="233"/>
      <c r="W765" s="218"/>
      <c r="X765" s="218"/>
      <c r="Y765" s="216"/>
      <c r="Z765" s="216"/>
      <c r="AA765" s="215"/>
      <c r="AB765" s="216"/>
      <c r="AC765" s="216"/>
      <c r="AD765" s="239"/>
      <c r="AE765" s="216"/>
      <c r="AF765" s="216"/>
      <c r="AG765" s="216"/>
      <c r="AH765" s="216"/>
      <c r="AI765" s="216"/>
      <c r="AJ765" s="216"/>
      <c r="AK765" s="239"/>
      <c r="AL765" s="216"/>
      <c r="AM765" s="216"/>
      <c r="AN765" s="216"/>
      <c r="AO765" s="216"/>
      <c r="AP765" s="216"/>
      <c r="AQ765" s="216"/>
      <c r="AR765" s="216"/>
      <c r="AS765" s="216"/>
      <c r="AT765" s="216"/>
      <c r="AU765" s="216"/>
      <c r="AV765" s="217"/>
      <c r="AW765" s="355"/>
      <c r="AX765" s="217"/>
      <c r="AY765" s="305"/>
      <c r="AZ765" s="249"/>
      <c r="BA765" s="221"/>
      <c r="BB765" s="300"/>
      <c r="BC765" s="217"/>
      <c r="BD765" s="392"/>
      <c r="BE765" s="1244"/>
      <c r="BF765" s="249"/>
      <c r="BG765" s="252"/>
      <c r="BH765" s="1469"/>
      <c r="BI765" s="216"/>
      <c r="BJ765" s="1469"/>
      <c r="BK765" s="1459"/>
      <c r="BL765" s="260"/>
      <c r="BM765" s="214"/>
      <c r="BN765" s="293"/>
      <c r="BO765" s="217"/>
      <c r="BP765" s="355"/>
      <c r="BQ765" s="217"/>
      <c r="BR765" s="1193"/>
      <c r="BS765" s="249"/>
      <c r="BT765" s="216"/>
      <c r="BU765" s="1195"/>
      <c r="BV765" s="249"/>
      <c r="BW765" s="216"/>
      <c r="BX765" s="1195"/>
      <c r="BY765" s="249"/>
      <c r="BZ765" s="216"/>
      <c r="CA765" s="1195"/>
      <c r="CB765" s="249"/>
      <c r="CC765" s="216"/>
      <c r="CD765" s="1195"/>
      <c r="CE765" s="249"/>
      <c r="CF765" s="216"/>
      <c r="CG765" s="1195"/>
      <c r="CH765" s="249"/>
      <c r="CI765" s="216"/>
      <c r="CJ765" s="1195"/>
      <c r="CK765" s="249"/>
      <c r="CL765" s="216"/>
      <c r="CM765" s="1194"/>
      <c r="CN765" s="1524"/>
      <c r="CO765" s="217"/>
      <c r="CP765" s="1193"/>
      <c r="CQ765" s="293"/>
      <c r="CR765" s="217"/>
      <c r="CS765" s="305"/>
      <c r="CT765" s="249"/>
      <c r="CU765" s="216"/>
      <c r="CV765" s="1193"/>
      <c r="CW765" s="249"/>
      <c r="CX765" s="216"/>
      <c r="CY765" s="305"/>
      <c r="CZ765" s="249"/>
      <c r="DA765" s="216"/>
      <c r="DB765" s="307"/>
      <c r="DC765" s="328"/>
      <c r="DD765" s="322"/>
      <c r="DE765" s="305"/>
      <c r="DF765" s="249"/>
      <c r="DG765" s="216"/>
      <c r="DH765" s="305"/>
      <c r="DI765" s="249"/>
      <c r="DJ765" s="216"/>
      <c r="DK765" s="309"/>
      <c r="DL765" s="293"/>
      <c r="DM765" s="326"/>
      <c r="DN765" s="1256"/>
      <c r="DO765" s="214"/>
      <c r="DP765" s="1257"/>
      <c r="DQ765" s="1258"/>
      <c r="DR765" s="305"/>
      <c r="DS765" s="249"/>
      <c r="DT765" s="216"/>
      <c r="DU765" s="305"/>
      <c r="DV765" s="2520"/>
      <c r="DW765" s="2521"/>
      <c r="DX765" s="305"/>
      <c r="DY765" s="249"/>
      <c r="DZ765" s="221"/>
      <c r="EA765" s="388"/>
      <c r="EB765" s="249"/>
      <c r="EC765" s="216"/>
      <c r="ED765" s="1461"/>
      <c r="EE765" s="249"/>
      <c r="EF765" s="216"/>
      <c r="EG765" s="355"/>
      <c r="EH765" s="1425"/>
      <c r="EI765" s="1470"/>
      <c r="EJ765" s="249"/>
      <c r="EK765" s="221"/>
      <c r="EL765" s="313"/>
      <c r="EM765" s="249"/>
      <c r="EN765" s="221"/>
      <c r="EO765" s="313"/>
      <c r="EP765" s="249"/>
      <c r="EQ765" s="216"/>
      <c r="ER765" s="313"/>
      <c r="ES765" s="249"/>
      <c r="ET765" s="216"/>
      <c r="EU765" s="313"/>
      <c r="EV765" s="249"/>
      <c r="EW765" s="216"/>
      <c r="EX765" s="2505"/>
      <c r="EY765" s="249"/>
      <c r="EZ765" s="221"/>
      <c r="FA765" s="313"/>
      <c r="FB765" s="249"/>
      <c r="FC765" s="221"/>
      <c r="FD765" s="313"/>
      <c r="FE765" s="249"/>
      <c r="FF765" s="221"/>
      <c r="FG765" s="313"/>
      <c r="FH765" s="249"/>
      <c r="FI765" s="216"/>
      <c r="FJ765" s="1435"/>
      <c r="FK765" s="216"/>
      <c r="FL765" s="1268"/>
      <c r="FM765" s="1655"/>
      <c r="FN765" s="1268"/>
      <c r="FO765" s="1655"/>
      <c r="FP765" s="1268"/>
      <c r="FQ765" s="1656"/>
      <c r="FR765" s="249"/>
      <c r="FS765" s="216"/>
      <c r="FT765" s="1657"/>
      <c r="FU765" s="1658"/>
      <c r="FV765" s="242"/>
      <c r="FW765" s="343"/>
      <c r="FX765" s="222"/>
      <c r="FY765" s="336"/>
      <c r="FZ765" s="223"/>
      <c r="GA765" s="338"/>
      <c r="GB765" s="204"/>
      <c r="GC765" s="339"/>
      <c r="GD765" s="342"/>
      <c r="GE765" s="199"/>
      <c r="GF765" s="199"/>
      <c r="GG765" s="199"/>
      <c r="GH765" s="199"/>
      <c r="GI765" s="199"/>
      <c r="GJ765" s="199"/>
      <c r="GK765" s="199"/>
      <c r="GO765" s="322"/>
      <c r="GP765" s="1190"/>
      <c r="GQ765" s="1190"/>
      <c r="GS765" s="2879"/>
      <c r="GT765" s="2880"/>
      <c r="GU765" s="2881"/>
    </row>
    <row r="766" spans="1:203" ht="12" customHeight="1">
      <c r="A766" s="1252"/>
      <c r="B766" s="200"/>
      <c r="C766" s="486"/>
      <c r="T766" s="1186"/>
      <c r="U766" s="233"/>
      <c r="W766" s="218"/>
      <c r="X766" s="218"/>
      <c r="Y766" s="216"/>
      <c r="Z766" s="216"/>
      <c r="AA766" s="215"/>
      <c r="AB766" s="216"/>
      <c r="AC766" s="216"/>
      <c r="AD766" s="239"/>
      <c r="AE766" s="216"/>
      <c r="AF766" s="216"/>
      <c r="AG766" s="216"/>
      <c r="AH766" s="216"/>
      <c r="AI766" s="216"/>
      <c r="AJ766" s="216"/>
      <c r="AK766" s="239"/>
      <c r="AL766" s="216"/>
      <c r="AM766" s="216"/>
      <c r="AN766" s="216"/>
      <c r="AO766" s="216"/>
      <c r="AP766" s="216"/>
      <c r="AQ766" s="216"/>
      <c r="AR766" s="216"/>
      <c r="AS766" s="216"/>
      <c r="AT766" s="216"/>
      <c r="AU766" s="216"/>
      <c r="AV766" s="217"/>
      <c r="AW766" s="355"/>
      <c r="AX766" s="217"/>
      <c r="AY766" s="305"/>
      <c r="AZ766" s="249"/>
      <c r="BA766" s="221"/>
      <c r="BB766" s="300"/>
      <c r="BC766" s="217"/>
      <c r="BD766" s="392"/>
      <c r="BE766" s="1244"/>
      <c r="BF766" s="249"/>
      <c r="BG766" s="252"/>
      <c r="BH766" s="1469"/>
      <c r="BI766" s="216"/>
      <c r="BJ766" s="1469"/>
      <c r="BK766" s="1459"/>
      <c r="BL766" s="260"/>
      <c r="BM766" s="214"/>
      <c r="BN766" s="293"/>
      <c r="BO766" s="217"/>
      <c r="BP766" s="355"/>
      <c r="BQ766" s="217"/>
      <c r="BR766" s="1193"/>
      <c r="BS766" s="249"/>
      <c r="BT766" s="216"/>
      <c r="BU766" s="1195"/>
      <c r="BV766" s="249"/>
      <c r="BW766" s="216"/>
      <c r="BX766" s="1195"/>
      <c r="BY766" s="249"/>
      <c r="BZ766" s="216"/>
      <c r="CA766" s="1195"/>
      <c r="CB766" s="249"/>
      <c r="CC766" s="216"/>
      <c r="CD766" s="1195"/>
      <c r="CE766" s="249"/>
      <c r="CF766" s="216"/>
      <c r="CG766" s="1195"/>
      <c r="CH766" s="249"/>
      <c r="CI766" s="216"/>
      <c r="CJ766" s="1195"/>
      <c r="CK766" s="249"/>
      <c r="CL766" s="216"/>
      <c r="CM766" s="1194"/>
      <c r="CN766" s="1524"/>
      <c r="CO766" s="217"/>
      <c r="CP766" s="1193"/>
      <c r="CQ766" s="293"/>
      <c r="CR766" s="217"/>
      <c r="CS766" s="305"/>
      <c r="CT766" s="249"/>
      <c r="CU766" s="216"/>
      <c r="CV766" s="1193"/>
      <c r="CW766" s="249"/>
      <c r="CX766" s="216"/>
      <c r="CY766" s="305"/>
      <c r="CZ766" s="249"/>
      <c r="DA766" s="216"/>
      <c r="DB766" s="307"/>
      <c r="DC766" s="328"/>
      <c r="DD766" s="322"/>
      <c r="DE766" s="305"/>
      <c r="DF766" s="249"/>
      <c r="DG766" s="216"/>
      <c r="DH766" s="305"/>
      <c r="DI766" s="249"/>
      <c r="DJ766" s="216"/>
      <c r="DK766" s="309"/>
      <c r="DL766" s="293"/>
      <c r="DM766" s="326"/>
      <c r="DN766" s="1256"/>
      <c r="DO766" s="214"/>
      <c r="DP766" s="1257"/>
      <c r="DQ766" s="1258"/>
      <c r="DR766" s="305"/>
      <c r="DS766" s="249"/>
      <c r="DT766" s="216"/>
      <c r="DU766" s="305"/>
      <c r="DV766" s="2520"/>
      <c r="DW766" s="2521"/>
      <c r="DX766" s="305"/>
      <c r="DY766" s="249"/>
      <c r="DZ766" s="221"/>
      <c r="EA766" s="388"/>
      <c r="EB766" s="249"/>
      <c r="EC766" s="216"/>
      <c r="ED766" s="1461"/>
      <c r="EE766" s="249"/>
      <c r="EF766" s="216"/>
      <c r="EG766" s="355"/>
      <c r="EH766" s="1425"/>
      <c r="EI766" s="1470"/>
      <c r="EJ766" s="249"/>
      <c r="EK766" s="221"/>
      <c r="EL766" s="313"/>
      <c r="EM766" s="249"/>
      <c r="EN766" s="221"/>
      <c r="EO766" s="313"/>
      <c r="EP766" s="249"/>
      <c r="EQ766" s="216"/>
      <c r="ER766" s="313"/>
      <c r="ES766" s="249"/>
      <c r="ET766" s="216"/>
      <c r="EU766" s="313"/>
      <c r="EV766" s="249"/>
      <c r="EW766" s="216"/>
      <c r="EX766" s="2505"/>
      <c r="EY766" s="249"/>
      <c r="EZ766" s="221"/>
      <c r="FA766" s="313"/>
      <c r="FB766" s="249"/>
      <c r="FC766" s="221"/>
      <c r="FD766" s="313"/>
      <c r="FE766" s="249"/>
      <c r="FF766" s="221"/>
      <c r="FG766" s="313"/>
      <c r="FH766" s="249"/>
      <c r="FI766" s="216"/>
      <c r="FJ766" s="1435"/>
      <c r="FK766" s="216"/>
      <c r="FL766" s="1268"/>
      <c r="FM766" s="1655"/>
      <c r="FN766" s="1268"/>
      <c r="FO766" s="1655"/>
      <c r="FP766" s="1268"/>
      <c r="FQ766" s="1656"/>
      <c r="FR766" s="249"/>
      <c r="FS766" s="216"/>
      <c r="FT766" s="1657"/>
      <c r="FU766" s="1658"/>
      <c r="FV766" s="242"/>
      <c r="FW766" s="343"/>
      <c r="FX766" s="222"/>
      <c r="FY766" s="336"/>
      <c r="FZ766" s="223"/>
      <c r="GA766" s="338"/>
      <c r="GB766" s="204"/>
      <c r="GC766" s="339"/>
      <c r="GD766" s="342"/>
      <c r="GE766" s="199"/>
      <c r="GF766" s="199"/>
      <c r="GG766" s="199"/>
      <c r="GH766" s="199"/>
      <c r="GI766" s="199"/>
      <c r="GJ766" s="199"/>
      <c r="GK766" s="199"/>
      <c r="GO766" s="322"/>
      <c r="GP766" s="1190"/>
      <c r="GQ766" s="1190"/>
      <c r="GS766" s="2879"/>
      <c r="GT766" s="2880"/>
      <c r="GU766" s="2881"/>
    </row>
    <row r="767" spans="1:203" ht="12" customHeight="1">
      <c r="A767" s="1252"/>
      <c r="B767" s="200"/>
      <c r="C767" s="486"/>
      <c r="T767" s="1186"/>
      <c r="U767" s="233"/>
      <c r="W767" s="218"/>
      <c r="X767" s="218"/>
      <c r="Y767" s="216"/>
      <c r="Z767" s="216"/>
      <c r="AA767" s="215"/>
      <c r="AB767" s="216"/>
      <c r="AC767" s="216"/>
      <c r="AD767" s="239"/>
      <c r="AE767" s="216"/>
      <c r="AF767" s="216"/>
      <c r="AG767" s="216"/>
      <c r="AH767" s="216"/>
      <c r="AI767" s="216"/>
      <c r="AJ767" s="216"/>
      <c r="AK767" s="239"/>
      <c r="AL767" s="216"/>
      <c r="AM767" s="216"/>
      <c r="AN767" s="216"/>
      <c r="AO767" s="216"/>
      <c r="AP767" s="216"/>
      <c r="AQ767" s="216"/>
      <c r="AR767" s="216"/>
      <c r="AS767" s="216"/>
      <c r="AT767" s="216"/>
      <c r="AU767" s="216"/>
      <c r="AV767" s="217"/>
      <c r="AW767" s="355"/>
      <c r="AX767" s="217"/>
      <c r="AY767" s="305"/>
      <c r="AZ767" s="249"/>
      <c r="BA767" s="221"/>
      <c r="BB767" s="300"/>
      <c r="BC767" s="217"/>
      <c r="BD767" s="392"/>
      <c r="BE767" s="1244"/>
      <c r="BF767" s="249"/>
      <c r="BG767" s="252"/>
      <c r="BH767" s="1469"/>
      <c r="BI767" s="216"/>
      <c r="BJ767" s="1469"/>
      <c r="BK767" s="1459"/>
      <c r="BL767" s="260"/>
      <c r="BM767" s="214"/>
      <c r="BN767" s="293"/>
      <c r="BO767" s="217"/>
      <c r="BP767" s="355"/>
      <c r="BQ767" s="217"/>
      <c r="BR767" s="1193"/>
      <c r="BS767" s="249"/>
      <c r="BT767" s="216"/>
      <c r="BU767" s="1195"/>
      <c r="BV767" s="249"/>
      <c r="BW767" s="216"/>
      <c r="BX767" s="1195"/>
      <c r="BY767" s="249"/>
      <c r="BZ767" s="216"/>
      <c r="CA767" s="1195"/>
      <c r="CB767" s="249"/>
      <c r="CC767" s="216"/>
      <c r="CD767" s="1195"/>
      <c r="CE767" s="249"/>
      <c r="CF767" s="216"/>
      <c r="CG767" s="1195"/>
      <c r="CH767" s="249"/>
      <c r="CI767" s="216"/>
      <c r="CJ767" s="1195"/>
      <c r="CK767" s="249"/>
      <c r="CL767" s="216"/>
      <c r="CM767" s="1194"/>
      <c r="CN767" s="1524"/>
      <c r="CO767" s="217"/>
      <c r="CP767" s="1193"/>
      <c r="CQ767" s="293"/>
      <c r="CR767" s="217"/>
      <c r="CS767" s="305"/>
      <c r="CT767" s="249"/>
      <c r="CU767" s="216"/>
      <c r="CV767" s="1193"/>
      <c r="CW767" s="249"/>
      <c r="CX767" s="216"/>
      <c r="CY767" s="305"/>
      <c r="CZ767" s="249"/>
      <c r="DA767" s="216"/>
      <c r="DB767" s="307"/>
      <c r="DC767" s="328"/>
      <c r="DD767" s="322"/>
      <c r="DE767" s="305"/>
      <c r="DF767" s="249"/>
      <c r="DG767" s="216"/>
      <c r="DH767" s="305"/>
      <c r="DI767" s="249"/>
      <c r="DJ767" s="216"/>
      <c r="DK767" s="309"/>
      <c r="DL767" s="293"/>
      <c r="DM767" s="326"/>
      <c r="DN767" s="1256"/>
      <c r="DO767" s="214"/>
      <c r="DP767" s="1257"/>
      <c r="DQ767" s="1258"/>
      <c r="DR767" s="305"/>
      <c r="DS767" s="249"/>
      <c r="DT767" s="216"/>
      <c r="DU767" s="305"/>
      <c r="DV767" s="2520"/>
      <c r="DW767" s="2521"/>
      <c r="DX767" s="305"/>
      <c r="DY767" s="249"/>
      <c r="DZ767" s="221"/>
      <c r="EA767" s="388"/>
      <c r="EB767" s="249"/>
      <c r="EC767" s="216"/>
      <c r="ED767" s="1461"/>
      <c r="EE767" s="249"/>
      <c r="EF767" s="216"/>
      <c r="EG767" s="355"/>
      <c r="EH767" s="1425"/>
      <c r="EI767" s="1470"/>
      <c r="EJ767" s="249"/>
      <c r="EK767" s="221"/>
      <c r="EL767" s="313"/>
      <c r="EM767" s="249"/>
      <c r="EN767" s="221"/>
      <c r="EO767" s="313"/>
      <c r="EP767" s="249"/>
      <c r="EQ767" s="216"/>
      <c r="ER767" s="313"/>
      <c r="ES767" s="249"/>
      <c r="ET767" s="216"/>
      <c r="EU767" s="313"/>
      <c r="EV767" s="249"/>
      <c r="EW767" s="216"/>
      <c r="EX767" s="2505"/>
      <c r="EY767" s="249"/>
      <c r="EZ767" s="221"/>
      <c r="FA767" s="313"/>
      <c r="FB767" s="249"/>
      <c r="FC767" s="221"/>
      <c r="FD767" s="313"/>
      <c r="FE767" s="249"/>
      <c r="FF767" s="221"/>
      <c r="FG767" s="313"/>
      <c r="FH767" s="249"/>
      <c r="FI767" s="216"/>
      <c r="FJ767" s="1435"/>
      <c r="FK767" s="216"/>
      <c r="FL767" s="1268"/>
      <c r="FM767" s="1655"/>
      <c r="FN767" s="1268"/>
      <c r="FO767" s="1655"/>
      <c r="FP767" s="1268"/>
      <c r="FQ767" s="1656"/>
      <c r="FR767" s="249"/>
      <c r="FS767" s="216"/>
      <c r="FT767" s="1657"/>
      <c r="FU767" s="1658"/>
      <c r="FV767" s="242"/>
      <c r="FW767" s="343"/>
      <c r="FX767" s="222"/>
      <c r="FY767" s="336"/>
      <c r="FZ767" s="223"/>
      <c r="GA767" s="338"/>
      <c r="GB767" s="204"/>
      <c r="GC767" s="339"/>
      <c r="GD767" s="342"/>
      <c r="GE767" s="199"/>
      <c r="GF767" s="199"/>
      <c r="GG767" s="199"/>
      <c r="GH767" s="199"/>
      <c r="GI767" s="199"/>
      <c r="GJ767" s="199"/>
      <c r="GK767" s="199"/>
      <c r="GO767" s="322"/>
      <c r="GP767" s="1190"/>
      <c r="GQ767" s="1190"/>
      <c r="GS767" s="2879"/>
      <c r="GT767" s="2880"/>
      <c r="GU767" s="2881"/>
    </row>
    <row r="768" spans="1:203" ht="12" customHeight="1">
      <c r="A768" s="1252"/>
      <c r="B768" s="200"/>
      <c r="C768" s="486"/>
      <c r="T768" s="1186"/>
      <c r="U768" s="233"/>
      <c r="W768" s="218"/>
      <c r="X768" s="218"/>
      <c r="Y768" s="216"/>
      <c r="Z768" s="216"/>
      <c r="AA768" s="215"/>
      <c r="AB768" s="216"/>
      <c r="AC768" s="216"/>
      <c r="AD768" s="239"/>
      <c r="AE768" s="216"/>
      <c r="AF768" s="216"/>
      <c r="AG768" s="216"/>
      <c r="AH768" s="216"/>
      <c r="AI768" s="216"/>
      <c r="AJ768" s="216"/>
      <c r="AK768" s="239"/>
      <c r="AL768" s="216"/>
      <c r="AM768" s="216"/>
      <c r="AN768" s="216"/>
      <c r="AO768" s="216"/>
      <c r="AP768" s="216"/>
      <c r="AQ768" s="216"/>
      <c r="AR768" s="216"/>
      <c r="AS768" s="216"/>
      <c r="AT768" s="216"/>
      <c r="AU768" s="216"/>
      <c r="AV768" s="217"/>
      <c r="AW768" s="355"/>
      <c r="AX768" s="217"/>
      <c r="AY768" s="305"/>
      <c r="AZ768" s="249"/>
      <c r="BA768" s="221"/>
      <c r="BB768" s="300"/>
      <c r="BC768" s="217"/>
      <c r="BD768" s="392"/>
      <c r="BE768" s="1244"/>
      <c r="BF768" s="249"/>
      <c r="BG768" s="252"/>
      <c r="BH768" s="1469"/>
      <c r="BI768" s="216"/>
      <c r="BJ768" s="1469"/>
      <c r="BK768" s="1459"/>
      <c r="BL768" s="260"/>
      <c r="BM768" s="214"/>
      <c r="BN768" s="293"/>
      <c r="BO768" s="217"/>
      <c r="BP768" s="355"/>
      <c r="BQ768" s="217"/>
      <c r="BR768" s="1193"/>
      <c r="BS768" s="249"/>
      <c r="BT768" s="216"/>
      <c r="BU768" s="1195"/>
      <c r="BV768" s="249"/>
      <c r="BW768" s="216"/>
      <c r="BX768" s="1195"/>
      <c r="BY768" s="249"/>
      <c r="BZ768" s="216"/>
      <c r="CA768" s="1195"/>
      <c r="CB768" s="249"/>
      <c r="CC768" s="216"/>
      <c r="CD768" s="1195"/>
      <c r="CE768" s="249"/>
      <c r="CF768" s="216"/>
      <c r="CG768" s="1195"/>
      <c r="CH768" s="249"/>
      <c r="CI768" s="216"/>
      <c r="CJ768" s="1195"/>
      <c r="CK768" s="249"/>
      <c r="CL768" s="216"/>
      <c r="CM768" s="1194"/>
      <c r="CN768" s="1524"/>
      <c r="CO768" s="217"/>
      <c r="CP768" s="1193"/>
      <c r="CQ768" s="293"/>
      <c r="CR768" s="217"/>
      <c r="CS768" s="305"/>
      <c r="CT768" s="249"/>
      <c r="CU768" s="216"/>
      <c r="CV768" s="1193"/>
      <c r="CW768" s="249"/>
      <c r="CX768" s="216"/>
      <c r="CY768" s="305"/>
      <c r="CZ768" s="249"/>
      <c r="DA768" s="216"/>
      <c r="DB768" s="307"/>
      <c r="DC768" s="328"/>
      <c r="DD768" s="322"/>
      <c r="DE768" s="305"/>
      <c r="DF768" s="249"/>
      <c r="DG768" s="216"/>
      <c r="DH768" s="305"/>
      <c r="DI768" s="249"/>
      <c r="DJ768" s="216"/>
      <c r="DK768" s="309"/>
      <c r="DL768" s="293"/>
      <c r="DM768" s="326"/>
      <c r="DN768" s="1256"/>
      <c r="DO768" s="214"/>
      <c r="DP768" s="1257"/>
      <c r="DQ768" s="1258"/>
      <c r="DR768" s="305"/>
      <c r="DS768" s="249"/>
      <c r="DT768" s="216"/>
      <c r="DU768" s="305"/>
      <c r="DV768" s="2520"/>
      <c r="DW768" s="2521"/>
      <c r="DX768" s="305"/>
      <c r="DY768" s="249"/>
      <c r="DZ768" s="221"/>
      <c r="EA768" s="388"/>
      <c r="EB768" s="249"/>
      <c r="EC768" s="216"/>
      <c r="ED768" s="1461"/>
      <c r="EE768" s="249"/>
      <c r="EF768" s="216"/>
      <c r="EG768" s="355"/>
      <c r="EH768" s="1425"/>
      <c r="EI768" s="1470"/>
      <c r="EJ768" s="249"/>
      <c r="EK768" s="221"/>
      <c r="EL768" s="313"/>
      <c r="EM768" s="249"/>
      <c r="EN768" s="221"/>
      <c r="EO768" s="313"/>
      <c r="EP768" s="249"/>
      <c r="EQ768" s="216"/>
      <c r="ER768" s="313"/>
      <c r="ES768" s="249"/>
      <c r="ET768" s="216"/>
      <c r="EU768" s="313"/>
      <c r="EV768" s="249"/>
      <c r="EW768" s="216"/>
      <c r="EX768" s="2505"/>
      <c r="EY768" s="249"/>
      <c r="EZ768" s="221"/>
      <c r="FA768" s="313"/>
      <c r="FB768" s="249"/>
      <c r="FC768" s="221"/>
      <c r="FD768" s="313"/>
      <c r="FE768" s="249"/>
      <c r="FF768" s="221"/>
      <c r="FG768" s="313"/>
      <c r="FH768" s="249"/>
      <c r="FI768" s="216"/>
      <c r="FJ768" s="1435"/>
      <c r="FK768" s="216"/>
      <c r="FL768" s="1268"/>
      <c r="FM768" s="1655"/>
      <c r="FN768" s="1268"/>
      <c r="FO768" s="1655"/>
      <c r="FP768" s="1268"/>
      <c r="FQ768" s="1656"/>
      <c r="FR768" s="249"/>
      <c r="FS768" s="216"/>
      <c r="FT768" s="1657"/>
      <c r="FU768" s="1658"/>
      <c r="FV768" s="242"/>
      <c r="FW768" s="343"/>
      <c r="FX768" s="222"/>
      <c r="FY768" s="336"/>
      <c r="FZ768" s="223"/>
      <c r="GA768" s="338"/>
      <c r="GB768" s="204"/>
      <c r="GC768" s="339"/>
      <c r="GD768" s="342"/>
      <c r="GE768" s="199"/>
      <c r="GF768" s="199"/>
      <c r="GG768" s="199"/>
      <c r="GH768" s="199"/>
      <c r="GI768" s="199"/>
      <c r="GJ768" s="199"/>
      <c r="GK768" s="199"/>
      <c r="GO768" s="322"/>
      <c r="GP768" s="1190"/>
      <c r="GQ768" s="1190"/>
      <c r="GS768" s="2879"/>
      <c r="GT768" s="2880"/>
      <c r="GU768" s="2881"/>
    </row>
    <row r="769" spans="1:203" ht="12" customHeight="1">
      <c r="A769" s="1252"/>
      <c r="B769" s="200"/>
      <c r="C769" s="486"/>
      <c r="T769" s="1186"/>
      <c r="U769" s="233"/>
      <c r="W769" s="218"/>
      <c r="X769" s="218"/>
      <c r="Y769" s="216"/>
      <c r="Z769" s="216"/>
      <c r="AA769" s="215"/>
      <c r="AB769" s="216"/>
      <c r="AC769" s="216"/>
      <c r="AD769" s="239"/>
      <c r="AE769" s="216"/>
      <c r="AF769" s="216"/>
      <c r="AG769" s="216"/>
      <c r="AH769" s="216"/>
      <c r="AI769" s="216"/>
      <c r="AJ769" s="216"/>
      <c r="AK769" s="239"/>
      <c r="AL769" s="216"/>
      <c r="AM769" s="216"/>
      <c r="AN769" s="216"/>
      <c r="AO769" s="216"/>
      <c r="AP769" s="216"/>
      <c r="AQ769" s="216"/>
      <c r="AR769" s="216"/>
      <c r="AS769" s="216"/>
      <c r="AT769" s="216"/>
      <c r="AU769" s="216"/>
      <c r="AV769" s="217"/>
      <c r="AW769" s="355"/>
      <c r="AX769" s="217"/>
      <c r="AY769" s="305"/>
      <c r="AZ769" s="249"/>
      <c r="BA769" s="221"/>
      <c r="BB769" s="300"/>
      <c r="BC769" s="217"/>
      <c r="BD769" s="392"/>
      <c r="BE769" s="1244"/>
      <c r="BF769" s="249"/>
      <c r="BG769" s="252"/>
      <c r="BH769" s="1469"/>
      <c r="BI769" s="216"/>
      <c r="BJ769" s="1469"/>
      <c r="BK769" s="1459"/>
      <c r="BL769" s="260"/>
      <c r="BM769" s="214"/>
      <c r="BN769" s="293"/>
      <c r="BO769" s="217"/>
      <c r="BP769" s="355"/>
      <c r="BQ769" s="217"/>
      <c r="BR769" s="1193"/>
      <c r="BS769" s="249"/>
      <c r="BT769" s="216"/>
      <c r="BU769" s="1195"/>
      <c r="BV769" s="249"/>
      <c r="BW769" s="216"/>
      <c r="BX769" s="1195"/>
      <c r="BY769" s="249"/>
      <c r="BZ769" s="216"/>
      <c r="CA769" s="1195"/>
      <c r="CB769" s="249"/>
      <c r="CC769" s="216"/>
      <c r="CD769" s="1195"/>
      <c r="CE769" s="249"/>
      <c r="CF769" s="216"/>
      <c r="CG769" s="1195"/>
      <c r="CH769" s="249"/>
      <c r="CI769" s="216"/>
      <c r="CJ769" s="1195"/>
      <c r="CK769" s="249"/>
      <c r="CL769" s="216"/>
      <c r="CM769" s="1194"/>
      <c r="CN769" s="1524"/>
      <c r="CO769" s="217"/>
      <c r="CP769" s="1193"/>
      <c r="CQ769" s="293"/>
      <c r="CR769" s="217"/>
      <c r="CS769" s="305"/>
      <c r="CT769" s="249"/>
      <c r="CU769" s="216"/>
      <c r="CV769" s="1193"/>
      <c r="CW769" s="249"/>
      <c r="CX769" s="216"/>
      <c r="CY769" s="305"/>
      <c r="CZ769" s="249"/>
      <c r="DA769" s="216"/>
      <c r="DB769" s="307"/>
      <c r="DC769" s="328"/>
      <c r="DD769" s="322"/>
      <c r="DE769" s="305"/>
      <c r="DF769" s="249"/>
      <c r="DG769" s="216"/>
      <c r="DH769" s="305"/>
      <c r="DI769" s="249"/>
      <c r="DJ769" s="216"/>
      <c r="DK769" s="309"/>
      <c r="DL769" s="293"/>
      <c r="DM769" s="326"/>
      <c r="DN769" s="1256"/>
      <c r="DO769" s="214"/>
      <c r="DP769" s="1257"/>
      <c r="DQ769" s="1258"/>
      <c r="DR769" s="305"/>
      <c r="DS769" s="249"/>
      <c r="DT769" s="216"/>
      <c r="DU769" s="305"/>
      <c r="DV769" s="2520"/>
      <c r="DW769" s="2521"/>
      <c r="DX769" s="305"/>
      <c r="DY769" s="249"/>
      <c r="DZ769" s="221"/>
      <c r="EA769" s="388"/>
      <c r="EB769" s="249"/>
      <c r="EC769" s="216"/>
      <c r="ED769" s="1461"/>
      <c r="EE769" s="249"/>
      <c r="EF769" s="216"/>
      <c r="EG769" s="355"/>
      <c r="EH769" s="1425"/>
      <c r="EI769" s="1470"/>
      <c r="EJ769" s="249"/>
      <c r="EK769" s="221"/>
      <c r="EL769" s="313"/>
      <c r="EM769" s="249"/>
      <c r="EN769" s="221"/>
      <c r="EO769" s="313"/>
      <c r="EP769" s="249"/>
      <c r="EQ769" s="216"/>
      <c r="ER769" s="313"/>
      <c r="ES769" s="249"/>
      <c r="ET769" s="216"/>
      <c r="EU769" s="313"/>
      <c r="EV769" s="249"/>
      <c r="EW769" s="216"/>
      <c r="EX769" s="2505"/>
      <c r="EY769" s="249"/>
      <c r="EZ769" s="221"/>
      <c r="FA769" s="313"/>
      <c r="FB769" s="249"/>
      <c r="FC769" s="221"/>
      <c r="FD769" s="313"/>
      <c r="FE769" s="249"/>
      <c r="FF769" s="221"/>
      <c r="FG769" s="313"/>
      <c r="FH769" s="249"/>
      <c r="FI769" s="216"/>
      <c r="FJ769" s="1435"/>
      <c r="FK769" s="216"/>
      <c r="FL769" s="1268"/>
      <c r="FM769" s="1655"/>
      <c r="FN769" s="1268"/>
      <c r="FO769" s="1655"/>
      <c r="FP769" s="1268"/>
      <c r="FQ769" s="1656"/>
      <c r="FR769" s="249"/>
      <c r="FS769" s="216"/>
      <c r="FT769" s="1657"/>
      <c r="FU769" s="1658"/>
      <c r="FV769" s="242"/>
      <c r="FW769" s="343"/>
      <c r="FX769" s="222"/>
      <c r="FY769" s="336"/>
      <c r="FZ769" s="223"/>
      <c r="GA769" s="338"/>
      <c r="GB769" s="204"/>
      <c r="GC769" s="339"/>
      <c r="GD769" s="342"/>
      <c r="GE769" s="199"/>
      <c r="GF769" s="199"/>
      <c r="GG769" s="199"/>
      <c r="GH769" s="199"/>
      <c r="GI769" s="199"/>
      <c r="GJ769" s="199"/>
      <c r="GK769" s="199"/>
      <c r="GO769" s="322"/>
      <c r="GP769" s="1190"/>
      <c r="GQ769" s="1190"/>
      <c r="GS769" s="2879"/>
      <c r="GT769" s="2880"/>
      <c r="GU769" s="2881"/>
    </row>
    <row r="770" spans="1:203" ht="12" customHeight="1">
      <c r="A770" s="1252"/>
      <c r="B770" s="200"/>
      <c r="C770" s="486"/>
      <c r="T770" s="1186"/>
      <c r="U770" s="233"/>
      <c r="W770" s="218"/>
      <c r="X770" s="218"/>
      <c r="Y770" s="216"/>
      <c r="Z770" s="216"/>
      <c r="AA770" s="215"/>
      <c r="AB770" s="216"/>
      <c r="AC770" s="216"/>
      <c r="AD770" s="239"/>
      <c r="AE770" s="216"/>
      <c r="AF770" s="216"/>
      <c r="AG770" s="216"/>
      <c r="AH770" s="216"/>
      <c r="AI770" s="216"/>
      <c r="AJ770" s="216"/>
      <c r="AK770" s="239"/>
      <c r="AL770" s="216"/>
      <c r="AM770" s="216"/>
      <c r="AN770" s="216"/>
      <c r="AO770" s="216"/>
      <c r="AP770" s="216"/>
      <c r="AQ770" s="216"/>
      <c r="AR770" s="216"/>
      <c r="AS770" s="216"/>
      <c r="AT770" s="216"/>
      <c r="AU770" s="216"/>
      <c r="AV770" s="217"/>
      <c r="AW770" s="355"/>
      <c r="AX770" s="217"/>
      <c r="AY770" s="305"/>
      <c r="AZ770" s="249"/>
      <c r="BA770" s="221"/>
      <c r="BB770" s="300"/>
      <c r="BC770" s="217"/>
      <c r="BD770" s="392"/>
      <c r="BE770" s="1244"/>
      <c r="BF770" s="249"/>
      <c r="BG770" s="252"/>
      <c r="BH770" s="1469"/>
      <c r="BI770" s="216"/>
      <c r="BJ770" s="1469"/>
      <c r="BK770" s="1459"/>
      <c r="BL770" s="260"/>
      <c r="BM770" s="214"/>
      <c r="BN770" s="293"/>
      <c r="BO770" s="217"/>
      <c r="BP770" s="355"/>
      <c r="BQ770" s="217"/>
      <c r="BR770" s="1193"/>
      <c r="BS770" s="249"/>
      <c r="BT770" s="216"/>
      <c r="BU770" s="1195"/>
      <c r="BV770" s="249"/>
      <c r="BW770" s="216"/>
      <c r="BX770" s="1195"/>
      <c r="BY770" s="249"/>
      <c r="BZ770" s="216"/>
      <c r="CA770" s="1195"/>
      <c r="CB770" s="249"/>
      <c r="CC770" s="216"/>
      <c r="CD770" s="1195"/>
      <c r="CE770" s="249"/>
      <c r="CF770" s="216"/>
      <c r="CG770" s="1195"/>
      <c r="CH770" s="249"/>
      <c r="CI770" s="216"/>
      <c r="CJ770" s="1195"/>
      <c r="CK770" s="249"/>
      <c r="CL770" s="216"/>
      <c r="CM770" s="1194"/>
      <c r="CN770" s="1524"/>
      <c r="CO770" s="217"/>
      <c r="CP770" s="1193"/>
      <c r="CQ770" s="293"/>
      <c r="CR770" s="217"/>
      <c r="CS770" s="305"/>
      <c r="CT770" s="249"/>
      <c r="CU770" s="216"/>
      <c r="CV770" s="1193"/>
      <c r="CW770" s="249"/>
      <c r="CX770" s="216"/>
      <c r="CY770" s="305"/>
      <c r="CZ770" s="249"/>
      <c r="DA770" s="216"/>
      <c r="DB770" s="307"/>
      <c r="DC770" s="328"/>
      <c r="DD770" s="322"/>
      <c r="DE770" s="305"/>
      <c r="DF770" s="249"/>
      <c r="DG770" s="216"/>
      <c r="DH770" s="305"/>
      <c r="DI770" s="249"/>
      <c r="DJ770" s="216"/>
      <c r="DK770" s="309"/>
      <c r="DL770" s="293"/>
      <c r="DM770" s="326"/>
      <c r="DN770" s="1256"/>
      <c r="DO770" s="214"/>
      <c r="DP770" s="1257"/>
      <c r="DQ770" s="1258"/>
      <c r="DR770" s="305"/>
      <c r="DS770" s="249"/>
      <c r="DT770" s="216"/>
      <c r="DU770" s="305"/>
      <c r="DV770" s="2520"/>
      <c r="DW770" s="2521"/>
      <c r="DX770" s="305"/>
      <c r="DY770" s="249"/>
      <c r="DZ770" s="221"/>
      <c r="EA770" s="388"/>
      <c r="EB770" s="249"/>
      <c r="EC770" s="216"/>
      <c r="ED770" s="1461"/>
      <c r="EE770" s="249"/>
      <c r="EF770" s="216"/>
      <c r="EG770" s="355"/>
      <c r="EH770" s="1425"/>
      <c r="EI770" s="1470"/>
      <c r="EJ770" s="249"/>
      <c r="EK770" s="221"/>
      <c r="EL770" s="313"/>
      <c r="EM770" s="249"/>
      <c r="EN770" s="221"/>
      <c r="EO770" s="313"/>
      <c r="EP770" s="249"/>
      <c r="EQ770" s="216"/>
      <c r="ER770" s="313"/>
      <c r="ES770" s="249"/>
      <c r="ET770" s="216"/>
      <c r="EU770" s="313"/>
      <c r="EV770" s="249"/>
      <c r="EW770" s="216"/>
      <c r="EX770" s="2505"/>
      <c r="EY770" s="249"/>
      <c r="EZ770" s="221"/>
      <c r="FA770" s="313"/>
      <c r="FB770" s="249"/>
      <c r="FC770" s="221"/>
      <c r="FD770" s="313"/>
      <c r="FE770" s="249"/>
      <c r="FF770" s="221"/>
      <c r="FG770" s="313"/>
      <c r="FH770" s="249"/>
      <c r="FI770" s="216"/>
      <c r="FJ770" s="1435"/>
      <c r="FK770" s="216"/>
      <c r="FL770" s="1268"/>
      <c r="FM770" s="1655"/>
      <c r="FN770" s="1268"/>
      <c r="FO770" s="1655"/>
      <c r="FP770" s="1268"/>
      <c r="FQ770" s="1656"/>
      <c r="FR770" s="249"/>
      <c r="FS770" s="216"/>
      <c r="FT770" s="1657"/>
      <c r="FU770" s="1658"/>
      <c r="FV770" s="242"/>
      <c r="FW770" s="343"/>
      <c r="FX770" s="222"/>
      <c r="FY770" s="336"/>
      <c r="FZ770" s="223"/>
      <c r="GA770" s="338"/>
      <c r="GB770" s="204"/>
      <c r="GC770" s="339"/>
      <c r="GD770" s="342"/>
      <c r="GE770" s="199"/>
      <c r="GF770" s="199"/>
      <c r="GG770" s="199"/>
      <c r="GH770" s="199"/>
      <c r="GI770" s="199"/>
      <c r="GJ770" s="199"/>
      <c r="GK770" s="199"/>
      <c r="GO770" s="322"/>
      <c r="GP770" s="1190"/>
      <c r="GQ770" s="1190"/>
      <c r="GS770" s="2879"/>
      <c r="GT770" s="2880"/>
      <c r="GU770" s="2881"/>
    </row>
    <row r="771" spans="1:203" ht="12" customHeight="1">
      <c r="A771" s="1252"/>
      <c r="B771" s="200"/>
      <c r="C771" s="486"/>
      <c r="T771" s="1186"/>
      <c r="U771" s="233"/>
      <c r="W771" s="218"/>
      <c r="X771" s="218"/>
      <c r="Y771" s="216"/>
      <c r="Z771" s="216"/>
      <c r="AA771" s="215"/>
      <c r="AB771" s="216"/>
      <c r="AC771" s="216"/>
      <c r="AD771" s="239"/>
      <c r="AE771" s="216"/>
      <c r="AF771" s="216"/>
      <c r="AG771" s="216"/>
      <c r="AH771" s="216"/>
      <c r="AI771" s="216"/>
      <c r="AJ771" s="216"/>
      <c r="AK771" s="239"/>
      <c r="AL771" s="216"/>
      <c r="AM771" s="216"/>
      <c r="AN771" s="216"/>
      <c r="AO771" s="216"/>
      <c r="AP771" s="216"/>
      <c r="AQ771" s="216"/>
      <c r="AR771" s="216"/>
      <c r="AS771" s="216"/>
      <c r="AT771" s="216"/>
      <c r="AU771" s="216"/>
      <c r="AV771" s="217"/>
      <c r="AW771" s="355"/>
      <c r="AX771" s="217"/>
      <c r="AY771" s="305"/>
      <c r="AZ771" s="249"/>
      <c r="BA771" s="221"/>
      <c r="BB771" s="300"/>
      <c r="BC771" s="217"/>
      <c r="BD771" s="392"/>
      <c r="BE771" s="1244"/>
      <c r="BF771" s="249"/>
      <c r="BG771" s="252"/>
      <c r="BH771" s="1469"/>
      <c r="BI771" s="216"/>
      <c r="BJ771" s="1469"/>
      <c r="BK771" s="1459"/>
      <c r="BL771" s="260"/>
      <c r="BM771" s="214"/>
      <c r="BN771" s="293"/>
      <c r="BO771" s="217"/>
      <c r="BP771" s="355"/>
      <c r="BQ771" s="217"/>
      <c r="BR771" s="1193"/>
      <c r="BS771" s="249"/>
      <c r="BT771" s="216"/>
      <c r="BU771" s="1195"/>
      <c r="BV771" s="249"/>
      <c r="BW771" s="216"/>
      <c r="BX771" s="1195"/>
      <c r="BY771" s="249"/>
      <c r="BZ771" s="216"/>
      <c r="CA771" s="1195"/>
      <c r="CB771" s="249"/>
      <c r="CC771" s="216"/>
      <c r="CD771" s="1195"/>
      <c r="CE771" s="249"/>
      <c r="CF771" s="216"/>
      <c r="CG771" s="1195"/>
      <c r="CH771" s="249"/>
      <c r="CI771" s="216"/>
      <c r="CJ771" s="1195"/>
      <c r="CK771" s="249"/>
      <c r="CL771" s="216"/>
      <c r="CM771" s="1194"/>
      <c r="CN771" s="1524"/>
      <c r="CO771" s="217"/>
      <c r="CP771" s="1193"/>
      <c r="CQ771" s="293"/>
      <c r="CR771" s="217"/>
      <c r="CS771" s="305"/>
      <c r="CT771" s="249"/>
      <c r="CU771" s="216"/>
      <c r="CV771" s="1193"/>
      <c r="CW771" s="249"/>
      <c r="CX771" s="216"/>
      <c r="CY771" s="305"/>
      <c r="CZ771" s="249"/>
      <c r="DA771" s="216"/>
      <c r="DB771" s="307"/>
      <c r="DC771" s="328"/>
      <c r="DD771" s="322"/>
      <c r="DE771" s="305"/>
      <c r="DF771" s="249"/>
      <c r="DG771" s="216"/>
      <c r="DH771" s="305"/>
      <c r="DI771" s="249"/>
      <c r="DJ771" s="216"/>
      <c r="DK771" s="309"/>
      <c r="DL771" s="293"/>
      <c r="DM771" s="326"/>
      <c r="DN771" s="1256"/>
      <c r="DO771" s="214"/>
      <c r="DP771" s="1257"/>
      <c r="DQ771" s="1258"/>
      <c r="DR771" s="305"/>
      <c r="DS771" s="249"/>
      <c r="DT771" s="216"/>
      <c r="DU771" s="305"/>
      <c r="DV771" s="2520"/>
      <c r="DW771" s="2521"/>
      <c r="DX771" s="305"/>
      <c r="DY771" s="249"/>
      <c r="DZ771" s="221"/>
      <c r="EA771" s="388"/>
      <c r="EB771" s="249"/>
      <c r="EC771" s="216"/>
      <c r="ED771" s="1461"/>
      <c r="EE771" s="249"/>
      <c r="EF771" s="216"/>
      <c r="EG771" s="355"/>
      <c r="EH771" s="1425"/>
      <c r="EI771" s="1470"/>
      <c r="EJ771" s="249"/>
      <c r="EK771" s="221"/>
      <c r="EL771" s="313"/>
      <c r="EM771" s="249"/>
      <c r="EN771" s="221"/>
      <c r="EO771" s="313"/>
      <c r="EP771" s="249"/>
      <c r="EQ771" s="216"/>
      <c r="ER771" s="313"/>
      <c r="ES771" s="249"/>
      <c r="ET771" s="216"/>
      <c r="EU771" s="313"/>
      <c r="EV771" s="249"/>
      <c r="EW771" s="216"/>
      <c r="EX771" s="2505"/>
      <c r="EY771" s="249"/>
      <c r="EZ771" s="221"/>
      <c r="FA771" s="313"/>
      <c r="FB771" s="249"/>
      <c r="FC771" s="221"/>
      <c r="FD771" s="313"/>
      <c r="FE771" s="249"/>
      <c r="FF771" s="221"/>
      <c r="FG771" s="313"/>
      <c r="FH771" s="249"/>
      <c r="FI771" s="216"/>
      <c r="FJ771" s="1435"/>
      <c r="FK771" s="216"/>
      <c r="FL771" s="1268"/>
      <c r="FM771" s="1655"/>
      <c r="FN771" s="1268"/>
      <c r="FO771" s="1655"/>
      <c r="FP771" s="1268"/>
      <c r="FQ771" s="1656"/>
      <c r="FR771" s="249"/>
      <c r="FS771" s="216"/>
      <c r="FT771" s="1657"/>
      <c r="FU771" s="1658"/>
      <c r="FV771" s="242"/>
      <c r="FW771" s="343"/>
      <c r="FX771" s="222"/>
      <c r="FY771" s="336"/>
      <c r="FZ771" s="223"/>
      <c r="GA771" s="338"/>
      <c r="GB771" s="204"/>
      <c r="GC771" s="339"/>
      <c r="GD771" s="342"/>
      <c r="GE771" s="199"/>
      <c r="GF771" s="199"/>
      <c r="GG771" s="199"/>
      <c r="GH771" s="199"/>
      <c r="GI771" s="199"/>
      <c r="GJ771" s="199"/>
      <c r="GK771" s="199"/>
      <c r="GO771" s="322"/>
      <c r="GP771" s="1190"/>
      <c r="GQ771" s="1190"/>
      <c r="GS771" s="2879"/>
      <c r="GT771" s="2880"/>
      <c r="GU771" s="2881"/>
    </row>
    <row r="772" spans="1:203" ht="12" customHeight="1">
      <c r="A772" s="1252"/>
      <c r="B772" s="200"/>
      <c r="C772" s="486"/>
      <c r="T772" s="1186"/>
      <c r="U772" s="233"/>
      <c r="W772" s="218"/>
      <c r="X772" s="218"/>
      <c r="Y772" s="216"/>
      <c r="Z772" s="216"/>
      <c r="AA772" s="215"/>
      <c r="AB772" s="216"/>
      <c r="AC772" s="216"/>
      <c r="AD772" s="239"/>
      <c r="AE772" s="216"/>
      <c r="AF772" s="216"/>
      <c r="AG772" s="216"/>
      <c r="AH772" s="216"/>
      <c r="AI772" s="216"/>
      <c r="AJ772" s="216"/>
      <c r="AK772" s="239"/>
      <c r="AL772" s="216"/>
      <c r="AM772" s="216"/>
      <c r="AN772" s="216"/>
      <c r="AO772" s="216"/>
      <c r="AP772" s="216"/>
      <c r="AQ772" s="216"/>
      <c r="AR772" s="216"/>
      <c r="AS772" s="216"/>
      <c r="AT772" s="216"/>
      <c r="AU772" s="216"/>
      <c r="AV772" s="217"/>
      <c r="AW772" s="355"/>
      <c r="AX772" s="217"/>
      <c r="AY772" s="305"/>
      <c r="AZ772" s="249"/>
      <c r="BA772" s="221"/>
      <c r="BB772" s="300"/>
      <c r="BC772" s="217"/>
      <c r="BD772" s="392"/>
      <c r="BE772" s="1244"/>
      <c r="BF772" s="249"/>
      <c r="BG772" s="252"/>
      <c r="BH772" s="1469"/>
      <c r="BI772" s="216"/>
      <c r="BJ772" s="1469"/>
      <c r="BK772" s="1459"/>
      <c r="BL772" s="260"/>
      <c r="BM772" s="214"/>
      <c r="BN772" s="293"/>
      <c r="BO772" s="217"/>
      <c r="BP772" s="355"/>
      <c r="BQ772" s="217"/>
      <c r="BR772" s="1193"/>
      <c r="BS772" s="249"/>
      <c r="BT772" s="216"/>
      <c r="BU772" s="1195"/>
      <c r="BV772" s="249"/>
      <c r="BW772" s="216"/>
      <c r="BX772" s="1195"/>
      <c r="BY772" s="249"/>
      <c r="BZ772" s="216"/>
      <c r="CA772" s="1195"/>
      <c r="CB772" s="249"/>
      <c r="CC772" s="216"/>
      <c r="CD772" s="1195"/>
      <c r="CE772" s="249"/>
      <c r="CF772" s="216"/>
      <c r="CG772" s="1195"/>
      <c r="CH772" s="249"/>
      <c r="CI772" s="216"/>
      <c r="CJ772" s="1195"/>
      <c r="CK772" s="249"/>
      <c r="CL772" s="216"/>
      <c r="CM772" s="1194"/>
      <c r="CN772" s="1524"/>
      <c r="CO772" s="217"/>
      <c r="CP772" s="1193"/>
      <c r="CQ772" s="293"/>
      <c r="CR772" s="217"/>
      <c r="CS772" s="305"/>
      <c r="CT772" s="249"/>
      <c r="CU772" s="216"/>
      <c r="CV772" s="1193"/>
      <c r="CW772" s="249"/>
      <c r="CX772" s="216"/>
      <c r="CY772" s="305"/>
      <c r="CZ772" s="249"/>
      <c r="DA772" s="216"/>
      <c r="DB772" s="307"/>
      <c r="DC772" s="328"/>
      <c r="DD772" s="322"/>
      <c r="DE772" s="305"/>
      <c r="DF772" s="249"/>
      <c r="DG772" s="216"/>
      <c r="DH772" s="305"/>
      <c r="DI772" s="249"/>
      <c r="DJ772" s="216"/>
      <c r="DK772" s="309"/>
      <c r="DL772" s="293"/>
      <c r="DM772" s="326"/>
      <c r="DN772" s="1256"/>
      <c r="DO772" s="214"/>
      <c r="DP772" s="1257"/>
      <c r="DQ772" s="1258"/>
      <c r="DR772" s="305"/>
      <c r="DS772" s="249"/>
      <c r="DT772" s="216"/>
      <c r="DU772" s="305"/>
      <c r="DV772" s="2520"/>
      <c r="DW772" s="2521"/>
      <c r="DX772" s="305"/>
      <c r="DY772" s="249"/>
      <c r="DZ772" s="221"/>
      <c r="EA772" s="388"/>
      <c r="EB772" s="249"/>
      <c r="EC772" s="216"/>
      <c r="ED772" s="1461"/>
      <c r="EE772" s="249"/>
      <c r="EF772" s="216"/>
      <c r="EG772" s="355"/>
      <c r="EH772" s="1425"/>
      <c r="EI772" s="1470"/>
      <c r="EJ772" s="249"/>
      <c r="EK772" s="221"/>
      <c r="EL772" s="313"/>
      <c r="EM772" s="249"/>
      <c r="EN772" s="221"/>
      <c r="EO772" s="313"/>
      <c r="EP772" s="249"/>
      <c r="EQ772" s="216"/>
      <c r="ER772" s="313"/>
      <c r="ES772" s="249"/>
      <c r="ET772" s="216"/>
      <c r="EU772" s="313"/>
      <c r="EV772" s="249"/>
      <c r="EW772" s="216"/>
      <c r="EX772" s="2505"/>
      <c r="EY772" s="249"/>
      <c r="EZ772" s="221"/>
      <c r="FA772" s="313"/>
      <c r="FB772" s="249"/>
      <c r="FC772" s="221"/>
      <c r="FD772" s="313"/>
      <c r="FE772" s="249"/>
      <c r="FF772" s="221"/>
      <c r="FG772" s="313"/>
      <c r="FH772" s="249"/>
      <c r="FI772" s="216"/>
      <c r="FJ772" s="1435"/>
      <c r="FK772" s="216"/>
      <c r="FL772" s="1268"/>
      <c r="FM772" s="1655"/>
      <c r="FN772" s="1268"/>
      <c r="FO772" s="1655"/>
      <c r="FP772" s="1268"/>
      <c r="FQ772" s="1656"/>
      <c r="FR772" s="249"/>
      <c r="FS772" s="216"/>
      <c r="FT772" s="1657"/>
      <c r="FU772" s="1658"/>
      <c r="FV772" s="242"/>
      <c r="FW772" s="343"/>
      <c r="FX772" s="222"/>
      <c r="FY772" s="336"/>
      <c r="FZ772" s="223"/>
      <c r="GA772" s="338"/>
      <c r="GB772" s="204"/>
      <c r="GC772" s="339"/>
      <c r="GD772" s="342"/>
      <c r="GE772" s="199"/>
      <c r="GF772" s="199"/>
      <c r="GG772" s="199"/>
      <c r="GH772" s="199"/>
      <c r="GI772" s="199"/>
      <c r="GJ772" s="199"/>
      <c r="GK772" s="199"/>
      <c r="GO772" s="322"/>
      <c r="GP772" s="1190"/>
      <c r="GQ772" s="1190"/>
      <c r="GS772" s="2879"/>
      <c r="GT772" s="2880"/>
      <c r="GU772" s="2881"/>
    </row>
    <row r="773" spans="1:203" ht="12" customHeight="1">
      <c r="A773" s="1252"/>
      <c r="B773" s="200"/>
      <c r="C773" s="486"/>
      <c r="T773" s="1186"/>
      <c r="U773" s="233"/>
      <c r="W773" s="218"/>
      <c r="X773" s="218"/>
      <c r="Y773" s="216"/>
      <c r="Z773" s="216"/>
      <c r="AA773" s="215"/>
      <c r="AB773" s="216"/>
      <c r="AC773" s="216"/>
      <c r="AD773" s="239"/>
      <c r="AE773" s="216"/>
      <c r="AF773" s="216"/>
      <c r="AG773" s="216"/>
      <c r="AH773" s="216"/>
      <c r="AI773" s="216"/>
      <c r="AJ773" s="216"/>
      <c r="AK773" s="239"/>
      <c r="AL773" s="216"/>
      <c r="AM773" s="216"/>
      <c r="AN773" s="216"/>
      <c r="AO773" s="216"/>
      <c r="AP773" s="216"/>
      <c r="AQ773" s="216"/>
      <c r="AR773" s="216"/>
      <c r="AS773" s="216"/>
      <c r="AT773" s="216"/>
      <c r="AU773" s="216"/>
      <c r="AV773" s="217"/>
      <c r="AW773" s="355"/>
      <c r="AX773" s="217"/>
      <c r="AY773" s="305"/>
      <c r="AZ773" s="249"/>
      <c r="BA773" s="221"/>
      <c r="BB773" s="300"/>
      <c r="BC773" s="217"/>
      <c r="BD773" s="392"/>
      <c r="BE773" s="1244"/>
      <c r="BF773" s="249"/>
      <c r="BG773" s="252"/>
      <c r="BH773" s="1469"/>
      <c r="BI773" s="216"/>
      <c r="BJ773" s="1469"/>
      <c r="BK773" s="1459"/>
      <c r="BL773" s="260"/>
      <c r="BM773" s="214"/>
      <c r="BN773" s="293"/>
      <c r="BO773" s="217"/>
      <c r="BP773" s="355"/>
      <c r="BQ773" s="217"/>
      <c r="BR773" s="1193"/>
      <c r="BS773" s="249"/>
      <c r="BT773" s="216"/>
      <c r="BU773" s="1195"/>
      <c r="BV773" s="249"/>
      <c r="BW773" s="216"/>
      <c r="BX773" s="1195"/>
      <c r="BY773" s="249"/>
      <c r="BZ773" s="216"/>
      <c r="CA773" s="1195"/>
      <c r="CB773" s="249"/>
      <c r="CC773" s="216"/>
      <c r="CD773" s="1195"/>
      <c r="CE773" s="249"/>
      <c r="CF773" s="216"/>
      <c r="CG773" s="1195"/>
      <c r="CH773" s="249"/>
      <c r="CI773" s="216"/>
      <c r="CJ773" s="1195"/>
      <c r="CK773" s="249"/>
      <c r="CL773" s="216"/>
      <c r="CM773" s="1194"/>
      <c r="CN773" s="1524"/>
      <c r="CO773" s="217"/>
      <c r="CP773" s="1193"/>
      <c r="CQ773" s="293"/>
      <c r="CR773" s="217"/>
      <c r="CS773" s="305"/>
      <c r="CT773" s="249"/>
      <c r="CU773" s="216"/>
      <c r="CV773" s="1193"/>
      <c r="CW773" s="249"/>
      <c r="CX773" s="216"/>
      <c r="CY773" s="305"/>
      <c r="CZ773" s="249"/>
      <c r="DA773" s="216"/>
      <c r="DB773" s="307"/>
      <c r="DC773" s="328"/>
      <c r="DD773" s="322"/>
      <c r="DE773" s="305"/>
      <c r="DF773" s="249"/>
      <c r="DG773" s="216"/>
      <c r="DH773" s="305"/>
      <c r="DI773" s="249"/>
      <c r="DJ773" s="216"/>
      <c r="DK773" s="309"/>
      <c r="DL773" s="293"/>
      <c r="DM773" s="326"/>
      <c r="DN773" s="1256"/>
      <c r="DO773" s="214"/>
      <c r="DP773" s="1257"/>
      <c r="DQ773" s="1258"/>
      <c r="DR773" s="305"/>
      <c r="DS773" s="249"/>
      <c r="DT773" s="216"/>
      <c r="DU773" s="305"/>
      <c r="DV773" s="2520"/>
      <c r="DW773" s="2521"/>
      <c r="DX773" s="305"/>
      <c r="DY773" s="249"/>
      <c r="DZ773" s="221"/>
      <c r="EA773" s="388"/>
      <c r="EB773" s="249"/>
      <c r="EC773" s="216"/>
      <c r="ED773" s="1461"/>
      <c r="EE773" s="249"/>
      <c r="EF773" s="216"/>
      <c r="EG773" s="355"/>
      <c r="EH773" s="1425"/>
      <c r="EI773" s="1470"/>
      <c r="EJ773" s="249"/>
      <c r="EK773" s="221"/>
      <c r="EL773" s="313"/>
      <c r="EM773" s="249"/>
      <c r="EN773" s="221"/>
      <c r="EO773" s="313"/>
      <c r="EP773" s="249"/>
      <c r="EQ773" s="216"/>
      <c r="ER773" s="313"/>
      <c r="ES773" s="249"/>
      <c r="ET773" s="216"/>
      <c r="EU773" s="313"/>
      <c r="EV773" s="249"/>
      <c r="EW773" s="216"/>
      <c r="EX773" s="2505"/>
      <c r="EY773" s="249"/>
      <c r="EZ773" s="221"/>
      <c r="FA773" s="313"/>
      <c r="FB773" s="249"/>
      <c r="FC773" s="221"/>
      <c r="FD773" s="313"/>
      <c r="FE773" s="249"/>
      <c r="FF773" s="221"/>
      <c r="FG773" s="313"/>
      <c r="FH773" s="249"/>
      <c r="FI773" s="216"/>
      <c r="FJ773" s="1435"/>
      <c r="FK773" s="216"/>
      <c r="FL773" s="1268"/>
      <c r="FM773" s="1655"/>
      <c r="FN773" s="1268"/>
      <c r="FO773" s="1655"/>
      <c r="FP773" s="1268"/>
      <c r="FQ773" s="1656"/>
      <c r="FR773" s="249"/>
      <c r="FS773" s="216"/>
      <c r="FT773" s="1657"/>
      <c r="FU773" s="1658"/>
      <c r="FV773" s="242"/>
      <c r="FW773" s="343"/>
      <c r="FX773" s="222"/>
      <c r="FY773" s="336"/>
      <c r="FZ773" s="223"/>
      <c r="GA773" s="338"/>
      <c r="GB773" s="204"/>
      <c r="GC773" s="339"/>
      <c r="GD773" s="342"/>
      <c r="GE773" s="199"/>
      <c r="GF773" s="199"/>
      <c r="GG773" s="199"/>
      <c r="GH773" s="199"/>
      <c r="GI773" s="199"/>
      <c r="GJ773" s="199"/>
      <c r="GK773" s="199"/>
      <c r="GO773" s="322"/>
      <c r="GP773" s="1190"/>
      <c r="GQ773" s="1190"/>
      <c r="GS773" s="2879"/>
      <c r="GT773" s="2880"/>
      <c r="GU773" s="2881"/>
    </row>
    <row r="774" spans="1:203" ht="12" customHeight="1">
      <c r="A774" s="1252"/>
      <c r="B774" s="200"/>
      <c r="C774" s="486"/>
      <c r="T774" s="1186"/>
      <c r="U774" s="233"/>
      <c r="W774" s="218"/>
      <c r="X774" s="218"/>
      <c r="Y774" s="216"/>
      <c r="Z774" s="216"/>
      <c r="AA774" s="215"/>
      <c r="AB774" s="216"/>
      <c r="AC774" s="216"/>
      <c r="AD774" s="239"/>
      <c r="AE774" s="216"/>
      <c r="AF774" s="216"/>
      <c r="AG774" s="216"/>
      <c r="AH774" s="216"/>
      <c r="AI774" s="216"/>
      <c r="AJ774" s="216"/>
      <c r="AK774" s="239"/>
      <c r="AL774" s="216"/>
      <c r="AM774" s="216"/>
      <c r="AN774" s="216"/>
      <c r="AO774" s="216"/>
      <c r="AP774" s="216"/>
      <c r="AQ774" s="216"/>
      <c r="AR774" s="216"/>
      <c r="AS774" s="216"/>
      <c r="AT774" s="216"/>
      <c r="AU774" s="216"/>
      <c r="AV774" s="217"/>
      <c r="AW774" s="355"/>
      <c r="AX774" s="217"/>
      <c r="AY774" s="305"/>
      <c r="AZ774" s="249"/>
      <c r="BA774" s="221"/>
      <c r="BB774" s="300"/>
      <c r="BC774" s="217"/>
      <c r="BD774" s="392"/>
      <c r="BE774" s="1244"/>
      <c r="BF774" s="249"/>
      <c r="BG774" s="252"/>
      <c r="BH774" s="1469"/>
      <c r="BI774" s="216"/>
      <c r="BJ774" s="1469"/>
      <c r="BK774" s="1459"/>
      <c r="BL774" s="260"/>
      <c r="BM774" s="214"/>
      <c r="BN774" s="293"/>
      <c r="BO774" s="217"/>
      <c r="BP774" s="355"/>
      <c r="BQ774" s="217"/>
      <c r="BR774" s="1193"/>
      <c r="BS774" s="249"/>
      <c r="BT774" s="216"/>
      <c r="BU774" s="1195"/>
      <c r="BV774" s="249"/>
      <c r="BW774" s="216"/>
      <c r="BX774" s="1195"/>
      <c r="BY774" s="249"/>
      <c r="BZ774" s="216"/>
      <c r="CA774" s="1195"/>
      <c r="CB774" s="249"/>
      <c r="CC774" s="216"/>
      <c r="CD774" s="1195"/>
      <c r="CE774" s="249"/>
      <c r="CF774" s="216"/>
      <c r="CG774" s="1195"/>
      <c r="CH774" s="249"/>
      <c r="CI774" s="216"/>
      <c r="CJ774" s="1195"/>
      <c r="CK774" s="249"/>
      <c r="CL774" s="216"/>
      <c r="CM774" s="1194"/>
      <c r="CN774" s="1524"/>
      <c r="CO774" s="217"/>
      <c r="CP774" s="1193"/>
      <c r="CQ774" s="293"/>
      <c r="CR774" s="217"/>
      <c r="CS774" s="305"/>
      <c r="CT774" s="249"/>
      <c r="CU774" s="216"/>
      <c r="CV774" s="1193"/>
      <c r="CW774" s="249"/>
      <c r="CX774" s="216"/>
      <c r="CY774" s="305"/>
      <c r="CZ774" s="249"/>
      <c r="DA774" s="216"/>
      <c r="DB774" s="307"/>
      <c r="DC774" s="328"/>
      <c r="DD774" s="322"/>
      <c r="DE774" s="305"/>
      <c r="DF774" s="249"/>
      <c r="DG774" s="216"/>
      <c r="DH774" s="305"/>
      <c r="DI774" s="249"/>
      <c r="DJ774" s="216"/>
      <c r="DK774" s="309"/>
      <c r="DL774" s="293"/>
      <c r="DM774" s="326"/>
      <c r="DN774" s="1256"/>
      <c r="DO774" s="214"/>
      <c r="DP774" s="1257"/>
      <c r="DQ774" s="1258"/>
      <c r="DR774" s="305"/>
      <c r="DS774" s="249"/>
      <c r="DT774" s="216"/>
      <c r="DU774" s="305"/>
      <c r="DV774" s="2520"/>
      <c r="DW774" s="2521"/>
      <c r="DX774" s="305"/>
      <c r="DY774" s="249"/>
      <c r="DZ774" s="221"/>
      <c r="EA774" s="388"/>
      <c r="EB774" s="249"/>
      <c r="EC774" s="216"/>
      <c r="ED774" s="1461"/>
      <c r="EE774" s="249"/>
      <c r="EF774" s="216"/>
      <c r="EG774" s="355"/>
      <c r="EH774" s="1425"/>
      <c r="EI774" s="1470"/>
      <c r="EJ774" s="249"/>
      <c r="EK774" s="221"/>
      <c r="EL774" s="313"/>
      <c r="EM774" s="249"/>
      <c r="EN774" s="221"/>
      <c r="EO774" s="313"/>
      <c r="EP774" s="249"/>
      <c r="EQ774" s="216"/>
      <c r="ER774" s="313"/>
      <c r="ES774" s="249"/>
      <c r="ET774" s="216"/>
      <c r="EU774" s="313"/>
      <c r="EV774" s="249"/>
      <c r="EW774" s="216"/>
      <c r="EX774" s="2505"/>
      <c r="EY774" s="249"/>
      <c r="EZ774" s="221"/>
      <c r="FA774" s="313"/>
      <c r="FB774" s="249"/>
      <c r="FC774" s="221"/>
      <c r="FD774" s="313"/>
      <c r="FE774" s="249"/>
      <c r="FF774" s="221"/>
      <c r="FG774" s="313"/>
      <c r="FH774" s="249"/>
      <c r="FI774" s="216"/>
      <c r="FJ774" s="1435"/>
      <c r="FK774" s="216"/>
      <c r="FL774" s="1268"/>
      <c r="FM774" s="1655"/>
      <c r="FN774" s="1268"/>
      <c r="FO774" s="1655"/>
      <c r="FP774" s="1268"/>
      <c r="FQ774" s="1656"/>
      <c r="FR774" s="249"/>
      <c r="FS774" s="216"/>
      <c r="FT774" s="1657"/>
      <c r="FU774" s="1658"/>
      <c r="FV774" s="242"/>
      <c r="FW774" s="343"/>
      <c r="FX774" s="222"/>
      <c r="FY774" s="336"/>
      <c r="FZ774" s="223"/>
      <c r="GA774" s="338"/>
      <c r="GB774" s="204"/>
      <c r="GC774" s="339"/>
      <c r="GD774" s="342"/>
      <c r="GE774" s="199"/>
      <c r="GF774" s="199"/>
      <c r="GG774" s="199"/>
      <c r="GH774" s="199"/>
      <c r="GI774" s="199"/>
      <c r="GJ774" s="199"/>
      <c r="GK774" s="199"/>
      <c r="GO774" s="322"/>
      <c r="GP774" s="1190"/>
      <c r="GQ774" s="1190"/>
      <c r="GS774" s="2879"/>
      <c r="GT774" s="2880"/>
      <c r="GU774" s="2881"/>
    </row>
    <row r="775" spans="1:203" ht="12" customHeight="1">
      <c r="A775" s="1252"/>
      <c r="B775" s="200"/>
      <c r="C775" s="486"/>
      <c r="T775" s="1186"/>
      <c r="U775" s="233"/>
      <c r="W775" s="218"/>
      <c r="X775" s="218"/>
      <c r="Y775" s="216"/>
      <c r="Z775" s="216"/>
      <c r="AA775" s="215"/>
      <c r="AB775" s="216"/>
      <c r="AC775" s="216"/>
      <c r="AD775" s="239"/>
      <c r="AE775" s="216"/>
      <c r="AF775" s="216"/>
      <c r="AG775" s="216"/>
      <c r="AH775" s="216"/>
      <c r="AI775" s="216"/>
      <c r="AJ775" s="216"/>
      <c r="AK775" s="239"/>
      <c r="AL775" s="216"/>
      <c r="AM775" s="216"/>
      <c r="AN775" s="216"/>
      <c r="AO775" s="216"/>
      <c r="AP775" s="216"/>
      <c r="AQ775" s="216"/>
      <c r="AR775" s="216"/>
      <c r="AS775" s="216"/>
      <c r="AT775" s="216"/>
      <c r="AU775" s="216"/>
      <c r="AV775" s="217"/>
      <c r="AW775" s="355"/>
      <c r="AX775" s="217"/>
      <c r="AY775" s="305"/>
      <c r="AZ775" s="249"/>
      <c r="BA775" s="221"/>
      <c r="BB775" s="300"/>
      <c r="BC775" s="217"/>
      <c r="BD775" s="392"/>
      <c r="BE775" s="1244"/>
      <c r="BF775" s="249"/>
      <c r="BG775" s="252"/>
      <c r="BH775" s="1469"/>
      <c r="BI775" s="216"/>
      <c r="BJ775" s="1469"/>
      <c r="BK775" s="1459"/>
      <c r="BL775" s="260"/>
      <c r="BM775" s="214"/>
      <c r="BN775" s="293"/>
      <c r="BO775" s="217"/>
      <c r="BP775" s="355"/>
      <c r="BQ775" s="217"/>
      <c r="BR775" s="1193"/>
      <c r="BS775" s="249"/>
      <c r="BT775" s="216"/>
      <c r="BU775" s="1195"/>
      <c r="BV775" s="249"/>
      <c r="BW775" s="216"/>
      <c r="BX775" s="1195"/>
      <c r="BY775" s="249"/>
      <c r="BZ775" s="216"/>
      <c r="CA775" s="1195"/>
      <c r="CB775" s="249"/>
      <c r="CC775" s="216"/>
      <c r="CD775" s="1195"/>
      <c r="CE775" s="249"/>
      <c r="CF775" s="216"/>
      <c r="CG775" s="1195"/>
      <c r="CH775" s="249"/>
      <c r="CI775" s="216"/>
      <c r="CJ775" s="1195"/>
      <c r="CK775" s="249"/>
      <c r="CL775" s="216"/>
      <c r="CM775" s="1194"/>
      <c r="CN775" s="1524"/>
      <c r="CO775" s="217"/>
      <c r="CP775" s="1193"/>
      <c r="CQ775" s="293"/>
      <c r="CR775" s="217"/>
      <c r="CS775" s="305"/>
      <c r="CT775" s="249"/>
      <c r="CU775" s="216"/>
      <c r="CV775" s="1193"/>
      <c r="CW775" s="249"/>
      <c r="CX775" s="216"/>
      <c r="CY775" s="305"/>
      <c r="CZ775" s="249"/>
      <c r="DA775" s="216"/>
      <c r="DB775" s="307"/>
      <c r="DC775" s="328"/>
      <c r="DD775" s="322"/>
      <c r="DE775" s="305"/>
      <c r="DF775" s="249"/>
      <c r="DG775" s="216"/>
      <c r="DH775" s="305"/>
      <c r="DI775" s="249"/>
      <c r="DJ775" s="216"/>
      <c r="DK775" s="309"/>
      <c r="DL775" s="293"/>
      <c r="DM775" s="326"/>
      <c r="DN775" s="1256"/>
      <c r="DO775" s="214"/>
      <c r="DP775" s="1257"/>
      <c r="DQ775" s="1258"/>
      <c r="DR775" s="305"/>
      <c r="DS775" s="249"/>
      <c r="DT775" s="216"/>
      <c r="DU775" s="305"/>
      <c r="DV775" s="2520"/>
      <c r="DW775" s="2521"/>
      <c r="DX775" s="305"/>
      <c r="DY775" s="249"/>
      <c r="DZ775" s="221"/>
      <c r="EA775" s="388"/>
      <c r="EB775" s="249"/>
      <c r="EC775" s="216"/>
      <c r="ED775" s="1461"/>
      <c r="EE775" s="249"/>
      <c r="EF775" s="216"/>
      <c r="EG775" s="355"/>
      <c r="EH775" s="1425"/>
      <c r="EI775" s="1470"/>
      <c r="EJ775" s="249"/>
      <c r="EK775" s="221"/>
      <c r="EL775" s="313"/>
      <c r="EM775" s="249"/>
      <c r="EN775" s="221"/>
      <c r="EO775" s="313"/>
      <c r="EP775" s="249"/>
      <c r="EQ775" s="216"/>
      <c r="ER775" s="313"/>
      <c r="ES775" s="249"/>
      <c r="ET775" s="216"/>
      <c r="EU775" s="313"/>
      <c r="EV775" s="249"/>
      <c r="EW775" s="216"/>
      <c r="EX775" s="2505"/>
      <c r="EY775" s="249"/>
      <c r="EZ775" s="221"/>
      <c r="FA775" s="313"/>
      <c r="FB775" s="249"/>
      <c r="FC775" s="221"/>
      <c r="FD775" s="313"/>
      <c r="FE775" s="249"/>
      <c r="FF775" s="221"/>
      <c r="FG775" s="313"/>
      <c r="FH775" s="249"/>
      <c r="FI775" s="216"/>
      <c r="FJ775" s="1435"/>
      <c r="FK775" s="216"/>
      <c r="FL775" s="1268"/>
      <c r="FM775" s="1655"/>
      <c r="FN775" s="1268"/>
      <c r="FO775" s="1655"/>
      <c r="FP775" s="1268"/>
      <c r="FQ775" s="1656"/>
      <c r="FR775" s="249"/>
      <c r="FS775" s="216"/>
      <c r="FT775" s="1657"/>
      <c r="FU775" s="1658"/>
      <c r="FV775" s="242"/>
      <c r="FW775" s="343"/>
      <c r="FX775" s="222"/>
      <c r="FY775" s="336"/>
      <c r="FZ775" s="223"/>
      <c r="GA775" s="338"/>
      <c r="GB775" s="204"/>
      <c r="GC775" s="339"/>
      <c r="GD775" s="342"/>
      <c r="GE775" s="199"/>
      <c r="GF775" s="199"/>
      <c r="GG775" s="199"/>
      <c r="GH775" s="199"/>
      <c r="GI775" s="199"/>
      <c r="GJ775" s="199"/>
      <c r="GK775" s="199"/>
      <c r="GO775" s="322"/>
      <c r="GP775" s="1190"/>
      <c r="GQ775" s="1190"/>
      <c r="GS775" s="2879"/>
      <c r="GT775" s="2880"/>
      <c r="GU775" s="2881"/>
    </row>
    <row r="776" spans="1:203" ht="12" customHeight="1">
      <c r="A776" s="1252"/>
      <c r="B776" s="200"/>
      <c r="C776" s="486"/>
      <c r="T776" s="1186"/>
      <c r="U776" s="233"/>
      <c r="W776" s="218"/>
      <c r="X776" s="218"/>
      <c r="Y776" s="216"/>
      <c r="Z776" s="216"/>
      <c r="AA776" s="215"/>
      <c r="AB776" s="216"/>
      <c r="AC776" s="216"/>
      <c r="AD776" s="239"/>
      <c r="AE776" s="216"/>
      <c r="AF776" s="216"/>
      <c r="AG776" s="216"/>
      <c r="AH776" s="216"/>
      <c r="AI776" s="216"/>
      <c r="AJ776" s="216"/>
      <c r="AK776" s="239"/>
      <c r="AL776" s="216"/>
      <c r="AM776" s="216"/>
      <c r="AN776" s="216"/>
      <c r="AO776" s="216"/>
      <c r="AP776" s="216"/>
      <c r="AQ776" s="216"/>
      <c r="AR776" s="216"/>
      <c r="AS776" s="216"/>
      <c r="AT776" s="216"/>
      <c r="AU776" s="216"/>
      <c r="AV776" s="217"/>
      <c r="AW776" s="355"/>
      <c r="AX776" s="217"/>
      <c r="AY776" s="305"/>
      <c r="AZ776" s="249"/>
      <c r="BA776" s="221"/>
      <c r="BB776" s="300"/>
      <c r="BC776" s="217"/>
      <c r="BD776" s="392"/>
      <c r="BE776" s="1244"/>
      <c r="BF776" s="249"/>
      <c r="BG776" s="252"/>
      <c r="BH776" s="1469"/>
      <c r="BI776" s="216"/>
      <c r="BJ776" s="1469"/>
      <c r="BK776" s="1459"/>
      <c r="BL776" s="260"/>
      <c r="BM776" s="214"/>
      <c r="BN776" s="293"/>
      <c r="BO776" s="217"/>
      <c r="BP776" s="355"/>
      <c r="BQ776" s="217"/>
      <c r="BR776" s="1193"/>
      <c r="BS776" s="249"/>
      <c r="BT776" s="216"/>
      <c r="BU776" s="1195"/>
      <c r="BV776" s="249"/>
      <c r="BW776" s="216"/>
      <c r="BX776" s="1195"/>
      <c r="BY776" s="249"/>
      <c r="BZ776" s="216"/>
      <c r="CA776" s="1195"/>
      <c r="CB776" s="249"/>
      <c r="CC776" s="216"/>
      <c r="CD776" s="1195"/>
      <c r="CE776" s="249"/>
      <c r="CF776" s="216"/>
      <c r="CG776" s="1195"/>
      <c r="CH776" s="249"/>
      <c r="CI776" s="216"/>
      <c r="CJ776" s="1195"/>
      <c r="CK776" s="249"/>
      <c r="CL776" s="216"/>
      <c r="CM776" s="1194"/>
      <c r="CN776" s="1524"/>
      <c r="CO776" s="217"/>
      <c r="CP776" s="1193"/>
      <c r="CQ776" s="293"/>
      <c r="CR776" s="217"/>
      <c r="CS776" s="305"/>
      <c r="CT776" s="249"/>
      <c r="CU776" s="216"/>
      <c r="CV776" s="1193"/>
      <c r="CW776" s="249"/>
      <c r="CX776" s="216"/>
      <c r="CY776" s="305"/>
      <c r="CZ776" s="249"/>
      <c r="DA776" s="216"/>
      <c r="DB776" s="307"/>
      <c r="DC776" s="328"/>
      <c r="DD776" s="322"/>
      <c r="DE776" s="305"/>
      <c r="DF776" s="249"/>
      <c r="DG776" s="216"/>
      <c r="DH776" s="305"/>
      <c r="DI776" s="249"/>
      <c r="DJ776" s="216"/>
      <c r="DK776" s="309"/>
      <c r="DL776" s="293"/>
      <c r="DM776" s="326"/>
      <c r="DN776" s="1256"/>
      <c r="DO776" s="214"/>
      <c r="DP776" s="1257"/>
      <c r="DQ776" s="1258"/>
      <c r="DR776" s="305"/>
      <c r="DS776" s="249"/>
      <c r="DT776" s="216"/>
      <c r="DU776" s="305"/>
      <c r="DV776" s="2520"/>
      <c r="DW776" s="2521"/>
      <c r="DX776" s="305"/>
      <c r="DY776" s="249"/>
      <c r="DZ776" s="221"/>
      <c r="EA776" s="388"/>
      <c r="EB776" s="249"/>
      <c r="EC776" s="216"/>
      <c r="ED776" s="1461"/>
      <c r="EE776" s="249"/>
      <c r="EF776" s="216"/>
      <c r="EG776" s="355"/>
      <c r="EH776" s="1425"/>
      <c r="EI776" s="1470"/>
      <c r="EJ776" s="249"/>
      <c r="EK776" s="221"/>
      <c r="EL776" s="313"/>
      <c r="EM776" s="249"/>
      <c r="EN776" s="221"/>
      <c r="EO776" s="313"/>
      <c r="EP776" s="249"/>
      <c r="EQ776" s="216"/>
      <c r="ER776" s="313"/>
      <c r="ES776" s="249"/>
      <c r="ET776" s="216"/>
      <c r="EU776" s="313"/>
      <c r="EV776" s="249"/>
      <c r="EW776" s="216"/>
      <c r="EX776" s="2505"/>
      <c r="EY776" s="249"/>
      <c r="EZ776" s="221"/>
      <c r="FA776" s="313"/>
      <c r="FB776" s="249"/>
      <c r="FC776" s="221"/>
      <c r="FD776" s="313"/>
      <c r="FE776" s="249"/>
      <c r="FF776" s="221"/>
      <c r="FG776" s="313"/>
      <c r="FH776" s="249"/>
      <c r="FI776" s="216"/>
      <c r="FJ776" s="1435"/>
      <c r="FK776" s="216"/>
      <c r="FL776" s="1268"/>
      <c r="FM776" s="1655"/>
      <c r="FN776" s="1268"/>
      <c r="FO776" s="1655"/>
      <c r="FP776" s="1268"/>
      <c r="FQ776" s="1656"/>
      <c r="FR776" s="249"/>
      <c r="FS776" s="216"/>
      <c r="FT776" s="1657"/>
      <c r="FU776" s="1658"/>
      <c r="FV776" s="242"/>
      <c r="FW776" s="343"/>
      <c r="FX776" s="222"/>
      <c r="FY776" s="336"/>
      <c r="FZ776" s="223"/>
      <c r="GA776" s="338"/>
      <c r="GB776" s="204"/>
      <c r="GC776" s="339"/>
      <c r="GD776" s="342"/>
      <c r="GE776" s="199"/>
      <c r="GF776" s="199"/>
      <c r="GG776" s="199"/>
      <c r="GH776" s="199"/>
      <c r="GI776" s="199"/>
      <c r="GJ776" s="199"/>
      <c r="GK776" s="199"/>
      <c r="GO776" s="322"/>
      <c r="GP776" s="1190"/>
      <c r="GQ776" s="1190"/>
      <c r="GS776" s="2879"/>
      <c r="GT776" s="2880"/>
      <c r="GU776" s="2881"/>
    </row>
    <row r="777" spans="1:203" ht="12" customHeight="1">
      <c r="A777" s="1252"/>
      <c r="B777" s="200"/>
      <c r="C777" s="486"/>
      <c r="T777" s="1186"/>
      <c r="U777" s="233"/>
      <c r="W777" s="218"/>
      <c r="X777" s="218"/>
      <c r="Y777" s="216"/>
      <c r="Z777" s="216"/>
      <c r="AA777" s="215"/>
      <c r="AB777" s="216"/>
      <c r="AC777" s="216"/>
      <c r="AD777" s="239"/>
      <c r="AE777" s="216"/>
      <c r="AF777" s="216"/>
      <c r="AG777" s="216"/>
      <c r="AH777" s="216"/>
      <c r="AI777" s="216"/>
      <c r="AJ777" s="216"/>
      <c r="AK777" s="239"/>
      <c r="AL777" s="216"/>
      <c r="AM777" s="216"/>
      <c r="AN777" s="216"/>
      <c r="AO777" s="216"/>
      <c r="AP777" s="216"/>
      <c r="AQ777" s="216"/>
      <c r="AR777" s="216"/>
      <c r="AS777" s="216"/>
      <c r="AT777" s="216"/>
      <c r="AU777" s="216"/>
      <c r="AV777" s="217"/>
      <c r="AW777" s="355"/>
      <c r="AX777" s="217"/>
      <c r="AY777" s="305"/>
      <c r="AZ777" s="249"/>
      <c r="BA777" s="221"/>
      <c r="BB777" s="300"/>
      <c r="BC777" s="217"/>
      <c r="BD777" s="392"/>
      <c r="BE777" s="1244"/>
      <c r="BF777" s="249"/>
      <c r="BG777" s="252"/>
      <c r="BH777" s="1469"/>
      <c r="BI777" s="216"/>
      <c r="BJ777" s="1469"/>
      <c r="BK777" s="1459"/>
      <c r="BL777" s="260"/>
      <c r="BM777" s="214"/>
      <c r="BN777" s="293"/>
      <c r="BO777" s="217"/>
      <c r="BP777" s="355"/>
      <c r="BQ777" s="217"/>
      <c r="BR777" s="1193"/>
      <c r="BS777" s="249"/>
      <c r="BT777" s="216"/>
      <c r="BU777" s="1195"/>
      <c r="BV777" s="249"/>
      <c r="BW777" s="216"/>
      <c r="BX777" s="1195"/>
      <c r="BY777" s="249"/>
      <c r="BZ777" s="216"/>
      <c r="CA777" s="1195"/>
      <c r="CB777" s="249"/>
      <c r="CC777" s="216"/>
      <c r="CD777" s="1195"/>
      <c r="CE777" s="249"/>
      <c r="CF777" s="216"/>
      <c r="CG777" s="1195"/>
      <c r="CH777" s="249"/>
      <c r="CI777" s="216"/>
      <c r="CJ777" s="1195"/>
      <c r="CK777" s="249"/>
      <c r="CL777" s="216"/>
      <c r="CM777" s="1194"/>
      <c r="CN777" s="1524"/>
      <c r="CO777" s="217"/>
      <c r="CP777" s="1193"/>
      <c r="CQ777" s="293"/>
      <c r="CR777" s="217"/>
      <c r="CS777" s="305"/>
      <c r="CT777" s="249"/>
      <c r="CU777" s="216"/>
      <c r="CV777" s="1193"/>
      <c r="CW777" s="249"/>
      <c r="CX777" s="216"/>
      <c r="CY777" s="305"/>
      <c r="CZ777" s="249"/>
      <c r="DA777" s="216"/>
      <c r="DB777" s="307"/>
      <c r="DC777" s="328"/>
      <c r="DD777" s="322"/>
      <c r="DE777" s="305"/>
      <c r="DF777" s="249"/>
      <c r="DG777" s="216"/>
      <c r="DH777" s="305"/>
      <c r="DI777" s="249"/>
      <c r="DJ777" s="216"/>
      <c r="DK777" s="309"/>
      <c r="DL777" s="293"/>
      <c r="DM777" s="326"/>
      <c r="DN777" s="1256"/>
      <c r="DO777" s="214"/>
      <c r="DP777" s="1257"/>
      <c r="DQ777" s="1258"/>
      <c r="DR777" s="305"/>
      <c r="DS777" s="249"/>
      <c r="DT777" s="216"/>
      <c r="DU777" s="305"/>
      <c r="DV777" s="2520"/>
      <c r="DW777" s="2521"/>
      <c r="DX777" s="305"/>
      <c r="DY777" s="249"/>
      <c r="DZ777" s="221"/>
      <c r="EA777" s="388"/>
      <c r="EB777" s="249"/>
      <c r="EC777" s="216"/>
      <c r="ED777" s="1461"/>
      <c r="EE777" s="249"/>
      <c r="EF777" s="216"/>
      <c r="EG777" s="355"/>
      <c r="EH777" s="1425"/>
      <c r="EI777" s="1470"/>
      <c r="EJ777" s="249"/>
      <c r="EK777" s="221"/>
      <c r="EL777" s="313"/>
      <c r="EM777" s="249"/>
      <c r="EN777" s="221"/>
      <c r="EO777" s="313"/>
      <c r="EP777" s="249"/>
      <c r="EQ777" s="216"/>
      <c r="ER777" s="313"/>
      <c r="ES777" s="249"/>
      <c r="ET777" s="216"/>
      <c r="EU777" s="313"/>
      <c r="EV777" s="249"/>
      <c r="EW777" s="216"/>
      <c r="EX777" s="2505"/>
      <c r="EY777" s="249"/>
      <c r="EZ777" s="221"/>
      <c r="FA777" s="313"/>
      <c r="FB777" s="249"/>
      <c r="FC777" s="221"/>
      <c r="FD777" s="313"/>
      <c r="FE777" s="249"/>
      <c r="FF777" s="221"/>
      <c r="FG777" s="313"/>
      <c r="FH777" s="249"/>
      <c r="FI777" s="216"/>
      <c r="FJ777" s="1435"/>
      <c r="FK777" s="216"/>
      <c r="FL777" s="1268"/>
      <c r="FM777" s="1655"/>
      <c r="FN777" s="1268"/>
      <c r="FO777" s="1655"/>
      <c r="FP777" s="1268"/>
      <c r="FQ777" s="1656"/>
      <c r="FR777" s="249"/>
      <c r="FS777" s="216"/>
      <c r="FT777" s="1657"/>
      <c r="FU777" s="1658"/>
      <c r="FV777" s="242"/>
      <c r="FW777" s="343"/>
      <c r="FX777" s="222"/>
      <c r="FY777" s="336"/>
      <c r="FZ777" s="223"/>
      <c r="GA777" s="338"/>
      <c r="GB777" s="204"/>
      <c r="GC777" s="339"/>
      <c r="GD777" s="342"/>
      <c r="GE777" s="199"/>
      <c r="GF777" s="199"/>
      <c r="GG777" s="199"/>
      <c r="GH777" s="199"/>
      <c r="GI777" s="199"/>
      <c r="GJ777" s="199"/>
      <c r="GK777" s="199"/>
      <c r="GO777" s="322"/>
      <c r="GP777" s="1190"/>
      <c r="GQ777" s="1190"/>
      <c r="GS777" s="2879"/>
      <c r="GT777" s="2880"/>
      <c r="GU777" s="2881"/>
    </row>
    <row r="778" spans="1:203" ht="12" customHeight="1">
      <c r="A778" s="1252"/>
      <c r="B778" s="200"/>
      <c r="C778" s="486"/>
      <c r="T778" s="1186"/>
      <c r="U778" s="233"/>
      <c r="W778" s="218"/>
      <c r="X778" s="218"/>
      <c r="Y778" s="216"/>
      <c r="Z778" s="216"/>
      <c r="AA778" s="215"/>
      <c r="AB778" s="216"/>
      <c r="AC778" s="216"/>
      <c r="AD778" s="239"/>
      <c r="AE778" s="216"/>
      <c r="AF778" s="216"/>
      <c r="AG778" s="216"/>
      <c r="AH778" s="216"/>
      <c r="AI778" s="216"/>
      <c r="AJ778" s="216"/>
      <c r="AK778" s="239"/>
      <c r="AL778" s="216"/>
      <c r="AM778" s="216"/>
      <c r="AN778" s="216"/>
      <c r="AO778" s="216"/>
      <c r="AP778" s="216"/>
      <c r="AQ778" s="216"/>
      <c r="AR778" s="216"/>
      <c r="AS778" s="216"/>
      <c r="AT778" s="216"/>
      <c r="AU778" s="216"/>
      <c r="AV778" s="217"/>
      <c r="AW778" s="355"/>
      <c r="AX778" s="217"/>
      <c r="AY778" s="305"/>
      <c r="AZ778" s="249"/>
      <c r="BA778" s="221"/>
      <c r="BB778" s="300"/>
      <c r="BC778" s="217"/>
      <c r="BD778" s="392"/>
      <c r="BE778" s="1244"/>
      <c r="BF778" s="249"/>
      <c r="BG778" s="252"/>
      <c r="BH778" s="1469"/>
      <c r="BI778" s="216"/>
      <c r="BJ778" s="1469"/>
      <c r="BK778" s="1459"/>
      <c r="BL778" s="260"/>
      <c r="BM778" s="214"/>
      <c r="BN778" s="293"/>
      <c r="BO778" s="217"/>
      <c r="BP778" s="355"/>
      <c r="BQ778" s="217"/>
      <c r="BR778" s="1193"/>
      <c r="BS778" s="249"/>
      <c r="BT778" s="216"/>
      <c r="BU778" s="1195"/>
      <c r="BV778" s="249"/>
      <c r="BW778" s="216"/>
      <c r="BX778" s="1195"/>
      <c r="BY778" s="249"/>
      <c r="BZ778" s="216"/>
      <c r="CA778" s="1195"/>
      <c r="CB778" s="249"/>
      <c r="CC778" s="216"/>
      <c r="CD778" s="1195"/>
      <c r="CE778" s="249"/>
      <c r="CF778" s="216"/>
      <c r="CG778" s="1195"/>
      <c r="CH778" s="249"/>
      <c r="CI778" s="216"/>
      <c r="CJ778" s="1195"/>
      <c r="CK778" s="249"/>
      <c r="CL778" s="216"/>
      <c r="CM778" s="1194"/>
      <c r="CN778" s="1524"/>
      <c r="CO778" s="217"/>
      <c r="CP778" s="1193"/>
      <c r="CQ778" s="293"/>
      <c r="CR778" s="217"/>
      <c r="CS778" s="305"/>
      <c r="CT778" s="249"/>
      <c r="CU778" s="216"/>
      <c r="CV778" s="1193"/>
      <c r="CW778" s="249"/>
      <c r="CX778" s="216"/>
      <c r="CY778" s="305"/>
      <c r="CZ778" s="249"/>
      <c r="DA778" s="216"/>
      <c r="DB778" s="307"/>
      <c r="DC778" s="328"/>
      <c r="DD778" s="322"/>
      <c r="DE778" s="305"/>
      <c r="DF778" s="249"/>
      <c r="DG778" s="216"/>
      <c r="DH778" s="305"/>
      <c r="DI778" s="249"/>
      <c r="DJ778" s="216"/>
      <c r="DK778" s="309"/>
      <c r="DL778" s="293"/>
      <c r="DM778" s="326"/>
      <c r="DN778" s="1256"/>
      <c r="DO778" s="214"/>
      <c r="DP778" s="1257"/>
      <c r="DQ778" s="1258"/>
      <c r="DR778" s="305"/>
      <c r="DS778" s="249"/>
      <c r="DT778" s="216"/>
      <c r="DU778" s="305"/>
      <c r="DV778" s="2520"/>
      <c r="DW778" s="2521"/>
      <c r="DX778" s="305"/>
      <c r="DY778" s="249"/>
      <c r="DZ778" s="221"/>
      <c r="EA778" s="388"/>
      <c r="EB778" s="249"/>
      <c r="EC778" s="216"/>
      <c r="ED778" s="1461"/>
      <c r="EE778" s="249"/>
      <c r="EF778" s="216"/>
      <c r="EG778" s="355"/>
      <c r="EH778" s="1425"/>
      <c r="EI778" s="1470"/>
      <c r="EJ778" s="249"/>
      <c r="EK778" s="221"/>
      <c r="EL778" s="313"/>
      <c r="EM778" s="249"/>
      <c r="EN778" s="221"/>
      <c r="EO778" s="313"/>
      <c r="EP778" s="249"/>
      <c r="EQ778" s="216"/>
      <c r="ER778" s="313"/>
      <c r="ES778" s="249"/>
      <c r="ET778" s="216"/>
      <c r="EU778" s="313"/>
      <c r="EV778" s="249"/>
      <c r="EW778" s="216"/>
      <c r="EX778" s="2505"/>
      <c r="EY778" s="249"/>
      <c r="EZ778" s="221"/>
      <c r="FA778" s="313"/>
      <c r="FB778" s="249"/>
      <c r="FC778" s="221"/>
      <c r="FD778" s="313"/>
      <c r="FE778" s="249"/>
      <c r="FF778" s="221"/>
      <c r="FG778" s="313"/>
      <c r="FH778" s="249"/>
      <c r="FI778" s="216"/>
      <c r="FJ778" s="1435"/>
      <c r="FK778" s="216"/>
      <c r="FL778" s="1268"/>
      <c r="FM778" s="1655"/>
      <c r="FN778" s="1268"/>
      <c r="FO778" s="1655"/>
      <c r="FP778" s="1268"/>
      <c r="FQ778" s="1656"/>
      <c r="FR778" s="249"/>
      <c r="FS778" s="216"/>
      <c r="FT778" s="1657"/>
      <c r="FU778" s="1658"/>
      <c r="FV778" s="242"/>
      <c r="FW778" s="343"/>
      <c r="FX778" s="222"/>
      <c r="FY778" s="336"/>
      <c r="FZ778" s="223"/>
      <c r="GA778" s="338"/>
      <c r="GB778" s="204"/>
      <c r="GC778" s="339"/>
      <c r="GD778" s="342"/>
      <c r="GE778" s="199"/>
      <c r="GF778" s="199"/>
      <c r="GG778" s="199"/>
      <c r="GH778" s="199"/>
      <c r="GI778" s="199"/>
      <c r="GJ778" s="199"/>
      <c r="GK778" s="199"/>
      <c r="GO778" s="322"/>
      <c r="GP778" s="1190"/>
      <c r="GQ778" s="1190"/>
      <c r="GS778" s="2879"/>
      <c r="GT778" s="2880"/>
      <c r="GU778" s="2881"/>
    </row>
    <row r="779" spans="1:203" ht="12" customHeight="1">
      <c r="A779" s="1252"/>
      <c r="B779" s="200"/>
      <c r="C779" s="486"/>
      <c r="T779" s="1186"/>
      <c r="U779" s="233"/>
      <c r="W779" s="218"/>
      <c r="X779" s="218"/>
      <c r="Y779" s="216"/>
      <c r="Z779" s="216"/>
      <c r="AA779" s="215"/>
      <c r="AB779" s="216"/>
      <c r="AC779" s="216"/>
      <c r="AD779" s="239"/>
      <c r="AE779" s="216"/>
      <c r="AF779" s="216"/>
      <c r="AG779" s="216"/>
      <c r="AH779" s="216"/>
      <c r="AI779" s="216"/>
      <c r="AJ779" s="216"/>
      <c r="AK779" s="239"/>
      <c r="AL779" s="216"/>
      <c r="AM779" s="216"/>
      <c r="AN779" s="216"/>
      <c r="AO779" s="216"/>
      <c r="AP779" s="216"/>
      <c r="AQ779" s="216"/>
      <c r="AR779" s="216"/>
      <c r="AS779" s="216"/>
      <c r="AT779" s="216"/>
      <c r="AU779" s="216"/>
      <c r="AV779" s="217"/>
      <c r="AW779" s="355"/>
      <c r="AX779" s="217"/>
      <c r="AY779" s="305"/>
      <c r="AZ779" s="249"/>
      <c r="BA779" s="221"/>
      <c r="BB779" s="300"/>
      <c r="BC779" s="217"/>
      <c r="BD779" s="392"/>
      <c r="BE779" s="1244"/>
      <c r="BF779" s="249"/>
      <c r="BG779" s="252"/>
      <c r="BH779" s="1469"/>
      <c r="BI779" s="216"/>
      <c r="BJ779" s="1469"/>
      <c r="BK779" s="1459"/>
      <c r="BL779" s="260"/>
      <c r="BM779" s="214"/>
      <c r="BN779" s="293"/>
      <c r="BO779" s="217"/>
      <c r="BP779" s="355"/>
      <c r="BQ779" s="217"/>
      <c r="BR779" s="1193"/>
      <c r="BS779" s="249"/>
      <c r="BT779" s="216"/>
      <c r="BU779" s="1195"/>
      <c r="BV779" s="249"/>
      <c r="BW779" s="216"/>
      <c r="BX779" s="1195"/>
      <c r="BY779" s="249"/>
      <c r="BZ779" s="216"/>
      <c r="CA779" s="1195"/>
      <c r="CB779" s="249"/>
      <c r="CC779" s="216"/>
      <c r="CD779" s="1195"/>
      <c r="CE779" s="249"/>
      <c r="CF779" s="216"/>
      <c r="CG779" s="1195"/>
      <c r="CH779" s="249"/>
      <c r="CI779" s="216"/>
      <c r="CJ779" s="1195"/>
      <c r="CK779" s="249"/>
      <c r="CL779" s="216"/>
      <c r="CM779" s="1194"/>
      <c r="CN779" s="1524"/>
      <c r="CO779" s="217"/>
      <c r="CP779" s="1193"/>
      <c r="CQ779" s="293"/>
      <c r="CR779" s="217"/>
      <c r="CS779" s="305"/>
      <c r="CT779" s="249"/>
      <c r="CU779" s="216"/>
      <c r="CV779" s="1193"/>
      <c r="CW779" s="249"/>
      <c r="CX779" s="216"/>
      <c r="CY779" s="305"/>
      <c r="CZ779" s="249"/>
      <c r="DA779" s="216"/>
      <c r="DB779" s="307"/>
      <c r="DC779" s="328"/>
      <c r="DD779" s="322"/>
      <c r="DE779" s="305"/>
      <c r="DF779" s="249"/>
      <c r="DG779" s="216"/>
      <c r="DH779" s="305"/>
      <c r="DI779" s="249"/>
      <c r="DJ779" s="216"/>
      <c r="DK779" s="309"/>
      <c r="DL779" s="293"/>
      <c r="DM779" s="326"/>
      <c r="DN779" s="1256"/>
      <c r="DO779" s="214"/>
      <c r="DP779" s="1257"/>
      <c r="DQ779" s="1258"/>
      <c r="DR779" s="305"/>
      <c r="DS779" s="249"/>
      <c r="DT779" s="216"/>
      <c r="DU779" s="305"/>
      <c r="DV779" s="2520"/>
      <c r="DW779" s="2521"/>
      <c r="DX779" s="305"/>
      <c r="DY779" s="249"/>
      <c r="DZ779" s="221"/>
      <c r="EA779" s="388"/>
      <c r="EB779" s="249"/>
      <c r="EC779" s="216"/>
      <c r="ED779" s="1461"/>
      <c r="EE779" s="249"/>
      <c r="EF779" s="216"/>
      <c r="EG779" s="355"/>
      <c r="EH779" s="1425"/>
      <c r="EI779" s="1470"/>
      <c r="EJ779" s="249"/>
      <c r="EK779" s="221"/>
      <c r="EL779" s="313"/>
      <c r="EM779" s="249"/>
      <c r="EN779" s="221"/>
      <c r="EO779" s="313"/>
      <c r="EP779" s="249"/>
      <c r="EQ779" s="216"/>
      <c r="ER779" s="313"/>
      <c r="ES779" s="249"/>
      <c r="ET779" s="216"/>
      <c r="EU779" s="313"/>
      <c r="EV779" s="249"/>
      <c r="EW779" s="216"/>
      <c r="EX779" s="2505"/>
      <c r="EY779" s="249"/>
      <c r="EZ779" s="221"/>
      <c r="FA779" s="313"/>
      <c r="FB779" s="249"/>
      <c r="FC779" s="221"/>
      <c r="FD779" s="313"/>
      <c r="FE779" s="249"/>
      <c r="FF779" s="221"/>
      <c r="FG779" s="313"/>
      <c r="FH779" s="249"/>
      <c r="FI779" s="216"/>
      <c r="FJ779" s="1435"/>
      <c r="FK779" s="216"/>
      <c r="FL779" s="1268"/>
      <c r="FM779" s="1655"/>
      <c r="FN779" s="1268"/>
      <c r="FO779" s="1655"/>
      <c r="FP779" s="1268"/>
      <c r="FQ779" s="1656"/>
      <c r="FR779" s="249"/>
      <c r="FS779" s="216"/>
      <c r="FT779" s="1657"/>
      <c r="FU779" s="1658"/>
      <c r="FV779" s="242"/>
      <c r="FW779" s="343"/>
      <c r="FX779" s="222"/>
      <c r="FY779" s="336"/>
      <c r="FZ779" s="223"/>
      <c r="GA779" s="338"/>
      <c r="GB779" s="204"/>
      <c r="GC779" s="339"/>
      <c r="GD779" s="342"/>
      <c r="GE779" s="199"/>
      <c r="GF779" s="199"/>
      <c r="GG779" s="199"/>
      <c r="GH779" s="199"/>
      <c r="GI779" s="199"/>
      <c r="GJ779" s="199"/>
      <c r="GK779" s="199"/>
      <c r="GO779" s="322"/>
      <c r="GP779" s="1190"/>
      <c r="GQ779" s="1190"/>
      <c r="GS779" s="2879"/>
      <c r="GT779" s="2880"/>
      <c r="GU779" s="2881"/>
    </row>
    <row r="780" spans="1:203" ht="12" customHeight="1">
      <c r="A780" s="1252"/>
      <c r="B780" s="200"/>
      <c r="C780" s="486"/>
      <c r="T780" s="1186"/>
      <c r="U780" s="233"/>
      <c r="W780" s="218"/>
      <c r="X780" s="218"/>
      <c r="Y780" s="216"/>
      <c r="Z780" s="216"/>
      <c r="AA780" s="215"/>
      <c r="AB780" s="216"/>
      <c r="AC780" s="216"/>
      <c r="AD780" s="239"/>
      <c r="AE780" s="216"/>
      <c r="AF780" s="216"/>
      <c r="AG780" s="216"/>
      <c r="AH780" s="216"/>
      <c r="AI780" s="216"/>
      <c r="AJ780" s="216"/>
      <c r="AK780" s="239"/>
      <c r="AL780" s="216"/>
      <c r="AM780" s="216"/>
      <c r="AN780" s="216"/>
      <c r="AO780" s="216"/>
      <c r="AP780" s="216"/>
      <c r="AQ780" s="216"/>
      <c r="AR780" s="216"/>
      <c r="AS780" s="216"/>
      <c r="AT780" s="216"/>
      <c r="AU780" s="216"/>
      <c r="AV780" s="217"/>
      <c r="AW780" s="355"/>
      <c r="AX780" s="217"/>
      <c r="AY780" s="305"/>
      <c r="AZ780" s="249"/>
      <c r="BA780" s="221"/>
      <c r="BB780" s="300"/>
      <c r="BC780" s="217"/>
      <c r="BD780" s="392"/>
      <c r="BE780" s="1244"/>
      <c r="BF780" s="249"/>
      <c r="BG780" s="252"/>
      <c r="BH780" s="1469"/>
      <c r="BI780" s="216"/>
      <c r="BJ780" s="1469"/>
      <c r="BK780" s="1459"/>
      <c r="BL780" s="260"/>
      <c r="BM780" s="214"/>
      <c r="BN780" s="293"/>
      <c r="BO780" s="217"/>
      <c r="BP780" s="355"/>
      <c r="BQ780" s="217"/>
      <c r="BR780" s="1193"/>
      <c r="BS780" s="249"/>
      <c r="BT780" s="216"/>
      <c r="BU780" s="1195"/>
      <c r="BV780" s="249"/>
      <c r="BW780" s="216"/>
      <c r="BX780" s="1195"/>
      <c r="BY780" s="249"/>
      <c r="BZ780" s="216"/>
      <c r="CA780" s="1195"/>
      <c r="CB780" s="249"/>
      <c r="CC780" s="216"/>
      <c r="CD780" s="1195"/>
      <c r="CE780" s="249"/>
      <c r="CF780" s="216"/>
      <c r="CG780" s="1195"/>
      <c r="CH780" s="249"/>
      <c r="CI780" s="216"/>
      <c r="CJ780" s="1195"/>
      <c r="CK780" s="249"/>
      <c r="CL780" s="216"/>
      <c r="CM780" s="1194"/>
      <c r="CN780" s="1524"/>
      <c r="CO780" s="217"/>
      <c r="CP780" s="1193"/>
      <c r="CQ780" s="293"/>
      <c r="CR780" s="217"/>
      <c r="CS780" s="305"/>
      <c r="CT780" s="249"/>
      <c r="CU780" s="216"/>
      <c r="CV780" s="1193"/>
      <c r="CW780" s="249"/>
      <c r="CX780" s="216"/>
      <c r="CY780" s="305"/>
      <c r="CZ780" s="249"/>
      <c r="DA780" s="216"/>
      <c r="DB780" s="307"/>
      <c r="DC780" s="328"/>
      <c r="DD780" s="322"/>
      <c r="DE780" s="305"/>
      <c r="DF780" s="249"/>
      <c r="DG780" s="216"/>
      <c r="DH780" s="305"/>
      <c r="DI780" s="249"/>
      <c r="DJ780" s="216"/>
      <c r="DK780" s="309"/>
      <c r="DL780" s="293"/>
      <c r="DM780" s="326"/>
      <c r="DN780" s="1256"/>
      <c r="DO780" s="214"/>
      <c r="DP780" s="1257"/>
      <c r="DQ780" s="1258"/>
      <c r="DR780" s="305"/>
      <c r="DS780" s="249"/>
      <c r="DT780" s="216"/>
      <c r="DU780" s="305"/>
      <c r="DV780" s="2520"/>
      <c r="DW780" s="2521"/>
      <c r="DX780" s="305"/>
      <c r="DY780" s="249"/>
      <c r="DZ780" s="221"/>
      <c r="EA780" s="388"/>
      <c r="EB780" s="249"/>
      <c r="EC780" s="216"/>
      <c r="ED780" s="1461"/>
      <c r="EE780" s="249"/>
      <c r="EF780" s="216"/>
      <c r="EG780" s="355"/>
      <c r="EH780" s="1425"/>
      <c r="EI780" s="1470"/>
      <c r="EJ780" s="249"/>
      <c r="EK780" s="221"/>
      <c r="EL780" s="313"/>
      <c r="EM780" s="249"/>
      <c r="EN780" s="221"/>
      <c r="EO780" s="313"/>
      <c r="EP780" s="249"/>
      <c r="EQ780" s="216"/>
      <c r="ER780" s="313"/>
      <c r="ES780" s="249"/>
      <c r="ET780" s="216"/>
      <c r="EU780" s="313"/>
      <c r="EV780" s="249"/>
      <c r="EW780" s="216"/>
      <c r="EX780" s="2505"/>
      <c r="EY780" s="249"/>
      <c r="EZ780" s="221"/>
      <c r="FA780" s="313"/>
      <c r="FB780" s="249"/>
      <c r="FC780" s="221"/>
      <c r="FD780" s="313"/>
      <c r="FE780" s="249"/>
      <c r="FF780" s="221"/>
      <c r="FG780" s="313"/>
      <c r="FH780" s="249"/>
      <c r="FI780" s="216"/>
      <c r="FJ780" s="1435"/>
      <c r="FK780" s="216"/>
      <c r="FL780" s="1268"/>
      <c r="FM780" s="1655"/>
      <c r="FN780" s="1268"/>
      <c r="FO780" s="1655"/>
      <c r="FP780" s="1268"/>
      <c r="FQ780" s="1656"/>
      <c r="FR780" s="249"/>
      <c r="FS780" s="216"/>
      <c r="FT780" s="1657"/>
      <c r="FU780" s="1658"/>
      <c r="FV780" s="242"/>
      <c r="FW780" s="343"/>
      <c r="FX780" s="222"/>
      <c r="FY780" s="336"/>
      <c r="FZ780" s="223"/>
      <c r="GA780" s="338"/>
      <c r="GB780" s="204"/>
      <c r="GC780" s="339"/>
      <c r="GD780" s="342"/>
      <c r="GE780" s="199"/>
      <c r="GF780" s="199"/>
      <c r="GG780" s="199"/>
      <c r="GH780" s="199"/>
      <c r="GI780" s="199"/>
      <c r="GJ780" s="199"/>
      <c r="GK780" s="199"/>
      <c r="GO780" s="322"/>
      <c r="GP780" s="1190"/>
      <c r="GQ780" s="1190"/>
      <c r="GS780" s="2879"/>
      <c r="GT780" s="2880"/>
      <c r="GU780" s="2881"/>
    </row>
    <row r="781" spans="1:203" ht="12" customHeight="1">
      <c r="A781" s="1252"/>
      <c r="B781" s="200"/>
      <c r="C781" s="486"/>
      <c r="T781" s="1186"/>
      <c r="U781" s="233"/>
      <c r="W781" s="218"/>
      <c r="X781" s="218"/>
      <c r="Y781" s="216"/>
      <c r="Z781" s="216"/>
      <c r="AA781" s="215"/>
      <c r="AB781" s="216"/>
      <c r="AC781" s="216"/>
      <c r="AD781" s="239"/>
      <c r="AE781" s="216"/>
      <c r="AF781" s="216"/>
      <c r="AG781" s="216"/>
      <c r="AH781" s="216"/>
      <c r="AI781" s="216"/>
      <c r="AJ781" s="216"/>
      <c r="AK781" s="239"/>
      <c r="AL781" s="216"/>
      <c r="AM781" s="216"/>
      <c r="AN781" s="216"/>
      <c r="AO781" s="216"/>
      <c r="AP781" s="216"/>
      <c r="AQ781" s="216"/>
      <c r="AR781" s="216"/>
      <c r="AS781" s="216"/>
      <c r="AT781" s="216"/>
      <c r="AU781" s="216"/>
      <c r="AV781" s="217"/>
      <c r="AW781" s="355"/>
      <c r="AX781" s="217"/>
      <c r="AY781" s="305"/>
      <c r="AZ781" s="249"/>
      <c r="BA781" s="221"/>
      <c r="BB781" s="300"/>
      <c r="BC781" s="217"/>
      <c r="BD781" s="392"/>
      <c r="BE781" s="1244"/>
      <c r="BF781" s="249"/>
      <c r="BG781" s="252"/>
      <c r="BH781" s="1469"/>
      <c r="BI781" s="216"/>
      <c r="BJ781" s="1469"/>
      <c r="BK781" s="1459"/>
      <c r="BL781" s="260"/>
      <c r="BM781" s="214"/>
      <c r="BN781" s="293"/>
      <c r="BO781" s="217"/>
      <c r="BP781" s="355"/>
      <c r="BQ781" s="217"/>
      <c r="BR781" s="1193"/>
      <c r="BS781" s="249"/>
      <c r="BT781" s="216"/>
      <c r="BU781" s="1195"/>
      <c r="BV781" s="249"/>
      <c r="BW781" s="216"/>
      <c r="BX781" s="1195"/>
      <c r="BY781" s="249"/>
      <c r="BZ781" s="216"/>
      <c r="CA781" s="1195"/>
      <c r="CB781" s="249"/>
      <c r="CC781" s="216"/>
      <c r="CD781" s="1195"/>
      <c r="CE781" s="249"/>
      <c r="CF781" s="216"/>
      <c r="CG781" s="1195"/>
      <c r="CH781" s="249"/>
      <c r="CI781" s="216"/>
      <c r="CJ781" s="1195"/>
      <c r="CK781" s="249"/>
      <c r="CL781" s="216"/>
      <c r="CM781" s="1194"/>
      <c r="CN781" s="1524"/>
      <c r="CO781" s="217"/>
      <c r="CP781" s="1193"/>
      <c r="CQ781" s="293"/>
      <c r="CR781" s="217"/>
      <c r="CS781" s="305"/>
      <c r="CT781" s="249"/>
      <c r="CU781" s="216"/>
      <c r="CV781" s="1193"/>
      <c r="CW781" s="249"/>
      <c r="CX781" s="216"/>
      <c r="CY781" s="305"/>
      <c r="CZ781" s="249"/>
      <c r="DA781" s="216"/>
      <c r="DB781" s="307"/>
      <c r="DC781" s="328"/>
      <c r="DD781" s="322"/>
      <c r="DE781" s="305"/>
      <c r="DF781" s="249"/>
      <c r="DG781" s="216"/>
      <c r="DH781" s="305"/>
      <c r="DI781" s="249"/>
      <c r="DJ781" s="216"/>
      <c r="DK781" s="309"/>
      <c r="DL781" s="293"/>
      <c r="DM781" s="326"/>
      <c r="DN781" s="1256"/>
      <c r="DO781" s="214"/>
      <c r="DP781" s="1257"/>
      <c r="DQ781" s="1258"/>
      <c r="DR781" s="305"/>
      <c r="DS781" s="249"/>
      <c r="DT781" s="216"/>
      <c r="DU781" s="305"/>
      <c r="DV781" s="2520"/>
      <c r="DW781" s="2521"/>
      <c r="DX781" s="305"/>
      <c r="DY781" s="249"/>
      <c r="DZ781" s="221"/>
      <c r="EA781" s="388"/>
      <c r="EB781" s="249"/>
      <c r="EC781" s="216"/>
      <c r="ED781" s="1461"/>
      <c r="EE781" s="249"/>
      <c r="EF781" s="216"/>
      <c r="EG781" s="355"/>
      <c r="EH781" s="1425"/>
      <c r="EI781" s="1470"/>
      <c r="EJ781" s="249"/>
      <c r="EK781" s="221"/>
      <c r="EL781" s="313"/>
      <c r="EM781" s="249"/>
      <c r="EN781" s="221"/>
      <c r="EO781" s="313"/>
      <c r="EP781" s="249"/>
      <c r="EQ781" s="216"/>
      <c r="ER781" s="313"/>
      <c r="ES781" s="249"/>
      <c r="ET781" s="216"/>
      <c r="EU781" s="313"/>
      <c r="EV781" s="249"/>
      <c r="EW781" s="216"/>
      <c r="EX781" s="2505"/>
      <c r="EY781" s="249"/>
      <c r="EZ781" s="221"/>
      <c r="FA781" s="313"/>
      <c r="FB781" s="249"/>
      <c r="FC781" s="221"/>
      <c r="FD781" s="313"/>
      <c r="FE781" s="249"/>
      <c r="FF781" s="221"/>
      <c r="FG781" s="313"/>
      <c r="FH781" s="249"/>
      <c r="FI781" s="216"/>
      <c r="FJ781" s="1435"/>
      <c r="FK781" s="216"/>
      <c r="FL781" s="1268"/>
      <c r="FM781" s="1655"/>
      <c r="FN781" s="1268"/>
      <c r="FO781" s="1655"/>
      <c r="FP781" s="1268"/>
      <c r="FQ781" s="1656"/>
      <c r="FR781" s="249"/>
      <c r="FS781" s="216"/>
      <c r="FT781" s="1657"/>
      <c r="FU781" s="1658"/>
      <c r="FV781" s="242"/>
      <c r="FW781" s="343"/>
      <c r="FX781" s="222"/>
      <c r="FY781" s="336"/>
      <c r="FZ781" s="223"/>
      <c r="GA781" s="338"/>
      <c r="GB781" s="204"/>
      <c r="GC781" s="339"/>
      <c r="GD781" s="342"/>
      <c r="GE781" s="199"/>
      <c r="GF781" s="199"/>
      <c r="GG781" s="199"/>
      <c r="GH781" s="199"/>
      <c r="GI781" s="199"/>
      <c r="GJ781" s="199"/>
      <c r="GK781" s="199"/>
      <c r="GO781" s="322"/>
      <c r="GP781" s="1190"/>
      <c r="GQ781" s="1190"/>
      <c r="GS781" s="2879"/>
      <c r="GT781" s="2880"/>
      <c r="GU781" s="2881"/>
    </row>
    <row r="782" spans="1:203" ht="12" customHeight="1">
      <c r="A782" s="1252"/>
      <c r="B782" s="200"/>
      <c r="C782" s="486"/>
      <c r="T782" s="1186"/>
      <c r="U782" s="233"/>
      <c r="W782" s="218"/>
      <c r="X782" s="218"/>
      <c r="Y782" s="216"/>
      <c r="Z782" s="216"/>
      <c r="AA782" s="215"/>
      <c r="AB782" s="216"/>
      <c r="AC782" s="216"/>
      <c r="AD782" s="239"/>
      <c r="AE782" s="216"/>
      <c r="AF782" s="216"/>
      <c r="AG782" s="216"/>
      <c r="AH782" s="216"/>
      <c r="AI782" s="216"/>
      <c r="AJ782" s="216"/>
      <c r="AK782" s="239"/>
      <c r="AL782" s="216"/>
      <c r="AM782" s="216"/>
      <c r="AN782" s="216"/>
      <c r="AO782" s="216"/>
      <c r="AP782" s="216"/>
      <c r="AQ782" s="216"/>
      <c r="AR782" s="216"/>
      <c r="AS782" s="216"/>
      <c r="AT782" s="216"/>
      <c r="AU782" s="216"/>
      <c r="AV782" s="217"/>
      <c r="AW782" s="355"/>
      <c r="AX782" s="217"/>
      <c r="AY782" s="305"/>
      <c r="AZ782" s="249"/>
      <c r="BA782" s="221"/>
      <c r="BB782" s="300"/>
      <c r="BC782" s="217"/>
      <c r="BD782" s="392"/>
      <c r="BE782" s="1244"/>
      <c r="BF782" s="249"/>
      <c r="BG782" s="252"/>
      <c r="BH782" s="1469"/>
      <c r="BI782" s="216"/>
      <c r="BJ782" s="1469"/>
      <c r="BK782" s="1459"/>
      <c r="BL782" s="260"/>
      <c r="BM782" s="214"/>
      <c r="BN782" s="293"/>
      <c r="BO782" s="217"/>
      <c r="BP782" s="355"/>
      <c r="BQ782" s="217"/>
      <c r="BR782" s="1193"/>
      <c r="BS782" s="249"/>
      <c r="BT782" s="216"/>
      <c r="BU782" s="1195"/>
      <c r="BV782" s="249"/>
      <c r="BW782" s="216"/>
      <c r="BX782" s="1195"/>
      <c r="BY782" s="249"/>
      <c r="BZ782" s="216"/>
      <c r="CA782" s="1195"/>
      <c r="CB782" s="249"/>
      <c r="CC782" s="216"/>
      <c r="CD782" s="1195"/>
      <c r="CE782" s="249"/>
      <c r="CF782" s="216"/>
      <c r="CG782" s="1195"/>
      <c r="CH782" s="249"/>
      <c r="CI782" s="216"/>
      <c r="CJ782" s="1195"/>
      <c r="CK782" s="249"/>
      <c r="CL782" s="216"/>
      <c r="CM782" s="1194"/>
      <c r="CN782" s="1524"/>
      <c r="CO782" s="217"/>
      <c r="CP782" s="1193"/>
      <c r="CQ782" s="293"/>
      <c r="CR782" s="217"/>
      <c r="CS782" s="305"/>
      <c r="CT782" s="249"/>
      <c r="CU782" s="216"/>
      <c r="CV782" s="1193"/>
      <c r="CW782" s="249"/>
      <c r="CX782" s="216"/>
      <c r="CY782" s="305"/>
      <c r="CZ782" s="249"/>
      <c r="DA782" s="216"/>
      <c r="DB782" s="307"/>
      <c r="DC782" s="328"/>
      <c r="DD782" s="322"/>
      <c r="DE782" s="305"/>
      <c r="DF782" s="249"/>
      <c r="DG782" s="216"/>
      <c r="DH782" s="305"/>
      <c r="DI782" s="249"/>
      <c r="DJ782" s="216"/>
      <c r="DK782" s="309"/>
      <c r="DL782" s="293"/>
      <c r="DM782" s="326"/>
      <c r="DN782" s="1256"/>
      <c r="DO782" s="214"/>
      <c r="DP782" s="1257"/>
      <c r="DQ782" s="1258"/>
      <c r="DR782" s="305"/>
      <c r="DS782" s="249"/>
      <c r="DT782" s="216"/>
      <c r="DU782" s="305"/>
      <c r="DV782" s="2520"/>
      <c r="DW782" s="2521"/>
      <c r="DX782" s="305"/>
      <c r="DY782" s="249"/>
      <c r="DZ782" s="221"/>
      <c r="EA782" s="388"/>
      <c r="EB782" s="249"/>
      <c r="EC782" s="216"/>
      <c r="ED782" s="1461"/>
      <c r="EE782" s="249"/>
      <c r="EF782" s="216"/>
      <c r="EG782" s="355"/>
      <c r="EH782" s="1425"/>
      <c r="EI782" s="1470"/>
      <c r="EJ782" s="249"/>
      <c r="EK782" s="221"/>
      <c r="EL782" s="313"/>
      <c r="EM782" s="249"/>
      <c r="EN782" s="221"/>
      <c r="EO782" s="313"/>
      <c r="EP782" s="249"/>
      <c r="EQ782" s="216"/>
      <c r="ER782" s="313"/>
      <c r="ES782" s="249"/>
      <c r="ET782" s="216"/>
      <c r="EU782" s="313"/>
      <c r="EV782" s="249"/>
      <c r="EW782" s="216"/>
      <c r="EX782" s="2505"/>
      <c r="EY782" s="249"/>
      <c r="EZ782" s="221"/>
      <c r="FA782" s="313"/>
      <c r="FB782" s="249"/>
      <c r="FC782" s="221"/>
      <c r="FD782" s="313"/>
      <c r="FE782" s="249"/>
      <c r="FF782" s="221"/>
      <c r="FG782" s="313"/>
      <c r="FH782" s="249"/>
      <c r="FI782" s="216"/>
      <c r="FJ782" s="1435"/>
      <c r="FK782" s="216"/>
      <c r="FL782" s="1268"/>
      <c r="FM782" s="1655"/>
      <c r="FN782" s="1268"/>
      <c r="FO782" s="1655"/>
      <c r="FP782" s="1268"/>
      <c r="FQ782" s="1656"/>
      <c r="FR782" s="249"/>
      <c r="FS782" s="216"/>
      <c r="FT782" s="1657"/>
      <c r="FU782" s="1658"/>
      <c r="FV782" s="242"/>
      <c r="FW782" s="343"/>
      <c r="FX782" s="222"/>
      <c r="FY782" s="336"/>
      <c r="FZ782" s="223"/>
      <c r="GA782" s="338"/>
      <c r="GB782" s="204"/>
      <c r="GC782" s="339"/>
      <c r="GD782" s="342"/>
      <c r="GE782" s="199"/>
      <c r="GF782" s="199"/>
      <c r="GG782" s="199"/>
      <c r="GH782" s="199"/>
      <c r="GI782" s="199"/>
      <c r="GJ782" s="199"/>
      <c r="GK782" s="199"/>
      <c r="GO782" s="322"/>
      <c r="GP782" s="1190"/>
      <c r="GQ782" s="1190"/>
      <c r="GS782" s="2879"/>
      <c r="GT782" s="2880"/>
      <c r="GU782" s="2881"/>
    </row>
    <row r="783" spans="1:203" ht="12" customHeight="1">
      <c r="A783" s="1252"/>
      <c r="B783" s="200"/>
      <c r="C783" s="486"/>
      <c r="T783" s="1186"/>
      <c r="U783" s="233"/>
      <c r="W783" s="218"/>
      <c r="X783" s="218"/>
      <c r="Y783" s="216"/>
      <c r="Z783" s="216"/>
      <c r="AA783" s="215"/>
      <c r="AB783" s="216"/>
      <c r="AC783" s="216"/>
      <c r="AD783" s="239"/>
      <c r="AE783" s="216"/>
      <c r="AF783" s="216"/>
      <c r="AG783" s="216"/>
      <c r="AH783" s="216"/>
      <c r="AI783" s="216"/>
      <c r="AJ783" s="216"/>
      <c r="AK783" s="239"/>
      <c r="AL783" s="216"/>
      <c r="AM783" s="216"/>
      <c r="AN783" s="216"/>
      <c r="AO783" s="216"/>
      <c r="AP783" s="216"/>
      <c r="AQ783" s="216"/>
      <c r="AR783" s="216"/>
      <c r="AS783" s="216"/>
      <c r="AT783" s="216"/>
      <c r="AU783" s="216"/>
      <c r="AV783" s="217"/>
      <c r="AW783" s="355"/>
      <c r="AX783" s="217"/>
      <c r="AY783" s="305"/>
      <c r="AZ783" s="249"/>
      <c r="BA783" s="221"/>
      <c r="BB783" s="300"/>
      <c r="BC783" s="217"/>
      <c r="BD783" s="392"/>
      <c r="BE783" s="1244"/>
      <c r="BF783" s="249"/>
      <c r="BG783" s="252"/>
      <c r="BH783" s="1469"/>
      <c r="BI783" s="216"/>
      <c r="BJ783" s="1469"/>
      <c r="BK783" s="1459"/>
      <c r="BL783" s="260"/>
      <c r="BM783" s="214"/>
      <c r="BN783" s="293"/>
      <c r="BO783" s="217"/>
      <c r="BP783" s="355"/>
      <c r="BQ783" s="217"/>
      <c r="BR783" s="1193"/>
      <c r="BS783" s="249"/>
      <c r="BT783" s="216"/>
      <c r="BU783" s="1195"/>
      <c r="BV783" s="249"/>
      <c r="BW783" s="216"/>
      <c r="BX783" s="1195"/>
      <c r="BY783" s="249"/>
      <c r="BZ783" s="216"/>
      <c r="CA783" s="1195"/>
      <c r="CB783" s="249"/>
      <c r="CC783" s="216"/>
      <c r="CD783" s="1195"/>
      <c r="CE783" s="249"/>
      <c r="CF783" s="216"/>
      <c r="CG783" s="1195"/>
      <c r="CH783" s="249"/>
      <c r="CI783" s="216"/>
      <c r="CJ783" s="1195"/>
      <c r="CK783" s="249"/>
      <c r="CL783" s="216"/>
      <c r="CM783" s="1194"/>
      <c r="CN783" s="1524"/>
      <c r="CO783" s="217"/>
      <c r="CP783" s="1193"/>
      <c r="CQ783" s="293"/>
      <c r="CR783" s="217"/>
      <c r="CS783" s="305"/>
      <c r="CT783" s="249"/>
      <c r="CU783" s="216"/>
      <c r="CV783" s="1193"/>
      <c r="CW783" s="249"/>
      <c r="CX783" s="216"/>
      <c r="CY783" s="305"/>
      <c r="CZ783" s="249"/>
      <c r="DA783" s="216"/>
      <c r="DB783" s="307"/>
      <c r="DC783" s="328"/>
      <c r="DD783" s="322"/>
      <c r="DE783" s="305"/>
      <c r="DF783" s="249"/>
      <c r="DG783" s="216"/>
      <c r="DH783" s="305"/>
      <c r="DI783" s="249"/>
      <c r="DJ783" s="216"/>
      <c r="DK783" s="309"/>
      <c r="DL783" s="293"/>
      <c r="DM783" s="326"/>
      <c r="DN783" s="1256"/>
      <c r="DO783" s="214"/>
      <c r="DP783" s="1257"/>
      <c r="DQ783" s="1258"/>
      <c r="DR783" s="305"/>
      <c r="DS783" s="249"/>
      <c r="DT783" s="216"/>
      <c r="DU783" s="305"/>
      <c r="DV783" s="2520"/>
      <c r="DW783" s="2521"/>
      <c r="DX783" s="305"/>
      <c r="DY783" s="249"/>
      <c r="DZ783" s="221"/>
      <c r="EA783" s="388"/>
      <c r="EB783" s="249"/>
      <c r="EC783" s="216"/>
      <c r="ED783" s="1461"/>
      <c r="EE783" s="249"/>
      <c r="EF783" s="216"/>
      <c r="EG783" s="355"/>
      <c r="EH783" s="1425"/>
      <c r="EI783" s="1470"/>
      <c r="EJ783" s="249"/>
      <c r="EK783" s="221"/>
      <c r="EL783" s="313"/>
      <c r="EM783" s="249"/>
      <c r="EN783" s="221"/>
      <c r="EO783" s="313"/>
      <c r="EP783" s="249"/>
      <c r="EQ783" s="216"/>
      <c r="ER783" s="313"/>
      <c r="ES783" s="249"/>
      <c r="ET783" s="216"/>
      <c r="EU783" s="313"/>
      <c r="EV783" s="249"/>
      <c r="EW783" s="216"/>
      <c r="EX783" s="2505"/>
      <c r="EY783" s="249"/>
      <c r="EZ783" s="221"/>
      <c r="FA783" s="313"/>
      <c r="FB783" s="249"/>
      <c r="FC783" s="221"/>
      <c r="FD783" s="313"/>
      <c r="FE783" s="249"/>
      <c r="FF783" s="221"/>
      <c r="FG783" s="313"/>
      <c r="FH783" s="249"/>
      <c r="FI783" s="216"/>
      <c r="FJ783" s="1435"/>
      <c r="FK783" s="216"/>
      <c r="FL783" s="1268"/>
      <c r="FM783" s="1655"/>
      <c r="FN783" s="1268"/>
      <c r="FO783" s="1655"/>
      <c r="FP783" s="1268"/>
      <c r="FQ783" s="1656"/>
      <c r="FR783" s="249"/>
      <c r="FS783" s="216"/>
      <c r="FT783" s="1657"/>
      <c r="FU783" s="1658"/>
      <c r="FV783" s="242"/>
      <c r="FW783" s="343"/>
      <c r="FX783" s="222"/>
      <c r="FY783" s="336"/>
      <c r="FZ783" s="223"/>
      <c r="GA783" s="338"/>
      <c r="GB783" s="204"/>
      <c r="GC783" s="339"/>
      <c r="GD783" s="342"/>
      <c r="GE783" s="199"/>
      <c r="GF783" s="199"/>
      <c r="GG783" s="199"/>
      <c r="GH783" s="199"/>
      <c r="GI783" s="199"/>
      <c r="GJ783" s="199"/>
      <c r="GK783" s="199"/>
      <c r="GO783" s="322"/>
      <c r="GP783" s="1190"/>
      <c r="GQ783" s="1190"/>
      <c r="GS783" s="2879"/>
      <c r="GT783" s="2880"/>
      <c r="GU783" s="2881"/>
    </row>
    <row r="784" spans="1:203" ht="12" customHeight="1">
      <c r="A784" s="1252"/>
      <c r="B784" s="200"/>
      <c r="C784" s="486"/>
      <c r="T784" s="1186"/>
      <c r="U784" s="233"/>
      <c r="W784" s="218"/>
      <c r="X784" s="218"/>
      <c r="Y784" s="216"/>
      <c r="Z784" s="216"/>
      <c r="AA784" s="215"/>
      <c r="AB784" s="216"/>
      <c r="AC784" s="216"/>
      <c r="AD784" s="239"/>
      <c r="AE784" s="216"/>
      <c r="AF784" s="216"/>
      <c r="AG784" s="216"/>
      <c r="AH784" s="216"/>
      <c r="AI784" s="216"/>
      <c r="AJ784" s="216"/>
      <c r="AK784" s="239"/>
      <c r="AL784" s="216"/>
      <c r="AM784" s="216"/>
      <c r="AN784" s="216"/>
      <c r="AO784" s="216"/>
      <c r="AP784" s="216"/>
      <c r="AQ784" s="216"/>
      <c r="AR784" s="216"/>
      <c r="AS784" s="216"/>
      <c r="AT784" s="216"/>
      <c r="AU784" s="216"/>
      <c r="AV784" s="217"/>
      <c r="AW784" s="355"/>
      <c r="AX784" s="217"/>
      <c r="AY784" s="305"/>
      <c r="AZ784" s="249"/>
      <c r="BA784" s="221"/>
      <c r="BB784" s="300"/>
      <c r="BC784" s="217"/>
      <c r="BD784" s="392"/>
      <c r="BE784" s="1244"/>
      <c r="BF784" s="249"/>
      <c r="BG784" s="252"/>
      <c r="BH784" s="1469"/>
      <c r="BI784" s="216"/>
      <c r="BJ784" s="1469"/>
      <c r="BK784" s="1459"/>
      <c r="BL784" s="260"/>
      <c r="BM784" s="214"/>
      <c r="BN784" s="293"/>
      <c r="BO784" s="217"/>
      <c r="BP784" s="355"/>
      <c r="BQ784" s="217"/>
      <c r="BR784" s="1193"/>
      <c r="BS784" s="249"/>
      <c r="BT784" s="216"/>
      <c r="BU784" s="1195"/>
      <c r="BV784" s="249"/>
      <c r="BW784" s="216"/>
      <c r="BX784" s="1195"/>
      <c r="BY784" s="249"/>
      <c r="BZ784" s="216"/>
      <c r="CA784" s="1195"/>
      <c r="CB784" s="249"/>
      <c r="CC784" s="216"/>
      <c r="CD784" s="1195"/>
      <c r="CE784" s="249"/>
      <c r="CF784" s="216"/>
      <c r="CG784" s="1195"/>
      <c r="CH784" s="249"/>
      <c r="CI784" s="216"/>
      <c r="CJ784" s="1195"/>
      <c r="CK784" s="249"/>
      <c r="CL784" s="216"/>
      <c r="CM784" s="1194"/>
      <c r="CN784" s="1524"/>
      <c r="CO784" s="217"/>
      <c r="CP784" s="1193"/>
      <c r="CQ784" s="293"/>
      <c r="CR784" s="217"/>
      <c r="CS784" s="305"/>
      <c r="CT784" s="249"/>
      <c r="CU784" s="216"/>
      <c r="CV784" s="1193"/>
      <c r="CW784" s="249"/>
      <c r="CX784" s="216"/>
      <c r="CY784" s="305"/>
      <c r="CZ784" s="249"/>
      <c r="DA784" s="216"/>
      <c r="DB784" s="307"/>
      <c r="DC784" s="328"/>
      <c r="DD784" s="322"/>
      <c r="DE784" s="305"/>
      <c r="DF784" s="249"/>
      <c r="DG784" s="216"/>
      <c r="DH784" s="305"/>
      <c r="DI784" s="249"/>
      <c r="DJ784" s="216"/>
      <c r="DK784" s="309"/>
      <c r="DL784" s="293"/>
      <c r="DM784" s="326"/>
      <c r="DN784" s="1256"/>
      <c r="DO784" s="214"/>
      <c r="DP784" s="1257"/>
      <c r="DQ784" s="1258"/>
      <c r="DR784" s="305"/>
      <c r="DS784" s="249"/>
      <c r="DT784" s="216"/>
      <c r="DU784" s="305"/>
      <c r="DV784" s="2520"/>
      <c r="DW784" s="2521"/>
      <c r="DX784" s="305"/>
      <c r="DY784" s="249"/>
      <c r="DZ784" s="221"/>
      <c r="EA784" s="388"/>
      <c r="EB784" s="249"/>
      <c r="EC784" s="216"/>
      <c r="ED784" s="1461"/>
      <c r="EE784" s="249"/>
      <c r="EF784" s="216"/>
      <c r="EG784" s="355"/>
      <c r="EH784" s="1425"/>
      <c r="EI784" s="1470"/>
      <c r="EJ784" s="249"/>
      <c r="EK784" s="221"/>
      <c r="EL784" s="313"/>
      <c r="EM784" s="249"/>
      <c r="EN784" s="221"/>
      <c r="EO784" s="313"/>
      <c r="EP784" s="249"/>
      <c r="EQ784" s="216"/>
      <c r="ER784" s="313"/>
      <c r="ES784" s="249"/>
      <c r="ET784" s="216"/>
      <c r="EU784" s="313"/>
      <c r="EV784" s="249"/>
      <c r="EW784" s="216"/>
      <c r="EX784" s="2505"/>
      <c r="EY784" s="249"/>
      <c r="EZ784" s="221"/>
      <c r="FA784" s="313"/>
      <c r="FB784" s="249"/>
      <c r="FC784" s="221"/>
      <c r="FD784" s="313"/>
      <c r="FE784" s="249"/>
      <c r="FF784" s="221"/>
      <c r="FG784" s="313"/>
      <c r="FH784" s="249"/>
      <c r="FI784" s="216"/>
      <c r="FJ784" s="1435"/>
      <c r="FK784" s="216"/>
      <c r="FL784" s="1268"/>
      <c r="FM784" s="1655"/>
      <c r="FN784" s="1268"/>
      <c r="FO784" s="1655"/>
      <c r="FP784" s="1268"/>
      <c r="FQ784" s="1656"/>
      <c r="FR784" s="249"/>
      <c r="FS784" s="216"/>
      <c r="FT784" s="1657"/>
      <c r="FU784" s="1658"/>
      <c r="FV784" s="242"/>
      <c r="FW784" s="343"/>
      <c r="FX784" s="222"/>
      <c r="FY784" s="336"/>
      <c r="FZ784" s="223"/>
      <c r="GA784" s="338"/>
      <c r="GB784" s="204"/>
      <c r="GC784" s="339"/>
      <c r="GD784" s="342"/>
      <c r="GE784" s="199"/>
      <c r="GF784" s="199"/>
      <c r="GG784" s="199"/>
      <c r="GH784" s="199"/>
      <c r="GI784" s="199"/>
      <c r="GJ784" s="199"/>
      <c r="GK784" s="199"/>
      <c r="GO784" s="322"/>
      <c r="GP784" s="1190"/>
      <c r="GQ784" s="1190"/>
      <c r="GS784" s="2879"/>
      <c r="GT784" s="2880"/>
      <c r="GU784" s="2881"/>
    </row>
    <row r="785" spans="1:203" ht="12" customHeight="1">
      <c r="A785" s="1252"/>
      <c r="B785" s="200"/>
      <c r="C785" s="486"/>
      <c r="T785" s="1186"/>
      <c r="U785" s="233"/>
      <c r="W785" s="218"/>
      <c r="X785" s="218"/>
      <c r="Y785" s="216"/>
      <c r="Z785" s="216"/>
      <c r="AA785" s="215"/>
      <c r="AB785" s="216"/>
      <c r="AC785" s="216"/>
      <c r="AD785" s="239"/>
      <c r="AE785" s="216"/>
      <c r="AF785" s="216"/>
      <c r="AG785" s="216"/>
      <c r="AH785" s="216"/>
      <c r="AI785" s="216"/>
      <c r="AJ785" s="216"/>
      <c r="AK785" s="239"/>
      <c r="AL785" s="216"/>
      <c r="AM785" s="216"/>
      <c r="AN785" s="216"/>
      <c r="AO785" s="216"/>
      <c r="AP785" s="216"/>
      <c r="AQ785" s="216"/>
      <c r="AR785" s="216"/>
      <c r="AS785" s="216"/>
      <c r="AT785" s="216"/>
      <c r="AU785" s="216"/>
      <c r="AV785" s="217"/>
      <c r="AW785" s="355"/>
      <c r="AX785" s="217"/>
      <c r="AY785" s="305"/>
      <c r="AZ785" s="249"/>
      <c r="BA785" s="221"/>
      <c r="BB785" s="300"/>
      <c r="BC785" s="217"/>
      <c r="BD785" s="392"/>
      <c r="BE785" s="1244"/>
      <c r="BF785" s="249"/>
      <c r="BG785" s="252"/>
      <c r="BH785" s="1469"/>
      <c r="BI785" s="216"/>
      <c r="BJ785" s="1469"/>
      <c r="BK785" s="1459"/>
      <c r="BL785" s="260"/>
      <c r="BM785" s="214"/>
      <c r="BN785" s="293"/>
      <c r="BO785" s="217"/>
      <c r="BP785" s="355"/>
      <c r="BQ785" s="217"/>
      <c r="BR785" s="1193"/>
      <c r="BS785" s="249"/>
      <c r="BT785" s="216"/>
      <c r="BU785" s="1195"/>
      <c r="BV785" s="249"/>
      <c r="BW785" s="216"/>
      <c r="BX785" s="1195"/>
      <c r="BY785" s="249"/>
      <c r="BZ785" s="216"/>
      <c r="CA785" s="1195"/>
      <c r="CB785" s="249"/>
      <c r="CC785" s="216"/>
      <c r="CD785" s="1195"/>
      <c r="CE785" s="249"/>
      <c r="CF785" s="216"/>
      <c r="CG785" s="1195"/>
      <c r="CH785" s="249"/>
      <c r="CI785" s="216"/>
      <c r="CJ785" s="1195"/>
      <c r="CK785" s="249"/>
      <c r="CL785" s="216"/>
      <c r="CM785" s="1194"/>
      <c r="CN785" s="1524"/>
      <c r="CO785" s="217"/>
      <c r="CP785" s="1193"/>
      <c r="CQ785" s="293"/>
      <c r="CR785" s="217"/>
      <c r="CS785" s="305"/>
      <c r="CT785" s="249"/>
      <c r="CU785" s="216"/>
      <c r="CV785" s="1193"/>
      <c r="CW785" s="249"/>
      <c r="CX785" s="216"/>
      <c r="CY785" s="305"/>
      <c r="CZ785" s="249"/>
      <c r="DA785" s="216"/>
      <c r="DB785" s="307"/>
      <c r="DC785" s="328"/>
      <c r="DD785" s="322"/>
      <c r="DE785" s="305"/>
      <c r="DF785" s="249"/>
      <c r="DG785" s="216"/>
      <c r="DH785" s="305"/>
      <c r="DI785" s="249"/>
      <c r="DJ785" s="216"/>
      <c r="DK785" s="309"/>
      <c r="DL785" s="293"/>
      <c r="DM785" s="326"/>
      <c r="DN785" s="1256"/>
      <c r="DO785" s="214"/>
      <c r="DP785" s="1257"/>
      <c r="DQ785" s="1258"/>
      <c r="DR785" s="305"/>
      <c r="DS785" s="249"/>
      <c r="DT785" s="216"/>
      <c r="DU785" s="305"/>
      <c r="DV785" s="2520"/>
      <c r="DW785" s="2521"/>
      <c r="DX785" s="305"/>
      <c r="DY785" s="249"/>
      <c r="DZ785" s="221"/>
      <c r="EA785" s="388"/>
      <c r="EB785" s="249"/>
      <c r="EC785" s="216"/>
      <c r="ED785" s="1461"/>
      <c r="EE785" s="249"/>
      <c r="EF785" s="216"/>
      <c r="EG785" s="355"/>
      <c r="EH785" s="1425"/>
      <c r="EI785" s="1470"/>
      <c r="EJ785" s="249"/>
      <c r="EK785" s="221"/>
      <c r="EL785" s="313"/>
      <c r="EM785" s="249"/>
      <c r="EN785" s="221"/>
      <c r="EO785" s="313"/>
      <c r="EP785" s="249"/>
      <c r="EQ785" s="216"/>
      <c r="ER785" s="313"/>
      <c r="ES785" s="249"/>
      <c r="ET785" s="216"/>
      <c r="EU785" s="313"/>
      <c r="EV785" s="249"/>
      <c r="EW785" s="216"/>
      <c r="EX785" s="2505"/>
      <c r="EY785" s="249"/>
      <c r="EZ785" s="221"/>
      <c r="FA785" s="313"/>
      <c r="FB785" s="249"/>
      <c r="FC785" s="221"/>
      <c r="FD785" s="313"/>
      <c r="FE785" s="249"/>
      <c r="FF785" s="221"/>
      <c r="FG785" s="313"/>
      <c r="FH785" s="249"/>
      <c r="FI785" s="216"/>
      <c r="FJ785" s="1435"/>
      <c r="FK785" s="216"/>
      <c r="FL785" s="1268"/>
      <c r="FM785" s="1655"/>
      <c r="FN785" s="1268"/>
      <c r="FO785" s="1655"/>
      <c r="FP785" s="1268"/>
      <c r="FQ785" s="1656"/>
      <c r="FR785" s="249"/>
      <c r="FS785" s="216"/>
      <c r="FT785" s="1657"/>
      <c r="FU785" s="1658"/>
      <c r="FV785" s="242"/>
      <c r="FW785" s="343"/>
      <c r="FX785" s="222"/>
      <c r="FY785" s="336"/>
      <c r="FZ785" s="223"/>
      <c r="GA785" s="338"/>
      <c r="GB785" s="204"/>
      <c r="GC785" s="339"/>
      <c r="GD785" s="342"/>
      <c r="GE785" s="199"/>
      <c r="GF785" s="199"/>
      <c r="GG785" s="199"/>
      <c r="GH785" s="199"/>
      <c r="GI785" s="199"/>
      <c r="GJ785" s="199"/>
      <c r="GK785" s="199"/>
      <c r="GO785" s="322"/>
      <c r="GP785" s="1190"/>
      <c r="GQ785" s="1190"/>
      <c r="GS785" s="2879"/>
      <c r="GT785" s="2880"/>
      <c r="GU785" s="2881"/>
    </row>
    <row r="786" spans="1:203" ht="12" customHeight="1">
      <c r="A786" s="1252"/>
      <c r="B786" s="200"/>
      <c r="C786" s="486"/>
      <c r="T786" s="1186"/>
      <c r="U786" s="233"/>
      <c r="W786" s="218"/>
      <c r="X786" s="218"/>
      <c r="Y786" s="216"/>
      <c r="Z786" s="216"/>
      <c r="AA786" s="215"/>
      <c r="AB786" s="216"/>
      <c r="AC786" s="216"/>
      <c r="AD786" s="239"/>
      <c r="AE786" s="216"/>
      <c r="AF786" s="216"/>
      <c r="AG786" s="216"/>
      <c r="AH786" s="216"/>
      <c r="AI786" s="216"/>
      <c r="AJ786" s="216"/>
      <c r="AK786" s="239"/>
      <c r="AL786" s="216"/>
      <c r="AM786" s="216"/>
      <c r="AN786" s="216"/>
      <c r="AO786" s="216"/>
      <c r="AP786" s="216"/>
      <c r="AQ786" s="216"/>
      <c r="AR786" s="216"/>
      <c r="AS786" s="216"/>
      <c r="AT786" s="216"/>
      <c r="AU786" s="216"/>
      <c r="AV786" s="217"/>
      <c r="AW786" s="355"/>
      <c r="AX786" s="217"/>
      <c r="AY786" s="305"/>
      <c r="AZ786" s="249"/>
      <c r="BA786" s="221"/>
      <c r="BB786" s="300"/>
      <c r="BC786" s="217"/>
      <c r="BD786" s="392"/>
      <c r="BE786" s="1244"/>
      <c r="BF786" s="249"/>
      <c r="BG786" s="252"/>
      <c r="BH786" s="1469"/>
      <c r="BI786" s="216"/>
      <c r="BJ786" s="1469"/>
      <c r="BK786" s="1459"/>
      <c r="BL786" s="260"/>
      <c r="BM786" s="214"/>
      <c r="BN786" s="293"/>
      <c r="BO786" s="217"/>
      <c r="BP786" s="355"/>
      <c r="BQ786" s="217"/>
      <c r="BR786" s="1193"/>
      <c r="BS786" s="249"/>
      <c r="BT786" s="216"/>
      <c r="BU786" s="1195"/>
      <c r="BV786" s="249"/>
      <c r="BW786" s="216"/>
      <c r="BX786" s="1195"/>
      <c r="BY786" s="249"/>
      <c r="BZ786" s="216"/>
      <c r="CA786" s="1195"/>
      <c r="CB786" s="249"/>
      <c r="CC786" s="216"/>
      <c r="CD786" s="1195"/>
      <c r="CE786" s="249"/>
      <c r="CF786" s="216"/>
      <c r="CG786" s="1195"/>
      <c r="CH786" s="249"/>
      <c r="CI786" s="216"/>
      <c r="CJ786" s="1195"/>
      <c r="CK786" s="249"/>
      <c r="CL786" s="216"/>
      <c r="CM786" s="1194"/>
      <c r="CN786" s="1524"/>
      <c r="CO786" s="217"/>
      <c r="CP786" s="1193"/>
      <c r="CQ786" s="293"/>
      <c r="CR786" s="217"/>
      <c r="CS786" s="305"/>
      <c r="CT786" s="249"/>
      <c r="CU786" s="216"/>
      <c r="CV786" s="1193"/>
      <c r="CW786" s="249"/>
      <c r="CX786" s="216"/>
      <c r="CY786" s="305"/>
      <c r="CZ786" s="249"/>
      <c r="DA786" s="216"/>
      <c r="DB786" s="307"/>
      <c r="DC786" s="328"/>
      <c r="DD786" s="322"/>
      <c r="DE786" s="305"/>
      <c r="DF786" s="249"/>
      <c r="DG786" s="216"/>
      <c r="DH786" s="305"/>
      <c r="DI786" s="249"/>
      <c r="DJ786" s="216"/>
      <c r="DK786" s="309"/>
      <c r="DL786" s="293"/>
      <c r="DM786" s="326"/>
      <c r="DN786" s="1256"/>
      <c r="DO786" s="214"/>
      <c r="DP786" s="1257"/>
      <c r="DQ786" s="1258"/>
      <c r="DR786" s="305"/>
      <c r="DS786" s="249"/>
      <c r="DT786" s="216"/>
      <c r="DU786" s="305"/>
      <c r="DV786" s="2520"/>
      <c r="DW786" s="2521"/>
      <c r="DX786" s="305"/>
      <c r="DY786" s="249"/>
      <c r="DZ786" s="221"/>
      <c r="EA786" s="388"/>
      <c r="EB786" s="249"/>
      <c r="EC786" s="216"/>
      <c r="ED786" s="1461"/>
      <c r="EE786" s="249"/>
      <c r="EF786" s="216"/>
      <c r="EG786" s="355"/>
      <c r="EH786" s="1425"/>
      <c r="EI786" s="1470"/>
      <c r="EJ786" s="249"/>
      <c r="EK786" s="221"/>
      <c r="EL786" s="313"/>
      <c r="EM786" s="249"/>
      <c r="EN786" s="221"/>
      <c r="EO786" s="313"/>
      <c r="EP786" s="249"/>
      <c r="EQ786" s="216"/>
      <c r="ER786" s="313"/>
      <c r="ES786" s="249"/>
      <c r="ET786" s="216"/>
      <c r="EU786" s="313"/>
      <c r="EV786" s="249"/>
      <c r="EW786" s="216"/>
      <c r="EX786" s="2505"/>
      <c r="EY786" s="249"/>
      <c r="EZ786" s="221"/>
      <c r="FA786" s="313"/>
      <c r="FB786" s="249"/>
      <c r="FC786" s="221"/>
      <c r="FD786" s="313"/>
      <c r="FE786" s="249"/>
      <c r="FF786" s="221"/>
      <c r="FG786" s="313"/>
      <c r="FH786" s="249"/>
      <c r="FI786" s="216"/>
      <c r="FJ786" s="1435"/>
      <c r="FK786" s="216"/>
      <c r="FL786" s="1268"/>
      <c r="FM786" s="1655"/>
      <c r="FN786" s="1268"/>
      <c r="FO786" s="1655"/>
      <c r="FP786" s="1268"/>
      <c r="FQ786" s="1656"/>
      <c r="FR786" s="249"/>
      <c r="FS786" s="216"/>
      <c r="FT786" s="1657"/>
      <c r="FU786" s="1658"/>
      <c r="FV786" s="242"/>
      <c r="FW786" s="343"/>
      <c r="FX786" s="222"/>
      <c r="FY786" s="336"/>
      <c r="FZ786" s="223"/>
      <c r="GA786" s="338"/>
      <c r="GB786" s="204"/>
      <c r="GC786" s="339"/>
      <c r="GD786" s="342"/>
      <c r="GE786" s="199"/>
      <c r="GF786" s="199"/>
      <c r="GG786" s="199"/>
      <c r="GH786" s="199"/>
      <c r="GI786" s="199"/>
      <c r="GJ786" s="199"/>
      <c r="GK786" s="199"/>
      <c r="GO786" s="322"/>
      <c r="GP786" s="1190"/>
      <c r="GQ786" s="1190"/>
      <c r="GS786" s="2879"/>
      <c r="GT786" s="2880"/>
      <c r="GU786" s="2881"/>
    </row>
    <row r="787" spans="1:203" ht="12" customHeight="1">
      <c r="A787" s="1252"/>
      <c r="B787" s="200"/>
      <c r="C787" s="486"/>
      <c r="T787" s="1186"/>
      <c r="U787" s="233"/>
      <c r="W787" s="218"/>
      <c r="X787" s="218"/>
      <c r="Y787" s="216"/>
      <c r="Z787" s="216"/>
      <c r="AA787" s="215"/>
      <c r="AB787" s="216"/>
      <c r="AC787" s="216"/>
      <c r="AD787" s="239"/>
      <c r="AE787" s="216"/>
      <c r="AF787" s="216"/>
      <c r="AG787" s="216"/>
      <c r="AH787" s="216"/>
      <c r="AI787" s="216"/>
      <c r="AJ787" s="216"/>
      <c r="AK787" s="239"/>
      <c r="AL787" s="216"/>
      <c r="AM787" s="216"/>
      <c r="AN787" s="216"/>
      <c r="AO787" s="216"/>
      <c r="AP787" s="216"/>
      <c r="AQ787" s="216"/>
      <c r="AR787" s="216"/>
      <c r="AS787" s="216"/>
      <c r="AT787" s="216"/>
      <c r="AU787" s="216"/>
      <c r="AV787" s="217"/>
      <c r="AW787" s="355"/>
      <c r="AX787" s="217"/>
      <c r="AY787" s="305"/>
      <c r="AZ787" s="249"/>
      <c r="BA787" s="221"/>
      <c r="BB787" s="300"/>
      <c r="BC787" s="217"/>
      <c r="BD787" s="392"/>
      <c r="BE787" s="1244"/>
      <c r="BF787" s="249"/>
      <c r="BG787" s="252"/>
      <c r="BH787" s="1469"/>
      <c r="BI787" s="216"/>
      <c r="BJ787" s="1469"/>
      <c r="BK787" s="1459"/>
      <c r="BL787" s="260"/>
      <c r="BM787" s="214"/>
      <c r="BN787" s="293"/>
      <c r="BO787" s="217"/>
      <c r="BP787" s="355"/>
      <c r="BQ787" s="217"/>
      <c r="BR787" s="1193"/>
      <c r="BS787" s="249"/>
      <c r="BT787" s="216"/>
      <c r="BU787" s="1195"/>
      <c r="BV787" s="249"/>
      <c r="BW787" s="216"/>
      <c r="BX787" s="1195"/>
      <c r="BY787" s="249"/>
      <c r="BZ787" s="216"/>
      <c r="CA787" s="1195"/>
      <c r="CB787" s="249"/>
      <c r="CC787" s="216"/>
      <c r="CD787" s="1195"/>
      <c r="CE787" s="249"/>
      <c r="CF787" s="216"/>
      <c r="CG787" s="1195"/>
      <c r="CH787" s="249"/>
      <c r="CI787" s="216"/>
      <c r="CJ787" s="1195"/>
      <c r="CK787" s="249"/>
      <c r="CL787" s="216"/>
      <c r="CM787" s="1194"/>
      <c r="CN787" s="1524"/>
      <c r="CO787" s="217"/>
      <c r="CP787" s="1193"/>
      <c r="CQ787" s="293"/>
      <c r="CR787" s="217"/>
      <c r="CS787" s="305"/>
      <c r="CT787" s="249"/>
      <c r="CU787" s="216"/>
      <c r="CV787" s="1193"/>
      <c r="CW787" s="249"/>
      <c r="CX787" s="216"/>
      <c r="CY787" s="305"/>
      <c r="CZ787" s="249"/>
      <c r="DA787" s="216"/>
      <c r="DB787" s="307"/>
      <c r="DC787" s="328"/>
      <c r="DD787" s="322"/>
      <c r="DE787" s="305"/>
      <c r="DF787" s="249"/>
      <c r="DG787" s="216"/>
      <c r="DH787" s="305"/>
      <c r="DI787" s="249"/>
      <c r="DJ787" s="216"/>
      <c r="DK787" s="309"/>
      <c r="DL787" s="293"/>
      <c r="DM787" s="326"/>
      <c r="DN787" s="1256"/>
      <c r="DO787" s="214"/>
      <c r="DP787" s="1257"/>
      <c r="DQ787" s="1258"/>
      <c r="DR787" s="305"/>
      <c r="DS787" s="249"/>
      <c r="DT787" s="216"/>
      <c r="DU787" s="305"/>
      <c r="DV787" s="2520"/>
      <c r="DW787" s="2521"/>
      <c r="DX787" s="305"/>
      <c r="DY787" s="249"/>
      <c r="DZ787" s="221"/>
      <c r="EA787" s="388"/>
      <c r="EB787" s="249"/>
      <c r="EC787" s="216"/>
      <c r="ED787" s="1461"/>
      <c r="EE787" s="249"/>
      <c r="EF787" s="216"/>
      <c r="EG787" s="355"/>
      <c r="EH787" s="1425"/>
      <c r="EI787" s="1470"/>
      <c r="EJ787" s="249"/>
      <c r="EK787" s="221"/>
      <c r="EL787" s="313"/>
      <c r="EM787" s="249"/>
      <c r="EN787" s="221"/>
      <c r="EO787" s="313"/>
      <c r="EP787" s="249"/>
      <c r="EQ787" s="216"/>
      <c r="ER787" s="313"/>
      <c r="ES787" s="249"/>
      <c r="ET787" s="216"/>
      <c r="EU787" s="313"/>
      <c r="EV787" s="249"/>
      <c r="EW787" s="216"/>
      <c r="EX787" s="2505"/>
      <c r="EY787" s="249"/>
      <c r="EZ787" s="221"/>
      <c r="FA787" s="313"/>
      <c r="FB787" s="249"/>
      <c r="FC787" s="221"/>
      <c r="FD787" s="313"/>
      <c r="FE787" s="249"/>
      <c r="FF787" s="221"/>
      <c r="FG787" s="313"/>
      <c r="FH787" s="249"/>
      <c r="FI787" s="216"/>
      <c r="FJ787" s="1435"/>
      <c r="FK787" s="216"/>
      <c r="FL787" s="1268"/>
      <c r="FM787" s="1655"/>
      <c r="FN787" s="1268"/>
      <c r="FO787" s="1655"/>
      <c r="FP787" s="1268"/>
      <c r="FQ787" s="1656"/>
      <c r="FR787" s="249"/>
      <c r="FS787" s="216"/>
      <c r="FT787" s="1657"/>
      <c r="FU787" s="1658"/>
      <c r="FV787" s="242"/>
      <c r="FW787" s="343"/>
      <c r="FX787" s="222"/>
      <c r="FY787" s="336"/>
      <c r="FZ787" s="223"/>
      <c r="GA787" s="338"/>
      <c r="GB787" s="204"/>
      <c r="GC787" s="339"/>
      <c r="GD787" s="342"/>
      <c r="GE787" s="199"/>
      <c r="GF787" s="199"/>
      <c r="GG787" s="199"/>
      <c r="GH787" s="199"/>
      <c r="GI787" s="199"/>
      <c r="GJ787" s="199"/>
      <c r="GK787" s="199"/>
      <c r="GO787" s="322"/>
      <c r="GP787" s="1190"/>
      <c r="GQ787" s="1190"/>
      <c r="GS787" s="2879"/>
      <c r="GT787" s="2880"/>
      <c r="GU787" s="2881"/>
    </row>
    <row r="788" spans="1:203" ht="12" customHeight="1">
      <c r="A788" s="1252"/>
      <c r="B788" s="200"/>
      <c r="C788" s="486"/>
      <c r="T788" s="1186"/>
      <c r="U788" s="233"/>
      <c r="W788" s="218"/>
      <c r="X788" s="218"/>
      <c r="Y788" s="216"/>
      <c r="Z788" s="216"/>
      <c r="AA788" s="215"/>
      <c r="AB788" s="216"/>
      <c r="AC788" s="216"/>
      <c r="AD788" s="239"/>
      <c r="AE788" s="216"/>
      <c r="AF788" s="216"/>
      <c r="AG788" s="216"/>
      <c r="AH788" s="216"/>
      <c r="AI788" s="216"/>
      <c r="AJ788" s="216"/>
      <c r="AK788" s="239"/>
      <c r="AL788" s="216"/>
      <c r="AM788" s="216"/>
      <c r="AN788" s="216"/>
      <c r="AO788" s="216"/>
      <c r="AP788" s="216"/>
      <c r="AQ788" s="216"/>
      <c r="AR788" s="216"/>
      <c r="AS788" s="216"/>
      <c r="AT788" s="216"/>
      <c r="AU788" s="216"/>
      <c r="AV788" s="217"/>
      <c r="AW788" s="355"/>
      <c r="AX788" s="217"/>
      <c r="AY788" s="305"/>
      <c r="AZ788" s="249"/>
      <c r="BA788" s="221"/>
      <c r="BB788" s="300"/>
      <c r="BC788" s="217"/>
      <c r="BD788" s="392"/>
      <c r="BE788" s="1244"/>
      <c r="BF788" s="249"/>
      <c r="BG788" s="252"/>
      <c r="BH788" s="1469"/>
      <c r="BI788" s="216"/>
      <c r="BJ788" s="1469"/>
      <c r="BK788" s="1459"/>
      <c r="BL788" s="260"/>
      <c r="BM788" s="214"/>
      <c r="BN788" s="293"/>
      <c r="BO788" s="217"/>
      <c r="BP788" s="355"/>
      <c r="BQ788" s="217"/>
      <c r="BR788" s="1193"/>
      <c r="BS788" s="249"/>
      <c r="BT788" s="216"/>
      <c r="BU788" s="1195"/>
      <c r="BV788" s="249"/>
      <c r="BW788" s="216"/>
      <c r="BX788" s="1195"/>
      <c r="BY788" s="249"/>
      <c r="BZ788" s="216"/>
      <c r="CA788" s="1195"/>
      <c r="CB788" s="249"/>
      <c r="CC788" s="216"/>
      <c r="CD788" s="1195"/>
      <c r="CE788" s="249"/>
      <c r="CF788" s="216"/>
      <c r="CG788" s="1195"/>
      <c r="CH788" s="249"/>
      <c r="CI788" s="216"/>
      <c r="CJ788" s="1195"/>
      <c r="CK788" s="249"/>
      <c r="CL788" s="216"/>
      <c r="CM788" s="1194"/>
      <c r="CN788" s="1524"/>
      <c r="CO788" s="217"/>
      <c r="CP788" s="1193"/>
      <c r="CQ788" s="293"/>
      <c r="CR788" s="217"/>
      <c r="CS788" s="305"/>
      <c r="CT788" s="249"/>
      <c r="CU788" s="216"/>
      <c r="CV788" s="1193"/>
      <c r="CW788" s="249"/>
      <c r="CX788" s="216"/>
      <c r="CY788" s="305"/>
      <c r="CZ788" s="249"/>
      <c r="DA788" s="216"/>
      <c r="DB788" s="307"/>
      <c r="DC788" s="328"/>
      <c r="DD788" s="322"/>
      <c r="DE788" s="305"/>
      <c r="DF788" s="249"/>
      <c r="DG788" s="216"/>
      <c r="DH788" s="305"/>
      <c r="DI788" s="249"/>
      <c r="DJ788" s="216"/>
      <c r="DK788" s="309"/>
      <c r="DL788" s="293"/>
      <c r="DM788" s="326"/>
      <c r="DN788" s="1256"/>
      <c r="DO788" s="214"/>
      <c r="DP788" s="1257"/>
      <c r="DQ788" s="1258"/>
      <c r="DR788" s="305"/>
      <c r="DS788" s="249"/>
      <c r="DT788" s="216"/>
      <c r="DU788" s="305"/>
      <c r="DV788" s="2520"/>
      <c r="DW788" s="2521"/>
      <c r="DX788" s="305"/>
      <c r="DY788" s="249"/>
      <c r="DZ788" s="221"/>
      <c r="EA788" s="388"/>
      <c r="EB788" s="249"/>
      <c r="EC788" s="216"/>
      <c r="ED788" s="1461"/>
      <c r="EE788" s="249"/>
      <c r="EF788" s="216"/>
      <c r="EG788" s="355"/>
      <c r="EH788" s="1425"/>
      <c r="EI788" s="1470"/>
      <c r="EJ788" s="249"/>
      <c r="EK788" s="221"/>
      <c r="EL788" s="313"/>
      <c r="EM788" s="249"/>
      <c r="EN788" s="221"/>
      <c r="EO788" s="313"/>
      <c r="EP788" s="249"/>
      <c r="EQ788" s="216"/>
      <c r="ER788" s="313"/>
      <c r="ES788" s="249"/>
      <c r="ET788" s="216"/>
      <c r="EU788" s="313"/>
      <c r="EV788" s="249"/>
      <c r="EW788" s="216"/>
      <c r="EX788" s="2505"/>
      <c r="EY788" s="249"/>
      <c r="EZ788" s="221"/>
      <c r="FA788" s="313"/>
      <c r="FB788" s="249"/>
      <c r="FC788" s="221"/>
      <c r="FD788" s="313"/>
      <c r="FE788" s="249"/>
      <c r="FF788" s="221"/>
      <c r="FG788" s="313"/>
      <c r="FH788" s="249"/>
      <c r="FI788" s="216"/>
      <c r="FJ788" s="1435"/>
      <c r="FK788" s="216"/>
      <c r="FL788" s="1268"/>
      <c r="FM788" s="1655"/>
      <c r="FN788" s="1268"/>
      <c r="FO788" s="1655"/>
      <c r="FP788" s="1268"/>
      <c r="FQ788" s="1656"/>
      <c r="FR788" s="249"/>
      <c r="FS788" s="216"/>
      <c r="FT788" s="1657"/>
      <c r="FU788" s="1658"/>
      <c r="FV788" s="242"/>
      <c r="FW788" s="343"/>
      <c r="FX788" s="222"/>
      <c r="FY788" s="336"/>
      <c r="FZ788" s="223"/>
      <c r="GA788" s="338"/>
      <c r="GB788" s="204"/>
      <c r="GC788" s="339"/>
      <c r="GD788" s="342"/>
      <c r="GE788" s="199"/>
      <c r="GF788" s="199"/>
      <c r="GG788" s="199"/>
      <c r="GH788" s="199"/>
      <c r="GI788" s="199"/>
      <c r="GJ788" s="199"/>
      <c r="GK788" s="199"/>
      <c r="GO788" s="322"/>
      <c r="GP788" s="1190"/>
      <c r="GQ788" s="1190"/>
      <c r="GS788" s="2879"/>
      <c r="GT788" s="2880"/>
      <c r="GU788" s="2881"/>
    </row>
    <row r="789" spans="1:203" ht="12" customHeight="1">
      <c r="A789" s="1252"/>
      <c r="B789" s="200"/>
      <c r="C789" s="486"/>
      <c r="T789" s="1186"/>
      <c r="U789" s="233"/>
      <c r="W789" s="218"/>
      <c r="X789" s="218"/>
      <c r="Y789" s="216"/>
      <c r="Z789" s="216"/>
      <c r="AA789" s="215"/>
      <c r="AB789" s="216"/>
      <c r="AC789" s="216"/>
      <c r="AD789" s="239"/>
      <c r="AE789" s="216"/>
      <c r="AF789" s="216"/>
      <c r="AG789" s="216"/>
      <c r="AH789" s="216"/>
      <c r="AI789" s="216"/>
      <c r="AJ789" s="216"/>
      <c r="AK789" s="239"/>
      <c r="AL789" s="216"/>
      <c r="AM789" s="216"/>
      <c r="AN789" s="216"/>
      <c r="AO789" s="216"/>
      <c r="AP789" s="216"/>
      <c r="AQ789" s="216"/>
      <c r="AR789" s="216"/>
      <c r="AS789" s="216"/>
      <c r="AT789" s="216"/>
      <c r="AU789" s="216"/>
      <c r="AV789" s="217"/>
      <c r="AW789" s="355"/>
      <c r="AX789" s="217"/>
      <c r="AY789" s="305"/>
      <c r="AZ789" s="249"/>
      <c r="BA789" s="221"/>
      <c r="BB789" s="300"/>
      <c r="BC789" s="217"/>
      <c r="BD789" s="392"/>
      <c r="BE789" s="1244"/>
      <c r="BF789" s="249"/>
      <c r="BG789" s="252"/>
      <c r="BH789" s="1469"/>
      <c r="BI789" s="216"/>
      <c r="BJ789" s="1469"/>
      <c r="BK789" s="1459"/>
      <c r="BL789" s="260"/>
      <c r="BM789" s="214"/>
      <c r="BN789" s="293"/>
      <c r="BO789" s="217"/>
      <c r="BP789" s="355"/>
      <c r="BQ789" s="217"/>
      <c r="BR789" s="1193"/>
      <c r="BS789" s="249"/>
      <c r="BT789" s="216"/>
      <c r="BU789" s="1195"/>
      <c r="BV789" s="249"/>
      <c r="BW789" s="216"/>
      <c r="BX789" s="1195"/>
      <c r="BY789" s="249"/>
      <c r="BZ789" s="216"/>
      <c r="CA789" s="1195"/>
      <c r="CB789" s="249"/>
      <c r="CC789" s="216"/>
      <c r="CD789" s="1195"/>
      <c r="CE789" s="249"/>
      <c r="CF789" s="216"/>
      <c r="CG789" s="1195"/>
      <c r="CH789" s="249"/>
      <c r="CI789" s="216"/>
      <c r="CJ789" s="1195"/>
      <c r="CK789" s="249"/>
      <c r="CL789" s="216"/>
      <c r="CM789" s="1194"/>
      <c r="CN789" s="1524"/>
      <c r="CO789" s="217"/>
      <c r="CP789" s="1193"/>
      <c r="CQ789" s="293"/>
      <c r="CR789" s="217"/>
      <c r="CS789" s="305"/>
      <c r="CT789" s="249"/>
      <c r="CU789" s="216"/>
      <c r="CV789" s="1193"/>
      <c r="CW789" s="249"/>
      <c r="CX789" s="216"/>
      <c r="CY789" s="305"/>
      <c r="CZ789" s="249"/>
      <c r="DA789" s="216"/>
      <c r="DB789" s="307"/>
      <c r="DC789" s="328"/>
      <c r="DD789" s="322"/>
      <c r="DE789" s="305"/>
      <c r="DF789" s="249"/>
      <c r="DG789" s="216"/>
      <c r="DH789" s="305"/>
      <c r="DI789" s="249"/>
      <c r="DJ789" s="216"/>
      <c r="DK789" s="309"/>
      <c r="DL789" s="293"/>
      <c r="DM789" s="326"/>
      <c r="DN789" s="1256"/>
      <c r="DO789" s="214"/>
      <c r="DP789" s="1257"/>
      <c r="DQ789" s="1258"/>
      <c r="DR789" s="305"/>
      <c r="DS789" s="249"/>
      <c r="DT789" s="216"/>
      <c r="DU789" s="305"/>
      <c r="DV789" s="2520"/>
      <c r="DW789" s="2521"/>
      <c r="DX789" s="305"/>
      <c r="DY789" s="249"/>
      <c r="DZ789" s="221"/>
      <c r="EA789" s="388"/>
      <c r="EB789" s="249"/>
      <c r="EC789" s="216"/>
      <c r="ED789" s="1461"/>
      <c r="EE789" s="249"/>
      <c r="EF789" s="216"/>
      <c r="EG789" s="355"/>
      <c r="EH789" s="1425"/>
      <c r="EI789" s="1470"/>
      <c r="EJ789" s="249"/>
      <c r="EK789" s="221"/>
      <c r="EL789" s="313"/>
      <c r="EM789" s="249"/>
      <c r="EN789" s="221"/>
      <c r="EO789" s="313"/>
      <c r="EP789" s="249"/>
      <c r="EQ789" s="216"/>
      <c r="ER789" s="313"/>
      <c r="ES789" s="249"/>
      <c r="ET789" s="216"/>
      <c r="EU789" s="313"/>
      <c r="EV789" s="249"/>
      <c r="EW789" s="216"/>
      <c r="EX789" s="2505"/>
      <c r="EY789" s="249"/>
      <c r="EZ789" s="221"/>
      <c r="FA789" s="313"/>
      <c r="FB789" s="249"/>
      <c r="FC789" s="221"/>
      <c r="FD789" s="313"/>
      <c r="FE789" s="249"/>
      <c r="FF789" s="221"/>
      <c r="FG789" s="313"/>
      <c r="FH789" s="249"/>
      <c r="FI789" s="216"/>
      <c r="FJ789" s="1435"/>
      <c r="FK789" s="216"/>
      <c r="FL789" s="1268"/>
      <c r="FM789" s="1655"/>
      <c r="FN789" s="1268"/>
      <c r="FO789" s="1655"/>
      <c r="FP789" s="1268"/>
      <c r="FQ789" s="1656"/>
      <c r="FR789" s="249"/>
      <c r="FS789" s="216"/>
      <c r="FT789" s="1657"/>
      <c r="FU789" s="1658"/>
      <c r="FV789" s="242"/>
      <c r="FW789" s="343"/>
      <c r="FX789" s="222"/>
      <c r="FY789" s="336"/>
      <c r="FZ789" s="223"/>
      <c r="GA789" s="338"/>
      <c r="GB789" s="204"/>
      <c r="GC789" s="339"/>
      <c r="GD789" s="342"/>
      <c r="GE789" s="199"/>
      <c r="GF789" s="199"/>
      <c r="GG789" s="199"/>
      <c r="GH789" s="199"/>
      <c r="GI789" s="199"/>
      <c r="GJ789" s="199"/>
      <c r="GK789" s="199"/>
      <c r="GO789" s="322"/>
      <c r="GP789" s="1190"/>
      <c r="GQ789" s="1190"/>
      <c r="GS789" s="2879"/>
      <c r="GT789" s="2880"/>
      <c r="GU789" s="2881"/>
    </row>
    <row r="790" spans="1:203" ht="12" customHeight="1">
      <c r="A790" s="1252"/>
      <c r="B790" s="200"/>
      <c r="C790" s="486"/>
      <c r="T790" s="1186"/>
      <c r="U790" s="233"/>
      <c r="W790" s="218"/>
      <c r="X790" s="218"/>
      <c r="Y790" s="216"/>
      <c r="Z790" s="216"/>
      <c r="AA790" s="215"/>
      <c r="AB790" s="216"/>
      <c r="AC790" s="216"/>
      <c r="AD790" s="239"/>
      <c r="AE790" s="216"/>
      <c r="AF790" s="216"/>
      <c r="AG790" s="216"/>
      <c r="AH790" s="216"/>
      <c r="AI790" s="216"/>
      <c r="AJ790" s="216"/>
      <c r="AK790" s="239"/>
      <c r="AL790" s="216"/>
      <c r="AM790" s="216"/>
      <c r="AN790" s="216"/>
      <c r="AO790" s="216"/>
      <c r="AP790" s="216"/>
      <c r="AQ790" s="216"/>
      <c r="AR790" s="216"/>
      <c r="AS790" s="216"/>
      <c r="AT790" s="216"/>
      <c r="AU790" s="216"/>
      <c r="AV790" s="217"/>
      <c r="AW790" s="355"/>
      <c r="AX790" s="217"/>
      <c r="AY790" s="305"/>
      <c r="AZ790" s="249"/>
      <c r="BA790" s="221"/>
      <c r="BB790" s="300"/>
      <c r="BC790" s="217"/>
      <c r="BD790" s="392"/>
      <c r="BE790" s="1244"/>
      <c r="BF790" s="249"/>
      <c r="BG790" s="252"/>
      <c r="BH790" s="1469"/>
      <c r="BI790" s="216"/>
      <c r="BJ790" s="1469"/>
      <c r="BK790" s="1459"/>
      <c r="BL790" s="260"/>
      <c r="BM790" s="214"/>
      <c r="BN790" s="293"/>
      <c r="BO790" s="217"/>
      <c r="BP790" s="355"/>
      <c r="BQ790" s="217"/>
      <c r="BR790" s="1193"/>
      <c r="BS790" s="249"/>
      <c r="BT790" s="216"/>
      <c r="BU790" s="1195"/>
      <c r="BV790" s="249"/>
      <c r="BW790" s="216"/>
      <c r="BX790" s="1195"/>
      <c r="BY790" s="249"/>
      <c r="BZ790" s="216"/>
      <c r="CA790" s="1195"/>
      <c r="CB790" s="249"/>
      <c r="CC790" s="216"/>
      <c r="CD790" s="1195"/>
      <c r="CE790" s="249"/>
      <c r="CF790" s="216"/>
      <c r="CG790" s="1195"/>
      <c r="CH790" s="249"/>
      <c r="CI790" s="216"/>
      <c r="CJ790" s="1195"/>
      <c r="CK790" s="249"/>
      <c r="CL790" s="216"/>
      <c r="CM790" s="1194"/>
      <c r="CN790" s="1524"/>
      <c r="CO790" s="217"/>
      <c r="CP790" s="1193"/>
      <c r="CQ790" s="293"/>
      <c r="CR790" s="217"/>
      <c r="CS790" s="305"/>
      <c r="CT790" s="249"/>
      <c r="CU790" s="216"/>
      <c r="CV790" s="1193"/>
      <c r="CW790" s="249"/>
      <c r="CX790" s="216"/>
      <c r="CY790" s="305"/>
      <c r="CZ790" s="249"/>
      <c r="DA790" s="216"/>
      <c r="DB790" s="307"/>
      <c r="DC790" s="328"/>
      <c r="DD790" s="322"/>
      <c r="DE790" s="305"/>
      <c r="DF790" s="249"/>
      <c r="DG790" s="216"/>
      <c r="DH790" s="305"/>
      <c r="DI790" s="249"/>
      <c r="DJ790" s="216"/>
      <c r="DK790" s="309"/>
      <c r="DL790" s="293"/>
      <c r="DM790" s="326"/>
      <c r="DN790" s="1256"/>
      <c r="DO790" s="214"/>
      <c r="DP790" s="1257"/>
      <c r="DQ790" s="1258"/>
      <c r="DR790" s="305"/>
      <c r="DS790" s="249"/>
      <c r="DT790" s="216"/>
      <c r="DU790" s="305"/>
      <c r="DV790" s="2520"/>
      <c r="DW790" s="2521"/>
      <c r="DX790" s="305"/>
      <c r="DY790" s="249"/>
      <c r="DZ790" s="221"/>
      <c r="EA790" s="388"/>
      <c r="EB790" s="249"/>
      <c r="EC790" s="216"/>
      <c r="ED790" s="1461"/>
      <c r="EE790" s="249"/>
      <c r="EF790" s="216"/>
      <c r="EG790" s="355"/>
      <c r="EH790" s="1425"/>
      <c r="EI790" s="1470"/>
      <c r="EJ790" s="249"/>
      <c r="EK790" s="221"/>
      <c r="EL790" s="313"/>
      <c r="EM790" s="249"/>
      <c r="EN790" s="221"/>
      <c r="EO790" s="313"/>
      <c r="EP790" s="249"/>
      <c r="EQ790" s="216"/>
      <c r="ER790" s="313"/>
      <c r="ES790" s="249"/>
      <c r="ET790" s="216"/>
      <c r="EU790" s="313"/>
      <c r="EV790" s="249"/>
      <c r="EW790" s="216"/>
      <c r="EX790" s="2505"/>
      <c r="EY790" s="249"/>
      <c r="EZ790" s="221"/>
      <c r="FA790" s="313"/>
      <c r="FB790" s="249"/>
      <c r="FC790" s="221"/>
      <c r="FD790" s="313"/>
      <c r="FE790" s="249"/>
      <c r="FF790" s="221"/>
      <c r="FG790" s="313"/>
      <c r="FH790" s="249"/>
      <c r="FI790" s="216"/>
      <c r="FJ790" s="1435"/>
      <c r="FK790" s="216"/>
      <c r="FL790" s="1268"/>
      <c r="FM790" s="1655"/>
      <c r="FN790" s="1268"/>
      <c r="FO790" s="1655"/>
      <c r="FP790" s="1268"/>
      <c r="FQ790" s="1656"/>
      <c r="FR790" s="249"/>
      <c r="FS790" s="216"/>
      <c r="FT790" s="1657"/>
      <c r="FU790" s="1658"/>
      <c r="FV790" s="242"/>
      <c r="FW790" s="343"/>
      <c r="FX790" s="222"/>
      <c r="FY790" s="336"/>
      <c r="FZ790" s="223"/>
      <c r="GA790" s="338"/>
      <c r="GB790" s="204"/>
      <c r="GC790" s="339"/>
      <c r="GD790" s="342"/>
      <c r="GE790" s="199"/>
      <c r="GF790" s="199"/>
      <c r="GG790" s="199"/>
      <c r="GH790" s="199"/>
      <c r="GI790" s="199"/>
      <c r="GJ790" s="199"/>
      <c r="GK790" s="199"/>
      <c r="GO790" s="322"/>
      <c r="GP790" s="1190"/>
      <c r="GQ790" s="1190"/>
      <c r="GS790" s="2879"/>
      <c r="GT790" s="2880"/>
      <c r="GU790" s="2881"/>
    </row>
    <row r="791" spans="1:203" ht="12" customHeight="1">
      <c r="A791" s="1252"/>
      <c r="B791" s="200"/>
      <c r="C791" s="486"/>
      <c r="T791" s="1186"/>
      <c r="U791" s="233"/>
      <c r="W791" s="218"/>
      <c r="X791" s="218"/>
      <c r="Y791" s="216"/>
      <c r="Z791" s="216"/>
      <c r="AA791" s="215"/>
      <c r="AB791" s="216"/>
      <c r="AC791" s="216"/>
      <c r="AD791" s="239"/>
      <c r="AE791" s="216"/>
      <c r="AF791" s="216"/>
      <c r="AG791" s="216"/>
      <c r="AH791" s="216"/>
      <c r="AI791" s="216"/>
      <c r="AJ791" s="216"/>
      <c r="AK791" s="239"/>
      <c r="AL791" s="216"/>
      <c r="AM791" s="216"/>
      <c r="AN791" s="216"/>
      <c r="AO791" s="216"/>
      <c r="AP791" s="216"/>
      <c r="AQ791" s="216"/>
      <c r="AR791" s="216"/>
      <c r="AS791" s="216"/>
      <c r="AT791" s="216"/>
      <c r="AU791" s="216"/>
      <c r="AV791" s="217"/>
      <c r="AW791" s="355"/>
      <c r="AX791" s="217"/>
      <c r="AY791" s="305"/>
      <c r="AZ791" s="249"/>
      <c r="BA791" s="221"/>
      <c r="BB791" s="300"/>
      <c r="BC791" s="217"/>
      <c r="BD791" s="392"/>
      <c r="BE791" s="1244"/>
      <c r="BF791" s="249"/>
      <c r="BG791" s="252"/>
      <c r="BH791" s="1469"/>
      <c r="BI791" s="216"/>
      <c r="BJ791" s="1469"/>
      <c r="BK791" s="1459"/>
      <c r="BL791" s="260"/>
      <c r="BM791" s="214"/>
      <c r="BN791" s="293"/>
      <c r="BO791" s="217"/>
      <c r="BP791" s="355"/>
      <c r="BQ791" s="217"/>
      <c r="BR791" s="1193"/>
      <c r="BS791" s="249"/>
      <c r="BT791" s="216"/>
      <c r="BU791" s="1195"/>
      <c r="BV791" s="249"/>
      <c r="BW791" s="216"/>
      <c r="BX791" s="1195"/>
      <c r="BY791" s="249"/>
      <c r="BZ791" s="216"/>
      <c r="CA791" s="1195"/>
      <c r="CB791" s="249"/>
      <c r="CC791" s="216"/>
      <c r="CD791" s="1195"/>
      <c r="CE791" s="249"/>
      <c r="CF791" s="216"/>
      <c r="CG791" s="1195"/>
      <c r="CH791" s="249"/>
      <c r="CI791" s="216"/>
      <c r="CJ791" s="1195"/>
      <c r="CK791" s="249"/>
      <c r="CL791" s="216"/>
      <c r="CM791" s="1194"/>
      <c r="CN791" s="1524"/>
      <c r="CO791" s="217"/>
      <c r="CP791" s="1193"/>
      <c r="CQ791" s="293"/>
      <c r="CR791" s="217"/>
      <c r="CS791" s="305"/>
      <c r="CT791" s="249"/>
      <c r="CU791" s="216"/>
      <c r="CV791" s="1193"/>
      <c r="CW791" s="249"/>
      <c r="CX791" s="216"/>
      <c r="CY791" s="305"/>
      <c r="CZ791" s="249"/>
      <c r="DA791" s="216"/>
      <c r="DB791" s="307"/>
      <c r="DC791" s="328"/>
      <c r="DD791" s="322"/>
      <c r="DE791" s="305"/>
      <c r="DF791" s="249"/>
      <c r="DG791" s="216"/>
      <c r="DH791" s="305"/>
      <c r="DI791" s="249"/>
      <c r="DJ791" s="216"/>
      <c r="DK791" s="309"/>
      <c r="DL791" s="293"/>
      <c r="DM791" s="326"/>
      <c r="DN791" s="1256"/>
      <c r="DO791" s="214"/>
      <c r="DP791" s="1257"/>
      <c r="DQ791" s="1258"/>
      <c r="DR791" s="305"/>
      <c r="DS791" s="249"/>
      <c r="DT791" s="216"/>
      <c r="DU791" s="305"/>
      <c r="DV791" s="2520"/>
      <c r="DW791" s="2521"/>
      <c r="DX791" s="305"/>
      <c r="DY791" s="249"/>
      <c r="DZ791" s="221"/>
      <c r="EA791" s="388"/>
      <c r="EB791" s="249"/>
      <c r="EC791" s="216"/>
      <c r="ED791" s="1461"/>
      <c r="EE791" s="249"/>
      <c r="EF791" s="216"/>
      <c r="EG791" s="355"/>
      <c r="EH791" s="1425"/>
      <c r="EI791" s="1470"/>
      <c r="EJ791" s="249"/>
      <c r="EK791" s="221"/>
      <c r="EL791" s="313"/>
      <c r="EM791" s="249"/>
      <c r="EN791" s="221"/>
      <c r="EO791" s="313"/>
      <c r="EP791" s="249"/>
      <c r="EQ791" s="216"/>
      <c r="ER791" s="313"/>
      <c r="ES791" s="249"/>
      <c r="ET791" s="216"/>
      <c r="EU791" s="313"/>
      <c r="EV791" s="249"/>
      <c r="EW791" s="216"/>
      <c r="EX791" s="2505"/>
      <c r="EY791" s="249"/>
      <c r="EZ791" s="221"/>
      <c r="FA791" s="313"/>
      <c r="FB791" s="249"/>
      <c r="FC791" s="221"/>
      <c r="FD791" s="313"/>
      <c r="FE791" s="249"/>
      <c r="FF791" s="221"/>
      <c r="FG791" s="313"/>
      <c r="FH791" s="249"/>
      <c r="FI791" s="216"/>
      <c r="FJ791" s="1435"/>
      <c r="FK791" s="216"/>
      <c r="FL791" s="1268"/>
      <c r="FM791" s="1655"/>
      <c r="FN791" s="1268"/>
      <c r="FO791" s="1655"/>
      <c r="FP791" s="1268"/>
      <c r="FQ791" s="1656"/>
      <c r="FR791" s="249"/>
      <c r="FS791" s="216"/>
      <c r="FT791" s="1657"/>
      <c r="FU791" s="1658"/>
      <c r="FV791" s="242"/>
      <c r="FW791" s="343"/>
      <c r="FX791" s="222"/>
      <c r="FY791" s="336"/>
      <c r="FZ791" s="223"/>
      <c r="GA791" s="338"/>
      <c r="GB791" s="204"/>
      <c r="GC791" s="339"/>
      <c r="GD791" s="342"/>
      <c r="GE791" s="199"/>
      <c r="GF791" s="199"/>
      <c r="GG791" s="199"/>
      <c r="GH791" s="199"/>
      <c r="GI791" s="199"/>
      <c r="GJ791" s="199"/>
      <c r="GK791" s="199"/>
      <c r="GO791" s="322"/>
      <c r="GP791" s="1190"/>
      <c r="GQ791" s="1190"/>
      <c r="GS791" s="2879"/>
      <c r="GT791" s="2880"/>
      <c r="GU791" s="2881"/>
    </row>
    <row r="792" spans="1:203" ht="12" customHeight="1">
      <c r="A792" s="1252"/>
      <c r="B792" s="200"/>
      <c r="C792" s="486"/>
      <c r="T792" s="1186"/>
      <c r="U792" s="233"/>
      <c r="W792" s="218"/>
      <c r="X792" s="218"/>
      <c r="Y792" s="216"/>
      <c r="Z792" s="216"/>
      <c r="AA792" s="215"/>
      <c r="AB792" s="216"/>
      <c r="AC792" s="216"/>
      <c r="AD792" s="239"/>
      <c r="AE792" s="216"/>
      <c r="AF792" s="216"/>
      <c r="AG792" s="216"/>
      <c r="AH792" s="216"/>
      <c r="AI792" s="216"/>
      <c r="AJ792" s="216"/>
      <c r="AK792" s="239"/>
      <c r="AL792" s="216"/>
      <c r="AM792" s="216"/>
      <c r="AN792" s="216"/>
      <c r="AO792" s="216"/>
      <c r="AP792" s="216"/>
      <c r="AQ792" s="216"/>
      <c r="AR792" s="216"/>
      <c r="AS792" s="216"/>
      <c r="AT792" s="216"/>
      <c r="AU792" s="216"/>
      <c r="AV792" s="217"/>
      <c r="AW792" s="355"/>
      <c r="AX792" s="217"/>
      <c r="AY792" s="305"/>
      <c r="AZ792" s="249"/>
      <c r="BA792" s="221"/>
      <c r="BB792" s="300"/>
      <c r="BC792" s="217"/>
      <c r="BD792" s="392"/>
      <c r="BE792" s="1244"/>
      <c r="BF792" s="249"/>
      <c r="BG792" s="252"/>
      <c r="BH792" s="1469"/>
      <c r="BI792" s="216"/>
      <c r="BJ792" s="1469"/>
      <c r="BK792" s="1459"/>
      <c r="BL792" s="260"/>
      <c r="BM792" s="214"/>
      <c r="BN792" s="293"/>
      <c r="BO792" s="217"/>
      <c r="BP792" s="355"/>
      <c r="BQ792" s="217"/>
      <c r="BR792" s="1193"/>
      <c r="BS792" s="249"/>
      <c r="BT792" s="216"/>
      <c r="BU792" s="1195"/>
      <c r="BV792" s="249"/>
      <c r="BW792" s="216"/>
      <c r="BX792" s="1195"/>
      <c r="BY792" s="249"/>
      <c r="BZ792" s="216"/>
      <c r="CA792" s="1195"/>
      <c r="CB792" s="249"/>
      <c r="CC792" s="216"/>
      <c r="CD792" s="1195"/>
      <c r="CE792" s="249"/>
      <c r="CF792" s="216"/>
      <c r="CG792" s="1195"/>
      <c r="CH792" s="249"/>
      <c r="CI792" s="216"/>
      <c r="CJ792" s="1195"/>
      <c r="CK792" s="249"/>
      <c r="CL792" s="216"/>
      <c r="CM792" s="1194"/>
      <c r="CN792" s="1524"/>
      <c r="CO792" s="217"/>
      <c r="CP792" s="1193"/>
      <c r="CQ792" s="293"/>
      <c r="CR792" s="217"/>
      <c r="CS792" s="305"/>
      <c r="CT792" s="249"/>
      <c r="CU792" s="216"/>
      <c r="CV792" s="1193"/>
      <c r="CW792" s="249"/>
      <c r="CX792" s="216"/>
      <c r="CY792" s="305"/>
      <c r="CZ792" s="249"/>
      <c r="DA792" s="216"/>
      <c r="DB792" s="307"/>
      <c r="DC792" s="328"/>
      <c r="DD792" s="322"/>
      <c r="DE792" s="305"/>
      <c r="DF792" s="249"/>
      <c r="DG792" s="216"/>
      <c r="DH792" s="305"/>
      <c r="DI792" s="249"/>
      <c r="DJ792" s="216"/>
      <c r="DK792" s="309"/>
      <c r="DL792" s="293"/>
      <c r="DM792" s="326"/>
      <c r="DN792" s="1256"/>
      <c r="DO792" s="214"/>
      <c r="DP792" s="1257"/>
      <c r="DQ792" s="1258"/>
      <c r="DR792" s="305"/>
      <c r="DS792" s="249"/>
      <c r="DT792" s="216"/>
      <c r="DU792" s="305"/>
      <c r="DV792" s="2520"/>
      <c r="DW792" s="2521"/>
      <c r="DX792" s="305"/>
      <c r="DY792" s="249"/>
      <c r="DZ792" s="221"/>
      <c r="EA792" s="388"/>
      <c r="EB792" s="249"/>
      <c r="EC792" s="216"/>
      <c r="ED792" s="1461"/>
      <c r="EE792" s="249"/>
      <c r="EF792" s="216"/>
      <c r="EG792" s="355"/>
      <c r="EH792" s="1425"/>
      <c r="EI792" s="1470"/>
      <c r="EJ792" s="249"/>
      <c r="EK792" s="221"/>
      <c r="EL792" s="313"/>
      <c r="EM792" s="249"/>
      <c r="EN792" s="221"/>
      <c r="EO792" s="313"/>
      <c r="EP792" s="249"/>
      <c r="EQ792" s="216"/>
      <c r="ER792" s="313"/>
      <c r="ES792" s="249"/>
      <c r="ET792" s="216"/>
      <c r="EU792" s="313"/>
      <c r="EV792" s="249"/>
      <c r="EW792" s="216"/>
      <c r="EX792" s="2505"/>
      <c r="EY792" s="249"/>
      <c r="EZ792" s="221"/>
      <c r="FA792" s="313"/>
      <c r="FB792" s="249"/>
      <c r="FC792" s="221"/>
      <c r="FD792" s="313"/>
      <c r="FE792" s="249"/>
      <c r="FF792" s="221"/>
      <c r="FG792" s="313"/>
      <c r="FH792" s="249"/>
      <c r="FI792" s="216"/>
      <c r="FJ792" s="1435"/>
      <c r="FK792" s="216"/>
      <c r="FL792" s="1268"/>
      <c r="FM792" s="1655"/>
      <c r="FN792" s="1268"/>
      <c r="FO792" s="1655"/>
      <c r="FP792" s="1268"/>
      <c r="FQ792" s="1656"/>
      <c r="FR792" s="249"/>
      <c r="FS792" s="216"/>
      <c r="FT792" s="1657"/>
      <c r="FU792" s="1658"/>
      <c r="FV792" s="242"/>
      <c r="FW792" s="343"/>
      <c r="FX792" s="222"/>
      <c r="FY792" s="336"/>
      <c r="FZ792" s="223"/>
      <c r="GA792" s="338"/>
      <c r="GB792" s="204"/>
      <c r="GC792" s="339"/>
      <c r="GD792" s="342"/>
      <c r="GE792" s="199"/>
      <c r="GF792" s="199"/>
      <c r="GG792" s="199"/>
      <c r="GH792" s="199"/>
      <c r="GI792" s="199"/>
      <c r="GJ792" s="199"/>
      <c r="GK792" s="199"/>
      <c r="GO792" s="322"/>
      <c r="GP792" s="1190"/>
      <c r="GQ792" s="1190"/>
      <c r="GS792" s="2879"/>
      <c r="GT792" s="2880"/>
      <c r="GU792" s="2881"/>
    </row>
    <row r="793" spans="1:203" ht="12" customHeight="1">
      <c r="A793" s="1252"/>
      <c r="B793" s="200"/>
      <c r="C793" s="486"/>
      <c r="T793" s="1186"/>
      <c r="U793" s="233"/>
      <c r="W793" s="218"/>
      <c r="X793" s="218"/>
      <c r="Y793" s="216"/>
      <c r="Z793" s="216"/>
      <c r="AA793" s="215"/>
      <c r="AB793" s="216"/>
      <c r="AC793" s="216"/>
      <c r="AD793" s="239"/>
      <c r="AE793" s="216"/>
      <c r="AF793" s="216"/>
      <c r="AG793" s="216"/>
      <c r="AH793" s="216"/>
      <c r="AI793" s="216"/>
      <c r="AJ793" s="216"/>
      <c r="AK793" s="239"/>
      <c r="AL793" s="216"/>
      <c r="AM793" s="216"/>
      <c r="AN793" s="216"/>
      <c r="AO793" s="216"/>
      <c r="AP793" s="216"/>
      <c r="AQ793" s="216"/>
      <c r="AR793" s="216"/>
      <c r="AS793" s="216"/>
      <c r="AT793" s="216"/>
      <c r="AU793" s="216"/>
      <c r="AV793" s="217"/>
      <c r="AW793" s="355"/>
      <c r="AX793" s="217"/>
      <c r="AY793" s="305"/>
      <c r="AZ793" s="249"/>
      <c r="BA793" s="221"/>
      <c r="BB793" s="300"/>
      <c r="BC793" s="217"/>
      <c r="BD793" s="392"/>
      <c r="BE793" s="1244"/>
      <c r="BF793" s="249"/>
      <c r="BG793" s="252"/>
      <c r="BH793" s="1469"/>
      <c r="BI793" s="216"/>
      <c r="BJ793" s="1469"/>
      <c r="BK793" s="1459"/>
      <c r="BL793" s="260"/>
      <c r="BM793" s="214"/>
      <c r="BN793" s="293"/>
      <c r="BO793" s="217"/>
      <c r="BP793" s="355"/>
      <c r="BQ793" s="217"/>
      <c r="BR793" s="1193"/>
      <c r="BS793" s="249"/>
      <c r="BT793" s="216"/>
      <c r="BU793" s="1195"/>
      <c r="BV793" s="249"/>
      <c r="BW793" s="216"/>
      <c r="BX793" s="1195"/>
      <c r="BY793" s="249"/>
      <c r="BZ793" s="216"/>
      <c r="CA793" s="1195"/>
      <c r="CB793" s="249"/>
      <c r="CC793" s="216"/>
      <c r="CD793" s="1195"/>
      <c r="CE793" s="249"/>
      <c r="CF793" s="216"/>
      <c r="CG793" s="1195"/>
      <c r="CH793" s="249"/>
      <c r="CI793" s="216"/>
      <c r="CJ793" s="1195"/>
      <c r="CK793" s="249"/>
      <c r="CL793" s="216"/>
      <c r="CM793" s="1194"/>
      <c r="CN793" s="1524"/>
      <c r="CO793" s="217"/>
      <c r="CP793" s="1193"/>
      <c r="CQ793" s="293"/>
      <c r="CR793" s="217"/>
      <c r="CS793" s="305"/>
      <c r="CT793" s="249"/>
      <c r="CU793" s="216"/>
      <c r="CV793" s="1193"/>
      <c r="CW793" s="249"/>
      <c r="CX793" s="216"/>
      <c r="CY793" s="305"/>
      <c r="CZ793" s="249"/>
      <c r="DA793" s="216"/>
      <c r="DB793" s="307"/>
      <c r="DC793" s="328"/>
      <c r="DD793" s="322"/>
      <c r="DE793" s="305"/>
      <c r="DF793" s="249"/>
      <c r="DG793" s="216"/>
      <c r="DH793" s="305"/>
      <c r="DI793" s="249"/>
      <c r="DJ793" s="216"/>
      <c r="DK793" s="309"/>
      <c r="DL793" s="293"/>
      <c r="DM793" s="326"/>
      <c r="DN793" s="1256"/>
      <c r="DO793" s="214"/>
      <c r="DP793" s="1257"/>
      <c r="DQ793" s="1258"/>
      <c r="DR793" s="305"/>
      <c r="DS793" s="249"/>
      <c r="DT793" s="216"/>
      <c r="DU793" s="305"/>
      <c r="DV793" s="2520"/>
      <c r="DW793" s="2521"/>
      <c r="DX793" s="305"/>
      <c r="DY793" s="249"/>
      <c r="DZ793" s="221"/>
      <c r="EA793" s="388"/>
      <c r="EB793" s="249"/>
      <c r="EC793" s="216"/>
      <c r="ED793" s="1461"/>
      <c r="EE793" s="249"/>
      <c r="EF793" s="216"/>
      <c r="EG793" s="355"/>
      <c r="EH793" s="1425"/>
      <c r="EI793" s="1470"/>
      <c r="EJ793" s="249"/>
      <c r="EK793" s="221"/>
      <c r="EL793" s="313"/>
      <c r="EM793" s="249"/>
      <c r="EN793" s="221"/>
      <c r="EO793" s="313"/>
      <c r="EP793" s="249"/>
      <c r="EQ793" s="216"/>
      <c r="ER793" s="313"/>
      <c r="ES793" s="249"/>
      <c r="ET793" s="216"/>
      <c r="EU793" s="313"/>
      <c r="EV793" s="249"/>
      <c r="EW793" s="216"/>
      <c r="EX793" s="2505"/>
      <c r="EY793" s="249"/>
      <c r="EZ793" s="221"/>
      <c r="FA793" s="313"/>
      <c r="FB793" s="249"/>
      <c r="FC793" s="221"/>
      <c r="FD793" s="313"/>
      <c r="FE793" s="249"/>
      <c r="FF793" s="221"/>
      <c r="FG793" s="313"/>
      <c r="FH793" s="249"/>
      <c r="FI793" s="216"/>
      <c r="FJ793" s="1435"/>
      <c r="FK793" s="216"/>
      <c r="FL793" s="1268"/>
      <c r="FM793" s="1655"/>
      <c r="FN793" s="1268"/>
      <c r="FO793" s="1655"/>
      <c r="FP793" s="1268"/>
      <c r="FQ793" s="1656"/>
      <c r="FR793" s="249"/>
      <c r="FS793" s="216"/>
      <c r="FT793" s="1657"/>
      <c r="FU793" s="1658"/>
      <c r="FV793" s="242"/>
      <c r="FW793" s="343"/>
      <c r="FX793" s="222"/>
      <c r="FY793" s="336"/>
      <c r="FZ793" s="223"/>
      <c r="GA793" s="338"/>
      <c r="GB793" s="204"/>
      <c r="GC793" s="339"/>
      <c r="GD793" s="342"/>
      <c r="GE793" s="199"/>
      <c r="GF793" s="199"/>
      <c r="GG793" s="199"/>
      <c r="GH793" s="199"/>
      <c r="GI793" s="199"/>
      <c r="GJ793" s="199"/>
      <c r="GK793" s="199"/>
      <c r="GO793" s="322"/>
      <c r="GP793" s="1190"/>
      <c r="GQ793" s="1190"/>
      <c r="GS793" s="2879"/>
      <c r="GT793" s="2880"/>
      <c r="GU793" s="2881"/>
    </row>
    <row r="794" spans="1:203" ht="12" customHeight="1">
      <c r="A794" s="1252"/>
      <c r="B794" s="200"/>
      <c r="C794" s="486"/>
      <c r="T794" s="1186"/>
      <c r="U794" s="233"/>
      <c r="W794" s="218"/>
      <c r="X794" s="218"/>
      <c r="Y794" s="216"/>
      <c r="Z794" s="216"/>
      <c r="AA794" s="215"/>
      <c r="AB794" s="216"/>
      <c r="AC794" s="216"/>
      <c r="AD794" s="239"/>
      <c r="AE794" s="216"/>
      <c r="AF794" s="216"/>
      <c r="AG794" s="216"/>
      <c r="AH794" s="216"/>
      <c r="AI794" s="216"/>
      <c r="AJ794" s="216"/>
      <c r="AK794" s="239"/>
      <c r="AL794" s="216"/>
      <c r="AM794" s="216"/>
      <c r="AN794" s="216"/>
      <c r="AO794" s="216"/>
      <c r="AP794" s="216"/>
      <c r="AQ794" s="216"/>
      <c r="AR794" s="216"/>
      <c r="AS794" s="216"/>
      <c r="AT794" s="216"/>
      <c r="AU794" s="216"/>
      <c r="AV794" s="217"/>
      <c r="AW794" s="355"/>
      <c r="AX794" s="217"/>
      <c r="AY794" s="305"/>
      <c r="AZ794" s="249"/>
      <c r="BA794" s="221"/>
      <c r="BB794" s="300"/>
      <c r="BC794" s="217"/>
      <c r="BD794" s="392"/>
      <c r="BE794" s="1244"/>
      <c r="BF794" s="249"/>
      <c r="BG794" s="252"/>
      <c r="BH794" s="1469"/>
      <c r="BI794" s="216"/>
      <c r="BJ794" s="1469"/>
      <c r="BK794" s="1459"/>
      <c r="BL794" s="260"/>
      <c r="BM794" s="214"/>
      <c r="BN794" s="293"/>
      <c r="BO794" s="217"/>
      <c r="BP794" s="355"/>
      <c r="BQ794" s="217"/>
      <c r="BR794" s="1193"/>
      <c r="BS794" s="249"/>
      <c r="BT794" s="216"/>
      <c r="BU794" s="1195"/>
      <c r="BV794" s="249"/>
      <c r="BW794" s="216"/>
      <c r="BX794" s="1195"/>
      <c r="BY794" s="249"/>
      <c r="BZ794" s="216"/>
      <c r="CA794" s="1195"/>
      <c r="CB794" s="249"/>
      <c r="CC794" s="216"/>
      <c r="CD794" s="1195"/>
      <c r="CE794" s="249"/>
      <c r="CF794" s="216"/>
      <c r="CG794" s="1195"/>
      <c r="CH794" s="249"/>
      <c r="CI794" s="216"/>
      <c r="CJ794" s="1195"/>
      <c r="CK794" s="249"/>
      <c r="CL794" s="216"/>
      <c r="CM794" s="1194"/>
      <c r="CN794" s="1524"/>
      <c r="CO794" s="217"/>
      <c r="CP794" s="1193"/>
      <c r="CQ794" s="293"/>
      <c r="CR794" s="217"/>
      <c r="CS794" s="305"/>
      <c r="CT794" s="249"/>
      <c r="CU794" s="216"/>
      <c r="CV794" s="1193"/>
      <c r="CW794" s="249"/>
      <c r="CX794" s="216"/>
      <c r="CY794" s="305"/>
      <c r="CZ794" s="249"/>
      <c r="DA794" s="216"/>
      <c r="DB794" s="307"/>
      <c r="DC794" s="328"/>
      <c r="DD794" s="322"/>
      <c r="DE794" s="305"/>
      <c r="DF794" s="249"/>
      <c r="DG794" s="216"/>
      <c r="DH794" s="305"/>
      <c r="DI794" s="249"/>
      <c r="DJ794" s="216"/>
      <c r="DK794" s="309"/>
      <c r="DL794" s="293"/>
      <c r="DM794" s="326"/>
      <c r="DN794" s="1256"/>
      <c r="DO794" s="214"/>
      <c r="DP794" s="1257"/>
      <c r="DQ794" s="1258"/>
      <c r="DR794" s="305"/>
      <c r="DS794" s="249"/>
      <c r="DT794" s="216"/>
      <c r="DU794" s="305"/>
      <c r="DV794" s="2520"/>
      <c r="DW794" s="2521"/>
      <c r="DX794" s="305"/>
      <c r="DY794" s="249"/>
      <c r="DZ794" s="221"/>
      <c r="EA794" s="388"/>
      <c r="EB794" s="249"/>
      <c r="EC794" s="216"/>
      <c r="ED794" s="1461"/>
      <c r="EE794" s="249"/>
      <c r="EF794" s="216"/>
      <c r="EG794" s="355"/>
      <c r="EH794" s="1425"/>
      <c r="EI794" s="1470"/>
      <c r="EJ794" s="249"/>
      <c r="EK794" s="221"/>
      <c r="EL794" s="313"/>
      <c r="EM794" s="249"/>
      <c r="EN794" s="221"/>
      <c r="EO794" s="313"/>
      <c r="EP794" s="249"/>
      <c r="EQ794" s="216"/>
      <c r="ER794" s="313"/>
      <c r="ES794" s="249"/>
      <c r="ET794" s="216"/>
      <c r="EU794" s="313"/>
      <c r="EV794" s="249"/>
      <c r="EW794" s="216"/>
      <c r="EX794" s="2505"/>
      <c r="EY794" s="249"/>
      <c r="EZ794" s="221"/>
      <c r="FA794" s="313"/>
      <c r="FB794" s="249"/>
      <c r="FC794" s="221"/>
      <c r="FD794" s="313"/>
      <c r="FE794" s="249"/>
      <c r="FF794" s="221"/>
      <c r="FG794" s="313"/>
      <c r="FH794" s="249"/>
      <c r="FI794" s="216"/>
      <c r="FJ794" s="1435"/>
      <c r="FK794" s="216"/>
      <c r="FL794" s="1268"/>
      <c r="FM794" s="1655"/>
      <c r="FN794" s="1268"/>
      <c r="FO794" s="1655"/>
      <c r="FP794" s="1268"/>
      <c r="FQ794" s="1656"/>
      <c r="FR794" s="249"/>
      <c r="FS794" s="216"/>
      <c r="FT794" s="1657"/>
      <c r="FU794" s="1658"/>
      <c r="FV794" s="242"/>
      <c r="FW794" s="343"/>
      <c r="FX794" s="222"/>
      <c r="FY794" s="336"/>
      <c r="FZ794" s="223"/>
      <c r="GA794" s="338"/>
      <c r="GB794" s="204"/>
      <c r="GC794" s="339"/>
      <c r="GD794" s="342"/>
      <c r="GE794" s="199"/>
      <c r="GF794" s="199"/>
      <c r="GG794" s="199"/>
      <c r="GH794" s="199"/>
      <c r="GI794" s="199"/>
      <c r="GJ794" s="199"/>
      <c r="GK794" s="199"/>
      <c r="GO794" s="322"/>
      <c r="GP794" s="1190"/>
      <c r="GQ794" s="1190"/>
      <c r="GS794" s="2879"/>
      <c r="GT794" s="2880"/>
      <c r="GU794" s="2881"/>
    </row>
    <row r="795" spans="1:203" ht="12" customHeight="1">
      <c r="A795" s="1252"/>
      <c r="B795" s="200"/>
      <c r="C795" s="486"/>
      <c r="T795" s="1186"/>
      <c r="U795" s="233"/>
      <c r="W795" s="218"/>
      <c r="X795" s="218"/>
      <c r="Y795" s="216"/>
      <c r="Z795" s="216"/>
      <c r="AA795" s="215"/>
      <c r="AB795" s="216"/>
      <c r="AC795" s="216"/>
      <c r="AD795" s="239"/>
      <c r="AE795" s="216"/>
      <c r="AF795" s="216"/>
      <c r="AG795" s="216"/>
      <c r="AH795" s="216"/>
      <c r="AI795" s="216"/>
      <c r="AJ795" s="216"/>
      <c r="AK795" s="239"/>
      <c r="AL795" s="216"/>
      <c r="AM795" s="216"/>
      <c r="AN795" s="216"/>
      <c r="AO795" s="216"/>
      <c r="AP795" s="216"/>
      <c r="AQ795" s="216"/>
      <c r="AR795" s="216"/>
      <c r="AS795" s="216"/>
      <c r="AT795" s="216"/>
      <c r="AU795" s="216"/>
      <c r="AV795" s="217"/>
      <c r="AW795" s="355"/>
      <c r="AX795" s="217"/>
      <c r="AY795" s="305"/>
      <c r="AZ795" s="249"/>
      <c r="BA795" s="221"/>
      <c r="BB795" s="300"/>
      <c r="BC795" s="217"/>
      <c r="BD795" s="392"/>
      <c r="BE795" s="1244"/>
      <c r="BF795" s="249"/>
      <c r="BG795" s="252"/>
      <c r="BH795" s="1469"/>
      <c r="BI795" s="216"/>
      <c r="BJ795" s="1469"/>
      <c r="BK795" s="1459"/>
      <c r="BL795" s="260"/>
      <c r="BM795" s="214"/>
      <c r="BN795" s="293"/>
      <c r="BO795" s="217"/>
      <c r="BP795" s="355"/>
      <c r="BQ795" s="217"/>
      <c r="BR795" s="1193"/>
      <c r="BS795" s="249"/>
      <c r="BT795" s="216"/>
      <c r="BU795" s="1195"/>
      <c r="BV795" s="249"/>
      <c r="BW795" s="216"/>
      <c r="BX795" s="1195"/>
      <c r="BY795" s="249"/>
      <c r="BZ795" s="216"/>
      <c r="CA795" s="1195"/>
      <c r="CB795" s="249"/>
      <c r="CC795" s="216"/>
      <c r="CD795" s="1195"/>
      <c r="CE795" s="249"/>
      <c r="CF795" s="216"/>
      <c r="CG795" s="1195"/>
      <c r="CH795" s="249"/>
      <c r="CI795" s="216"/>
      <c r="CJ795" s="1195"/>
      <c r="CK795" s="249"/>
      <c r="CL795" s="216"/>
      <c r="CM795" s="1194"/>
      <c r="CN795" s="1524"/>
      <c r="CO795" s="217"/>
      <c r="CP795" s="1193"/>
      <c r="CQ795" s="293"/>
      <c r="CR795" s="217"/>
      <c r="CS795" s="305"/>
      <c r="CT795" s="249"/>
      <c r="CU795" s="216"/>
      <c r="CV795" s="1193"/>
      <c r="CW795" s="249"/>
      <c r="CX795" s="216"/>
      <c r="CY795" s="305"/>
      <c r="CZ795" s="249"/>
      <c r="DA795" s="216"/>
      <c r="DB795" s="307"/>
      <c r="DC795" s="328"/>
      <c r="DD795" s="322"/>
      <c r="DE795" s="305"/>
      <c r="DF795" s="249"/>
      <c r="DG795" s="216"/>
      <c r="DH795" s="305"/>
      <c r="DI795" s="249"/>
      <c r="DJ795" s="216"/>
      <c r="DK795" s="309"/>
      <c r="DL795" s="293"/>
      <c r="DM795" s="326"/>
      <c r="DN795" s="1256"/>
      <c r="DO795" s="214"/>
      <c r="DP795" s="1257"/>
      <c r="DQ795" s="1258"/>
      <c r="DR795" s="305"/>
      <c r="DS795" s="249"/>
      <c r="DT795" s="216"/>
      <c r="DU795" s="305"/>
      <c r="DV795" s="2520"/>
      <c r="DW795" s="2521"/>
      <c r="DX795" s="305"/>
      <c r="DY795" s="249"/>
      <c r="DZ795" s="221"/>
      <c r="EA795" s="388"/>
      <c r="EB795" s="249"/>
      <c r="EC795" s="216"/>
      <c r="ED795" s="1461"/>
      <c r="EE795" s="249"/>
      <c r="EF795" s="216"/>
      <c r="EG795" s="355"/>
      <c r="EH795" s="1425"/>
      <c r="EI795" s="1470"/>
      <c r="EJ795" s="249"/>
      <c r="EK795" s="221"/>
      <c r="EL795" s="313"/>
      <c r="EM795" s="249"/>
      <c r="EN795" s="221"/>
      <c r="EO795" s="313"/>
      <c r="EP795" s="249"/>
      <c r="EQ795" s="216"/>
      <c r="ER795" s="313"/>
      <c r="ES795" s="249"/>
      <c r="ET795" s="216"/>
      <c r="EU795" s="313"/>
      <c r="EV795" s="249"/>
      <c r="EW795" s="216"/>
      <c r="EX795" s="2505"/>
      <c r="EY795" s="249"/>
      <c r="EZ795" s="221"/>
      <c r="FA795" s="313"/>
      <c r="FB795" s="249"/>
      <c r="FC795" s="221"/>
      <c r="FD795" s="313"/>
      <c r="FE795" s="249"/>
      <c r="FF795" s="221"/>
      <c r="FG795" s="313"/>
      <c r="FH795" s="249"/>
      <c r="FI795" s="216"/>
      <c r="FJ795" s="1435"/>
      <c r="FK795" s="216"/>
      <c r="FL795" s="1268"/>
      <c r="FM795" s="1655"/>
      <c r="FN795" s="1268"/>
      <c r="FO795" s="1655"/>
      <c r="FP795" s="1268"/>
      <c r="FQ795" s="1656"/>
      <c r="FR795" s="249"/>
      <c r="FS795" s="216"/>
      <c r="FT795" s="1657"/>
      <c r="FU795" s="1658"/>
      <c r="FV795" s="242"/>
      <c r="FW795" s="343"/>
      <c r="FX795" s="222"/>
      <c r="FY795" s="336"/>
      <c r="FZ795" s="223"/>
      <c r="GA795" s="338"/>
      <c r="GB795" s="204"/>
      <c r="GC795" s="339"/>
      <c r="GD795" s="342"/>
      <c r="GE795" s="199"/>
      <c r="GF795" s="199"/>
      <c r="GG795" s="199"/>
      <c r="GH795" s="199"/>
      <c r="GI795" s="199"/>
      <c r="GJ795" s="199"/>
      <c r="GK795" s="199"/>
      <c r="GO795" s="322"/>
      <c r="GP795" s="1190"/>
      <c r="GQ795" s="1190"/>
      <c r="GS795" s="2879"/>
      <c r="GT795" s="2880"/>
      <c r="GU795" s="2881"/>
    </row>
    <row r="796" spans="1:203" ht="12" customHeight="1">
      <c r="A796" s="1252"/>
      <c r="B796" s="200"/>
      <c r="C796" s="486"/>
      <c r="T796" s="1186"/>
      <c r="U796" s="233"/>
      <c r="W796" s="218"/>
      <c r="X796" s="218"/>
      <c r="Y796" s="216"/>
      <c r="Z796" s="216"/>
      <c r="AA796" s="215"/>
      <c r="AB796" s="216"/>
      <c r="AC796" s="216"/>
      <c r="AD796" s="239"/>
      <c r="AE796" s="216"/>
      <c r="AF796" s="216"/>
      <c r="AG796" s="216"/>
      <c r="AH796" s="216"/>
      <c r="AI796" s="216"/>
      <c r="AJ796" s="216"/>
      <c r="AK796" s="239"/>
      <c r="AL796" s="216"/>
      <c r="AM796" s="216"/>
      <c r="AN796" s="216"/>
      <c r="AO796" s="216"/>
      <c r="AP796" s="216"/>
      <c r="AQ796" s="216"/>
      <c r="AR796" s="216"/>
      <c r="AS796" s="216"/>
      <c r="AT796" s="216"/>
      <c r="AU796" s="216"/>
      <c r="AV796" s="217"/>
      <c r="AW796" s="355"/>
      <c r="AX796" s="217"/>
      <c r="AY796" s="305"/>
      <c r="AZ796" s="249"/>
      <c r="BA796" s="221"/>
      <c r="BB796" s="300"/>
      <c r="BC796" s="217"/>
      <c r="BD796" s="392"/>
      <c r="BE796" s="1244"/>
      <c r="BF796" s="249"/>
      <c r="BG796" s="252"/>
      <c r="BH796" s="1469"/>
      <c r="BI796" s="216"/>
      <c r="BJ796" s="1469"/>
      <c r="BK796" s="1459"/>
      <c r="BL796" s="260"/>
      <c r="BM796" s="214"/>
      <c r="BN796" s="293"/>
      <c r="BO796" s="217"/>
      <c r="BP796" s="355"/>
      <c r="BQ796" s="217"/>
      <c r="BR796" s="1193"/>
      <c r="BS796" s="249"/>
      <c r="BT796" s="216"/>
      <c r="BU796" s="1195"/>
      <c r="BV796" s="249"/>
      <c r="BW796" s="216"/>
      <c r="BX796" s="1195"/>
      <c r="BY796" s="249"/>
      <c r="BZ796" s="216"/>
      <c r="CA796" s="1195"/>
      <c r="CB796" s="249"/>
      <c r="CC796" s="216"/>
      <c r="CD796" s="1195"/>
      <c r="CE796" s="249"/>
      <c r="CF796" s="216"/>
      <c r="CG796" s="1195"/>
      <c r="CH796" s="249"/>
      <c r="CI796" s="216"/>
      <c r="CJ796" s="1195"/>
      <c r="CK796" s="249"/>
      <c r="CL796" s="216"/>
      <c r="CM796" s="1194"/>
      <c r="CN796" s="1524"/>
      <c r="CO796" s="217"/>
      <c r="CP796" s="1193"/>
      <c r="CQ796" s="293"/>
      <c r="CR796" s="217"/>
      <c r="CS796" s="305"/>
      <c r="CT796" s="249"/>
      <c r="CU796" s="216"/>
      <c r="CV796" s="1193"/>
      <c r="CW796" s="249"/>
      <c r="CX796" s="216"/>
      <c r="CY796" s="305"/>
      <c r="CZ796" s="249"/>
      <c r="DA796" s="216"/>
      <c r="DB796" s="307"/>
      <c r="DC796" s="328"/>
      <c r="DD796" s="322"/>
      <c r="DE796" s="305"/>
      <c r="DF796" s="249"/>
      <c r="DG796" s="216"/>
      <c r="DH796" s="305"/>
      <c r="DI796" s="249"/>
      <c r="DJ796" s="216"/>
      <c r="DK796" s="309"/>
      <c r="DL796" s="293"/>
      <c r="DM796" s="326"/>
      <c r="DN796" s="1256"/>
      <c r="DO796" s="214"/>
      <c r="DP796" s="1257"/>
      <c r="DQ796" s="1258"/>
      <c r="DR796" s="305"/>
      <c r="DS796" s="249"/>
      <c r="DT796" s="216"/>
      <c r="DU796" s="305"/>
      <c r="DV796" s="2520"/>
      <c r="DW796" s="2521"/>
      <c r="DX796" s="305"/>
      <c r="DY796" s="249"/>
      <c r="DZ796" s="221"/>
      <c r="EA796" s="388"/>
      <c r="EB796" s="249"/>
      <c r="EC796" s="216"/>
      <c r="ED796" s="1461"/>
      <c r="EE796" s="249"/>
      <c r="EF796" s="216"/>
      <c r="EG796" s="355"/>
      <c r="EH796" s="1425"/>
      <c r="EI796" s="1470"/>
      <c r="EJ796" s="249"/>
      <c r="EK796" s="221"/>
      <c r="EL796" s="313"/>
      <c r="EM796" s="249"/>
      <c r="EN796" s="221"/>
      <c r="EO796" s="313"/>
      <c r="EP796" s="249"/>
      <c r="EQ796" s="216"/>
      <c r="ER796" s="313"/>
      <c r="ES796" s="249"/>
      <c r="ET796" s="216"/>
      <c r="EU796" s="313"/>
      <c r="EV796" s="249"/>
      <c r="EW796" s="216"/>
      <c r="EX796" s="2505"/>
      <c r="EY796" s="249"/>
      <c r="EZ796" s="221"/>
      <c r="FA796" s="313"/>
      <c r="FB796" s="249"/>
      <c r="FC796" s="221"/>
      <c r="FD796" s="313"/>
      <c r="FE796" s="249"/>
      <c r="FF796" s="221"/>
      <c r="FG796" s="313"/>
      <c r="FH796" s="249"/>
      <c r="FI796" s="216"/>
      <c r="FJ796" s="1435"/>
      <c r="FK796" s="216"/>
      <c r="FL796" s="1268"/>
      <c r="FM796" s="1655"/>
      <c r="FN796" s="1268"/>
      <c r="FO796" s="1655"/>
      <c r="FP796" s="1268"/>
      <c r="FQ796" s="1656"/>
      <c r="FR796" s="249"/>
      <c r="FS796" s="216"/>
      <c r="FT796" s="1657"/>
      <c r="FU796" s="1658"/>
      <c r="FV796" s="242"/>
      <c r="FW796" s="343"/>
      <c r="FX796" s="222"/>
      <c r="FY796" s="336"/>
      <c r="FZ796" s="223"/>
      <c r="GA796" s="338"/>
      <c r="GB796" s="204"/>
      <c r="GC796" s="339"/>
      <c r="GD796" s="342"/>
      <c r="GE796" s="199"/>
      <c r="GF796" s="199"/>
      <c r="GG796" s="199"/>
      <c r="GH796" s="199"/>
      <c r="GI796" s="199"/>
      <c r="GJ796" s="199"/>
      <c r="GK796" s="199"/>
      <c r="GO796" s="322"/>
      <c r="GP796" s="1190"/>
      <c r="GQ796" s="1190"/>
      <c r="GS796" s="2879"/>
      <c r="GT796" s="2880"/>
      <c r="GU796" s="2881"/>
    </row>
    <row r="797" spans="1:203" ht="12" customHeight="1">
      <c r="A797" s="1252"/>
      <c r="B797" s="200"/>
      <c r="C797" s="486"/>
      <c r="T797" s="1186"/>
      <c r="U797" s="233"/>
      <c r="W797" s="218"/>
      <c r="X797" s="218"/>
      <c r="Y797" s="216"/>
      <c r="Z797" s="216"/>
      <c r="AA797" s="215"/>
      <c r="AB797" s="216"/>
      <c r="AC797" s="216"/>
      <c r="AD797" s="239"/>
      <c r="AE797" s="216"/>
      <c r="AF797" s="216"/>
      <c r="AG797" s="216"/>
      <c r="AH797" s="216"/>
      <c r="AI797" s="216"/>
      <c r="AJ797" s="216"/>
      <c r="AK797" s="239"/>
      <c r="AL797" s="216"/>
      <c r="AM797" s="216"/>
      <c r="AN797" s="216"/>
      <c r="AO797" s="216"/>
      <c r="AP797" s="216"/>
      <c r="AQ797" s="216"/>
      <c r="AR797" s="216"/>
      <c r="AS797" s="216"/>
      <c r="AT797" s="216"/>
      <c r="AU797" s="216"/>
      <c r="AV797" s="217"/>
      <c r="AW797" s="355"/>
      <c r="AX797" s="217"/>
      <c r="AY797" s="305"/>
      <c r="AZ797" s="249"/>
      <c r="BA797" s="221"/>
      <c r="BB797" s="300"/>
      <c r="BC797" s="217"/>
      <c r="BD797" s="392"/>
      <c r="BE797" s="1244"/>
      <c r="BF797" s="249"/>
      <c r="BG797" s="252"/>
      <c r="BH797" s="1469"/>
      <c r="BI797" s="216"/>
      <c r="BJ797" s="1469"/>
      <c r="BK797" s="1459"/>
      <c r="BL797" s="260"/>
      <c r="BM797" s="214"/>
      <c r="BN797" s="293"/>
      <c r="BO797" s="217"/>
      <c r="BP797" s="355"/>
      <c r="BQ797" s="217"/>
      <c r="BR797" s="1193"/>
      <c r="BS797" s="249"/>
      <c r="BT797" s="216"/>
      <c r="BU797" s="1195"/>
      <c r="BV797" s="249"/>
      <c r="BW797" s="216"/>
      <c r="BX797" s="1195"/>
      <c r="BY797" s="249"/>
      <c r="BZ797" s="216"/>
      <c r="CA797" s="1195"/>
      <c r="CB797" s="249"/>
      <c r="CC797" s="216"/>
      <c r="CD797" s="1195"/>
      <c r="CE797" s="249"/>
      <c r="CF797" s="216"/>
      <c r="CG797" s="1195"/>
      <c r="CH797" s="249"/>
      <c r="CI797" s="216"/>
      <c r="CJ797" s="1195"/>
      <c r="CK797" s="249"/>
      <c r="CL797" s="216"/>
      <c r="CM797" s="1194"/>
      <c r="CN797" s="1524"/>
      <c r="CO797" s="217"/>
      <c r="CP797" s="1193"/>
      <c r="CQ797" s="293"/>
      <c r="CR797" s="217"/>
      <c r="CS797" s="305"/>
      <c r="CT797" s="249"/>
      <c r="CU797" s="216"/>
      <c r="CV797" s="1193"/>
      <c r="CW797" s="249"/>
      <c r="CX797" s="216"/>
      <c r="CY797" s="305"/>
      <c r="CZ797" s="249"/>
      <c r="DA797" s="216"/>
      <c r="DB797" s="307"/>
      <c r="DC797" s="328"/>
      <c r="DD797" s="322"/>
      <c r="DE797" s="305"/>
      <c r="DF797" s="249"/>
      <c r="DG797" s="216"/>
      <c r="DH797" s="305"/>
      <c r="DI797" s="249"/>
      <c r="DJ797" s="216"/>
      <c r="DK797" s="309"/>
      <c r="DL797" s="293"/>
      <c r="DM797" s="326"/>
      <c r="DN797" s="1256"/>
      <c r="DO797" s="214"/>
      <c r="DP797" s="1257"/>
      <c r="DQ797" s="1258"/>
      <c r="DR797" s="305"/>
      <c r="DS797" s="249"/>
      <c r="DT797" s="216"/>
      <c r="DU797" s="305"/>
      <c r="DV797" s="2520"/>
      <c r="DW797" s="2521"/>
      <c r="DX797" s="305"/>
      <c r="DY797" s="249"/>
      <c r="DZ797" s="221"/>
      <c r="EA797" s="388"/>
      <c r="EB797" s="249"/>
      <c r="EC797" s="216"/>
      <c r="ED797" s="1461"/>
      <c r="EE797" s="249"/>
      <c r="EF797" s="216"/>
      <c r="EG797" s="355"/>
      <c r="EH797" s="1425"/>
      <c r="EI797" s="1470"/>
      <c r="EJ797" s="249"/>
      <c r="EK797" s="221"/>
      <c r="EL797" s="313"/>
      <c r="EM797" s="249"/>
      <c r="EN797" s="221"/>
      <c r="EO797" s="313"/>
      <c r="EP797" s="249"/>
      <c r="EQ797" s="216"/>
      <c r="ER797" s="313"/>
      <c r="ES797" s="249"/>
      <c r="ET797" s="216"/>
      <c r="EU797" s="313"/>
      <c r="EV797" s="249"/>
      <c r="EW797" s="216"/>
      <c r="EX797" s="2505"/>
      <c r="EY797" s="249"/>
      <c r="EZ797" s="221"/>
      <c r="FA797" s="313"/>
      <c r="FB797" s="249"/>
      <c r="FC797" s="221"/>
      <c r="FD797" s="313"/>
      <c r="FE797" s="249"/>
      <c r="FF797" s="221"/>
      <c r="FG797" s="313"/>
      <c r="FH797" s="249"/>
      <c r="FI797" s="216"/>
      <c r="FJ797" s="1435"/>
      <c r="FK797" s="216"/>
      <c r="FL797" s="1268"/>
      <c r="FM797" s="1655"/>
      <c r="FN797" s="1268"/>
      <c r="FO797" s="1655"/>
      <c r="FP797" s="1268"/>
      <c r="FQ797" s="1656"/>
      <c r="FR797" s="249"/>
      <c r="FS797" s="216"/>
      <c r="FT797" s="1657"/>
      <c r="FU797" s="1658"/>
      <c r="FV797" s="242"/>
      <c r="FW797" s="343"/>
      <c r="FX797" s="222"/>
      <c r="FY797" s="336"/>
      <c r="FZ797" s="223"/>
      <c r="GA797" s="338"/>
      <c r="GB797" s="204"/>
      <c r="GC797" s="339"/>
      <c r="GD797" s="342"/>
      <c r="GE797" s="199"/>
      <c r="GF797" s="199"/>
      <c r="GG797" s="199"/>
      <c r="GH797" s="199"/>
      <c r="GI797" s="199"/>
      <c r="GJ797" s="199"/>
      <c r="GK797" s="199"/>
      <c r="GO797" s="322"/>
      <c r="GP797" s="1190"/>
      <c r="GQ797" s="1190"/>
      <c r="GS797" s="2879"/>
      <c r="GT797" s="2880"/>
      <c r="GU797" s="2881"/>
    </row>
    <row r="798" spans="1:203" ht="12" customHeight="1">
      <c r="A798" s="1252"/>
      <c r="B798" s="200"/>
      <c r="C798" s="486"/>
      <c r="T798" s="1186"/>
      <c r="U798" s="233"/>
      <c r="W798" s="218"/>
      <c r="X798" s="218"/>
      <c r="Y798" s="216"/>
      <c r="Z798" s="216"/>
      <c r="AA798" s="215"/>
      <c r="AB798" s="216"/>
      <c r="AC798" s="216"/>
      <c r="AD798" s="239"/>
      <c r="AE798" s="216"/>
      <c r="AF798" s="216"/>
      <c r="AG798" s="216"/>
      <c r="AH798" s="216"/>
      <c r="AI798" s="216"/>
      <c r="AJ798" s="216"/>
      <c r="AK798" s="239"/>
      <c r="AL798" s="216"/>
      <c r="AM798" s="216"/>
      <c r="AN798" s="216"/>
      <c r="AO798" s="216"/>
      <c r="AP798" s="216"/>
      <c r="AQ798" s="216"/>
      <c r="AR798" s="216"/>
      <c r="AS798" s="216"/>
      <c r="AT798" s="216"/>
      <c r="AU798" s="216"/>
      <c r="AV798" s="217"/>
      <c r="AW798" s="355"/>
      <c r="AX798" s="217"/>
      <c r="AY798" s="305"/>
      <c r="AZ798" s="249"/>
      <c r="BA798" s="221"/>
      <c r="BB798" s="300"/>
      <c r="BC798" s="217"/>
      <c r="BD798" s="392"/>
      <c r="BE798" s="1244"/>
      <c r="BF798" s="249"/>
      <c r="BG798" s="252"/>
      <c r="BH798" s="1469"/>
      <c r="BI798" s="216"/>
      <c r="BJ798" s="1469"/>
      <c r="BK798" s="1459"/>
      <c r="BL798" s="260"/>
      <c r="BM798" s="214"/>
      <c r="BN798" s="293"/>
      <c r="BO798" s="217"/>
      <c r="BP798" s="355"/>
      <c r="BQ798" s="217"/>
      <c r="BR798" s="1193"/>
      <c r="BS798" s="249"/>
      <c r="BT798" s="216"/>
      <c r="BU798" s="1195"/>
      <c r="BV798" s="249"/>
      <c r="BW798" s="216"/>
      <c r="BX798" s="1195"/>
      <c r="BY798" s="249"/>
      <c r="BZ798" s="216"/>
      <c r="CA798" s="1195"/>
      <c r="CB798" s="249"/>
      <c r="CC798" s="216"/>
      <c r="CD798" s="1195"/>
      <c r="CE798" s="249"/>
      <c r="CF798" s="216"/>
      <c r="CG798" s="1195"/>
      <c r="CH798" s="249"/>
      <c r="CI798" s="216"/>
      <c r="CJ798" s="1195"/>
      <c r="CK798" s="249"/>
      <c r="CL798" s="216"/>
      <c r="CM798" s="1194"/>
      <c r="CN798" s="1524"/>
      <c r="CO798" s="217"/>
      <c r="CP798" s="1193"/>
      <c r="CQ798" s="293"/>
      <c r="CR798" s="217"/>
      <c r="CS798" s="305"/>
      <c r="CT798" s="249"/>
      <c r="CU798" s="216"/>
      <c r="CV798" s="1193"/>
      <c r="CW798" s="249"/>
      <c r="CX798" s="216"/>
      <c r="CY798" s="305"/>
      <c r="CZ798" s="249"/>
      <c r="DA798" s="216"/>
      <c r="DB798" s="307"/>
      <c r="DC798" s="328"/>
      <c r="DD798" s="322"/>
      <c r="DE798" s="305"/>
      <c r="DF798" s="249"/>
      <c r="DG798" s="216"/>
      <c r="DH798" s="305"/>
      <c r="DI798" s="249"/>
      <c r="DJ798" s="216"/>
      <c r="DK798" s="309"/>
      <c r="DL798" s="293"/>
      <c r="DM798" s="326"/>
      <c r="DN798" s="1256"/>
      <c r="DO798" s="214"/>
      <c r="DP798" s="1257"/>
      <c r="DQ798" s="1258"/>
      <c r="DR798" s="305"/>
      <c r="DS798" s="249"/>
      <c r="DT798" s="216"/>
      <c r="DU798" s="305"/>
      <c r="DV798" s="2520"/>
      <c r="DW798" s="2521"/>
      <c r="DX798" s="305"/>
      <c r="DY798" s="249"/>
      <c r="DZ798" s="221"/>
      <c r="EA798" s="388"/>
      <c r="EB798" s="249"/>
      <c r="EC798" s="216"/>
      <c r="ED798" s="1461"/>
      <c r="EE798" s="249"/>
      <c r="EF798" s="216"/>
      <c r="EG798" s="355"/>
      <c r="EH798" s="1425"/>
      <c r="EI798" s="1470"/>
      <c r="EJ798" s="249"/>
      <c r="EK798" s="221"/>
      <c r="EL798" s="313"/>
      <c r="EM798" s="249"/>
      <c r="EN798" s="221"/>
      <c r="EO798" s="313"/>
      <c r="EP798" s="249"/>
      <c r="EQ798" s="216"/>
      <c r="ER798" s="313"/>
      <c r="ES798" s="249"/>
      <c r="ET798" s="216"/>
      <c r="EU798" s="313"/>
      <c r="EV798" s="249"/>
      <c r="EW798" s="216"/>
      <c r="EX798" s="2505"/>
      <c r="EY798" s="249"/>
      <c r="EZ798" s="221"/>
      <c r="FA798" s="313"/>
      <c r="FB798" s="249"/>
      <c r="FC798" s="221"/>
      <c r="FD798" s="313"/>
      <c r="FE798" s="249"/>
      <c r="FF798" s="221"/>
      <c r="FG798" s="313"/>
      <c r="FH798" s="249"/>
      <c r="FI798" s="216"/>
      <c r="FJ798" s="1435"/>
      <c r="FK798" s="216"/>
      <c r="FL798" s="1268"/>
      <c r="FM798" s="1655"/>
      <c r="FN798" s="1268"/>
      <c r="FO798" s="1655"/>
      <c r="FP798" s="1268"/>
      <c r="FQ798" s="1656"/>
      <c r="FR798" s="249"/>
      <c r="FS798" s="216"/>
      <c r="FT798" s="1657"/>
      <c r="FU798" s="1658"/>
      <c r="FV798" s="242"/>
      <c r="FW798" s="343"/>
      <c r="FX798" s="222"/>
      <c r="FY798" s="336"/>
      <c r="FZ798" s="223"/>
      <c r="GA798" s="338"/>
      <c r="GB798" s="204"/>
      <c r="GC798" s="339"/>
      <c r="GD798" s="342"/>
      <c r="GE798" s="199"/>
      <c r="GF798" s="199"/>
      <c r="GG798" s="199"/>
      <c r="GH798" s="199"/>
      <c r="GI798" s="199"/>
      <c r="GJ798" s="199"/>
      <c r="GK798" s="199"/>
      <c r="GO798" s="322"/>
      <c r="GP798" s="1190"/>
      <c r="GQ798" s="1190"/>
      <c r="GS798" s="2879"/>
      <c r="GT798" s="2880"/>
      <c r="GU798" s="2881"/>
    </row>
    <row r="799" spans="1:203" ht="12" customHeight="1">
      <c r="A799" s="1252"/>
      <c r="B799" s="200"/>
      <c r="C799" s="486"/>
      <c r="T799" s="1186"/>
      <c r="U799" s="233"/>
      <c r="W799" s="218"/>
      <c r="X799" s="218"/>
      <c r="Y799" s="216"/>
      <c r="Z799" s="216"/>
      <c r="AA799" s="215"/>
      <c r="AB799" s="216"/>
      <c r="AC799" s="216"/>
      <c r="AD799" s="239"/>
      <c r="AE799" s="216"/>
      <c r="AF799" s="216"/>
      <c r="AG799" s="216"/>
      <c r="AH799" s="216"/>
      <c r="AI799" s="216"/>
      <c r="AJ799" s="216"/>
      <c r="AK799" s="239"/>
      <c r="AL799" s="216"/>
      <c r="AM799" s="216"/>
      <c r="AN799" s="216"/>
      <c r="AO799" s="216"/>
      <c r="AP799" s="216"/>
      <c r="AQ799" s="216"/>
      <c r="AR799" s="216"/>
      <c r="AS799" s="216"/>
      <c r="AT799" s="216"/>
      <c r="AU799" s="216"/>
      <c r="AV799" s="217"/>
      <c r="AW799" s="355"/>
      <c r="AX799" s="217"/>
      <c r="AY799" s="305"/>
      <c r="AZ799" s="249"/>
      <c r="BA799" s="221"/>
      <c r="BB799" s="300"/>
      <c r="BC799" s="217"/>
      <c r="BD799" s="392"/>
      <c r="BE799" s="1244"/>
      <c r="BF799" s="249"/>
      <c r="BG799" s="252"/>
      <c r="BH799" s="1469"/>
      <c r="BI799" s="216"/>
      <c r="BJ799" s="1469"/>
      <c r="BK799" s="1459"/>
      <c r="BL799" s="260"/>
      <c r="BM799" s="214"/>
      <c r="BN799" s="293"/>
      <c r="BO799" s="217"/>
      <c r="BP799" s="355"/>
      <c r="BQ799" s="217"/>
      <c r="BR799" s="1193"/>
      <c r="BS799" s="249"/>
      <c r="BT799" s="216"/>
      <c r="BU799" s="1195"/>
      <c r="BV799" s="249"/>
      <c r="BW799" s="216"/>
      <c r="BX799" s="1195"/>
      <c r="BY799" s="249"/>
      <c r="BZ799" s="216"/>
      <c r="CA799" s="1195"/>
      <c r="CB799" s="249"/>
      <c r="CC799" s="216"/>
      <c r="CD799" s="1195"/>
      <c r="CE799" s="249"/>
      <c r="CF799" s="216"/>
      <c r="CG799" s="1195"/>
      <c r="CH799" s="249"/>
      <c r="CI799" s="216"/>
      <c r="CJ799" s="1195"/>
      <c r="CK799" s="249"/>
      <c r="CL799" s="216"/>
      <c r="CM799" s="1194"/>
      <c r="CN799" s="1524"/>
      <c r="CO799" s="217"/>
      <c r="CP799" s="1193"/>
      <c r="CQ799" s="293"/>
      <c r="CR799" s="217"/>
      <c r="CS799" s="305"/>
      <c r="CT799" s="249"/>
      <c r="CU799" s="216"/>
      <c r="CV799" s="1193"/>
      <c r="CW799" s="249"/>
      <c r="CX799" s="216"/>
      <c r="CY799" s="305"/>
      <c r="CZ799" s="249"/>
      <c r="DA799" s="216"/>
      <c r="DB799" s="307"/>
      <c r="DC799" s="328"/>
      <c r="DD799" s="322"/>
      <c r="DE799" s="305"/>
      <c r="DF799" s="249"/>
      <c r="DG799" s="216"/>
      <c r="DH799" s="305"/>
      <c r="DI799" s="249"/>
      <c r="DJ799" s="216"/>
      <c r="DK799" s="309"/>
      <c r="DL799" s="293"/>
      <c r="DM799" s="326"/>
      <c r="DN799" s="1256"/>
      <c r="DO799" s="214"/>
      <c r="DP799" s="1257"/>
      <c r="DQ799" s="1258"/>
      <c r="DR799" s="305"/>
      <c r="DS799" s="249"/>
      <c r="DT799" s="216"/>
      <c r="DU799" s="305"/>
      <c r="DV799" s="2520"/>
      <c r="DW799" s="2521"/>
      <c r="DX799" s="305"/>
      <c r="DY799" s="249"/>
      <c r="DZ799" s="221"/>
      <c r="EA799" s="388"/>
      <c r="EB799" s="249"/>
      <c r="EC799" s="216"/>
      <c r="ED799" s="1461"/>
      <c r="EE799" s="249"/>
      <c r="EF799" s="216"/>
      <c r="EG799" s="355"/>
      <c r="EH799" s="1425"/>
      <c r="EI799" s="1470"/>
      <c r="EJ799" s="249"/>
      <c r="EK799" s="221"/>
      <c r="EL799" s="313"/>
      <c r="EM799" s="249"/>
      <c r="EN799" s="221"/>
      <c r="EO799" s="313"/>
      <c r="EP799" s="249"/>
      <c r="EQ799" s="216"/>
      <c r="ER799" s="313"/>
      <c r="ES799" s="249"/>
      <c r="ET799" s="216"/>
      <c r="EU799" s="313"/>
      <c r="EV799" s="249"/>
      <c r="EW799" s="216"/>
      <c r="EX799" s="2505"/>
      <c r="EY799" s="249"/>
      <c r="EZ799" s="221"/>
      <c r="FA799" s="313"/>
      <c r="FB799" s="249"/>
      <c r="FC799" s="221"/>
      <c r="FD799" s="313"/>
      <c r="FE799" s="249"/>
      <c r="FF799" s="221"/>
      <c r="FG799" s="313"/>
      <c r="FH799" s="249"/>
      <c r="FI799" s="216"/>
      <c r="FJ799" s="1435"/>
      <c r="FK799" s="216"/>
      <c r="FL799" s="1268"/>
      <c r="FM799" s="1655"/>
      <c r="FN799" s="1268"/>
      <c r="FO799" s="1655"/>
      <c r="FP799" s="1268"/>
      <c r="FQ799" s="1656"/>
      <c r="FR799" s="249"/>
      <c r="FS799" s="216"/>
      <c r="FT799" s="1657"/>
      <c r="FU799" s="1658"/>
      <c r="FV799" s="242"/>
      <c r="FW799" s="343"/>
      <c r="FX799" s="222"/>
      <c r="FY799" s="336"/>
      <c r="FZ799" s="223"/>
      <c r="GA799" s="338"/>
      <c r="GB799" s="204"/>
      <c r="GC799" s="339"/>
      <c r="GD799" s="342"/>
      <c r="GE799" s="199"/>
      <c r="GF799" s="199"/>
      <c r="GG799" s="199"/>
      <c r="GH799" s="199"/>
      <c r="GI799" s="199"/>
      <c r="GJ799" s="199"/>
      <c r="GK799" s="199"/>
      <c r="GO799" s="322"/>
      <c r="GP799" s="1190"/>
      <c r="GQ799" s="1190"/>
      <c r="GS799" s="2879"/>
      <c r="GT799" s="2880"/>
      <c r="GU799" s="2881"/>
    </row>
    <row r="800" spans="1:203" ht="12" customHeight="1">
      <c r="A800" s="1252"/>
      <c r="B800" s="200"/>
      <c r="C800" s="486"/>
      <c r="T800" s="1186"/>
      <c r="U800" s="233"/>
      <c r="W800" s="218"/>
      <c r="X800" s="218"/>
      <c r="Y800" s="216"/>
      <c r="Z800" s="216"/>
      <c r="AA800" s="215"/>
      <c r="AB800" s="216"/>
      <c r="AC800" s="216"/>
      <c r="AD800" s="239"/>
      <c r="AE800" s="216"/>
      <c r="AF800" s="216"/>
      <c r="AG800" s="216"/>
      <c r="AH800" s="216"/>
      <c r="AI800" s="216"/>
      <c r="AJ800" s="216"/>
      <c r="AK800" s="239"/>
      <c r="AL800" s="216"/>
      <c r="AM800" s="216"/>
      <c r="AN800" s="216"/>
      <c r="AO800" s="216"/>
      <c r="AP800" s="216"/>
      <c r="AQ800" s="216"/>
      <c r="AR800" s="216"/>
      <c r="AS800" s="216"/>
      <c r="AT800" s="216"/>
      <c r="AU800" s="216"/>
      <c r="AV800" s="217"/>
      <c r="AW800" s="355"/>
      <c r="AX800" s="217"/>
      <c r="AY800" s="305"/>
      <c r="AZ800" s="249"/>
      <c r="BA800" s="221"/>
      <c r="BB800" s="300"/>
      <c r="BC800" s="217"/>
      <c r="BD800" s="392"/>
      <c r="BE800" s="1244"/>
      <c r="BF800" s="249"/>
      <c r="BG800" s="252"/>
      <c r="BH800" s="1469"/>
      <c r="BI800" s="216"/>
      <c r="BJ800" s="1469"/>
      <c r="BK800" s="1459"/>
      <c r="BL800" s="260"/>
      <c r="BM800" s="214"/>
      <c r="BN800" s="293"/>
      <c r="BO800" s="217"/>
      <c r="BP800" s="355"/>
      <c r="BQ800" s="217"/>
      <c r="BR800" s="1193"/>
      <c r="BS800" s="249"/>
      <c r="BT800" s="216"/>
      <c r="BU800" s="1195"/>
      <c r="BV800" s="249"/>
      <c r="BW800" s="216"/>
      <c r="BX800" s="1195"/>
      <c r="BY800" s="249"/>
      <c r="BZ800" s="216"/>
      <c r="CA800" s="1195"/>
      <c r="CB800" s="249"/>
      <c r="CC800" s="216"/>
      <c r="CD800" s="1195"/>
      <c r="CE800" s="249"/>
      <c r="CF800" s="216"/>
      <c r="CG800" s="1195"/>
      <c r="CH800" s="249"/>
      <c r="CI800" s="216"/>
      <c r="CJ800" s="1195"/>
      <c r="CK800" s="249"/>
      <c r="CL800" s="216"/>
      <c r="CM800" s="1194"/>
      <c r="CN800" s="1524"/>
      <c r="CO800" s="217"/>
      <c r="CP800" s="1193"/>
      <c r="CQ800" s="293"/>
      <c r="CR800" s="217"/>
      <c r="CS800" s="305"/>
      <c r="CT800" s="249"/>
      <c r="CU800" s="216"/>
      <c r="CV800" s="1193"/>
      <c r="CW800" s="249"/>
      <c r="CX800" s="216"/>
      <c r="CY800" s="305"/>
      <c r="CZ800" s="249"/>
      <c r="DA800" s="216"/>
      <c r="DB800" s="307"/>
      <c r="DC800" s="328"/>
      <c r="DD800" s="322"/>
      <c r="DE800" s="305"/>
      <c r="DF800" s="249"/>
      <c r="DG800" s="216"/>
      <c r="DH800" s="305"/>
      <c r="DI800" s="249"/>
      <c r="DJ800" s="216"/>
      <c r="DK800" s="309"/>
      <c r="DL800" s="293"/>
      <c r="DM800" s="326"/>
      <c r="DN800" s="1256"/>
      <c r="DO800" s="214"/>
      <c r="DP800" s="1257"/>
      <c r="DQ800" s="1258"/>
      <c r="DR800" s="305"/>
      <c r="DS800" s="249"/>
      <c r="DT800" s="216"/>
      <c r="DU800" s="305"/>
      <c r="DV800" s="2520"/>
      <c r="DW800" s="2521"/>
      <c r="DX800" s="305"/>
      <c r="DY800" s="249"/>
      <c r="DZ800" s="221"/>
      <c r="EA800" s="388"/>
      <c r="EB800" s="249"/>
      <c r="EC800" s="216"/>
      <c r="ED800" s="1461"/>
      <c r="EE800" s="249"/>
      <c r="EF800" s="216"/>
      <c r="EG800" s="355"/>
      <c r="EH800" s="1425"/>
      <c r="EI800" s="1470"/>
      <c r="EJ800" s="249"/>
      <c r="EK800" s="221"/>
      <c r="EL800" s="313"/>
      <c r="EM800" s="249"/>
      <c r="EN800" s="221"/>
      <c r="EO800" s="313"/>
      <c r="EP800" s="249"/>
      <c r="EQ800" s="216"/>
      <c r="ER800" s="313"/>
      <c r="ES800" s="249"/>
      <c r="ET800" s="216"/>
      <c r="EU800" s="313"/>
      <c r="EV800" s="249"/>
      <c r="EW800" s="216"/>
      <c r="EX800" s="2505"/>
      <c r="EY800" s="249"/>
      <c r="EZ800" s="221"/>
      <c r="FA800" s="313"/>
      <c r="FB800" s="249"/>
      <c r="FC800" s="221"/>
      <c r="FD800" s="313"/>
      <c r="FE800" s="249"/>
      <c r="FF800" s="221"/>
      <c r="FG800" s="313"/>
      <c r="FH800" s="249"/>
      <c r="FI800" s="216"/>
      <c r="FJ800" s="1435"/>
      <c r="FK800" s="216"/>
      <c r="FL800" s="1268"/>
      <c r="FM800" s="1655"/>
      <c r="FN800" s="1268"/>
      <c r="FO800" s="1655"/>
      <c r="FP800" s="1268"/>
      <c r="FQ800" s="1656"/>
      <c r="FR800" s="249"/>
      <c r="FS800" s="216"/>
      <c r="FT800" s="1657"/>
      <c r="FU800" s="1658"/>
      <c r="FV800" s="242"/>
      <c r="FW800" s="343"/>
      <c r="FX800" s="222"/>
      <c r="FY800" s="336"/>
      <c r="FZ800" s="223"/>
      <c r="GA800" s="338"/>
      <c r="GB800" s="204"/>
      <c r="GC800" s="339"/>
      <c r="GD800" s="342"/>
      <c r="GE800" s="199"/>
      <c r="GF800" s="199"/>
      <c r="GG800" s="199"/>
      <c r="GH800" s="199"/>
      <c r="GI800" s="199"/>
      <c r="GJ800" s="199"/>
      <c r="GK800" s="199"/>
      <c r="GO800" s="322"/>
      <c r="GP800" s="1190"/>
      <c r="GQ800" s="1190"/>
      <c r="GS800" s="2879"/>
      <c r="GT800" s="2880"/>
      <c r="GU800" s="2881"/>
    </row>
    <row r="801" spans="1:203" ht="12" customHeight="1">
      <c r="A801" s="1252"/>
      <c r="B801" s="200"/>
      <c r="C801" s="486"/>
      <c r="T801" s="1186"/>
      <c r="U801" s="233"/>
      <c r="W801" s="218"/>
      <c r="X801" s="218"/>
      <c r="Y801" s="216"/>
      <c r="Z801" s="216"/>
      <c r="AA801" s="215"/>
      <c r="AB801" s="216"/>
      <c r="AC801" s="216"/>
      <c r="AD801" s="239"/>
      <c r="AE801" s="216"/>
      <c r="AF801" s="216"/>
      <c r="AG801" s="216"/>
      <c r="AH801" s="216"/>
      <c r="AI801" s="216"/>
      <c r="AJ801" s="216"/>
      <c r="AK801" s="239"/>
      <c r="AL801" s="216"/>
      <c r="AM801" s="216"/>
      <c r="AN801" s="216"/>
      <c r="AO801" s="216"/>
      <c r="AP801" s="216"/>
      <c r="AQ801" s="216"/>
      <c r="AR801" s="216"/>
      <c r="AS801" s="216"/>
      <c r="AT801" s="216"/>
      <c r="AU801" s="216"/>
      <c r="AV801" s="217"/>
      <c r="AW801" s="355"/>
      <c r="AX801" s="217"/>
      <c r="AY801" s="305"/>
      <c r="AZ801" s="249"/>
      <c r="BA801" s="221"/>
      <c r="BB801" s="300"/>
      <c r="BC801" s="217"/>
      <c r="BD801" s="392"/>
      <c r="BE801" s="1244"/>
      <c r="BF801" s="249"/>
      <c r="BG801" s="252"/>
      <c r="BH801" s="1469"/>
      <c r="BI801" s="216"/>
      <c r="BJ801" s="1469"/>
      <c r="BK801" s="1459"/>
      <c r="BL801" s="260"/>
      <c r="BM801" s="214"/>
      <c r="BN801" s="293"/>
      <c r="BO801" s="217"/>
      <c r="BP801" s="355"/>
      <c r="BQ801" s="217"/>
      <c r="BR801" s="1193"/>
      <c r="BS801" s="249"/>
      <c r="BT801" s="216"/>
      <c r="BU801" s="1195"/>
      <c r="BV801" s="249"/>
      <c r="BW801" s="216"/>
      <c r="BX801" s="1195"/>
      <c r="BY801" s="249"/>
      <c r="BZ801" s="216"/>
      <c r="CA801" s="1195"/>
      <c r="CB801" s="249"/>
      <c r="CC801" s="216"/>
      <c r="CD801" s="1195"/>
      <c r="CE801" s="249"/>
      <c r="CF801" s="216"/>
      <c r="CG801" s="1195"/>
      <c r="CH801" s="249"/>
      <c r="CI801" s="216"/>
      <c r="CJ801" s="1195"/>
      <c r="CK801" s="249"/>
      <c r="CL801" s="216"/>
      <c r="CM801" s="1194"/>
      <c r="CN801" s="1524"/>
      <c r="CO801" s="217"/>
      <c r="CP801" s="1193"/>
      <c r="CQ801" s="293"/>
      <c r="CR801" s="217"/>
      <c r="CS801" s="305"/>
      <c r="CT801" s="249"/>
      <c r="CU801" s="216"/>
      <c r="CV801" s="1193"/>
      <c r="CW801" s="249"/>
      <c r="CX801" s="216"/>
      <c r="CY801" s="305"/>
      <c r="CZ801" s="249"/>
      <c r="DA801" s="216"/>
      <c r="DB801" s="307"/>
      <c r="DC801" s="328"/>
      <c r="DD801" s="322"/>
      <c r="DE801" s="305"/>
      <c r="DF801" s="249"/>
      <c r="DG801" s="216"/>
      <c r="DH801" s="305"/>
      <c r="DI801" s="249"/>
      <c r="DJ801" s="216"/>
      <c r="DK801" s="309"/>
      <c r="DL801" s="293"/>
      <c r="DM801" s="326"/>
      <c r="DN801" s="1256"/>
      <c r="DO801" s="214"/>
      <c r="DP801" s="1257"/>
      <c r="DQ801" s="1258"/>
      <c r="DR801" s="305"/>
      <c r="DS801" s="249"/>
      <c r="DT801" s="216"/>
      <c r="DU801" s="305"/>
      <c r="DV801" s="2520"/>
      <c r="DW801" s="2521"/>
      <c r="DX801" s="305"/>
      <c r="DY801" s="249"/>
      <c r="DZ801" s="221"/>
      <c r="EA801" s="388"/>
      <c r="EB801" s="249"/>
      <c r="EC801" s="216"/>
      <c r="ED801" s="1461"/>
      <c r="EE801" s="249"/>
      <c r="EF801" s="216"/>
      <c r="EG801" s="355"/>
      <c r="EH801" s="1425"/>
      <c r="EI801" s="1470"/>
      <c r="EJ801" s="249"/>
      <c r="EK801" s="221"/>
      <c r="EL801" s="313"/>
      <c r="EM801" s="249"/>
      <c r="EN801" s="221"/>
      <c r="EO801" s="313"/>
      <c r="EP801" s="249"/>
      <c r="EQ801" s="216"/>
      <c r="ER801" s="313"/>
      <c r="ES801" s="249"/>
      <c r="ET801" s="216"/>
      <c r="EU801" s="313"/>
      <c r="EV801" s="249"/>
      <c r="EW801" s="216"/>
      <c r="EX801" s="2505"/>
      <c r="EY801" s="249"/>
      <c r="EZ801" s="221"/>
      <c r="FA801" s="313"/>
      <c r="FB801" s="249"/>
      <c r="FC801" s="221"/>
      <c r="FD801" s="313"/>
      <c r="FE801" s="249"/>
      <c r="FF801" s="221"/>
      <c r="FG801" s="313"/>
      <c r="FH801" s="249"/>
      <c r="FI801" s="216"/>
      <c r="FJ801" s="1435"/>
      <c r="FK801" s="216"/>
      <c r="FL801" s="1268"/>
      <c r="FM801" s="1655"/>
      <c r="FN801" s="1268"/>
      <c r="FO801" s="1655"/>
      <c r="FP801" s="1268"/>
      <c r="FQ801" s="1656"/>
      <c r="FR801" s="249"/>
      <c r="FS801" s="216"/>
      <c r="FT801" s="1657"/>
      <c r="FU801" s="1658"/>
      <c r="FV801" s="242"/>
      <c r="FW801" s="343"/>
      <c r="FX801" s="222"/>
      <c r="FY801" s="336"/>
      <c r="FZ801" s="223"/>
      <c r="GA801" s="338"/>
      <c r="GB801" s="204"/>
      <c r="GC801" s="339"/>
      <c r="GD801" s="342"/>
      <c r="GE801" s="199"/>
      <c r="GF801" s="199"/>
      <c r="GG801" s="199"/>
      <c r="GH801" s="199"/>
      <c r="GI801" s="199"/>
      <c r="GJ801" s="199"/>
      <c r="GK801" s="199"/>
      <c r="GO801" s="322"/>
      <c r="GP801" s="1190"/>
      <c r="GQ801" s="1190"/>
      <c r="GS801" s="2879"/>
      <c r="GT801" s="2880"/>
      <c r="GU801" s="2881"/>
    </row>
    <row r="802" spans="1:203" ht="12" customHeight="1">
      <c r="A802" s="1252"/>
      <c r="B802" s="200"/>
      <c r="C802" s="486"/>
      <c r="T802" s="1186"/>
      <c r="U802" s="233"/>
      <c r="W802" s="218"/>
      <c r="X802" s="218"/>
      <c r="Y802" s="216"/>
      <c r="Z802" s="216"/>
      <c r="AA802" s="215"/>
      <c r="AB802" s="216"/>
      <c r="AC802" s="216"/>
      <c r="AD802" s="239"/>
      <c r="AE802" s="216"/>
      <c r="AF802" s="216"/>
      <c r="AG802" s="216"/>
      <c r="AH802" s="216"/>
      <c r="AI802" s="216"/>
      <c r="AJ802" s="216"/>
      <c r="AK802" s="239"/>
      <c r="AL802" s="216"/>
      <c r="AM802" s="216"/>
      <c r="AN802" s="216"/>
      <c r="AO802" s="216"/>
      <c r="AP802" s="216"/>
      <c r="AQ802" s="216"/>
      <c r="AR802" s="216"/>
      <c r="AS802" s="216"/>
      <c r="AT802" s="216"/>
      <c r="AU802" s="216"/>
      <c r="AV802" s="217"/>
      <c r="AW802" s="355"/>
      <c r="AX802" s="217"/>
      <c r="AY802" s="305"/>
      <c r="AZ802" s="249"/>
      <c r="BA802" s="221"/>
      <c r="BB802" s="300"/>
      <c r="BC802" s="217"/>
      <c r="BD802" s="392"/>
      <c r="BE802" s="1244"/>
      <c r="BF802" s="249"/>
      <c r="BG802" s="252"/>
      <c r="BH802" s="1469"/>
      <c r="BI802" s="216"/>
      <c r="BJ802" s="1469"/>
      <c r="BK802" s="1459"/>
      <c r="BL802" s="260"/>
      <c r="BM802" s="214"/>
      <c r="BN802" s="293"/>
      <c r="BO802" s="217"/>
      <c r="BP802" s="355"/>
      <c r="BQ802" s="217"/>
      <c r="BR802" s="1193"/>
      <c r="BS802" s="249"/>
      <c r="BT802" s="216"/>
      <c r="BU802" s="1195"/>
      <c r="BV802" s="249"/>
      <c r="BW802" s="216"/>
      <c r="BX802" s="1195"/>
      <c r="BY802" s="249"/>
      <c r="BZ802" s="216"/>
      <c r="CA802" s="1195"/>
      <c r="CB802" s="249"/>
      <c r="CC802" s="216"/>
      <c r="CD802" s="1195"/>
      <c r="CE802" s="249"/>
      <c r="CF802" s="216"/>
      <c r="CG802" s="1195"/>
      <c r="CH802" s="249"/>
      <c r="CI802" s="216"/>
      <c r="CJ802" s="1195"/>
      <c r="CK802" s="249"/>
      <c r="CL802" s="216"/>
      <c r="CM802" s="1194"/>
      <c r="CN802" s="1524"/>
      <c r="CO802" s="217"/>
      <c r="CP802" s="1193"/>
      <c r="CQ802" s="293"/>
      <c r="CR802" s="217"/>
      <c r="CS802" s="305"/>
      <c r="CT802" s="249"/>
      <c r="CU802" s="216"/>
      <c r="CV802" s="1193"/>
      <c r="CW802" s="249"/>
      <c r="CX802" s="216"/>
      <c r="CY802" s="305"/>
      <c r="CZ802" s="249"/>
      <c r="DA802" s="216"/>
      <c r="DB802" s="307"/>
      <c r="DC802" s="328"/>
      <c r="DD802" s="322"/>
      <c r="DE802" s="305"/>
      <c r="DF802" s="249"/>
      <c r="DG802" s="216"/>
      <c r="DH802" s="305"/>
      <c r="DI802" s="249"/>
      <c r="DJ802" s="216"/>
      <c r="DK802" s="309"/>
      <c r="DL802" s="293"/>
      <c r="DM802" s="326"/>
      <c r="DN802" s="1256"/>
      <c r="DO802" s="214"/>
      <c r="DP802" s="1257"/>
      <c r="DQ802" s="1258"/>
      <c r="DR802" s="305"/>
      <c r="DS802" s="249"/>
      <c r="DT802" s="216"/>
      <c r="DU802" s="305"/>
      <c r="DV802" s="2520"/>
      <c r="DW802" s="2521"/>
      <c r="DX802" s="305"/>
      <c r="DY802" s="249"/>
      <c r="DZ802" s="221"/>
      <c r="EA802" s="388"/>
      <c r="EB802" s="249"/>
      <c r="EC802" s="216"/>
      <c r="ED802" s="1461"/>
      <c r="EE802" s="249"/>
      <c r="EF802" s="216"/>
      <c r="EG802" s="355"/>
      <c r="EH802" s="1425"/>
      <c r="EI802" s="1470"/>
      <c r="EJ802" s="249"/>
      <c r="EK802" s="221"/>
      <c r="EL802" s="313"/>
      <c r="EM802" s="249"/>
      <c r="EN802" s="221"/>
      <c r="EO802" s="313"/>
      <c r="EP802" s="249"/>
      <c r="EQ802" s="216"/>
      <c r="ER802" s="313"/>
      <c r="ES802" s="249"/>
      <c r="ET802" s="216"/>
      <c r="EU802" s="313"/>
      <c r="EV802" s="249"/>
      <c r="EW802" s="216"/>
      <c r="EX802" s="2505"/>
      <c r="EY802" s="249"/>
      <c r="EZ802" s="221"/>
      <c r="FA802" s="313"/>
      <c r="FB802" s="249"/>
      <c r="FC802" s="221"/>
      <c r="FD802" s="313"/>
      <c r="FE802" s="249"/>
      <c r="FF802" s="221"/>
      <c r="FG802" s="313"/>
      <c r="FH802" s="249"/>
      <c r="FI802" s="216"/>
      <c r="FJ802" s="1435"/>
      <c r="FK802" s="216"/>
      <c r="FL802" s="1268"/>
      <c r="FM802" s="1655"/>
      <c r="FN802" s="1268"/>
      <c r="FO802" s="1655"/>
      <c r="FP802" s="1268"/>
      <c r="FQ802" s="1656"/>
      <c r="FR802" s="249"/>
      <c r="FS802" s="216"/>
      <c r="FT802" s="1657"/>
      <c r="FU802" s="1658"/>
      <c r="FV802" s="242"/>
      <c r="FW802" s="343"/>
      <c r="FX802" s="222"/>
      <c r="FY802" s="336"/>
      <c r="FZ802" s="223"/>
      <c r="GA802" s="338"/>
      <c r="GB802" s="204"/>
      <c r="GC802" s="339"/>
      <c r="GD802" s="342"/>
      <c r="GE802" s="199"/>
      <c r="GF802" s="199"/>
      <c r="GG802" s="199"/>
      <c r="GH802" s="199"/>
      <c r="GI802" s="199"/>
      <c r="GJ802" s="199"/>
      <c r="GK802" s="199"/>
      <c r="GO802" s="322"/>
      <c r="GP802" s="1190"/>
      <c r="GQ802" s="1190"/>
      <c r="GS802" s="2879"/>
      <c r="GT802" s="2880"/>
      <c r="GU802" s="2881"/>
    </row>
    <row r="803" spans="1:203" ht="12" customHeight="1">
      <c r="A803" s="1252"/>
      <c r="B803" s="200"/>
      <c r="C803" s="486"/>
      <c r="T803" s="1186"/>
      <c r="U803" s="233"/>
      <c r="W803" s="218"/>
      <c r="X803" s="218"/>
      <c r="Y803" s="216"/>
      <c r="Z803" s="216"/>
      <c r="AA803" s="215"/>
      <c r="AB803" s="216"/>
      <c r="AC803" s="216"/>
      <c r="AD803" s="239"/>
      <c r="AE803" s="216"/>
      <c r="AF803" s="216"/>
      <c r="AG803" s="216"/>
      <c r="AH803" s="216"/>
      <c r="AI803" s="216"/>
      <c r="AJ803" s="216"/>
      <c r="AK803" s="239"/>
      <c r="AL803" s="216"/>
      <c r="AM803" s="216"/>
      <c r="AN803" s="216"/>
      <c r="AO803" s="216"/>
      <c r="AP803" s="216"/>
      <c r="AQ803" s="216"/>
      <c r="AR803" s="216"/>
      <c r="AS803" s="216"/>
      <c r="AT803" s="216"/>
      <c r="AU803" s="216"/>
      <c r="AV803" s="217"/>
      <c r="AW803" s="355"/>
      <c r="AX803" s="217"/>
      <c r="AY803" s="305"/>
      <c r="AZ803" s="249"/>
      <c r="BA803" s="221"/>
      <c r="BB803" s="300"/>
      <c r="BC803" s="217"/>
      <c r="BD803" s="392"/>
      <c r="BE803" s="1244"/>
      <c r="BF803" s="249"/>
      <c r="BG803" s="252"/>
      <c r="BH803" s="1469"/>
      <c r="BI803" s="216"/>
      <c r="BJ803" s="1469"/>
      <c r="BK803" s="1459"/>
      <c r="BL803" s="260"/>
      <c r="BM803" s="214"/>
      <c r="BN803" s="293"/>
      <c r="BO803" s="217"/>
      <c r="BP803" s="355"/>
      <c r="BQ803" s="217"/>
      <c r="BR803" s="1193"/>
      <c r="BS803" s="249"/>
      <c r="BT803" s="216"/>
      <c r="BU803" s="1195"/>
      <c r="BV803" s="249"/>
      <c r="BW803" s="216"/>
      <c r="BX803" s="1195"/>
      <c r="BY803" s="249"/>
      <c r="BZ803" s="216"/>
      <c r="CA803" s="1195"/>
      <c r="CB803" s="249"/>
      <c r="CC803" s="216"/>
      <c r="CD803" s="1195"/>
      <c r="CE803" s="249"/>
      <c r="CF803" s="216"/>
      <c r="CG803" s="1195"/>
      <c r="CH803" s="249"/>
      <c r="CI803" s="216"/>
      <c r="CJ803" s="1195"/>
      <c r="CK803" s="249"/>
      <c r="CL803" s="216"/>
      <c r="CM803" s="1194"/>
      <c r="CN803" s="1524"/>
      <c r="CO803" s="217"/>
      <c r="CP803" s="1193"/>
      <c r="CQ803" s="293"/>
      <c r="CR803" s="217"/>
      <c r="CS803" s="305"/>
      <c r="CT803" s="249"/>
      <c r="CU803" s="216"/>
      <c r="CV803" s="1193"/>
      <c r="CW803" s="249"/>
      <c r="CX803" s="216"/>
      <c r="CY803" s="305"/>
      <c r="CZ803" s="249"/>
      <c r="DA803" s="216"/>
      <c r="DB803" s="307"/>
      <c r="DC803" s="328"/>
      <c r="DD803" s="322"/>
      <c r="DE803" s="305"/>
      <c r="DF803" s="249"/>
      <c r="DG803" s="216"/>
      <c r="DH803" s="305"/>
      <c r="DI803" s="249"/>
      <c r="DJ803" s="216"/>
      <c r="DK803" s="309"/>
      <c r="DL803" s="293"/>
      <c r="DM803" s="326"/>
      <c r="DN803" s="1256"/>
      <c r="DO803" s="214"/>
      <c r="DP803" s="1257"/>
      <c r="DQ803" s="1258"/>
      <c r="DR803" s="305"/>
      <c r="DS803" s="249"/>
      <c r="DT803" s="216"/>
      <c r="DU803" s="305"/>
      <c r="DV803" s="2520"/>
      <c r="DW803" s="2521"/>
      <c r="DX803" s="305"/>
      <c r="DY803" s="249"/>
      <c r="DZ803" s="221"/>
      <c r="EA803" s="388"/>
      <c r="EB803" s="249"/>
      <c r="EC803" s="216"/>
      <c r="ED803" s="1461"/>
      <c r="EE803" s="249"/>
      <c r="EF803" s="216"/>
      <c r="EG803" s="355"/>
      <c r="EH803" s="1425"/>
      <c r="EI803" s="1470"/>
      <c r="EJ803" s="249"/>
      <c r="EK803" s="221"/>
      <c r="EL803" s="313"/>
      <c r="EM803" s="249"/>
      <c r="EN803" s="221"/>
      <c r="EO803" s="313"/>
      <c r="EP803" s="249"/>
      <c r="EQ803" s="216"/>
      <c r="ER803" s="313"/>
      <c r="ES803" s="249"/>
      <c r="ET803" s="216"/>
      <c r="EU803" s="313"/>
      <c r="EV803" s="249"/>
      <c r="EW803" s="216"/>
      <c r="EX803" s="2505"/>
      <c r="EY803" s="249"/>
      <c r="EZ803" s="221"/>
      <c r="FA803" s="313"/>
      <c r="FB803" s="249"/>
      <c r="FC803" s="221"/>
      <c r="FD803" s="313"/>
      <c r="FE803" s="249"/>
      <c r="FF803" s="221"/>
      <c r="FG803" s="313"/>
      <c r="FH803" s="249"/>
      <c r="FI803" s="216"/>
      <c r="FJ803" s="1435"/>
      <c r="FK803" s="216"/>
      <c r="FL803" s="1268"/>
      <c r="FM803" s="1655"/>
      <c r="FN803" s="1268"/>
      <c r="FO803" s="1655"/>
      <c r="FP803" s="1268"/>
      <c r="FQ803" s="1656"/>
      <c r="FR803" s="249"/>
      <c r="FS803" s="216"/>
      <c r="FT803" s="1657"/>
      <c r="FU803" s="1658"/>
      <c r="FV803" s="242"/>
      <c r="FW803" s="343"/>
      <c r="FX803" s="222"/>
      <c r="FY803" s="336"/>
      <c r="FZ803" s="223"/>
      <c r="GA803" s="338"/>
      <c r="GB803" s="204"/>
      <c r="GC803" s="339"/>
      <c r="GD803" s="342"/>
      <c r="GE803" s="199"/>
      <c r="GF803" s="199"/>
      <c r="GG803" s="199"/>
      <c r="GH803" s="199"/>
      <c r="GI803" s="199"/>
      <c r="GJ803" s="199"/>
      <c r="GK803" s="199"/>
      <c r="GO803" s="322"/>
      <c r="GP803" s="1190"/>
      <c r="GQ803" s="1190"/>
      <c r="GS803" s="2879"/>
      <c r="GT803" s="2880"/>
      <c r="GU803" s="2881"/>
    </row>
    <row r="804" spans="1:203" ht="12" customHeight="1">
      <c r="A804" s="1252"/>
      <c r="B804" s="200"/>
      <c r="C804" s="486"/>
      <c r="T804" s="1186"/>
      <c r="U804" s="233"/>
      <c r="W804" s="218"/>
      <c r="X804" s="218"/>
      <c r="Y804" s="216"/>
      <c r="Z804" s="216"/>
      <c r="AA804" s="215"/>
      <c r="AB804" s="216"/>
      <c r="AC804" s="216"/>
      <c r="AD804" s="239"/>
      <c r="AE804" s="216"/>
      <c r="AF804" s="216"/>
      <c r="AG804" s="216"/>
      <c r="AH804" s="216"/>
      <c r="AI804" s="216"/>
      <c r="AJ804" s="216"/>
      <c r="AK804" s="239"/>
      <c r="AL804" s="216"/>
      <c r="AM804" s="216"/>
      <c r="AN804" s="216"/>
      <c r="AO804" s="216"/>
      <c r="AP804" s="216"/>
      <c r="AQ804" s="216"/>
      <c r="AR804" s="216"/>
      <c r="AS804" s="216"/>
      <c r="AT804" s="216"/>
      <c r="AU804" s="216"/>
      <c r="AV804" s="217"/>
      <c r="AW804" s="355"/>
      <c r="AX804" s="217"/>
      <c r="AY804" s="305"/>
      <c r="AZ804" s="249"/>
      <c r="BA804" s="221"/>
      <c r="BB804" s="300"/>
      <c r="BC804" s="217"/>
      <c r="BD804" s="392"/>
      <c r="BE804" s="1244"/>
      <c r="BF804" s="249"/>
      <c r="BG804" s="252"/>
      <c r="BH804" s="1469"/>
      <c r="BI804" s="216"/>
      <c r="BJ804" s="1469"/>
      <c r="BK804" s="1459"/>
      <c r="BL804" s="260"/>
      <c r="BM804" s="214"/>
      <c r="BN804" s="293"/>
      <c r="BO804" s="217"/>
      <c r="BP804" s="355"/>
      <c r="BQ804" s="217"/>
      <c r="BR804" s="1193"/>
      <c r="BS804" s="249"/>
      <c r="BT804" s="216"/>
      <c r="BU804" s="1195"/>
      <c r="BV804" s="249"/>
      <c r="BW804" s="216"/>
      <c r="BX804" s="1195"/>
      <c r="BY804" s="249"/>
      <c r="BZ804" s="216"/>
      <c r="CA804" s="1195"/>
      <c r="CB804" s="249"/>
      <c r="CC804" s="216"/>
      <c r="CD804" s="1195"/>
      <c r="CE804" s="249"/>
      <c r="CF804" s="216"/>
      <c r="CG804" s="1195"/>
      <c r="CH804" s="249"/>
      <c r="CI804" s="216"/>
      <c r="CJ804" s="1195"/>
      <c r="CK804" s="249"/>
      <c r="CL804" s="216"/>
      <c r="CM804" s="1194"/>
      <c r="CN804" s="1524"/>
      <c r="CO804" s="217"/>
      <c r="CP804" s="1193"/>
      <c r="CQ804" s="293"/>
      <c r="CR804" s="217"/>
      <c r="CS804" s="305"/>
      <c r="CT804" s="249"/>
      <c r="CU804" s="216"/>
      <c r="CV804" s="1193"/>
      <c r="CW804" s="249"/>
      <c r="CX804" s="216"/>
      <c r="CY804" s="305"/>
      <c r="CZ804" s="249"/>
      <c r="DA804" s="216"/>
      <c r="DB804" s="307"/>
      <c r="DC804" s="328"/>
      <c r="DD804" s="322"/>
      <c r="DE804" s="305"/>
      <c r="DF804" s="249"/>
      <c r="DG804" s="216"/>
      <c r="DH804" s="305"/>
      <c r="DI804" s="249"/>
      <c r="DJ804" s="216"/>
      <c r="DK804" s="309"/>
      <c r="DL804" s="293"/>
      <c r="DM804" s="326"/>
      <c r="DN804" s="1256"/>
      <c r="DO804" s="214"/>
      <c r="DP804" s="1257"/>
      <c r="DQ804" s="1258"/>
      <c r="DR804" s="305"/>
      <c r="DS804" s="249"/>
      <c r="DT804" s="216"/>
      <c r="DU804" s="305"/>
      <c r="DV804" s="2520"/>
      <c r="DW804" s="2521"/>
      <c r="DX804" s="305"/>
      <c r="DY804" s="249"/>
      <c r="DZ804" s="221"/>
      <c r="EA804" s="388"/>
      <c r="EB804" s="249"/>
      <c r="EC804" s="216"/>
      <c r="ED804" s="1461"/>
      <c r="EE804" s="249"/>
      <c r="EF804" s="216"/>
      <c r="EG804" s="355"/>
      <c r="EH804" s="1425"/>
      <c r="EI804" s="1470"/>
      <c r="EJ804" s="249"/>
      <c r="EK804" s="221"/>
      <c r="EL804" s="313"/>
      <c r="EM804" s="249"/>
      <c r="EN804" s="221"/>
      <c r="EO804" s="313"/>
      <c r="EP804" s="249"/>
      <c r="EQ804" s="216"/>
      <c r="ER804" s="313"/>
      <c r="ES804" s="249"/>
      <c r="ET804" s="216"/>
      <c r="EU804" s="313"/>
      <c r="EV804" s="249"/>
      <c r="EW804" s="216"/>
      <c r="EX804" s="2505"/>
      <c r="EY804" s="249"/>
      <c r="EZ804" s="221"/>
      <c r="FA804" s="313"/>
      <c r="FB804" s="249"/>
      <c r="FC804" s="221"/>
      <c r="FD804" s="313"/>
      <c r="FE804" s="249"/>
      <c r="FF804" s="221"/>
      <c r="FG804" s="313"/>
      <c r="FH804" s="249"/>
      <c r="FI804" s="216"/>
      <c r="FJ804" s="1435"/>
      <c r="FK804" s="216"/>
      <c r="FL804" s="1268"/>
      <c r="FM804" s="1655"/>
      <c r="FN804" s="1268"/>
      <c r="FO804" s="1655"/>
      <c r="FP804" s="1268"/>
      <c r="FQ804" s="1656"/>
      <c r="FR804" s="249"/>
      <c r="FS804" s="216"/>
      <c r="FT804" s="1657"/>
      <c r="FU804" s="1658"/>
      <c r="FV804" s="242"/>
      <c r="FW804" s="343"/>
      <c r="FX804" s="222"/>
      <c r="FY804" s="336"/>
      <c r="FZ804" s="223"/>
      <c r="GA804" s="338"/>
      <c r="GB804" s="204"/>
      <c r="GC804" s="339"/>
      <c r="GD804" s="342"/>
      <c r="GE804" s="199"/>
      <c r="GF804" s="199"/>
      <c r="GG804" s="199"/>
      <c r="GH804" s="199"/>
      <c r="GI804" s="199"/>
      <c r="GJ804" s="199"/>
      <c r="GK804" s="199"/>
      <c r="GO804" s="322"/>
      <c r="GP804" s="1190"/>
      <c r="GQ804" s="1190"/>
      <c r="GS804" s="2879"/>
      <c r="GT804" s="2880"/>
      <c r="GU804" s="2881"/>
    </row>
    <row r="805" spans="1:203" ht="12" customHeight="1">
      <c r="A805" s="1252"/>
      <c r="B805" s="200"/>
      <c r="C805" s="486"/>
      <c r="T805" s="1186"/>
      <c r="U805" s="233"/>
      <c r="W805" s="218"/>
      <c r="X805" s="218"/>
      <c r="Y805" s="216"/>
      <c r="Z805" s="216"/>
      <c r="AA805" s="215"/>
      <c r="AB805" s="216"/>
      <c r="AC805" s="216"/>
      <c r="AD805" s="239"/>
      <c r="AE805" s="216"/>
      <c r="AF805" s="216"/>
      <c r="AG805" s="216"/>
      <c r="AH805" s="216"/>
      <c r="AI805" s="216"/>
      <c r="AJ805" s="216"/>
      <c r="AK805" s="239"/>
      <c r="AL805" s="216"/>
      <c r="AM805" s="216"/>
      <c r="AN805" s="216"/>
      <c r="AO805" s="216"/>
      <c r="AP805" s="216"/>
      <c r="AQ805" s="216"/>
      <c r="AR805" s="216"/>
      <c r="AS805" s="216"/>
      <c r="AT805" s="216"/>
      <c r="AU805" s="216"/>
      <c r="AV805" s="217"/>
      <c r="AW805" s="355"/>
      <c r="AX805" s="217"/>
      <c r="AY805" s="305"/>
      <c r="AZ805" s="249"/>
      <c r="BA805" s="221"/>
      <c r="BB805" s="300"/>
      <c r="BC805" s="217"/>
      <c r="BD805" s="392"/>
      <c r="BE805" s="1244"/>
      <c r="BF805" s="249"/>
      <c r="BG805" s="252"/>
      <c r="BH805" s="1469"/>
      <c r="BI805" s="216"/>
      <c r="BJ805" s="1469"/>
      <c r="BK805" s="1459"/>
      <c r="BL805" s="260"/>
      <c r="BM805" s="214"/>
      <c r="BN805" s="293"/>
      <c r="BO805" s="217"/>
      <c r="BP805" s="355"/>
      <c r="BQ805" s="217"/>
      <c r="BR805" s="1193"/>
      <c r="BS805" s="249"/>
      <c r="BT805" s="216"/>
      <c r="BU805" s="1195"/>
      <c r="BV805" s="249"/>
      <c r="BW805" s="216"/>
      <c r="BX805" s="1195"/>
      <c r="BY805" s="249"/>
      <c r="BZ805" s="216"/>
      <c r="CA805" s="1195"/>
      <c r="CB805" s="249"/>
      <c r="CC805" s="216"/>
      <c r="CD805" s="1195"/>
      <c r="CE805" s="249"/>
      <c r="CF805" s="216"/>
      <c r="CG805" s="1195"/>
      <c r="CH805" s="249"/>
      <c r="CI805" s="216"/>
      <c r="CJ805" s="1195"/>
      <c r="CK805" s="249"/>
      <c r="CL805" s="216"/>
      <c r="CM805" s="1194"/>
      <c r="CN805" s="1524"/>
      <c r="CO805" s="217"/>
      <c r="CP805" s="1193"/>
      <c r="CQ805" s="293"/>
      <c r="CR805" s="217"/>
      <c r="CS805" s="305"/>
      <c r="CT805" s="249"/>
      <c r="CU805" s="216"/>
      <c r="CV805" s="1193"/>
      <c r="CW805" s="249"/>
      <c r="CX805" s="216"/>
      <c r="CY805" s="305"/>
      <c r="CZ805" s="249"/>
      <c r="DA805" s="216"/>
      <c r="DB805" s="307"/>
      <c r="DC805" s="328"/>
      <c r="DD805" s="322"/>
      <c r="DE805" s="305"/>
      <c r="DF805" s="249"/>
      <c r="DG805" s="216"/>
      <c r="DH805" s="305"/>
      <c r="DI805" s="249"/>
      <c r="DJ805" s="216"/>
      <c r="DK805" s="309"/>
      <c r="DL805" s="293"/>
      <c r="DM805" s="326"/>
      <c r="DN805" s="1256"/>
      <c r="DO805" s="214"/>
      <c r="DP805" s="1257"/>
      <c r="DQ805" s="1258"/>
      <c r="DR805" s="305"/>
      <c r="DS805" s="249"/>
      <c r="DT805" s="216"/>
      <c r="DU805" s="305"/>
      <c r="DV805" s="2520"/>
      <c r="DW805" s="2521"/>
      <c r="DX805" s="305"/>
      <c r="DY805" s="249"/>
      <c r="DZ805" s="221"/>
      <c r="EA805" s="388"/>
      <c r="EB805" s="249"/>
      <c r="EC805" s="216"/>
      <c r="ED805" s="1461"/>
      <c r="EE805" s="249"/>
      <c r="EF805" s="216"/>
      <c r="EG805" s="355"/>
      <c r="EH805" s="1425"/>
      <c r="EI805" s="1470"/>
      <c r="EJ805" s="249"/>
      <c r="EK805" s="221"/>
      <c r="EL805" s="313"/>
      <c r="EM805" s="249"/>
      <c r="EN805" s="221"/>
      <c r="EO805" s="313"/>
      <c r="EP805" s="249"/>
      <c r="EQ805" s="216"/>
      <c r="ER805" s="313"/>
      <c r="ES805" s="249"/>
      <c r="ET805" s="216"/>
      <c r="EU805" s="313"/>
      <c r="EV805" s="249"/>
      <c r="EW805" s="216"/>
      <c r="EX805" s="2505"/>
      <c r="EY805" s="249"/>
      <c r="EZ805" s="221"/>
      <c r="FA805" s="313"/>
      <c r="FB805" s="249"/>
      <c r="FC805" s="221"/>
      <c r="FD805" s="313"/>
      <c r="FE805" s="249"/>
      <c r="FF805" s="221"/>
      <c r="FG805" s="313"/>
      <c r="FH805" s="249"/>
      <c r="FI805" s="216"/>
      <c r="FJ805" s="1435"/>
      <c r="FK805" s="216"/>
      <c r="FL805" s="1268"/>
      <c r="FM805" s="1655"/>
      <c r="FN805" s="1268"/>
      <c r="FO805" s="1655"/>
      <c r="FP805" s="1268"/>
      <c r="FQ805" s="1656"/>
      <c r="FR805" s="249"/>
      <c r="FS805" s="216"/>
      <c r="FT805" s="1657"/>
      <c r="FU805" s="1658"/>
      <c r="FV805" s="242"/>
      <c r="FW805" s="343"/>
      <c r="FX805" s="222"/>
      <c r="FY805" s="336"/>
      <c r="FZ805" s="223"/>
      <c r="GA805" s="338"/>
      <c r="GB805" s="204"/>
      <c r="GC805" s="339"/>
      <c r="GD805" s="342"/>
      <c r="GE805" s="199"/>
      <c r="GF805" s="199"/>
      <c r="GG805" s="199"/>
      <c r="GH805" s="199"/>
      <c r="GI805" s="199"/>
      <c r="GJ805" s="199"/>
      <c r="GK805" s="199"/>
      <c r="GO805" s="322"/>
      <c r="GP805" s="1190"/>
      <c r="GQ805" s="1190"/>
      <c r="GS805" s="2879"/>
      <c r="GT805" s="2880"/>
      <c r="GU805" s="2881"/>
    </row>
    <row r="806" spans="1:203" ht="12" customHeight="1">
      <c r="A806" s="1252"/>
      <c r="B806" s="200"/>
      <c r="C806" s="486"/>
      <c r="T806" s="1186"/>
      <c r="U806" s="233"/>
      <c r="W806" s="218"/>
      <c r="X806" s="218"/>
      <c r="Y806" s="216"/>
      <c r="Z806" s="216"/>
      <c r="AA806" s="215"/>
      <c r="AB806" s="216"/>
      <c r="AC806" s="216"/>
      <c r="AD806" s="239"/>
      <c r="AE806" s="216"/>
      <c r="AF806" s="216"/>
      <c r="AG806" s="216"/>
      <c r="AH806" s="216"/>
      <c r="AI806" s="216"/>
      <c r="AJ806" s="216"/>
      <c r="AK806" s="239"/>
      <c r="AL806" s="216"/>
      <c r="AM806" s="216"/>
      <c r="AN806" s="216"/>
      <c r="AO806" s="216"/>
      <c r="AP806" s="216"/>
      <c r="AQ806" s="216"/>
      <c r="AR806" s="216"/>
      <c r="AS806" s="216"/>
      <c r="AT806" s="216"/>
      <c r="AU806" s="216"/>
      <c r="AV806" s="217"/>
      <c r="AW806" s="355"/>
      <c r="AX806" s="217"/>
      <c r="AY806" s="305"/>
      <c r="AZ806" s="249"/>
      <c r="BA806" s="221"/>
      <c r="BB806" s="300"/>
      <c r="BC806" s="217"/>
      <c r="BD806" s="392"/>
      <c r="BE806" s="1244"/>
      <c r="BF806" s="249"/>
      <c r="BG806" s="252"/>
      <c r="BH806" s="1469"/>
      <c r="BI806" s="216"/>
      <c r="BJ806" s="1469"/>
      <c r="BK806" s="1459"/>
      <c r="BL806" s="260"/>
      <c r="BM806" s="214"/>
      <c r="BN806" s="293"/>
      <c r="BO806" s="217"/>
      <c r="BP806" s="355"/>
      <c r="BQ806" s="217"/>
      <c r="BR806" s="1193"/>
      <c r="BS806" s="249"/>
      <c r="BT806" s="216"/>
      <c r="BU806" s="1195"/>
      <c r="BV806" s="249"/>
      <c r="BW806" s="216"/>
      <c r="BX806" s="1195"/>
      <c r="BY806" s="249"/>
      <c r="BZ806" s="216"/>
      <c r="CA806" s="1195"/>
      <c r="CB806" s="249"/>
      <c r="CC806" s="216"/>
      <c r="CD806" s="1195"/>
      <c r="CE806" s="249"/>
      <c r="CF806" s="216"/>
      <c r="CG806" s="1195"/>
      <c r="CH806" s="249"/>
      <c r="CI806" s="216"/>
      <c r="CJ806" s="1195"/>
      <c r="CK806" s="249"/>
      <c r="CL806" s="216"/>
      <c r="CM806" s="1194"/>
      <c r="CN806" s="1524"/>
      <c r="CO806" s="217"/>
      <c r="CP806" s="1193"/>
      <c r="CQ806" s="293"/>
      <c r="CR806" s="217"/>
      <c r="CS806" s="305"/>
      <c r="CT806" s="249"/>
      <c r="CU806" s="216"/>
      <c r="CV806" s="1193"/>
      <c r="CW806" s="249"/>
      <c r="CX806" s="216"/>
      <c r="CY806" s="305"/>
      <c r="CZ806" s="249"/>
      <c r="DA806" s="216"/>
      <c r="DB806" s="307"/>
      <c r="DC806" s="328"/>
      <c r="DD806" s="322"/>
      <c r="DE806" s="305"/>
      <c r="DF806" s="249"/>
      <c r="DG806" s="216"/>
      <c r="DH806" s="305"/>
      <c r="DI806" s="249"/>
      <c r="DJ806" s="216"/>
      <c r="DK806" s="309"/>
      <c r="DL806" s="293"/>
      <c r="DM806" s="326"/>
      <c r="DN806" s="1256"/>
      <c r="DO806" s="214"/>
      <c r="DP806" s="1257"/>
      <c r="DQ806" s="1258"/>
      <c r="DR806" s="305"/>
      <c r="DS806" s="249"/>
      <c r="DT806" s="216"/>
      <c r="DU806" s="305"/>
      <c r="DV806" s="2520"/>
      <c r="DW806" s="2521"/>
      <c r="DX806" s="305"/>
      <c r="DY806" s="249"/>
      <c r="DZ806" s="221"/>
      <c r="EA806" s="388"/>
      <c r="EB806" s="249"/>
      <c r="EC806" s="216"/>
      <c r="ED806" s="1461"/>
      <c r="EE806" s="249"/>
      <c r="EF806" s="216"/>
      <c r="EG806" s="355"/>
      <c r="EH806" s="1425"/>
      <c r="EI806" s="1470"/>
      <c r="EJ806" s="249"/>
      <c r="EK806" s="221"/>
      <c r="EL806" s="313"/>
      <c r="EM806" s="249"/>
      <c r="EN806" s="221"/>
      <c r="EO806" s="313"/>
      <c r="EP806" s="249"/>
      <c r="EQ806" s="216"/>
      <c r="ER806" s="313"/>
      <c r="ES806" s="249"/>
      <c r="ET806" s="216"/>
      <c r="EU806" s="313"/>
      <c r="EV806" s="249"/>
      <c r="EW806" s="216"/>
      <c r="EX806" s="2505"/>
      <c r="EY806" s="249"/>
      <c r="EZ806" s="221"/>
      <c r="FA806" s="313"/>
      <c r="FB806" s="249"/>
      <c r="FC806" s="221"/>
      <c r="FD806" s="313"/>
      <c r="FE806" s="249"/>
      <c r="FF806" s="221"/>
      <c r="FG806" s="313"/>
      <c r="FH806" s="249"/>
      <c r="FI806" s="216"/>
      <c r="FJ806" s="1435"/>
      <c r="FK806" s="216"/>
      <c r="FL806" s="1268"/>
      <c r="FM806" s="1655"/>
      <c r="FN806" s="1268"/>
      <c r="FO806" s="1655"/>
      <c r="FP806" s="1268"/>
      <c r="FQ806" s="1656"/>
      <c r="FR806" s="249"/>
      <c r="FS806" s="216"/>
      <c r="FT806" s="1657"/>
      <c r="FU806" s="1658"/>
      <c r="FV806" s="242"/>
      <c r="FW806" s="343"/>
      <c r="FX806" s="222"/>
      <c r="FY806" s="336"/>
      <c r="FZ806" s="223"/>
      <c r="GA806" s="338"/>
      <c r="GB806" s="204"/>
      <c r="GC806" s="339"/>
      <c r="GD806" s="342"/>
      <c r="GE806" s="199"/>
      <c r="GF806" s="199"/>
      <c r="GG806" s="199"/>
      <c r="GH806" s="199"/>
      <c r="GI806" s="199"/>
      <c r="GJ806" s="199"/>
      <c r="GK806" s="199"/>
      <c r="GO806" s="322"/>
      <c r="GP806" s="1190"/>
      <c r="GQ806" s="1190"/>
      <c r="GS806" s="2879"/>
      <c r="GT806" s="2880"/>
      <c r="GU806" s="2881"/>
    </row>
    <row r="807" spans="1:203" ht="12" customHeight="1">
      <c r="A807" s="1252"/>
      <c r="B807" s="200"/>
      <c r="C807" s="486"/>
      <c r="T807" s="1186"/>
      <c r="U807" s="233"/>
      <c r="W807" s="218"/>
      <c r="X807" s="218"/>
      <c r="Y807" s="216"/>
      <c r="Z807" s="216"/>
      <c r="AA807" s="215"/>
      <c r="AB807" s="216"/>
      <c r="AC807" s="216"/>
      <c r="AD807" s="239"/>
      <c r="AE807" s="216"/>
      <c r="AF807" s="216"/>
      <c r="AG807" s="216"/>
      <c r="AH807" s="216"/>
      <c r="AI807" s="216"/>
      <c r="AJ807" s="216"/>
      <c r="AK807" s="239"/>
      <c r="AL807" s="216"/>
      <c r="AM807" s="216"/>
      <c r="AN807" s="216"/>
      <c r="AO807" s="216"/>
      <c r="AP807" s="216"/>
      <c r="AQ807" s="216"/>
      <c r="AR807" s="216"/>
      <c r="AS807" s="216"/>
      <c r="AT807" s="216"/>
      <c r="AU807" s="216"/>
      <c r="AV807" s="217"/>
      <c r="AW807" s="355"/>
      <c r="AX807" s="217"/>
      <c r="AY807" s="305"/>
      <c r="AZ807" s="249"/>
      <c r="BA807" s="221"/>
      <c r="BB807" s="300"/>
      <c r="BC807" s="217"/>
      <c r="BD807" s="392"/>
      <c r="BE807" s="1244"/>
      <c r="BF807" s="249"/>
      <c r="BG807" s="252"/>
      <c r="BH807" s="1469"/>
      <c r="BI807" s="216"/>
      <c r="BJ807" s="1469"/>
      <c r="BK807" s="1459"/>
      <c r="BL807" s="260"/>
      <c r="BM807" s="214"/>
      <c r="BN807" s="293"/>
      <c r="BO807" s="217"/>
      <c r="BP807" s="355"/>
      <c r="BQ807" s="217"/>
      <c r="BR807" s="1193"/>
      <c r="BS807" s="249"/>
      <c r="BT807" s="216"/>
      <c r="BU807" s="1195"/>
      <c r="BV807" s="249"/>
      <c r="BW807" s="216"/>
      <c r="BX807" s="1195"/>
      <c r="BY807" s="249"/>
      <c r="BZ807" s="216"/>
      <c r="CA807" s="1195"/>
      <c r="CB807" s="249"/>
      <c r="CC807" s="216"/>
      <c r="CD807" s="1195"/>
      <c r="CE807" s="249"/>
      <c r="CF807" s="216"/>
      <c r="CG807" s="1195"/>
      <c r="CH807" s="249"/>
      <c r="CI807" s="216"/>
      <c r="CJ807" s="1195"/>
      <c r="CK807" s="249"/>
      <c r="CL807" s="216"/>
      <c r="CM807" s="1194"/>
      <c r="CN807" s="1524"/>
      <c r="CO807" s="217"/>
      <c r="CP807" s="1193"/>
      <c r="CQ807" s="293"/>
      <c r="CR807" s="217"/>
      <c r="CS807" s="305"/>
      <c r="CT807" s="249"/>
      <c r="CU807" s="216"/>
      <c r="CV807" s="1193"/>
      <c r="CW807" s="249"/>
      <c r="CX807" s="216"/>
      <c r="CY807" s="305"/>
      <c r="CZ807" s="249"/>
      <c r="DA807" s="216"/>
      <c r="DB807" s="307"/>
      <c r="DC807" s="328"/>
      <c r="DD807" s="322"/>
      <c r="DE807" s="305"/>
      <c r="DF807" s="249"/>
      <c r="DG807" s="216"/>
      <c r="DH807" s="305"/>
      <c r="DI807" s="249"/>
      <c r="DJ807" s="216"/>
      <c r="DK807" s="309"/>
      <c r="DL807" s="293"/>
      <c r="DM807" s="326"/>
      <c r="DN807" s="1256"/>
      <c r="DO807" s="214"/>
      <c r="DP807" s="1257"/>
      <c r="DQ807" s="1258"/>
      <c r="DR807" s="305"/>
      <c r="DS807" s="249"/>
      <c r="DT807" s="216"/>
      <c r="DU807" s="305"/>
      <c r="DV807" s="2520"/>
      <c r="DW807" s="2521"/>
      <c r="DX807" s="305"/>
      <c r="DY807" s="249"/>
      <c r="DZ807" s="221"/>
      <c r="EA807" s="388"/>
      <c r="EB807" s="249"/>
      <c r="EC807" s="216"/>
      <c r="ED807" s="1461"/>
      <c r="EE807" s="249"/>
      <c r="EF807" s="216"/>
      <c r="EG807" s="355"/>
      <c r="EH807" s="1425"/>
      <c r="EI807" s="1470"/>
      <c r="EJ807" s="249"/>
      <c r="EK807" s="221"/>
      <c r="EL807" s="313"/>
      <c r="EM807" s="249"/>
      <c r="EN807" s="221"/>
      <c r="EO807" s="313"/>
      <c r="EP807" s="249"/>
      <c r="EQ807" s="216"/>
      <c r="ER807" s="313"/>
      <c r="ES807" s="249"/>
      <c r="ET807" s="216"/>
      <c r="EU807" s="313"/>
      <c r="EV807" s="249"/>
      <c r="EW807" s="216"/>
      <c r="EX807" s="2505"/>
      <c r="EY807" s="249"/>
      <c r="EZ807" s="221"/>
      <c r="FA807" s="313"/>
      <c r="FB807" s="249"/>
      <c r="FC807" s="221"/>
      <c r="FD807" s="313"/>
      <c r="FE807" s="249"/>
      <c r="FF807" s="221"/>
      <c r="FG807" s="313"/>
      <c r="FH807" s="249"/>
      <c r="FI807" s="216"/>
      <c r="FJ807" s="1435"/>
      <c r="FK807" s="216"/>
      <c r="FL807" s="1268"/>
      <c r="FM807" s="1655"/>
      <c r="FN807" s="1268"/>
      <c r="FO807" s="1655"/>
      <c r="FP807" s="1268"/>
      <c r="FQ807" s="1656"/>
      <c r="FR807" s="249"/>
      <c r="FS807" s="216"/>
      <c r="FT807" s="1657"/>
      <c r="FU807" s="1658"/>
      <c r="FV807" s="242"/>
      <c r="FW807" s="343"/>
      <c r="FX807" s="222"/>
      <c r="FY807" s="336"/>
      <c r="FZ807" s="223"/>
      <c r="GA807" s="338"/>
      <c r="GB807" s="204"/>
      <c r="GC807" s="339"/>
      <c r="GD807" s="342"/>
      <c r="GE807" s="199"/>
      <c r="GF807" s="199"/>
      <c r="GG807" s="199"/>
      <c r="GH807" s="199"/>
      <c r="GI807" s="199"/>
      <c r="GJ807" s="199"/>
      <c r="GK807" s="199"/>
      <c r="GO807" s="322"/>
      <c r="GP807" s="1190"/>
      <c r="GQ807" s="1190"/>
      <c r="GS807" s="2879"/>
      <c r="GT807" s="2880"/>
      <c r="GU807" s="2881"/>
    </row>
    <row r="808" spans="1:203" ht="12" customHeight="1">
      <c r="A808" s="1252"/>
      <c r="B808" s="200"/>
      <c r="C808" s="486"/>
      <c r="T808" s="1186"/>
      <c r="U808" s="233"/>
      <c r="W808" s="218"/>
      <c r="X808" s="218"/>
      <c r="Y808" s="216"/>
      <c r="Z808" s="216"/>
      <c r="AA808" s="215"/>
      <c r="AB808" s="216"/>
      <c r="AC808" s="216"/>
      <c r="AD808" s="239"/>
      <c r="AE808" s="216"/>
      <c r="AF808" s="216"/>
      <c r="AG808" s="216"/>
      <c r="AH808" s="216"/>
      <c r="AI808" s="216"/>
      <c r="AJ808" s="216"/>
      <c r="AK808" s="239"/>
      <c r="AL808" s="216"/>
      <c r="AM808" s="216"/>
      <c r="AN808" s="216"/>
      <c r="AO808" s="216"/>
      <c r="AP808" s="216"/>
      <c r="AQ808" s="216"/>
      <c r="AR808" s="216"/>
      <c r="AS808" s="216"/>
      <c r="AT808" s="216"/>
      <c r="AU808" s="216"/>
      <c r="AV808" s="217"/>
      <c r="AW808" s="355"/>
      <c r="AX808" s="217"/>
      <c r="AY808" s="305"/>
      <c r="AZ808" s="249"/>
      <c r="BA808" s="221"/>
      <c r="BB808" s="300"/>
      <c r="BC808" s="217"/>
      <c r="BD808" s="392"/>
      <c r="BE808" s="1244"/>
      <c r="BF808" s="249"/>
      <c r="BG808" s="252"/>
      <c r="BH808" s="1469"/>
      <c r="BI808" s="216"/>
      <c r="BJ808" s="1469"/>
      <c r="BK808" s="1459"/>
      <c r="BL808" s="260"/>
      <c r="BM808" s="214"/>
      <c r="BN808" s="293"/>
      <c r="BO808" s="217"/>
      <c r="BP808" s="355"/>
      <c r="BQ808" s="217"/>
      <c r="BR808" s="1193"/>
      <c r="BS808" s="249"/>
      <c r="BT808" s="216"/>
      <c r="BU808" s="1195"/>
      <c r="BV808" s="249"/>
      <c r="BW808" s="216"/>
      <c r="BX808" s="1195"/>
      <c r="BY808" s="249"/>
      <c r="BZ808" s="216"/>
      <c r="CA808" s="1195"/>
      <c r="CB808" s="249"/>
      <c r="CC808" s="216"/>
      <c r="CD808" s="1195"/>
      <c r="CE808" s="249"/>
      <c r="CF808" s="216"/>
      <c r="CG808" s="1195"/>
      <c r="CH808" s="249"/>
      <c r="CI808" s="216"/>
      <c r="CJ808" s="1195"/>
      <c r="CK808" s="249"/>
      <c r="CL808" s="216"/>
      <c r="CM808" s="1194"/>
      <c r="CN808" s="1524"/>
      <c r="CO808" s="217"/>
      <c r="CP808" s="1193"/>
      <c r="CQ808" s="293"/>
      <c r="CR808" s="217"/>
      <c r="CS808" s="305"/>
      <c r="CT808" s="249"/>
      <c r="CU808" s="216"/>
      <c r="CV808" s="1193"/>
      <c r="CW808" s="249"/>
      <c r="CX808" s="216"/>
      <c r="CY808" s="305"/>
      <c r="CZ808" s="249"/>
      <c r="DA808" s="216"/>
      <c r="DB808" s="307"/>
      <c r="DC808" s="328"/>
      <c r="DD808" s="322"/>
      <c r="DE808" s="305"/>
      <c r="DF808" s="249"/>
      <c r="DG808" s="216"/>
      <c r="DH808" s="305"/>
      <c r="DI808" s="249"/>
      <c r="DJ808" s="216"/>
      <c r="DK808" s="309"/>
      <c r="DL808" s="293"/>
      <c r="DM808" s="326"/>
      <c r="DN808" s="1256"/>
      <c r="DO808" s="214"/>
      <c r="DP808" s="1257"/>
      <c r="DQ808" s="1258"/>
      <c r="DR808" s="305"/>
      <c r="DS808" s="249"/>
      <c r="DT808" s="216"/>
      <c r="DU808" s="305"/>
      <c r="DV808" s="2520"/>
      <c r="DW808" s="2521"/>
      <c r="DX808" s="305"/>
      <c r="DY808" s="249"/>
      <c r="DZ808" s="221"/>
      <c r="EA808" s="388"/>
      <c r="EB808" s="249"/>
      <c r="EC808" s="216"/>
      <c r="ED808" s="1461"/>
      <c r="EE808" s="249"/>
      <c r="EF808" s="216"/>
      <c r="EG808" s="355"/>
      <c r="EH808" s="1425"/>
      <c r="EI808" s="1470"/>
      <c r="EJ808" s="249"/>
      <c r="EK808" s="221"/>
      <c r="EL808" s="313"/>
      <c r="EM808" s="249"/>
      <c r="EN808" s="221"/>
      <c r="EO808" s="313"/>
      <c r="EP808" s="249"/>
      <c r="EQ808" s="216"/>
      <c r="ER808" s="313"/>
      <c r="ES808" s="249"/>
      <c r="ET808" s="216"/>
      <c r="EU808" s="313"/>
      <c r="EV808" s="249"/>
      <c r="EW808" s="216"/>
      <c r="EX808" s="2505"/>
      <c r="EY808" s="249"/>
      <c r="EZ808" s="221"/>
      <c r="FA808" s="313"/>
      <c r="FB808" s="249"/>
      <c r="FC808" s="221"/>
      <c r="FD808" s="313"/>
      <c r="FE808" s="249"/>
      <c r="FF808" s="221"/>
      <c r="FG808" s="313"/>
      <c r="FH808" s="249"/>
      <c r="FI808" s="216"/>
      <c r="FJ808" s="1435"/>
      <c r="FK808" s="216"/>
      <c r="FL808" s="1268"/>
      <c r="FM808" s="1655"/>
      <c r="FN808" s="1268"/>
      <c r="FO808" s="1655"/>
      <c r="FP808" s="1268"/>
      <c r="FQ808" s="1656"/>
      <c r="FR808" s="249"/>
      <c r="FS808" s="216"/>
      <c r="FT808" s="1657"/>
      <c r="FU808" s="1658"/>
      <c r="FV808" s="242"/>
      <c r="FW808" s="343"/>
      <c r="FX808" s="222"/>
      <c r="FY808" s="336"/>
      <c r="FZ808" s="223"/>
      <c r="GA808" s="338"/>
      <c r="GB808" s="204"/>
      <c r="GC808" s="339"/>
      <c r="GD808" s="342"/>
      <c r="GE808" s="199"/>
      <c r="GF808" s="199"/>
      <c r="GG808" s="199"/>
      <c r="GH808" s="199"/>
      <c r="GI808" s="199"/>
      <c r="GJ808" s="199"/>
      <c r="GK808" s="199"/>
      <c r="GO808" s="322"/>
      <c r="GP808" s="1190"/>
      <c r="GQ808" s="1190"/>
      <c r="GS808" s="2879"/>
      <c r="GT808" s="2880"/>
      <c r="GU808" s="2881"/>
    </row>
    <row r="809" spans="1:203" ht="12" customHeight="1">
      <c r="A809" s="1252"/>
      <c r="B809" s="200"/>
      <c r="C809" s="486"/>
      <c r="T809" s="1186"/>
      <c r="U809" s="233"/>
      <c r="W809" s="218"/>
      <c r="X809" s="218"/>
      <c r="Y809" s="216"/>
      <c r="Z809" s="216"/>
      <c r="AA809" s="215"/>
      <c r="AB809" s="216"/>
      <c r="AC809" s="216"/>
      <c r="AD809" s="239"/>
      <c r="AE809" s="216"/>
      <c r="AF809" s="216"/>
      <c r="AG809" s="216"/>
      <c r="AH809" s="216"/>
      <c r="AI809" s="216"/>
      <c r="AJ809" s="216"/>
      <c r="AK809" s="239"/>
      <c r="AL809" s="216"/>
      <c r="AM809" s="216"/>
      <c r="AN809" s="216"/>
      <c r="AO809" s="216"/>
      <c r="AP809" s="216"/>
      <c r="AQ809" s="216"/>
      <c r="AR809" s="216"/>
      <c r="AS809" s="216"/>
      <c r="AT809" s="216"/>
      <c r="AU809" s="216"/>
      <c r="AV809" s="217"/>
      <c r="AW809" s="355"/>
      <c r="AX809" s="217"/>
      <c r="AY809" s="305"/>
      <c r="AZ809" s="249"/>
      <c r="BA809" s="221"/>
      <c r="BB809" s="300"/>
      <c r="BC809" s="217"/>
      <c r="BD809" s="392"/>
      <c r="BE809" s="1244"/>
      <c r="BF809" s="249"/>
      <c r="BG809" s="252"/>
      <c r="BH809" s="1469"/>
      <c r="BI809" s="216"/>
      <c r="BJ809" s="1469"/>
      <c r="BK809" s="1459"/>
      <c r="BL809" s="260"/>
      <c r="BM809" s="214"/>
      <c r="BN809" s="293"/>
      <c r="BO809" s="217"/>
      <c r="BP809" s="355"/>
      <c r="BQ809" s="217"/>
      <c r="BR809" s="1193"/>
      <c r="BS809" s="249"/>
      <c r="BT809" s="216"/>
      <c r="BU809" s="1195"/>
      <c r="BV809" s="249"/>
      <c r="BW809" s="216"/>
      <c r="BX809" s="1195"/>
      <c r="BY809" s="249"/>
      <c r="BZ809" s="216"/>
      <c r="CA809" s="1195"/>
      <c r="CB809" s="249"/>
      <c r="CC809" s="216"/>
      <c r="CD809" s="1195"/>
      <c r="CE809" s="249"/>
      <c r="CF809" s="216"/>
      <c r="CG809" s="1195"/>
      <c r="CH809" s="249"/>
      <c r="CI809" s="216"/>
      <c r="CJ809" s="1195"/>
      <c r="CK809" s="249"/>
      <c r="CL809" s="216"/>
      <c r="CM809" s="1194"/>
      <c r="CN809" s="1524"/>
      <c r="CO809" s="217"/>
      <c r="CP809" s="1193"/>
      <c r="CQ809" s="293"/>
      <c r="CR809" s="217"/>
      <c r="CS809" s="305"/>
      <c r="CT809" s="249"/>
      <c r="CU809" s="216"/>
      <c r="CV809" s="1193"/>
      <c r="CW809" s="249"/>
      <c r="CX809" s="216"/>
      <c r="CY809" s="305"/>
      <c r="CZ809" s="249"/>
      <c r="DA809" s="216"/>
      <c r="DB809" s="307"/>
      <c r="DC809" s="328"/>
      <c r="DD809" s="322"/>
      <c r="DE809" s="305"/>
      <c r="DF809" s="249"/>
      <c r="DG809" s="216"/>
      <c r="DH809" s="305"/>
      <c r="DI809" s="249"/>
      <c r="DJ809" s="216"/>
      <c r="DK809" s="309"/>
      <c r="DL809" s="293"/>
      <c r="DM809" s="326"/>
      <c r="DN809" s="1256"/>
      <c r="DO809" s="214"/>
      <c r="DP809" s="1257"/>
      <c r="DQ809" s="1258"/>
      <c r="DR809" s="305"/>
      <c r="DS809" s="249"/>
      <c r="DT809" s="216"/>
      <c r="DU809" s="305"/>
      <c r="DV809" s="2520"/>
      <c r="DW809" s="2521"/>
      <c r="DX809" s="305"/>
      <c r="DY809" s="249"/>
      <c r="DZ809" s="221"/>
      <c r="EA809" s="388"/>
      <c r="EB809" s="249"/>
      <c r="EC809" s="216"/>
      <c r="ED809" s="1461"/>
      <c r="EE809" s="249"/>
      <c r="EF809" s="216"/>
      <c r="EG809" s="355"/>
      <c r="EH809" s="1425"/>
      <c r="EI809" s="1470"/>
      <c r="EJ809" s="249"/>
      <c r="EK809" s="221"/>
      <c r="EL809" s="313"/>
      <c r="EM809" s="249"/>
      <c r="EN809" s="221"/>
      <c r="EO809" s="313"/>
      <c r="EP809" s="249"/>
      <c r="EQ809" s="216"/>
      <c r="ER809" s="313"/>
      <c r="ES809" s="249"/>
      <c r="ET809" s="216"/>
      <c r="EU809" s="313"/>
      <c r="EV809" s="249"/>
      <c r="EW809" s="216"/>
      <c r="EX809" s="2505"/>
      <c r="EY809" s="249"/>
      <c r="EZ809" s="221"/>
      <c r="FA809" s="313"/>
      <c r="FB809" s="249"/>
      <c r="FC809" s="221"/>
      <c r="FD809" s="313"/>
      <c r="FE809" s="249"/>
      <c r="FF809" s="221"/>
      <c r="FG809" s="313"/>
      <c r="FH809" s="249"/>
      <c r="FI809" s="216"/>
      <c r="FJ809" s="1435"/>
      <c r="FK809" s="216"/>
      <c r="FL809" s="1268"/>
      <c r="FM809" s="1655"/>
      <c r="FN809" s="1268"/>
      <c r="FO809" s="1655"/>
      <c r="FP809" s="1268"/>
      <c r="FQ809" s="1656"/>
      <c r="FR809" s="249"/>
      <c r="FS809" s="216"/>
      <c r="FT809" s="1657"/>
      <c r="FU809" s="1658"/>
      <c r="FV809" s="242"/>
      <c r="FW809" s="343"/>
      <c r="FX809" s="222"/>
      <c r="FY809" s="336"/>
      <c r="FZ809" s="223"/>
      <c r="GA809" s="338"/>
      <c r="GB809" s="204"/>
      <c r="GC809" s="339"/>
      <c r="GD809" s="342"/>
      <c r="GE809" s="199"/>
      <c r="GF809" s="199"/>
      <c r="GG809" s="199"/>
      <c r="GH809" s="199"/>
      <c r="GI809" s="199"/>
      <c r="GJ809" s="199"/>
      <c r="GK809" s="199"/>
      <c r="GO809" s="322"/>
      <c r="GP809" s="1190"/>
      <c r="GQ809" s="1190"/>
      <c r="GS809" s="2879"/>
      <c r="GT809" s="2880"/>
      <c r="GU809" s="2881"/>
    </row>
    <row r="810" spans="1:203" ht="12" customHeight="1">
      <c r="A810" s="1252"/>
      <c r="B810" s="200"/>
      <c r="C810" s="486"/>
      <c r="T810" s="1186"/>
      <c r="U810" s="233"/>
      <c r="W810" s="218"/>
      <c r="X810" s="218"/>
      <c r="Y810" s="216"/>
      <c r="Z810" s="216"/>
      <c r="AA810" s="215"/>
      <c r="AB810" s="216"/>
      <c r="AC810" s="216"/>
      <c r="AD810" s="239"/>
      <c r="AE810" s="216"/>
      <c r="AF810" s="216"/>
      <c r="AG810" s="216"/>
      <c r="AH810" s="216"/>
      <c r="AI810" s="216"/>
      <c r="AJ810" s="216"/>
      <c r="AK810" s="239"/>
      <c r="AL810" s="216"/>
      <c r="AM810" s="216"/>
      <c r="AN810" s="216"/>
      <c r="AO810" s="216"/>
      <c r="AP810" s="216"/>
      <c r="AQ810" s="216"/>
      <c r="AR810" s="216"/>
      <c r="AS810" s="216"/>
      <c r="AT810" s="216"/>
      <c r="AU810" s="216"/>
      <c r="AV810" s="217"/>
      <c r="AW810" s="355"/>
      <c r="AX810" s="217"/>
      <c r="AY810" s="305"/>
      <c r="AZ810" s="249"/>
      <c r="BA810" s="221"/>
      <c r="BB810" s="300"/>
      <c r="BC810" s="217"/>
      <c r="BD810" s="392"/>
      <c r="BE810" s="1244"/>
      <c r="BF810" s="249"/>
      <c r="BG810" s="252"/>
      <c r="BH810" s="1469"/>
      <c r="BI810" s="216"/>
      <c r="BJ810" s="1469"/>
      <c r="BK810" s="1459"/>
      <c r="BL810" s="260"/>
      <c r="BM810" s="214"/>
      <c r="BN810" s="293"/>
      <c r="BO810" s="217"/>
      <c r="BP810" s="355"/>
      <c r="BQ810" s="217"/>
      <c r="BR810" s="1193"/>
      <c r="BS810" s="249"/>
      <c r="BT810" s="216"/>
      <c r="BU810" s="1195"/>
      <c r="BV810" s="249"/>
      <c r="BW810" s="216"/>
      <c r="BX810" s="1195"/>
      <c r="BY810" s="249"/>
      <c r="BZ810" s="216"/>
      <c r="CA810" s="1195"/>
      <c r="CB810" s="249"/>
      <c r="CC810" s="216"/>
      <c r="CD810" s="1195"/>
      <c r="CE810" s="249"/>
      <c r="CF810" s="216"/>
      <c r="CG810" s="1195"/>
      <c r="CH810" s="249"/>
      <c r="CI810" s="216"/>
      <c r="CJ810" s="1195"/>
      <c r="CK810" s="249"/>
      <c r="CL810" s="216"/>
      <c r="CM810" s="1194"/>
      <c r="CN810" s="1524"/>
      <c r="CO810" s="217"/>
      <c r="CP810" s="1193"/>
      <c r="CQ810" s="293"/>
      <c r="CR810" s="217"/>
      <c r="CS810" s="305"/>
      <c r="CT810" s="249"/>
      <c r="CU810" s="216"/>
      <c r="CV810" s="1193"/>
      <c r="CW810" s="249"/>
      <c r="CX810" s="216"/>
      <c r="CY810" s="305"/>
      <c r="CZ810" s="249"/>
      <c r="DA810" s="216"/>
      <c r="DB810" s="307"/>
      <c r="DC810" s="328"/>
      <c r="DD810" s="322"/>
      <c r="DE810" s="305"/>
      <c r="DF810" s="249"/>
      <c r="DG810" s="216"/>
      <c r="DH810" s="305"/>
      <c r="DI810" s="249"/>
      <c r="DJ810" s="216"/>
      <c r="DK810" s="309"/>
      <c r="DL810" s="293"/>
      <c r="DM810" s="326"/>
      <c r="DN810" s="1256"/>
      <c r="DO810" s="214"/>
      <c r="DP810" s="1257"/>
      <c r="DQ810" s="1258"/>
      <c r="DR810" s="305"/>
      <c r="DS810" s="249"/>
      <c r="DT810" s="216"/>
      <c r="DU810" s="305"/>
      <c r="DV810" s="2520"/>
      <c r="DW810" s="2521"/>
      <c r="DX810" s="305"/>
      <c r="DY810" s="249"/>
      <c r="DZ810" s="221"/>
      <c r="EA810" s="388"/>
      <c r="EB810" s="249"/>
      <c r="EC810" s="216"/>
      <c r="ED810" s="1461"/>
      <c r="EE810" s="249"/>
      <c r="EF810" s="216"/>
      <c r="EG810" s="355"/>
      <c r="EH810" s="1425"/>
      <c r="EI810" s="1470"/>
      <c r="EJ810" s="249"/>
      <c r="EK810" s="221"/>
      <c r="EL810" s="313"/>
      <c r="EM810" s="249"/>
      <c r="EN810" s="221"/>
      <c r="EO810" s="313"/>
      <c r="EP810" s="249"/>
      <c r="EQ810" s="216"/>
      <c r="ER810" s="313"/>
      <c r="ES810" s="249"/>
      <c r="ET810" s="216"/>
      <c r="EU810" s="313"/>
      <c r="EV810" s="249"/>
      <c r="EW810" s="216"/>
      <c r="EX810" s="2505"/>
      <c r="EY810" s="249"/>
      <c r="EZ810" s="221"/>
      <c r="FA810" s="313"/>
      <c r="FB810" s="249"/>
      <c r="FC810" s="221"/>
      <c r="FD810" s="313"/>
      <c r="FE810" s="249"/>
      <c r="FF810" s="221"/>
      <c r="FG810" s="313"/>
      <c r="FH810" s="249"/>
      <c r="FI810" s="216"/>
      <c r="FJ810" s="1435"/>
      <c r="FK810" s="216"/>
      <c r="FL810" s="1268"/>
      <c r="FM810" s="1655"/>
      <c r="FN810" s="1268"/>
      <c r="FO810" s="1655"/>
      <c r="FP810" s="1268"/>
      <c r="FQ810" s="1656"/>
      <c r="FR810" s="249"/>
      <c r="FS810" s="216"/>
      <c r="FT810" s="1657"/>
      <c r="FU810" s="1658"/>
      <c r="FV810" s="242"/>
      <c r="FW810" s="343"/>
      <c r="FX810" s="222"/>
      <c r="FY810" s="336"/>
      <c r="FZ810" s="223"/>
      <c r="GA810" s="338"/>
      <c r="GB810" s="204"/>
      <c r="GC810" s="339"/>
      <c r="GD810" s="342"/>
      <c r="GE810" s="199"/>
      <c r="GF810" s="199"/>
      <c r="GG810" s="199"/>
      <c r="GH810" s="199"/>
      <c r="GI810" s="199"/>
      <c r="GJ810" s="199"/>
      <c r="GK810" s="199"/>
      <c r="GO810" s="322"/>
      <c r="GP810" s="1190"/>
      <c r="GQ810" s="1190"/>
      <c r="GS810" s="2879"/>
      <c r="GT810" s="2880"/>
      <c r="GU810" s="2881"/>
    </row>
    <row r="811" spans="1:203" ht="12" customHeight="1">
      <c r="A811" s="1252"/>
      <c r="B811" s="200"/>
      <c r="C811" s="486"/>
      <c r="T811" s="1186"/>
      <c r="U811" s="233"/>
      <c r="W811" s="218"/>
      <c r="X811" s="218"/>
      <c r="Y811" s="216"/>
      <c r="Z811" s="216"/>
      <c r="AA811" s="215"/>
      <c r="AB811" s="216"/>
      <c r="AC811" s="216"/>
      <c r="AD811" s="239"/>
      <c r="AE811" s="216"/>
      <c r="AF811" s="216"/>
      <c r="AG811" s="216"/>
      <c r="AH811" s="216"/>
      <c r="AI811" s="216"/>
      <c r="AJ811" s="216"/>
      <c r="AK811" s="239"/>
      <c r="AL811" s="216"/>
      <c r="AM811" s="216"/>
      <c r="AN811" s="216"/>
      <c r="AO811" s="216"/>
      <c r="AP811" s="216"/>
      <c r="AQ811" s="216"/>
      <c r="AR811" s="216"/>
      <c r="AS811" s="216"/>
      <c r="AT811" s="216"/>
      <c r="AU811" s="216"/>
      <c r="AV811" s="217"/>
      <c r="AW811" s="355"/>
      <c r="AX811" s="217"/>
      <c r="AY811" s="305"/>
      <c r="AZ811" s="249"/>
      <c r="BA811" s="221"/>
      <c r="BB811" s="300"/>
      <c r="BC811" s="217"/>
      <c r="BD811" s="392"/>
      <c r="BE811" s="1244"/>
      <c r="BF811" s="249"/>
      <c r="BG811" s="252"/>
      <c r="BH811" s="1469"/>
      <c r="BI811" s="216"/>
      <c r="BJ811" s="1469"/>
      <c r="BK811" s="1459"/>
      <c r="BL811" s="260"/>
      <c r="BM811" s="214"/>
      <c r="BN811" s="293"/>
      <c r="BO811" s="217"/>
      <c r="BP811" s="355"/>
      <c r="BQ811" s="217"/>
      <c r="BR811" s="1193"/>
      <c r="BS811" s="249"/>
      <c r="BT811" s="216"/>
      <c r="BU811" s="1195"/>
      <c r="BV811" s="249"/>
      <c r="BW811" s="216"/>
      <c r="BX811" s="1195"/>
      <c r="BY811" s="249"/>
      <c r="BZ811" s="216"/>
      <c r="CA811" s="1195"/>
      <c r="CB811" s="249"/>
      <c r="CC811" s="216"/>
      <c r="CD811" s="1195"/>
      <c r="CE811" s="249"/>
      <c r="CF811" s="216"/>
      <c r="CG811" s="1195"/>
      <c r="CH811" s="249"/>
      <c r="CI811" s="216"/>
      <c r="CJ811" s="1195"/>
      <c r="CK811" s="249"/>
      <c r="CL811" s="216"/>
      <c r="CM811" s="1194"/>
      <c r="CN811" s="1524"/>
      <c r="CO811" s="217"/>
      <c r="CP811" s="1193"/>
      <c r="CQ811" s="293"/>
      <c r="CR811" s="217"/>
      <c r="CS811" s="305"/>
      <c r="CT811" s="249"/>
      <c r="CU811" s="216"/>
      <c r="CV811" s="1193"/>
      <c r="CW811" s="249"/>
      <c r="CX811" s="216"/>
      <c r="CY811" s="305"/>
      <c r="CZ811" s="249"/>
      <c r="DA811" s="216"/>
      <c r="DB811" s="307"/>
      <c r="DC811" s="328"/>
      <c r="DD811" s="322"/>
      <c r="DE811" s="305"/>
      <c r="DF811" s="249"/>
      <c r="DG811" s="216"/>
      <c r="DH811" s="305"/>
      <c r="DI811" s="249"/>
      <c r="DJ811" s="216"/>
      <c r="DK811" s="309"/>
      <c r="DL811" s="293"/>
      <c r="DM811" s="326"/>
      <c r="DN811" s="1256"/>
      <c r="DO811" s="214"/>
      <c r="DP811" s="1257"/>
      <c r="DQ811" s="1258"/>
      <c r="DR811" s="305"/>
      <c r="DS811" s="249"/>
      <c r="DT811" s="216"/>
      <c r="DU811" s="305"/>
      <c r="DV811" s="2520"/>
      <c r="DW811" s="2521"/>
      <c r="DX811" s="305"/>
      <c r="DY811" s="249"/>
      <c r="DZ811" s="221"/>
      <c r="EA811" s="388"/>
      <c r="EB811" s="249"/>
      <c r="EC811" s="216"/>
      <c r="ED811" s="1461"/>
      <c r="EE811" s="249"/>
      <c r="EF811" s="216"/>
      <c r="EG811" s="355"/>
      <c r="EH811" s="1425"/>
      <c r="EI811" s="1470"/>
      <c r="EJ811" s="249"/>
      <c r="EK811" s="221"/>
      <c r="EL811" s="313"/>
      <c r="EM811" s="249"/>
      <c r="EN811" s="221"/>
      <c r="EO811" s="313"/>
      <c r="EP811" s="249"/>
      <c r="EQ811" s="216"/>
      <c r="ER811" s="313"/>
      <c r="ES811" s="249"/>
      <c r="ET811" s="216"/>
      <c r="EU811" s="313"/>
      <c r="EV811" s="249"/>
      <c r="EW811" s="216"/>
      <c r="EX811" s="2505"/>
      <c r="EY811" s="249"/>
      <c r="EZ811" s="221"/>
      <c r="FA811" s="313"/>
      <c r="FB811" s="249"/>
      <c r="FC811" s="221"/>
      <c r="FD811" s="313"/>
      <c r="FE811" s="249"/>
      <c r="FF811" s="221"/>
      <c r="FG811" s="313"/>
      <c r="FH811" s="249"/>
      <c r="FI811" s="216"/>
      <c r="FJ811" s="1435"/>
      <c r="FK811" s="216"/>
      <c r="FL811" s="1268"/>
      <c r="FM811" s="1655"/>
      <c r="FN811" s="1268"/>
      <c r="FO811" s="1655"/>
      <c r="FP811" s="1268"/>
      <c r="FQ811" s="1656"/>
      <c r="FR811" s="249"/>
      <c r="FS811" s="216"/>
      <c r="FT811" s="1657"/>
      <c r="FU811" s="1658"/>
      <c r="FV811" s="242"/>
      <c r="FW811" s="343"/>
      <c r="FX811" s="222"/>
      <c r="FY811" s="336"/>
      <c r="FZ811" s="223"/>
      <c r="GA811" s="338"/>
      <c r="GB811" s="204"/>
      <c r="GC811" s="339"/>
      <c r="GD811" s="342"/>
      <c r="GE811" s="199"/>
      <c r="GF811" s="199"/>
      <c r="GG811" s="199"/>
      <c r="GH811" s="199"/>
      <c r="GI811" s="199"/>
      <c r="GJ811" s="199"/>
      <c r="GK811" s="199"/>
      <c r="GO811" s="322"/>
      <c r="GP811" s="1190"/>
      <c r="GQ811" s="1190"/>
      <c r="GS811" s="2879"/>
      <c r="GT811" s="2880"/>
      <c r="GU811" s="2881"/>
    </row>
    <row r="812" spans="1:203" ht="12" customHeight="1">
      <c r="A812" s="1252"/>
      <c r="B812" s="200"/>
      <c r="C812" s="486"/>
      <c r="T812" s="1186"/>
      <c r="U812" s="233"/>
      <c r="W812" s="218"/>
      <c r="X812" s="218"/>
      <c r="Y812" s="216"/>
      <c r="Z812" s="216"/>
      <c r="AA812" s="215"/>
      <c r="AB812" s="216"/>
      <c r="AC812" s="216"/>
      <c r="AD812" s="239"/>
      <c r="AE812" s="216"/>
      <c r="AF812" s="216"/>
      <c r="AG812" s="216"/>
      <c r="AH812" s="216"/>
      <c r="AI812" s="216"/>
      <c r="AJ812" s="216"/>
      <c r="AK812" s="239"/>
      <c r="AL812" s="216"/>
      <c r="AM812" s="216"/>
      <c r="AN812" s="216"/>
      <c r="AO812" s="216"/>
      <c r="AP812" s="216"/>
      <c r="AQ812" s="216"/>
      <c r="AR812" s="216"/>
      <c r="AS812" s="216"/>
      <c r="AT812" s="216"/>
      <c r="AU812" s="216"/>
      <c r="AV812" s="217"/>
      <c r="AW812" s="355"/>
      <c r="AX812" s="217"/>
      <c r="AY812" s="305"/>
      <c r="AZ812" s="249"/>
      <c r="BA812" s="221"/>
      <c r="BB812" s="300"/>
      <c r="BC812" s="217"/>
      <c r="BD812" s="392"/>
      <c r="BE812" s="1244"/>
      <c r="BF812" s="249"/>
      <c r="BG812" s="252"/>
      <c r="BH812" s="1469"/>
      <c r="BI812" s="216"/>
      <c r="BJ812" s="1469"/>
      <c r="BK812" s="1459"/>
      <c r="BL812" s="260"/>
      <c r="BM812" s="214"/>
      <c r="BN812" s="293"/>
      <c r="BO812" s="217"/>
      <c r="BP812" s="355"/>
      <c r="BQ812" s="217"/>
      <c r="BR812" s="1193"/>
      <c r="BS812" s="249"/>
      <c r="BT812" s="216"/>
      <c r="BU812" s="1195"/>
      <c r="BV812" s="249"/>
      <c r="BW812" s="216"/>
      <c r="BX812" s="1195"/>
      <c r="BY812" s="249"/>
      <c r="BZ812" s="216"/>
      <c r="CA812" s="1195"/>
      <c r="CB812" s="249"/>
      <c r="CC812" s="216"/>
      <c r="CD812" s="1195"/>
      <c r="CE812" s="249"/>
      <c r="CF812" s="216"/>
      <c r="CG812" s="1195"/>
      <c r="CH812" s="249"/>
      <c r="CI812" s="216"/>
      <c r="CJ812" s="1195"/>
      <c r="CK812" s="249"/>
      <c r="CL812" s="216"/>
      <c r="CM812" s="1194"/>
      <c r="CN812" s="1524"/>
      <c r="CO812" s="217"/>
      <c r="CP812" s="1193"/>
      <c r="CQ812" s="293"/>
      <c r="CR812" s="217"/>
      <c r="CS812" s="305"/>
      <c r="CT812" s="249"/>
      <c r="CU812" s="216"/>
      <c r="CV812" s="1193"/>
      <c r="CW812" s="249"/>
      <c r="CX812" s="216"/>
      <c r="CY812" s="305"/>
      <c r="CZ812" s="249"/>
      <c r="DA812" s="216"/>
      <c r="DB812" s="307"/>
      <c r="DC812" s="328"/>
      <c r="DD812" s="322"/>
      <c r="DE812" s="305"/>
      <c r="DF812" s="249"/>
      <c r="DG812" s="216"/>
      <c r="DH812" s="305"/>
      <c r="DI812" s="249"/>
      <c r="DJ812" s="216"/>
      <c r="DK812" s="309"/>
      <c r="DL812" s="293"/>
      <c r="DM812" s="326"/>
      <c r="DN812" s="1256"/>
      <c r="DO812" s="214"/>
      <c r="DP812" s="1257"/>
      <c r="DQ812" s="1258"/>
      <c r="DR812" s="305"/>
      <c r="DS812" s="249"/>
      <c r="DT812" s="216"/>
      <c r="DU812" s="305"/>
      <c r="DV812" s="2520"/>
      <c r="DW812" s="2521"/>
      <c r="DX812" s="305"/>
      <c r="DY812" s="249"/>
      <c r="DZ812" s="221"/>
      <c r="EA812" s="388"/>
      <c r="EB812" s="249"/>
      <c r="EC812" s="216"/>
      <c r="ED812" s="1461"/>
      <c r="EE812" s="249"/>
      <c r="EF812" s="216"/>
      <c r="EG812" s="355"/>
      <c r="EH812" s="1425"/>
      <c r="EI812" s="1470"/>
      <c r="EJ812" s="249"/>
      <c r="EK812" s="221"/>
      <c r="EL812" s="313"/>
      <c r="EM812" s="249"/>
      <c r="EN812" s="221"/>
      <c r="EO812" s="313"/>
      <c r="EP812" s="249"/>
      <c r="EQ812" s="216"/>
      <c r="ER812" s="313"/>
      <c r="ES812" s="249"/>
      <c r="ET812" s="216"/>
      <c r="EU812" s="313"/>
      <c r="EV812" s="249"/>
      <c r="EW812" s="216"/>
      <c r="EX812" s="2505"/>
      <c r="EY812" s="249"/>
      <c r="EZ812" s="221"/>
      <c r="FA812" s="313"/>
      <c r="FB812" s="249"/>
      <c r="FC812" s="221"/>
      <c r="FD812" s="313"/>
      <c r="FE812" s="249"/>
      <c r="FF812" s="221"/>
      <c r="FG812" s="313"/>
      <c r="FH812" s="249"/>
      <c r="FI812" s="216"/>
      <c r="FJ812" s="1435"/>
      <c r="FK812" s="216"/>
      <c r="FL812" s="1268"/>
      <c r="FM812" s="1655"/>
      <c r="FN812" s="1268"/>
      <c r="FO812" s="1655"/>
      <c r="FP812" s="1268"/>
      <c r="FQ812" s="1656"/>
      <c r="FR812" s="249"/>
      <c r="FS812" s="216"/>
      <c r="FT812" s="1657"/>
      <c r="FU812" s="1658"/>
      <c r="FV812" s="242"/>
      <c r="FW812" s="343"/>
      <c r="FX812" s="222"/>
      <c r="FY812" s="336"/>
      <c r="FZ812" s="223"/>
      <c r="GA812" s="338"/>
      <c r="GB812" s="204"/>
      <c r="GC812" s="339"/>
      <c r="GD812" s="342"/>
      <c r="GE812" s="199"/>
      <c r="GF812" s="199"/>
      <c r="GG812" s="199"/>
      <c r="GH812" s="199"/>
      <c r="GI812" s="199"/>
      <c r="GJ812" s="199"/>
      <c r="GK812" s="199"/>
      <c r="GO812" s="322"/>
      <c r="GP812" s="1190"/>
      <c r="GQ812" s="1190"/>
      <c r="GS812" s="2879"/>
      <c r="GT812" s="2880"/>
      <c r="GU812" s="2881"/>
    </row>
    <row r="813" spans="1:203" ht="12" customHeight="1">
      <c r="A813" s="1252"/>
      <c r="B813" s="200"/>
      <c r="C813" s="486"/>
      <c r="T813" s="1186"/>
      <c r="U813" s="233"/>
      <c r="W813" s="218"/>
      <c r="X813" s="218"/>
      <c r="Y813" s="216"/>
      <c r="Z813" s="216"/>
      <c r="AA813" s="215"/>
      <c r="AB813" s="216"/>
      <c r="AC813" s="216"/>
      <c r="AD813" s="239"/>
      <c r="AE813" s="216"/>
      <c r="AF813" s="216"/>
      <c r="AG813" s="216"/>
      <c r="AH813" s="216"/>
      <c r="AI813" s="216"/>
      <c r="AJ813" s="216"/>
      <c r="AK813" s="239"/>
      <c r="AL813" s="216"/>
      <c r="AM813" s="216"/>
      <c r="AN813" s="216"/>
      <c r="AO813" s="216"/>
      <c r="AP813" s="216"/>
      <c r="AQ813" s="216"/>
      <c r="AR813" s="216"/>
      <c r="AS813" s="216"/>
      <c r="AT813" s="216"/>
      <c r="AU813" s="216"/>
      <c r="AV813" s="217"/>
      <c r="AW813" s="355"/>
      <c r="AX813" s="217"/>
      <c r="AY813" s="305"/>
      <c r="AZ813" s="249"/>
      <c r="BA813" s="221"/>
      <c r="BB813" s="300"/>
      <c r="BC813" s="217"/>
      <c r="BD813" s="392"/>
      <c r="BE813" s="1244"/>
      <c r="BF813" s="249"/>
      <c r="BG813" s="252"/>
      <c r="BH813" s="1469"/>
      <c r="BI813" s="216"/>
      <c r="BJ813" s="1469"/>
      <c r="BK813" s="1459"/>
      <c r="BL813" s="260"/>
      <c r="BM813" s="214"/>
      <c r="BN813" s="293"/>
      <c r="BO813" s="217"/>
      <c r="BP813" s="355"/>
      <c r="BQ813" s="217"/>
      <c r="BR813" s="1193"/>
      <c r="BS813" s="249"/>
      <c r="BT813" s="216"/>
      <c r="BU813" s="1195"/>
      <c r="BV813" s="249"/>
      <c r="BW813" s="216"/>
      <c r="BX813" s="1195"/>
      <c r="BY813" s="249"/>
      <c r="BZ813" s="216"/>
      <c r="CA813" s="1195"/>
      <c r="CB813" s="249"/>
      <c r="CC813" s="216"/>
      <c r="CD813" s="1195"/>
      <c r="CE813" s="249"/>
      <c r="CF813" s="216"/>
      <c r="CG813" s="1195"/>
      <c r="CH813" s="249"/>
      <c r="CI813" s="216"/>
      <c r="CJ813" s="1195"/>
      <c r="CK813" s="249"/>
      <c r="CL813" s="216"/>
      <c r="CM813" s="1194"/>
      <c r="CN813" s="1524"/>
      <c r="CO813" s="217"/>
      <c r="CP813" s="1193"/>
      <c r="CQ813" s="293"/>
      <c r="CR813" s="217"/>
      <c r="CS813" s="305"/>
      <c r="CT813" s="249"/>
      <c r="CU813" s="216"/>
      <c r="CV813" s="1193"/>
      <c r="CW813" s="249"/>
      <c r="CX813" s="216"/>
      <c r="CY813" s="305"/>
      <c r="CZ813" s="249"/>
      <c r="DA813" s="216"/>
      <c r="DB813" s="307"/>
      <c r="DC813" s="328"/>
      <c r="DD813" s="322"/>
      <c r="DE813" s="305"/>
      <c r="DF813" s="249"/>
      <c r="DG813" s="216"/>
      <c r="DH813" s="305"/>
      <c r="DI813" s="249"/>
      <c r="DJ813" s="216"/>
      <c r="DK813" s="309"/>
      <c r="DL813" s="293"/>
      <c r="DM813" s="326"/>
      <c r="DN813" s="1256"/>
      <c r="DO813" s="214"/>
      <c r="DP813" s="1257"/>
      <c r="DQ813" s="1258"/>
      <c r="DR813" s="305"/>
      <c r="DS813" s="249"/>
      <c r="DT813" s="216"/>
      <c r="DU813" s="305"/>
      <c r="DV813" s="2520"/>
      <c r="DW813" s="2521"/>
      <c r="DX813" s="305"/>
      <c r="DY813" s="249"/>
      <c r="DZ813" s="221"/>
      <c r="EA813" s="388"/>
      <c r="EB813" s="249"/>
      <c r="EC813" s="216"/>
      <c r="ED813" s="1461"/>
      <c r="EE813" s="249"/>
      <c r="EF813" s="216"/>
      <c r="EG813" s="355"/>
      <c r="EH813" s="1425"/>
      <c r="EI813" s="1470"/>
      <c r="EJ813" s="249"/>
      <c r="EK813" s="221"/>
      <c r="EL813" s="313"/>
      <c r="EM813" s="249"/>
      <c r="EN813" s="221"/>
      <c r="EO813" s="313"/>
      <c r="EP813" s="249"/>
      <c r="EQ813" s="216"/>
      <c r="ER813" s="313"/>
      <c r="ES813" s="249"/>
      <c r="ET813" s="216"/>
      <c r="EU813" s="313"/>
      <c r="EV813" s="249"/>
      <c r="EW813" s="216"/>
      <c r="EX813" s="2505"/>
      <c r="EY813" s="249"/>
      <c r="EZ813" s="221"/>
      <c r="FA813" s="313"/>
      <c r="FB813" s="249"/>
      <c r="FC813" s="221"/>
      <c r="FD813" s="313"/>
      <c r="FE813" s="249"/>
      <c r="FF813" s="221"/>
      <c r="FG813" s="313"/>
      <c r="FH813" s="249"/>
      <c r="FI813" s="216"/>
      <c r="FJ813" s="1435"/>
      <c r="FK813" s="216"/>
      <c r="FL813" s="1268"/>
      <c r="FM813" s="1655"/>
      <c r="FN813" s="1268"/>
      <c r="FO813" s="1655"/>
      <c r="FP813" s="1268"/>
      <c r="FQ813" s="1656"/>
      <c r="FR813" s="249"/>
      <c r="FS813" s="216"/>
      <c r="FT813" s="1657"/>
      <c r="FU813" s="1658"/>
      <c r="FV813" s="242"/>
      <c r="FW813" s="343"/>
      <c r="FX813" s="222"/>
      <c r="FY813" s="336"/>
      <c r="FZ813" s="223"/>
      <c r="GA813" s="338"/>
      <c r="GB813" s="204"/>
      <c r="GC813" s="339"/>
      <c r="GD813" s="342"/>
      <c r="GE813" s="199"/>
      <c r="GF813" s="199"/>
      <c r="GG813" s="199"/>
      <c r="GH813" s="199"/>
      <c r="GI813" s="199"/>
      <c r="GJ813" s="199"/>
      <c r="GK813" s="199"/>
      <c r="GO813" s="322"/>
      <c r="GP813" s="1190"/>
      <c r="GQ813" s="1190"/>
      <c r="GS813" s="2879"/>
      <c r="GT813" s="2880"/>
      <c r="GU813" s="2881"/>
    </row>
    <row r="814" spans="1:203" ht="12" customHeight="1">
      <c r="A814" s="1252"/>
      <c r="B814" s="200"/>
      <c r="C814" s="486"/>
      <c r="T814" s="1186"/>
      <c r="U814" s="233"/>
      <c r="W814" s="218"/>
      <c r="X814" s="218"/>
      <c r="Y814" s="216"/>
      <c r="Z814" s="216"/>
      <c r="AA814" s="215"/>
      <c r="AB814" s="216"/>
      <c r="AC814" s="216"/>
      <c r="AD814" s="239"/>
      <c r="AE814" s="216"/>
      <c r="AF814" s="216"/>
      <c r="AG814" s="216"/>
      <c r="AH814" s="216"/>
      <c r="AI814" s="216"/>
      <c r="AJ814" s="216"/>
      <c r="AK814" s="239"/>
      <c r="AL814" s="216"/>
      <c r="AM814" s="216"/>
      <c r="AN814" s="216"/>
      <c r="AO814" s="216"/>
      <c r="AP814" s="216"/>
      <c r="AQ814" s="216"/>
      <c r="AR814" s="216"/>
      <c r="AS814" s="216"/>
      <c r="AT814" s="216"/>
      <c r="AU814" s="216"/>
      <c r="AV814" s="217"/>
      <c r="AW814" s="355"/>
      <c r="AX814" s="217"/>
      <c r="AY814" s="305"/>
      <c r="AZ814" s="249"/>
      <c r="BA814" s="221"/>
      <c r="BB814" s="300"/>
      <c r="BC814" s="217"/>
      <c r="BD814" s="392"/>
      <c r="BE814" s="1244"/>
      <c r="BF814" s="249"/>
      <c r="BG814" s="252"/>
      <c r="BH814" s="1469"/>
      <c r="BI814" s="216"/>
      <c r="BJ814" s="1469"/>
      <c r="BK814" s="1459"/>
      <c r="BL814" s="260"/>
      <c r="BM814" s="214"/>
      <c r="BN814" s="293"/>
      <c r="BO814" s="217"/>
      <c r="BP814" s="355"/>
      <c r="BQ814" s="217"/>
      <c r="BR814" s="1193"/>
      <c r="BS814" s="249"/>
      <c r="BT814" s="216"/>
      <c r="BU814" s="1195"/>
      <c r="BV814" s="249"/>
      <c r="BW814" s="216"/>
      <c r="BX814" s="1195"/>
      <c r="BY814" s="249"/>
      <c r="BZ814" s="216"/>
      <c r="CA814" s="1195"/>
      <c r="CB814" s="249"/>
      <c r="CC814" s="216"/>
      <c r="CD814" s="1195"/>
      <c r="CE814" s="249"/>
      <c r="CF814" s="216"/>
      <c r="CG814" s="1195"/>
      <c r="CH814" s="249"/>
      <c r="CI814" s="216"/>
      <c r="CJ814" s="1195"/>
      <c r="CK814" s="249"/>
      <c r="CL814" s="216"/>
      <c r="CM814" s="1194"/>
      <c r="CN814" s="1524"/>
      <c r="CO814" s="217"/>
      <c r="CP814" s="1193"/>
      <c r="CQ814" s="293"/>
      <c r="CR814" s="217"/>
      <c r="CS814" s="305"/>
      <c r="CT814" s="249"/>
      <c r="CU814" s="216"/>
      <c r="CV814" s="1193"/>
      <c r="CW814" s="249"/>
      <c r="CX814" s="216"/>
      <c r="CY814" s="305"/>
      <c r="CZ814" s="249"/>
      <c r="DA814" s="216"/>
      <c r="DB814" s="307"/>
      <c r="DC814" s="328"/>
      <c r="DD814" s="322"/>
      <c r="DE814" s="305"/>
      <c r="DF814" s="249"/>
      <c r="DG814" s="216"/>
      <c r="DH814" s="305"/>
      <c r="DI814" s="249"/>
      <c r="DJ814" s="216"/>
      <c r="DK814" s="309"/>
      <c r="DL814" s="293"/>
      <c r="DM814" s="326"/>
      <c r="DN814" s="1256"/>
      <c r="DO814" s="214"/>
      <c r="DP814" s="1257"/>
      <c r="DQ814" s="1258"/>
      <c r="DR814" s="305"/>
      <c r="DS814" s="249"/>
      <c r="DT814" s="216"/>
      <c r="DU814" s="305"/>
      <c r="DV814" s="2520"/>
      <c r="DW814" s="2521"/>
      <c r="DX814" s="305"/>
      <c r="DY814" s="249"/>
      <c r="DZ814" s="221"/>
      <c r="EA814" s="388"/>
      <c r="EB814" s="249"/>
      <c r="EC814" s="216"/>
      <c r="ED814" s="1461"/>
      <c r="EE814" s="249"/>
      <c r="EF814" s="216"/>
      <c r="EG814" s="355"/>
      <c r="EH814" s="1425"/>
      <c r="EI814" s="1470"/>
      <c r="EJ814" s="249"/>
      <c r="EK814" s="221"/>
      <c r="EL814" s="313"/>
      <c r="EM814" s="249"/>
      <c r="EN814" s="221"/>
      <c r="EO814" s="313"/>
      <c r="EP814" s="249"/>
      <c r="EQ814" s="216"/>
      <c r="ER814" s="313"/>
      <c r="ES814" s="249"/>
      <c r="ET814" s="216"/>
      <c r="EU814" s="313"/>
      <c r="EV814" s="249"/>
      <c r="EW814" s="216"/>
      <c r="EX814" s="2505"/>
      <c r="EY814" s="249"/>
      <c r="EZ814" s="221"/>
      <c r="FA814" s="313"/>
      <c r="FB814" s="249"/>
      <c r="FC814" s="221"/>
      <c r="FD814" s="313"/>
      <c r="FE814" s="249"/>
      <c r="FF814" s="221"/>
      <c r="FG814" s="313"/>
      <c r="FH814" s="249"/>
      <c r="FI814" s="216"/>
      <c r="FJ814" s="1435"/>
      <c r="FK814" s="216"/>
      <c r="FL814" s="1268"/>
      <c r="FM814" s="1655"/>
      <c r="FN814" s="1268"/>
      <c r="FO814" s="1655"/>
      <c r="FP814" s="1268"/>
      <c r="FQ814" s="1656"/>
      <c r="FR814" s="249"/>
      <c r="FS814" s="216"/>
      <c r="FT814" s="1657"/>
      <c r="FU814" s="1658"/>
      <c r="FV814" s="242"/>
      <c r="FW814" s="343"/>
      <c r="FX814" s="222"/>
      <c r="FY814" s="336"/>
      <c r="FZ814" s="223"/>
      <c r="GA814" s="338"/>
      <c r="GB814" s="204"/>
      <c r="GC814" s="339"/>
      <c r="GD814" s="342"/>
      <c r="GE814" s="199"/>
      <c r="GF814" s="199"/>
      <c r="GG814" s="199"/>
      <c r="GH814" s="199"/>
      <c r="GI814" s="199"/>
      <c r="GJ814" s="199"/>
      <c r="GK814" s="199"/>
      <c r="GO814" s="322"/>
      <c r="GP814" s="1190"/>
      <c r="GQ814" s="1190"/>
      <c r="GS814" s="2879"/>
      <c r="GT814" s="2880"/>
      <c r="GU814" s="2881"/>
    </row>
    <row r="815" spans="1:203" ht="12" customHeight="1">
      <c r="A815" s="1252"/>
      <c r="B815" s="200"/>
      <c r="C815" s="486"/>
      <c r="T815" s="1186"/>
      <c r="U815" s="233"/>
      <c r="W815" s="218"/>
      <c r="X815" s="218"/>
      <c r="Y815" s="216"/>
      <c r="Z815" s="216"/>
      <c r="AA815" s="215"/>
      <c r="AB815" s="216"/>
      <c r="AC815" s="216"/>
      <c r="AD815" s="239"/>
      <c r="AE815" s="216"/>
      <c r="AF815" s="216"/>
      <c r="AG815" s="216"/>
      <c r="AH815" s="216"/>
      <c r="AI815" s="216"/>
      <c r="AJ815" s="216"/>
      <c r="AK815" s="239"/>
      <c r="AL815" s="216"/>
      <c r="AM815" s="216"/>
      <c r="AN815" s="216"/>
      <c r="AO815" s="216"/>
      <c r="AP815" s="216"/>
      <c r="AQ815" s="216"/>
      <c r="AR815" s="216"/>
      <c r="AS815" s="216"/>
      <c r="AT815" s="216"/>
      <c r="AU815" s="216"/>
      <c r="AV815" s="217"/>
      <c r="AW815" s="355"/>
      <c r="AX815" s="217"/>
      <c r="AY815" s="305"/>
      <c r="AZ815" s="249"/>
      <c r="BA815" s="221"/>
      <c r="BB815" s="300"/>
      <c r="BC815" s="217"/>
      <c r="BD815" s="392"/>
      <c r="BE815" s="1244"/>
      <c r="BF815" s="249"/>
      <c r="BG815" s="252"/>
      <c r="BH815" s="1469"/>
      <c r="BI815" s="216"/>
      <c r="BJ815" s="1469"/>
      <c r="BK815" s="1459"/>
      <c r="BL815" s="260"/>
      <c r="BM815" s="214"/>
      <c r="BN815" s="293"/>
      <c r="BO815" s="217"/>
      <c r="BP815" s="355"/>
      <c r="BQ815" s="217"/>
      <c r="BR815" s="1193"/>
      <c r="BS815" s="249"/>
      <c r="BT815" s="216"/>
      <c r="BU815" s="1195"/>
      <c r="BV815" s="249"/>
      <c r="BW815" s="216"/>
      <c r="BX815" s="1195"/>
      <c r="BY815" s="249"/>
      <c r="BZ815" s="216"/>
      <c r="CA815" s="1195"/>
      <c r="CB815" s="249"/>
      <c r="CC815" s="216"/>
      <c r="CD815" s="1195"/>
      <c r="CE815" s="249"/>
      <c r="CF815" s="216"/>
      <c r="CG815" s="1195"/>
      <c r="CH815" s="249"/>
      <c r="CI815" s="216"/>
      <c r="CJ815" s="1195"/>
      <c r="CK815" s="249"/>
      <c r="CL815" s="216"/>
      <c r="CM815" s="1194"/>
      <c r="CN815" s="1524"/>
      <c r="CO815" s="217"/>
      <c r="CP815" s="1193"/>
      <c r="CQ815" s="293"/>
      <c r="CR815" s="217"/>
      <c r="CS815" s="305"/>
      <c r="CT815" s="249"/>
      <c r="CU815" s="216"/>
      <c r="CV815" s="1193"/>
      <c r="CW815" s="249"/>
      <c r="CX815" s="216"/>
      <c r="CY815" s="305"/>
      <c r="CZ815" s="249"/>
      <c r="DA815" s="216"/>
      <c r="DB815" s="307"/>
      <c r="DC815" s="328"/>
      <c r="DD815" s="322"/>
      <c r="DE815" s="305"/>
      <c r="DF815" s="249"/>
      <c r="DG815" s="216"/>
      <c r="DH815" s="305"/>
      <c r="DI815" s="249"/>
      <c r="DJ815" s="216"/>
      <c r="DK815" s="309"/>
      <c r="DL815" s="293"/>
      <c r="DM815" s="326"/>
      <c r="DN815" s="1256"/>
      <c r="DO815" s="214"/>
      <c r="DP815" s="1257"/>
      <c r="DQ815" s="1258"/>
      <c r="DR815" s="305"/>
      <c r="DS815" s="249"/>
      <c r="DT815" s="216"/>
      <c r="DU815" s="305"/>
      <c r="DV815" s="2520"/>
      <c r="DW815" s="2521"/>
      <c r="DX815" s="305"/>
      <c r="DY815" s="249"/>
      <c r="DZ815" s="221"/>
      <c r="EA815" s="388"/>
      <c r="EB815" s="249"/>
      <c r="EC815" s="216"/>
      <c r="ED815" s="1461"/>
      <c r="EE815" s="249"/>
      <c r="EF815" s="216"/>
      <c r="EG815" s="355"/>
      <c r="EH815" s="1425"/>
      <c r="EI815" s="1470"/>
      <c r="EJ815" s="249"/>
      <c r="EK815" s="221"/>
      <c r="EL815" s="313"/>
      <c r="EM815" s="249"/>
      <c r="EN815" s="221"/>
      <c r="EO815" s="313"/>
      <c r="EP815" s="249"/>
      <c r="EQ815" s="216"/>
      <c r="ER815" s="313"/>
      <c r="ES815" s="249"/>
      <c r="ET815" s="216"/>
      <c r="EU815" s="313"/>
      <c r="EV815" s="249"/>
      <c r="EW815" s="216"/>
      <c r="EX815" s="2505"/>
      <c r="EY815" s="249"/>
      <c r="EZ815" s="221"/>
      <c r="FA815" s="313"/>
      <c r="FB815" s="249"/>
      <c r="FC815" s="221"/>
      <c r="FD815" s="313"/>
      <c r="FE815" s="249"/>
      <c r="FF815" s="221"/>
      <c r="FG815" s="313"/>
      <c r="FH815" s="249"/>
      <c r="FI815" s="216"/>
      <c r="FJ815" s="1435"/>
      <c r="FK815" s="216"/>
      <c r="FL815" s="1268"/>
      <c r="FM815" s="1655"/>
      <c r="FN815" s="1268"/>
      <c r="FO815" s="1655"/>
      <c r="FP815" s="1268"/>
      <c r="FQ815" s="1656"/>
      <c r="FR815" s="249"/>
      <c r="FS815" s="216"/>
      <c r="FT815" s="1657"/>
      <c r="FU815" s="1658"/>
      <c r="FV815" s="242"/>
      <c r="FW815" s="343"/>
      <c r="FX815" s="222"/>
      <c r="FY815" s="336"/>
      <c r="FZ815" s="223"/>
      <c r="GA815" s="338"/>
      <c r="GB815" s="204"/>
      <c r="GC815" s="339"/>
      <c r="GD815" s="342"/>
      <c r="GE815" s="199"/>
      <c r="GF815" s="199"/>
      <c r="GG815" s="199"/>
      <c r="GH815" s="199"/>
      <c r="GI815" s="199"/>
      <c r="GJ815" s="199"/>
      <c r="GK815" s="199"/>
      <c r="GO815" s="322"/>
      <c r="GP815" s="1190"/>
      <c r="GQ815" s="1190"/>
      <c r="GS815" s="2879"/>
      <c r="GT815" s="2880"/>
      <c r="GU815" s="2881"/>
    </row>
    <row r="816" spans="1:203" ht="12" customHeight="1">
      <c r="A816" s="1252"/>
      <c r="B816" s="200"/>
      <c r="C816" s="486"/>
      <c r="T816" s="1186"/>
      <c r="U816" s="233"/>
      <c r="W816" s="218"/>
      <c r="X816" s="218"/>
      <c r="Y816" s="216"/>
      <c r="Z816" s="216"/>
      <c r="AA816" s="215"/>
      <c r="AB816" s="216"/>
      <c r="AC816" s="216"/>
      <c r="AD816" s="239"/>
      <c r="AE816" s="216"/>
      <c r="AF816" s="216"/>
      <c r="AG816" s="216"/>
      <c r="AH816" s="216"/>
      <c r="AI816" s="216"/>
      <c r="AJ816" s="216"/>
      <c r="AK816" s="239"/>
      <c r="AL816" s="216"/>
      <c r="AM816" s="216"/>
      <c r="AN816" s="216"/>
      <c r="AO816" s="216"/>
      <c r="AP816" s="216"/>
      <c r="AQ816" s="216"/>
      <c r="AR816" s="216"/>
      <c r="AS816" s="216"/>
      <c r="AT816" s="216"/>
      <c r="AU816" s="216"/>
      <c r="AV816" s="217"/>
      <c r="AW816" s="355"/>
      <c r="AX816" s="217"/>
      <c r="AY816" s="305"/>
      <c r="AZ816" s="249"/>
      <c r="BA816" s="221"/>
      <c r="BB816" s="300"/>
      <c r="BC816" s="217"/>
      <c r="BD816" s="392"/>
      <c r="BE816" s="1244"/>
      <c r="BF816" s="249"/>
      <c r="BG816" s="252"/>
      <c r="BH816" s="1469"/>
      <c r="BI816" s="216"/>
      <c r="BJ816" s="1469"/>
      <c r="BK816" s="1459"/>
      <c r="BL816" s="260"/>
      <c r="BM816" s="214"/>
      <c r="BN816" s="293"/>
      <c r="BO816" s="217"/>
      <c r="BP816" s="355"/>
      <c r="BQ816" s="217"/>
      <c r="BR816" s="1193"/>
      <c r="BS816" s="249"/>
      <c r="BT816" s="216"/>
      <c r="BU816" s="1195"/>
      <c r="BV816" s="249"/>
      <c r="BW816" s="216"/>
      <c r="BX816" s="1195"/>
      <c r="BY816" s="249"/>
      <c r="BZ816" s="216"/>
      <c r="CA816" s="1195"/>
      <c r="CB816" s="249"/>
      <c r="CC816" s="216"/>
      <c r="CD816" s="1195"/>
      <c r="CE816" s="249"/>
      <c r="CF816" s="216"/>
      <c r="CG816" s="1195"/>
      <c r="CH816" s="249"/>
      <c r="CI816" s="216"/>
      <c r="CJ816" s="1195"/>
      <c r="CK816" s="249"/>
      <c r="CL816" s="216"/>
      <c r="CM816" s="1194"/>
      <c r="CN816" s="1524"/>
      <c r="CO816" s="217"/>
      <c r="CP816" s="1193"/>
      <c r="CQ816" s="293"/>
      <c r="CR816" s="217"/>
      <c r="CS816" s="305"/>
      <c r="CT816" s="249"/>
      <c r="CU816" s="216"/>
      <c r="CV816" s="1193"/>
      <c r="CW816" s="249"/>
      <c r="CX816" s="216"/>
      <c r="CY816" s="305"/>
      <c r="CZ816" s="249"/>
      <c r="DA816" s="216"/>
      <c r="DB816" s="307"/>
      <c r="DC816" s="328"/>
      <c r="DD816" s="322"/>
      <c r="DE816" s="305"/>
      <c r="DF816" s="249"/>
      <c r="DG816" s="216"/>
      <c r="DH816" s="305"/>
      <c r="DI816" s="249"/>
      <c r="DJ816" s="216"/>
      <c r="DK816" s="309"/>
      <c r="DL816" s="293"/>
      <c r="DM816" s="326"/>
      <c r="DN816" s="1256"/>
      <c r="DO816" s="214"/>
      <c r="DP816" s="1257"/>
      <c r="DQ816" s="1258"/>
      <c r="DR816" s="305"/>
      <c r="DS816" s="249"/>
      <c r="DT816" s="216"/>
      <c r="DU816" s="305"/>
      <c r="DV816" s="2520"/>
      <c r="DW816" s="2521"/>
      <c r="DX816" s="305"/>
      <c r="DY816" s="249"/>
      <c r="DZ816" s="221"/>
      <c r="EA816" s="388"/>
      <c r="EB816" s="249"/>
      <c r="EC816" s="216"/>
      <c r="ED816" s="1461"/>
      <c r="EE816" s="249"/>
      <c r="EF816" s="216"/>
      <c r="EG816" s="355"/>
      <c r="EH816" s="1425"/>
      <c r="EI816" s="1470"/>
      <c r="EJ816" s="249"/>
      <c r="EK816" s="221"/>
      <c r="EL816" s="313"/>
      <c r="EM816" s="249"/>
      <c r="EN816" s="221"/>
      <c r="EO816" s="313"/>
      <c r="EP816" s="249"/>
      <c r="EQ816" s="216"/>
      <c r="ER816" s="313"/>
      <c r="ES816" s="249"/>
      <c r="ET816" s="216"/>
      <c r="EU816" s="313"/>
      <c r="EV816" s="249"/>
      <c r="EW816" s="216"/>
      <c r="EX816" s="2505"/>
      <c r="EY816" s="249"/>
      <c r="EZ816" s="221"/>
      <c r="FA816" s="313"/>
      <c r="FB816" s="249"/>
      <c r="FC816" s="221"/>
      <c r="FD816" s="313"/>
      <c r="FE816" s="249"/>
      <c r="FF816" s="221"/>
      <c r="FG816" s="313"/>
      <c r="FH816" s="249"/>
      <c r="FI816" s="216"/>
      <c r="FJ816" s="1435"/>
      <c r="FK816" s="216"/>
      <c r="FL816" s="1268"/>
      <c r="FM816" s="1655"/>
      <c r="FN816" s="1268"/>
      <c r="FO816" s="1655"/>
      <c r="FP816" s="1268"/>
      <c r="FQ816" s="1656"/>
      <c r="FR816" s="249"/>
      <c r="FS816" s="216"/>
      <c r="FT816" s="1657"/>
      <c r="FU816" s="1658"/>
      <c r="FV816" s="242"/>
      <c r="FW816" s="343"/>
      <c r="FX816" s="222"/>
      <c r="FY816" s="336"/>
      <c r="FZ816" s="223"/>
      <c r="GA816" s="338"/>
      <c r="GB816" s="204"/>
      <c r="GC816" s="339"/>
      <c r="GD816" s="342"/>
      <c r="GE816" s="199"/>
      <c r="GF816" s="199"/>
      <c r="GG816" s="199"/>
      <c r="GH816" s="199"/>
      <c r="GI816" s="199"/>
      <c r="GJ816" s="199"/>
      <c r="GK816" s="199"/>
      <c r="GO816" s="322"/>
      <c r="GP816" s="1190"/>
      <c r="GQ816" s="1190"/>
      <c r="GS816" s="2879"/>
      <c r="GT816" s="2880"/>
      <c r="GU816" s="2881"/>
    </row>
    <row r="817" spans="1:203" ht="12" customHeight="1">
      <c r="A817" s="1252"/>
      <c r="B817" s="200"/>
      <c r="C817" s="486"/>
      <c r="T817" s="1186"/>
      <c r="U817" s="233"/>
      <c r="W817" s="218"/>
      <c r="X817" s="218"/>
      <c r="Y817" s="216"/>
      <c r="Z817" s="216"/>
      <c r="AA817" s="215"/>
      <c r="AB817" s="216"/>
      <c r="AC817" s="216"/>
      <c r="AD817" s="239"/>
      <c r="AE817" s="216"/>
      <c r="AF817" s="216"/>
      <c r="AG817" s="216"/>
      <c r="AH817" s="216"/>
      <c r="AI817" s="216"/>
      <c r="AJ817" s="216"/>
      <c r="AK817" s="239"/>
      <c r="AL817" s="216"/>
      <c r="AM817" s="216"/>
      <c r="AN817" s="216"/>
      <c r="AO817" s="216"/>
      <c r="AP817" s="216"/>
      <c r="AQ817" s="216"/>
      <c r="AR817" s="216"/>
      <c r="AS817" s="216"/>
      <c r="AT817" s="216"/>
      <c r="AU817" s="216"/>
      <c r="AV817" s="217"/>
      <c r="AW817" s="355"/>
      <c r="AX817" s="217"/>
      <c r="AY817" s="305"/>
      <c r="AZ817" s="249"/>
      <c r="BA817" s="221"/>
      <c r="BB817" s="300"/>
      <c r="BC817" s="217"/>
      <c r="BD817" s="392"/>
      <c r="BE817" s="1244"/>
      <c r="BF817" s="249"/>
      <c r="BG817" s="252"/>
      <c r="BH817" s="1469"/>
      <c r="BI817" s="216"/>
      <c r="BJ817" s="1469"/>
      <c r="BK817" s="1459"/>
      <c r="BL817" s="260"/>
      <c r="BM817" s="214"/>
      <c r="BN817" s="293"/>
      <c r="BO817" s="217"/>
      <c r="BP817" s="355"/>
      <c r="BQ817" s="217"/>
      <c r="BR817" s="1193"/>
      <c r="BS817" s="249"/>
      <c r="BT817" s="216"/>
      <c r="BU817" s="1195"/>
      <c r="BV817" s="249"/>
      <c r="BW817" s="216"/>
      <c r="BX817" s="1195"/>
      <c r="BY817" s="249"/>
      <c r="BZ817" s="216"/>
      <c r="CA817" s="1195"/>
      <c r="CB817" s="249"/>
      <c r="CC817" s="216"/>
      <c r="CD817" s="1195"/>
      <c r="CE817" s="249"/>
      <c r="CF817" s="216"/>
      <c r="CG817" s="1195"/>
      <c r="CH817" s="249"/>
      <c r="CI817" s="216"/>
      <c r="CJ817" s="1195"/>
      <c r="CK817" s="249"/>
      <c r="CL817" s="216"/>
      <c r="CM817" s="1194"/>
      <c r="CN817" s="1524"/>
      <c r="CO817" s="217"/>
      <c r="CP817" s="1193"/>
      <c r="CQ817" s="293"/>
      <c r="CR817" s="217"/>
      <c r="CS817" s="305"/>
      <c r="CT817" s="249"/>
      <c r="CU817" s="216"/>
      <c r="CV817" s="1193"/>
      <c r="CW817" s="249"/>
      <c r="CX817" s="216"/>
      <c r="CY817" s="305"/>
      <c r="CZ817" s="249"/>
      <c r="DA817" s="216"/>
      <c r="DB817" s="307"/>
      <c r="DC817" s="328"/>
      <c r="DD817" s="322"/>
      <c r="DE817" s="305"/>
      <c r="DF817" s="249"/>
      <c r="DG817" s="216"/>
      <c r="DH817" s="305"/>
      <c r="DI817" s="249"/>
      <c r="DJ817" s="216"/>
      <c r="DK817" s="309"/>
      <c r="DL817" s="293"/>
      <c r="DM817" s="326"/>
      <c r="DN817" s="1256"/>
      <c r="DO817" s="214"/>
      <c r="DP817" s="1257"/>
      <c r="DQ817" s="1258"/>
      <c r="DR817" s="305"/>
      <c r="DS817" s="249"/>
      <c r="DT817" s="216"/>
      <c r="DU817" s="305"/>
      <c r="DV817" s="2520"/>
      <c r="DW817" s="2521"/>
      <c r="DX817" s="305"/>
      <c r="DY817" s="249"/>
      <c r="DZ817" s="221"/>
      <c r="EA817" s="388"/>
      <c r="EB817" s="249"/>
      <c r="EC817" s="216"/>
      <c r="ED817" s="1461"/>
      <c r="EE817" s="249"/>
      <c r="EF817" s="216"/>
      <c r="EG817" s="355"/>
      <c r="EH817" s="1425"/>
      <c r="EI817" s="1470"/>
      <c r="EJ817" s="249"/>
      <c r="EK817" s="221"/>
      <c r="EL817" s="313"/>
      <c r="EM817" s="249"/>
      <c r="EN817" s="221"/>
      <c r="EO817" s="313"/>
      <c r="EP817" s="249"/>
      <c r="EQ817" s="216"/>
      <c r="ER817" s="313"/>
      <c r="ES817" s="249"/>
      <c r="ET817" s="216"/>
      <c r="EU817" s="313"/>
      <c r="EV817" s="249"/>
      <c r="EW817" s="216"/>
      <c r="EX817" s="2505"/>
      <c r="EY817" s="249"/>
      <c r="EZ817" s="221"/>
      <c r="FA817" s="313"/>
      <c r="FB817" s="249"/>
      <c r="FC817" s="221"/>
      <c r="FD817" s="313"/>
      <c r="FE817" s="249"/>
      <c r="FF817" s="221"/>
      <c r="FG817" s="313"/>
      <c r="FH817" s="249"/>
      <c r="FI817" s="216"/>
      <c r="FJ817" s="1435"/>
      <c r="FK817" s="216"/>
      <c r="FL817" s="1268"/>
      <c r="FM817" s="1655"/>
      <c r="FN817" s="1268"/>
      <c r="FO817" s="1655"/>
      <c r="FP817" s="1268"/>
      <c r="FQ817" s="1656"/>
      <c r="FR817" s="249"/>
      <c r="FS817" s="216"/>
      <c r="FT817" s="1657"/>
      <c r="FU817" s="1658"/>
      <c r="FV817" s="242"/>
      <c r="FW817" s="343"/>
      <c r="FX817" s="222"/>
      <c r="FY817" s="336"/>
      <c r="FZ817" s="223"/>
      <c r="GA817" s="338"/>
      <c r="GB817" s="204"/>
      <c r="GC817" s="339"/>
      <c r="GD817" s="342"/>
      <c r="GE817" s="199"/>
      <c r="GF817" s="199"/>
      <c r="GG817" s="199"/>
      <c r="GH817" s="199"/>
      <c r="GI817" s="199"/>
      <c r="GJ817" s="199"/>
      <c r="GK817" s="199"/>
      <c r="GO817" s="322"/>
      <c r="GP817" s="1190"/>
      <c r="GQ817" s="1190"/>
      <c r="GS817" s="2879"/>
      <c r="GT817" s="2880"/>
      <c r="GU817" s="2881"/>
    </row>
    <row r="818" spans="1:203" ht="12" customHeight="1">
      <c r="A818" s="1252"/>
      <c r="B818" s="200"/>
      <c r="C818" s="486"/>
      <c r="T818" s="1186"/>
      <c r="U818" s="233"/>
      <c r="W818" s="218"/>
      <c r="X818" s="218"/>
      <c r="Y818" s="216"/>
      <c r="Z818" s="216"/>
      <c r="AA818" s="215"/>
      <c r="AB818" s="216"/>
      <c r="AC818" s="216"/>
      <c r="AD818" s="239"/>
      <c r="AE818" s="216"/>
      <c r="AF818" s="216"/>
      <c r="AG818" s="216"/>
      <c r="AH818" s="216"/>
      <c r="AI818" s="216"/>
      <c r="AJ818" s="216"/>
      <c r="AK818" s="239"/>
      <c r="AL818" s="216"/>
      <c r="AM818" s="216"/>
      <c r="AN818" s="216"/>
      <c r="AO818" s="216"/>
      <c r="AP818" s="216"/>
      <c r="AQ818" s="216"/>
      <c r="AR818" s="216"/>
      <c r="AS818" s="216"/>
      <c r="AT818" s="216"/>
      <c r="AU818" s="216"/>
      <c r="AV818" s="217"/>
      <c r="AW818" s="355"/>
      <c r="AX818" s="217"/>
      <c r="AY818" s="305"/>
      <c r="AZ818" s="249"/>
      <c r="BA818" s="221"/>
      <c r="BB818" s="300"/>
      <c r="BC818" s="217"/>
      <c r="BD818" s="392"/>
      <c r="BE818" s="1244"/>
      <c r="BF818" s="249"/>
      <c r="BG818" s="252"/>
      <c r="BH818" s="1469"/>
      <c r="BI818" s="216"/>
      <c r="BJ818" s="1469"/>
      <c r="BK818" s="1459"/>
      <c r="BL818" s="260"/>
      <c r="BM818" s="214"/>
      <c r="BN818" s="293"/>
      <c r="BO818" s="217"/>
      <c r="BP818" s="355"/>
      <c r="BQ818" s="217"/>
      <c r="BR818" s="1193"/>
      <c r="BS818" s="249"/>
      <c r="BT818" s="216"/>
      <c r="BU818" s="1195"/>
      <c r="BV818" s="249"/>
      <c r="BW818" s="216"/>
      <c r="BX818" s="1195"/>
      <c r="BY818" s="249"/>
      <c r="BZ818" s="216"/>
      <c r="CA818" s="1195"/>
      <c r="CB818" s="249"/>
      <c r="CC818" s="216"/>
      <c r="CD818" s="1195"/>
      <c r="CE818" s="249"/>
      <c r="CF818" s="216"/>
      <c r="CG818" s="1195"/>
      <c r="CH818" s="249"/>
      <c r="CI818" s="216"/>
      <c r="CJ818" s="1195"/>
      <c r="CK818" s="249"/>
      <c r="CL818" s="216"/>
      <c r="CM818" s="1194"/>
      <c r="CN818" s="1524"/>
      <c r="CO818" s="217"/>
      <c r="CP818" s="1193"/>
      <c r="CQ818" s="293"/>
      <c r="CR818" s="217"/>
      <c r="CS818" s="305"/>
      <c r="CT818" s="249"/>
      <c r="CU818" s="216"/>
      <c r="CV818" s="1193"/>
      <c r="CW818" s="249"/>
      <c r="CX818" s="216"/>
      <c r="CY818" s="305"/>
      <c r="CZ818" s="249"/>
      <c r="DA818" s="216"/>
      <c r="DB818" s="307"/>
      <c r="DC818" s="328"/>
      <c r="DD818" s="322"/>
      <c r="DE818" s="305"/>
      <c r="DF818" s="249"/>
      <c r="DG818" s="216"/>
      <c r="DH818" s="305"/>
      <c r="DI818" s="249"/>
      <c r="DJ818" s="216"/>
      <c r="DK818" s="309"/>
      <c r="DL818" s="293"/>
      <c r="DM818" s="326"/>
      <c r="DN818" s="1256"/>
      <c r="DO818" s="214"/>
      <c r="DP818" s="1257"/>
      <c r="DQ818" s="1258"/>
      <c r="DR818" s="305"/>
      <c r="DS818" s="249"/>
      <c r="DT818" s="216"/>
      <c r="DU818" s="305"/>
      <c r="DV818" s="2520"/>
      <c r="DW818" s="2521"/>
      <c r="DX818" s="305"/>
      <c r="DY818" s="249"/>
      <c r="DZ818" s="221"/>
      <c r="EA818" s="388"/>
      <c r="EB818" s="249"/>
      <c r="EC818" s="216"/>
      <c r="ED818" s="1461"/>
      <c r="EE818" s="249"/>
      <c r="EF818" s="216"/>
      <c r="EG818" s="355"/>
      <c r="EH818" s="1425"/>
      <c r="EI818" s="1470"/>
      <c r="EJ818" s="249"/>
      <c r="EK818" s="221"/>
      <c r="EL818" s="313"/>
      <c r="EM818" s="249"/>
      <c r="EN818" s="221"/>
      <c r="EO818" s="313"/>
      <c r="EP818" s="249"/>
      <c r="EQ818" s="216"/>
      <c r="ER818" s="313"/>
      <c r="ES818" s="249"/>
      <c r="ET818" s="216"/>
      <c r="EU818" s="313"/>
      <c r="EV818" s="249"/>
      <c r="EW818" s="216"/>
      <c r="EX818" s="2505"/>
      <c r="EY818" s="249"/>
      <c r="EZ818" s="221"/>
      <c r="FA818" s="313"/>
      <c r="FB818" s="249"/>
      <c r="FC818" s="221"/>
      <c r="FD818" s="313"/>
      <c r="FE818" s="249"/>
      <c r="FF818" s="221"/>
      <c r="FG818" s="313"/>
      <c r="FH818" s="249"/>
      <c r="FI818" s="216"/>
      <c r="FJ818" s="1435"/>
      <c r="FK818" s="216"/>
      <c r="FL818" s="1268"/>
      <c r="FM818" s="1655"/>
      <c r="FN818" s="1268"/>
      <c r="FO818" s="1655"/>
      <c r="FP818" s="1268"/>
      <c r="FQ818" s="1656"/>
      <c r="FR818" s="249"/>
      <c r="FS818" s="216"/>
      <c r="FT818" s="1657"/>
      <c r="FU818" s="1658"/>
      <c r="FV818" s="242"/>
      <c r="FW818" s="343"/>
      <c r="FX818" s="222"/>
      <c r="FY818" s="336"/>
      <c r="FZ818" s="223"/>
      <c r="GA818" s="338"/>
      <c r="GB818" s="204"/>
      <c r="GC818" s="339"/>
      <c r="GD818" s="342"/>
      <c r="GE818" s="199"/>
      <c r="GF818" s="199"/>
      <c r="GG818" s="199"/>
      <c r="GH818" s="199"/>
      <c r="GI818" s="199"/>
      <c r="GJ818" s="199"/>
      <c r="GK818" s="199"/>
      <c r="GO818" s="322"/>
      <c r="GP818" s="1190"/>
      <c r="GQ818" s="1190"/>
      <c r="GS818" s="2879"/>
      <c r="GT818" s="2880"/>
      <c r="GU818" s="2881"/>
    </row>
    <row r="819" spans="1:203" ht="12" customHeight="1">
      <c r="A819" s="1252"/>
      <c r="B819" s="200"/>
      <c r="C819" s="486"/>
      <c r="T819" s="1186"/>
      <c r="U819" s="233"/>
      <c r="W819" s="218"/>
      <c r="X819" s="218"/>
      <c r="Y819" s="216"/>
      <c r="Z819" s="216"/>
      <c r="AA819" s="215"/>
      <c r="AB819" s="216"/>
      <c r="AC819" s="216"/>
      <c r="AD819" s="239"/>
      <c r="AE819" s="216"/>
      <c r="AF819" s="216"/>
      <c r="AG819" s="216"/>
      <c r="AH819" s="216"/>
      <c r="AI819" s="216"/>
      <c r="AJ819" s="216"/>
      <c r="AK819" s="239"/>
      <c r="AL819" s="216"/>
      <c r="AM819" s="216"/>
      <c r="AN819" s="216"/>
      <c r="AO819" s="216"/>
      <c r="AP819" s="216"/>
      <c r="AQ819" s="216"/>
      <c r="AR819" s="216"/>
      <c r="AS819" s="216"/>
      <c r="AT819" s="216"/>
      <c r="AU819" s="216"/>
      <c r="AV819" s="217"/>
      <c r="AW819" s="355"/>
      <c r="AX819" s="217"/>
      <c r="AY819" s="305"/>
      <c r="AZ819" s="249"/>
      <c r="BA819" s="221"/>
      <c r="BB819" s="300"/>
      <c r="BC819" s="217"/>
      <c r="BD819" s="392"/>
      <c r="BE819" s="1244"/>
      <c r="BF819" s="249"/>
      <c r="BG819" s="252"/>
      <c r="BH819" s="1469"/>
      <c r="BI819" s="216"/>
      <c r="BJ819" s="1469"/>
      <c r="BK819" s="1459"/>
      <c r="BL819" s="260"/>
      <c r="BM819" s="214"/>
      <c r="BN819" s="293"/>
      <c r="BO819" s="217"/>
      <c r="BP819" s="355"/>
      <c r="BQ819" s="217"/>
      <c r="BR819" s="1193"/>
      <c r="BS819" s="249"/>
      <c r="BT819" s="216"/>
      <c r="BU819" s="1195"/>
      <c r="BV819" s="249"/>
      <c r="BW819" s="216"/>
      <c r="BX819" s="1195"/>
      <c r="BY819" s="249"/>
      <c r="BZ819" s="216"/>
      <c r="CA819" s="1195"/>
      <c r="CB819" s="249"/>
      <c r="CC819" s="216"/>
      <c r="CD819" s="1195"/>
      <c r="CE819" s="249"/>
      <c r="CF819" s="216"/>
      <c r="CG819" s="1195"/>
      <c r="CH819" s="249"/>
      <c r="CI819" s="216"/>
      <c r="CJ819" s="1195"/>
      <c r="CK819" s="249"/>
      <c r="CL819" s="216"/>
      <c r="CM819" s="1194"/>
      <c r="CN819" s="1524"/>
      <c r="CO819" s="217"/>
      <c r="CP819" s="1193"/>
      <c r="CQ819" s="293"/>
      <c r="CR819" s="217"/>
      <c r="CS819" s="305"/>
      <c r="CT819" s="249"/>
      <c r="CU819" s="216"/>
      <c r="CV819" s="1193"/>
      <c r="CW819" s="249"/>
      <c r="CX819" s="216"/>
      <c r="CY819" s="305"/>
      <c r="CZ819" s="249"/>
      <c r="DA819" s="216"/>
      <c r="DB819" s="307"/>
      <c r="DC819" s="328"/>
      <c r="DD819" s="322"/>
      <c r="DE819" s="305"/>
      <c r="DF819" s="249"/>
      <c r="DG819" s="216"/>
      <c r="DH819" s="305"/>
      <c r="DI819" s="249"/>
      <c r="DJ819" s="216"/>
      <c r="DK819" s="309"/>
      <c r="DL819" s="293"/>
      <c r="DM819" s="326"/>
      <c r="DN819" s="1256"/>
      <c r="DO819" s="214"/>
      <c r="DP819" s="1257"/>
      <c r="DQ819" s="1258"/>
      <c r="DR819" s="305"/>
      <c r="DS819" s="249"/>
      <c r="DT819" s="216"/>
      <c r="DU819" s="305"/>
      <c r="DV819" s="2520"/>
      <c r="DW819" s="2521"/>
      <c r="DX819" s="305"/>
      <c r="DY819" s="249"/>
      <c r="DZ819" s="221"/>
      <c r="EA819" s="388"/>
      <c r="EB819" s="249"/>
      <c r="EC819" s="216"/>
      <c r="ED819" s="1461"/>
      <c r="EE819" s="249"/>
      <c r="EF819" s="216"/>
      <c r="EG819" s="355"/>
      <c r="EH819" s="1425"/>
      <c r="EI819" s="1470"/>
      <c r="EJ819" s="249"/>
      <c r="EK819" s="221"/>
      <c r="EL819" s="313"/>
      <c r="EM819" s="249"/>
      <c r="EN819" s="221"/>
      <c r="EO819" s="313"/>
      <c r="EP819" s="249"/>
      <c r="EQ819" s="216"/>
      <c r="ER819" s="313"/>
      <c r="ES819" s="249"/>
      <c r="ET819" s="216"/>
      <c r="EU819" s="313"/>
      <c r="EV819" s="249"/>
      <c r="EW819" s="216"/>
      <c r="EX819" s="2505"/>
      <c r="EY819" s="249"/>
      <c r="EZ819" s="221"/>
      <c r="FA819" s="313"/>
      <c r="FB819" s="249"/>
      <c r="FC819" s="221"/>
      <c r="FD819" s="313"/>
      <c r="FE819" s="249"/>
      <c r="FF819" s="221"/>
      <c r="FG819" s="313"/>
      <c r="FH819" s="249"/>
      <c r="FI819" s="216"/>
      <c r="FJ819" s="1435"/>
      <c r="FK819" s="216"/>
      <c r="FL819" s="1268"/>
      <c r="FM819" s="1655"/>
      <c r="FN819" s="1268"/>
      <c r="FO819" s="1655"/>
      <c r="FP819" s="1268"/>
      <c r="FQ819" s="1656"/>
      <c r="FR819" s="249"/>
      <c r="FS819" s="216"/>
      <c r="FT819" s="1657"/>
      <c r="FU819" s="1658"/>
      <c r="FV819" s="242"/>
      <c r="FW819" s="343"/>
      <c r="FX819" s="222"/>
      <c r="FY819" s="336"/>
      <c r="FZ819" s="223"/>
      <c r="GA819" s="338"/>
      <c r="GB819" s="204"/>
      <c r="GC819" s="339"/>
      <c r="GD819" s="342"/>
      <c r="GE819" s="199"/>
      <c r="GF819" s="199"/>
      <c r="GG819" s="199"/>
      <c r="GH819" s="199"/>
      <c r="GI819" s="199"/>
      <c r="GJ819" s="199"/>
      <c r="GK819" s="199"/>
      <c r="GO819" s="322"/>
      <c r="GP819" s="1190"/>
      <c r="GQ819" s="1190"/>
      <c r="GS819" s="2879"/>
      <c r="GT819" s="2880"/>
      <c r="GU819" s="2881"/>
    </row>
    <row r="820" spans="1:203" ht="12" customHeight="1">
      <c r="A820" s="1252"/>
      <c r="B820" s="200"/>
      <c r="C820" s="486"/>
      <c r="T820" s="1186"/>
      <c r="U820" s="233"/>
      <c r="W820" s="218"/>
      <c r="X820" s="218"/>
      <c r="Y820" s="216"/>
      <c r="Z820" s="216"/>
      <c r="AA820" s="215"/>
      <c r="AB820" s="216"/>
      <c r="AC820" s="216"/>
      <c r="AD820" s="239"/>
      <c r="AE820" s="216"/>
      <c r="AF820" s="216"/>
      <c r="AG820" s="216"/>
      <c r="AH820" s="216"/>
      <c r="AI820" s="216"/>
      <c r="AJ820" s="216"/>
      <c r="AK820" s="239"/>
      <c r="AL820" s="216"/>
      <c r="AM820" s="216"/>
      <c r="AN820" s="216"/>
      <c r="AO820" s="216"/>
      <c r="AP820" s="216"/>
      <c r="AQ820" s="216"/>
      <c r="AR820" s="216"/>
      <c r="AS820" s="216"/>
      <c r="AT820" s="216"/>
      <c r="AU820" s="216"/>
      <c r="AV820" s="217"/>
      <c r="AW820" s="355"/>
      <c r="AX820" s="217"/>
      <c r="AY820" s="305"/>
      <c r="AZ820" s="249"/>
      <c r="BA820" s="221"/>
      <c r="BB820" s="300"/>
      <c r="BC820" s="217"/>
      <c r="BD820" s="392"/>
      <c r="BE820" s="1244"/>
      <c r="BF820" s="249"/>
      <c r="BG820" s="252"/>
      <c r="BH820" s="1469"/>
      <c r="BI820" s="216"/>
      <c r="BJ820" s="1469"/>
      <c r="BK820" s="1459"/>
      <c r="BL820" s="260"/>
      <c r="BM820" s="214"/>
      <c r="BN820" s="293"/>
      <c r="BO820" s="217"/>
      <c r="BP820" s="355"/>
      <c r="BQ820" s="217"/>
      <c r="BR820" s="1193"/>
      <c r="BS820" s="249"/>
      <c r="BT820" s="216"/>
      <c r="BU820" s="1195"/>
      <c r="BV820" s="249"/>
      <c r="BW820" s="216"/>
      <c r="BX820" s="1195"/>
      <c r="BY820" s="249"/>
      <c r="BZ820" s="216"/>
      <c r="CA820" s="1195"/>
      <c r="CB820" s="249"/>
      <c r="CC820" s="216"/>
      <c r="CD820" s="1195"/>
      <c r="CE820" s="249"/>
      <c r="CF820" s="216"/>
      <c r="CG820" s="1195"/>
      <c r="CH820" s="249"/>
      <c r="CI820" s="216"/>
      <c r="CJ820" s="1195"/>
      <c r="CK820" s="249"/>
      <c r="CL820" s="216"/>
      <c r="CM820" s="1194"/>
      <c r="CN820" s="1524"/>
      <c r="CO820" s="217"/>
      <c r="CP820" s="1193"/>
      <c r="CQ820" s="293"/>
      <c r="CR820" s="217"/>
      <c r="CS820" s="305"/>
      <c r="CT820" s="249"/>
      <c r="CU820" s="216"/>
      <c r="CV820" s="1193"/>
      <c r="CW820" s="249"/>
      <c r="CX820" s="216"/>
      <c r="CY820" s="305"/>
      <c r="CZ820" s="249"/>
      <c r="DA820" s="216"/>
      <c r="DB820" s="307"/>
      <c r="DC820" s="328"/>
      <c r="DD820" s="322"/>
      <c r="DE820" s="305"/>
      <c r="DF820" s="249"/>
      <c r="DG820" s="216"/>
      <c r="DH820" s="305"/>
      <c r="DI820" s="249"/>
      <c r="DJ820" s="216"/>
      <c r="DK820" s="309"/>
      <c r="DL820" s="293"/>
      <c r="DM820" s="326"/>
      <c r="DN820" s="1256"/>
      <c r="DO820" s="214"/>
      <c r="DP820" s="1257"/>
      <c r="DQ820" s="1258"/>
      <c r="DR820" s="305"/>
      <c r="DS820" s="249"/>
      <c r="DT820" s="216"/>
      <c r="DU820" s="305"/>
      <c r="DV820" s="2520"/>
      <c r="DW820" s="2521"/>
      <c r="DX820" s="305"/>
      <c r="DY820" s="249"/>
      <c r="DZ820" s="221"/>
      <c r="EA820" s="388"/>
      <c r="EB820" s="249"/>
      <c r="EC820" s="216"/>
      <c r="ED820" s="1461"/>
      <c r="EE820" s="249"/>
      <c r="EF820" s="216"/>
      <c r="EG820" s="355"/>
      <c r="EH820" s="1425"/>
      <c r="EI820" s="1470"/>
      <c r="EJ820" s="249"/>
      <c r="EK820" s="221"/>
      <c r="EL820" s="313"/>
      <c r="EM820" s="249"/>
      <c r="EN820" s="221"/>
      <c r="EO820" s="313"/>
      <c r="EP820" s="249"/>
      <c r="EQ820" s="216"/>
      <c r="ER820" s="313"/>
      <c r="ES820" s="249"/>
      <c r="ET820" s="216"/>
      <c r="EU820" s="313"/>
      <c r="EV820" s="249"/>
      <c r="EW820" s="216"/>
      <c r="EX820" s="2505"/>
      <c r="EY820" s="249"/>
      <c r="EZ820" s="221"/>
      <c r="FA820" s="313"/>
      <c r="FB820" s="249"/>
      <c r="FC820" s="221"/>
      <c r="FD820" s="313"/>
      <c r="FE820" s="249"/>
      <c r="FF820" s="221"/>
      <c r="FG820" s="313"/>
      <c r="FH820" s="249"/>
      <c r="FI820" s="216"/>
      <c r="FJ820" s="1435"/>
      <c r="FK820" s="216"/>
      <c r="FL820" s="1268"/>
      <c r="FM820" s="1655"/>
      <c r="FN820" s="1268"/>
      <c r="FO820" s="1655"/>
      <c r="FP820" s="1268"/>
      <c r="FQ820" s="1656"/>
      <c r="FR820" s="249"/>
      <c r="FS820" s="216"/>
      <c r="FT820" s="1657"/>
      <c r="FU820" s="1658"/>
      <c r="FV820" s="242"/>
      <c r="FW820" s="343"/>
      <c r="FX820" s="222"/>
      <c r="FY820" s="336"/>
      <c r="FZ820" s="223"/>
      <c r="GA820" s="338"/>
      <c r="GB820" s="204"/>
      <c r="GC820" s="339"/>
      <c r="GD820" s="342"/>
      <c r="GE820" s="199"/>
      <c r="GF820" s="199"/>
      <c r="GG820" s="199"/>
      <c r="GH820" s="199"/>
      <c r="GI820" s="199"/>
      <c r="GJ820" s="199"/>
      <c r="GK820" s="199"/>
      <c r="GO820" s="322"/>
      <c r="GP820" s="1190"/>
      <c r="GQ820" s="1190"/>
      <c r="GS820" s="2879"/>
      <c r="GT820" s="2880"/>
      <c r="GU820" s="2881"/>
    </row>
    <row r="821" spans="1:203" ht="12" customHeight="1">
      <c r="A821" s="1252"/>
      <c r="B821" s="200"/>
      <c r="C821" s="486"/>
      <c r="T821" s="1186"/>
      <c r="U821" s="233"/>
      <c r="W821" s="218"/>
      <c r="X821" s="218"/>
      <c r="Y821" s="216"/>
      <c r="Z821" s="216"/>
      <c r="AA821" s="215"/>
      <c r="AB821" s="216"/>
      <c r="AC821" s="216"/>
      <c r="AD821" s="239"/>
      <c r="AE821" s="216"/>
      <c r="AF821" s="216"/>
      <c r="AG821" s="216"/>
      <c r="AH821" s="216"/>
      <c r="AI821" s="216"/>
      <c r="AJ821" s="216"/>
      <c r="AK821" s="239"/>
      <c r="AL821" s="216"/>
      <c r="AM821" s="216"/>
      <c r="AN821" s="216"/>
      <c r="AO821" s="216"/>
      <c r="AP821" s="216"/>
      <c r="AQ821" s="216"/>
      <c r="AR821" s="216"/>
      <c r="AS821" s="216"/>
      <c r="AT821" s="216"/>
      <c r="AU821" s="216"/>
      <c r="AV821" s="217"/>
      <c r="AW821" s="355"/>
      <c r="AX821" s="217"/>
      <c r="AY821" s="305"/>
      <c r="AZ821" s="249"/>
      <c r="BA821" s="221"/>
      <c r="BB821" s="300"/>
      <c r="BC821" s="217"/>
      <c r="BD821" s="392"/>
      <c r="BE821" s="1244"/>
      <c r="BF821" s="249"/>
      <c r="BG821" s="252"/>
      <c r="BH821" s="1469"/>
      <c r="BI821" s="216"/>
      <c r="BJ821" s="1469"/>
      <c r="BK821" s="1459"/>
      <c r="BL821" s="260"/>
      <c r="BM821" s="214"/>
      <c r="BN821" s="293"/>
      <c r="BO821" s="217"/>
      <c r="BP821" s="355"/>
      <c r="BQ821" s="217"/>
      <c r="BR821" s="1193"/>
      <c r="BS821" s="249"/>
      <c r="BT821" s="216"/>
      <c r="BU821" s="1195"/>
      <c r="BV821" s="249"/>
      <c r="BW821" s="216"/>
      <c r="BX821" s="1195"/>
      <c r="BY821" s="249"/>
      <c r="BZ821" s="216"/>
      <c r="CA821" s="1195"/>
      <c r="CB821" s="249"/>
      <c r="CC821" s="216"/>
      <c r="CD821" s="1195"/>
      <c r="CE821" s="249"/>
      <c r="CF821" s="216"/>
      <c r="CG821" s="1195"/>
      <c r="CH821" s="249"/>
      <c r="CI821" s="216"/>
      <c r="CJ821" s="1195"/>
      <c r="CK821" s="249"/>
      <c r="CL821" s="216"/>
      <c r="CM821" s="1194"/>
      <c r="CN821" s="1524"/>
      <c r="CO821" s="217"/>
      <c r="CP821" s="1193"/>
      <c r="CQ821" s="293"/>
      <c r="CR821" s="217"/>
      <c r="CS821" s="305"/>
      <c r="CT821" s="249"/>
      <c r="CU821" s="216"/>
      <c r="CV821" s="1193"/>
      <c r="CW821" s="249"/>
      <c r="CX821" s="216"/>
      <c r="CY821" s="305"/>
      <c r="CZ821" s="249"/>
      <c r="DA821" s="216"/>
      <c r="DB821" s="307"/>
      <c r="DC821" s="328"/>
      <c r="DD821" s="322"/>
      <c r="DE821" s="305"/>
      <c r="DF821" s="249"/>
      <c r="DG821" s="216"/>
      <c r="DH821" s="305"/>
      <c r="DI821" s="249"/>
      <c r="DJ821" s="216"/>
      <c r="DK821" s="309"/>
      <c r="DL821" s="293"/>
      <c r="DM821" s="326"/>
      <c r="DN821" s="1256"/>
      <c r="DO821" s="214"/>
      <c r="DP821" s="1257"/>
      <c r="DQ821" s="1258"/>
      <c r="DR821" s="305"/>
      <c r="DS821" s="249"/>
      <c r="DT821" s="216"/>
      <c r="DU821" s="305"/>
      <c r="DV821" s="2520"/>
      <c r="DW821" s="2521"/>
      <c r="DX821" s="305"/>
      <c r="DY821" s="249"/>
      <c r="DZ821" s="221"/>
      <c r="EA821" s="388"/>
      <c r="EB821" s="249"/>
      <c r="EC821" s="216"/>
      <c r="ED821" s="1461"/>
      <c r="EE821" s="249"/>
      <c r="EF821" s="216"/>
      <c r="EG821" s="355"/>
      <c r="EH821" s="1425"/>
      <c r="EI821" s="1470"/>
      <c r="EJ821" s="249"/>
      <c r="EK821" s="221"/>
      <c r="EL821" s="313"/>
      <c r="EM821" s="249"/>
      <c r="EN821" s="221"/>
      <c r="EO821" s="313"/>
      <c r="EP821" s="249"/>
      <c r="EQ821" s="216"/>
      <c r="ER821" s="313"/>
      <c r="ES821" s="249"/>
      <c r="ET821" s="216"/>
      <c r="EU821" s="313"/>
      <c r="EV821" s="249"/>
      <c r="EW821" s="216"/>
      <c r="EX821" s="2505"/>
      <c r="EY821" s="249"/>
      <c r="EZ821" s="221"/>
      <c r="FA821" s="313"/>
      <c r="FB821" s="249"/>
      <c r="FC821" s="221"/>
      <c r="FD821" s="313"/>
      <c r="FE821" s="249"/>
      <c r="FF821" s="221"/>
      <c r="FG821" s="313"/>
      <c r="FH821" s="249"/>
      <c r="FI821" s="216"/>
      <c r="FJ821" s="1435"/>
      <c r="FK821" s="216"/>
      <c r="FL821" s="1268"/>
      <c r="FM821" s="1655"/>
      <c r="FN821" s="1268"/>
      <c r="FO821" s="1655"/>
      <c r="FP821" s="1268"/>
      <c r="FQ821" s="1656"/>
      <c r="FR821" s="249"/>
      <c r="FS821" s="216"/>
      <c r="FT821" s="1657"/>
      <c r="FU821" s="1658"/>
      <c r="FV821" s="242"/>
      <c r="FW821" s="343"/>
      <c r="FX821" s="222"/>
      <c r="FY821" s="336"/>
      <c r="FZ821" s="223"/>
      <c r="GA821" s="338"/>
      <c r="GB821" s="204"/>
      <c r="GC821" s="339"/>
      <c r="GD821" s="342"/>
      <c r="GE821" s="199"/>
      <c r="GF821" s="199"/>
      <c r="GG821" s="199"/>
      <c r="GH821" s="199"/>
      <c r="GI821" s="199"/>
      <c r="GJ821" s="199"/>
      <c r="GK821" s="199"/>
      <c r="GO821" s="322"/>
      <c r="GP821" s="1190"/>
      <c r="GQ821" s="1190"/>
      <c r="GS821" s="2879"/>
      <c r="GT821" s="2880"/>
      <c r="GU821" s="2881"/>
    </row>
    <row r="822" spans="1:203" ht="12" customHeight="1">
      <c r="A822" s="1252"/>
      <c r="B822" s="200"/>
      <c r="C822" s="486"/>
      <c r="T822" s="1186"/>
      <c r="U822" s="233"/>
      <c r="W822" s="218"/>
      <c r="X822" s="218"/>
      <c r="Y822" s="216"/>
      <c r="Z822" s="216"/>
      <c r="AA822" s="215"/>
      <c r="AB822" s="216"/>
      <c r="AC822" s="216"/>
      <c r="AD822" s="239"/>
      <c r="AE822" s="216"/>
      <c r="AF822" s="216"/>
      <c r="AG822" s="216"/>
      <c r="AH822" s="216"/>
      <c r="AI822" s="216"/>
      <c r="AJ822" s="216"/>
      <c r="AK822" s="239"/>
      <c r="AL822" s="216"/>
      <c r="AM822" s="216"/>
      <c r="AN822" s="216"/>
      <c r="AO822" s="216"/>
      <c r="AP822" s="216"/>
      <c r="AQ822" s="216"/>
      <c r="AR822" s="216"/>
      <c r="AS822" s="216"/>
      <c r="AT822" s="216"/>
      <c r="AU822" s="216"/>
      <c r="AV822" s="217"/>
      <c r="AW822" s="355"/>
      <c r="AX822" s="217"/>
      <c r="AY822" s="305"/>
      <c r="AZ822" s="249"/>
      <c r="BA822" s="221"/>
      <c r="BB822" s="300"/>
      <c r="BC822" s="217"/>
      <c r="BD822" s="392"/>
      <c r="BE822" s="1244"/>
      <c r="BF822" s="249"/>
      <c r="BG822" s="252"/>
      <c r="BH822" s="1469"/>
      <c r="BI822" s="216"/>
      <c r="BJ822" s="1469"/>
      <c r="BK822" s="1459"/>
      <c r="BL822" s="260"/>
      <c r="BM822" s="214"/>
      <c r="BN822" s="293"/>
      <c r="BO822" s="217"/>
      <c r="BP822" s="355"/>
      <c r="BQ822" s="217"/>
      <c r="BR822" s="1193"/>
      <c r="BS822" s="249"/>
      <c r="BT822" s="216"/>
      <c r="BU822" s="1195"/>
      <c r="BV822" s="249"/>
      <c r="BW822" s="216"/>
      <c r="BX822" s="1195"/>
      <c r="BY822" s="249"/>
      <c r="BZ822" s="216"/>
      <c r="CA822" s="1195"/>
      <c r="CB822" s="249"/>
      <c r="CC822" s="216"/>
      <c r="CD822" s="1195"/>
      <c r="CE822" s="249"/>
      <c r="CF822" s="216"/>
      <c r="CG822" s="1195"/>
      <c r="CH822" s="249"/>
      <c r="CI822" s="216"/>
      <c r="CJ822" s="1195"/>
      <c r="CK822" s="249"/>
      <c r="CL822" s="216"/>
      <c r="CM822" s="1194"/>
      <c r="CN822" s="1524"/>
      <c r="CO822" s="217"/>
      <c r="CP822" s="1193"/>
      <c r="CQ822" s="293"/>
      <c r="CR822" s="217"/>
      <c r="CS822" s="305"/>
      <c r="CT822" s="249"/>
      <c r="CU822" s="216"/>
      <c r="CV822" s="1193"/>
      <c r="CW822" s="249"/>
      <c r="CX822" s="216"/>
      <c r="CY822" s="305"/>
      <c r="CZ822" s="249"/>
      <c r="DA822" s="216"/>
      <c r="DB822" s="307"/>
      <c r="DC822" s="328"/>
      <c r="DD822" s="322"/>
      <c r="DE822" s="305"/>
      <c r="DF822" s="249"/>
      <c r="DG822" s="216"/>
      <c r="DH822" s="305"/>
      <c r="DI822" s="249"/>
      <c r="DJ822" s="216"/>
      <c r="DK822" s="309"/>
      <c r="DL822" s="293"/>
      <c r="DM822" s="326"/>
      <c r="DN822" s="1256"/>
      <c r="DO822" s="214"/>
      <c r="DP822" s="1257"/>
      <c r="DQ822" s="1258"/>
      <c r="DR822" s="305"/>
      <c r="DS822" s="249"/>
      <c r="DT822" s="216"/>
      <c r="DU822" s="305"/>
      <c r="DV822" s="2520"/>
      <c r="DW822" s="2521"/>
      <c r="DX822" s="305"/>
      <c r="DY822" s="249"/>
      <c r="DZ822" s="221"/>
      <c r="EA822" s="388"/>
      <c r="EB822" s="249"/>
      <c r="EC822" s="216"/>
      <c r="ED822" s="1461"/>
      <c r="EE822" s="249"/>
      <c r="EF822" s="216"/>
      <c r="EG822" s="355"/>
      <c r="EH822" s="1425"/>
      <c r="EI822" s="1470"/>
      <c r="EJ822" s="249"/>
      <c r="EK822" s="221"/>
      <c r="EL822" s="313"/>
      <c r="EM822" s="249"/>
      <c r="EN822" s="221"/>
      <c r="EO822" s="313"/>
      <c r="EP822" s="249"/>
      <c r="EQ822" s="216"/>
      <c r="ER822" s="313"/>
      <c r="ES822" s="249"/>
      <c r="ET822" s="216"/>
      <c r="EU822" s="313"/>
      <c r="EV822" s="249"/>
      <c r="EW822" s="216"/>
      <c r="EX822" s="2505"/>
      <c r="EY822" s="249"/>
      <c r="EZ822" s="221"/>
      <c r="FA822" s="313"/>
      <c r="FB822" s="249"/>
      <c r="FC822" s="221"/>
      <c r="FD822" s="313"/>
      <c r="FE822" s="249"/>
      <c r="FF822" s="221"/>
      <c r="FG822" s="313"/>
      <c r="FH822" s="249"/>
      <c r="FI822" s="216"/>
      <c r="FJ822" s="1435"/>
      <c r="FK822" s="216"/>
      <c r="FL822" s="1268"/>
      <c r="FM822" s="1655"/>
      <c r="FN822" s="1268"/>
      <c r="FO822" s="1655"/>
      <c r="FP822" s="1268"/>
      <c r="FQ822" s="1656"/>
      <c r="FR822" s="249"/>
      <c r="FS822" s="216"/>
      <c r="FT822" s="1657"/>
      <c r="FU822" s="1658"/>
      <c r="FV822" s="242"/>
      <c r="FW822" s="343"/>
      <c r="FX822" s="222"/>
      <c r="FY822" s="336"/>
      <c r="FZ822" s="223"/>
      <c r="GA822" s="338"/>
      <c r="GB822" s="204"/>
      <c r="GC822" s="339"/>
      <c r="GD822" s="342"/>
      <c r="GE822" s="199"/>
      <c r="GF822" s="199"/>
      <c r="GG822" s="199"/>
      <c r="GH822" s="199"/>
      <c r="GI822" s="199"/>
      <c r="GJ822" s="199"/>
      <c r="GK822" s="199"/>
      <c r="GO822" s="322"/>
      <c r="GP822" s="1190"/>
      <c r="GQ822" s="1190"/>
      <c r="GS822" s="2879"/>
      <c r="GT822" s="2880"/>
      <c r="GU822" s="2881"/>
    </row>
    <row r="823" spans="1:203" ht="12" customHeight="1">
      <c r="A823" s="1252"/>
      <c r="B823" s="200"/>
      <c r="C823" s="486"/>
      <c r="T823" s="1186"/>
      <c r="U823" s="233"/>
      <c r="W823" s="218"/>
      <c r="X823" s="218"/>
      <c r="Y823" s="216"/>
      <c r="Z823" s="216"/>
      <c r="AA823" s="215"/>
      <c r="AB823" s="216"/>
      <c r="AC823" s="216"/>
      <c r="AD823" s="239"/>
      <c r="AE823" s="216"/>
      <c r="AF823" s="216"/>
      <c r="AG823" s="216"/>
      <c r="AH823" s="216"/>
      <c r="AI823" s="216"/>
      <c r="AJ823" s="216"/>
      <c r="AK823" s="239"/>
      <c r="AL823" s="216"/>
      <c r="AM823" s="216"/>
      <c r="AN823" s="216"/>
      <c r="AO823" s="216"/>
      <c r="AP823" s="216"/>
      <c r="AQ823" s="216"/>
      <c r="AR823" s="216"/>
      <c r="AS823" s="216"/>
      <c r="AT823" s="216"/>
      <c r="AU823" s="216"/>
      <c r="AV823" s="217"/>
      <c r="AW823" s="355"/>
      <c r="AX823" s="217"/>
      <c r="AY823" s="305"/>
      <c r="AZ823" s="249"/>
      <c r="BA823" s="221"/>
      <c r="BB823" s="300"/>
      <c r="BC823" s="217"/>
      <c r="BD823" s="392"/>
      <c r="BE823" s="1244"/>
      <c r="BF823" s="249"/>
      <c r="BG823" s="252"/>
      <c r="BH823" s="1469"/>
      <c r="BI823" s="216"/>
      <c r="BJ823" s="1469"/>
      <c r="BK823" s="1459"/>
      <c r="BL823" s="260"/>
      <c r="BM823" s="214"/>
      <c r="BN823" s="293"/>
      <c r="BO823" s="217"/>
      <c r="BP823" s="355"/>
      <c r="BQ823" s="217"/>
      <c r="BR823" s="1193"/>
      <c r="BS823" s="249"/>
      <c r="BT823" s="216"/>
      <c r="BU823" s="1195"/>
      <c r="BV823" s="249"/>
      <c r="BW823" s="216"/>
      <c r="BX823" s="1195"/>
      <c r="BY823" s="249"/>
      <c r="BZ823" s="216"/>
      <c r="CA823" s="1195"/>
      <c r="CB823" s="249"/>
      <c r="CC823" s="216"/>
      <c r="CD823" s="1195"/>
      <c r="CE823" s="249"/>
      <c r="CF823" s="216"/>
      <c r="CG823" s="1195"/>
      <c r="CH823" s="249"/>
      <c r="CI823" s="216"/>
      <c r="CJ823" s="1195"/>
      <c r="CK823" s="249"/>
      <c r="CL823" s="216"/>
      <c r="CM823" s="1194"/>
      <c r="CN823" s="1524"/>
      <c r="CO823" s="217"/>
      <c r="CP823" s="1193"/>
      <c r="CQ823" s="293"/>
      <c r="CR823" s="217"/>
      <c r="CS823" s="305"/>
      <c r="CT823" s="249"/>
      <c r="CU823" s="216"/>
      <c r="CV823" s="1193"/>
      <c r="CW823" s="249"/>
      <c r="CX823" s="216"/>
      <c r="CY823" s="305"/>
      <c r="CZ823" s="249"/>
      <c r="DA823" s="216"/>
      <c r="DB823" s="307"/>
      <c r="DC823" s="328"/>
      <c r="DD823" s="322"/>
      <c r="DE823" s="305"/>
      <c r="DF823" s="249"/>
      <c r="DG823" s="216"/>
      <c r="DH823" s="305"/>
      <c r="DI823" s="249"/>
      <c r="DJ823" s="216"/>
      <c r="DK823" s="309"/>
      <c r="DL823" s="293"/>
      <c r="DM823" s="326"/>
      <c r="DN823" s="1256"/>
      <c r="DO823" s="214"/>
      <c r="DP823" s="1257"/>
      <c r="DQ823" s="1258"/>
      <c r="DR823" s="305"/>
      <c r="DS823" s="249"/>
      <c r="DT823" s="216"/>
      <c r="DU823" s="305"/>
      <c r="DV823" s="2520"/>
      <c r="DW823" s="2521"/>
      <c r="DX823" s="305"/>
      <c r="DY823" s="249"/>
      <c r="DZ823" s="221"/>
      <c r="EA823" s="388"/>
      <c r="EB823" s="249"/>
      <c r="EC823" s="216"/>
      <c r="ED823" s="1461"/>
      <c r="EE823" s="249"/>
      <c r="EF823" s="216"/>
      <c r="EG823" s="355"/>
      <c r="EH823" s="1425"/>
      <c r="EI823" s="1470"/>
      <c r="EJ823" s="249"/>
      <c r="EK823" s="221"/>
      <c r="EL823" s="313"/>
      <c r="EM823" s="249"/>
      <c r="EN823" s="221"/>
      <c r="EO823" s="313"/>
      <c r="EP823" s="249"/>
      <c r="EQ823" s="216"/>
      <c r="ER823" s="313"/>
      <c r="ES823" s="249"/>
      <c r="ET823" s="216"/>
      <c r="EU823" s="313"/>
      <c r="EV823" s="249"/>
      <c r="EW823" s="216"/>
      <c r="EX823" s="2505"/>
      <c r="EY823" s="249"/>
      <c r="EZ823" s="221"/>
      <c r="FA823" s="313"/>
      <c r="FB823" s="249"/>
      <c r="FC823" s="221"/>
      <c r="FD823" s="313"/>
      <c r="FE823" s="249"/>
      <c r="FF823" s="221"/>
      <c r="FG823" s="313"/>
      <c r="FH823" s="249"/>
      <c r="FI823" s="216"/>
      <c r="FJ823" s="1435"/>
      <c r="FK823" s="216"/>
      <c r="FL823" s="1268"/>
      <c r="FM823" s="1655"/>
      <c r="FN823" s="1268"/>
      <c r="FO823" s="1655"/>
      <c r="FP823" s="1268"/>
      <c r="FQ823" s="1656"/>
      <c r="FR823" s="249"/>
      <c r="FS823" s="216"/>
      <c r="FT823" s="1657"/>
      <c r="FU823" s="1658"/>
      <c r="FV823" s="242"/>
      <c r="FW823" s="343"/>
      <c r="FX823" s="222"/>
      <c r="FY823" s="336"/>
      <c r="FZ823" s="223"/>
      <c r="GA823" s="338"/>
      <c r="GB823" s="204"/>
      <c r="GC823" s="339"/>
      <c r="GD823" s="342"/>
      <c r="GE823" s="199"/>
      <c r="GF823" s="199"/>
      <c r="GG823" s="199"/>
      <c r="GH823" s="199"/>
      <c r="GI823" s="199"/>
      <c r="GJ823" s="199"/>
      <c r="GK823" s="199"/>
      <c r="GO823" s="322"/>
      <c r="GP823" s="1190"/>
      <c r="GQ823" s="1190"/>
      <c r="GS823" s="2879"/>
      <c r="GT823" s="2880"/>
      <c r="GU823" s="2881"/>
    </row>
    <row r="824" spans="1:203" ht="12" customHeight="1">
      <c r="A824" s="1252"/>
      <c r="B824" s="200"/>
      <c r="C824" s="486"/>
      <c r="T824" s="1186"/>
      <c r="U824" s="233"/>
      <c r="W824" s="218"/>
      <c r="X824" s="218"/>
      <c r="Y824" s="216"/>
      <c r="Z824" s="216"/>
      <c r="AA824" s="215"/>
      <c r="AB824" s="216"/>
      <c r="AC824" s="216"/>
      <c r="AD824" s="239"/>
      <c r="AE824" s="216"/>
      <c r="AF824" s="216"/>
      <c r="AG824" s="216"/>
      <c r="AH824" s="216"/>
      <c r="AI824" s="216"/>
      <c r="AJ824" s="216"/>
      <c r="AK824" s="239"/>
      <c r="AL824" s="216"/>
      <c r="AM824" s="216"/>
      <c r="AN824" s="216"/>
      <c r="AO824" s="216"/>
      <c r="AP824" s="216"/>
      <c r="AQ824" s="216"/>
      <c r="AR824" s="216"/>
      <c r="AS824" s="216"/>
      <c r="AT824" s="216"/>
      <c r="AU824" s="216"/>
      <c r="AV824" s="217"/>
      <c r="AW824" s="355"/>
      <c r="AX824" s="217"/>
      <c r="AY824" s="305"/>
      <c r="AZ824" s="249"/>
      <c r="BA824" s="221"/>
      <c r="BB824" s="300"/>
      <c r="BC824" s="217"/>
      <c r="BD824" s="392"/>
      <c r="BE824" s="1244"/>
      <c r="BF824" s="249"/>
      <c r="BG824" s="252"/>
      <c r="BH824" s="1469"/>
      <c r="BI824" s="216"/>
      <c r="BJ824" s="1469"/>
      <c r="BK824" s="1459"/>
      <c r="BL824" s="260"/>
      <c r="BM824" s="214"/>
      <c r="BN824" s="293"/>
      <c r="BO824" s="217"/>
      <c r="BP824" s="355"/>
      <c r="BQ824" s="217"/>
      <c r="BR824" s="1193"/>
      <c r="BS824" s="249"/>
      <c r="BT824" s="216"/>
      <c r="BU824" s="1195"/>
      <c r="BV824" s="249"/>
      <c r="BW824" s="216"/>
      <c r="BX824" s="1195"/>
      <c r="BY824" s="249"/>
      <c r="BZ824" s="216"/>
      <c r="CA824" s="1195"/>
      <c r="CB824" s="249"/>
      <c r="CC824" s="216"/>
      <c r="CD824" s="1195"/>
      <c r="CE824" s="249"/>
      <c r="CF824" s="216"/>
      <c r="CG824" s="1195"/>
      <c r="CH824" s="249"/>
      <c r="CI824" s="216"/>
      <c r="CJ824" s="1195"/>
      <c r="CK824" s="249"/>
      <c r="CL824" s="216"/>
      <c r="CM824" s="1194"/>
      <c r="CN824" s="1524"/>
      <c r="CO824" s="217"/>
      <c r="CP824" s="1193"/>
      <c r="CQ824" s="293"/>
      <c r="CR824" s="217"/>
      <c r="CS824" s="305"/>
      <c r="CT824" s="249"/>
      <c r="CU824" s="216"/>
      <c r="CV824" s="1193"/>
      <c r="CW824" s="249"/>
      <c r="CX824" s="216"/>
      <c r="CY824" s="305"/>
      <c r="CZ824" s="249"/>
      <c r="DA824" s="216"/>
      <c r="DB824" s="307"/>
      <c r="DC824" s="328"/>
      <c r="DD824" s="322"/>
      <c r="DE824" s="305"/>
      <c r="DF824" s="249"/>
      <c r="DG824" s="216"/>
      <c r="DH824" s="305"/>
      <c r="DI824" s="249"/>
      <c r="DJ824" s="216"/>
      <c r="DK824" s="309"/>
      <c r="DL824" s="293"/>
      <c r="DM824" s="326"/>
      <c r="DN824" s="1256"/>
      <c r="DO824" s="214"/>
      <c r="DP824" s="1257"/>
      <c r="DQ824" s="1258"/>
      <c r="DR824" s="305"/>
      <c r="DS824" s="249"/>
      <c r="DT824" s="216"/>
      <c r="DU824" s="305"/>
      <c r="DV824" s="2520"/>
      <c r="DW824" s="2521"/>
      <c r="DX824" s="305"/>
      <c r="DY824" s="249"/>
      <c r="DZ824" s="221"/>
      <c r="EA824" s="388"/>
      <c r="EB824" s="249"/>
      <c r="EC824" s="216"/>
      <c r="ED824" s="1461"/>
      <c r="EE824" s="249"/>
      <c r="EF824" s="216"/>
      <c r="EG824" s="355"/>
      <c r="EH824" s="1425"/>
      <c r="EI824" s="1470"/>
      <c r="EJ824" s="249"/>
      <c r="EK824" s="221"/>
      <c r="EL824" s="313"/>
      <c r="EM824" s="249"/>
      <c r="EN824" s="221"/>
      <c r="EO824" s="313"/>
      <c r="EP824" s="249"/>
      <c r="EQ824" s="216"/>
      <c r="ER824" s="313"/>
      <c r="ES824" s="249"/>
      <c r="ET824" s="216"/>
      <c r="EU824" s="313"/>
      <c r="EV824" s="249"/>
      <c r="EW824" s="216"/>
      <c r="EX824" s="2505"/>
      <c r="EY824" s="249"/>
      <c r="EZ824" s="221"/>
      <c r="FA824" s="313"/>
      <c r="FB824" s="249"/>
      <c r="FC824" s="221"/>
      <c r="FD824" s="313"/>
      <c r="FE824" s="249"/>
      <c r="FF824" s="221"/>
      <c r="FG824" s="313"/>
      <c r="FH824" s="249"/>
      <c r="FI824" s="216"/>
      <c r="FJ824" s="1435"/>
      <c r="FK824" s="216"/>
      <c r="FL824" s="1268"/>
      <c r="FM824" s="1655"/>
      <c r="FN824" s="1268"/>
      <c r="FO824" s="1655"/>
      <c r="FP824" s="1268"/>
      <c r="FQ824" s="1656"/>
      <c r="FR824" s="249"/>
      <c r="FS824" s="216"/>
      <c r="FT824" s="1657"/>
      <c r="FU824" s="1658"/>
      <c r="FV824" s="242"/>
      <c r="FW824" s="343"/>
      <c r="FX824" s="222"/>
      <c r="FY824" s="336"/>
      <c r="FZ824" s="223"/>
      <c r="GA824" s="338"/>
      <c r="GB824" s="204"/>
      <c r="GC824" s="339"/>
      <c r="GD824" s="342"/>
      <c r="GE824" s="199"/>
      <c r="GF824" s="199"/>
      <c r="GG824" s="199"/>
      <c r="GH824" s="199"/>
      <c r="GI824" s="199"/>
      <c r="GJ824" s="199"/>
      <c r="GK824" s="199"/>
      <c r="GO824" s="322"/>
      <c r="GP824" s="1190"/>
      <c r="GQ824" s="1190"/>
      <c r="GS824" s="2879"/>
      <c r="GT824" s="2880"/>
      <c r="GU824" s="2881"/>
    </row>
    <row r="825" spans="1:203" ht="12" customHeight="1">
      <c r="A825" s="1252"/>
      <c r="B825" s="200"/>
      <c r="C825" s="486"/>
      <c r="T825" s="1186"/>
      <c r="U825" s="233"/>
      <c r="W825" s="218"/>
      <c r="X825" s="218"/>
      <c r="Y825" s="216"/>
      <c r="Z825" s="216"/>
      <c r="AA825" s="215"/>
      <c r="AB825" s="216"/>
      <c r="AC825" s="216"/>
      <c r="AD825" s="239"/>
      <c r="AE825" s="216"/>
      <c r="AF825" s="216"/>
      <c r="AG825" s="216"/>
      <c r="AH825" s="216"/>
      <c r="AI825" s="216"/>
      <c r="AJ825" s="216"/>
      <c r="AK825" s="239"/>
      <c r="AL825" s="216"/>
      <c r="AM825" s="216"/>
      <c r="AN825" s="216"/>
      <c r="AO825" s="216"/>
      <c r="AP825" s="216"/>
      <c r="AQ825" s="216"/>
      <c r="AR825" s="216"/>
      <c r="AS825" s="216"/>
      <c r="AT825" s="216"/>
      <c r="AU825" s="216"/>
      <c r="AV825" s="217"/>
      <c r="AW825" s="355"/>
      <c r="AX825" s="217"/>
      <c r="AY825" s="305"/>
      <c r="AZ825" s="249"/>
      <c r="BA825" s="221"/>
      <c r="BB825" s="300"/>
      <c r="BC825" s="217"/>
      <c r="BD825" s="392"/>
      <c r="BE825" s="1244"/>
      <c r="BF825" s="249"/>
      <c r="BG825" s="252"/>
      <c r="BH825" s="1469"/>
      <c r="BI825" s="216"/>
      <c r="BJ825" s="1469"/>
      <c r="BK825" s="1459"/>
      <c r="BL825" s="260"/>
      <c r="BM825" s="214"/>
      <c r="BN825" s="293"/>
      <c r="BO825" s="217"/>
      <c r="BP825" s="355"/>
      <c r="BQ825" s="217"/>
      <c r="BR825" s="1193"/>
      <c r="BS825" s="249"/>
      <c r="BT825" s="216"/>
      <c r="BU825" s="1195"/>
      <c r="BV825" s="249"/>
      <c r="BW825" s="216"/>
      <c r="BX825" s="1195"/>
      <c r="BY825" s="249"/>
      <c r="BZ825" s="216"/>
      <c r="CA825" s="1195"/>
      <c r="CB825" s="249"/>
      <c r="CC825" s="216"/>
      <c r="CD825" s="1195"/>
      <c r="CE825" s="249"/>
      <c r="CF825" s="216"/>
      <c r="CG825" s="1195"/>
      <c r="CH825" s="249"/>
      <c r="CI825" s="216"/>
      <c r="CJ825" s="1195"/>
      <c r="CK825" s="249"/>
      <c r="CL825" s="216"/>
      <c r="CM825" s="1194"/>
      <c r="CN825" s="1524"/>
      <c r="CO825" s="217"/>
      <c r="CP825" s="1193"/>
      <c r="CQ825" s="293"/>
      <c r="CR825" s="217"/>
      <c r="CS825" s="305"/>
      <c r="CT825" s="249"/>
      <c r="CU825" s="216"/>
      <c r="CV825" s="1193"/>
      <c r="CW825" s="249"/>
      <c r="CX825" s="216"/>
      <c r="CY825" s="305"/>
      <c r="CZ825" s="249"/>
      <c r="DA825" s="216"/>
      <c r="DB825" s="307"/>
      <c r="DC825" s="328"/>
      <c r="DD825" s="322"/>
      <c r="DE825" s="305"/>
      <c r="DF825" s="249"/>
      <c r="DG825" s="216"/>
      <c r="DH825" s="305"/>
      <c r="DI825" s="249"/>
      <c r="DJ825" s="216"/>
      <c r="DK825" s="309"/>
      <c r="DL825" s="293"/>
      <c r="DM825" s="326"/>
      <c r="DN825" s="1256"/>
      <c r="DO825" s="214"/>
      <c r="DP825" s="1257"/>
      <c r="DQ825" s="1258"/>
      <c r="DR825" s="305"/>
      <c r="DS825" s="249"/>
      <c r="DT825" s="216"/>
      <c r="DU825" s="305"/>
      <c r="DV825" s="2520"/>
      <c r="DW825" s="2521"/>
      <c r="DX825" s="305"/>
      <c r="DY825" s="249"/>
      <c r="DZ825" s="221"/>
      <c r="EA825" s="388"/>
      <c r="EB825" s="249"/>
      <c r="EC825" s="216"/>
      <c r="ED825" s="1461"/>
      <c r="EE825" s="249"/>
      <c r="EF825" s="216"/>
      <c r="EG825" s="355"/>
      <c r="EH825" s="1425"/>
      <c r="EI825" s="1470"/>
      <c r="EJ825" s="249"/>
      <c r="EK825" s="221"/>
      <c r="EL825" s="313"/>
      <c r="EM825" s="249"/>
      <c r="EN825" s="221"/>
      <c r="EO825" s="313"/>
      <c r="EP825" s="249"/>
      <c r="EQ825" s="216"/>
      <c r="ER825" s="313"/>
      <c r="ES825" s="249"/>
      <c r="ET825" s="216"/>
      <c r="EU825" s="313"/>
      <c r="EV825" s="249"/>
      <c r="EW825" s="216"/>
      <c r="EX825" s="2505"/>
      <c r="EY825" s="249"/>
      <c r="EZ825" s="221"/>
      <c r="FA825" s="313"/>
      <c r="FB825" s="249"/>
      <c r="FC825" s="221"/>
      <c r="FD825" s="313"/>
      <c r="FE825" s="249"/>
      <c r="FF825" s="221"/>
      <c r="FG825" s="313"/>
      <c r="FH825" s="249"/>
      <c r="FI825" s="216"/>
      <c r="FJ825" s="1435"/>
      <c r="FK825" s="216"/>
      <c r="FL825" s="1268"/>
      <c r="FM825" s="1655"/>
      <c r="FN825" s="1268"/>
      <c r="FO825" s="1655"/>
      <c r="FP825" s="1268"/>
      <c r="FQ825" s="1656"/>
      <c r="FR825" s="249"/>
      <c r="FS825" s="216"/>
      <c r="FT825" s="1657"/>
      <c r="FU825" s="1658"/>
      <c r="FV825" s="242"/>
      <c r="FW825" s="343"/>
      <c r="FX825" s="222"/>
      <c r="FY825" s="336"/>
      <c r="FZ825" s="223"/>
      <c r="GA825" s="338"/>
      <c r="GB825" s="204"/>
      <c r="GC825" s="339"/>
      <c r="GD825" s="342"/>
      <c r="GE825" s="199"/>
      <c r="GF825" s="199"/>
      <c r="GG825" s="199"/>
      <c r="GH825" s="199"/>
      <c r="GI825" s="199"/>
      <c r="GJ825" s="199"/>
      <c r="GK825" s="199"/>
      <c r="GO825" s="322"/>
      <c r="GP825" s="1190"/>
      <c r="GQ825" s="1190"/>
      <c r="GS825" s="2879"/>
      <c r="GT825" s="2880"/>
      <c r="GU825" s="2881"/>
    </row>
    <row r="826" spans="1:203" ht="12" customHeight="1">
      <c r="A826" s="1252"/>
      <c r="B826" s="200"/>
      <c r="C826" s="486"/>
      <c r="T826" s="1186"/>
      <c r="U826" s="233"/>
      <c r="W826" s="218"/>
      <c r="X826" s="218"/>
      <c r="Y826" s="216"/>
      <c r="Z826" s="216"/>
      <c r="AA826" s="215"/>
      <c r="AB826" s="216"/>
      <c r="AC826" s="216"/>
      <c r="AD826" s="239"/>
      <c r="AE826" s="216"/>
      <c r="AF826" s="216"/>
      <c r="AG826" s="216"/>
      <c r="AH826" s="216"/>
      <c r="AI826" s="216"/>
      <c r="AJ826" s="216"/>
      <c r="AK826" s="239"/>
      <c r="AL826" s="216"/>
      <c r="AM826" s="216"/>
      <c r="AN826" s="216"/>
      <c r="AO826" s="216"/>
      <c r="AP826" s="216"/>
      <c r="AQ826" s="216"/>
      <c r="AR826" s="216"/>
      <c r="AS826" s="216"/>
      <c r="AT826" s="216"/>
      <c r="AU826" s="216"/>
      <c r="AV826" s="217"/>
      <c r="AW826" s="355"/>
      <c r="AX826" s="217"/>
      <c r="AY826" s="305"/>
      <c r="AZ826" s="249"/>
      <c r="BA826" s="221"/>
      <c r="BB826" s="300"/>
      <c r="BC826" s="217"/>
      <c r="BD826" s="392"/>
      <c r="BE826" s="1244"/>
      <c r="BF826" s="249"/>
      <c r="BG826" s="252"/>
      <c r="BH826" s="1469"/>
      <c r="BI826" s="216"/>
      <c r="BJ826" s="1469"/>
      <c r="BK826" s="1459"/>
      <c r="BL826" s="260"/>
      <c r="BM826" s="214"/>
      <c r="BN826" s="293"/>
      <c r="BO826" s="217"/>
      <c r="BP826" s="355"/>
      <c r="BQ826" s="217"/>
      <c r="BR826" s="1193"/>
      <c r="BS826" s="249"/>
      <c r="BT826" s="216"/>
      <c r="BU826" s="1195"/>
      <c r="BV826" s="249"/>
      <c r="BW826" s="216"/>
      <c r="BX826" s="1195"/>
      <c r="BY826" s="249"/>
      <c r="BZ826" s="216"/>
      <c r="CA826" s="1195"/>
      <c r="CB826" s="249"/>
      <c r="CC826" s="216"/>
      <c r="CD826" s="1195"/>
      <c r="CE826" s="249"/>
      <c r="CF826" s="216"/>
      <c r="CG826" s="1195"/>
      <c r="CH826" s="249"/>
      <c r="CI826" s="216"/>
      <c r="CJ826" s="1195"/>
      <c r="CK826" s="249"/>
      <c r="CL826" s="216"/>
      <c r="CM826" s="1194"/>
      <c r="CN826" s="1524"/>
      <c r="CO826" s="217"/>
      <c r="CP826" s="1193"/>
      <c r="CQ826" s="293"/>
      <c r="CR826" s="217"/>
      <c r="CS826" s="305"/>
      <c r="CT826" s="249"/>
      <c r="CU826" s="216"/>
      <c r="CV826" s="1193"/>
      <c r="CW826" s="249"/>
      <c r="CX826" s="216"/>
      <c r="CY826" s="305"/>
      <c r="CZ826" s="249"/>
      <c r="DA826" s="216"/>
      <c r="DB826" s="307"/>
      <c r="DC826" s="328"/>
      <c r="DD826" s="322"/>
      <c r="DE826" s="305"/>
      <c r="DF826" s="249"/>
      <c r="DG826" s="216"/>
      <c r="DH826" s="305"/>
      <c r="DI826" s="249"/>
      <c r="DJ826" s="216"/>
      <c r="DK826" s="309"/>
      <c r="DL826" s="293"/>
      <c r="DM826" s="326"/>
      <c r="DN826" s="1256"/>
      <c r="DO826" s="214"/>
      <c r="DP826" s="1257"/>
      <c r="DQ826" s="1258"/>
      <c r="DR826" s="305"/>
      <c r="DS826" s="249"/>
      <c r="DT826" s="216"/>
      <c r="DU826" s="305"/>
      <c r="DV826" s="2520"/>
      <c r="DW826" s="2521"/>
      <c r="DX826" s="305"/>
      <c r="DY826" s="249"/>
      <c r="DZ826" s="221"/>
      <c r="EA826" s="388"/>
      <c r="EB826" s="249"/>
      <c r="EC826" s="216"/>
      <c r="ED826" s="1461"/>
      <c r="EE826" s="249"/>
      <c r="EF826" s="216"/>
      <c r="EG826" s="355"/>
      <c r="EH826" s="1425"/>
      <c r="EI826" s="1470"/>
      <c r="EJ826" s="249"/>
      <c r="EK826" s="221"/>
      <c r="EL826" s="313"/>
      <c r="EM826" s="249"/>
      <c r="EN826" s="221"/>
      <c r="EO826" s="313"/>
      <c r="EP826" s="249"/>
      <c r="EQ826" s="216"/>
      <c r="ER826" s="313"/>
      <c r="ES826" s="249"/>
      <c r="ET826" s="216"/>
      <c r="EU826" s="313"/>
      <c r="EV826" s="249"/>
      <c r="EW826" s="216"/>
      <c r="EX826" s="2505"/>
      <c r="EY826" s="249"/>
      <c r="EZ826" s="221"/>
      <c r="FA826" s="313"/>
      <c r="FB826" s="249"/>
      <c r="FC826" s="221"/>
      <c r="FD826" s="313"/>
      <c r="FE826" s="249"/>
      <c r="FF826" s="221"/>
      <c r="FG826" s="313"/>
      <c r="FH826" s="249"/>
      <c r="FI826" s="216"/>
      <c r="FJ826" s="1435"/>
      <c r="FK826" s="216"/>
      <c r="FL826" s="1268"/>
      <c r="FM826" s="1655"/>
      <c r="FN826" s="1268"/>
      <c r="FO826" s="1655"/>
      <c r="FP826" s="1268"/>
      <c r="FQ826" s="1656"/>
      <c r="FR826" s="249"/>
      <c r="FS826" s="216"/>
      <c r="FT826" s="1657"/>
      <c r="FU826" s="1658"/>
      <c r="FV826" s="242"/>
      <c r="FW826" s="343"/>
      <c r="FX826" s="222"/>
      <c r="FY826" s="336"/>
      <c r="FZ826" s="223"/>
      <c r="GA826" s="338"/>
      <c r="GB826" s="204"/>
      <c r="GC826" s="339"/>
      <c r="GD826" s="342"/>
      <c r="GE826" s="199"/>
      <c r="GF826" s="199"/>
      <c r="GG826" s="199"/>
      <c r="GH826" s="199"/>
      <c r="GI826" s="199"/>
      <c r="GJ826" s="199"/>
      <c r="GK826" s="199"/>
      <c r="GO826" s="322"/>
      <c r="GP826" s="1190"/>
      <c r="GQ826" s="1190"/>
      <c r="GS826" s="2879"/>
      <c r="GT826" s="2880"/>
      <c r="GU826" s="2881"/>
    </row>
    <row r="827" spans="1:203" ht="12" customHeight="1">
      <c r="A827" s="1252"/>
      <c r="B827" s="200"/>
      <c r="C827" s="486"/>
      <c r="T827" s="1186"/>
      <c r="U827" s="233"/>
      <c r="W827" s="218"/>
      <c r="X827" s="218"/>
      <c r="Y827" s="216"/>
      <c r="Z827" s="216"/>
      <c r="AA827" s="215"/>
      <c r="AB827" s="216"/>
      <c r="AC827" s="216"/>
      <c r="AD827" s="239"/>
      <c r="AE827" s="216"/>
      <c r="AF827" s="216"/>
      <c r="AG827" s="216"/>
      <c r="AH827" s="216"/>
      <c r="AI827" s="216"/>
      <c r="AJ827" s="216"/>
      <c r="AK827" s="239"/>
      <c r="AL827" s="216"/>
      <c r="AM827" s="216"/>
      <c r="AN827" s="216"/>
      <c r="AO827" s="216"/>
      <c r="AP827" s="216"/>
      <c r="AQ827" s="216"/>
      <c r="AR827" s="216"/>
      <c r="AS827" s="216"/>
      <c r="AT827" s="216"/>
      <c r="AU827" s="216"/>
      <c r="AV827" s="217"/>
      <c r="AW827" s="355"/>
      <c r="AX827" s="217"/>
      <c r="AY827" s="305"/>
      <c r="AZ827" s="249"/>
      <c r="BA827" s="221"/>
      <c r="BB827" s="300"/>
      <c r="BC827" s="217"/>
      <c r="BD827" s="392"/>
      <c r="BE827" s="1244"/>
      <c r="BF827" s="249"/>
      <c r="BG827" s="252"/>
      <c r="BH827" s="1469"/>
      <c r="BI827" s="216"/>
      <c r="BJ827" s="1469"/>
      <c r="BK827" s="1459"/>
      <c r="BL827" s="260"/>
      <c r="BM827" s="214"/>
      <c r="BN827" s="293"/>
      <c r="BO827" s="217"/>
      <c r="BP827" s="355"/>
      <c r="BQ827" s="217"/>
      <c r="BR827" s="1193"/>
      <c r="BS827" s="249"/>
      <c r="BT827" s="216"/>
      <c r="BU827" s="1195"/>
      <c r="BV827" s="249"/>
      <c r="BW827" s="216"/>
      <c r="BX827" s="1195"/>
      <c r="BY827" s="249"/>
      <c r="BZ827" s="216"/>
      <c r="CA827" s="1195"/>
      <c r="CB827" s="249"/>
      <c r="CC827" s="216"/>
      <c r="CD827" s="1195"/>
      <c r="CE827" s="249"/>
      <c r="CF827" s="216"/>
      <c r="CG827" s="1195"/>
      <c r="CH827" s="249"/>
      <c r="CI827" s="216"/>
      <c r="CJ827" s="1195"/>
      <c r="CK827" s="249"/>
      <c r="CL827" s="216"/>
      <c r="CM827" s="1194"/>
      <c r="CN827" s="1524"/>
      <c r="CO827" s="217"/>
      <c r="CP827" s="1193"/>
      <c r="CQ827" s="293"/>
      <c r="CR827" s="217"/>
      <c r="CS827" s="305"/>
      <c r="CT827" s="249"/>
      <c r="CU827" s="216"/>
      <c r="CV827" s="1193"/>
      <c r="CW827" s="249"/>
      <c r="CX827" s="216"/>
      <c r="CY827" s="305"/>
      <c r="CZ827" s="249"/>
      <c r="DA827" s="216"/>
      <c r="DB827" s="307"/>
      <c r="DC827" s="328"/>
      <c r="DD827" s="322"/>
      <c r="DE827" s="305"/>
      <c r="DF827" s="249"/>
      <c r="DG827" s="216"/>
      <c r="DH827" s="305"/>
      <c r="DI827" s="249"/>
      <c r="DJ827" s="216"/>
      <c r="DK827" s="309"/>
      <c r="DL827" s="293"/>
      <c r="DM827" s="326"/>
      <c r="DN827" s="1256"/>
      <c r="DO827" s="214"/>
      <c r="DP827" s="1257"/>
      <c r="DQ827" s="1258"/>
      <c r="DR827" s="305"/>
      <c r="DS827" s="249"/>
      <c r="DT827" s="216"/>
      <c r="DU827" s="305"/>
      <c r="DV827" s="2520"/>
      <c r="DW827" s="2521"/>
      <c r="DX827" s="305"/>
      <c r="DY827" s="249"/>
      <c r="DZ827" s="221"/>
      <c r="EA827" s="388"/>
      <c r="EB827" s="249"/>
      <c r="EC827" s="216"/>
      <c r="ED827" s="1461"/>
      <c r="EE827" s="249"/>
      <c r="EF827" s="216"/>
      <c r="EG827" s="355"/>
      <c r="EH827" s="1425"/>
      <c r="EI827" s="1470"/>
      <c r="EJ827" s="249"/>
      <c r="EK827" s="221"/>
      <c r="EL827" s="313"/>
      <c r="EM827" s="249"/>
      <c r="EN827" s="221"/>
      <c r="EO827" s="313"/>
      <c r="EP827" s="249"/>
      <c r="EQ827" s="216"/>
      <c r="ER827" s="313"/>
      <c r="ES827" s="249"/>
      <c r="ET827" s="216"/>
      <c r="EU827" s="313"/>
      <c r="EV827" s="249"/>
      <c r="EW827" s="216"/>
      <c r="EX827" s="2505"/>
      <c r="EY827" s="249"/>
      <c r="EZ827" s="221"/>
      <c r="FA827" s="313"/>
      <c r="FB827" s="249"/>
      <c r="FC827" s="221"/>
      <c r="FD827" s="313"/>
      <c r="FE827" s="249"/>
      <c r="FF827" s="221"/>
      <c r="FG827" s="313"/>
      <c r="FH827" s="249"/>
      <c r="FI827" s="216"/>
      <c r="FJ827" s="1435"/>
      <c r="FK827" s="216"/>
      <c r="FL827" s="1268"/>
      <c r="FM827" s="1655"/>
      <c r="FN827" s="1268"/>
      <c r="FO827" s="1655"/>
      <c r="FP827" s="1268"/>
      <c r="FQ827" s="1656"/>
      <c r="FR827" s="249"/>
      <c r="FS827" s="216"/>
      <c r="FT827" s="1657"/>
      <c r="FU827" s="1658"/>
      <c r="FV827" s="242"/>
      <c r="FW827" s="343"/>
      <c r="FX827" s="222"/>
      <c r="FY827" s="336"/>
      <c r="FZ827" s="223"/>
      <c r="GA827" s="338"/>
      <c r="GB827" s="204"/>
      <c r="GC827" s="339"/>
      <c r="GD827" s="342"/>
      <c r="GE827" s="199"/>
      <c r="GF827" s="199"/>
      <c r="GG827" s="199"/>
      <c r="GH827" s="199"/>
      <c r="GI827" s="199"/>
      <c r="GJ827" s="199"/>
      <c r="GK827" s="199"/>
      <c r="GO827" s="322"/>
      <c r="GP827" s="1190"/>
      <c r="GQ827" s="1190"/>
      <c r="GS827" s="2879"/>
      <c r="GT827" s="2880"/>
      <c r="GU827" s="2881"/>
    </row>
    <row r="828" spans="1:203" ht="12" customHeight="1">
      <c r="A828" s="1252"/>
      <c r="B828" s="200"/>
      <c r="C828" s="486"/>
      <c r="T828" s="1186"/>
      <c r="U828" s="233"/>
      <c r="W828" s="218"/>
      <c r="X828" s="218"/>
      <c r="Y828" s="216"/>
      <c r="Z828" s="216"/>
      <c r="AA828" s="215"/>
      <c r="AB828" s="216"/>
      <c r="AC828" s="216"/>
      <c r="AD828" s="239"/>
      <c r="AE828" s="216"/>
      <c r="AF828" s="216"/>
      <c r="AG828" s="216"/>
      <c r="AH828" s="216"/>
      <c r="AI828" s="216"/>
      <c r="AJ828" s="216"/>
      <c r="AK828" s="239"/>
      <c r="AL828" s="216"/>
      <c r="AM828" s="216"/>
      <c r="AN828" s="216"/>
      <c r="AO828" s="216"/>
      <c r="AP828" s="216"/>
      <c r="AQ828" s="216"/>
      <c r="AR828" s="216"/>
      <c r="AS828" s="216"/>
      <c r="AT828" s="216"/>
      <c r="AU828" s="216"/>
      <c r="AV828" s="217"/>
      <c r="AW828" s="355"/>
      <c r="AX828" s="217"/>
      <c r="AY828" s="305"/>
      <c r="AZ828" s="249"/>
      <c r="BA828" s="221"/>
      <c r="BB828" s="300"/>
      <c r="BC828" s="217"/>
      <c r="BD828" s="392"/>
      <c r="BE828" s="1244"/>
      <c r="BF828" s="249"/>
      <c r="BG828" s="252"/>
      <c r="BH828" s="1469"/>
      <c r="BI828" s="216"/>
      <c r="BJ828" s="1469"/>
      <c r="BK828" s="1459"/>
      <c r="BL828" s="260"/>
      <c r="BM828" s="214"/>
      <c r="BN828" s="293"/>
      <c r="BO828" s="217"/>
      <c r="BP828" s="355"/>
      <c r="BQ828" s="217"/>
      <c r="BR828" s="1193"/>
      <c r="BS828" s="249"/>
      <c r="BT828" s="216"/>
      <c r="BU828" s="1195"/>
      <c r="BV828" s="249"/>
      <c r="BW828" s="216"/>
      <c r="BX828" s="1195"/>
      <c r="BY828" s="249"/>
      <c r="BZ828" s="216"/>
      <c r="CA828" s="1195"/>
      <c r="CB828" s="249"/>
      <c r="CC828" s="216"/>
      <c r="CD828" s="1195"/>
      <c r="CE828" s="249"/>
      <c r="CF828" s="216"/>
      <c r="CG828" s="1195"/>
      <c r="CH828" s="249"/>
      <c r="CI828" s="216"/>
      <c r="CJ828" s="1195"/>
      <c r="CK828" s="249"/>
      <c r="CL828" s="216"/>
      <c r="CM828" s="1194"/>
      <c r="CN828" s="1524"/>
      <c r="CO828" s="217"/>
      <c r="CP828" s="1193"/>
      <c r="CQ828" s="293"/>
      <c r="CR828" s="217"/>
      <c r="CS828" s="305"/>
      <c r="CT828" s="249"/>
      <c r="CU828" s="216"/>
      <c r="CV828" s="1193"/>
      <c r="CW828" s="249"/>
      <c r="CX828" s="216"/>
      <c r="CY828" s="305"/>
      <c r="CZ828" s="249"/>
      <c r="DA828" s="216"/>
      <c r="DB828" s="307"/>
      <c r="DC828" s="328"/>
      <c r="DD828" s="322"/>
      <c r="DE828" s="305"/>
      <c r="DF828" s="249"/>
      <c r="DG828" s="216"/>
      <c r="DH828" s="305"/>
      <c r="DI828" s="249"/>
      <c r="DJ828" s="216"/>
      <c r="DK828" s="309"/>
      <c r="DL828" s="293"/>
      <c r="DM828" s="326"/>
      <c r="DN828" s="1256"/>
      <c r="DO828" s="214"/>
      <c r="DP828" s="1257"/>
      <c r="DQ828" s="1258"/>
      <c r="DR828" s="305"/>
      <c r="DS828" s="249"/>
      <c r="DT828" s="216"/>
      <c r="DU828" s="305"/>
      <c r="DV828" s="2520"/>
      <c r="DW828" s="2521"/>
      <c r="DX828" s="305"/>
      <c r="DY828" s="249"/>
      <c r="DZ828" s="221"/>
      <c r="EA828" s="388"/>
      <c r="EB828" s="249"/>
      <c r="EC828" s="216"/>
      <c r="ED828" s="1461"/>
      <c r="EE828" s="249"/>
      <c r="EF828" s="216"/>
      <c r="EG828" s="355"/>
      <c r="EH828" s="1425"/>
      <c r="EI828" s="1470"/>
      <c r="EJ828" s="249"/>
      <c r="EK828" s="221"/>
      <c r="EL828" s="313"/>
      <c r="EM828" s="249"/>
      <c r="EN828" s="221"/>
      <c r="EO828" s="313"/>
      <c r="EP828" s="249"/>
      <c r="EQ828" s="216"/>
      <c r="ER828" s="313"/>
      <c r="ES828" s="249"/>
      <c r="ET828" s="216"/>
      <c r="EU828" s="313"/>
      <c r="EV828" s="249"/>
      <c r="EW828" s="216"/>
      <c r="EX828" s="2505"/>
      <c r="EY828" s="249"/>
      <c r="EZ828" s="221"/>
      <c r="FA828" s="313"/>
      <c r="FB828" s="249"/>
      <c r="FC828" s="221"/>
      <c r="FD828" s="313"/>
      <c r="FE828" s="249"/>
      <c r="FF828" s="221"/>
      <c r="FG828" s="313"/>
      <c r="FH828" s="249"/>
      <c r="FI828" s="216"/>
      <c r="FJ828" s="1435"/>
      <c r="FK828" s="216"/>
      <c r="FL828" s="1268"/>
      <c r="FM828" s="1655"/>
      <c r="FN828" s="1268"/>
      <c r="FO828" s="1655"/>
      <c r="FP828" s="1268"/>
      <c r="FQ828" s="1656"/>
      <c r="FR828" s="249"/>
      <c r="FS828" s="216"/>
      <c r="FT828" s="1657"/>
      <c r="FU828" s="1658"/>
      <c r="FV828" s="242"/>
      <c r="FW828" s="343"/>
      <c r="FX828" s="222"/>
      <c r="FY828" s="336"/>
      <c r="FZ828" s="223"/>
      <c r="GA828" s="338"/>
      <c r="GB828" s="204"/>
      <c r="GC828" s="339"/>
      <c r="GD828" s="342"/>
      <c r="GE828" s="199"/>
      <c r="GF828" s="199"/>
      <c r="GG828" s="199"/>
      <c r="GH828" s="199"/>
      <c r="GI828" s="199"/>
      <c r="GJ828" s="199"/>
      <c r="GK828" s="199"/>
      <c r="GO828" s="322"/>
      <c r="GP828" s="1190"/>
      <c r="GQ828" s="1190"/>
      <c r="GS828" s="2879"/>
      <c r="GT828" s="2880"/>
      <c r="GU828" s="2881"/>
    </row>
    <row r="829" spans="1:203" ht="12" customHeight="1">
      <c r="A829" s="1252"/>
      <c r="B829" s="200"/>
      <c r="C829" s="486"/>
      <c r="T829" s="1186"/>
      <c r="U829" s="233"/>
      <c r="W829" s="218"/>
      <c r="X829" s="218"/>
      <c r="Y829" s="216"/>
      <c r="Z829" s="216"/>
      <c r="AA829" s="215"/>
      <c r="AB829" s="216"/>
      <c r="AC829" s="216"/>
      <c r="AD829" s="239"/>
      <c r="AE829" s="216"/>
      <c r="AF829" s="216"/>
      <c r="AG829" s="216"/>
      <c r="AH829" s="216"/>
      <c r="AI829" s="216"/>
      <c r="AJ829" s="216"/>
      <c r="AK829" s="239"/>
      <c r="AL829" s="216"/>
      <c r="AM829" s="216"/>
      <c r="AN829" s="216"/>
      <c r="AO829" s="216"/>
      <c r="AP829" s="216"/>
      <c r="AQ829" s="216"/>
      <c r="AR829" s="216"/>
      <c r="AS829" s="216"/>
      <c r="AT829" s="216"/>
      <c r="AU829" s="216"/>
      <c r="AV829" s="217"/>
      <c r="AW829" s="355"/>
      <c r="AX829" s="217"/>
      <c r="AY829" s="305"/>
      <c r="AZ829" s="249"/>
      <c r="BA829" s="221"/>
      <c r="BB829" s="300"/>
      <c r="BC829" s="217"/>
      <c r="BD829" s="392"/>
      <c r="BE829" s="1244"/>
      <c r="BF829" s="249"/>
      <c r="BG829" s="252"/>
      <c r="BH829" s="1469"/>
      <c r="BI829" s="216"/>
      <c r="BJ829" s="1469"/>
      <c r="BK829" s="1459"/>
      <c r="BL829" s="260"/>
      <c r="BM829" s="214"/>
      <c r="BN829" s="293"/>
      <c r="BO829" s="217"/>
      <c r="BP829" s="355"/>
      <c r="BQ829" s="217"/>
      <c r="BR829" s="1193"/>
      <c r="BS829" s="249"/>
      <c r="BT829" s="216"/>
      <c r="BU829" s="1195"/>
      <c r="BV829" s="249"/>
      <c r="BW829" s="216"/>
      <c r="BX829" s="1195"/>
      <c r="BY829" s="249"/>
      <c r="BZ829" s="216"/>
      <c r="CA829" s="1195"/>
      <c r="CB829" s="249"/>
      <c r="CC829" s="216"/>
      <c r="CD829" s="1195"/>
      <c r="CE829" s="249"/>
      <c r="CF829" s="216"/>
      <c r="CG829" s="1195"/>
      <c r="CH829" s="249"/>
      <c r="CI829" s="216"/>
      <c r="CJ829" s="1195"/>
      <c r="CK829" s="249"/>
      <c r="CL829" s="216"/>
      <c r="CM829" s="1194"/>
      <c r="CN829" s="1524"/>
      <c r="CO829" s="217"/>
      <c r="CP829" s="1193"/>
      <c r="CQ829" s="293"/>
      <c r="CR829" s="217"/>
      <c r="CS829" s="305"/>
      <c r="CT829" s="249"/>
      <c r="CU829" s="216"/>
      <c r="CV829" s="1193"/>
      <c r="CW829" s="249"/>
      <c r="CX829" s="216"/>
      <c r="CY829" s="305"/>
      <c r="CZ829" s="249"/>
      <c r="DA829" s="216"/>
      <c r="DB829" s="307"/>
      <c r="DC829" s="328"/>
      <c r="DD829" s="322"/>
      <c r="DE829" s="305"/>
      <c r="DF829" s="249"/>
      <c r="DG829" s="216"/>
      <c r="DH829" s="305"/>
      <c r="DI829" s="249"/>
      <c r="DJ829" s="216"/>
      <c r="DK829" s="309"/>
      <c r="DL829" s="293"/>
      <c r="DM829" s="326"/>
      <c r="DN829" s="1256"/>
      <c r="DO829" s="214"/>
      <c r="DP829" s="1257"/>
      <c r="DQ829" s="1258"/>
      <c r="DR829" s="305"/>
      <c r="DS829" s="249"/>
      <c r="DT829" s="216"/>
      <c r="DU829" s="305"/>
      <c r="DV829" s="2520"/>
      <c r="DW829" s="2521"/>
      <c r="DX829" s="305"/>
      <c r="DY829" s="249"/>
      <c r="DZ829" s="221"/>
      <c r="EA829" s="388"/>
      <c r="EB829" s="249"/>
      <c r="EC829" s="216"/>
      <c r="ED829" s="1461"/>
      <c r="EE829" s="249"/>
      <c r="EF829" s="216"/>
      <c r="EG829" s="355"/>
      <c r="EH829" s="1425"/>
      <c r="EI829" s="1470"/>
      <c r="EJ829" s="249"/>
      <c r="EK829" s="221"/>
      <c r="EL829" s="313"/>
      <c r="EM829" s="249"/>
      <c r="EN829" s="221"/>
      <c r="EO829" s="313"/>
      <c r="EP829" s="249"/>
      <c r="EQ829" s="216"/>
      <c r="ER829" s="313"/>
      <c r="ES829" s="249"/>
      <c r="ET829" s="216"/>
      <c r="EU829" s="313"/>
      <c r="EV829" s="249"/>
      <c r="EW829" s="216"/>
      <c r="EX829" s="2505"/>
      <c r="EY829" s="249"/>
      <c r="EZ829" s="221"/>
      <c r="FA829" s="313"/>
      <c r="FB829" s="249"/>
      <c r="FC829" s="221"/>
      <c r="FD829" s="313"/>
      <c r="FE829" s="249"/>
      <c r="FF829" s="221"/>
      <c r="FG829" s="313"/>
      <c r="FH829" s="249"/>
      <c r="FI829" s="216"/>
      <c r="FJ829" s="1435"/>
      <c r="FK829" s="216"/>
      <c r="FL829" s="1268"/>
      <c r="FM829" s="1655"/>
      <c r="FN829" s="1268"/>
      <c r="FO829" s="1655"/>
      <c r="FP829" s="1268"/>
      <c r="FQ829" s="1656"/>
      <c r="FR829" s="249"/>
      <c r="FS829" s="216"/>
      <c r="FT829" s="1657"/>
      <c r="FU829" s="1658"/>
      <c r="FV829" s="242"/>
      <c r="FW829" s="343"/>
      <c r="FX829" s="222"/>
      <c r="FY829" s="336"/>
      <c r="FZ829" s="223"/>
      <c r="GA829" s="338"/>
      <c r="GB829" s="204"/>
      <c r="GC829" s="339"/>
      <c r="GD829" s="342"/>
      <c r="GE829" s="199"/>
      <c r="GF829" s="199"/>
      <c r="GG829" s="199"/>
      <c r="GH829" s="199"/>
      <c r="GI829" s="199"/>
      <c r="GJ829" s="199"/>
      <c r="GK829" s="199"/>
      <c r="GO829" s="322"/>
      <c r="GP829" s="1190"/>
      <c r="GQ829" s="1190"/>
      <c r="GS829" s="2879"/>
      <c r="GT829" s="2880"/>
      <c r="GU829" s="2881"/>
    </row>
    <row r="830" spans="1:203" ht="12" customHeight="1">
      <c r="A830" s="1252"/>
      <c r="B830" s="200"/>
      <c r="C830" s="486"/>
      <c r="T830" s="1186"/>
      <c r="U830" s="233"/>
      <c r="W830" s="218"/>
      <c r="X830" s="218"/>
      <c r="Y830" s="216"/>
      <c r="Z830" s="216"/>
      <c r="AA830" s="215"/>
      <c r="AB830" s="216"/>
      <c r="AC830" s="216"/>
      <c r="AD830" s="239"/>
      <c r="AE830" s="216"/>
      <c r="AF830" s="216"/>
      <c r="AG830" s="216"/>
      <c r="AH830" s="216"/>
      <c r="AI830" s="216"/>
      <c r="AJ830" s="216"/>
      <c r="AK830" s="239"/>
      <c r="AL830" s="216"/>
      <c r="AM830" s="216"/>
      <c r="AN830" s="216"/>
      <c r="AO830" s="216"/>
      <c r="AP830" s="216"/>
      <c r="AQ830" s="216"/>
      <c r="AR830" s="216"/>
      <c r="AS830" s="216"/>
      <c r="AT830" s="216"/>
      <c r="AU830" s="216"/>
      <c r="AV830" s="217"/>
      <c r="AW830" s="355"/>
      <c r="AX830" s="217"/>
      <c r="AY830" s="305"/>
      <c r="AZ830" s="249"/>
      <c r="BA830" s="221"/>
      <c r="BB830" s="300"/>
      <c r="BC830" s="217"/>
      <c r="BD830" s="392"/>
      <c r="BE830" s="1244"/>
      <c r="BF830" s="249"/>
      <c r="BG830" s="252"/>
      <c r="BH830" s="1469"/>
      <c r="BI830" s="216"/>
      <c r="BJ830" s="1469"/>
      <c r="BK830" s="1459"/>
      <c r="BL830" s="260"/>
      <c r="BM830" s="214"/>
      <c r="BN830" s="293"/>
      <c r="BO830" s="217"/>
      <c r="BP830" s="355"/>
      <c r="BQ830" s="217"/>
      <c r="BR830" s="1193"/>
      <c r="BS830" s="249"/>
      <c r="BT830" s="216"/>
      <c r="BU830" s="1195"/>
      <c r="BV830" s="249"/>
      <c r="BW830" s="216"/>
      <c r="BX830" s="1195"/>
      <c r="BY830" s="249"/>
      <c r="BZ830" s="216"/>
      <c r="CA830" s="1195"/>
      <c r="CB830" s="249"/>
      <c r="CC830" s="216"/>
      <c r="CD830" s="1195"/>
      <c r="CE830" s="249"/>
      <c r="CF830" s="216"/>
      <c r="CG830" s="1195"/>
      <c r="CH830" s="249"/>
      <c r="CI830" s="216"/>
      <c r="CJ830" s="1195"/>
      <c r="CK830" s="249"/>
      <c r="CL830" s="216"/>
      <c r="CM830" s="1194"/>
      <c r="CN830" s="1524"/>
      <c r="CO830" s="217"/>
      <c r="CP830" s="1193"/>
      <c r="CQ830" s="293"/>
      <c r="CR830" s="217"/>
      <c r="CS830" s="305"/>
      <c r="CT830" s="249"/>
      <c r="CU830" s="216"/>
      <c r="CV830" s="1193"/>
      <c r="CW830" s="249"/>
      <c r="CX830" s="216"/>
      <c r="CY830" s="305"/>
      <c r="CZ830" s="249"/>
      <c r="DA830" s="216"/>
      <c r="DB830" s="307"/>
      <c r="DC830" s="328"/>
      <c r="DD830" s="322"/>
      <c r="DE830" s="305"/>
      <c r="DF830" s="249"/>
      <c r="DG830" s="216"/>
      <c r="DH830" s="305"/>
      <c r="DI830" s="249"/>
      <c r="DJ830" s="216"/>
      <c r="DK830" s="309"/>
      <c r="DL830" s="293"/>
      <c r="DM830" s="326"/>
      <c r="DN830" s="1256"/>
      <c r="DO830" s="214"/>
      <c r="DP830" s="1257"/>
      <c r="DQ830" s="1258"/>
      <c r="DR830" s="305"/>
      <c r="DS830" s="249"/>
      <c r="DT830" s="216"/>
      <c r="DU830" s="305"/>
      <c r="DV830" s="2520"/>
      <c r="DW830" s="2521"/>
      <c r="DX830" s="305"/>
      <c r="DY830" s="249"/>
      <c r="DZ830" s="221"/>
      <c r="EA830" s="388"/>
      <c r="EB830" s="249"/>
      <c r="EC830" s="216"/>
      <c r="ED830" s="1461"/>
      <c r="EE830" s="249"/>
      <c r="EF830" s="216"/>
      <c r="EG830" s="355"/>
      <c r="EH830" s="1425"/>
      <c r="EI830" s="1470"/>
      <c r="EJ830" s="249"/>
      <c r="EK830" s="221"/>
      <c r="EL830" s="313"/>
      <c r="EM830" s="249"/>
      <c r="EN830" s="221"/>
      <c r="EO830" s="313"/>
      <c r="EP830" s="249"/>
      <c r="EQ830" s="216"/>
      <c r="ER830" s="313"/>
      <c r="ES830" s="249"/>
      <c r="ET830" s="216"/>
      <c r="EU830" s="313"/>
      <c r="EV830" s="249"/>
      <c r="EW830" s="216"/>
      <c r="EX830" s="2505"/>
      <c r="EY830" s="249"/>
      <c r="EZ830" s="221"/>
      <c r="FA830" s="313"/>
      <c r="FB830" s="249"/>
      <c r="FC830" s="221"/>
      <c r="FD830" s="313"/>
      <c r="FE830" s="249"/>
      <c r="FF830" s="221"/>
      <c r="FG830" s="313"/>
      <c r="FH830" s="249"/>
      <c r="FI830" s="216"/>
      <c r="FJ830" s="1435"/>
      <c r="FK830" s="216"/>
      <c r="FL830" s="1268"/>
      <c r="FM830" s="1655"/>
      <c r="FN830" s="1268"/>
      <c r="FO830" s="1655"/>
      <c r="FP830" s="1268"/>
      <c r="FQ830" s="1656"/>
      <c r="FR830" s="249"/>
      <c r="FS830" s="216"/>
      <c r="FT830" s="1657"/>
      <c r="FU830" s="1658"/>
      <c r="FV830" s="242"/>
      <c r="FW830" s="343"/>
      <c r="FX830" s="222"/>
      <c r="FY830" s="336"/>
      <c r="FZ830" s="223"/>
      <c r="GA830" s="338"/>
      <c r="GB830" s="204"/>
      <c r="GC830" s="339"/>
      <c r="GD830" s="342"/>
      <c r="GE830" s="199"/>
      <c r="GF830" s="199"/>
      <c r="GG830" s="199"/>
      <c r="GH830" s="199"/>
      <c r="GI830" s="199"/>
      <c r="GJ830" s="199"/>
      <c r="GK830" s="199"/>
      <c r="GO830" s="322"/>
      <c r="GP830" s="1190"/>
      <c r="GQ830" s="1190"/>
      <c r="GS830" s="2879"/>
      <c r="GT830" s="2880"/>
      <c r="GU830" s="2881"/>
    </row>
    <row r="831" spans="1:203" ht="12" customHeight="1">
      <c r="A831" s="1252"/>
      <c r="B831" s="200"/>
      <c r="C831" s="486"/>
      <c r="T831" s="1186"/>
      <c r="U831" s="233"/>
      <c r="W831" s="218"/>
      <c r="X831" s="218"/>
      <c r="Y831" s="216"/>
      <c r="Z831" s="216"/>
      <c r="AA831" s="215"/>
      <c r="AB831" s="216"/>
      <c r="AC831" s="216"/>
      <c r="AD831" s="239"/>
      <c r="AE831" s="216"/>
      <c r="AF831" s="216"/>
      <c r="AG831" s="216"/>
      <c r="AH831" s="216"/>
      <c r="AI831" s="216"/>
      <c r="AJ831" s="216"/>
      <c r="AK831" s="239"/>
      <c r="AL831" s="216"/>
      <c r="AM831" s="216"/>
      <c r="AN831" s="216"/>
      <c r="AO831" s="216"/>
      <c r="AP831" s="216"/>
      <c r="AQ831" s="216"/>
      <c r="AR831" s="216"/>
      <c r="AS831" s="216"/>
      <c r="AT831" s="216"/>
      <c r="AU831" s="216"/>
      <c r="AV831" s="217"/>
      <c r="AW831" s="355"/>
      <c r="AX831" s="217"/>
      <c r="AY831" s="305"/>
      <c r="AZ831" s="249"/>
      <c r="BA831" s="221"/>
      <c r="BB831" s="300"/>
      <c r="BC831" s="217"/>
      <c r="BD831" s="392"/>
      <c r="BE831" s="1244"/>
      <c r="BF831" s="249"/>
      <c r="BG831" s="252"/>
      <c r="BH831" s="1469"/>
      <c r="BI831" s="216"/>
      <c r="BJ831" s="1469"/>
      <c r="BK831" s="1459"/>
      <c r="BL831" s="260"/>
      <c r="BM831" s="214"/>
      <c r="BN831" s="293"/>
      <c r="BO831" s="217"/>
      <c r="BP831" s="355"/>
      <c r="BQ831" s="217"/>
      <c r="BR831" s="1193"/>
      <c r="BS831" s="249"/>
      <c r="BT831" s="216"/>
      <c r="BU831" s="1195"/>
      <c r="BV831" s="249"/>
      <c r="BW831" s="216"/>
      <c r="BX831" s="1195"/>
      <c r="BY831" s="249"/>
      <c r="BZ831" s="216"/>
      <c r="CA831" s="1195"/>
      <c r="CB831" s="249"/>
      <c r="CC831" s="216"/>
      <c r="CD831" s="1195"/>
      <c r="CE831" s="249"/>
      <c r="CF831" s="216"/>
      <c r="CG831" s="1195"/>
      <c r="CH831" s="249"/>
      <c r="CI831" s="216"/>
      <c r="CJ831" s="1195"/>
      <c r="CK831" s="249"/>
      <c r="CL831" s="216"/>
      <c r="CM831" s="1194"/>
      <c r="CN831" s="1524"/>
      <c r="CO831" s="217"/>
      <c r="CP831" s="1193"/>
      <c r="CQ831" s="293"/>
      <c r="CR831" s="217"/>
      <c r="CS831" s="305"/>
      <c r="CT831" s="249"/>
      <c r="CU831" s="216"/>
      <c r="CV831" s="1193"/>
      <c r="CW831" s="249"/>
      <c r="CX831" s="216"/>
      <c r="CY831" s="305"/>
      <c r="CZ831" s="249"/>
      <c r="DA831" s="216"/>
      <c r="DB831" s="307"/>
      <c r="DC831" s="328"/>
      <c r="DD831" s="322"/>
      <c r="DE831" s="305"/>
      <c r="DF831" s="249"/>
      <c r="DG831" s="216"/>
      <c r="DH831" s="305"/>
      <c r="DI831" s="249"/>
      <c r="DJ831" s="216"/>
      <c r="DK831" s="309"/>
      <c r="DL831" s="293"/>
      <c r="DM831" s="326"/>
      <c r="DN831" s="1256"/>
      <c r="DO831" s="214"/>
      <c r="DP831" s="1257"/>
      <c r="DQ831" s="1258"/>
      <c r="DR831" s="305"/>
      <c r="DS831" s="249"/>
      <c r="DT831" s="216"/>
      <c r="DU831" s="305"/>
      <c r="DV831" s="2520"/>
      <c r="DW831" s="2521"/>
      <c r="DX831" s="305"/>
      <c r="DY831" s="249"/>
      <c r="DZ831" s="221"/>
      <c r="EA831" s="388"/>
      <c r="EB831" s="249"/>
      <c r="EC831" s="216"/>
      <c r="ED831" s="1461"/>
      <c r="EE831" s="249"/>
      <c r="EF831" s="216"/>
      <c r="EG831" s="355"/>
      <c r="EH831" s="1425"/>
      <c r="EI831" s="1470"/>
      <c r="EJ831" s="249"/>
      <c r="EK831" s="221"/>
      <c r="EL831" s="313"/>
      <c r="EM831" s="249"/>
      <c r="EN831" s="221"/>
      <c r="EO831" s="313"/>
      <c r="EP831" s="249"/>
      <c r="EQ831" s="216"/>
      <c r="ER831" s="313"/>
      <c r="ES831" s="249"/>
      <c r="ET831" s="216"/>
      <c r="EU831" s="313"/>
      <c r="EV831" s="249"/>
      <c r="EW831" s="216"/>
      <c r="EX831" s="2505"/>
      <c r="EY831" s="249"/>
      <c r="EZ831" s="221"/>
      <c r="FA831" s="313"/>
      <c r="FB831" s="249"/>
      <c r="FC831" s="221"/>
      <c r="FD831" s="313"/>
      <c r="FE831" s="249"/>
      <c r="FF831" s="221"/>
      <c r="FG831" s="313"/>
      <c r="FH831" s="249"/>
      <c r="FI831" s="216"/>
      <c r="FJ831" s="1435"/>
      <c r="FK831" s="216"/>
      <c r="FL831" s="1268"/>
      <c r="FM831" s="1655"/>
      <c r="FN831" s="1268"/>
      <c r="FO831" s="1655"/>
      <c r="FP831" s="1268"/>
      <c r="FQ831" s="1656"/>
      <c r="FR831" s="249"/>
      <c r="FS831" s="216"/>
      <c r="FT831" s="1657"/>
      <c r="FU831" s="1658"/>
      <c r="FV831" s="242"/>
      <c r="FW831" s="343"/>
      <c r="FX831" s="222"/>
      <c r="FY831" s="336"/>
      <c r="FZ831" s="223"/>
      <c r="GA831" s="338"/>
      <c r="GB831" s="204"/>
      <c r="GC831" s="339"/>
      <c r="GD831" s="342"/>
      <c r="GE831" s="199"/>
      <c r="GF831" s="199"/>
      <c r="GG831" s="199"/>
      <c r="GH831" s="199"/>
      <c r="GI831" s="199"/>
      <c r="GJ831" s="199"/>
      <c r="GK831" s="199"/>
      <c r="GO831" s="322"/>
      <c r="GP831" s="1190"/>
      <c r="GQ831" s="1190"/>
      <c r="GS831" s="2879"/>
      <c r="GT831" s="2880"/>
      <c r="GU831" s="2881"/>
    </row>
    <row r="832" spans="1:203" ht="12" customHeight="1">
      <c r="A832" s="1252"/>
      <c r="B832" s="200"/>
      <c r="C832" s="486"/>
      <c r="T832" s="1186"/>
      <c r="U832" s="233"/>
      <c r="W832" s="218"/>
      <c r="X832" s="218"/>
      <c r="Y832" s="216"/>
      <c r="Z832" s="216"/>
      <c r="AA832" s="215"/>
      <c r="AB832" s="216"/>
      <c r="AC832" s="216"/>
      <c r="AD832" s="239"/>
      <c r="AE832" s="216"/>
      <c r="AF832" s="216"/>
      <c r="AG832" s="216"/>
      <c r="AH832" s="216"/>
      <c r="AI832" s="216"/>
      <c r="AJ832" s="216"/>
      <c r="AK832" s="239"/>
      <c r="AL832" s="216"/>
      <c r="AM832" s="216"/>
      <c r="AN832" s="216"/>
      <c r="AO832" s="216"/>
      <c r="AP832" s="216"/>
      <c r="AQ832" s="216"/>
      <c r="AR832" s="216"/>
      <c r="AS832" s="216"/>
      <c r="AT832" s="216"/>
      <c r="AU832" s="216"/>
      <c r="AV832" s="217"/>
      <c r="AW832" s="355"/>
      <c r="AX832" s="217"/>
      <c r="AY832" s="305"/>
      <c r="AZ832" s="249"/>
      <c r="BA832" s="221"/>
      <c r="BB832" s="300"/>
      <c r="BC832" s="217"/>
      <c r="BD832" s="392"/>
      <c r="BE832" s="1244"/>
      <c r="BF832" s="249"/>
      <c r="BG832" s="252"/>
      <c r="BH832" s="1469"/>
      <c r="BI832" s="216"/>
      <c r="BJ832" s="1469"/>
      <c r="BK832" s="1459"/>
      <c r="BL832" s="260"/>
      <c r="BM832" s="214"/>
      <c r="BN832" s="293"/>
      <c r="BO832" s="217"/>
      <c r="BP832" s="355"/>
      <c r="BQ832" s="217"/>
      <c r="BR832" s="1193"/>
      <c r="BS832" s="249"/>
      <c r="BT832" s="216"/>
      <c r="BU832" s="1195"/>
      <c r="BV832" s="249"/>
      <c r="BW832" s="216"/>
      <c r="BX832" s="1195"/>
      <c r="BY832" s="249"/>
      <c r="BZ832" s="216"/>
      <c r="CA832" s="1195"/>
      <c r="CB832" s="249"/>
      <c r="CC832" s="216"/>
      <c r="CD832" s="1195"/>
      <c r="CE832" s="249"/>
      <c r="CF832" s="216"/>
      <c r="CG832" s="1195"/>
      <c r="CH832" s="249"/>
      <c r="CI832" s="216"/>
      <c r="CJ832" s="1195"/>
      <c r="CK832" s="249"/>
      <c r="CL832" s="216"/>
      <c r="CM832" s="1194"/>
      <c r="CN832" s="1524"/>
      <c r="CO832" s="217"/>
      <c r="CP832" s="1193"/>
      <c r="CQ832" s="293"/>
      <c r="CR832" s="217"/>
      <c r="CS832" s="305"/>
      <c r="CT832" s="249"/>
      <c r="CU832" s="216"/>
      <c r="CV832" s="1193"/>
      <c r="CW832" s="249"/>
      <c r="CX832" s="216"/>
      <c r="CY832" s="305"/>
      <c r="CZ832" s="249"/>
      <c r="DA832" s="216"/>
      <c r="DB832" s="307"/>
      <c r="DC832" s="328"/>
      <c r="DD832" s="322"/>
      <c r="DE832" s="305"/>
      <c r="DF832" s="249"/>
      <c r="DG832" s="216"/>
      <c r="DH832" s="305"/>
      <c r="DI832" s="249"/>
      <c r="DJ832" s="216"/>
      <c r="DK832" s="309"/>
      <c r="DL832" s="293"/>
      <c r="DM832" s="326"/>
      <c r="DN832" s="1256"/>
      <c r="DO832" s="214"/>
      <c r="DP832" s="1257"/>
      <c r="DQ832" s="1258"/>
      <c r="DR832" s="305"/>
      <c r="DS832" s="249"/>
      <c r="DT832" s="216"/>
      <c r="DU832" s="305"/>
      <c r="DV832" s="2520"/>
      <c r="DW832" s="2521"/>
      <c r="DX832" s="305"/>
      <c r="DY832" s="249"/>
      <c r="DZ832" s="221"/>
      <c r="EA832" s="388"/>
      <c r="EB832" s="249"/>
      <c r="EC832" s="216"/>
      <c r="ED832" s="1461"/>
      <c r="EE832" s="249"/>
      <c r="EF832" s="216"/>
      <c r="EG832" s="355"/>
      <c r="EH832" s="1425"/>
      <c r="EI832" s="1470"/>
      <c r="EJ832" s="249"/>
      <c r="EK832" s="221"/>
      <c r="EL832" s="313"/>
      <c r="EM832" s="249"/>
      <c r="EN832" s="221"/>
      <c r="EO832" s="313"/>
      <c r="EP832" s="249"/>
      <c r="EQ832" s="216"/>
      <c r="ER832" s="313"/>
      <c r="ES832" s="249"/>
      <c r="ET832" s="216"/>
      <c r="EU832" s="313"/>
      <c r="EV832" s="249"/>
      <c r="EW832" s="216"/>
      <c r="EX832" s="2505"/>
      <c r="EY832" s="249"/>
      <c r="EZ832" s="221"/>
      <c r="FA832" s="313"/>
      <c r="FB832" s="249"/>
      <c r="FC832" s="221"/>
      <c r="FD832" s="313"/>
      <c r="FE832" s="249"/>
      <c r="FF832" s="221"/>
      <c r="FG832" s="313"/>
      <c r="FH832" s="249"/>
      <c r="FI832" s="216"/>
      <c r="FJ832" s="1435"/>
      <c r="FK832" s="216"/>
      <c r="FL832" s="1268"/>
      <c r="FM832" s="1655"/>
      <c r="FN832" s="1268"/>
      <c r="FO832" s="1655"/>
      <c r="FP832" s="1268"/>
      <c r="FQ832" s="1656"/>
      <c r="FR832" s="249"/>
      <c r="FS832" s="216"/>
      <c r="FT832" s="1657"/>
      <c r="FU832" s="1658"/>
      <c r="FV832" s="242"/>
      <c r="FW832" s="343"/>
      <c r="FX832" s="222"/>
      <c r="FY832" s="336"/>
      <c r="FZ832" s="223"/>
      <c r="GA832" s="338"/>
      <c r="GB832" s="204"/>
      <c r="GC832" s="339"/>
      <c r="GD832" s="342"/>
      <c r="GE832" s="199"/>
      <c r="GF832" s="199"/>
      <c r="GG832" s="199"/>
      <c r="GH832" s="199"/>
      <c r="GI832" s="199"/>
      <c r="GJ832" s="199"/>
      <c r="GK832" s="199"/>
      <c r="GO832" s="322"/>
      <c r="GP832" s="1190"/>
      <c r="GQ832" s="1190"/>
      <c r="GS832" s="2879"/>
      <c r="GT832" s="2880"/>
      <c r="GU832" s="2881"/>
    </row>
    <row r="833" spans="1:203" ht="12" customHeight="1">
      <c r="A833" s="1252"/>
      <c r="B833" s="200"/>
      <c r="C833" s="486"/>
      <c r="T833" s="1186"/>
      <c r="U833" s="233"/>
      <c r="W833" s="218"/>
      <c r="X833" s="218"/>
      <c r="Y833" s="216"/>
      <c r="Z833" s="216"/>
      <c r="AA833" s="215"/>
      <c r="AB833" s="216"/>
      <c r="AC833" s="216"/>
      <c r="AD833" s="239"/>
      <c r="AE833" s="216"/>
      <c r="AF833" s="216"/>
      <c r="AG833" s="216"/>
      <c r="AH833" s="216"/>
      <c r="AI833" s="216"/>
      <c r="AJ833" s="216"/>
      <c r="AK833" s="239"/>
      <c r="AL833" s="216"/>
      <c r="AM833" s="216"/>
      <c r="AN833" s="216"/>
      <c r="AO833" s="216"/>
      <c r="AP833" s="216"/>
      <c r="AQ833" s="216"/>
      <c r="AR833" s="216"/>
      <c r="AS833" s="216"/>
      <c r="AT833" s="216"/>
      <c r="AU833" s="216"/>
      <c r="AV833" s="217"/>
      <c r="AW833" s="355"/>
      <c r="AX833" s="217"/>
      <c r="AY833" s="305"/>
      <c r="AZ833" s="249"/>
      <c r="BA833" s="221"/>
      <c r="BB833" s="300"/>
      <c r="BC833" s="217"/>
      <c r="BD833" s="392"/>
      <c r="BE833" s="1244"/>
      <c r="BF833" s="249"/>
      <c r="BG833" s="252"/>
      <c r="BH833" s="1469"/>
      <c r="BI833" s="216"/>
      <c r="BJ833" s="1469"/>
      <c r="BK833" s="1459"/>
      <c r="BL833" s="260"/>
      <c r="BM833" s="214"/>
      <c r="BN833" s="293"/>
      <c r="BO833" s="217"/>
      <c r="BP833" s="355"/>
      <c r="BQ833" s="217"/>
      <c r="BR833" s="1193"/>
      <c r="BS833" s="249"/>
      <c r="BT833" s="216"/>
      <c r="BU833" s="1195"/>
      <c r="BV833" s="249"/>
      <c r="BW833" s="216"/>
      <c r="BX833" s="1195"/>
      <c r="BY833" s="249"/>
      <c r="BZ833" s="216"/>
      <c r="CA833" s="1195"/>
      <c r="CB833" s="249"/>
      <c r="CC833" s="216"/>
      <c r="CD833" s="1195"/>
      <c r="CE833" s="249"/>
      <c r="CF833" s="216"/>
      <c r="CG833" s="1195"/>
      <c r="CH833" s="249"/>
      <c r="CI833" s="216"/>
      <c r="CJ833" s="1195"/>
      <c r="CK833" s="249"/>
      <c r="CL833" s="216"/>
      <c r="CM833" s="1194"/>
      <c r="CN833" s="1524"/>
      <c r="CO833" s="217"/>
      <c r="CP833" s="1193"/>
      <c r="CQ833" s="293"/>
      <c r="CR833" s="217"/>
      <c r="CS833" s="305"/>
      <c r="CT833" s="249"/>
      <c r="CU833" s="216"/>
      <c r="CV833" s="1193"/>
      <c r="CW833" s="249"/>
      <c r="CX833" s="216"/>
      <c r="CY833" s="305"/>
      <c r="CZ833" s="249"/>
      <c r="DA833" s="216"/>
      <c r="DB833" s="307"/>
      <c r="DC833" s="328"/>
      <c r="DD833" s="322"/>
      <c r="DE833" s="305"/>
      <c r="DF833" s="249"/>
      <c r="DG833" s="216"/>
      <c r="DH833" s="305"/>
      <c r="DI833" s="249"/>
      <c r="DJ833" s="216"/>
      <c r="DK833" s="309"/>
      <c r="DL833" s="293"/>
      <c r="DM833" s="326"/>
      <c r="DN833" s="1256"/>
      <c r="DO833" s="214"/>
      <c r="DP833" s="1257"/>
      <c r="DQ833" s="1258"/>
      <c r="DR833" s="305"/>
      <c r="DS833" s="249"/>
      <c r="DT833" s="216"/>
      <c r="DU833" s="305"/>
      <c r="DV833" s="2520"/>
      <c r="DW833" s="2521"/>
      <c r="DX833" s="305"/>
      <c r="DY833" s="249"/>
      <c r="DZ833" s="221"/>
      <c r="EA833" s="388"/>
      <c r="EB833" s="249"/>
      <c r="EC833" s="216"/>
      <c r="ED833" s="1461"/>
      <c r="EE833" s="249"/>
      <c r="EF833" s="216"/>
      <c r="EG833" s="355"/>
      <c r="EH833" s="1425"/>
      <c r="EI833" s="1470"/>
      <c r="EJ833" s="249"/>
      <c r="EK833" s="221"/>
      <c r="EL833" s="313"/>
      <c r="EM833" s="249"/>
      <c r="EN833" s="221"/>
      <c r="EO833" s="313"/>
      <c r="EP833" s="249"/>
      <c r="EQ833" s="216"/>
      <c r="ER833" s="313"/>
      <c r="ES833" s="249"/>
      <c r="ET833" s="216"/>
      <c r="EU833" s="313"/>
      <c r="EV833" s="249"/>
      <c r="EW833" s="216"/>
      <c r="EX833" s="2505"/>
      <c r="EY833" s="249"/>
      <c r="EZ833" s="221"/>
      <c r="FA833" s="313"/>
      <c r="FB833" s="249"/>
      <c r="FC833" s="221"/>
      <c r="FD833" s="313"/>
      <c r="FE833" s="249"/>
      <c r="FF833" s="221"/>
      <c r="FG833" s="313"/>
      <c r="FH833" s="249"/>
      <c r="FI833" s="216"/>
      <c r="FJ833" s="1435"/>
      <c r="FK833" s="216"/>
      <c r="FL833" s="1268"/>
      <c r="FM833" s="1655"/>
      <c r="FN833" s="1268"/>
      <c r="FO833" s="1655"/>
      <c r="FP833" s="1268"/>
      <c r="FQ833" s="1656"/>
      <c r="FR833" s="249"/>
      <c r="FS833" s="216"/>
      <c r="FT833" s="1657"/>
      <c r="FU833" s="1658"/>
      <c r="FV833" s="242"/>
      <c r="FW833" s="343"/>
      <c r="FX833" s="222"/>
      <c r="FY833" s="336"/>
      <c r="FZ833" s="223"/>
      <c r="GA833" s="338"/>
      <c r="GB833" s="204"/>
      <c r="GC833" s="339"/>
      <c r="GD833" s="342"/>
      <c r="GE833" s="199"/>
      <c r="GF833" s="199"/>
      <c r="GG833" s="199"/>
      <c r="GH833" s="199"/>
      <c r="GI833" s="199"/>
      <c r="GJ833" s="199"/>
      <c r="GK833" s="199"/>
      <c r="GO833" s="322"/>
      <c r="GP833" s="1190"/>
      <c r="GQ833" s="1190"/>
      <c r="GS833" s="2879"/>
      <c r="GT833" s="2880"/>
      <c r="GU833" s="2881"/>
    </row>
    <row r="834" spans="1:203" ht="12" customHeight="1">
      <c r="A834" s="1252"/>
      <c r="B834" s="200"/>
      <c r="C834" s="486"/>
      <c r="T834" s="1186"/>
      <c r="U834" s="233"/>
      <c r="W834" s="218"/>
      <c r="X834" s="218"/>
      <c r="Y834" s="216"/>
      <c r="Z834" s="216"/>
      <c r="AA834" s="215"/>
      <c r="AB834" s="216"/>
      <c r="AC834" s="216"/>
      <c r="AD834" s="239"/>
      <c r="AE834" s="216"/>
      <c r="AF834" s="216"/>
      <c r="AG834" s="216"/>
      <c r="AH834" s="216"/>
      <c r="AI834" s="216"/>
      <c r="AJ834" s="216"/>
      <c r="AK834" s="239"/>
      <c r="AL834" s="216"/>
      <c r="AM834" s="216"/>
      <c r="AN834" s="216"/>
      <c r="AO834" s="216"/>
      <c r="AP834" s="216"/>
      <c r="AQ834" s="216"/>
      <c r="AR834" s="216"/>
      <c r="AS834" s="216"/>
      <c r="AT834" s="216"/>
      <c r="AU834" s="216"/>
      <c r="AV834" s="217"/>
      <c r="AW834" s="355"/>
      <c r="AX834" s="217"/>
      <c r="AY834" s="305"/>
      <c r="AZ834" s="249"/>
      <c r="BA834" s="221"/>
      <c r="BB834" s="300"/>
      <c r="BC834" s="217"/>
      <c r="BD834" s="392"/>
      <c r="BE834" s="1244"/>
      <c r="BF834" s="249"/>
      <c r="BG834" s="252"/>
      <c r="BH834" s="1469"/>
      <c r="BI834" s="216"/>
      <c r="BJ834" s="1469"/>
      <c r="BK834" s="1459"/>
      <c r="BL834" s="260"/>
      <c r="BM834" s="214"/>
      <c r="BN834" s="293"/>
      <c r="BO834" s="217"/>
      <c r="BP834" s="355"/>
      <c r="BQ834" s="217"/>
      <c r="BR834" s="1193"/>
      <c r="BS834" s="249"/>
      <c r="BT834" s="216"/>
      <c r="BU834" s="1195"/>
      <c r="BV834" s="249"/>
      <c r="BW834" s="216"/>
      <c r="BX834" s="1195"/>
      <c r="BY834" s="249"/>
      <c r="BZ834" s="216"/>
      <c r="CA834" s="1195"/>
      <c r="CB834" s="249"/>
      <c r="CC834" s="216"/>
      <c r="CD834" s="1195"/>
      <c r="CE834" s="249"/>
      <c r="CF834" s="216"/>
      <c r="CG834" s="1195"/>
      <c r="CH834" s="249"/>
      <c r="CI834" s="216"/>
      <c r="CJ834" s="1195"/>
      <c r="CK834" s="249"/>
      <c r="CL834" s="216"/>
      <c r="CM834" s="1194"/>
      <c r="CN834" s="1524"/>
      <c r="CO834" s="217"/>
      <c r="CP834" s="1193"/>
      <c r="CQ834" s="293"/>
      <c r="CR834" s="217"/>
      <c r="CS834" s="305"/>
      <c r="CT834" s="249"/>
      <c r="CU834" s="216"/>
      <c r="CV834" s="1193"/>
      <c r="CW834" s="249"/>
      <c r="CX834" s="216"/>
      <c r="CY834" s="305"/>
      <c r="CZ834" s="249"/>
      <c r="DA834" s="216"/>
      <c r="DB834" s="307"/>
      <c r="DC834" s="328"/>
      <c r="DD834" s="322"/>
      <c r="DE834" s="305"/>
      <c r="DF834" s="249"/>
      <c r="DG834" s="216"/>
      <c r="DH834" s="305"/>
      <c r="DI834" s="249"/>
      <c r="DJ834" s="216"/>
      <c r="DK834" s="309"/>
      <c r="DL834" s="293"/>
      <c r="DM834" s="326"/>
      <c r="DN834" s="1256"/>
      <c r="DO834" s="214"/>
      <c r="DP834" s="1257"/>
      <c r="DQ834" s="1258"/>
      <c r="DR834" s="305"/>
      <c r="DS834" s="249"/>
      <c r="DT834" s="216"/>
      <c r="DU834" s="305"/>
      <c r="DV834" s="2520"/>
      <c r="DW834" s="2521"/>
      <c r="DX834" s="305"/>
      <c r="DY834" s="249"/>
      <c r="DZ834" s="221"/>
      <c r="EA834" s="388"/>
      <c r="EB834" s="249"/>
      <c r="EC834" s="216"/>
      <c r="ED834" s="1461"/>
      <c r="EE834" s="249"/>
      <c r="EF834" s="216"/>
      <c r="EG834" s="355"/>
      <c r="EH834" s="1425"/>
      <c r="EI834" s="1470"/>
      <c r="EJ834" s="249"/>
      <c r="EK834" s="221"/>
      <c r="EL834" s="313"/>
      <c r="EM834" s="249"/>
      <c r="EN834" s="221"/>
      <c r="EO834" s="313"/>
      <c r="EP834" s="249"/>
      <c r="EQ834" s="216"/>
      <c r="ER834" s="313"/>
      <c r="ES834" s="249"/>
      <c r="ET834" s="216"/>
      <c r="EU834" s="313"/>
      <c r="EV834" s="249"/>
      <c r="EW834" s="216"/>
      <c r="EX834" s="2505"/>
      <c r="EY834" s="249"/>
      <c r="EZ834" s="221"/>
      <c r="FA834" s="313"/>
      <c r="FB834" s="249"/>
      <c r="FC834" s="221"/>
      <c r="FD834" s="313"/>
      <c r="FE834" s="249"/>
      <c r="FF834" s="221"/>
      <c r="FG834" s="313"/>
      <c r="FH834" s="249"/>
      <c r="FI834" s="216"/>
      <c r="FJ834" s="1435"/>
      <c r="FK834" s="216"/>
      <c r="FL834" s="1268"/>
      <c r="FM834" s="1655"/>
      <c r="FN834" s="1268"/>
      <c r="FO834" s="1655"/>
      <c r="FP834" s="1268"/>
      <c r="FQ834" s="1656"/>
      <c r="FR834" s="249"/>
      <c r="FS834" s="216"/>
      <c r="FT834" s="1657"/>
      <c r="FU834" s="1658"/>
      <c r="FV834" s="242"/>
      <c r="FW834" s="343"/>
      <c r="FX834" s="222"/>
      <c r="FY834" s="336"/>
      <c r="FZ834" s="223"/>
      <c r="GA834" s="338"/>
      <c r="GB834" s="204"/>
      <c r="GC834" s="339"/>
      <c r="GD834" s="342"/>
      <c r="GE834" s="199"/>
      <c r="GF834" s="199"/>
      <c r="GG834" s="199"/>
      <c r="GH834" s="199"/>
      <c r="GI834" s="199"/>
      <c r="GJ834" s="199"/>
      <c r="GK834" s="199"/>
      <c r="GO834" s="322"/>
      <c r="GP834" s="1190"/>
      <c r="GQ834" s="1190"/>
      <c r="GS834" s="2879"/>
      <c r="GT834" s="2880"/>
      <c r="GU834" s="2881"/>
    </row>
    <row r="835" spans="1:203" ht="12" customHeight="1">
      <c r="A835" s="1252"/>
      <c r="B835" s="200"/>
      <c r="C835" s="486"/>
      <c r="T835" s="1186"/>
      <c r="U835" s="233"/>
      <c r="W835" s="218"/>
      <c r="X835" s="218"/>
      <c r="Y835" s="216"/>
      <c r="Z835" s="216"/>
      <c r="AA835" s="215"/>
      <c r="AB835" s="216"/>
      <c r="AC835" s="216"/>
      <c r="AD835" s="239"/>
      <c r="AE835" s="216"/>
      <c r="AF835" s="216"/>
      <c r="AG835" s="216"/>
      <c r="AH835" s="216"/>
      <c r="AI835" s="216"/>
      <c r="AJ835" s="216"/>
      <c r="AK835" s="239"/>
      <c r="AL835" s="216"/>
      <c r="AM835" s="216"/>
      <c r="AN835" s="216"/>
      <c r="AO835" s="216"/>
      <c r="AP835" s="216"/>
      <c r="AQ835" s="216"/>
      <c r="AR835" s="216"/>
      <c r="AS835" s="216"/>
      <c r="AT835" s="216"/>
      <c r="AU835" s="216"/>
      <c r="AV835" s="217"/>
      <c r="AW835" s="355"/>
      <c r="AX835" s="217"/>
      <c r="AY835" s="305"/>
      <c r="AZ835" s="249"/>
      <c r="BA835" s="221"/>
      <c r="BB835" s="300"/>
      <c r="BC835" s="217"/>
      <c r="BD835" s="392"/>
      <c r="BE835" s="1244"/>
      <c r="BF835" s="249"/>
      <c r="BG835" s="252"/>
      <c r="BH835" s="1469"/>
      <c r="BI835" s="216"/>
      <c r="BJ835" s="1469"/>
      <c r="BK835" s="1459"/>
      <c r="BL835" s="260"/>
      <c r="BM835" s="214"/>
      <c r="BN835" s="293"/>
      <c r="BO835" s="217"/>
      <c r="BP835" s="355"/>
      <c r="BQ835" s="217"/>
      <c r="BR835" s="1193"/>
      <c r="BS835" s="249"/>
      <c r="BT835" s="216"/>
      <c r="BU835" s="1195"/>
      <c r="BV835" s="249"/>
      <c r="BW835" s="216"/>
      <c r="BX835" s="1195"/>
      <c r="BY835" s="249"/>
      <c r="BZ835" s="216"/>
      <c r="CA835" s="1195"/>
      <c r="CB835" s="249"/>
      <c r="CC835" s="216"/>
      <c r="CD835" s="1195"/>
      <c r="CE835" s="249"/>
      <c r="CF835" s="216"/>
      <c r="CG835" s="1195"/>
      <c r="CH835" s="249"/>
      <c r="CI835" s="216"/>
      <c r="CJ835" s="1195"/>
      <c r="CK835" s="249"/>
      <c r="CL835" s="216"/>
      <c r="CM835" s="1194"/>
      <c r="CN835" s="1524"/>
      <c r="CO835" s="217"/>
      <c r="CP835" s="1193"/>
      <c r="CQ835" s="293"/>
      <c r="CR835" s="217"/>
      <c r="CS835" s="305"/>
      <c r="CT835" s="249"/>
      <c r="CU835" s="216"/>
      <c r="CV835" s="1193"/>
      <c r="CW835" s="249"/>
      <c r="CX835" s="216"/>
      <c r="CY835" s="305"/>
      <c r="CZ835" s="249"/>
      <c r="DA835" s="216"/>
      <c r="DB835" s="307"/>
      <c r="DC835" s="328"/>
      <c r="DD835" s="322"/>
      <c r="DE835" s="305"/>
      <c r="DF835" s="249"/>
      <c r="DG835" s="216"/>
      <c r="DH835" s="305"/>
      <c r="DI835" s="249"/>
      <c r="DJ835" s="216"/>
      <c r="DK835" s="309"/>
      <c r="DL835" s="293"/>
      <c r="DM835" s="326"/>
      <c r="DN835" s="1256"/>
      <c r="DO835" s="214"/>
      <c r="DP835" s="1257"/>
      <c r="DQ835" s="1258"/>
      <c r="DR835" s="305"/>
      <c r="DS835" s="249"/>
      <c r="DT835" s="216"/>
      <c r="DU835" s="305"/>
      <c r="DV835" s="2520"/>
      <c r="DW835" s="2521"/>
      <c r="DX835" s="305"/>
      <c r="DY835" s="249"/>
      <c r="DZ835" s="221"/>
      <c r="EA835" s="388"/>
      <c r="EB835" s="249"/>
      <c r="EC835" s="216"/>
      <c r="ED835" s="1461"/>
      <c r="EE835" s="249"/>
      <c r="EF835" s="216"/>
      <c r="EG835" s="355"/>
      <c r="EH835" s="1425"/>
      <c r="EI835" s="1470"/>
      <c r="EJ835" s="249"/>
      <c r="EK835" s="221"/>
      <c r="EL835" s="313"/>
      <c r="EM835" s="249"/>
      <c r="EN835" s="221"/>
      <c r="EO835" s="313"/>
      <c r="EP835" s="249"/>
      <c r="EQ835" s="216"/>
      <c r="ER835" s="313"/>
      <c r="ES835" s="249"/>
      <c r="ET835" s="216"/>
      <c r="EU835" s="313"/>
      <c r="EV835" s="249"/>
      <c r="EW835" s="216"/>
      <c r="EX835" s="2505"/>
      <c r="EY835" s="249"/>
      <c r="EZ835" s="221"/>
      <c r="FA835" s="313"/>
      <c r="FB835" s="249"/>
      <c r="FC835" s="221"/>
      <c r="FD835" s="313"/>
      <c r="FE835" s="249"/>
      <c r="FF835" s="221"/>
      <c r="FG835" s="313"/>
      <c r="FH835" s="249"/>
      <c r="FI835" s="216"/>
      <c r="FJ835" s="1435"/>
      <c r="FK835" s="216"/>
      <c r="FL835" s="1268"/>
      <c r="FM835" s="1655"/>
      <c r="FN835" s="1268"/>
      <c r="FO835" s="1655"/>
      <c r="FP835" s="1268"/>
      <c r="FQ835" s="1656"/>
      <c r="FR835" s="249"/>
      <c r="FS835" s="216"/>
      <c r="FT835" s="1657"/>
      <c r="FU835" s="1658"/>
      <c r="FV835" s="242"/>
      <c r="FW835" s="343"/>
      <c r="FX835" s="222"/>
      <c r="FY835" s="336"/>
      <c r="FZ835" s="223"/>
      <c r="GA835" s="338"/>
      <c r="GB835" s="204"/>
      <c r="GC835" s="339"/>
      <c r="GD835" s="342"/>
      <c r="GE835" s="199"/>
      <c r="GF835" s="199"/>
      <c r="GG835" s="199"/>
      <c r="GH835" s="199"/>
      <c r="GI835" s="199"/>
      <c r="GJ835" s="199"/>
      <c r="GK835" s="199"/>
      <c r="GO835" s="322"/>
      <c r="GP835" s="1190"/>
      <c r="GQ835" s="1190"/>
      <c r="GS835" s="2879"/>
      <c r="GT835" s="2880"/>
      <c r="GU835" s="2881"/>
    </row>
    <row r="836" spans="1:203" ht="12" customHeight="1">
      <c r="A836" s="1252"/>
      <c r="B836" s="200"/>
      <c r="C836" s="486"/>
      <c r="T836" s="1186"/>
      <c r="U836" s="233"/>
      <c r="W836" s="218"/>
      <c r="X836" s="218"/>
      <c r="Y836" s="216"/>
      <c r="Z836" s="216"/>
      <c r="AA836" s="215"/>
      <c r="AB836" s="216"/>
      <c r="AC836" s="216"/>
      <c r="AD836" s="239"/>
      <c r="AE836" s="216"/>
      <c r="AF836" s="216"/>
      <c r="AG836" s="216"/>
      <c r="AH836" s="216"/>
      <c r="AI836" s="216"/>
      <c r="AJ836" s="216"/>
      <c r="AK836" s="239"/>
      <c r="AL836" s="216"/>
      <c r="AM836" s="216"/>
      <c r="AN836" s="216"/>
      <c r="AO836" s="216"/>
      <c r="AP836" s="216"/>
      <c r="AQ836" s="216"/>
      <c r="AR836" s="216"/>
      <c r="AS836" s="216"/>
      <c r="AT836" s="216"/>
      <c r="AU836" s="216"/>
      <c r="AV836" s="217"/>
      <c r="AW836" s="355"/>
      <c r="AX836" s="217"/>
      <c r="AY836" s="305"/>
      <c r="AZ836" s="249"/>
      <c r="BA836" s="221"/>
      <c r="BB836" s="300"/>
      <c r="BC836" s="217"/>
      <c r="BD836" s="392"/>
      <c r="BE836" s="1244"/>
      <c r="BF836" s="249"/>
      <c r="BG836" s="252"/>
      <c r="BH836" s="1469"/>
      <c r="BI836" s="216"/>
      <c r="BJ836" s="1469"/>
      <c r="BK836" s="1459"/>
      <c r="BL836" s="260"/>
      <c r="BM836" s="214"/>
      <c r="BN836" s="293"/>
      <c r="BO836" s="217"/>
      <c r="BP836" s="355"/>
      <c r="BQ836" s="217"/>
      <c r="BR836" s="1193"/>
      <c r="BS836" s="249"/>
      <c r="BT836" s="216"/>
      <c r="BU836" s="1195"/>
      <c r="BV836" s="249"/>
      <c r="BW836" s="216"/>
      <c r="BX836" s="1195"/>
      <c r="BY836" s="249"/>
      <c r="BZ836" s="216"/>
      <c r="CA836" s="1195"/>
      <c r="CB836" s="249"/>
      <c r="CC836" s="216"/>
      <c r="CD836" s="1195"/>
      <c r="CE836" s="249"/>
      <c r="CF836" s="216"/>
      <c r="CG836" s="1195"/>
      <c r="CH836" s="249"/>
      <c r="CI836" s="216"/>
      <c r="CJ836" s="1195"/>
      <c r="CK836" s="249"/>
      <c r="CL836" s="216"/>
      <c r="CM836" s="1194"/>
      <c r="CN836" s="1524"/>
      <c r="CO836" s="217"/>
      <c r="CP836" s="1193"/>
      <c r="CQ836" s="293"/>
      <c r="CR836" s="217"/>
      <c r="CS836" s="305"/>
      <c r="CT836" s="249"/>
      <c r="CU836" s="216"/>
      <c r="CV836" s="1193"/>
      <c r="CW836" s="249"/>
      <c r="CX836" s="216"/>
      <c r="CY836" s="305"/>
      <c r="CZ836" s="249"/>
      <c r="DA836" s="216"/>
      <c r="DB836" s="307"/>
      <c r="DC836" s="328"/>
      <c r="DD836" s="322"/>
      <c r="DE836" s="305"/>
      <c r="DF836" s="249"/>
      <c r="DG836" s="216"/>
      <c r="DH836" s="305"/>
      <c r="DI836" s="249"/>
      <c r="DJ836" s="216"/>
      <c r="DK836" s="309"/>
      <c r="DL836" s="293"/>
      <c r="DM836" s="326"/>
      <c r="DN836" s="1256"/>
      <c r="DO836" s="214"/>
      <c r="DP836" s="1257"/>
      <c r="DQ836" s="1258"/>
      <c r="DR836" s="305"/>
      <c r="DS836" s="249"/>
      <c r="DT836" s="216"/>
      <c r="DU836" s="305"/>
      <c r="DV836" s="2520"/>
      <c r="DW836" s="2521"/>
      <c r="DX836" s="305"/>
      <c r="DY836" s="249"/>
      <c r="DZ836" s="221"/>
      <c r="EA836" s="388"/>
      <c r="EB836" s="249"/>
      <c r="EC836" s="216"/>
      <c r="ED836" s="1461"/>
      <c r="EE836" s="249"/>
      <c r="EF836" s="216"/>
      <c r="EG836" s="355"/>
      <c r="EH836" s="1425"/>
      <c r="EI836" s="1470"/>
      <c r="EJ836" s="249"/>
      <c r="EK836" s="221"/>
      <c r="EL836" s="313"/>
      <c r="EM836" s="249"/>
      <c r="EN836" s="221"/>
      <c r="EO836" s="313"/>
      <c r="EP836" s="249"/>
      <c r="EQ836" s="216"/>
      <c r="ER836" s="313"/>
      <c r="ES836" s="249"/>
      <c r="ET836" s="216"/>
      <c r="EU836" s="313"/>
      <c r="EV836" s="249"/>
      <c r="EW836" s="216"/>
      <c r="EX836" s="2505"/>
      <c r="EY836" s="249"/>
      <c r="EZ836" s="221"/>
      <c r="FA836" s="313"/>
      <c r="FB836" s="249"/>
      <c r="FC836" s="221"/>
      <c r="FD836" s="313"/>
      <c r="FE836" s="249"/>
      <c r="FF836" s="221"/>
      <c r="FG836" s="313"/>
      <c r="FH836" s="249"/>
      <c r="FI836" s="216"/>
      <c r="FJ836" s="1435"/>
      <c r="FK836" s="216"/>
      <c r="FL836" s="1268"/>
      <c r="FM836" s="1655"/>
      <c r="FN836" s="1268"/>
      <c r="FO836" s="1655"/>
      <c r="FP836" s="1268"/>
      <c r="FQ836" s="1656"/>
      <c r="FR836" s="249"/>
      <c r="FS836" s="216"/>
      <c r="FT836" s="1657"/>
      <c r="FU836" s="1658"/>
      <c r="FV836" s="242"/>
      <c r="FW836" s="343"/>
      <c r="FX836" s="222"/>
      <c r="FY836" s="336"/>
      <c r="FZ836" s="223"/>
      <c r="GA836" s="338"/>
      <c r="GB836" s="204"/>
      <c r="GC836" s="339"/>
      <c r="GD836" s="342"/>
      <c r="GE836" s="199"/>
      <c r="GF836" s="199"/>
      <c r="GG836" s="199"/>
      <c r="GH836" s="199"/>
      <c r="GI836" s="199"/>
      <c r="GJ836" s="199"/>
      <c r="GK836" s="199"/>
      <c r="GO836" s="322"/>
      <c r="GP836" s="1190"/>
      <c r="GQ836" s="1190"/>
      <c r="GS836" s="2879"/>
      <c r="GT836" s="2880"/>
      <c r="GU836" s="2881"/>
    </row>
    <row r="837" spans="1:203" ht="12" customHeight="1">
      <c r="A837" s="1252"/>
      <c r="B837" s="200"/>
      <c r="C837" s="486"/>
      <c r="T837" s="1186"/>
      <c r="U837" s="233"/>
      <c r="W837" s="218"/>
      <c r="X837" s="218"/>
      <c r="Y837" s="216"/>
      <c r="Z837" s="216"/>
      <c r="AA837" s="215"/>
      <c r="AB837" s="216"/>
      <c r="AC837" s="216"/>
      <c r="AD837" s="239"/>
      <c r="AE837" s="216"/>
      <c r="AF837" s="216"/>
      <c r="AG837" s="216"/>
      <c r="AH837" s="216"/>
      <c r="AI837" s="216"/>
      <c r="AJ837" s="216"/>
      <c r="AK837" s="239"/>
      <c r="AL837" s="216"/>
      <c r="AM837" s="216"/>
      <c r="AN837" s="216"/>
      <c r="AO837" s="216"/>
      <c r="AP837" s="216"/>
      <c r="AQ837" s="216"/>
      <c r="AR837" s="216"/>
      <c r="AS837" s="216"/>
      <c r="AT837" s="216"/>
      <c r="AU837" s="216"/>
      <c r="AV837" s="217"/>
      <c r="AW837" s="355"/>
      <c r="AX837" s="217"/>
      <c r="AY837" s="305"/>
      <c r="AZ837" s="249"/>
      <c r="BA837" s="221"/>
      <c r="BB837" s="300"/>
      <c r="BC837" s="217"/>
      <c r="BD837" s="392"/>
      <c r="BE837" s="1244"/>
      <c r="BF837" s="249"/>
      <c r="BG837" s="252"/>
      <c r="BH837" s="1469"/>
      <c r="BI837" s="216"/>
      <c r="BJ837" s="1469"/>
      <c r="BK837" s="1459"/>
      <c r="BL837" s="260"/>
      <c r="BM837" s="214"/>
      <c r="BN837" s="293"/>
      <c r="BO837" s="217"/>
      <c r="BP837" s="355"/>
      <c r="BQ837" s="217"/>
      <c r="BR837" s="1193"/>
      <c r="BS837" s="249"/>
      <c r="BT837" s="216"/>
      <c r="BU837" s="1195"/>
      <c r="BV837" s="249"/>
      <c r="BW837" s="216"/>
      <c r="BX837" s="1195"/>
      <c r="BY837" s="249"/>
      <c r="BZ837" s="216"/>
      <c r="CA837" s="1195"/>
      <c r="CB837" s="249"/>
      <c r="CC837" s="216"/>
      <c r="CD837" s="1195"/>
      <c r="CE837" s="249"/>
      <c r="CF837" s="216"/>
      <c r="CG837" s="1195"/>
      <c r="CH837" s="249"/>
      <c r="CI837" s="216"/>
      <c r="CJ837" s="1195"/>
      <c r="CK837" s="249"/>
      <c r="CL837" s="216"/>
      <c r="CM837" s="1194"/>
      <c r="CN837" s="1524"/>
      <c r="CO837" s="217"/>
      <c r="CP837" s="1193"/>
      <c r="CQ837" s="293"/>
      <c r="CR837" s="217"/>
      <c r="CS837" s="305"/>
      <c r="CT837" s="249"/>
      <c r="CU837" s="216"/>
      <c r="CV837" s="1193"/>
      <c r="CW837" s="249"/>
      <c r="CX837" s="216"/>
      <c r="CY837" s="305"/>
      <c r="CZ837" s="249"/>
      <c r="DA837" s="216"/>
      <c r="DB837" s="307"/>
      <c r="DC837" s="328"/>
      <c r="DD837" s="322"/>
      <c r="DE837" s="305"/>
      <c r="DF837" s="249"/>
      <c r="DG837" s="216"/>
      <c r="DH837" s="305"/>
      <c r="DI837" s="249"/>
      <c r="DJ837" s="216"/>
      <c r="DK837" s="309"/>
      <c r="DL837" s="293"/>
      <c r="DM837" s="326"/>
      <c r="DN837" s="1256"/>
      <c r="DO837" s="214"/>
      <c r="DP837" s="1257"/>
      <c r="DQ837" s="1258"/>
      <c r="DR837" s="305"/>
      <c r="DS837" s="249"/>
      <c r="DT837" s="216"/>
      <c r="DU837" s="305"/>
      <c r="DV837" s="2520"/>
      <c r="DW837" s="2521"/>
      <c r="DX837" s="305"/>
      <c r="DY837" s="249"/>
      <c r="DZ837" s="221"/>
      <c r="EA837" s="388"/>
      <c r="EB837" s="249"/>
      <c r="EC837" s="216"/>
      <c r="ED837" s="1461"/>
      <c r="EE837" s="249"/>
      <c r="EF837" s="216"/>
      <c r="EG837" s="355"/>
      <c r="EH837" s="1425"/>
      <c r="EI837" s="1470"/>
      <c r="EJ837" s="249"/>
      <c r="EK837" s="221"/>
      <c r="EL837" s="313"/>
      <c r="EM837" s="249"/>
      <c r="EN837" s="221"/>
      <c r="EO837" s="313"/>
      <c r="EP837" s="249"/>
      <c r="EQ837" s="216"/>
      <c r="ER837" s="313"/>
      <c r="ES837" s="249"/>
      <c r="ET837" s="216"/>
      <c r="EU837" s="313"/>
      <c r="EV837" s="249"/>
      <c r="EW837" s="216"/>
      <c r="EX837" s="2505"/>
      <c r="EY837" s="249"/>
      <c r="EZ837" s="221"/>
      <c r="FA837" s="313"/>
      <c r="FB837" s="249"/>
      <c r="FC837" s="221"/>
      <c r="FD837" s="313"/>
      <c r="FE837" s="249"/>
      <c r="FF837" s="221"/>
      <c r="FG837" s="313"/>
      <c r="FH837" s="249"/>
      <c r="FI837" s="216"/>
      <c r="FJ837" s="1435"/>
      <c r="FK837" s="216"/>
      <c r="FL837" s="1268"/>
      <c r="FM837" s="1655"/>
      <c r="FN837" s="1268"/>
      <c r="FO837" s="1655"/>
      <c r="FP837" s="1268"/>
      <c r="FQ837" s="1656"/>
      <c r="FR837" s="249"/>
      <c r="FS837" s="216"/>
      <c r="FT837" s="1657"/>
      <c r="FU837" s="1658"/>
      <c r="FV837" s="242"/>
      <c r="FW837" s="343"/>
      <c r="FX837" s="222"/>
      <c r="FY837" s="336"/>
      <c r="FZ837" s="223"/>
      <c r="GA837" s="338"/>
      <c r="GB837" s="204"/>
      <c r="GC837" s="339"/>
      <c r="GD837" s="342"/>
      <c r="GE837" s="199"/>
      <c r="GF837" s="199"/>
      <c r="GG837" s="199"/>
      <c r="GH837" s="199"/>
      <c r="GI837" s="199"/>
      <c r="GJ837" s="199"/>
      <c r="GK837" s="199"/>
      <c r="GO837" s="322"/>
      <c r="GP837" s="1190"/>
      <c r="GQ837" s="1190"/>
      <c r="GS837" s="2879"/>
      <c r="GT837" s="2880"/>
      <c r="GU837" s="2881"/>
    </row>
    <row r="838" spans="1:203" ht="12" customHeight="1">
      <c r="A838" s="1252"/>
      <c r="B838" s="200"/>
      <c r="C838" s="486"/>
      <c r="T838" s="1186"/>
      <c r="U838" s="233"/>
      <c r="W838" s="218"/>
      <c r="X838" s="218"/>
      <c r="Y838" s="216"/>
      <c r="Z838" s="216"/>
      <c r="AA838" s="215"/>
      <c r="AB838" s="216"/>
      <c r="AC838" s="216"/>
      <c r="AD838" s="239"/>
      <c r="AE838" s="216"/>
      <c r="AF838" s="216"/>
      <c r="AG838" s="216"/>
      <c r="AH838" s="216"/>
      <c r="AI838" s="216"/>
      <c r="AJ838" s="216"/>
      <c r="AK838" s="239"/>
      <c r="AL838" s="216"/>
      <c r="AM838" s="216"/>
      <c r="AN838" s="216"/>
      <c r="AO838" s="216"/>
      <c r="AP838" s="216"/>
      <c r="AQ838" s="216"/>
      <c r="AR838" s="216"/>
      <c r="AS838" s="216"/>
      <c r="AT838" s="216"/>
      <c r="AU838" s="216"/>
      <c r="AV838" s="217"/>
      <c r="AW838" s="355"/>
      <c r="AX838" s="217"/>
      <c r="AY838" s="305"/>
      <c r="AZ838" s="249"/>
      <c r="BA838" s="221"/>
      <c r="BB838" s="300"/>
      <c r="BC838" s="217"/>
      <c r="BD838" s="392"/>
      <c r="BE838" s="1244"/>
      <c r="BF838" s="249"/>
      <c r="BG838" s="252"/>
      <c r="BH838" s="1469"/>
      <c r="BI838" s="216"/>
      <c r="BJ838" s="1469"/>
      <c r="BK838" s="1459"/>
      <c r="BL838" s="260"/>
      <c r="BM838" s="214"/>
      <c r="BN838" s="293"/>
      <c r="BO838" s="217"/>
      <c r="BP838" s="355"/>
      <c r="BQ838" s="217"/>
      <c r="BR838" s="1193"/>
      <c r="BS838" s="249"/>
      <c r="BT838" s="216"/>
      <c r="BU838" s="1195"/>
      <c r="BV838" s="249"/>
      <c r="BW838" s="216"/>
      <c r="BX838" s="1195"/>
      <c r="BY838" s="249"/>
      <c r="BZ838" s="216"/>
      <c r="CA838" s="1195"/>
      <c r="CB838" s="249"/>
      <c r="CC838" s="216"/>
      <c r="CD838" s="1195"/>
      <c r="CE838" s="249"/>
      <c r="CF838" s="216"/>
      <c r="CG838" s="1195"/>
      <c r="CH838" s="249"/>
      <c r="CI838" s="216"/>
      <c r="CJ838" s="1195"/>
      <c r="CK838" s="249"/>
      <c r="CL838" s="216"/>
      <c r="CM838" s="1194"/>
      <c r="CN838" s="1524"/>
      <c r="CO838" s="217"/>
      <c r="CP838" s="1193"/>
      <c r="CQ838" s="293"/>
      <c r="CR838" s="217"/>
      <c r="CS838" s="305"/>
      <c r="CT838" s="249"/>
      <c r="CU838" s="216"/>
      <c r="CV838" s="1193"/>
      <c r="CW838" s="249"/>
      <c r="CX838" s="216"/>
      <c r="CY838" s="305"/>
      <c r="CZ838" s="249"/>
      <c r="DA838" s="216"/>
      <c r="DB838" s="307"/>
      <c r="DC838" s="328"/>
      <c r="DD838" s="322"/>
      <c r="DE838" s="305"/>
      <c r="DF838" s="249"/>
      <c r="DG838" s="216"/>
      <c r="DH838" s="305"/>
      <c r="DI838" s="249"/>
      <c r="DJ838" s="216"/>
      <c r="DK838" s="309"/>
      <c r="DL838" s="293"/>
      <c r="DM838" s="326"/>
      <c r="DN838" s="1256"/>
      <c r="DO838" s="214"/>
      <c r="DP838" s="1257"/>
      <c r="DQ838" s="1258"/>
      <c r="DR838" s="305"/>
      <c r="DS838" s="249"/>
      <c r="DT838" s="216"/>
      <c r="DU838" s="305"/>
      <c r="DV838" s="2520"/>
      <c r="DW838" s="2521"/>
      <c r="DX838" s="305"/>
      <c r="DY838" s="249"/>
      <c r="DZ838" s="221"/>
      <c r="EA838" s="388"/>
      <c r="EB838" s="249"/>
      <c r="EC838" s="216"/>
      <c r="ED838" s="1461"/>
      <c r="EE838" s="249"/>
      <c r="EF838" s="216"/>
      <c r="EG838" s="355"/>
      <c r="EH838" s="1425"/>
      <c r="EI838" s="1470"/>
      <c r="EJ838" s="249"/>
      <c r="EK838" s="221"/>
      <c r="EL838" s="313"/>
      <c r="EM838" s="249"/>
      <c r="EN838" s="221"/>
      <c r="EO838" s="313"/>
      <c r="EP838" s="249"/>
      <c r="EQ838" s="216"/>
      <c r="ER838" s="313"/>
      <c r="ES838" s="249"/>
      <c r="ET838" s="216"/>
      <c r="EU838" s="313"/>
      <c r="EV838" s="249"/>
      <c r="EW838" s="216"/>
      <c r="EX838" s="2505"/>
      <c r="EY838" s="249"/>
      <c r="EZ838" s="221"/>
      <c r="FA838" s="313"/>
      <c r="FB838" s="249"/>
      <c r="FC838" s="221"/>
      <c r="FD838" s="313"/>
      <c r="FE838" s="249"/>
      <c r="FF838" s="221"/>
      <c r="FG838" s="313"/>
      <c r="FH838" s="249"/>
      <c r="FI838" s="216"/>
      <c r="FJ838" s="1435"/>
      <c r="FK838" s="216"/>
      <c r="FL838" s="1268"/>
      <c r="FM838" s="1655"/>
      <c r="FN838" s="1268"/>
      <c r="FO838" s="1655"/>
      <c r="FP838" s="1268"/>
      <c r="FQ838" s="1656"/>
      <c r="FR838" s="249"/>
      <c r="FS838" s="216"/>
      <c r="FT838" s="1657"/>
      <c r="FU838" s="1658"/>
      <c r="FV838" s="242"/>
      <c r="FW838" s="343"/>
      <c r="FX838" s="222"/>
      <c r="FY838" s="336"/>
      <c r="FZ838" s="223"/>
      <c r="GA838" s="338"/>
      <c r="GB838" s="204"/>
      <c r="GC838" s="339"/>
      <c r="GD838" s="342"/>
      <c r="GE838" s="199"/>
      <c r="GF838" s="199"/>
      <c r="GG838" s="199"/>
      <c r="GH838" s="199"/>
      <c r="GI838" s="199"/>
      <c r="GJ838" s="199"/>
      <c r="GK838" s="199"/>
      <c r="GO838" s="322"/>
      <c r="GP838" s="1190"/>
      <c r="GQ838" s="1190"/>
      <c r="GS838" s="2879"/>
      <c r="GT838" s="2880"/>
      <c r="GU838" s="2881"/>
    </row>
    <row r="839" spans="1:203" ht="12" customHeight="1">
      <c r="A839" s="1252"/>
      <c r="B839" s="200"/>
      <c r="C839" s="486"/>
      <c r="T839" s="1186"/>
      <c r="U839" s="233"/>
      <c r="W839" s="218"/>
      <c r="X839" s="218"/>
      <c r="Y839" s="216"/>
      <c r="Z839" s="216"/>
      <c r="AA839" s="215"/>
      <c r="AB839" s="216"/>
      <c r="AC839" s="216"/>
      <c r="AD839" s="239"/>
      <c r="AE839" s="216"/>
      <c r="AF839" s="216"/>
      <c r="AG839" s="216"/>
      <c r="AH839" s="216"/>
      <c r="AI839" s="216"/>
      <c r="AJ839" s="216"/>
      <c r="AK839" s="239"/>
      <c r="AL839" s="216"/>
      <c r="AM839" s="216"/>
      <c r="AN839" s="216"/>
      <c r="AO839" s="216"/>
      <c r="AP839" s="216"/>
      <c r="AQ839" s="216"/>
      <c r="AR839" s="216"/>
      <c r="AS839" s="216"/>
      <c r="AT839" s="216"/>
      <c r="AU839" s="216"/>
      <c r="AV839" s="217"/>
      <c r="AW839" s="355"/>
      <c r="AX839" s="217"/>
      <c r="AY839" s="305"/>
      <c r="AZ839" s="249"/>
      <c r="BA839" s="221"/>
      <c r="BB839" s="300"/>
      <c r="BC839" s="217"/>
      <c r="BD839" s="392"/>
      <c r="BE839" s="1244"/>
      <c r="BF839" s="249"/>
      <c r="BG839" s="252"/>
      <c r="BH839" s="1469"/>
      <c r="BI839" s="216"/>
      <c r="BJ839" s="1469"/>
      <c r="BK839" s="1459"/>
      <c r="BL839" s="260"/>
      <c r="BM839" s="214"/>
      <c r="BN839" s="293"/>
      <c r="BO839" s="217"/>
      <c r="BP839" s="355"/>
      <c r="BQ839" s="217"/>
      <c r="BR839" s="1193"/>
      <c r="BS839" s="249"/>
      <c r="BT839" s="216"/>
      <c r="BU839" s="1195"/>
      <c r="BV839" s="249"/>
      <c r="BW839" s="216"/>
      <c r="BX839" s="1195"/>
      <c r="BY839" s="249"/>
      <c r="BZ839" s="216"/>
      <c r="CA839" s="1195"/>
      <c r="CB839" s="249"/>
      <c r="CC839" s="216"/>
      <c r="CD839" s="1195"/>
      <c r="CE839" s="249"/>
      <c r="CF839" s="216"/>
      <c r="CG839" s="1195"/>
      <c r="CH839" s="249"/>
      <c r="CI839" s="216"/>
      <c r="CJ839" s="1195"/>
      <c r="CK839" s="249"/>
      <c r="CL839" s="216"/>
      <c r="CM839" s="1194"/>
      <c r="CN839" s="1524"/>
      <c r="CO839" s="217"/>
      <c r="CP839" s="1193"/>
      <c r="CQ839" s="293"/>
      <c r="CR839" s="217"/>
      <c r="CS839" s="305"/>
      <c r="CT839" s="249"/>
      <c r="CU839" s="216"/>
      <c r="CV839" s="1193"/>
      <c r="CW839" s="249"/>
      <c r="CX839" s="216"/>
      <c r="CY839" s="305"/>
      <c r="CZ839" s="249"/>
      <c r="DA839" s="216"/>
      <c r="DB839" s="307"/>
      <c r="DC839" s="328"/>
      <c r="DD839" s="322"/>
      <c r="DE839" s="305"/>
      <c r="DF839" s="249"/>
      <c r="DG839" s="216"/>
      <c r="DH839" s="305"/>
      <c r="DI839" s="249"/>
      <c r="DJ839" s="216"/>
      <c r="DK839" s="309"/>
      <c r="DL839" s="293"/>
      <c r="DM839" s="326"/>
      <c r="DN839" s="1256"/>
      <c r="DO839" s="214"/>
      <c r="DP839" s="1257"/>
      <c r="DQ839" s="1258"/>
      <c r="DR839" s="305"/>
      <c r="DS839" s="249"/>
      <c r="DT839" s="216"/>
      <c r="DU839" s="305"/>
      <c r="DV839" s="2520"/>
      <c r="DW839" s="2521"/>
      <c r="DX839" s="305"/>
      <c r="DY839" s="249"/>
      <c r="DZ839" s="221"/>
      <c r="EA839" s="388"/>
      <c r="EB839" s="249"/>
      <c r="EC839" s="216"/>
      <c r="ED839" s="1461"/>
      <c r="EE839" s="249"/>
      <c r="EF839" s="216"/>
      <c r="EG839" s="355"/>
      <c r="EH839" s="1425"/>
      <c r="EI839" s="1470"/>
      <c r="EJ839" s="249"/>
      <c r="EK839" s="221"/>
      <c r="EL839" s="313"/>
      <c r="EM839" s="249"/>
      <c r="EN839" s="221"/>
      <c r="EO839" s="313"/>
      <c r="EP839" s="249"/>
      <c r="EQ839" s="216"/>
      <c r="ER839" s="313"/>
      <c r="ES839" s="249"/>
      <c r="ET839" s="216"/>
      <c r="EU839" s="313"/>
      <c r="EV839" s="249"/>
      <c r="EW839" s="216"/>
      <c r="EX839" s="2505"/>
      <c r="EY839" s="249"/>
      <c r="EZ839" s="221"/>
      <c r="FA839" s="313"/>
      <c r="FB839" s="249"/>
      <c r="FC839" s="221"/>
      <c r="FD839" s="313"/>
      <c r="FE839" s="249"/>
      <c r="FF839" s="221"/>
      <c r="FG839" s="313"/>
      <c r="FH839" s="249"/>
      <c r="FI839" s="216"/>
      <c r="FJ839" s="1435"/>
      <c r="FK839" s="216"/>
      <c r="FL839" s="1268"/>
      <c r="FM839" s="1655"/>
      <c r="FN839" s="1268"/>
      <c r="FO839" s="1655"/>
      <c r="FP839" s="1268"/>
      <c r="FQ839" s="1656"/>
      <c r="FR839" s="249"/>
      <c r="FS839" s="216"/>
      <c r="FT839" s="1657"/>
      <c r="FU839" s="1658"/>
      <c r="FV839" s="242"/>
      <c r="FW839" s="343"/>
      <c r="FX839" s="222"/>
      <c r="FY839" s="336"/>
      <c r="FZ839" s="223"/>
      <c r="GA839" s="338"/>
      <c r="GB839" s="204"/>
      <c r="GC839" s="339"/>
      <c r="GD839" s="342"/>
      <c r="GE839" s="199"/>
      <c r="GF839" s="199"/>
      <c r="GG839" s="199"/>
      <c r="GH839" s="199"/>
      <c r="GI839" s="199"/>
      <c r="GJ839" s="199"/>
      <c r="GK839" s="199"/>
      <c r="GO839" s="322"/>
      <c r="GP839" s="1190"/>
      <c r="GQ839" s="1190"/>
      <c r="GS839" s="2879"/>
      <c r="GT839" s="2880"/>
      <c r="GU839" s="2881"/>
    </row>
    <row r="840" spans="1:203" ht="12" customHeight="1">
      <c r="A840" s="1252"/>
      <c r="B840" s="200"/>
      <c r="C840" s="486"/>
      <c r="T840" s="1186"/>
      <c r="U840" s="233"/>
      <c r="W840" s="218"/>
      <c r="X840" s="218"/>
      <c r="Y840" s="216"/>
      <c r="Z840" s="216"/>
      <c r="AA840" s="215"/>
      <c r="AB840" s="216"/>
      <c r="AC840" s="216"/>
      <c r="AD840" s="239"/>
      <c r="AE840" s="216"/>
      <c r="AF840" s="216"/>
      <c r="AG840" s="216"/>
      <c r="AH840" s="216"/>
      <c r="AI840" s="216"/>
      <c r="AJ840" s="216"/>
      <c r="AK840" s="239"/>
      <c r="AL840" s="216"/>
      <c r="AM840" s="216"/>
      <c r="AN840" s="216"/>
      <c r="AO840" s="216"/>
      <c r="AP840" s="216"/>
      <c r="AQ840" s="216"/>
      <c r="AR840" s="216"/>
      <c r="AS840" s="216"/>
      <c r="AT840" s="216"/>
      <c r="AU840" s="216"/>
      <c r="AV840" s="217"/>
      <c r="AW840" s="355"/>
      <c r="AX840" s="217"/>
      <c r="AY840" s="305"/>
      <c r="AZ840" s="249"/>
      <c r="BA840" s="221"/>
      <c r="BB840" s="300"/>
      <c r="BC840" s="217"/>
      <c r="BD840" s="392"/>
      <c r="BE840" s="1244"/>
      <c r="BF840" s="249"/>
      <c r="BG840" s="252"/>
      <c r="BH840" s="1469"/>
      <c r="BI840" s="216"/>
      <c r="BJ840" s="1469"/>
      <c r="BK840" s="1459"/>
      <c r="BL840" s="260"/>
      <c r="BM840" s="214"/>
      <c r="BN840" s="293"/>
      <c r="BO840" s="217"/>
      <c r="BP840" s="355"/>
      <c r="BQ840" s="217"/>
      <c r="BR840" s="1193"/>
      <c r="BS840" s="249"/>
      <c r="BT840" s="216"/>
      <c r="BU840" s="1195"/>
      <c r="BV840" s="249"/>
      <c r="BW840" s="216"/>
      <c r="BX840" s="1195"/>
      <c r="BY840" s="249"/>
      <c r="BZ840" s="216"/>
      <c r="CA840" s="1195"/>
      <c r="CB840" s="249"/>
      <c r="CC840" s="216"/>
      <c r="CD840" s="1195"/>
      <c r="CE840" s="249"/>
      <c r="CF840" s="216"/>
      <c r="CG840" s="1195"/>
      <c r="CH840" s="249"/>
      <c r="CI840" s="216"/>
      <c r="CJ840" s="1195"/>
      <c r="CK840" s="249"/>
      <c r="CL840" s="216"/>
      <c r="CM840" s="1194"/>
      <c r="CN840" s="1524"/>
      <c r="CO840" s="217"/>
      <c r="CP840" s="1193"/>
      <c r="CQ840" s="293"/>
      <c r="CR840" s="217"/>
      <c r="CS840" s="305"/>
      <c r="CT840" s="249"/>
      <c r="CU840" s="216"/>
      <c r="CV840" s="1193"/>
      <c r="CW840" s="249"/>
      <c r="CX840" s="216"/>
      <c r="CY840" s="305"/>
      <c r="CZ840" s="249"/>
      <c r="DA840" s="216"/>
      <c r="DB840" s="307"/>
      <c r="DC840" s="328"/>
      <c r="DD840" s="322"/>
      <c r="DE840" s="305"/>
      <c r="DF840" s="249"/>
      <c r="DG840" s="216"/>
      <c r="DH840" s="305"/>
      <c r="DI840" s="249"/>
      <c r="DJ840" s="216"/>
      <c r="DK840" s="309"/>
      <c r="DL840" s="293"/>
      <c r="DM840" s="326"/>
      <c r="DN840" s="1256"/>
      <c r="DO840" s="214"/>
      <c r="DP840" s="1257"/>
      <c r="DQ840" s="1258"/>
      <c r="DR840" s="305"/>
      <c r="DS840" s="249"/>
      <c r="DT840" s="216"/>
      <c r="DU840" s="305"/>
      <c r="DV840" s="2520"/>
      <c r="DW840" s="2521"/>
      <c r="DX840" s="305"/>
      <c r="DY840" s="249"/>
      <c r="DZ840" s="221"/>
      <c r="EA840" s="388"/>
      <c r="EB840" s="249"/>
      <c r="EC840" s="216"/>
      <c r="ED840" s="1461"/>
      <c r="EE840" s="249"/>
      <c r="EF840" s="216"/>
      <c r="EG840" s="355"/>
      <c r="EH840" s="1425"/>
      <c r="EI840" s="1470"/>
      <c r="EJ840" s="249"/>
      <c r="EK840" s="221"/>
      <c r="EL840" s="313"/>
      <c r="EM840" s="249"/>
      <c r="EN840" s="221"/>
      <c r="EO840" s="313"/>
      <c r="EP840" s="249"/>
      <c r="EQ840" s="216"/>
      <c r="ER840" s="313"/>
      <c r="ES840" s="249"/>
      <c r="ET840" s="216"/>
      <c r="EU840" s="313"/>
      <c r="EV840" s="249"/>
      <c r="EW840" s="216"/>
      <c r="EX840" s="2505"/>
      <c r="EY840" s="249"/>
      <c r="EZ840" s="221"/>
      <c r="FA840" s="313"/>
      <c r="FB840" s="249"/>
      <c r="FC840" s="221"/>
      <c r="FD840" s="313"/>
      <c r="FE840" s="249"/>
      <c r="FF840" s="221"/>
      <c r="FG840" s="313"/>
      <c r="FH840" s="249"/>
      <c r="FI840" s="216"/>
      <c r="FJ840" s="1435"/>
      <c r="FK840" s="216"/>
      <c r="FL840" s="1268"/>
      <c r="FM840" s="1655"/>
      <c r="FN840" s="1268"/>
      <c r="FO840" s="1655"/>
      <c r="FP840" s="1268"/>
      <c r="FQ840" s="1656"/>
      <c r="FR840" s="249"/>
      <c r="FS840" s="216"/>
      <c r="FT840" s="1657"/>
      <c r="FU840" s="1658"/>
      <c r="FV840" s="242"/>
      <c r="FW840" s="343"/>
      <c r="FX840" s="222"/>
      <c r="FY840" s="336"/>
      <c r="FZ840" s="223"/>
      <c r="GA840" s="338"/>
      <c r="GB840" s="204"/>
      <c r="GC840" s="339"/>
      <c r="GD840" s="342"/>
      <c r="GE840" s="199"/>
      <c r="GF840" s="199"/>
      <c r="GG840" s="199"/>
      <c r="GH840" s="199"/>
      <c r="GI840" s="199"/>
      <c r="GJ840" s="199"/>
      <c r="GK840" s="199"/>
      <c r="GO840" s="322"/>
      <c r="GP840" s="1190"/>
      <c r="GQ840" s="1190"/>
      <c r="GS840" s="2879"/>
      <c r="GT840" s="2880"/>
      <c r="GU840" s="2881"/>
    </row>
    <row r="841" spans="1:203" ht="12" customHeight="1">
      <c r="A841" s="1252"/>
      <c r="B841" s="200"/>
      <c r="C841" s="486"/>
      <c r="T841" s="1186"/>
      <c r="U841" s="233"/>
      <c r="W841" s="218"/>
      <c r="X841" s="218"/>
      <c r="Y841" s="216"/>
      <c r="Z841" s="216"/>
      <c r="AA841" s="215"/>
      <c r="AB841" s="216"/>
      <c r="AC841" s="216"/>
      <c r="AD841" s="239"/>
      <c r="AE841" s="216"/>
      <c r="AF841" s="216"/>
      <c r="AG841" s="216"/>
      <c r="AH841" s="216"/>
      <c r="AI841" s="216"/>
      <c r="AJ841" s="216"/>
      <c r="AK841" s="239"/>
      <c r="AL841" s="216"/>
      <c r="AM841" s="216"/>
      <c r="AN841" s="216"/>
      <c r="AO841" s="216"/>
      <c r="AP841" s="216"/>
      <c r="AQ841" s="216"/>
      <c r="AR841" s="216"/>
      <c r="AS841" s="216"/>
      <c r="AT841" s="216"/>
      <c r="AU841" s="216"/>
      <c r="AV841" s="217"/>
      <c r="AW841" s="355"/>
      <c r="AX841" s="217"/>
      <c r="AY841" s="305"/>
      <c r="AZ841" s="249"/>
      <c r="BA841" s="221"/>
      <c r="BB841" s="300"/>
      <c r="BC841" s="217"/>
      <c r="BD841" s="392"/>
      <c r="BE841" s="1244"/>
      <c r="BF841" s="249"/>
      <c r="BG841" s="252"/>
      <c r="BH841" s="1469"/>
      <c r="BI841" s="216"/>
      <c r="BJ841" s="1469"/>
      <c r="BK841" s="1459"/>
      <c r="BL841" s="260"/>
      <c r="BM841" s="214"/>
      <c r="BN841" s="293"/>
      <c r="BO841" s="217"/>
      <c r="BP841" s="355"/>
      <c r="BQ841" s="217"/>
      <c r="BR841" s="1193"/>
      <c r="BS841" s="249"/>
      <c r="BT841" s="216"/>
      <c r="BU841" s="1195"/>
      <c r="BV841" s="249"/>
      <c r="BW841" s="216"/>
      <c r="BX841" s="1195"/>
      <c r="BY841" s="249"/>
      <c r="BZ841" s="216"/>
      <c r="CA841" s="1195"/>
      <c r="CB841" s="249"/>
      <c r="CC841" s="216"/>
      <c r="CD841" s="1195"/>
      <c r="CE841" s="249"/>
      <c r="CF841" s="216"/>
      <c r="CG841" s="1195"/>
      <c r="CH841" s="249"/>
      <c r="CI841" s="216"/>
      <c r="CJ841" s="1195"/>
      <c r="CK841" s="249"/>
      <c r="CL841" s="216"/>
      <c r="CM841" s="1194"/>
      <c r="CN841" s="1524"/>
      <c r="CO841" s="217"/>
      <c r="CP841" s="1193"/>
      <c r="CQ841" s="293"/>
      <c r="CR841" s="217"/>
      <c r="CS841" s="305"/>
      <c r="CT841" s="249"/>
      <c r="CU841" s="216"/>
      <c r="CV841" s="1193"/>
      <c r="CW841" s="249"/>
      <c r="CX841" s="216"/>
      <c r="CY841" s="305"/>
      <c r="CZ841" s="249"/>
      <c r="DA841" s="216"/>
      <c r="DB841" s="307"/>
      <c r="DC841" s="328"/>
      <c r="DD841" s="322"/>
      <c r="DE841" s="305"/>
      <c r="DF841" s="249"/>
      <c r="DG841" s="216"/>
      <c r="DH841" s="305"/>
      <c r="DI841" s="249"/>
      <c r="DJ841" s="216"/>
      <c r="DK841" s="309"/>
      <c r="DL841" s="293"/>
      <c r="DM841" s="326"/>
      <c r="DN841" s="1256"/>
      <c r="DO841" s="214"/>
      <c r="DP841" s="1257"/>
      <c r="DQ841" s="1258"/>
      <c r="DR841" s="305"/>
      <c r="DS841" s="249"/>
      <c r="DT841" s="216"/>
      <c r="DU841" s="305"/>
      <c r="DV841" s="2520"/>
      <c r="DW841" s="2521"/>
      <c r="DX841" s="305"/>
      <c r="DY841" s="249"/>
      <c r="DZ841" s="221"/>
      <c r="EA841" s="388"/>
      <c r="EB841" s="249"/>
      <c r="EC841" s="216"/>
      <c r="ED841" s="1461"/>
      <c r="EE841" s="249"/>
      <c r="EF841" s="216"/>
      <c r="EG841" s="355"/>
      <c r="EH841" s="1425"/>
      <c r="EI841" s="1470"/>
      <c r="EJ841" s="249"/>
      <c r="EK841" s="221"/>
      <c r="EL841" s="313"/>
      <c r="EM841" s="249"/>
      <c r="EN841" s="221"/>
      <c r="EO841" s="313"/>
      <c r="EP841" s="249"/>
      <c r="EQ841" s="216"/>
      <c r="ER841" s="313"/>
      <c r="ES841" s="249"/>
      <c r="ET841" s="216"/>
      <c r="EU841" s="313"/>
      <c r="EV841" s="249"/>
      <c r="EW841" s="216"/>
      <c r="EX841" s="2505"/>
      <c r="EY841" s="249"/>
      <c r="EZ841" s="221"/>
      <c r="FA841" s="313"/>
      <c r="FB841" s="249"/>
      <c r="FC841" s="221"/>
      <c r="FD841" s="313"/>
      <c r="FE841" s="249"/>
      <c r="FF841" s="221"/>
      <c r="FG841" s="313"/>
      <c r="FH841" s="249"/>
      <c r="FI841" s="216"/>
      <c r="FJ841" s="1435"/>
      <c r="FK841" s="216"/>
      <c r="FL841" s="1268"/>
      <c r="FM841" s="1655"/>
      <c r="FN841" s="1268"/>
      <c r="FO841" s="1655"/>
      <c r="FP841" s="1268"/>
      <c r="FQ841" s="1656"/>
      <c r="FR841" s="249"/>
      <c r="FS841" s="216"/>
      <c r="FT841" s="1657"/>
      <c r="FU841" s="1658"/>
      <c r="FV841" s="242"/>
      <c r="FW841" s="343"/>
      <c r="FX841" s="222"/>
      <c r="FY841" s="336"/>
      <c r="FZ841" s="223"/>
      <c r="GA841" s="338"/>
      <c r="GB841" s="204"/>
      <c r="GC841" s="339"/>
      <c r="GD841" s="342"/>
      <c r="GE841" s="199"/>
      <c r="GF841" s="199"/>
      <c r="GG841" s="199"/>
      <c r="GH841" s="199"/>
      <c r="GI841" s="199"/>
      <c r="GJ841" s="199"/>
      <c r="GK841" s="199"/>
      <c r="GO841" s="322"/>
      <c r="GP841" s="1190"/>
      <c r="GQ841" s="1190"/>
      <c r="GS841" s="2879"/>
      <c r="GT841" s="2880"/>
      <c r="GU841" s="2881"/>
    </row>
    <row r="842" spans="1:203" ht="12" customHeight="1">
      <c r="A842" s="1252"/>
      <c r="B842" s="200"/>
      <c r="C842" s="486"/>
      <c r="T842" s="1186"/>
      <c r="U842" s="233"/>
      <c r="W842" s="218"/>
      <c r="X842" s="218"/>
      <c r="Y842" s="216"/>
      <c r="Z842" s="216"/>
      <c r="AA842" s="215"/>
      <c r="AB842" s="216"/>
      <c r="AC842" s="216"/>
      <c r="AD842" s="239"/>
      <c r="AE842" s="216"/>
      <c r="AF842" s="216"/>
      <c r="AG842" s="216"/>
      <c r="AH842" s="216"/>
      <c r="AI842" s="216"/>
      <c r="AJ842" s="216"/>
      <c r="AK842" s="239"/>
      <c r="AL842" s="216"/>
      <c r="AM842" s="216"/>
      <c r="AN842" s="216"/>
      <c r="AO842" s="216"/>
      <c r="AP842" s="216"/>
      <c r="AQ842" s="216"/>
      <c r="AR842" s="216"/>
      <c r="AS842" s="216"/>
      <c r="AT842" s="216"/>
      <c r="AU842" s="216"/>
      <c r="AV842" s="217"/>
      <c r="AW842" s="355"/>
      <c r="AX842" s="217"/>
      <c r="AY842" s="305"/>
      <c r="AZ842" s="249"/>
      <c r="BA842" s="221"/>
      <c r="BB842" s="300"/>
      <c r="BC842" s="217"/>
      <c r="BD842" s="392"/>
      <c r="BE842" s="1244"/>
      <c r="BF842" s="249"/>
      <c r="BG842" s="252"/>
      <c r="BH842" s="1469"/>
      <c r="BI842" s="216"/>
      <c r="BJ842" s="1469"/>
      <c r="BK842" s="1459"/>
      <c r="BL842" s="260"/>
      <c r="BM842" s="214"/>
      <c r="BN842" s="293"/>
      <c r="BO842" s="217"/>
      <c r="BP842" s="355"/>
      <c r="BQ842" s="217"/>
      <c r="BR842" s="1193"/>
      <c r="BS842" s="249"/>
      <c r="BT842" s="216"/>
      <c r="BU842" s="1195"/>
      <c r="BV842" s="249"/>
      <c r="BW842" s="216"/>
      <c r="BX842" s="1195"/>
      <c r="BY842" s="249"/>
      <c r="BZ842" s="216"/>
      <c r="CA842" s="1195"/>
      <c r="CB842" s="249"/>
      <c r="CC842" s="216"/>
      <c r="CD842" s="1195"/>
      <c r="CE842" s="249"/>
      <c r="CF842" s="216"/>
      <c r="CG842" s="1195"/>
      <c r="CH842" s="249"/>
      <c r="CI842" s="216"/>
      <c r="CJ842" s="1195"/>
      <c r="CK842" s="249"/>
      <c r="CL842" s="216"/>
      <c r="CM842" s="1194"/>
      <c r="CN842" s="1524"/>
      <c r="CO842" s="217"/>
      <c r="CP842" s="1193"/>
      <c r="CQ842" s="293"/>
      <c r="CR842" s="217"/>
      <c r="CS842" s="305"/>
      <c r="CT842" s="249"/>
      <c r="CU842" s="216"/>
      <c r="CV842" s="1193"/>
      <c r="CW842" s="249"/>
      <c r="CX842" s="216"/>
      <c r="CY842" s="305"/>
      <c r="CZ842" s="249"/>
      <c r="DA842" s="216"/>
      <c r="DB842" s="307"/>
      <c r="DC842" s="328"/>
      <c r="DD842" s="322"/>
      <c r="DE842" s="305"/>
      <c r="DF842" s="249"/>
      <c r="DG842" s="216"/>
      <c r="DH842" s="305"/>
      <c r="DI842" s="249"/>
      <c r="DJ842" s="216"/>
      <c r="DK842" s="309"/>
      <c r="DL842" s="293"/>
      <c r="DM842" s="326"/>
      <c r="DN842" s="1256"/>
      <c r="DO842" s="214"/>
      <c r="DP842" s="1257"/>
      <c r="DQ842" s="1258"/>
      <c r="DR842" s="305"/>
      <c r="DS842" s="249"/>
      <c r="DT842" s="216"/>
      <c r="DU842" s="305"/>
      <c r="DV842" s="2520"/>
      <c r="DW842" s="2521"/>
      <c r="DX842" s="305"/>
      <c r="DY842" s="249"/>
      <c r="DZ842" s="221"/>
      <c r="EA842" s="388"/>
      <c r="EB842" s="249"/>
      <c r="EC842" s="216"/>
      <c r="ED842" s="1461"/>
      <c r="EE842" s="249"/>
      <c r="EF842" s="216"/>
      <c r="EG842" s="355"/>
      <c r="EH842" s="1425"/>
      <c r="EI842" s="1470"/>
      <c r="EJ842" s="249"/>
      <c r="EK842" s="221"/>
      <c r="EL842" s="313"/>
      <c r="EM842" s="249"/>
      <c r="EN842" s="221"/>
      <c r="EO842" s="313"/>
      <c r="EP842" s="249"/>
      <c r="EQ842" s="216"/>
      <c r="ER842" s="313"/>
      <c r="ES842" s="249"/>
      <c r="ET842" s="216"/>
      <c r="EU842" s="313"/>
      <c r="EV842" s="249"/>
      <c r="EW842" s="216"/>
      <c r="EX842" s="2505"/>
      <c r="EY842" s="249"/>
      <c r="EZ842" s="221"/>
      <c r="FA842" s="313"/>
      <c r="FB842" s="249"/>
      <c r="FC842" s="221"/>
      <c r="FD842" s="313"/>
      <c r="FE842" s="249"/>
      <c r="FF842" s="221"/>
      <c r="FG842" s="313"/>
      <c r="FH842" s="249"/>
      <c r="FI842" s="216"/>
      <c r="FJ842" s="1435"/>
      <c r="FK842" s="216"/>
      <c r="FL842" s="1268"/>
      <c r="FM842" s="1655"/>
      <c r="FN842" s="1268"/>
      <c r="FO842" s="1655"/>
      <c r="FP842" s="1268"/>
      <c r="FQ842" s="1656"/>
      <c r="FR842" s="249"/>
      <c r="FS842" s="216"/>
      <c r="FT842" s="1657"/>
      <c r="FU842" s="1658"/>
      <c r="FV842" s="242"/>
      <c r="FW842" s="343"/>
      <c r="FX842" s="222"/>
      <c r="FY842" s="336"/>
      <c r="FZ842" s="223"/>
      <c r="GA842" s="338"/>
      <c r="GB842" s="204"/>
      <c r="GC842" s="339"/>
      <c r="GD842" s="342"/>
      <c r="GE842" s="199"/>
      <c r="GF842" s="199"/>
      <c r="GG842" s="199"/>
      <c r="GH842" s="199"/>
      <c r="GI842" s="199"/>
      <c r="GJ842" s="199"/>
      <c r="GK842" s="199"/>
      <c r="GO842" s="322"/>
      <c r="GP842" s="1190"/>
      <c r="GQ842" s="1190"/>
      <c r="GS842" s="2879"/>
      <c r="GT842" s="2880"/>
      <c r="GU842" s="2881"/>
    </row>
    <row r="843" spans="1:203" ht="12" customHeight="1">
      <c r="A843" s="1252"/>
      <c r="B843" s="200"/>
      <c r="C843" s="486"/>
      <c r="T843" s="1186"/>
      <c r="U843" s="233"/>
      <c r="W843" s="218"/>
      <c r="X843" s="218"/>
      <c r="Y843" s="216"/>
      <c r="Z843" s="216"/>
      <c r="AA843" s="215"/>
      <c r="AB843" s="216"/>
      <c r="AC843" s="216"/>
      <c r="AD843" s="239"/>
      <c r="AE843" s="216"/>
      <c r="AF843" s="216"/>
      <c r="AG843" s="216"/>
      <c r="AH843" s="216"/>
      <c r="AI843" s="216"/>
      <c r="AJ843" s="216"/>
      <c r="AK843" s="239"/>
      <c r="AL843" s="216"/>
      <c r="AM843" s="216"/>
      <c r="AN843" s="216"/>
      <c r="AO843" s="216"/>
      <c r="AP843" s="216"/>
      <c r="AQ843" s="216"/>
      <c r="AR843" s="216"/>
      <c r="AS843" s="216"/>
      <c r="AT843" s="216"/>
      <c r="AU843" s="216"/>
      <c r="AV843" s="217"/>
      <c r="AW843" s="355"/>
      <c r="AX843" s="217"/>
      <c r="AY843" s="305"/>
      <c r="AZ843" s="249"/>
      <c r="BA843" s="221"/>
      <c r="BB843" s="300"/>
      <c r="BC843" s="217"/>
      <c r="BD843" s="392"/>
      <c r="BE843" s="1244"/>
      <c r="BF843" s="249"/>
      <c r="BG843" s="252"/>
      <c r="BH843" s="1469"/>
      <c r="BI843" s="216"/>
      <c r="BJ843" s="1469"/>
      <c r="BK843" s="1459"/>
      <c r="BL843" s="260"/>
      <c r="BM843" s="214"/>
      <c r="BN843" s="293"/>
      <c r="BO843" s="217"/>
      <c r="BP843" s="355"/>
      <c r="BQ843" s="217"/>
      <c r="BR843" s="1193"/>
      <c r="BS843" s="249"/>
      <c r="BT843" s="216"/>
      <c r="BU843" s="1195"/>
      <c r="BV843" s="249"/>
      <c r="BW843" s="216"/>
      <c r="BX843" s="1195"/>
      <c r="BY843" s="249"/>
      <c r="BZ843" s="216"/>
      <c r="CA843" s="1195"/>
      <c r="CB843" s="249"/>
      <c r="CC843" s="216"/>
      <c r="CD843" s="1195"/>
      <c r="CE843" s="249"/>
      <c r="CF843" s="216"/>
      <c r="CG843" s="1195"/>
      <c r="CH843" s="249"/>
      <c r="CI843" s="216"/>
      <c r="CJ843" s="1195"/>
      <c r="CK843" s="249"/>
      <c r="CL843" s="216"/>
      <c r="CM843" s="1194"/>
      <c r="CN843" s="1524"/>
      <c r="CO843" s="217"/>
      <c r="CP843" s="1193"/>
      <c r="CQ843" s="293"/>
      <c r="CR843" s="217"/>
      <c r="CS843" s="305"/>
      <c r="CT843" s="249"/>
      <c r="CU843" s="216"/>
      <c r="CV843" s="1193"/>
      <c r="CW843" s="249"/>
      <c r="CX843" s="216"/>
      <c r="CY843" s="305"/>
      <c r="CZ843" s="249"/>
      <c r="DA843" s="216"/>
      <c r="DB843" s="307"/>
      <c r="DC843" s="328"/>
      <c r="DD843" s="322"/>
      <c r="DE843" s="305"/>
      <c r="DF843" s="249"/>
      <c r="DG843" s="216"/>
      <c r="DH843" s="305"/>
      <c r="DI843" s="249"/>
      <c r="DJ843" s="216"/>
      <c r="DK843" s="309"/>
      <c r="DL843" s="293"/>
      <c r="DM843" s="326"/>
      <c r="DN843" s="1256"/>
      <c r="DO843" s="214"/>
      <c r="DP843" s="1257"/>
      <c r="DQ843" s="1258"/>
      <c r="DR843" s="305"/>
      <c r="DS843" s="249"/>
      <c r="DT843" s="216"/>
      <c r="DU843" s="305"/>
      <c r="DV843" s="2520"/>
      <c r="DW843" s="2521"/>
      <c r="DX843" s="305"/>
      <c r="DY843" s="249"/>
      <c r="DZ843" s="221"/>
      <c r="EA843" s="388"/>
      <c r="EB843" s="249"/>
      <c r="EC843" s="216"/>
      <c r="ED843" s="1461"/>
      <c r="EE843" s="249"/>
      <c r="EF843" s="216"/>
      <c r="EG843" s="355"/>
      <c r="EH843" s="1425"/>
      <c r="EI843" s="1470"/>
      <c r="EJ843" s="249"/>
      <c r="EK843" s="221"/>
      <c r="EL843" s="313"/>
      <c r="EM843" s="249"/>
      <c r="EN843" s="221"/>
      <c r="EO843" s="313"/>
      <c r="EP843" s="249"/>
      <c r="EQ843" s="216"/>
      <c r="ER843" s="313"/>
      <c r="ES843" s="249"/>
      <c r="ET843" s="216"/>
      <c r="EU843" s="313"/>
      <c r="EV843" s="249"/>
      <c r="EW843" s="216"/>
      <c r="EX843" s="2505"/>
      <c r="EY843" s="249"/>
      <c r="EZ843" s="221"/>
      <c r="FA843" s="313"/>
      <c r="FB843" s="249"/>
      <c r="FC843" s="221"/>
      <c r="FD843" s="313"/>
      <c r="FE843" s="249"/>
      <c r="FF843" s="221"/>
      <c r="FG843" s="313"/>
      <c r="FH843" s="249"/>
      <c r="FI843" s="216"/>
      <c r="FJ843" s="1435"/>
      <c r="FK843" s="216"/>
      <c r="FL843" s="1268"/>
      <c r="FM843" s="1655"/>
      <c r="FN843" s="1268"/>
      <c r="FO843" s="1655"/>
      <c r="FP843" s="1268"/>
      <c r="FQ843" s="1656"/>
      <c r="FR843" s="249"/>
      <c r="FS843" s="216"/>
      <c r="FT843" s="1657"/>
      <c r="FU843" s="1658"/>
      <c r="FV843" s="242"/>
      <c r="FW843" s="343"/>
      <c r="FX843" s="222"/>
      <c r="FY843" s="336"/>
      <c r="FZ843" s="223"/>
      <c r="GA843" s="338"/>
      <c r="GB843" s="204"/>
      <c r="GC843" s="339"/>
      <c r="GD843" s="342"/>
      <c r="GE843" s="199"/>
      <c r="GF843" s="199"/>
      <c r="GG843" s="199"/>
      <c r="GH843" s="199"/>
      <c r="GI843" s="199"/>
      <c r="GJ843" s="199"/>
      <c r="GK843" s="199"/>
      <c r="GO843" s="322"/>
      <c r="GP843" s="1190"/>
      <c r="GQ843" s="1190"/>
      <c r="GS843" s="2879"/>
      <c r="GT843" s="2880"/>
      <c r="GU843" s="2881"/>
    </row>
    <row r="844" spans="1:203" ht="12" customHeight="1">
      <c r="A844" s="1252"/>
      <c r="B844" s="200"/>
      <c r="C844" s="486"/>
      <c r="T844" s="1186"/>
      <c r="U844" s="233"/>
      <c r="W844" s="218"/>
      <c r="X844" s="218"/>
      <c r="Y844" s="216"/>
      <c r="Z844" s="216"/>
      <c r="AA844" s="215"/>
      <c r="AB844" s="216"/>
      <c r="AC844" s="216"/>
      <c r="AD844" s="239"/>
      <c r="AE844" s="216"/>
      <c r="AF844" s="216"/>
      <c r="AG844" s="216"/>
      <c r="AH844" s="216"/>
      <c r="AI844" s="216"/>
      <c r="AJ844" s="216"/>
      <c r="AK844" s="239"/>
      <c r="AL844" s="216"/>
      <c r="AM844" s="216"/>
      <c r="AN844" s="216"/>
      <c r="AO844" s="216"/>
      <c r="AP844" s="216"/>
      <c r="AQ844" s="216"/>
      <c r="AR844" s="216"/>
      <c r="AS844" s="216"/>
      <c r="AT844" s="216"/>
      <c r="AU844" s="216"/>
      <c r="AV844" s="217"/>
      <c r="AW844" s="355"/>
      <c r="AX844" s="217"/>
      <c r="AY844" s="305"/>
      <c r="AZ844" s="249"/>
      <c r="BA844" s="221"/>
      <c r="BB844" s="300"/>
      <c r="BC844" s="217"/>
      <c r="BD844" s="392"/>
      <c r="BE844" s="1244"/>
      <c r="BF844" s="249"/>
      <c r="BG844" s="252"/>
      <c r="BH844" s="1469"/>
      <c r="BI844" s="216"/>
      <c r="BJ844" s="1469"/>
      <c r="BK844" s="1459"/>
      <c r="BL844" s="260"/>
      <c r="BM844" s="214"/>
      <c r="BN844" s="293"/>
      <c r="BO844" s="217"/>
      <c r="BP844" s="355"/>
      <c r="BQ844" s="217"/>
      <c r="BR844" s="1193"/>
      <c r="BS844" s="249"/>
      <c r="BT844" s="216"/>
      <c r="BU844" s="1195"/>
      <c r="BV844" s="249"/>
      <c r="BW844" s="216"/>
      <c r="BX844" s="1195"/>
      <c r="BY844" s="249"/>
      <c r="BZ844" s="216"/>
      <c r="CA844" s="1195"/>
      <c r="CB844" s="249"/>
      <c r="CC844" s="216"/>
      <c r="CD844" s="1195"/>
      <c r="CE844" s="249"/>
      <c r="CF844" s="216"/>
      <c r="CG844" s="1195"/>
      <c r="CH844" s="249"/>
      <c r="CI844" s="216"/>
      <c r="CJ844" s="1195"/>
      <c r="CK844" s="249"/>
      <c r="CL844" s="216"/>
      <c r="CM844" s="1194"/>
      <c r="CN844" s="1524"/>
      <c r="CO844" s="217"/>
      <c r="CP844" s="1193"/>
      <c r="CQ844" s="293"/>
      <c r="CR844" s="217"/>
      <c r="CS844" s="305"/>
      <c r="CT844" s="249"/>
      <c r="CU844" s="216"/>
      <c r="CV844" s="1193"/>
      <c r="CW844" s="249"/>
      <c r="CX844" s="216"/>
      <c r="CY844" s="305"/>
      <c r="CZ844" s="249"/>
      <c r="DA844" s="216"/>
      <c r="DB844" s="307"/>
      <c r="DC844" s="328"/>
      <c r="DD844" s="322"/>
      <c r="DE844" s="305"/>
      <c r="DF844" s="249"/>
      <c r="DG844" s="216"/>
      <c r="DH844" s="305"/>
      <c r="DI844" s="249"/>
      <c r="DJ844" s="216"/>
      <c r="DK844" s="309"/>
      <c r="DL844" s="293"/>
      <c r="DM844" s="326"/>
      <c r="DN844" s="1256"/>
      <c r="DO844" s="214"/>
      <c r="DP844" s="1257"/>
      <c r="DQ844" s="1258"/>
      <c r="DR844" s="305"/>
      <c r="DS844" s="249"/>
      <c r="DT844" s="216"/>
      <c r="DU844" s="305"/>
      <c r="DV844" s="2520"/>
      <c r="DW844" s="2521"/>
      <c r="DX844" s="305"/>
      <c r="DY844" s="249"/>
      <c r="DZ844" s="221"/>
      <c r="EA844" s="388"/>
      <c r="EB844" s="249"/>
      <c r="EC844" s="216"/>
      <c r="ED844" s="1461"/>
      <c r="EE844" s="249"/>
      <c r="EF844" s="216"/>
      <c r="EG844" s="355"/>
      <c r="EH844" s="1425"/>
      <c r="EI844" s="1470"/>
      <c r="EJ844" s="249"/>
      <c r="EK844" s="221"/>
      <c r="EL844" s="313"/>
      <c r="EM844" s="249"/>
      <c r="EN844" s="221"/>
      <c r="EO844" s="313"/>
      <c r="EP844" s="249"/>
      <c r="EQ844" s="216"/>
      <c r="ER844" s="313"/>
      <c r="ES844" s="249"/>
      <c r="ET844" s="216"/>
      <c r="EU844" s="313"/>
      <c r="EV844" s="249"/>
      <c r="EW844" s="216"/>
      <c r="EX844" s="2505"/>
      <c r="EY844" s="249"/>
      <c r="EZ844" s="221"/>
      <c r="FA844" s="313"/>
      <c r="FB844" s="249"/>
      <c r="FC844" s="221"/>
      <c r="FD844" s="313"/>
      <c r="FE844" s="249"/>
      <c r="FF844" s="221"/>
      <c r="FG844" s="313"/>
      <c r="FH844" s="249"/>
      <c r="FI844" s="216"/>
      <c r="FJ844" s="1435"/>
      <c r="FK844" s="216"/>
      <c r="FL844" s="1268"/>
      <c r="FM844" s="1655"/>
      <c r="FN844" s="1268"/>
      <c r="FO844" s="1655"/>
      <c r="FP844" s="1268"/>
      <c r="FQ844" s="1656"/>
      <c r="FR844" s="249"/>
      <c r="FS844" s="216"/>
      <c r="FT844" s="1657"/>
      <c r="FU844" s="1658"/>
      <c r="FV844" s="242"/>
      <c r="FW844" s="343"/>
      <c r="FX844" s="222"/>
      <c r="FY844" s="336"/>
      <c r="FZ844" s="223"/>
      <c r="GA844" s="338"/>
      <c r="GB844" s="204"/>
      <c r="GC844" s="339"/>
      <c r="GD844" s="342"/>
      <c r="GE844" s="199"/>
      <c r="GF844" s="199"/>
      <c r="GG844" s="199"/>
      <c r="GH844" s="199"/>
      <c r="GI844" s="199"/>
      <c r="GJ844" s="199"/>
      <c r="GK844" s="199"/>
      <c r="GO844" s="322"/>
      <c r="GP844" s="1190"/>
      <c r="GQ844" s="1190"/>
      <c r="GS844" s="2879"/>
      <c r="GT844" s="2880"/>
      <c r="GU844" s="2881"/>
    </row>
    <row r="845" spans="1:203" ht="12" customHeight="1">
      <c r="A845" s="1252"/>
      <c r="B845" s="200"/>
      <c r="C845" s="486"/>
      <c r="T845" s="1186"/>
      <c r="U845" s="233"/>
      <c r="W845" s="218"/>
      <c r="X845" s="218"/>
      <c r="Y845" s="216"/>
      <c r="Z845" s="216"/>
      <c r="AA845" s="215"/>
      <c r="AB845" s="216"/>
      <c r="AC845" s="216"/>
      <c r="AD845" s="239"/>
      <c r="AE845" s="216"/>
      <c r="AF845" s="216"/>
      <c r="AG845" s="216"/>
      <c r="AH845" s="216"/>
      <c r="AI845" s="216"/>
      <c r="AJ845" s="216"/>
      <c r="AK845" s="239"/>
      <c r="AL845" s="216"/>
      <c r="AM845" s="216"/>
      <c r="AN845" s="216"/>
      <c r="AO845" s="216"/>
      <c r="AP845" s="216"/>
      <c r="AQ845" s="216"/>
      <c r="AR845" s="216"/>
      <c r="AS845" s="216"/>
      <c r="AT845" s="216"/>
      <c r="AU845" s="216"/>
      <c r="AV845" s="217"/>
      <c r="AW845" s="355"/>
      <c r="AX845" s="217"/>
      <c r="AY845" s="305"/>
      <c r="AZ845" s="249"/>
      <c r="BA845" s="221"/>
      <c r="BB845" s="300"/>
      <c r="BC845" s="217"/>
      <c r="BD845" s="392"/>
      <c r="BE845" s="1244"/>
      <c r="BF845" s="249"/>
      <c r="BG845" s="252"/>
      <c r="BH845" s="1469"/>
      <c r="BI845" s="216"/>
      <c r="BJ845" s="1469"/>
      <c r="BK845" s="1459"/>
      <c r="BL845" s="260"/>
      <c r="BM845" s="214"/>
      <c r="BN845" s="293"/>
      <c r="BO845" s="217"/>
      <c r="BP845" s="355"/>
      <c r="BQ845" s="217"/>
      <c r="BR845" s="1193"/>
      <c r="BS845" s="249"/>
      <c r="BT845" s="216"/>
      <c r="BU845" s="1195"/>
      <c r="BV845" s="249"/>
      <c r="BW845" s="216"/>
      <c r="BX845" s="1195"/>
      <c r="BY845" s="249"/>
      <c r="BZ845" s="216"/>
      <c r="CA845" s="1195"/>
      <c r="CB845" s="249"/>
      <c r="CC845" s="216"/>
      <c r="CD845" s="1195"/>
      <c r="CE845" s="249"/>
      <c r="CF845" s="216"/>
      <c r="CG845" s="1195"/>
      <c r="CH845" s="249"/>
      <c r="CI845" s="216"/>
      <c r="CJ845" s="1195"/>
      <c r="CK845" s="249"/>
      <c r="CL845" s="216"/>
      <c r="CM845" s="1194"/>
      <c r="CN845" s="1524"/>
      <c r="CO845" s="217"/>
      <c r="CP845" s="1193"/>
      <c r="CQ845" s="293"/>
      <c r="CR845" s="217"/>
      <c r="CS845" s="305"/>
      <c r="CT845" s="249"/>
      <c r="CU845" s="216"/>
      <c r="CV845" s="1193"/>
      <c r="CW845" s="249"/>
      <c r="CX845" s="216"/>
      <c r="CY845" s="305"/>
      <c r="CZ845" s="249"/>
      <c r="DA845" s="216"/>
      <c r="DB845" s="307"/>
      <c r="DC845" s="328"/>
      <c r="DD845" s="322"/>
      <c r="DE845" s="305"/>
      <c r="DF845" s="249"/>
      <c r="DG845" s="216"/>
      <c r="DH845" s="305"/>
      <c r="DI845" s="249"/>
      <c r="DJ845" s="216"/>
      <c r="DK845" s="309"/>
      <c r="DL845" s="293"/>
      <c r="DM845" s="326"/>
      <c r="DN845" s="1256"/>
      <c r="DO845" s="214"/>
      <c r="DP845" s="1257"/>
      <c r="DQ845" s="1258"/>
      <c r="DR845" s="305"/>
      <c r="DS845" s="249"/>
      <c r="DT845" s="216"/>
      <c r="DU845" s="305"/>
      <c r="DV845" s="2520"/>
      <c r="DW845" s="2521"/>
      <c r="DX845" s="305"/>
      <c r="DY845" s="249"/>
      <c r="DZ845" s="221"/>
      <c r="EA845" s="388"/>
      <c r="EB845" s="249"/>
      <c r="EC845" s="216"/>
      <c r="ED845" s="1461"/>
      <c r="EE845" s="249"/>
      <c r="EF845" s="216"/>
      <c r="EG845" s="355"/>
      <c r="EH845" s="1425"/>
      <c r="EI845" s="1470"/>
      <c r="EJ845" s="249"/>
      <c r="EK845" s="221"/>
      <c r="EL845" s="313"/>
      <c r="EM845" s="249"/>
      <c r="EN845" s="221"/>
      <c r="EO845" s="313"/>
      <c r="EP845" s="249"/>
      <c r="EQ845" s="216"/>
      <c r="ER845" s="313"/>
      <c r="ES845" s="249"/>
      <c r="ET845" s="216"/>
      <c r="EU845" s="313"/>
      <c r="EV845" s="249"/>
      <c r="EW845" s="216"/>
      <c r="EX845" s="2505"/>
      <c r="EY845" s="249"/>
      <c r="EZ845" s="221"/>
      <c r="FA845" s="313"/>
      <c r="FB845" s="249"/>
      <c r="FC845" s="221"/>
      <c r="FD845" s="313"/>
      <c r="FE845" s="249"/>
      <c r="FF845" s="221"/>
      <c r="FG845" s="313"/>
      <c r="FH845" s="249"/>
      <c r="FI845" s="216"/>
      <c r="FJ845" s="1435"/>
      <c r="FK845" s="216"/>
      <c r="FL845" s="1268"/>
      <c r="FM845" s="1655"/>
      <c r="FN845" s="1268"/>
      <c r="FO845" s="1655"/>
      <c r="FP845" s="1268"/>
      <c r="FQ845" s="1656"/>
      <c r="FR845" s="249"/>
      <c r="FS845" s="216"/>
      <c r="FT845" s="1657"/>
      <c r="FU845" s="1658"/>
      <c r="FV845" s="242"/>
      <c r="FW845" s="343"/>
      <c r="FX845" s="222"/>
      <c r="FY845" s="336"/>
      <c r="FZ845" s="223"/>
      <c r="GA845" s="338"/>
      <c r="GB845" s="204"/>
      <c r="GC845" s="339"/>
      <c r="GD845" s="342"/>
      <c r="GE845" s="199"/>
      <c r="GF845" s="199"/>
      <c r="GG845" s="199"/>
      <c r="GH845" s="199"/>
      <c r="GI845" s="199"/>
      <c r="GJ845" s="199"/>
      <c r="GK845" s="199"/>
      <c r="GO845" s="322"/>
      <c r="GP845" s="1190"/>
      <c r="GQ845" s="1190"/>
      <c r="GS845" s="2879"/>
      <c r="GT845" s="2880"/>
      <c r="GU845" s="2881"/>
    </row>
    <row r="846" spans="1:203" ht="12" customHeight="1">
      <c r="A846" s="1252"/>
      <c r="B846" s="200"/>
      <c r="C846" s="486"/>
      <c r="T846" s="1186"/>
      <c r="U846" s="233"/>
      <c r="W846" s="218"/>
      <c r="X846" s="218"/>
      <c r="Y846" s="216"/>
      <c r="Z846" s="216"/>
      <c r="AA846" s="215"/>
      <c r="AB846" s="216"/>
      <c r="AC846" s="216"/>
      <c r="AD846" s="239"/>
      <c r="AE846" s="216"/>
      <c r="AF846" s="216"/>
      <c r="AG846" s="216"/>
      <c r="AH846" s="216"/>
      <c r="AI846" s="216"/>
      <c r="AJ846" s="216"/>
      <c r="AK846" s="239"/>
      <c r="AL846" s="216"/>
      <c r="AM846" s="216"/>
      <c r="AN846" s="216"/>
      <c r="AO846" s="216"/>
      <c r="AP846" s="216"/>
      <c r="AQ846" s="216"/>
      <c r="AR846" s="216"/>
      <c r="AS846" s="216"/>
      <c r="AT846" s="216"/>
      <c r="AU846" s="216"/>
      <c r="AV846" s="217"/>
      <c r="AW846" s="355"/>
      <c r="AX846" s="217"/>
      <c r="AY846" s="305"/>
      <c r="AZ846" s="249"/>
      <c r="BA846" s="221"/>
      <c r="BB846" s="300"/>
      <c r="BC846" s="217"/>
      <c r="BD846" s="392"/>
      <c r="BE846" s="1244"/>
      <c r="BF846" s="249"/>
      <c r="BG846" s="252"/>
      <c r="BH846" s="1469"/>
      <c r="BI846" s="216"/>
      <c r="BJ846" s="1469"/>
      <c r="BK846" s="1459"/>
      <c r="BL846" s="260"/>
      <c r="BM846" s="214"/>
      <c r="BN846" s="293"/>
      <c r="BO846" s="217"/>
      <c r="BP846" s="355"/>
      <c r="BQ846" s="217"/>
      <c r="BR846" s="1193"/>
      <c r="BS846" s="249"/>
      <c r="BT846" s="216"/>
      <c r="BU846" s="1195"/>
      <c r="BV846" s="249"/>
      <c r="BW846" s="216"/>
      <c r="BX846" s="1195"/>
      <c r="BY846" s="249"/>
      <c r="BZ846" s="216"/>
      <c r="CA846" s="1195"/>
      <c r="CB846" s="249"/>
      <c r="CC846" s="216"/>
      <c r="CD846" s="1195"/>
      <c r="CE846" s="249"/>
      <c r="CF846" s="216"/>
      <c r="CG846" s="1195"/>
      <c r="CH846" s="249"/>
      <c r="CI846" s="216"/>
      <c r="CJ846" s="1195"/>
      <c r="CK846" s="249"/>
      <c r="CL846" s="216"/>
      <c r="CM846" s="1194"/>
      <c r="CN846" s="1524"/>
      <c r="CO846" s="217"/>
      <c r="CP846" s="1193"/>
      <c r="CQ846" s="293"/>
      <c r="CR846" s="217"/>
      <c r="CS846" s="305"/>
      <c r="CT846" s="249"/>
      <c r="CU846" s="216"/>
      <c r="CV846" s="1193"/>
      <c r="CW846" s="249"/>
      <c r="CX846" s="216"/>
      <c r="CY846" s="305"/>
      <c r="CZ846" s="249"/>
      <c r="DA846" s="216"/>
      <c r="DB846" s="307"/>
      <c r="DC846" s="328"/>
      <c r="DD846" s="322"/>
      <c r="DE846" s="305"/>
      <c r="DF846" s="249"/>
      <c r="DG846" s="216"/>
      <c r="DH846" s="305"/>
      <c r="DI846" s="249"/>
      <c r="DJ846" s="216"/>
      <c r="DK846" s="309"/>
      <c r="DL846" s="293"/>
      <c r="DM846" s="326"/>
      <c r="DN846" s="1256"/>
      <c r="DO846" s="214"/>
      <c r="DP846" s="1257"/>
      <c r="DQ846" s="1258"/>
      <c r="DR846" s="305"/>
      <c r="DS846" s="249"/>
      <c r="DT846" s="216"/>
      <c r="DU846" s="305"/>
      <c r="DV846" s="2520"/>
      <c r="DW846" s="2521"/>
      <c r="DX846" s="305"/>
      <c r="DY846" s="249"/>
      <c r="DZ846" s="221"/>
      <c r="EA846" s="388"/>
      <c r="EB846" s="249"/>
      <c r="EC846" s="216"/>
      <c r="ED846" s="1461"/>
      <c r="EE846" s="249"/>
      <c r="EF846" s="216"/>
      <c r="EG846" s="355"/>
      <c r="EH846" s="1425"/>
      <c r="EI846" s="1470"/>
      <c r="EJ846" s="249"/>
      <c r="EK846" s="221"/>
      <c r="EL846" s="313"/>
      <c r="EM846" s="249"/>
      <c r="EN846" s="221"/>
      <c r="EO846" s="313"/>
      <c r="EP846" s="249"/>
      <c r="EQ846" s="216"/>
      <c r="ER846" s="313"/>
      <c r="ES846" s="249"/>
      <c r="ET846" s="216"/>
      <c r="EU846" s="313"/>
      <c r="EV846" s="249"/>
      <c r="EW846" s="216"/>
      <c r="EX846" s="2505"/>
      <c r="EY846" s="249"/>
      <c r="EZ846" s="221"/>
      <c r="FA846" s="313"/>
      <c r="FB846" s="249"/>
      <c r="FC846" s="221"/>
      <c r="FD846" s="313"/>
      <c r="FE846" s="249"/>
      <c r="FF846" s="221"/>
      <c r="FG846" s="313"/>
      <c r="FH846" s="249"/>
      <c r="FI846" s="216"/>
      <c r="FJ846" s="1435"/>
      <c r="FK846" s="216"/>
      <c r="FL846" s="1268"/>
      <c r="FM846" s="1655"/>
      <c r="FN846" s="1268"/>
      <c r="FO846" s="1655"/>
      <c r="FP846" s="1268"/>
      <c r="FQ846" s="1656"/>
      <c r="FR846" s="249"/>
      <c r="FS846" s="216"/>
      <c r="FT846" s="1657"/>
      <c r="FU846" s="1658"/>
      <c r="FV846" s="242"/>
      <c r="FW846" s="343"/>
      <c r="FX846" s="222"/>
      <c r="FY846" s="336"/>
      <c r="FZ846" s="223"/>
      <c r="GA846" s="338"/>
      <c r="GB846" s="204"/>
      <c r="GC846" s="339"/>
      <c r="GD846" s="342"/>
      <c r="GE846" s="199"/>
      <c r="GF846" s="199"/>
      <c r="GG846" s="199"/>
      <c r="GH846" s="199"/>
      <c r="GI846" s="199"/>
      <c r="GJ846" s="199"/>
      <c r="GK846" s="199"/>
      <c r="GO846" s="322"/>
      <c r="GP846" s="1190"/>
      <c r="GQ846" s="1190"/>
      <c r="GS846" s="2879"/>
      <c r="GT846" s="2880"/>
      <c r="GU846" s="2881"/>
    </row>
    <row r="847" spans="1:203" ht="12" customHeight="1">
      <c r="A847" s="1252"/>
      <c r="B847" s="200"/>
      <c r="C847" s="486"/>
      <c r="T847" s="1186"/>
      <c r="U847" s="233"/>
      <c r="W847" s="218"/>
      <c r="X847" s="218"/>
      <c r="Y847" s="216"/>
      <c r="Z847" s="216"/>
      <c r="AA847" s="215"/>
      <c r="AB847" s="216"/>
      <c r="AC847" s="216"/>
      <c r="AD847" s="239"/>
      <c r="AE847" s="216"/>
      <c r="AF847" s="216"/>
      <c r="AG847" s="216"/>
      <c r="AH847" s="216"/>
      <c r="AI847" s="216"/>
      <c r="AJ847" s="216"/>
      <c r="AK847" s="239"/>
      <c r="AL847" s="216"/>
      <c r="AM847" s="216"/>
      <c r="AN847" s="216"/>
      <c r="AO847" s="216"/>
      <c r="AP847" s="216"/>
      <c r="AQ847" s="216"/>
      <c r="AR847" s="216"/>
      <c r="AS847" s="216"/>
      <c r="AT847" s="216"/>
      <c r="AU847" s="216"/>
      <c r="AV847" s="217"/>
      <c r="AW847" s="355"/>
      <c r="AX847" s="217"/>
      <c r="AY847" s="305"/>
      <c r="AZ847" s="249"/>
      <c r="BA847" s="221"/>
      <c r="BB847" s="300"/>
      <c r="BC847" s="217"/>
      <c r="BD847" s="392"/>
      <c r="BE847" s="1244"/>
      <c r="BF847" s="249"/>
      <c r="BG847" s="252"/>
      <c r="BH847" s="1469"/>
      <c r="BI847" s="216"/>
      <c r="BJ847" s="1469"/>
      <c r="BK847" s="1459"/>
      <c r="BL847" s="260"/>
      <c r="BM847" s="214"/>
      <c r="BN847" s="293"/>
      <c r="BO847" s="217"/>
      <c r="BP847" s="355"/>
      <c r="BQ847" s="217"/>
      <c r="BR847" s="1193"/>
      <c r="BS847" s="249"/>
      <c r="BT847" s="216"/>
      <c r="BU847" s="1195"/>
      <c r="BV847" s="249"/>
      <c r="BW847" s="216"/>
      <c r="BX847" s="1195"/>
      <c r="BY847" s="249"/>
      <c r="BZ847" s="216"/>
      <c r="CA847" s="1195"/>
      <c r="CB847" s="249"/>
      <c r="CC847" s="216"/>
      <c r="CD847" s="1195"/>
      <c r="CE847" s="249"/>
      <c r="CF847" s="216"/>
      <c r="CG847" s="1195"/>
      <c r="CH847" s="249"/>
      <c r="CI847" s="216"/>
      <c r="CJ847" s="1195"/>
      <c r="CK847" s="249"/>
      <c r="CL847" s="216"/>
      <c r="CM847" s="1194"/>
      <c r="CN847" s="1524"/>
      <c r="CO847" s="217"/>
      <c r="CP847" s="1193"/>
      <c r="CQ847" s="293"/>
      <c r="CR847" s="217"/>
      <c r="CS847" s="305"/>
      <c r="CT847" s="249"/>
      <c r="CU847" s="216"/>
      <c r="CV847" s="1193"/>
      <c r="CW847" s="249"/>
      <c r="CX847" s="216"/>
      <c r="CY847" s="305"/>
      <c r="CZ847" s="249"/>
      <c r="DA847" s="216"/>
      <c r="DB847" s="307"/>
      <c r="DC847" s="328"/>
      <c r="DD847" s="322"/>
      <c r="DE847" s="305"/>
      <c r="DF847" s="249"/>
      <c r="DG847" s="216"/>
      <c r="DH847" s="305"/>
      <c r="DI847" s="249"/>
      <c r="DJ847" s="216"/>
      <c r="DK847" s="309"/>
      <c r="DL847" s="293"/>
      <c r="DM847" s="326"/>
      <c r="DN847" s="1256"/>
      <c r="DO847" s="214"/>
      <c r="DP847" s="1257"/>
      <c r="DQ847" s="1258"/>
      <c r="DR847" s="305"/>
      <c r="DS847" s="249"/>
      <c r="DT847" s="216"/>
      <c r="DU847" s="305"/>
      <c r="DV847" s="2520"/>
      <c r="DW847" s="2521"/>
      <c r="DX847" s="305"/>
      <c r="DY847" s="249"/>
      <c r="DZ847" s="221"/>
      <c r="EA847" s="388"/>
      <c r="EB847" s="249"/>
      <c r="EC847" s="216"/>
      <c r="ED847" s="1461"/>
      <c r="EE847" s="249"/>
      <c r="EF847" s="216"/>
      <c r="EG847" s="355"/>
      <c r="EH847" s="1425"/>
      <c r="EI847" s="1470"/>
      <c r="EJ847" s="249"/>
      <c r="EK847" s="221"/>
      <c r="EL847" s="313"/>
      <c r="EM847" s="249"/>
      <c r="EN847" s="221"/>
      <c r="EO847" s="313"/>
      <c r="EP847" s="249"/>
      <c r="EQ847" s="216"/>
      <c r="ER847" s="313"/>
      <c r="ES847" s="249"/>
      <c r="ET847" s="216"/>
      <c r="EU847" s="313"/>
      <c r="EV847" s="249"/>
      <c r="EW847" s="216"/>
      <c r="EX847" s="2505"/>
      <c r="EY847" s="249"/>
      <c r="EZ847" s="221"/>
      <c r="FA847" s="313"/>
      <c r="FB847" s="249"/>
      <c r="FC847" s="221"/>
      <c r="FD847" s="313"/>
      <c r="FE847" s="249"/>
      <c r="FF847" s="221"/>
      <c r="FG847" s="313"/>
      <c r="FH847" s="249"/>
      <c r="FI847" s="216"/>
      <c r="FJ847" s="1435"/>
      <c r="FK847" s="216"/>
      <c r="FL847" s="1268"/>
      <c r="FM847" s="1655"/>
      <c r="FN847" s="1268"/>
      <c r="FO847" s="1655"/>
      <c r="FP847" s="1268"/>
      <c r="FQ847" s="1656"/>
      <c r="FR847" s="249"/>
      <c r="FS847" s="216"/>
      <c r="FT847" s="1657"/>
      <c r="FU847" s="1658"/>
      <c r="FV847" s="242"/>
      <c r="FW847" s="343"/>
      <c r="FX847" s="222"/>
      <c r="FY847" s="336"/>
      <c r="FZ847" s="223"/>
      <c r="GA847" s="338"/>
      <c r="GB847" s="204"/>
      <c r="GC847" s="339"/>
      <c r="GD847" s="342"/>
      <c r="GE847" s="199"/>
      <c r="GF847" s="199"/>
      <c r="GG847" s="199"/>
      <c r="GH847" s="199"/>
      <c r="GI847" s="199"/>
      <c r="GJ847" s="199"/>
      <c r="GK847" s="199"/>
      <c r="GO847" s="322"/>
      <c r="GP847" s="1190"/>
      <c r="GQ847" s="1190"/>
      <c r="GS847" s="2879"/>
      <c r="GT847" s="2880"/>
      <c r="GU847" s="2881"/>
    </row>
    <row r="848" spans="1:203" ht="12" customHeight="1">
      <c r="A848" s="1252"/>
      <c r="B848" s="200"/>
      <c r="C848" s="486"/>
      <c r="T848" s="1186"/>
      <c r="U848" s="233"/>
      <c r="W848" s="218"/>
      <c r="X848" s="218"/>
      <c r="Y848" s="216"/>
      <c r="Z848" s="216"/>
      <c r="AA848" s="215"/>
      <c r="AB848" s="216"/>
      <c r="AC848" s="216"/>
      <c r="AD848" s="239"/>
      <c r="AE848" s="216"/>
      <c r="AF848" s="216"/>
      <c r="AG848" s="216"/>
      <c r="AH848" s="216"/>
      <c r="AI848" s="216"/>
      <c r="AJ848" s="216"/>
      <c r="AK848" s="239"/>
      <c r="AL848" s="216"/>
      <c r="AM848" s="216"/>
      <c r="AN848" s="216"/>
      <c r="AO848" s="216"/>
      <c r="AP848" s="216"/>
      <c r="AQ848" s="216"/>
      <c r="AR848" s="216"/>
      <c r="AS848" s="216"/>
      <c r="AT848" s="216"/>
      <c r="AU848" s="216"/>
      <c r="AV848" s="217"/>
      <c r="AW848" s="355"/>
      <c r="AX848" s="217"/>
      <c r="AY848" s="305"/>
      <c r="AZ848" s="249"/>
      <c r="BA848" s="221"/>
      <c r="BB848" s="300"/>
      <c r="BC848" s="217"/>
      <c r="BD848" s="392"/>
      <c r="BE848" s="1244"/>
      <c r="BF848" s="249"/>
      <c r="BG848" s="252"/>
      <c r="BH848" s="1469"/>
      <c r="BI848" s="216"/>
      <c r="BJ848" s="1469"/>
      <c r="BK848" s="1459"/>
      <c r="BL848" s="260"/>
      <c r="BM848" s="214"/>
      <c r="BN848" s="293"/>
      <c r="BO848" s="217"/>
      <c r="BP848" s="355"/>
      <c r="BQ848" s="217"/>
      <c r="BR848" s="1193"/>
      <c r="BS848" s="249"/>
      <c r="BT848" s="216"/>
      <c r="BU848" s="1195"/>
      <c r="BV848" s="249"/>
      <c r="BW848" s="216"/>
      <c r="BX848" s="1195"/>
      <c r="BY848" s="249"/>
      <c r="BZ848" s="216"/>
      <c r="CA848" s="1195"/>
      <c r="CB848" s="249"/>
      <c r="CC848" s="216"/>
      <c r="CD848" s="1195"/>
      <c r="CE848" s="249"/>
      <c r="CF848" s="216"/>
      <c r="CG848" s="1195"/>
      <c r="CH848" s="249"/>
      <c r="CI848" s="216"/>
      <c r="CJ848" s="1195"/>
      <c r="CK848" s="249"/>
      <c r="CL848" s="216"/>
      <c r="CM848" s="1194"/>
      <c r="CN848" s="1524"/>
      <c r="CO848" s="217"/>
      <c r="CP848" s="1193"/>
      <c r="CQ848" s="293"/>
      <c r="CR848" s="217"/>
      <c r="CS848" s="305"/>
      <c r="CT848" s="249"/>
      <c r="CU848" s="216"/>
      <c r="CV848" s="1193"/>
      <c r="CW848" s="249"/>
      <c r="CX848" s="216"/>
      <c r="CY848" s="305"/>
      <c r="CZ848" s="249"/>
      <c r="DA848" s="216"/>
      <c r="DB848" s="307"/>
      <c r="DC848" s="328"/>
      <c r="DD848" s="322"/>
      <c r="DE848" s="305"/>
      <c r="DF848" s="249"/>
      <c r="DG848" s="216"/>
      <c r="DH848" s="305"/>
      <c r="DI848" s="249"/>
      <c r="DJ848" s="216"/>
      <c r="DK848" s="309"/>
      <c r="DL848" s="293"/>
      <c r="DM848" s="326"/>
      <c r="DN848" s="1256"/>
      <c r="DO848" s="214"/>
      <c r="DP848" s="1257"/>
      <c r="DQ848" s="1258"/>
      <c r="DR848" s="305"/>
      <c r="DS848" s="249"/>
      <c r="DT848" s="216"/>
      <c r="DU848" s="305"/>
      <c r="DV848" s="2520"/>
      <c r="DW848" s="2521"/>
      <c r="DX848" s="305"/>
      <c r="DY848" s="249"/>
      <c r="DZ848" s="221"/>
      <c r="EA848" s="388"/>
      <c r="EB848" s="249"/>
      <c r="EC848" s="216"/>
      <c r="ED848" s="1461"/>
      <c r="EE848" s="249"/>
      <c r="EF848" s="216"/>
      <c r="EG848" s="355"/>
      <c r="EH848" s="1425"/>
      <c r="EI848" s="1470"/>
      <c r="EJ848" s="249"/>
      <c r="EK848" s="221"/>
      <c r="EL848" s="313"/>
      <c r="EM848" s="249"/>
      <c r="EN848" s="221"/>
      <c r="EO848" s="313"/>
      <c r="EP848" s="249"/>
      <c r="EQ848" s="216"/>
      <c r="ER848" s="313"/>
      <c r="ES848" s="249"/>
      <c r="ET848" s="216"/>
      <c r="EU848" s="313"/>
      <c r="EV848" s="249"/>
      <c r="EW848" s="216"/>
      <c r="EX848" s="2505"/>
      <c r="EY848" s="249"/>
      <c r="EZ848" s="221"/>
      <c r="FA848" s="313"/>
      <c r="FB848" s="249"/>
      <c r="FC848" s="221"/>
      <c r="FD848" s="313"/>
      <c r="FE848" s="249"/>
      <c r="FF848" s="221"/>
      <c r="FG848" s="313"/>
      <c r="FH848" s="249"/>
      <c r="FI848" s="216"/>
      <c r="FJ848" s="1435"/>
      <c r="FK848" s="216"/>
      <c r="FL848" s="1268"/>
      <c r="FM848" s="1655"/>
      <c r="FN848" s="1268"/>
      <c r="FO848" s="1655"/>
      <c r="FP848" s="1268"/>
      <c r="FQ848" s="1656"/>
      <c r="FR848" s="249"/>
      <c r="FS848" s="216"/>
      <c r="FT848" s="1657"/>
      <c r="FU848" s="1658"/>
      <c r="FV848" s="242"/>
      <c r="FW848" s="343"/>
      <c r="FX848" s="222"/>
      <c r="FY848" s="336"/>
      <c r="FZ848" s="223"/>
      <c r="GA848" s="338"/>
      <c r="GB848" s="204"/>
      <c r="GC848" s="339"/>
      <c r="GD848" s="342"/>
      <c r="GE848" s="199"/>
      <c r="GF848" s="199"/>
      <c r="GG848" s="199"/>
      <c r="GH848" s="199"/>
      <c r="GI848" s="199"/>
      <c r="GJ848" s="199"/>
      <c r="GK848" s="199"/>
      <c r="GO848" s="322"/>
      <c r="GP848" s="1190"/>
      <c r="GQ848" s="1190"/>
      <c r="GS848" s="2879"/>
      <c r="GT848" s="2880"/>
      <c r="GU848" s="2881"/>
    </row>
    <row r="849" spans="1:203" ht="12" customHeight="1">
      <c r="A849" s="1252"/>
      <c r="B849" s="200"/>
      <c r="C849" s="486"/>
      <c r="T849" s="1186"/>
      <c r="U849" s="233"/>
      <c r="W849" s="218"/>
      <c r="X849" s="218"/>
      <c r="Y849" s="216"/>
      <c r="Z849" s="216"/>
      <c r="AA849" s="215"/>
      <c r="AB849" s="216"/>
      <c r="AC849" s="216"/>
      <c r="AD849" s="239"/>
      <c r="AE849" s="216"/>
      <c r="AF849" s="216"/>
      <c r="AG849" s="216"/>
      <c r="AH849" s="216"/>
      <c r="AI849" s="216"/>
      <c r="AJ849" s="216"/>
      <c r="AK849" s="239"/>
      <c r="AL849" s="216"/>
      <c r="AM849" s="216"/>
      <c r="AN849" s="216"/>
      <c r="AO849" s="216"/>
      <c r="AP849" s="216"/>
      <c r="AQ849" s="216"/>
      <c r="AR849" s="216"/>
      <c r="AS849" s="216"/>
      <c r="AT849" s="216"/>
      <c r="AU849" s="216"/>
      <c r="AV849" s="217"/>
      <c r="AW849" s="355"/>
      <c r="AX849" s="217"/>
      <c r="AY849" s="305"/>
      <c r="AZ849" s="249"/>
      <c r="BA849" s="221"/>
      <c r="BB849" s="300"/>
      <c r="BC849" s="217"/>
      <c r="BD849" s="392"/>
      <c r="BE849" s="1244"/>
      <c r="BF849" s="249"/>
      <c r="BG849" s="252"/>
      <c r="BH849" s="1469"/>
      <c r="BI849" s="216"/>
      <c r="BJ849" s="1469"/>
      <c r="BK849" s="1459"/>
      <c r="BL849" s="260"/>
      <c r="BM849" s="214"/>
      <c r="BN849" s="293"/>
      <c r="BO849" s="217"/>
      <c r="BP849" s="355"/>
      <c r="BQ849" s="217"/>
      <c r="BR849" s="1193"/>
      <c r="BS849" s="249"/>
      <c r="BT849" s="216"/>
      <c r="BU849" s="1195"/>
      <c r="BV849" s="249"/>
      <c r="BW849" s="216"/>
      <c r="BX849" s="1195"/>
      <c r="BY849" s="249"/>
      <c r="BZ849" s="216"/>
      <c r="CA849" s="1195"/>
      <c r="CB849" s="249"/>
      <c r="CC849" s="216"/>
      <c r="CD849" s="1195"/>
      <c r="CE849" s="249"/>
      <c r="CF849" s="216"/>
      <c r="CG849" s="1195"/>
      <c r="CH849" s="249"/>
      <c r="CI849" s="216"/>
      <c r="CJ849" s="1195"/>
      <c r="CK849" s="249"/>
      <c r="CL849" s="216"/>
      <c r="CM849" s="1194"/>
      <c r="CN849" s="1524"/>
      <c r="CO849" s="217"/>
      <c r="CP849" s="1193"/>
      <c r="CQ849" s="293"/>
      <c r="CR849" s="217"/>
      <c r="CS849" s="305"/>
      <c r="CT849" s="249"/>
      <c r="CU849" s="216"/>
      <c r="CV849" s="1193"/>
      <c r="CW849" s="249"/>
      <c r="CX849" s="216"/>
      <c r="CY849" s="305"/>
      <c r="CZ849" s="249"/>
      <c r="DA849" s="216"/>
      <c r="DB849" s="307"/>
      <c r="DC849" s="328"/>
      <c r="DD849" s="322"/>
      <c r="DE849" s="305"/>
      <c r="DF849" s="249"/>
      <c r="DG849" s="216"/>
      <c r="DH849" s="305"/>
      <c r="DI849" s="249"/>
      <c r="DJ849" s="216"/>
      <c r="DK849" s="309"/>
      <c r="DL849" s="293"/>
      <c r="DM849" s="326"/>
      <c r="DN849" s="1256"/>
      <c r="DO849" s="214"/>
      <c r="DP849" s="1257"/>
      <c r="DQ849" s="1258"/>
      <c r="DR849" s="305"/>
      <c r="DS849" s="249"/>
      <c r="DT849" s="216"/>
      <c r="DU849" s="305"/>
      <c r="DV849" s="2520"/>
      <c r="DW849" s="2521"/>
      <c r="DX849" s="305"/>
      <c r="DY849" s="249"/>
      <c r="DZ849" s="221"/>
      <c r="EA849" s="388"/>
      <c r="EB849" s="249"/>
      <c r="EC849" s="216"/>
      <c r="ED849" s="1461"/>
      <c r="EE849" s="249"/>
      <c r="EF849" s="216"/>
      <c r="EG849" s="355"/>
      <c r="EH849" s="1425"/>
      <c r="EI849" s="1470"/>
      <c r="EJ849" s="249"/>
      <c r="EK849" s="221"/>
      <c r="EL849" s="313"/>
      <c r="EM849" s="249"/>
      <c r="EN849" s="221"/>
      <c r="EO849" s="313"/>
      <c r="EP849" s="249"/>
      <c r="EQ849" s="216"/>
      <c r="ER849" s="313"/>
      <c r="ES849" s="249"/>
      <c r="ET849" s="216"/>
      <c r="EU849" s="313"/>
      <c r="EV849" s="249"/>
      <c r="EW849" s="216"/>
      <c r="EX849" s="2505"/>
      <c r="EY849" s="249"/>
      <c r="EZ849" s="221"/>
      <c r="FA849" s="313"/>
      <c r="FB849" s="249"/>
      <c r="FC849" s="221"/>
      <c r="FD849" s="313"/>
      <c r="FE849" s="249"/>
      <c r="FF849" s="221"/>
      <c r="FG849" s="313"/>
      <c r="FH849" s="249"/>
      <c r="FI849" s="216"/>
      <c r="FJ849" s="1435"/>
      <c r="FK849" s="216"/>
      <c r="FL849" s="1268"/>
      <c r="FM849" s="1655"/>
      <c r="FN849" s="1268"/>
      <c r="FO849" s="1655"/>
      <c r="FP849" s="1268"/>
      <c r="FQ849" s="1656"/>
      <c r="FR849" s="249"/>
      <c r="FS849" s="216"/>
      <c r="FT849" s="1657"/>
      <c r="FU849" s="1658"/>
      <c r="FV849" s="242"/>
      <c r="FW849" s="343"/>
      <c r="FX849" s="222"/>
      <c r="FY849" s="336"/>
      <c r="FZ849" s="223"/>
      <c r="GA849" s="338"/>
      <c r="GB849" s="204"/>
      <c r="GC849" s="339"/>
      <c r="GD849" s="342"/>
      <c r="GE849" s="199"/>
      <c r="GF849" s="199"/>
      <c r="GG849" s="199"/>
      <c r="GH849" s="199"/>
      <c r="GI849" s="199"/>
      <c r="GJ849" s="199"/>
      <c r="GK849" s="199"/>
      <c r="GO849" s="322"/>
      <c r="GP849" s="1190"/>
      <c r="GQ849" s="1190"/>
      <c r="GS849" s="2879"/>
      <c r="GT849" s="2880"/>
      <c r="GU849" s="2881"/>
    </row>
    <row r="850" spans="1:203" ht="12" customHeight="1">
      <c r="A850" s="1252"/>
      <c r="B850" s="200"/>
      <c r="C850" s="486"/>
      <c r="T850" s="1186"/>
      <c r="U850" s="233"/>
      <c r="W850" s="218"/>
      <c r="X850" s="218"/>
      <c r="Y850" s="216"/>
      <c r="Z850" s="216"/>
      <c r="AA850" s="215"/>
      <c r="AB850" s="216"/>
      <c r="AC850" s="216"/>
      <c r="AD850" s="239"/>
      <c r="AE850" s="216"/>
      <c r="AF850" s="216"/>
      <c r="AG850" s="216"/>
      <c r="AH850" s="216"/>
      <c r="AI850" s="216"/>
      <c r="AJ850" s="216"/>
      <c r="AK850" s="239"/>
      <c r="AL850" s="216"/>
      <c r="AM850" s="216"/>
      <c r="AN850" s="216"/>
      <c r="AO850" s="216"/>
      <c r="AP850" s="216"/>
      <c r="AQ850" s="216"/>
      <c r="AR850" s="216"/>
      <c r="AS850" s="216"/>
      <c r="AT850" s="216"/>
      <c r="AU850" s="216"/>
      <c r="AV850" s="217"/>
      <c r="AW850" s="355"/>
      <c r="AX850" s="217"/>
      <c r="AY850" s="305"/>
      <c r="AZ850" s="249"/>
      <c r="BA850" s="221"/>
      <c r="BB850" s="300"/>
      <c r="BC850" s="217"/>
      <c r="BD850" s="392"/>
      <c r="BE850" s="1244"/>
      <c r="BF850" s="249"/>
      <c r="BG850" s="252"/>
      <c r="BH850" s="1469"/>
      <c r="BI850" s="216"/>
      <c r="BJ850" s="1469"/>
      <c r="BK850" s="1459"/>
      <c r="BL850" s="260"/>
      <c r="BM850" s="214"/>
      <c r="BN850" s="293"/>
      <c r="BO850" s="217"/>
      <c r="BP850" s="355"/>
      <c r="BQ850" s="217"/>
      <c r="BR850" s="1193"/>
      <c r="BS850" s="249"/>
      <c r="BT850" s="216"/>
      <c r="BU850" s="1195"/>
      <c r="BV850" s="249"/>
      <c r="BW850" s="216"/>
      <c r="BX850" s="1195"/>
      <c r="BY850" s="249"/>
      <c r="BZ850" s="216"/>
      <c r="CA850" s="1195"/>
      <c r="CB850" s="249"/>
      <c r="CC850" s="216"/>
      <c r="CD850" s="1195"/>
      <c r="CE850" s="249"/>
      <c r="CF850" s="216"/>
      <c r="CG850" s="1195"/>
      <c r="CH850" s="249"/>
      <c r="CI850" s="216"/>
      <c r="CJ850" s="1195"/>
      <c r="CK850" s="249"/>
      <c r="CL850" s="216"/>
      <c r="CM850" s="1194"/>
      <c r="CN850" s="1524"/>
      <c r="CO850" s="217"/>
      <c r="CP850" s="1193"/>
      <c r="CQ850" s="293"/>
      <c r="CR850" s="217"/>
      <c r="CS850" s="305"/>
      <c r="CT850" s="249"/>
      <c r="CU850" s="216"/>
      <c r="CV850" s="1193"/>
      <c r="CW850" s="249"/>
      <c r="CX850" s="216"/>
      <c r="CY850" s="305"/>
      <c r="CZ850" s="249"/>
      <c r="DA850" s="216"/>
      <c r="DB850" s="307"/>
      <c r="DC850" s="328"/>
      <c r="DD850" s="322"/>
      <c r="DE850" s="305"/>
      <c r="DF850" s="249"/>
      <c r="DG850" s="216"/>
      <c r="DH850" s="305"/>
      <c r="DI850" s="249"/>
      <c r="DJ850" s="216"/>
      <c r="DK850" s="309"/>
      <c r="DL850" s="293"/>
      <c r="DM850" s="326"/>
      <c r="DN850" s="1256"/>
      <c r="DO850" s="214"/>
      <c r="DP850" s="1257"/>
      <c r="DQ850" s="1258"/>
      <c r="DR850" s="305"/>
      <c r="DS850" s="249"/>
      <c r="DT850" s="216"/>
      <c r="DU850" s="305"/>
      <c r="DV850" s="2520"/>
      <c r="DW850" s="2521"/>
      <c r="DX850" s="305"/>
      <c r="DY850" s="249"/>
      <c r="DZ850" s="221"/>
      <c r="EA850" s="388"/>
      <c r="EB850" s="249"/>
      <c r="EC850" s="216"/>
      <c r="ED850" s="1461"/>
      <c r="EE850" s="249"/>
      <c r="EF850" s="216"/>
      <c r="EG850" s="355"/>
      <c r="EH850" s="1425"/>
      <c r="EI850" s="1470"/>
      <c r="EJ850" s="249"/>
      <c r="EK850" s="221"/>
      <c r="EL850" s="313"/>
      <c r="EM850" s="249"/>
      <c r="EN850" s="221"/>
      <c r="EO850" s="313"/>
      <c r="EP850" s="249"/>
      <c r="EQ850" s="216"/>
      <c r="ER850" s="313"/>
      <c r="ES850" s="249"/>
      <c r="ET850" s="216"/>
      <c r="EU850" s="313"/>
      <c r="EV850" s="249"/>
      <c r="EW850" s="216"/>
      <c r="EX850" s="2505"/>
      <c r="EY850" s="249"/>
      <c r="EZ850" s="221"/>
      <c r="FA850" s="313"/>
      <c r="FB850" s="249"/>
      <c r="FC850" s="221"/>
      <c r="FD850" s="313"/>
      <c r="FE850" s="249"/>
      <c r="FF850" s="221"/>
      <c r="FG850" s="313"/>
      <c r="FH850" s="249"/>
      <c r="FI850" s="216"/>
      <c r="FJ850" s="1435"/>
      <c r="FK850" s="216"/>
      <c r="FL850" s="1268"/>
      <c r="FM850" s="1655"/>
      <c r="FN850" s="1268"/>
      <c r="FO850" s="1655"/>
      <c r="FP850" s="1268"/>
      <c r="FQ850" s="1656"/>
      <c r="FR850" s="249"/>
      <c r="FS850" s="216"/>
      <c r="FT850" s="1657"/>
      <c r="FU850" s="1658"/>
      <c r="FV850" s="242"/>
      <c r="FW850" s="343"/>
      <c r="FX850" s="222"/>
      <c r="FY850" s="336"/>
      <c r="FZ850" s="223"/>
      <c r="GA850" s="338"/>
      <c r="GB850" s="204"/>
      <c r="GC850" s="339"/>
      <c r="GD850" s="342"/>
      <c r="GE850" s="199"/>
      <c r="GF850" s="199"/>
      <c r="GG850" s="199"/>
      <c r="GH850" s="199"/>
      <c r="GI850" s="199"/>
      <c r="GJ850" s="199"/>
      <c r="GK850" s="199"/>
      <c r="GO850" s="322"/>
      <c r="GP850" s="1190"/>
      <c r="GQ850" s="1190"/>
      <c r="GS850" s="2879"/>
      <c r="GT850" s="2880"/>
      <c r="GU850" s="2881"/>
    </row>
    <row r="851" spans="1:203" ht="12" customHeight="1">
      <c r="A851" s="1252"/>
      <c r="B851" s="200"/>
      <c r="C851" s="486"/>
      <c r="T851" s="1186"/>
      <c r="U851" s="233"/>
      <c r="W851" s="218"/>
      <c r="X851" s="218"/>
      <c r="Y851" s="216"/>
      <c r="Z851" s="216"/>
      <c r="AA851" s="215"/>
      <c r="AB851" s="216"/>
      <c r="AC851" s="216"/>
      <c r="AD851" s="239"/>
      <c r="AE851" s="216"/>
      <c r="AF851" s="216"/>
      <c r="AG851" s="216"/>
      <c r="AH851" s="216"/>
      <c r="AI851" s="216"/>
      <c r="AJ851" s="216"/>
      <c r="AK851" s="239"/>
      <c r="AL851" s="216"/>
      <c r="AM851" s="216"/>
      <c r="AN851" s="216"/>
      <c r="AO851" s="216"/>
      <c r="AP851" s="216"/>
      <c r="AQ851" s="216"/>
      <c r="AR851" s="216"/>
      <c r="AS851" s="216"/>
      <c r="AT851" s="216"/>
      <c r="AU851" s="216"/>
      <c r="AV851" s="217"/>
      <c r="AW851" s="355"/>
      <c r="AX851" s="217"/>
      <c r="AY851" s="305"/>
      <c r="AZ851" s="249"/>
      <c r="BA851" s="221"/>
      <c r="BB851" s="300"/>
      <c r="BC851" s="217"/>
      <c r="BD851" s="392"/>
      <c r="BE851" s="1244"/>
      <c r="BF851" s="249"/>
      <c r="BG851" s="252"/>
      <c r="BH851" s="1469"/>
      <c r="BI851" s="216"/>
      <c r="BJ851" s="1469"/>
      <c r="BK851" s="1459"/>
      <c r="BL851" s="260"/>
      <c r="BM851" s="214"/>
      <c r="BN851" s="293"/>
      <c r="BO851" s="217"/>
      <c r="BP851" s="355"/>
      <c r="BQ851" s="217"/>
      <c r="BR851" s="1193"/>
      <c r="BS851" s="249"/>
      <c r="BT851" s="216"/>
      <c r="BU851" s="1195"/>
      <c r="BV851" s="249"/>
      <c r="BW851" s="216"/>
      <c r="BX851" s="1195"/>
      <c r="BY851" s="249"/>
      <c r="BZ851" s="216"/>
      <c r="CA851" s="1195"/>
      <c r="CB851" s="249"/>
      <c r="CC851" s="216"/>
      <c r="CD851" s="1195"/>
      <c r="CE851" s="249"/>
      <c r="CF851" s="216"/>
      <c r="CG851" s="1195"/>
      <c r="CH851" s="249"/>
      <c r="CI851" s="216"/>
      <c r="CJ851" s="1195"/>
      <c r="CK851" s="249"/>
      <c r="CL851" s="216"/>
      <c r="CM851" s="1194"/>
      <c r="CN851" s="1524"/>
      <c r="CO851" s="217"/>
      <c r="CP851" s="1193"/>
      <c r="CQ851" s="293"/>
      <c r="CR851" s="217"/>
      <c r="CS851" s="305"/>
      <c r="CT851" s="249"/>
      <c r="CU851" s="216"/>
      <c r="CV851" s="1193"/>
      <c r="CW851" s="249"/>
      <c r="CX851" s="216"/>
      <c r="CY851" s="305"/>
      <c r="CZ851" s="249"/>
      <c r="DA851" s="216"/>
      <c r="DB851" s="307"/>
      <c r="DC851" s="328"/>
      <c r="DD851" s="322"/>
      <c r="DE851" s="305"/>
      <c r="DF851" s="249"/>
      <c r="DG851" s="216"/>
      <c r="DH851" s="305"/>
      <c r="DI851" s="249"/>
      <c r="DJ851" s="216"/>
      <c r="DK851" s="309"/>
      <c r="DL851" s="293"/>
      <c r="DM851" s="326"/>
      <c r="DN851" s="1256"/>
      <c r="DO851" s="214"/>
      <c r="DP851" s="1257"/>
      <c r="DQ851" s="1258"/>
      <c r="DR851" s="305"/>
      <c r="DS851" s="249"/>
      <c r="DT851" s="216"/>
      <c r="DU851" s="305"/>
      <c r="DV851" s="2520"/>
      <c r="DW851" s="2521"/>
      <c r="DX851" s="305"/>
      <c r="DY851" s="249"/>
      <c r="DZ851" s="221"/>
      <c r="EA851" s="388"/>
      <c r="EB851" s="249"/>
      <c r="EC851" s="216"/>
      <c r="ED851" s="1461"/>
      <c r="EE851" s="249"/>
      <c r="EF851" s="216"/>
      <c r="EG851" s="355"/>
      <c r="EH851" s="1425"/>
      <c r="EI851" s="1470"/>
      <c r="EJ851" s="249"/>
      <c r="EK851" s="221"/>
      <c r="EL851" s="313"/>
      <c r="EM851" s="249"/>
      <c r="EN851" s="221"/>
      <c r="EO851" s="313"/>
      <c r="EP851" s="249"/>
      <c r="EQ851" s="216"/>
      <c r="ER851" s="313"/>
      <c r="ES851" s="249"/>
      <c r="ET851" s="216"/>
      <c r="EU851" s="313"/>
      <c r="EV851" s="249"/>
      <c r="EW851" s="216"/>
      <c r="EX851" s="2505"/>
      <c r="EY851" s="249"/>
      <c r="EZ851" s="221"/>
      <c r="FA851" s="313"/>
      <c r="FB851" s="249"/>
      <c r="FC851" s="221"/>
      <c r="FD851" s="313"/>
      <c r="FE851" s="249"/>
      <c r="FF851" s="221"/>
      <c r="FG851" s="313"/>
      <c r="FH851" s="249"/>
      <c r="FI851" s="216"/>
      <c r="FJ851" s="1435"/>
      <c r="FK851" s="216"/>
      <c r="FL851" s="1268"/>
      <c r="FM851" s="1655"/>
      <c r="FN851" s="1268"/>
      <c r="FO851" s="1655"/>
      <c r="FP851" s="1268"/>
      <c r="FQ851" s="1656"/>
      <c r="FR851" s="249"/>
      <c r="FS851" s="216"/>
      <c r="FT851" s="1657"/>
      <c r="FU851" s="1658"/>
      <c r="FV851" s="242"/>
      <c r="FW851" s="343"/>
      <c r="FX851" s="222"/>
      <c r="FY851" s="336"/>
      <c r="FZ851" s="223"/>
      <c r="GA851" s="338"/>
      <c r="GB851" s="204"/>
      <c r="GC851" s="339"/>
      <c r="GD851" s="342"/>
      <c r="GE851" s="199"/>
      <c r="GF851" s="199"/>
      <c r="GG851" s="199"/>
      <c r="GH851" s="199"/>
      <c r="GI851" s="199"/>
      <c r="GJ851" s="199"/>
      <c r="GK851" s="199"/>
      <c r="GO851" s="322"/>
      <c r="GP851" s="1190"/>
      <c r="GQ851" s="1190"/>
      <c r="GS851" s="2879"/>
      <c r="GT851" s="2880"/>
      <c r="GU851" s="2881"/>
    </row>
    <row r="852" spans="1:203" ht="12" customHeight="1">
      <c r="A852" s="1252"/>
      <c r="B852" s="200"/>
      <c r="C852" s="486"/>
      <c r="T852" s="1186"/>
      <c r="U852" s="233"/>
      <c r="W852" s="218"/>
      <c r="X852" s="218"/>
      <c r="Y852" s="216"/>
      <c r="Z852" s="216"/>
      <c r="AA852" s="215"/>
      <c r="AB852" s="216"/>
      <c r="AC852" s="216"/>
      <c r="AD852" s="239"/>
      <c r="AE852" s="216"/>
      <c r="AF852" s="216"/>
      <c r="AG852" s="216"/>
      <c r="AH852" s="216"/>
      <c r="AI852" s="216"/>
      <c r="AJ852" s="216"/>
      <c r="AK852" s="239"/>
      <c r="AL852" s="216"/>
      <c r="AM852" s="216"/>
      <c r="AN852" s="216"/>
      <c r="AO852" s="216"/>
      <c r="AP852" s="216"/>
      <c r="AQ852" s="216"/>
      <c r="AR852" s="216"/>
      <c r="AS852" s="216"/>
      <c r="AT852" s="216"/>
      <c r="AU852" s="216"/>
      <c r="AV852" s="217"/>
      <c r="AW852" s="355"/>
      <c r="AX852" s="217"/>
      <c r="AY852" s="305"/>
      <c r="AZ852" s="249"/>
      <c r="BA852" s="221"/>
      <c r="BB852" s="300"/>
      <c r="BC852" s="217"/>
      <c r="BD852" s="392"/>
      <c r="BE852" s="1244"/>
      <c r="BF852" s="249"/>
      <c r="BG852" s="252"/>
      <c r="BH852" s="1469"/>
      <c r="BI852" s="216"/>
      <c r="BJ852" s="1469"/>
      <c r="BK852" s="1459"/>
      <c r="BL852" s="260"/>
      <c r="BM852" s="214"/>
      <c r="BN852" s="293"/>
      <c r="BO852" s="217"/>
      <c r="BP852" s="355"/>
      <c r="BQ852" s="217"/>
      <c r="BR852" s="1193"/>
      <c r="BS852" s="249"/>
      <c r="BT852" s="216"/>
      <c r="BU852" s="1195"/>
      <c r="BV852" s="249"/>
      <c r="BW852" s="216"/>
      <c r="BX852" s="1195"/>
      <c r="BY852" s="249"/>
      <c r="BZ852" s="216"/>
      <c r="CA852" s="1195"/>
      <c r="CB852" s="249"/>
      <c r="CC852" s="216"/>
      <c r="CD852" s="1195"/>
      <c r="CE852" s="249"/>
      <c r="CF852" s="216"/>
      <c r="CG852" s="1195"/>
      <c r="CH852" s="249"/>
      <c r="CI852" s="216"/>
      <c r="CJ852" s="1195"/>
      <c r="CK852" s="249"/>
      <c r="CL852" s="216"/>
      <c r="CM852" s="1194"/>
      <c r="CN852" s="1524"/>
      <c r="CO852" s="217"/>
      <c r="CP852" s="1193"/>
      <c r="CQ852" s="293"/>
      <c r="CR852" s="217"/>
      <c r="CS852" s="305"/>
      <c r="CT852" s="249"/>
      <c r="CU852" s="216"/>
      <c r="CV852" s="1193"/>
      <c r="CW852" s="249"/>
      <c r="CX852" s="216"/>
      <c r="CY852" s="305"/>
      <c r="CZ852" s="249"/>
      <c r="DA852" s="216"/>
      <c r="DB852" s="307"/>
      <c r="DC852" s="328"/>
      <c r="DD852" s="322"/>
      <c r="DE852" s="305"/>
      <c r="DF852" s="249"/>
      <c r="DG852" s="216"/>
      <c r="DH852" s="305"/>
      <c r="DI852" s="249"/>
      <c r="DJ852" s="216"/>
      <c r="DK852" s="309"/>
      <c r="DL852" s="293"/>
      <c r="DM852" s="326"/>
      <c r="DN852" s="1256"/>
      <c r="DO852" s="214"/>
      <c r="DP852" s="1257"/>
      <c r="DQ852" s="1258"/>
      <c r="DR852" s="305"/>
      <c r="DS852" s="249"/>
      <c r="DT852" s="216"/>
      <c r="DU852" s="305"/>
      <c r="DV852" s="2520"/>
      <c r="DW852" s="2521"/>
      <c r="DX852" s="305"/>
      <c r="DY852" s="249"/>
      <c r="DZ852" s="221"/>
      <c r="EA852" s="388"/>
      <c r="EB852" s="249"/>
      <c r="EC852" s="216"/>
      <c r="ED852" s="1461"/>
      <c r="EE852" s="249"/>
      <c r="EF852" s="216"/>
      <c r="EG852" s="355"/>
      <c r="EH852" s="1425"/>
      <c r="EI852" s="1470"/>
      <c r="EJ852" s="249"/>
      <c r="EK852" s="221"/>
      <c r="EL852" s="313"/>
      <c r="EM852" s="249"/>
      <c r="EN852" s="221"/>
      <c r="EO852" s="313"/>
      <c r="EP852" s="249"/>
      <c r="EQ852" s="216"/>
      <c r="ER852" s="313"/>
      <c r="ES852" s="249"/>
      <c r="ET852" s="216"/>
      <c r="EU852" s="313"/>
      <c r="EV852" s="249"/>
      <c r="EW852" s="216"/>
      <c r="EX852" s="2505"/>
      <c r="EY852" s="249"/>
      <c r="EZ852" s="221"/>
      <c r="FA852" s="313"/>
      <c r="FB852" s="249"/>
      <c r="FC852" s="221"/>
      <c r="FD852" s="313"/>
      <c r="FE852" s="249"/>
      <c r="FF852" s="221"/>
      <c r="FG852" s="313"/>
      <c r="FH852" s="249"/>
      <c r="FI852" s="216"/>
      <c r="FJ852" s="1435"/>
      <c r="FK852" s="216"/>
      <c r="FL852" s="1268"/>
      <c r="FM852" s="1655"/>
      <c r="FN852" s="1268"/>
      <c r="FO852" s="1655"/>
      <c r="FP852" s="1268"/>
      <c r="FQ852" s="1656"/>
      <c r="FR852" s="249"/>
      <c r="FS852" s="216"/>
      <c r="FT852" s="1657"/>
      <c r="FU852" s="1658"/>
      <c r="FV852" s="242"/>
      <c r="FW852" s="343"/>
      <c r="FX852" s="222"/>
      <c r="FY852" s="336"/>
      <c r="FZ852" s="223"/>
      <c r="GA852" s="338"/>
      <c r="GB852" s="204"/>
      <c r="GC852" s="339"/>
      <c r="GD852" s="342"/>
      <c r="GE852" s="199"/>
      <c r="GF852" s="199"/>
      <c r="GG852" s="199"/>
      <c r="GH852" s="199"/>
      <c r="GI852" s="199"/>
      <c r="GJ852" s="199"/>
      <c r="GK852" s="199"/>
      <c r="GO852" s="322"/>
      <c r="GP852" s="1190"/>
      <c r="GQ852" s="1190"/>
      <c r="GS852" s="2879"/>
      <c r="GT852" s="2880"/>
      <c r="GU852" s="2881"/>
    </row>
    <row r="853" spans="1:203" ht="12" customHeight="1">
      <c r="A853" s="1252"/>
      <c r="B853" s="200"/>
      <c r="C853" s="486"/>
      <c r="T853" s="1186"/>
      <c r="U853" s="233"/>
      <c r="W853" s="218"/>
      <c r="X853" s="218"/>
      <c r="Y853" s="216"/>
      <c r="Z853" s="216"/>
      <c r="AA853" s="215"/>
      <c r="AB853" s="216"/>
      <c r="AC853" s="216"/>
      <c r="AD853" s="239"/>
      <c r="AE853" s="216"/>
      <c r="AF853" s="216"/>
      <c r="AG853" s="216"/>
      <c r="AH853" s="216"/>
      <c r="AI853" s="216"/>
      <c r="AJ853" s="216"/>
      <c r="AK853" s="239"/>
      <c r="AL853" s="216"/>
      <c r="AM853" s="216"/>
      <c r="AN853" s="216"/>
      <c r="AO853" s="216"/>
      <c r="AP853" s="216"/>
      <c r="AQ853" s="216"/>
      <c r="AR853" s="216"/>
      <c r="AS853" s="216"/>
      <c r="AT853" s="216"/>
      <c r="AU853" s="216"/>
      <c r="AV853" s="217"/>
      <c r="AW853" s="355"/>
      <c r="AX853" s="217"/>
      <c r="AY853" s="305"/>
      <c r="AZ853" s="249"/>
      <c r="BA853" s="221"/>
      <c r="BB853" s="300"/>
      <c r="BC853" s="217"/>
      <c r="BD853" s="392"/>
      <c r="BE853" s="1244"/>
      <c r="BF853" s="249"/>
      <c r="BG853" s="252"/>
      <c r="BH853" s="1469"/>
      <c r="BI853" s="216"/>
      <c r="BJ853" s="1469"/>
      <c r="BK853" s="1459"/>
      <c r="BL853" s="260"/>
      <c r="BM853" s="214"/>
      <c r="BN853" s="293"/>
      <c r="BO853" s="217"/>
      <c r="BP853" s="355"/>
      <c r="BQ853" s="217"/>
      <c r="BR853" s="1193"/>
      <c r="BS853" s="249"/>
      <c r="BT853" s="216"/>
      <c r="BU853" s="1195"/>
      <c r="BV853" s="249"/>
      <c r="BW853" s="216"/>
      <c r="BX853" s="1195"/>
      <c r="BY853" s="249"/>
      <c r="BZ853" s="216"/>
      <c r="CA853" s="1195"/>
      <c r="CB853" s="249"/>
      <c r="CC853" s="216"/>
      <c r="CD853" s="1195"/>
      <c r="CE853" s="249"/>
      <c r="CF853" s="216"/>
      <c r="CG853" s="1195"/>
      <c r="CH853" s="249"/>
      <c r="CI853" s="216"/>
      <c r="CJ853" s="1195"/>
      <c r="CK853" s="249"/>
      <c r="CL853" s="216"/>
      <c r="CM853" s="1194"/>
      <c r="CN853" s="1524"/>
      <c r="CO853" s="217"/>
      <c r="CP853" s="1193"/>
      <c r="CQ853" s="293"/>
      <c r="CR853" s="217"/>
      <c r="CS853" s="305"/>
      <c r="CT853" s="249"/>
      <c r="CU853" s="216"/>
      <c r="CV853" s="1193"/>
      <c r="CW853" s="249"/>
      <c r="CX853" s="216"/>
      <c r="CY853" s="305"/>
      <c r="CZ853" s="249"/>
      <c r="DA853" s="216"/>
      <c r="DB853" s="307"/>
      <c r="DC853" s="328"/>
      <c r="DD853" s="322"/>
      <c r="DE853" s="305"/>
      <c r="DF853" s="249"/>
      <c r="DG853" s="216"/>
      <c r="DH853" s="305"/>
      <c r="DI853" s="249"/>
      <c r="DJ853" s="216"/>
      <c r="DK853" s="309"/>
      <c r="DL853" s="293"/>
      <c r="DM853" s="326"/>
      <c r="DN853" s="1256"/>
      <c r="DO853" s="214"/>
      <c r="DP853" s="1257"/>
      <c r="DQ853" s="1258"/>
      <c r="DR853" s="305"/>
      <c r="DS853" s="249"/>
      <c r="DT853" s="216"/>
      <c r="DU853" s="305"/>
      <c r="DV853" s="2520"/>
      <c r="DW853" s="2521"/>
      <c r="DX853" s="305"/>
      <c r="DY853" s="249"/>
      <c r="DZ853" s="221"/>
      <c r="EA853" s="388"/>
      <c r="EB853" s="249"/>
      <c r="EC853" s="216"/>
      <c r="ED853" s="1461"/>
      <c r="EE853" s="249"/>
      <c r="EF853" s="216"/>
      <c r="EG853" s="355"/>
      <c r="EH853" s="1425"/>
      <c r="EI853" s="1470"/>
      <c r="EJ853" s="249"/>
      <c r="EK853" s="221"/>
      <c r="EL853" s="313"/>
      <c r="EM853" s="249"/>
      <c r="EN853" s="221"/>
      <c r="EO853" s="313"/>
      <c r="EP853" s="249"/>
      <c r="EQ853" s="216"/>
      <c r="ER853" s="313"/>
      <c r="ES853" s="249"/>
      <c r="ET853" s="216"/>
      <c r="EU853" s="313"/>
      <c r="EV853" s="249"/>
      <c r="EW853" s="216"/>
      <c r="EX853" s="2505"/>
      <c r="EY853" s="249"/>
      <c r="EZ853" s="221"/>
      <c r="FA853" s="313"/>
      <c r="FB853" s="249"/>
      <c r="FC853" s="221"/>
      <c r="FD853" s="313"/>
      <c r="FE853" s="249"/>
      <c r="FF853" s="221"/>
      <c r="FG853" s="313"/>
      <c r="FH853" s="249"/>
      <c r="FI853" s="216"/>
      <c r="FJ853" s="1435"/>
      <c r="FK853" s="216"/>
      <c r="FL853" s="1268"/>
      <c r="FM853" s="1655"/>
      <c r="FN853" s="1268"/>
      <c r="FO853" s="1655"/>
      <c r="FP853" s="1268"/>
      <c r="FQ853" s="1656"/>
      <c r="FR853" s="249"/>
      <c r="FS853" s="216"/>
      <c r="FT853" s="1657"/>
      <c r="FU853" s="1658"/>
      <c r="FV853" s="242"/>
      <c r="FW853" s="343"/>
      <c r="FX853" s="222"/>
      <c r="FY853" s="336"/>
      <c r="FZ853" s="223"/>
      <c r="GA853" s="338"/>
      <c r="GB853" s="204"/>
      <c r="GC853" s="339"/>
      <c r="GD853" s="342"/>
      <c r="GE853" s="199"/>
      <c r="GF853" s="199"/>
      <c r="GG853" s="199"/>
      <c r="GH853" s="199"/>
      <c r="GI853" s="199"/>
      <c r="GJ853" s="199"/>
      <c r="GK853" s="199"/>
      <c r="GO853" s="322"/>
      <c r="GP853" s="1190"/>
      <c r="GQ853" s="1190"/>
      <c r="GS853" s="2879"/>
      <c r="GT853" s="2880"/>
      <c r="GU853" s="2881"/>
    </row>
    <row r="854" spans="1:203" ht="12" customHeight="1">
      <c r="A854" s="1252"/>
      <c r="B854" s="200"/>
      <c r="C854" s="486"/>
      <c r="T854" s="1186"/>
      <c r="U854" s="233"/>
      <c r="W854" s="218"/>
      <c r="X854" s="218"/>
      <c r="Y854" s="216"/>
      <c r="Z854" s="216"/>
      <c r="AA854" s="215"/>
      <c r="AB854" s="216"/>
      <c r="AC854" s="216"/>
      <c r="AD854" s="239"/>
      <c r="AE854" s="216"/>
      <c r="AF854" s="216"/>
      <c r="AG854" s="216"/>
      <c r="AH854" s="216"/>
      <c r="AI854" s="216"/>
      <c r="AJ854" s="216"/>
      <c r="AK854" s="239"/>
      <c r="AL854" s="216"/>
      <c r="AM854" s="216"/>
      <c r="AN854" s="216"/>
      <c r="AO854" s="216"/>
      <c r="AP854" s="216"/>
      <c r="AQ854" s="216"/>
      <c r="AR854" s="216"/>
      <c r="AS854" s="216"/>
      <c r="AT854" s="216"/>
      <c r="AU854" s="216"/>
      <c r="AV854" s="217"/>
      <c r="AW854" s="355"/>
      <c r="AX854" s="217"/>
      <c r="AY854" s="305"/>
      <c r="AZ854" s="249"/>
      <c r="BA854" s="221"/>
      <c r="BB854" s="300"/>
      <c r="BC854" s="217"/>
      <c r="BD854" s="392"/>
      <c r="BE854" s="1244"/>
      <c r="BF854" s="249"/>
      <c r="BG854" s="252"/>
      <c r="BH854" s="1469"/>
      <c r="BI854" s="216"/>
      <c r="BJ854" s="1469"/>
      <c r="BK854" s="1459"/>
      <c r="BL854" s="260"/>
      <c r="BM854" s="214"/>
      <c r="BN854" s="293"/>
      <c r="BO854" s="217"/>
      <c r="BP854" s="355"/>
      <c r="BQ854" s="217"/>
      <c r="BR854" s="1193"/>
      <c r="BS854" s="249"/>
      <c r="BT854" s="216"/>
      <c r="BU854" s="1195"/>
      <c r="BV854" s="249"/>
      <c r="BW854" s="216"/>
      <c r="BX854" s="1195"/>
      <c r="BY854" s="249"/>
      <c r="BZ854" s="216"/>
      <c r="CA854" s="1195"/>
      <c r="CB854" s="249"/>
      <c r="CC854" s="216"/>
      <c r="CD854" s="1195"/>
      <c r="CE854" s="249"/>
      <c r="CF854" s="216"/>
      <c r="CG854" s="1195"/>
      <c r="CH854" s="249"/>
      <c r="CI854" s="216"/>
      <c r="CJ854" s="1195"/>
      <c r="CK854" s="249"/>
      <c r="CL854" s="216"/>
      <c r="CM854" s="1194"/>
      <c r="CN854" s="1524"/>
      <c r="CO854" s="217"/>
      <c r="CP854" s="1193"/>
      <c r="CQ854" s="293"/>
      <c r="CR854" s="217"/>
      <c r="CS854" s="305"/>
      <c r="CT854" s="249"/>
      <c r="CU854" s="216"/>
      <c r="CV854" s="1193"/>
      <c r="CW854" s="249"/>
      <c r="CX854" s="216"/>
      <c r="CY854" s="305"/>
      <c r="CZ854" s="249"/>
      <c r="DA854" s="216"/>
      <c r="DB854" s="307"/>
      <c r="DC854" s="328"/>
      <c r="DD854" s="322"/>
      <c r="DE854" s="305"/>
      <c r="DF854" s="249"/>
      <c r="DG854" s="216"/>
      <c r="DH854" s="305"/>
      <c r="DI854" s="249"/>
      <c r="DJ854" s="216"/>
      <c r="DK854" s="309"/>
      <c r="DL854" s="293"/>
      <c r="DM854" s="326"/>
      <c r="DN854" s="1256"/>
      <c r="DO854" s="214"/>
      <c r="DP854" s="1257"/>
      <c r="DQ854" s="1258"/>
      <c r="DR854" s="305"/>
      <c r="DS854" s="249"/>
      <c r="DT854" s="216"/>
      <c r="DU854" s="305"/>
      <c r="DV854" s="2520"/>
      <c r="DW854" s="2521"/>
      <c r="DX854" s="305"/>
      <c r="DY854" s="249"/>
      <c r="DZ854" s="221"/>
      <c r="EA854" s="388"/>
      <c r="EB854" s="249"/>
      <c r="EC854" s="216"/>
      <c r="ED854" s="1461"/>
      <c r="EE854" s="249"/>
      <c r="EF854" s="216"/>
      <c r="EG854" s="355"/>
      <c r="EH854" s="1425"/>
      <c r="EI854" s="1470"/>
      <c r="EJ854" s="249"/>
      <c r="EK854" s="221"/>
      <c r="EL854" s="313"/>
      <c r="EM854" s="249"/>
      <c r="EN854" s="221"/>
      <c r="EO854" s="313"/>
      <c r="EP854" s="249"/>
      <c r="EQ854" s="216"/>
      <c r="ER854" s="313"/>
      <c r="ES854" s="249"/>
      <c r="ET854" s="216"/>
      <c r="EU854" s="313"/>
      <c r="EV854" s="249"/>
      <c r="EW854" s="216"/>
      <c r="EX854" s="2505"/>
      <c r="EY854" s="249"/>
      <c r="EZ854" s="221"/>
      <c r="FA854" s="313"/>
      <c r="FB854" s="249"/>
      <c r="FC854" s="221"/>
      <c r="FD854" s="313"/>
      <c r="FE854" s="249"/>
      <c r="FF854" s="221"/>
      <c r="FG854" s="313"/>
      <c r="FH854" s="249"/>
      <c r="FI854" s="216"/>
      <c r="FJ854" s="1435"/>
      <c r="FK854" s="216"/>
      <c r="FL854" s="1268"/>
      <c r="FM854" s="1655"/>
      <c r="FN854" s="1268"/>
      <c r="FO854" s="1655"/>
      <c r="FP854" s="1268"/>
      <c r="FQ854" s="1656"/>
      <c r="FR854" s="249"/>
      <c r="FS854" s="216"/>
      <c r="FT854" s="1657"/>
      <c r="FU854" s="1658"/>
      <c r="FV854" s="242"/>
      <c r="FW854" s="343"/>
      <c r="FX854" s="222"/>
      <c r="FY854" s="336"/>
      <c r="FZ854" s="223"/>
      <c r="GA854" s="338"/>
      <c r="GB854" s="204"/>
      <c r="GC854" s="339"/>
      <c r="GD854" s="342"/>
      <c r="GE854" s="199"/>
      <c r="GF854" s="199"/>
      <c r="GG854" s="199"/>
      <c r="GH854" s="199"/>
      <c r="GI854" s="199"/>
      <c r="GJ854" s="199"/>
      <c r="GK854" s="199"/>
      <c r="GO854" s="322"/>
      <c r="GP854" s="1190"/>
      <c r="GQ854" s="1190"/>
      <c r="GS854" s="2879"/>
      <c r="GT854" s="2880"/>
      <c r="GU854" s="2881"/>
    </row>
    <row r="855" spans="1:203" ht="12" customHeight="1">
      <c r="A855" s="1252"/>
      <c r="B855" s="200"/>
      <c r="C855" s="486"/>
      <c r="T855" s="1186"/>
      <c r="U855" s="233"/>
      <c r="W855" s="218"/>
      <c r="X855" s="218"/>
      <c r="Y855" s="216"/>
      <c r="Z855" s="216"/>
      <c r="AA855" s="215"/>
      <c r="AB855" s="216"/>
      <c r="AC855" s="216"/>
      <c r="AD855" s="239"/>
      <c r="AE855" s="216"/>
      <c r="AF855" s="216"/>
      <c r="AG855" s="216"/>
      <c r="AH855" s="216"/>
      <c r="AI855" s="216"/>
      <c r="AJ855" s="216"/>
      <c r="AK855" s="239"/>
      <c r="AL855" s="216"/>
      <c r="AM855" s="216"/>
      <c r="AN855" s="216"/>
      <c r="AO855" s="216"/>
      <c r="AP855" s="216"/>
      <c r="AQ855" s="216"/>
      <c r="AR855" s="216"/>
      <c r="AS855" s="216"/>
      <c r="AT855" s="216"/>
      <c r="AU855" s="216"/>
      <c r="AV855" s="217"/>
      <c r="AW855" s="355"/>
      <c r="AX855" s="217"/>
      <c r="AY855" s="305"/>
      <c r="AZ855" s="249"/>
      <c r="BA855" s="221"/>
      <c r="BB855" s="300"/>
      <c r="BC855" s="217"/>
      <c r="BD855" s="392"/>
      <c r="BE855" s="1244"/>
      <c r="BF855" s="249"/>
      <c r="BG855" s="252"/>
      <c r="BH855" s="1469"/>
      <c r="BI855" s="216"/>
      <c r="BJ855" s="1469"/>
      <c r="BK855" s="1459"/>
      <c r="BL855" s="260"/>
      <c r="BM855" s="214"/>
      <c r="BN855" s="293"/>
      <c r="BO855" s="217"/>
      <c r="BP855" s="355"/>
      <c r="BQ855" s="217"/>
      <c r="BR855" s="1193"/>
      <c r="BS855" s="249"/>
      <c r="BT855" s="216"/>
      <c r="BU855" s="1195"/>
      <c r="BV855" s="249"/>
      <c r="BW855" s="216"/>
      <c r="BX855" s="1195"/>
      <c r="BY855" s="249"/>
      <c r="BZ855" s="216"/>
      <c r="CA855" s="1195"/>
      <c r="CB855" s="249"/>
      <c r="CC855" s="216"/>
      <c r="CD855" s="1195"/>
      <c r="CE855" s="249"/>
      <c r="CF855" s="216"/>
      <c r="CG855" s="1195"/>
      <c r="CH855" s="249"/>
      <c r="CI855" s="216"/>
      <c r="CJ855" s="1195"/>
      <c r="CK855" s="249"/>
      <c r="CL855" s="216"/>
      <c r="CM855" s="1194"/>
      <c r="CN855" s="1524"/>
      <c r="CO855" s="217"/>
      <c r="CP855" s="1193"/>
      <c r="CQ855" s="293"/>
      <c r="CR855" s="217"/>
      <c r="CS855" s="305"/>
      <c r="CT855" s="249"/>
      <c r="CU855" s="216"/>
      <c r="CV855" s="1193"/>
      <c r="CW855" s="249"/>
      <c r="CX855" s="216"/>
      <c r="CY855" s="305"/>
      <c r="CZ855" s="249"/>
      <c r="DA855" s="216"/>
      <c r="DB855" s="307"/>
      <c r="DC855" s="328"/>
      <c r="DD855" s="322"/>
      <c r="DE855" s="305"/>
      <c r="DF855" s="249"/>
      <c r="DG855" s="216"/>
      <c r="DH855" s="305"/>
      <c r="DI855" s="249"/>
      <c r="DJ855" s="216"/>
      <c r="DK855" s="309"/>
      <c r="DL855" s="293"/>
      <c r="DM855" s="326"/>
      <c r="DN855" s="1256"/>
      <c r="DO855" s="214"/>
      <c r="DP855" s="1257"/>
      <c r="DQ855" s="1258"/>
      <c r="DR855" s="305"/>
      <c r="DS855" s="249"/>
      <c r="DT855" s="216"/>
      <c r="DU855" s="305"/>
      <c r="DV855" s="2520"/>
      <c r="DW855" s="2521"/>
      <c r="DX855" s="305"/>
      <c r="DY855" s="249"/>
      <c r="DZ855" s="221"/>
      <c r="EA855" s="388"/>
      <c r="EB855" s="249"/>
      <c r="EC855" s="216"/>
      <c r="ED855" s="1461"/>
      <c r="EE855" s="249"/>
      <c r="EF855" s="216"/>
      <c r="EG855" s="355"/>
      <c r="EH855" s="1425"/>
      <c r="EI855" s="1470"/>
      <c r="EJ855" s="249"/>
      <c r="EK855" s="221"/>
      <c r="EL855" s="313"/>
      <c r="EM855" s="249"/>
      <c r="EN855" s="221"/>
      <c r="EO855" s="313"/>
      <c r="EP855" s="249"/>
      <c r="EQ855" s="216"/>
      <c r="ER855" s="313"/>
      <c r="ES855" s="249"/>
      <c r="ET855" s="216"/>
      <c r="EU855" s="313"/>
      <c r="EV855" s="249"/>
      <c r="EW855" s="216"/>
      <c r="EX855" s="2505"/>
      <c r="EY855" s="249"/>
      <c r="EZ855" s="221"/>
      <c r="FA855" s="313"/>
      <c r="FB855" s="249"/>
      <c r="FC855" s="221"/>
      <c r="FD855" s="313"/>
      <c r="FE855" s="249"/>
      <c r="FF855" s="221"/>
      <c r="FG855" s="313"/>
      <c r="FH855" s="249"/>
      <c r="FI855" s="216"/>
      <c r="FJ855" s="1435"/>
      <c r="FK855" s="216"/>
      <c r="FL855" s="1268"/>
      <c r="FM855" s="1655"/>
      <c r="FN855" s="1268"/>
      <c r="FO855" s="1655"/>
      <c r="FP855" s="1268"/>
      <c r="FQ855" s="1656"/>
      <c r="FR855" s="249"/>
      <c r="FS855" s="216"/>
      <c r="FT855" s="1657"/>
      <c r="FU855" s="1658"/>
      <c r="FV855" s="242"/>
      <c r="FW855" s="343"/>
      <c r="FX855" s="222"/>
      <c r="FY855" s="336"/>
      <c r="FZ855" s="223"/>
      <c r="GA855" s="338"/>
      <c r="GB855" s="204"/>
      <c r="GC855" s="339"/>
      <c r="GD855" s="342"/>
      <c r="GE855" s="199"/>
      <c r="GF855" s="199"/>
      <c r="GG855" s="199"/>
      <c r="GH855" s="199"/>
      <c r="GI855" s="199"/>
      <c r="GJ855" s="199"/>
      <c r="GK855" s="199"/>
      <c r="GO855" s="322"/>
      <c r="GP855" s="1190"/>
      <c r="GQ855" s="1190"/>
      <c r="GS855" s="2879"/>
      <c r="GT855" s="2880"/>
      <c r="GU855" s="2881"/>
    </row>
    <row r="856" spans="1:203" ht="12" customHeight="1">
      <c r="A856" s="1252"/>
      <c r="B856" s="200"/>
      <c r="C856" s="486"/>
      <c r="T856" s="1186"/>
      <c r="U856" s="233"/>
      <c r="W856" s="218"/>
      <c r="X856" s="218"/>
      <c r="Y856" s="216"/>
      <c r="Z856" s="216"/>
      <c r="AA856" s="215"/>
      <c r="AB856" s="216"/>
      <c r="AC856" s="216"/>
      <c r="AD856" s="239"/>
      <c r="AE856" s="216"/>
      <c r="AF856" s="216"/>
      <c r="AG856" s="216"/>
      <c r="AH856" s="216"/>
      <c r="AI856" s="216"/>
      <c r="AJ856" s="216"/>
      <c r="AK856" s="239"/>
      <c r="AL856" s="216"/>
      <c r="AM856" s="216"/>
      <c r="AN856" s="216"/>
      <c r="AO856" s="216"/>
      <c r="AP856" s="216"/>
      <c r="AQ856" s="216"/>
      <c r="AR856" s="216"/>
      <c r="AS856" s="216"/>
      <c r="AT856" s="216"/>
      <c r="AU856" s="216"/>
      <c r="AV856" s="217"/>
      <c r="AW856" s="355"/>
      <c r="AX856" s="217"/>
      <c r="AY856" s="305"/>
      <c r="AZ856" s="249"/>
      <c r="BA856" s="221"/>
      <c r="BB856" s="300"/>
      <c r="BC856" s="217"/>
      <c r="BD856" s="392"/>
      <c r="BE856" s="1244"/>
      <c r="BF856" s="249"/>
      <c r="BG856" s="252"/>
      <c r="BH856" s="1469"/>
      <c r="BI856" s="216"/>
      <c r="BJ856" s="1469"/>
      <c r="BK856" s="1459"/>
      <c r="BL856" s="260"/>
      <c r="BM856" s="214"/>
      <c r="BN856" s="293"/>
      <c r="BO856" s="217"/>
      <c r="BP856" s="355"/>
      <c r="BQ856" s="217"/>
      <c r="BR856" s="1193"/>
      <c r="BS856" s="249"/>
      <c r="BT856" s="216"/>
      <c r="BU856" s="1195"/>
      <c r="BV856" s="249"/>
      <c r="BW856" s="216"/>
      <c r="BX856" s="1195"/>
      <c r="BY856" s="249"/>
      <c r="BZ856" s="216"/>
      <c r="CA856" s="1195"/>
      <c r="CB856" s="249"/>
      <c r="CC856" s="216"/>
      <c r="CD856" s="1195"/>
      <c r="CE856" s="249"/>
      <c r="CF856" s="216"/>
      <c r="CG856" s="1195"/>
      <c r="CH856" s="249"/>
      <c r="CI856" s="216"/>
      <c r="CJ856" s="1195"/>
      <c r="CK856" s="249"/>
      <c r="CL856" s="216"/>
      <c r="CM856" s="1194"/>
      <c r="CN856" s="1524"/>
      <c r="CO856" s="217"/>
      <c r="CP856" s="1193"/>
      <c r="CQ856" s="293"/>
      <c r="CR856" s="217"/>
      <c r="CS856" s="305"/>
      <c r="CT856" s="249"/>
      <c r="CU856" s="216"/>
      <c r="CV856" s="1193"/>
      <c r="CW856" s="249"/>
      <c r="CX856" s="216"/>
      <c r="CY856" s="305"/>
      <c r="CZ856" s="249"/>
      <c r="DA856" s="216"/>
      <c r="DB856" s="307"/>
      <c r="DC856" s="328"/>
      <c r="DD856" s="322"/>
      <c r="DE856" s="305"/>
      <c r="DF856" s="249"/>
      <c r="DG856" s="216"/>
      <c r="DH856" s="305"/>
      <c r="DI856" s="249"/>
      <c r="DJ856" s="216"/>
      <c r="DK856" s="309"/>
      <c r="DL856" s="293"/>
      <c r="DM856" s="326"/>
      <c r="DN856" s="1256"/>
      <c r="DO856" s="214"/>
      <c r="DP856" s="1257"/>
      <c r="DQ856" s="1258"/>
      <c r="DR856" s="305"/>
      <c r="DS856" s="249"/>
      <c r="DT856" s="216"/>
      <c r="DU856" s="305"/>
      <c r="DV856" s="2520"/>
      <c r="DW856" s="2521"/>
      <c r="DX856" s="305"/>
      <c r="DY856" s="249"/>
      <c r="DZ856" s="221"/>
      <c r="EA856" s="388"/>
      <c r="EB856" s="249"/>
      <c r="EC856" s="216"/>
      <c r="ED856" s="1461"/>
      <c r="EE856" s="249"/>
      <c r="EF856" s="216"/>
      <c r="EG856" s="355"/>
      <c r="EH856" s="1425"/>
      <c r="EI856" s="1470"/>
      <c r="EJ856" s="249"/>
      <c r="EK856" s="221"/>
      <c r="EL856" s="313"/>
      <c r="EM856" s="249"/>
      <c r="EN856" s="221"/>
      <c r="EO856" s="313"/>
      <c r="EP856" s="249"/>
      <c r="EQ856" s="216"/>
      <c r="ER856" s="313"/>
      <c r="ES856" s="249"/>
      <c r="ET856" s="216"/>
      <c r="EU856" s="313"/>
      <c r="EV856" s="249"/>
      <c r="EW856" s="216"/>
      <c r="EX856" s="2505"/>
      <c r="EY856" s="249"/>
      <c r="EZ856" s="221"/>
      <c r="FA856" s="313"/>
      <c r="FB856" s="249"/>
      <c r="FC856" s="221"/>
      <c r="FD856" s="313"/>
      <c r="FE856" s="249"/>
      <c r="FF856" s="221"/>
      <c r="FG856" s="313"/>
      <c r="FH856" s="249"/>
      <c r="FI856" s="216"/>
      <c r="FJ856" s="1435"/>
      <c r="FK856" s="216"/>
      <c r="FL856" s="1268"/>
      <c r="FM856" s="1655"/>
      <c r="FN856" s="1268"/>
      <c r="FO856" s="1655"/>
      <c r="FP856" s="1268"/>
      <c r="FQ856" s="1656"/>
      <c r="FR856" s="249"/>
      <c r="FS856" s="216"/>
      <c r="FT856" s="1657"/>
      <c r="FU856" s="1658"/>
      <c r="FV856" s="242"/>
      <c r="FW856" s="343"/>
      <c r="FX856" s="222"/>
      <c r="FY856" s="336"/>
      <c r="FZ856" s="223"/>
      <c r="GA856" s="338"/>
      <c r="GB856" s="204"/>
      <c r="GC856" s="339"/>
      <c r="GD856" s="342"/>
      <c r="GE856" s="199"/>
      <c r="GF856" s="199"/>
      <c r="GG856" s="199"/>
      <c r="GH856" s="199"/>
      <c r="GI856" s="199"/>
      <c r="GJ856" s="199"/>
      <c r="GK856" s="199"/>
      <c r="GO856" s="322"/>
      <c r="GP856" s="1190"/>
      <c r="GQ856" s="1190"/>
      <c r="GS856" s="2879"/>
      <c r="GT856" s="2880"/>
      <c r="GU856" s="2881"/>
    </row>
    <row r="857" spans="1:203" ht="12" customHeight="1">
      <c r="A857" s="1252"/>
      <c r="B857" s="200"/>
      <c r="C857" s="486"/>
      <c r="T857" s="1186"/>
      <c r="U857" s="233"/>
      <c r="W857" s="218"/>
      <c r="X857" s="218"/>
      <c r="Y857" s="216"/>
      <c r="Z857" s="216"/>
      <c r="AA857" s="215"/>
      <c r="AB857" s="216"/>
      <c r="AC857" s="216"/>
      <c r="AD857" s="239"/>
      <c r="AE857" s="216"/>
      <c r="AF857" s="216"/>
      <c r="AG857" s="216"/>
      <c r="AH857" s="216"/>
      <c r="AI857" s="216"/>
      <c r="AJ857" s="216"/>
      <c r="AK857" s="239"/>
      <c r="AL857" s="216"/>
      <c r="AM857" s="216"/>
      <c r="AN857" s="216"/>
      <c r="AO857" s="216"/>
      <c r="AP857" s="216"/>
      <c r="AQ857" s="216"/>
      <c r="AR857" s="216"/>
      <c r="AS857" s="216"/>
      <c r="AT857" s="216"/>
      <c r="AU857" s="216"/>
      <c r="AV857" s="217"/>
      <c r="AW857" s="355"/>
      <c r="AX857" s="217"/>
      <c r="AY857" s="305"/>
      <c r="AZ857" s="249"/>
      <c r="BA857" s="221"/>
      <c r="BB857" s="300"/>
      <c r="BC857" s="217"/>
      <c r="BD857" s="392"/>
      <c r="BE857" s="1244"/>
      <c r="BF857" s="249"/>
      <c r="BG857" s="252"/>
      <c r="BH857" s="1469"/>
      <c r="BI857" s="216"/>
      <c r="BJ857" s="1469"/>
      <c r="BK857" s="1459"/>
      <c r="BL857" s="260"/>
      <c r="BM857" s="214"/>
      <c r="BN857" s="293"/>
      <c r="BO857" s="217"/>
      <c r="BP857" s="355"/>
      <c r="BQ857" s="217"/>
      <c r="BR857" s="1193"/>
      <c r="BS857" s="249"/>
      <c r="BT857" s="216"/>
      <c r="BU857" s="1195"/>
      <c r="BV857" s="249"/>
      <c r="BW857" s="216"/>
      <c r="BX857" s="1195"/>
      <c r="BY857" s="249"/>
      <c r="BZ857" s="216"/>
      <c r="CA857" s="1195"/>
      <c r="CB857" s="249"/>
      <c r="CC857" s="216"/>
      <c r="CD857" s="1195"/>
      <c r="CE857" s="249"/>
      <c r="CF857" s="216"/>
      <c r="CG857" s="1195"/>
      <c r="CH857" s="249"/>
      <c r="CI857" s="216"/>
      <c r="CJ857" s="1195"/>
      <c r="CK857" s="249"/>
      <c r="CL857" s="216"/>
      <c r="CM857" s="1194"/>
      <c r="CN857" s="1524"/>
      <c r="CO857" s="217"/>
      <c r="CP857" s="1193"/>
      <c r="CQ857" s="293"/>
      <c r="CR857" s="217"/>
      <c r="CS857" s="305"/>
      <c r="CT857" s="249"/>
      <c r="CU857" s="216"/>
      <c r="CV857" s="1193"/>
      <c r="CW857" s="249"/>
      <c r="CX857" s="216"/>
      <c r="CY857" s="305"/>
      <c r="CZ857" s="249"/>
      <c r="DA857" s="216"/>
      <c r="DB857" s="307"/>
      <c r="DC857" s="328"/>
      <c r="DD857" s="322"/>
      <c r="DE857" s="305"/>
      <c r="DF857" s="249"/>
      <c r="DG857" s="216"/>
      <c r="DH857" s="305"/>
      <c r="DI857" s="249"/>
      <c r="DJ857" s="216"/>
      <c r="DK857" s="309"/>
      <c r="DL857" s="293"/>
      <c r="DM857" s="326"/>
      <c r="DN857" s="1256"/>
      <c r="DO857" s="214"/>
      <c r="DP857" s="1257"/>
      <c r="DQ857" s="1258"/>
      <c r="DR857" s="305"/>
      <c r="DS857" s="249"/>
      <c r="DT857" s="216"/>
      <c r="DU857" s="305"/>
      <c r="DV857" s="2520"/>
      <c r="DW857" s="2521"/>
      <c r="DX857" s="305"/>
      <c r="DY857" s="249"/>
      <c r="DZ857" s="221"/>
      <c r="EA857" s="388"/>
      <c r="EB857" s="249"/>
      <c r="EC857" s="216"/>
      <c r="ED857" s="1461"/>
      <c r="EE857" s="249"/>
      <c r="EF857" s="216"/>
      <c r="EG857" s="355"/>
      <c r="EH857" s="1425"/>
      <c r="EI857" s="1470"/>
      <c r="EJ857" s="249"/>
      <c r="EK857" s="221"/>
      <c r="EL857" s="313"/>
      <c r="EM857" s="249"/>
      <c r="EN857" s="221"/>
      <c r="EO857" s="313"/>
      <c r="EP857" s="249"/>
      <c r="EQ857" s="216"/>
      <c r="ER857" s="313"/>
      <c r="ES857" s="249"/>
      <c r="ET857" s="216"/>
      <c r="EU857" s="313"/>
      <c r="EV857" s="249"/>
      <c r="EW857" s="216"/>
      <c r="EX857" s="2505"/>
      <c r="EY857" s="249"/>
      <c r="EZ857" s="221"/>
      <c r="FA857" s="313"/>
      <c r="FB857" s="249"/>
      <c r="FC857" s="221"/>
      <c r="FD857" s="313"/>
      <c r="FE857" s="249"/>
      <c r="FF857" s="221"/>
      <c r="FG857" s="313"/>
      <c r="FH857" s="249"/>
      <c r="FI857" s="216"/>
      <c r="FJ857" s="1435"/>
      <c r="FK857" s="216"/>
      <c r="FL857" s="1268"/>
      <c r="FM857" s="1655"/>
      <c r="FN857" s="1268"/>
      <c r="FO857" s="1655"/>
      <c r="FP857" s="1268"/>
      <c r="FQ857" s="1656"/>
      <c r="FR857" s="249"/>
      <c r="FS857" s="216"/>
      <c r="FT857" s="1657"/>
      <c r="FU857" s="1658"/>
      <c r="FV857" s="242"/>
      <c r="FW857" s="343"/>
      <c r="FX857" s="222"/>
      <c r="FY857" s="336"/>
      <c r="FZ857" s="223"/>
      <c r="GA857" s="338"/>
      <c r="GB857" s="204"/>
      <c r="GC857" s="339"/>
      <c r="GD857" s="342"/>
      <c r="GE857" s="199"/>
      <c r="GF857" s="199"/>
      <c r="GG857" s="199"/>
      <c r="GH857" s="199"/>
      <c r="GI857" s="199"/>
      <c r="GJ857" s="199"/>
      <c r="GK857" s="199"/>
      <c r="GO857" s="322"/>
      <c r="GP857" s="1190"/>
      <c r="GQ857" s="1190"/>
      <c r="GS857" s="2879"/>
      <c r="GT857" s="2880"/>
      <c r="GU857" s="2881"/>
    </row>
    <row r="858" spans="1:203" ht="12" customHeight="1">
      <c r="A858" s="1252"/>
      <c r="B858" s="200"/>
      <c r="C858" s="486"/>
      <c r="T858" s="1186"/>
      <c r="U858" s="233"/>
      <c r="W858" s="218"/>
      <c r="X858" s="218"/>
      <c r="Y858" s="216"/>
      <c r="Z858" s="216"/>
      <c r="AA858" s="215"/>
      <c r="AB858" s="216"/>
      <c r="AC858" s="216"/>
      <c r="AD858" s="239"/>
      <c r="AE858" s="216"/>
      <c r="AF858" s="216"/>
      <c r="AG858" s="216"/>
      <c r="AH858" s="216"/>
      <c r="AI858" s="216"/>
      <c r="AJ858" s="216"/>
      <c r="AK858" s="239"/>
      <c r="AL858" s="216"/>
      <c r="AM858" s="216"/>
      <c r="AN858" s="216"/>
      <c r="AO858" s="216"/>
      <c r="AP858" s="216"/>
      <c r="AQ858" s="216"/>
      <c r="AR858" s="216"/>
      <c r="AS858" s="216"/>
      <c r="AT858" s="216"/>
      <c r="AU858" s="216"/>
      <c r="AV858" s="217"/>
      <c r="AW858" s="355"/>
      <c r="AX858" s="217"/>
      <c r="AY858" s="305"/>
      <c r="AZ858" s="249"/>
      <c r="BA858" s="221"/>
      <c r="BB858" s="300"/>
      <c r="BC858" s="217"/>
      <c r="BD858" s="392"/>
      <c r="BE858" s="1244"/>
      <c r="BF858" s="249"/>
      <c r="BG858" s="252"/>
      <c r="BH858" s="1469"/>
      <c r="BI858" s="216"/>
      <c r="BJ858" s="1469"/>
      <c r="BK858" s="1459"/>
      <c r="BL858" s="260"/>
      <c r="BM858" s="214"/>
      <c r="BN858" s="293"/>
      <c r="BO858" s="217"/>
      <c r="BP858" s="355"/>
      <c r="BQ858" s="217"/>
      <c r="BR858" s="1193"/>
      <c r="BS858" s="249"/>
      <c r="BT858" s="216"/>
      <c r="BU858" s="1195"/>
      <c r="BV858" s="249"/>
      <c r="BW858" s="216"/>
      <c r="BX858" s="1195"/>
      <c r="BY858" s="249"/>
      <c r="BZ858" s="216"/>
      <c r="CA858" s="1195"/>
      <c r="CB858" s="249"/>
      <c r="CC858" s="216"/>
      <c r="CD858" s="1195"/>
      <c r="CE858" s="249"/>
      <c r="CF858" s="216"/>
      <c r="CG858" s="1195"/>
      <c r="CH858" s="249"/>
      <c r="CI858" s="216"/>
      <c r="CJ858" s="1195"/>
      <c r="CK858" s="249"/>
      <c r="CL858" s="216"/>
      <c r="CM858" s="1194"/>
      <c r="CN858" s="1524"/>
      <c r="CO858" s="217"/>
      <c r="CP858" s="1193"/>
      <c r="CQ858" s="293"/>
      <c r="CR858" s="217"/>
      <c r="CS858" s="305"/>
      <c r="CT858" s="249"/>
      <c r="CU858" s="216"/>
      <c r="CV858" s="1193"/>
      <c r="CW858" s="249"/>
      <c r="CX858" s="216"/>
      <c r="CY858" s="305"/>
      <c r="CZ858" s="249"/>
      <c r="DA858" s="216"/>
      <c r="DB858" s="307"/>
      <c r="DC858" s="328"/>
      <c r="DD858" s="322"/>
      <c r="DE858" s="305"/>
      <c r="DF858" s="249"/>
      <c r="DG858" s="216"/>
      <c r="DH858" s="305"/>
      <c r="DI858" s="249"/>
      <c r="DJ858" s="216"/>
      <c r="DK858" s="309"/>
      <c r="DL858" s="293"/>
      <c r="DM858" s="326"/>
      <c r="DN858" s="1256"/>
      <c r="DO858" s="214"/>
      <c r="DP858" s="1257"/>
      <c r="DQ858" s="1258"/>
      <c r="DR858" s="305"/>
      <c r="DS858" s="249"/>
      <c r="DT858" s="216"/>
      <c r="DU858" s="305"/>
      <c r="DV858" s="2520"/>
      <c r="DW858" s="2521"/>
      <c r="DX858" s="305"/>
      <c r="DY858" s="249"/>
      <c r="DZ858" s="221"/>
      <c r="EA858" s="388"/>
      <c r="EB858" s="249"/>
      <c r="EC858" s="216"/>
      <c r="ED858" s="1461"/>
      <c r="EE858" s="249"/>
      <c r="EF858" s="216"/>
      <c r="EG858" s="355"/>
      <c r="EH858" s="1425"/>
      <c r="EI858" s="1470"/>
      <c r="EJ858" s="249"/>
      <c r="EK858" s="221"/>
      <c r="EL858" s="313"/>
      <c r="EM858" s="249"/>
      <c r="EN858" s="221"/>
      <c r="EO858" s="313"/>
      <c r="EP858" s="249"/>
      <c r="EQ858" s="216"/>
      <c r="ER858" s="313"/>
      <c r="ES858" s="249"/>
      <c r="ET858" s="216"/>
      <c r="EU858" s="313"/>
      <c r="EV858" s="249"/>
      <c r="EW858" s="216"/>
      <c r="EX858" s="2505"/>
      <c r="EY858" s="249"/>
      <c r="EZ858" s="221"/>
      <c r="FA858" s="313"/>
      <c r="FB858" s="249"/>
      <c r="FC858" s="221"/>
      <c r="FD858" s="313"/>
      <c r="FE858" s="249"/>
      <c r="FF858" s="221"/>
      <c r="FG858" s="313"/>
      <c r="FH858" s="249"/>
      <c r="FI858" s="216"/>
      <c r="FJ858" s="1435"/>
      <c r="FK858" s="216"/>
      <c r="FL858" s="1268"/>
      <c r="FM858" s="1655"/>
      <c r="FN858" s="1268"/>
      <c r="FO858" s="1655"/>
      <c r="FP858" s="1268"/>
      <c r="FQ858" s="1656"/>
      <c r="FR858" s="249"/>
      <c r="FS858" s="216"/>
      <c r="FT858" s="1657"/>
      <c r="FU858" s="1658"/>
      <c r="FV858" s="242"/>
      <c r="FW858" s="343"/>
      <c r="FX858" s="222"/>
      <c r="FY858" s="336"/>
      <c r="FZ858" s="223"/>
      <c r="GA858" s="338"/>
      <c r="GB858" s="204"/>
      <c r="GC858" s="339"/>
      <c r="GD858" s="342"/>
      <c r="GE858" s="199"/>
      <c r="GF858" s="199"/>
      <c r="GG858" s="199"/>
      <c r="GH858" s="199"/>
      <c r="GI858" s="199"/>
      <c r="GJ858" s="199"/>
      <c r="GK858" s="199"/>
      <c r="GO858" s="322"/>
      <c r="GP858" s="1190"/>
      <c r="GQ858" s="1190"/>
      <c r="GS858" s="2879"/>
      <c r="GT858" s="2880"/>
      <c r="GU858" s="2881"/>
    </row>
    <row r="859" spans="1:203" ht="12" customHeight="1">
      <c r="A859" s="1252"/>
      <c r="B859" s="200"/>
      <c r="C859" s="486"/>
      <c r="T859" s="1186"/>
      <c r="U859" s="233"/>
      <c r="W859" s="218"/>
      <c r="X859" s="218"/>
      <c r="Y859" s="216"/>
      <c r="Z859" s="216"/>
      <c r="AA859" s="215"/>
      <c r="AB859" s="216"/>
      <c r="AC859" s="216"/>
      <c r="AD859" s="239"/>
      <c r="AE859" s="216"/>
      <c r="AF859" s="216"/>
      <c r="AG859" s="216"/>
      <c r="AH859" s="216"/>
      <c r="AI859" s="216"/>
      <c r="AJ859" s="216"/>
      <c r="AK859" s="239"/>
      <c r="AL859" s="216"/>
      <c r="AM859" s="216"/>
      <c r="AN859" s="216"/>
      <c r="AO859" s="216"/>
      <c r="AP859" s="216"/>
      <c r="AQ859" s="216"/>
      <c r="AR859" s="216"/>
      <c r="AS859" s="216"/>
      <c r="AT859" s="216"/>
      <c r="AU859" s="216"/>
      <c r="AV859" s="217"/>
      <c r="AW859" s="355"/>
      <c r="AX859" s="217"/>
      <c r="AY859" s="305"/>
      <c r="AZ859" s="249"/>
      <c r="BA859" s="221"/>
      <c r="BB859" s="300"/>
      <c r="BC859" s="217"/>
      <c r="BD859" s="392"/>
      <c r="BE859" s="1244"/>
      <c r="BF859" s="249"/>
      <c r="BG859" s="252"/>
      <c r="BH859" s="1469"/>
      <c r="BI859" s="216"/>
      <c r="BJ859" s="1469"/>
      <c r="BK859" s="1459"/>
      <c r="BL859" s="260"/>
      <c r="BM859" s="214"/>
      <c r="BN859" s="293"/>
      <c r="BO859" s="217"/>
      <c r="BP859" s="355"/>
      <c r="BQ859" s="217"/>
      <c r="BR859" s="1193"/>
      <c r="BS859" s="249"/>
      <c r="BT859" s="216"/>
      <c r="BU859" s="1195"/>
      <c r="BV859" s="249"/>
      <c r="BW859" s="216"/>
      <c r="BX859" s="1195"/>
      <c r="BY859" s="249"/>
      <c r="BZ859" s="216"/>
      <c r="CA859" s="1195"/>
      <c r="CB859" s="249"/>
      <c r="CC859" s="216"/>
      <c r="CD859" s="1195"/>
      <c r="CE859" s="249"/>
      <c r="CF859" s="216"/>
      <c r="CG859" s="1195"/>
      <c r="CH859" s="249"/>
      <c r="CI859" s="216"/>
      <c r="CJ859" s="1195"/>
      <c r="CK859" s="249"/>
      <c r="CL859" s="216"/>
      <c r="CM859" s="1194"/>
      <c r="CN859" s="1524"/>
      <c r="CO859" s="217"/>
      <c r="CP859" s="1193"/>
      <c r="CQ859" s="293"/>
      <c r="CR859" s="217"/>
      <c r="CS859" s="305"/>
      <c r="CT859" s="249"/>
      <c r="CU859" s="216"/>
      <c r="CV859" s="1193"/>
      <c r="CW859" s="249"/>
      <c r="CX859" s="216"/>
      <c r="CY859" s="305"/>
      <c r="CZ859" s="249"/>
      <c r="DA859" s="216"/>
      <c r="DB859" s="307"/>
      <c r="DC859" s="328"/>
      <c r="DD859" s="322"/>
      <c r="DE859" s="305"/>
      <c r="DF859" s="249"/>
      <c r="DG859" s="216"/>
      <c r="DH859" s="305"/>
      <c r="DI859" s="249"/>
      <c r="DJ859" s="216"/>
      <c r="DK859" s="309"/>
      <c r="DL859" s="293"/>
      <c r="DM859" s="326"/>
      <c r="DN859" s="1256"/>
      <c r="DO859" s="214"/>
      <c r="DP859" s="1257"/>
      <c r="DQ859" s="1258"/>
      <c r="DR859" s="305"/>
      <c r="DS859" s="249"/>
      <c r="DT859" s="216"/>
      <c r="DU859" s="305"/>
      <c r="DV859" s="2520"/>
      <c r="DW859" s="2521"/>
      <c r="DX859" s="305"/>
      <c r="DY859" s="249"/>
      <c r="DZ859" s="221"/>
      <c r="EA859" s="388"/>
      <c r="EB859" s="249"/>
      <c r="EC859" s="216"/>
      <c r="ED859" s="1461"/>
      <c r="EE859" s="249"/>
      <c r="EF859" s="216"/>
      <c r="EG859" s="355"/>
      <c r="EH859" s="1425"/>
      <c r="EI859" s="1470"/>
      <c r="EJ859" s="249"/>
      <c r="EK859" s="221"/>
      <c r="EL859" s="313"/>
      <c r="EM859" s="249"/>
      <c r="EN859" s="221"/>
      <c r="EO859" s="313"/>
      <c r="EP859" s="249"/>
      <c r="EQ859" s="216"/>
      <c r="ER859" s="313"/>
      <c r="ES859" s="249"/>
      <c r="ET859" s="216"/>
      <c r="EU859" s="313"/>
      <c r="EV859" s="249"/>
      <c r="EW859" s="216"/>
      <c r="EX859" s="2505"/>
      <c r="EY859" s="249"/>
      <c r="EZ859" s="221"/>
      <c r="FA859" s="313"/>
      <c r="FB859" s="249"/>
      <c r="FC859" s="221"/>
      <c r="FD859" s="313"/>
      <c r="FE859" s="249"/>
      <c r="FF859" s="221"/>
      <c r="FG859" s="313"/>
      <c r="FH859" s="249"/>
      <c r="FI859" s="216"/>
      <c r="FJ859" s="1435"/>
      <c r="FK859" s="216"/>
      <c r="FL859" s="1268"/>
      <c r="FM859" s="1655"/>
      <c r="FN859" s="1268"/>
      <c r="FO859" s="1655"/>
      <c r="FP859" s="1268"/>
      <c r="FQ859" s="1656"/>
      <c r="FR859" s="249"/>
      <c r="FS859" s="216"/>
      <c r="FT859" s="1657"/>
      <c r="FU859" s="1658"/>
      <c r="FV859" s="242"/>
      <c r="FW859" s="343"/>
      <c r="FX859" s="222"/>
      <c r="FY859" s="336"/>
      <c r="FZ859" s="223"/>
      <c r="GA859" s="338"/>
      <c r="GB859" s="204"/>
      <c r="GC859" s="339"/>
      <c r="GD859" s="342"/>
      <c r="GE859" s="199"/>
      <c r="GF859" s="199"/>
      <c r="GG859" s="199"/>
      <c r="GH859" s="199"/>
      <c r="GI859" s="199"/>
      <c r="GJ859" s="199"/>
      <c r="GK859" s="199"/>
      <c r="GO859" s="322"/>
      <c r="GP859" s="1190"/>
      <c r="GQ859" s="1190"/>
      <c r="GS859" s="2879"/>
      <c r="GT859" s="2880"/>
      <c r="GU859" s="2881"/>
    </row>
    <row r="860" spans="1:203" ht="12" customHeight="1">
      <c r="A860" s="1252"/>
      <c r="B860" s="200"/>
      <c r="C860" s="486"/>
      <c r="T860" s="1186"/>
      <c r="U860" s="233"/>
      <c r="W860" s="218"/>
      <c r="X860" s="218"/>
      <c r="Y860" s="216"/>
      <c r="Z860" s="216"/>
      <c r="AA860" s="215"/>
      <c r="AB860" s="216"/>
      <c r="AC860" s="216"/>
      <c r="AD860" s="239"/>
      <c r="AE860" s="216"/>
      <c r="AF860" s="216"/>
      <c r="AG860" s="216"/>
      <c r="AH860" s="216"/>
      <c r="AI860" s="216"/>
      <c r="AJ860" s="216"/>
      <c r="AK860" s="239"/>
      <c r="AL860" s="216"/>
      <c r="AM860" s="216"/>
      <c r="AN860" s="216"/>
      <c r="AO860" s="216"/>
      <c r="AP860" s="216"/>
      <c r="AQ860" s="216"/>
      <c r="AR860" s="216"/>
      <c r="AS860" s="216"/>
      <c r="AT860" s="216"/>
      <c r="AU860" s="216"/>
      <c r="AV860" s="217"/>
      <c r="AW860" s="355"/>
      <c r="AX860" s="217"/>
      <c r="AY860" s="305"/>
      <c r="AZ860" s="249"/>
      <c r="BA860" s="221"/>
      <c r="BB860" s="300"/>
      <c r="BC860" s="217"/>
      <c r="BD860" s="392"/>
      <c r="BE860" s="1244"/>
      <c r="BF860" s="249"/>
      <c r="BG860" s="252"/>
      <c r="BH860" s="1469"/>
      <c r="BI860" s="216"/>
      <c r="BJ860" s="1469"/>
      <c r="BK860" s="1459"/>
      <c r="BL860" s="260"/>
      <c r="BM860" s="214"/>
      <c r="BN860" s="293"/>
      <c r="BO860" s="217"/>
      <c r="BP860" s="355"/>
      <c r="BQ860" s="217"/>
      <c r="BR860" s="1193"/>
      <c r="BS860" s="249"/>
      <c r="BT860" s="216"/>
      <c r="BU860" s="1195"/>
      <c r="BV860" s="249"/>
      <c r="BW860" s="216"/>
      <c r="BX860" s="1195"/>
      <c r="BY860" s="249"/>
      <c r="BZ860" s="216"/>
      <c r="CA860" s="1195"/>
      <c r="CB860" s="249"/>
      <c r="CC860" s="216"/>
      <c r="CD860" s="1195"/>
      <c r="CE860" s="249"/>
      <c r="CF860" s="216"/>
      <c r="CG860" s="1195"/>
      <c r="CH860" s="249"/>
      <c r="CI860" s="216"/>
      <c r="CJ860" s="1195"/>
      <c r="CK860" s="249"/>
      <c r="CL860" s="216"/>
      <c r="CM860" s="1194"/>
      <c r="CN860" s="1524"/>
      <c r="CO860" s="217"/>
      <c r="CP860" s="1193"/>
      <c r="CQ860" s="293"/>
      <c r="CR860" s="217"/>
      <c r="CS860" s="305"/>
      <c r="CT860" s="249"/>
      <c r="CU860" s="216"/>
      <c r="CV860" s="1193"/>
      <c r="CW860" s="249"/>
      <c r="CX860" s="216"/>
      <c r="CY860" s="305"/>
      <c r="CZ860" s="249"/>
      <c r="DA860" s="216"/>
      <c r="DB860" s="307"/>
      <c r="DC860" s="328"/>
      <c r="DD860" s="322"/>
      <c r="DE860" s="305"/>
      <c r="DF860" s="249"/>
      <c r="DG860" s="216"/>
      <c r="DH860" s="305"/>
      <c r="DI860" s="249"/>
      <c r="DJ860" s="216"/>
      <c r="DK860" s="309"/>
      <c r="DL860" s="293"/>
      <c r="DM860" s="326"/>
      <c r="DN860" s="1256"/>
      <c r="DO860" s="214"/>
      <c r="DP860" s="1257"/>
      <c r="DQ860" s="1258"/>
      <c r="DR860" s="305"/>
      <c r="DS860" s="249"/>
      <c r="DT860" s="216"/>
      <c r="DU860" s="305"/>
      <c r="DV860" s="2520"/>
      <c r="DW860" s="2521"/>
      <c r="DX860" s="305"/>
      <c r="DY860" s="249"/>
      <c r="DZ860" s="221"/>
      <c r="EA860" s="388"/>
      <c r="EB860" s="249"/>
      <c r="EC860" s="216"/>
      <c r="ED860" s="1461"/>
      <c r="EE860" s="249"/>
      <c r="EF860" s="216"/>
      <c r="EG860" s="355"/>
      <c r="EH860" s="1425"/>
      <c r="EI860" s="1470"/>
      <c r="EJ860" s="249"/>
      <c r="EK860" s="221"/>
      <c r="EL860" s="313"/>
      <c r="EM860" s="249"/>
      <c r="EN860" s="221"/>
      <c r="EO860" s="313"/>
      <c r="EP860" s="249"/>
      <c r="EQ860" s="216"/>
      <c r="ER860" s="313"/>
      <c r="ES860" s="249"/>
      <c r="ET860" s="216"/>
      <c r="EU860" s="313"/>
      <c r="EV860" s="249"/>
      <c r="EW860" s="216"/>
      <c r="EX860" s="2505"/>
      <c r="EY860" s="249"/>
      <c r="EZ860" s="221"/>
      <c r="FA860" s="313"/>
      <c r="FB860" s="249"/>
      <c r="FC860" s="221"/>
      <c r="FD860" s="313"/>
      <c r="FE860" s="249"/>
      <c r="FF860" s="221"/>
      <c r="FG860" s="313"/>
      <c r="FH860" s="249"/>
      <c r="FI860" s="216"/>
      <c r="FJ860" s="1435"/>
      <c r="FK860" s="216"/>
      <c r="FL860" s="1268"/>
      <c r="FM860" s="1655"/>
      <c r="FN860" s="1268"/>
      <c r="FO860" s="1655"/>
      <c r="FP860" s="1268"/>
      <c r="FQ860" s="1656"/>
      <c r="FR860" s="249"/>
      <c r="FS860" s="216"/>
      <c r="FT860" s="1657"/>
      <c r="FU860" s="1658"/>
      <c r="FV860" s="242"/>
      <c r="FW860" s="343"/>
      <c r="FX860" s="222"/>
      <c r="FY860" s="336"/>
      <c r="FZ860" s="223"/>
      <c r="GA860" s="338"/>
      <c r="GB860" s="204"/>
      <c r="GC860" s="339"/>
      <c r="GD860" s="342"/>
      <c r="GE860" s="199"/>
      <c r="GF860" s="199"/>
      <c r="GG860" s="199"/>
      <c r="GH860" s="199"/>
      <c r="GI860" s="199"/>
      <c r="GJ860" s="199"/>
      <c r="GK860" s="199"/>
      <c r="GO860" s="322"/>
      <c r="GP860" s="1190"/>
      <c r="GQ860" s="1190"/>
      <c r="GS860" s="2879"/>
      <c r="GT860" s="2880"/>
      <c r="GU860" s="2881"/>
    </row>
    <row r="861" spans="1:203" ht="12" customHeight="1">
      <c r="A861" s="1252"/>
      <c r="B861" s="200"/>
      <c r="C861" s="486"/>
      <c r="T861" s="1186"/>
      <c r="U861" s="233"/>
      <c r="W861" s="218"/>
      <c r="X861" s="218"/>
      <c r="Y861" s="216"/>
      <c r="Z861" s="216"/>
      <c r="AA861" s="215"/>
      <c r="AB861" s="216"/>
      <c r="AC861" s="216"/>
      <c r="AD861" s="239"/>
      <c r="AE861" s="216"/>
      <c r="AF861" s="216"/>
      <c r="AG861" s="216"/>
      <c r="AH861" s="216"/>
      <c r="AI861" s="216"/>
      <c r="AJ861" s="216"/>
      <c r="AK861" s="239"/>
      <c r="AL861" s="216"/>
      <c r="AM861" s="216"/>
      <c r="AN861" s="216"/>
      <c r="AO861" s="216"/>
      <c r="AP861" s="216"/>
      <c r="AQ861" s="216"/>
      <c r="AR861" s="216"/>
      <c r="AS861" s="216"/>
      <c r="AT861" s="216"/>
      <c r="AU861" s="216"/>
      <c r="AV861" s="217"/>
      <c r="AW861" s="355"/>
      <c r="AX861" s="217"/>
      <c r="AY861" s="305"/>
      <c r="AZ861" s="249"/>
      <c r="BA861" s="221"/>
      <c r="BB861" s="300"/>
      <c r="BC861" s="217"/>
      <c r="BD861" s="392"/>
      <c r="BE861" s="1244"/>
      <c r="BF861" s="249"/>
      <c r="BG861" s="252"/>
      <c r="BH861" s="1469"/>
      <c r="BI861" s="216"/>
      <c r="BJ861" s="1469"/>
      <c r="BK861" s="1459"/>
      <c r="BL861" s="260"/>
      <c r="BM861" s="214"/>
      <c r="BN861" s="293"/>
      <c r="BO861" s="217"/>
      <c r="BP861" s="355"/>
      <c r="BQ861" s="217"/>
      <c r="BR861" s="1193"/>
      <c r="BS861" s="249"/>
      <c r="BT861" s="216"/>
      <c r="BU861" s="1195"/>
      <c r="BV861" s="249"/>
      <c r="BW861" s="216"/>
      <c r="BX861" s="1195"/>
      <c r="BY861" s="249"/>
      <c r="BZ861" s="216"/>
      <c r="CA861" s="1195"/>
      <c r="CB861" s="249"/>
      <c r="CC861" s="216"/>
      <c r="CD861" s="1195"/>
      <c r="CE861" s="249"/>
      <c r="CF861" s="216"/>
      <c r="CG861" s="1195"/>
      <c r="CH861" s="249"/>
      <c r="CI861" s="216"/>
      <c r="CJ861" s="1195"/>
      <c r="CK861" s="249"/>
      <c r="CL861" s="216"/>
      <c r="CM861" s="1194"/>
      <c r="CN861" s="1524"/>
      <c r="CO861" s="217"/>
      <c r="CP861" s="1193"/>
      <c r="CQ861" s="293"/>
      <c r="CR861" s="217"/>
      <c r="CS861" s="305"/>
      <c r="CT861" s="249"/>
      <c r="CU861" s="216"/>
      <c r="CV861" s="1193"/>
      <c r="CW861" s="249"/>
      <c r="CX861" s="216"/>
      <c r="CY861" s="305"/>
      <c r="CZ861" s="249"/>
      <c r="DA861" s="216"/>
      <c r="DB861" s="307"/>
      <c r="DC861" s="328"/>
      <c r="DD861" s="322"/>
      <c r="DE861" s="305"/>
      <c r="DF861" s="249"/>
      <c r="DG861" s="216"/>
      <c r="DH861" s="305"/>
      <c r="DI861" s="249"/>
      <c r="DJ861" s="216"/>
      <c r="DK861" s="309"/>
      <c r="DL861" s="293"/>
      <c r="DM861" s="326"/>
      <c r="DN861" s="1256"/>
      <c r="DO861" s="214"/>
      <c r="DP861" s="1257"/>
      <c r="DQ861" s="1258"/>
      <c r="DR861" s="305"/>
      <c r="DS861" s="249"/>
      <c r="DT861" s="216"/>
      <c r="DU861" s="305"/>
      <c r="DV861" s="2520"/>
      <c r="DW861" s="2521"/>
      <c r="DX861" s="305"/>
      <c r="DY861" s="249"/>
      <c r="DZ861" s="221"/>
      <c r="EA861" s="388"/>
      <c r="EB861" s="249"/>
      <c r="EC861" s="216"/>
      <c r="ED861" s="1461"/>
      <c r="EE861" s="249"/>
      <c r="EF861" s="216"/>
      <c r="EG861" s="355"/>
      <c r="EH861" s="1425"/>
      <c r="EI861" s="1470"/>
      <c r="EJ861" s="249"/>
      <c r="EK861" s="221"/>
      <c r="EL861" s="313"/>
      <c r="EM861" s="249"/>
      <c r="EN861" s="221"/>
      <c r="EO861" s="313"/>
      <c r="EP861" s="249"/>
      <c r="EQ861" s="216"/>
      <c r="ER861" s="313"/>
      <c r="ES861" s="249"/>
      <c r="ET861" s="216"/>
      <c r="EU861" s="313"/>
      <c r="EV861" s="249"/>
      <c r="EW861" s="216"/>
      <c r="EX861" s="2505"/>
      <c r="EY861" s="249"/>
      <c r="EZ861" s="221"/>
      <c r="FA861" s="313"/>
      <c r="FB861" s="249"/>
      <c r="FC861" s="221"/>
      <c r="FD861" s="313"/>
      <c r="FE861" s="249"/>
      <c r="FF861" s="221"/>
      <c r="FG861" s="313"/>
      <c r="FH861" s="249"/>
      <c r="FI861" s="216"/>
      <c r="FJ861" s="1435"/>
      <c r="FK861" s="216"/>
      <c r="FL861" s="1268"/>
      <c r="FM861" s="1655"/>
      <c r="FN861" s="1268"/>
      <c r="FO861" s="1655"/>
      <c r="FP861" s="1268"/>
      <c r="FQ861" s="1656"/>
      <c r="FR861" s="249"/>
      <c r="FS861" s="216"/>
      <c r="FT861" s="1657"/>
      <c r="FU861" s="1658"/>
      <c r="FV861" s="242"/>
      <c r="FW861" s="343"/>
      <c r="FX861" s="222"/>
      <c r="FY861" s="336"/>
      <c r="FZ861" s="223"/>
      <c r="GA861" s="338"/>
      <c r="GB861" s="204"/>
      <c r="GC861" s="339"/>
      <c r="GD861" s="342"/>
      <c r="GE861" s="199"/>
      <c r="GF861" s="199"/>
      <c r="GG861" s="199"/>
      <c r="GH861" s="199"/>
      <c r="GI861" s="199"/>
      <c r="GJ861" s="199"/>
      <c r="GK861" s="199"/>
      <c r="GO861" s="322"/>
      <c r="GP861" s="1190"/>
      <c r="GQ861" s="1190"/>
      <c r="GS861" s="2879"/>
      <c r="GT861" s="2880"/>
      <c r="GU861" s="2881"/>
    </row>
    <row r="862" spans="1:203" ht="12" customHeight="1">
      <c r="A862" s="1252"/>
      <c r="B862" s="200"/>
      <c r="C862" s="486"/>
      <c r="T862" s="1186"/>
      <c r="U862" s="233"/>
      <c r="W862" s="218"/>
      <c r="X862" s="218"/>
      <c r="Y862" s="216"/>
      <c r="Z862" s="216"/>
      <c r="AA862" s="215"/>
      <c r="AB862" s="216"/>
      <c r="AC862" s="216"/>
      <c r="AD862" s="239"/>
      <c r="AE862" s="216"/>
      <c r="AF862" s="216"/>
      <c r="AG862" s="216"/>
      <c r="AH862" s="216"/>
      <c r="AI862" s="216"/>
      <c r="AJ862" s="216"/>
      <c r="AK862" s="239"/>
      <c r="AL862" s="216"/>
      <c r="AM862" s="216"/>
      <c r="AN862" s="216"/>
      <c r="AO862" s="216"/>
      <c r="AP862" s="216"/>
      <c r="AQ862" s="216"/>
      <c r="AR862" s="216"/>
      <c r="AS862" s="216"/>
      <c r="AT862" s="216"/>
      <c r="AU862" s="216"/>
      <c r="AV862" s="217"/>
      <c r="AW862" s="355"/>
      <c r="AX862" s="217"/>
      <c r="AY862" s="305"/>
      <c r="AZ862" s="249"/>
      <c r="BA862" s="221"/>
      <c r="BB862" s="300"/>
      <c r="BC862" s="217"/>
      <c r="BD862" s="392"/>
      <c r="BE862" s="1244"/>
      <c r="BF862" s="249"/>
      <c r="BG862" s="252"/>
      <c r="BH862" s="1469"/>
      <c r="BI862" s="216"/>
      <c r="BJ862" s="1469"/>
      <c r="BK862" s="1459"/>
      <c r="BL862" s="260"/>
      <c r="BM862" s="214"/>
      <c r="BN862" s="293"/>
      <c r="BO862" s="217"/>
      <c r="BP862" s="355"/>
      <c r="BQ862" s="217"/>
      <c r="BR862" s="1193"/>
      <c r="BS862" s="249"/>
      <c r="BT862" s="216"/>
      <c r="BU862" s="1195"/>
      <c r="BV862" s="249"/>
      <c r="BW862" s="216"/>
      <c r="BX862" s="1195"/>
      <c r="BY862" s="249"/>
      <c r="BZ862" s="216"/>
      <c r="CA862" s="1195"/>
      <c r="CB862" s="249"/>
      <c r="CC862" s="216"/>
      <c r="CD862" s="1195"/>
      <c r="CE862" s="249"/>
      <c r="CF862" s="216"/>
      <c r="CG862" s="1195"/>
      <c r="CH862" s="249"/>
      <c r="CI862" s="216"/>
      <c r="CJ862" s="1195"/>
      <c r="CK862" s="249"/>
      <c r="CL862" s="216"/>
      <c r="CM862" s="1194"/>
      <c r="CN862" s="1524"/>
      <c r="CO862" s="217"/>
      <c r="CP862" s="1193"/>
      <c r="CQ862" s="293"/>
      <c r="CR862" s="217"/>
      <c r="CS862" s="305"/>
      <c r="CT862" s="249"/>
      <c r="CU862" s="216"/>
      <c r="CV862" s="1193"/>
      <c r="CW862" s="249"/>
      <c r="CX862" s="216"/>
      <c r="CY862" s="305"/>
      <c r="CZ862" s="249"/>
      <c r="DA862" s="216"/>
      <c r="DB862" s="307"/>
      <c r="DC862" s="328"/>
      <c r="DD862" s="322"/>
      <c r="DE862" s="305"/>
      <c r="DF862" s="249"/>
      <c r="DG862" s="216"/>
      <c r="DH862" s="305"/>
      <c r="DI862" s="249"/>
      <c r="DJ862" s="216"/>
      <c r="DK862" s="309"/>
      <c r="DL862" s="293"/>
      <c r="DM862" s="326"/>
      <c r="DN862" s="1256"/>
      <c r="DO862" s="214"/>
      <c r="DP862" s="1257"/>
      <c r="DQ862" s="1258"/>
      <c r="DR862" s="305"/>
      <c r="DS862" s="249"/>
      <c r="DT862" s="216"/>
      <c r="DU862" s="305"/>
      <c r="DV862" s="2520"/>
      <c r="DW862" s="2521"/>
      <c r="DX862" s="305"/>
      <c r="DY862" s="249"/>
      <c r="DZ862" s="221"/>
      <c r="EA862" s="388"/>
      <c r="EB862" s="249"/>
      <c r="EC862" s="216"/>
      <c r="ED862" s="1461"/>
      <c r="EE862" s="249"/>
      <c r="EF862" s="216"/>
      <c r="EG862" s="355"/>
      <c r="EH862" s="1425"/>
      <c r="EI862" s="1470"/>
      <c r="EJ862" s="249"/>
      <c r="EK862" s="221"/>
      <c r="EL862" s="313"/>
      <c r="EM862" s="249"/>
      <c r="EN862" s="221"/>
      <c r="EO862" s="313"/>
      <c r="EP862" s="249"/>
      <c r="EQ862" s="216"/>
      <c r="ER862" s="313"/>
      <c r="ES862" s="249"/>
      <c r="ET862" s="216"/>
      <c r="EU862" s="313"/>
      <c r="EV862" s="249"/>
      <c r="EW862" s="216"/>
      <c r="EX862" s="2505"/>
      <c r="EY862" s="249"/>
      <c r="EZ862" s="221"/>
      <c r="FA862" s="313"/>
      <c r="FB862" s="249"/>
      <c r="FC862" s="221"/>
      <c r="FD862" s="313"/>
      <c r="FE862" s="249"/>
      <c r="FF862" s="221"/>
      <c r="FG862" s="313"/>
      <c r="FH862" s="249"/>
      <c r="FI862" s="216"/>
      <c r="FJ862" s="1435"/>
      <c r="FK862" s="216"/>
      <c r="FL862" s="1268"/>
      <c r="FM862" s="1655"/>
      <c r="FN862" s="1268"/>
      <c r="FO862" s="1655"/>
      <c r="FP862" s="1268"/>
      <c r="FQ862" s="1656"/>
      <c r="FR862" s="249"/>
      <c r="FS862" s="216"/>
      <c r="FT862" s="1657"/>
      <c r="FU862" s="1658"/>
      <c r="FV862" s="242"/>
      <c r="FW862" s="343"/>
      <c r="FX862" s="222"/>
      <c r="FY862" s="336"/>
      <c r="FZ862" s="223"/>
      <c r="GA862" s="338"/>
      <c r="GB862" s="204"/>
      <c r="GC862" s="339"/>
      <c r="GD862" s="342"/>
      <c r="GE862" s="199"/>
      <c r="GF862" s="199"/>
      <c r="GG862" s="199"/>
      <c r="GH862" s="199"/>
      <c r="GI862" s="199"/>
      <c r="GJ862" s="199"/>
      <c r="GK862" s="199"/>
      <c r="GO862" s="322"/>
      <c r="GP862" s="1190"/>
      <c r="GQ862" s="1190"/>
      <c r="GS862" s="2879"/>
      <c r="GT862" s="2880"/>
      <c r="GU862" s="2881"/>
    </row>
    <row r="863" spans="1:203" ht="12" customHeight="1">
      <c r="A863" s="1252"/>
      <c r="B863" s="200"/>
      <c r="C863" s="486"/>
      <c r="T863" s="1186"/>
      <c r="U863" s="233"/>
      <c r="W863" s="218"/>
      <c r="X863" s="218"/>
      <c r="Y863" s="216"/>
      <c r="Z863" s="216"/>
      <c r="AA863" s="215"/>
      <c r="AB863" s="216"/>
      <c r="AC863" s="216"/>
      <c r="AD863" s="239"/>
      <c r="AE863" s="216"/>
      <c r="AF863" s="216"/>
      <c r="AG863" s="216"/>
      <c r="AH863" s="216"/>
      <c r="AI863" s="216"/>
      <c r="AJ863" s="216"/>
      <c r="AK863" s="239"/>
      <c r="AL863" s="216"/>
      <c r="AM863" s="216"/>
      <c r="AN863" s="216"/>
      <c r="AO863" s="216"/>
      <c r="AP863" s="216"/>
      <c r="AQ863" s="216"/>
      <c r="AR863" s="216"/>
      <c r="AS863" s="216"/>
      <c r="AT863" s="216"/>
      <c r="AU863" s="216"/>
      <c r="AV863" s="217"/>
      <c r="AW863" s="355"/>
      <c r="AX863" s="217"/>
      <c r="AY863" s="305"/>
      <c r="AZ863" s="249"/>
      <c r="BA863" s="221"/>
      <c r="BB863" s="300"/>
      <c r="BC863" s="217"/>
      <c r="BD863" s="392"/>
      <c r="BE863" s="1244"/>
      <c r="BF863" s="249"/>
      <c r="BG863" s="252"/>
      <c r="BH863" s="1469"/>
      <c r="BI863" s="216"/>
      <c r="BJ863" s="1469"/>
      <c r="BK863" s="1459"/>
      <c r="BL863" s="260"/>
      <c r="BM863" s="214"/>
      <c r="BN863" s="293"/>
      <c r="BO863" s="217"/>
      <c r="BP863" s="355"/>
      <c r="BQ863" s="217"/>
      <c r="BR863" s="1193"/>
      <c r="BS863" s="249"/>
      <c r="BT863" s="216"/>
      <c r="BU863" s="1195"/>
      <c r="BV863" s="249"/>
      <c r="BW863" s="216"/>
      <c r="BX863" s="1195"/>
      <c r="BY863" s="249"/>
      <c r="BZ863" s="216"/>
      <c r="CA863" s="1195"/>
      <c r="CB863" s="249"/>
      <c r="CC863" s="216"/>
      <c r="CD863" s="1195"/>
      <c r="CE863" s="249"/>
      <c r="CF863" s="216"/>
      <c r="CG863" s="1195"/>
      <c r="CH863" s="249"/>
      <c r="CI863" s="216"/>
      <c r="CJ863" s="1195"/>
      <c r="CK863" s="249"/>
      <c r="CL863" s="216"/>
      <c r="CM863" s="1194"/>
      <c r="CN863" s="1524"/>
      <c r="CO863" s="217"/>
      <c r="CP863" s="1193"/>
      <c r="CQ863" s="293"/>
      <c r="CR863" s="217"/>
      <c r="CS863" s="305"/>
      <c r="CT863" s="249"/>
      <c r="CU863" s="216"/>
      <c r="CV863" s="1193"/>
      <c r="CW863" s="249"/>
      <c r="CX863" s="216"/>
      <c r="CY863" s="305"/>
      <c r="CZ863" s="249"/>
      <c r="DA863" s="216"/>
      <c r="DB863" s="307"/>
      <c r="DC863" s="328"/>
      <c r="DD863" s="322"/>
      <c r="DE863" s="305"/>
      <c r="DF863" s="249"/>
      <c r="DG863" s="216"/>
      <c r="DH863" s="305"/>
      <c r="DI863" s="249"/>
      <c r="DJ863" s="216"/>
      <c r="DK863" s="309"/>
      <c r="DL863" s="293"/>
      <c r="DM863" s="326"/>
      <c r="DN863" s="1256"/>
      <c r="DO863" s="214"/>
      <c r="DP863" s="1257"/>
      <c r="DQ863" s="1258"/>
      <c r="DR863" s="305"/>
      <c r="DS863" s="249"/>
      <c r="DT863" s="216"/>
      <c r="DU863" s="305"/>
      <c r="DV863" s="2520"/>
      <c r="DW863" s="2521"/>
      <c r="DX863" s="305"/>
      <c r="DY863" s="249"/>
      <c r="DZ863" s="221"/>
      <c r="EA863" s="388"/>
      <c r="EB863" s="249"/>
      <c r="EC863" s="216"/>
      <c r="ED863" s="1461"/>
      <c r="EE863" s="249"/>
      <c r="EF863" s="216"/>
      <c r="EG863" s="355"/>
      <c r="EH863" s="1425"/>
      <c r="EI863" s="1470"/>
      <c r="EJ863" s="249"/>
      <c r="EK863" s="221"/>
      <c r="EL863" s="313"/>
      <c r="EM863" s="249"/>
      <c r="EN863" s="221"/>
      <c r="EO863" s="313"/>
      <c r="EP863" s="249"/>
      <c r="EQ863" s="216"/>
      <c r="ER863" s="313"/>
      <c r="ES863" s="249"/>
      <c r="ET863" s="216"/>
      <c r="EU863" s="313"/>
      <c r="EV863" s="249"/>
      <c r="EW863" s="216"/>
      <c r="EX863" s="2505"/>
      <c r="EY863" s="249"/>
      <c r="EZ863" s="221"/>
      <c r="FA863" s="313"/>
      <c r="FB863" s="249"/>
      <c r="FC863" s="221"/>
      <c r="FD863" s="313"/>
      <c r="FE863" s="249"/>
      <c r="FF863" s="221"/>
      <c r="FG863" s="313"/>
      <c r="FH863" s="249"/>
      <c r="FI863" s="216"/>
      <c r="FJ863" s="1435"/>
      <c r="FK863" s="216"/>
      <c r="FL863" s="1268"/>
      <c r="FM863" s="1655"/>
      <c r="FN863" s="1268"/>
      <c r="FO863" s="1655"/>
      <c r="FP863" s="1268"/>
      <c r="FQ863" s="1656"/>
      <c r="FR863" s="249"/>
      <c r="FS863" s="216"/>
      <c r="FT863" s="1657"/>
      <c r="FU863" s="1658"/>
      <c r="FV863" s="242"/>
      <c r="FW863" s="343"/>
      <c r="FX863" s="222"/>
      <c r="FY863" s="336"/>
      <c r="FZ863" s="223"/>
      <c r="GA863" s="338"/>
      <c r="GB863" s="204"/>
      <c r="GC863" s="339"/>
      <c r="GD863" s="342"/>
      <c r="GE863" s="199"/>
      <c r="GF863" s="199"/>
      <c r="GG863" s="199"/>
      <c r="GH863" s="199"/>
      <c r="GI863" s="199"/>
      <c r="GJ863" s="199"/>
      <c r="GK863" s="199"/>
      <c r="GO863" s="322"/>
      <c r="GP863" s="1190"/>
      <c r="GQ863" s="1190"/>
      <c r="GS863" s="2879"/>
      <c r="GT863" s="2880"/>
      <c r="GU863" s="2881"/>
    </row>
    <row r="864" spans="1:203" ht="12" customHeight="1">
      <c r="A864" s="1252"/>
      <c r="B864" s="200"/>
      <c r="C864" s="486"/>
      <c r="T864" s="1186"/>
      <c r="U864" s="233"/>
      <c r="W864" s="218"/>
      <c r="X864" s="218"/>
      <c r="Y864" s="216"/>
      <c r="Z864" s="216"/>
      <c r="AA864" s="215"/>
      <c r="AB864" s="216"/>
      <c r="AC864" s="216"/>
      <c r="AD864" s="239"/>
      <c r="AE864" s="216"/>
      <c r="AF864" s="216"/>
      <c r="AG864" s="216"/>
      <c r="AH864" s="216"/>
      <c r="AI864" s="216"/>
      <c r="AJ864" s="216"/>
      <c r="AK864" s="239"/>
      <c r="AL864" s="216"/>
      <c r="AM864" s="216"/>
      <c r="AN864" s="216"/>
      <c r="AO864" s="216"/>
      <c r="AP864" s="216"/>
      <c r="AQ864" s="216"/>
      <c r="AR864" s="216"/>
      <c r="AS864" s="216"/>
      <c r="AT864" s="216"/>
      <c r="AU864" s="216"/>
      <c r="AV864" s="217"/>
      <c r="AW864" s="355"/>
      <c r="AX864" s="217"/>
      <c r="AY864" s="305"/>
      <c r="AZ864" s="249"/>
      <c r="BA864" s="221"/>
      <c r="BB864" s="300"/>
      <c r="BC864" s="217"/>
      <c r="BD864" s="392"/>
      <c r="BE864" s="1244"/>
      <c r="BF864" s="249"/>
      <c r="BG864" s="252"/>
      <c r="BH864" s="1469"/>
      <c r="BI864" s="216"/>
      <c r="BJ864" s="1469"/>
      <c r="BK864" s="1459"/>
      <c r="BL864" s="260"/>
      <c r="BM864" s="214"/>
      <c r="BN864" s="293"/>
      <c r="BO864" s="217"/>
      <c r="BP864" s="355"/>
      <c r="BQ864" s="217"/>
      <c r="BR864" s="1193"/>
      <c r="BS864" s="249"/>
      <c r="BT864" s="216"/>
      <c r="BU864" s="1195"/>
      <c r="BV864" s="249"/>
      <c r="BW864" s="216"/>
      <c r="BX864" s="1195"/>
      <c r="BY864" s="249"/>
      <c r="BZ864" s="216"/>
      <c r="CA864" s="1195"/>
      <c r="CB864" s="249"/>
      <c r="CC864" s="216"/>
      <c r="CD864" s="1195"/>
      <c r="CE864" s="249"/>
      <c r="CF864" s="216"/>
      <c r="CG864" s="1195"/>
      <c r="CH864" s="249"/>
      <c r="CI864" s="216"/>
      <c r="CJ864" s="1195"/>
      <c r="CK864" s="249"/>
      <c r="CL864" s="216"/>
      <c r="CM864" s="1194"/>
      <c r="CN864" s="1524"/>
      <c r="CO864" s="217"/>
      <c r="CP864" s="1193"/>
      <c r="CQ864" s="293"/>
      <c r="CR864" s="217"/>
      <c r="CS864" s="305"/>
      <c r="CT864" s="249"/>
      <c r="CU864" s="216"/>
      <c r="CV864" s="1193"/>
      <c r="CW864" s="249"/>
      <c r="CX864" s="216"/>
      <c r="CY864" s="305"/>
      <c r="CZ864" s="249"/>
      <c r="DA864" s="216"/>
      <c r="DB864" s="307"/>
      <c r="DC864" s="328"/>
      <c r="DD864" s="322"/>
      <c r="DE864" s="305"/>
      <c r="DF864" s="249"/>
      <c r="DG864" s="216"/>
      <c r="DH864" s="305"/>
      <c r="DI864" s="249"/>
      <c r="DJ864" s="216"/>
      <c r="DK864" s="309"/>
      <c r="DL864" s="293"/>
      <c r="DM864" s="326"/>
      <c r="DN864" s="1256"/>
      <c r="DO864" s="214"/>
      <c r="DP864" s="1257"/>
      <c r="DQ864" s="1258"/>
      <c r="DR864" s="305"/>
      <c r="DS864" s="249"/>
      <c r="DT864" s="216"/>
      <c r="DU864" s="305"/>
      <c r="DV864" s="2520"/>
      <c r="DW864" s="2521"/>
      <c r="DX864" s="305"/>
      <c r="DY864" s="249"/>
      <c r="DZ864" s="221"/>
      <c r="EA864" s="388"/>
      <c r="EB864" s="249"/>
      <c r="EC864" s="216"/>
      <c r="ED864" s="1461"/>
      <c r="EE864" s="249"/>
      <c r="EF864" s="216"/>
      <c r="EG864" s="355"/>
      <c r="EH864" s="1425"/>
      <c r="EI864" s="1470"/>
      <c r="EJ864" s="249"/>
      <c r="EK864" s="221"/>
      <c r="EL864" s="313"/>
      <c r="EM864" s="249"/>
      <c r="EN864" s="221"/>
      <c r="EO864" s="313"/>
      <c r="EP864" s="249"/>
      <c r="EQ864" s="216"/>
      <c r="ER864" s="313"/>
      <c r="ES864" s="249"/>
      <c r="ET864" s="216"/>
      <c r="EU864" s="313"/>
      <c r="EV864" s="249"/>
      <c r="EW864" s="216"/>
      <c r="EX864" s="2505"/>
      <c r="EY864" s="249"/>
      <c r="EZ864" s="221"/>
      <c r="FA864" s="313"/>
      <c r="FB864" s="249"/>
      <c r="FC864" s="221"/>
      <c r="FD864" s="313"/>
      <c r="FE864" s="249"/>
      <c r="FF864" s="221"/>
      <c r="FG864" s="313"/>
      <c r="FH864" s="249"/>
      <c r="FI864" s="216"/>
      <c r="FJ864" s="1435"/>
      <c r="FK864" s="216"/>
      <c r="FL864" s="1268"/>
      <c r="FM864" s="1655"/>
      <c r="FN864" s="1268"/>
      <c r="FO864" s="1655"/>
      <c r="FP864" s="1268"/>
      <c r="FQ864" s="1656"/>
      <c r="FR864" s="249"/>
      <c r="FS864" s="216"/>
      <c r="FT864" s="1657"/>
      <c r="FU864" s="1658"/>
      <c r="FV864" s="242"/>
      <c r="FW864" s="343"/>
      <c r="FX864" s="222"/>
      <c r="FY864" s="336"/>
      <c r="FZ864" s="223"/>
      <c r="GA864" s="338"/>
      <c r="GB864" s="204"/>
      <c r="GC864" s="339"/>
      <c r="GD864" s="342"/>
      <c r="GE864" s="199"/>
      <c r="GF864" s="199"/>
      <c r="GG864" s="199"/>
      <c r="GH864" s="199"/>
      <c r="GI864" s="199"/>
      <c r="GJ864" s="199"/>
      <c r="GK864" s="199"/>
      <c r="GO864" s="322"/>
      <c r="GP864" s="1190"/>
      <c r="GQ864" s="1190"/>
      <c r="GS864" s="2879"/>
      <c r="GT864" s="2880"/>
      <c r="GU864" s="2881"/>
    </row>
    <row r="865" spans="1:203" ht="12" customHeight="1">
      <c r="A865" s="1252"/>
      <c r="B865" s="200"/>
      <c r="C865" s="486"/>
      <c r="T865" s="1186"/>
      <c r="U865" s="233"/>
      <c r="W865" s="218"/>
      <c r="X865" s="218"/>
      <c r="Y865" s="216"/>
      <c r="Z865" s="216"/>
      <c r="AA865" s="215"/>
      <c r="AB865" s="216"/>
      <c r="AC865" s="216"/>
      <c r="AD865" s="239"/>
      <c r="AE865" s="216"/>
      <c r="AF865" s="216"/>
      <c r="AG865" s="216"/>
      <c r="AH865" s="216"/>
      <c r="AI865" s="216"/>
      <c r="AJ865" s="216"/>
      <c r="AK865" s="239"/>
      <c r="AL865" s="216"/>
      <c r="AM865" s="216"/>
      <c r="AN865" s="216"/>
      <c r="AO865" s="216"/>
      <c r="AP865" s="216"/>
      <c r="AQ865" s="216"/>
      <c r="AR865" s="216"/>
      <c r="AS865" s="216"/>
      <c r="AT865" s="216"/>
      <c r="AU865" s="216"/>
      <c r="AV865" s="217"/>
      <c r="AW865" s="355"/>
      <c r="AX865" s="217"/>
      <c r="AY865" s="305"/>
      <c r="AZ865" s="249"/>
      <c r="BA865" s="221"/>
      <c r="BB865" s="300"/>
      <c r="BC865" s="217"/>
      <c r="BD865" s="392"/>
      <c r="BE865" s="1244"/>
      <c r="BF865" s="249"/>
      <c r="BG865" s="252"/>
      <c r="BH865" s="1469"/>
      <c r="BI865" s="216"/>
      <c r="BJ865" s="1469"/>
      <c r="BK865" s="1459"/>
      <c r="BL865" s="260"/>
      <c r="BM865" s="214"/>
      <c r="BN865" s="293"/>
      <c r="BO865" s="217"/>
      <c r="BP865" s="355"/>
      <c r="BQ865" s="217"/>
      <c r="BR865" s="1193"/>
      <c r="BS865" s="249"/>
      <c r="BT865" s="216"/>
      <c r="BU865" s="1195"/>
      <c r="BV865" s="249"/>
      <c r="BW865" s="216"/>
      <c r="BX865" s="1195"/>
      <c r="BY865" s="249"/>
      <c r="BZ865" s="216"/>
      <c r="CA865" s="1195"/>
      <c r="CB865" s="249"/>
      <c r="CC865" s="216"/>
      <c r="CD865" s="1195"/>
      <c r="CE865" s="249"/>
      <c r="CF865" s="216"/>
      <c r="CG865" s="1195"/>
      <c r="CH865" s="249"/>
      <c r="CI865" s="216"/>
      <c r="CJ865" s="1195"/>
      <c r="CK865" s="249"/>
      <c r="CL865" s="216"/>
      <c r="CM865" s="1194"/>
      <c r="CN865" s="1524"/>
      <c r="CO865" s="217"/>
      <c r="CP865" s="1193"/>
      <c r="CQ865" s="293"/>
      <c r="CR865" s="217"/>
      <c r="CS865" s="305"/>
      <c r="CT865" s="249"/>
      <c r="CU865" s="216"/>
      <c r="CV865" s="1193"/>
      <c r="CW865" s="249"/>
      <c r="CX865" s="216"/>
      <c r="CY865" s="305"/>
      <c r="CZ865" s="249"/>
      <c r="DA865" s="216"/>
      <c r="DB865" s="307"/>
      <c r="DC865" s="328"/>
      <c r="DD865" s="322"/>
      <c r="DE865" s="305"/>
      <c r="DF865" s="249"/>
      <c r="DG865" s="216"/>
      <c r="DH865" s="305"/>
      <c r="DI865" s="249"/>
      <c r="DJ865" s="216"/>
      <c r="DK865" s="309"/>
      <c r="DL865" s="293"/>
      <c r="DM865" s="326"/>
      <c r="DN865" s="1256"/>
      <c r="DO865" s="214"/>
      <c r="DP865" s="1257"/>
      <c r="DQ865" s="1258"/>
      <c r="DR865" s="305"/>
      <c r="DS865" s="249"/>
      <c r="DT865" s="216"/>
      <c r="DU865" s="305"/>
      <c r="DV865" s="2520"/>
      <c r="DW865" s="2521"/>
      <c r="DX865" s="305"/>
      <c r="DY865" s="249"/>
      <c r="DZ865" s="221"/>
      <c r="EA865" s="388"/>
      <c r="EB865" s="249"/>
      <c r="EC865" s="216"/>
      <c r="ED865" s="1461"/>
      <c r="EE865" s="249"/>
      <c r="EF865" s="216"/>
      <c r="EG865" s="355"/>
      <c r="EH865" s="1425"/>
      <c r="EI865" s="1470"/>
      <c r="EJ865" s="249"/>
      <c r="EK865" s="221"/>
      <c r="EL865" s="313"/>
      <c r="EM865" s="249"/>
      <c r="EN865" s="221"/>
      <c r="EO865" s="313"/>
      <c r="EP865" s="249"/>
      <c r="EQ865" s="216"/>
      <c r="ER865" s="313"/>
      <c r="ES865" s="249"/>
      <c r="ET865" s="216"/>
      <c r="EU865" s="313"/>
      <c r="EV865" s="249"/>
      <c r="EW865" s="216"/>
      <c r="EX865" s="2505"/>
      <c r="EY865" s="249"/>
      <c r="EZ865" s="221"/>
      <c r="FA865" s="313"/>
      <c r="FB865" s="249"/>
      <c r="FC865" s="221"/>
      <c r="FD865" s="313"/>
      <c r="FE865" s="249"/>
      <c r="FF865" s="221"/>
      <c r="FG865" s="313"/>
      <c r="FH865" s="249"/>
      <c r="FI865" s="216"/>
      <c r="FJ865" s="1435"/>
      <c r="FK865" s="216"/>
      <c r="FL865" s="1268"/>
      <c r="FM865" s="1655"/>
      <c r="FN865" s="1268"/>
      <c r="FO865" s="1655"/>
      <c r="FP865" s="1268"/>
      <c r="FQ865" s="1656"/>
      <c r="FR865" s="249"/>
      <c r="FS865" s="216"/>
      <c r="FT865" s="1657"/>
      <c r="FU865" s="1658"/>
      <c r="FV865" s="242"/>
      <c r="FW865" s="343"/>
      <c r="FX865" s="222"/>
      <c r="FY865" s="336"/>
      <c r="FZ865" s="223"/>
      <c r="GA865" s="338"/>
      <c r="GB865" s="204"/>
      <c r="GC865" s="339"/>
      <c r="GD865" s="342"/>
      <c r="GE865" s="199"/>
      <c r="GF865" s="199"/>
      <c r="GG865" s="199"/>
      <c r="GH865" s="199"/>
      <c r="GI865" s="199"/>
      <c r="GJ865" s="199"/>
      <c r="GK865" s="199"/>
      <c r="GO865" s="322"/>
      <c r="GP865" s="1190"/>
      <c r="GQ865" s="1190"/>
      <c r="GS865" s="2879"/>
      <c r="GT865" s="2880"/>
      <c r="GU865" s="2881"/>
    </row>
    <row r="866" spans="1:203" ht="12" customHeight="1">
      <c r="A866" s="1252"/>
      <c r="B866" s="200"/>
      <c r="C866" s="486"/>
      <c r="T866" s="1186"/>
      <c r="U866" s="233"/>
      <c r="W866" s="218"/>
      <c r="X866" s="218"/>
      <c r="Y866" s="216"/>
      <c r="Z866" s="216"/>
      <c r="AA866" s="215"/>
      <c r="AB866" s="216"/>
      <c r="AC866" s="216"/>
      <c r="AD866" s="239"/>
      <c r="AE866" s="216"/>
      <c r="AF866" s="216"/>
      <c r="AG866" s="216"/>
      <c r="AH866" s="216"/>
      <c r="AI866" s="216"/>
      <c r="AJ866" s="216"/>
      <c r="AK866" s="239"/>
      <c r="AL866" s="216"/>
      <c r="AM866" s="216"/>
      <c r="AN866" s="216"/>
      <c r="AO866" s="216"/>
      <c r="AP866" s="216"/>
      <c r="AQ866" s="216"/>
      <c r="AR866" s="216"/>
      <c r="AS866" s="216"/>
      <c r="AT866" s="216"/>
      <c r="AU866" s="216"/>
      <c r="AV866" s="217"/>
      <c r="AW866" s="355"/>
      <c r="AX866" s="217"/>
      <c r="AY866" s="305"/>
      <c r="AZ866" s="249"/>
      <c r="BA866" s="221"/>
      <c r="BB866" s="300"/>
      <c r="BC866" s="217"/>
      <c r="BD866" s="392"/>
      <c r="BE866" s="1244"/>
      <c r="BF866" s="249"/>
      <c r="BG866" s="252"/>
      <c r="BH866" s="1469"/>
      <c r="BI866" s="216"/>
      <c r="BJ866" s="1469"/>
      <c r="BK866" s="1459"/>
      <c r="BL866" s="260"/>
      <c r="BM866" s="214"/>
      <c r="BN866" s="293"/>
      <c r="BO866" s="217"/>
      <c r="BP866" s="355"/>
      <c r="BQ866" s="217"/>
      <c r="BR866" s="1193"/>
      <c r="BS866" s="249"/>
      <c r="BT866" s="216"/>
      <c r="BU866" s="1195"/>
      <c r="BV866" s="249"/>
      <c r="BW866" s="216"/>
      <c r="BX866" s="1195"/>
      <c r="BY866" s="249"/>
      <c r="BZ866" s="216"/>
      <c r="CA866" s="1195"/>
      <c r="CB866" s="249"/>
      <c r="CC866" s="216"/>
      <c r="CD866" s="1195"/>
      <c r="CE866" s="249"/>
      <c r="CF866" s="216"/>
      <c r="CG866" s="1195"/>
      <c r="CH866" s="249"/>
      <c r="CI866" s="216"/>
      <c r="CJ866" s="1195"/>
      <c r="CK866" s="249"/>
      <c r="CL866" s="216"/>
      <c r="CM866" s="1194"/>
      <c r="CN866" s="1524"/>
      <c r="CO866" s="217"/>
      <c r="CP866" s="1193"/>
      <c r="CQ866" s="293"/>
      <c r="CR866" s="217"/>
      <c r="CS866" s="305"/>
      <c r="CT866" s="249"/>
      <c r="CU866" s="216"/>
      <c r="CV866" s="1193"/>
      <c r="CW866" s="249"/>
      <c r="CX866" s="216"/>
      <c r="CY866" s="305"/>
      <c r="CZ866" s="249"/>
      <c r="DA866" s="216"/>
      <c r="DB866" s="307"/>
      <c r="DC866" s="328"/>
      <c r="DD866" s="322"/>
      <c r="DE866" s="305"/>
      <c r="DF866" s="249"/>
      <c r="DG866" s="216"/>
      <c r="DH866" s="305"/>
      <c r="DI866" s="249"/>
      <c r="DJ866" s="216"/>
      <c r="DK866" s="309"/>
      <c r="DL866" s="293"/>
      <c r="DM866" s="326"/>
      <c r="DN866" s="1256"/>
      <c r="DO866" s="214"/>
      <c r="DP866" s="1257"/>
      <c r="DQ866" s="1258"/>
      <c r="DR866" s="305"/>
      <c r="DS866" s="249"/>
      <c r="DT866" s="216"/>
      <c r="DU866" s="305"/>
      <c r="DV866" s="2520"/>
      <c r="DW866" s="2521"/>
      <c r="DX866" s="305"/>
      <c r="DY866" s="249"/>
      <c r="DZ866" s="221"/>
      <c r="EA866" s="388"/>
      <c r="EB866" s="249"/>
      <c r="EC866" s="216"/>
      <c r="ED866" s="1461"/>
      <c r="EE866" s="249"/>
      <c r="EF866" s="216"/>
      <c r="EG866" s="355"/>
      <c r="EH866" s="1425"/>
      <c r="EI866" s="1470"/>
      <c r="EJ866" s="249"/>
      <c r="EK866" s="221"/>
      <c r="EL866" s="313"/>
      <c r="EM866" s="249"/>
      <c r="EN866" s="221"/>
      <c r="EO866" s="313"/>
      <c r="EP866" s="249"/>
      <c r="EQ866" s="216"/>
      <c r="ER866" s="313"/>
      <c r="ES866" s="249"/>
      <c r="ET866" s="216"/>
      <c r="EU866" s="313"/>
      <c r="EV866" s="249"/>
      <c r="EW866" s="216"/>
      <c r="EX866" s="2505"/>
      <c r="EY866" s="249"/>
      <c r="EZ866" s="221"/>
      <c r="FA866" s="313"/>
      <c r="FB866" s="249"/>
      <c r="FC866" s="221"/>
      <c r="FD866" s="313"/>
      <c r="FE866" s="249"/>
      <c r="FF866" s="221"/>
      <c r="FG866" s="313"/>
      <c r="FH866" s="249"/>
      <c r="FI866" s="216"/>
      <c r="FJ866" s="1435"/>
      <c r="FK866" s="216"/>
      <c r="FL866" s="1268"/>
      <c r="FM866" s="1655"/>
      <c r="FN866" s="1268"/>
      <c r="FO866" s="1655"/>
      <c r="FP866" s="1268"/>
      <c r="FQ866" s="1656"/>
      <c r="FR866" s="249"/>
      <c r="FS866" s="216"/>
      <c r="FT866" s="1657"/>
      <c r="FU866" s="1658"/>
      <c r="FV866" s="242"/>
      <c r="FW866" s="343"/>
      <c r="FX866" s="222"/>
      <c r="FY866" s="336"/>
      <c r="FZ866" s="223"/>
      <c r="GA866" s="338"/>
      <c r="GB866" s="204"/>
      <c r="GC866" s="339"/>
      <c r="GD866" s="342"/>
      <c r="GE866" s="199"/>
      <c r="GF866" s="199"/>
      <c r="GG866" s="199"/>
      <c r="GH866" s="199"/>
      <c r="GI866" s="199"/>
      <c r="GJ866" s="199"/>
      <c r="GK866" s="199"/>
      <c r="GO866" s="322"/>
      <c r="GP866" s="1190"/>
      <c r="GQ866" s="1190"/>
      <c r="GS866" s="2879"/>
      <c r="GT866" s="2880"/>
      <c r="GU866" s="2881"/>
    </row>
    <row r="867" spans="1:203" ht="12" customHeight="1">
      <c r="A867" s="1252"/>
      <c r="B867" s="200"/>
      <c r="C867" s="486"/>
      <c r="T867" s="1186"/>
      <c r="U867" s="233"/>
      <c r="W867" s="218"/>
      <c r="X867" s="218"/>
      <c r="Y867" s="216"/>
      <c r="Z867" s="216"/>
      <c r="AA867" s="215"/>
      <c r="AB867" s="216"/>
      <c r="AC867" s="216"/>
      <c r="AD867" s="239"/>
      <c r="AE867" s="216"/>
      <c r="AF867" s="216"/>
      <c r="AG867" s="216"/>
      <c r="AH867" s="216"/>
      <c r="AI867" s="216"/>
      <c r="AJ867" s="216"/>
      <c r="AK867" s="239"/>
      <c r="AL867" s="216"/>
      <c r="AM867" s="216"/>
      <c r="AN867" s="216"/>
      <c r="AO867" s="216"/>
      <c r="AP867" s="216"/>
      <c r="AQ867" s="216"/>
      <c r="AR867" s="216"/>
      <c r="AS867" s="216"/>
      <c r="AT867" s="216"/>
      <c r="AU867" s="216"/>
      <c r="AV867" s="217"/>
      <c r="AW867" s="355"/>
      <c r="AX867" s="217"/>
      <c r="AY867" s="305"/>
      <c r="AZ867" s="249"/>
      <c r="BA867" s="221"/>
      <c r="BB867" s="300"/>
      <c r="BC867" s="217"/>
      <c r="BD867" s="392"/>
      <c r="BE867" s="1244"/>
      <c r="BF867" s="249"/>
      <c r="BG867" s="252"/>
      <c r="BH867" s="1469"/>
      <c r="BI867" s="216"/>
      <c r="BJ867" s="1469"/>
      <c r="BK867" s="1459"/>
      <c r="BL867" s="260"/>
      <c r="BM867" s="214"/>
      <c r="BN867" s="293"/>
      <c r="BO867" s="217"/>
      <c r="BP867" s="355"/>
      <c r="BQ867" s="217"/>
      <c r="BR867" s="1193"/>
      <c r="BS867" s="249"/>
      <c r="BT867" s="216"/>
      <c r="BU867" s="1195"/>
      <c r="BV867" s="249"/>
      <c r="BW867" s="216"/>
      <c r="BX867" s="1195"/>
      <c r="BY867" s="249"/>
      <c r="BZ867" s="216"/>
      <c r="CA867" s="1195"/>
      <c r="CB867" s="249"/>
      <c r="CC867" s="216"/>
      <c r="CD867" s="1195"/>
      <c r="CE867" s="249"/>
      <c r="CF867" s="216"/>
      <c r="CG867" s="1195"/>
      <c r="CH867" s="249"/>
      <c r="CI867" s="216"/>
      <c r="CJ867" s="1195"/>
      <c r="CK867" s="249"/>
      <c r="CL867" s="216"/>
      <c r="CM867" s="1194"/>
      <c r="CN867" s="1524"/>
      <c r="CO867" s="217"/>
      <c r="CP867" s="1193"/>
      <c r="CQ867" s="293"/>
      <c r="CR867" s="217"/>
      <c r="CS867" s="305"/>
      <c r="CT867" s="249"/>
      <c r="CU867" s="216"/>
      <c r="CV867" s="1193"/>
      <c r="CW867" s="249"/>
      <c r="CX867" s="216"/>
      <c r="CY867" s="305"/>
      <c r="CZ867" s="249"/>
      <c r="DA867" s="216"/>
      <c r="DB867" s="307"/>
      <c r="DC867" s="328"/>
      <c r="DD867" s="322"/>
      <c r="DE867" s="305"/>
      <c r="DF867" s="249"/>
      <c r="DG867" s="216"/>
      <c r="DH867" s="305"/>
      <c r="DI867" s="249"/>
      <c r="DJ867" s="216"/>
      <c r="DK867" s="309"/>
      <c r="DL867" s="293"/>
      <c r="DM867" s="326"/>
      <c r="DN867" s="1256"/>
      <c r="DO867" s="214"/>
      <c r="DP867" s="1257"/>
      <c r="DQ867" s="1258"/>
      <c r="DR867" s="305"/>
      <c r="DS867" s="249"/>
      <c r="DT867" s="216"/>
      <c r="DU867" s="305"/>
      <c r="DV867" s="2520"/>
      <c r="DW867" s="2521"/>
      <c r="DX867" s="305"/>
      <c r="DY867" s="249"/>
      <c r="DZ867" s="221"/>
      <c r="EA867" s="388"/>
      <c r="EB867" s="249"/>
      <c r="EC867" s="216"/>
      <c r="ED867" s="1461"/>
      <c r="EE867" s="249"/>
      <c r="EF867" s="216"/>
      <c r="EG867" s="355"/>
      <c r="EH867" s="1425"/>
      <c r="EI867" s="1470"/>
      <c r="EJ867" s="249"/>
      <c r="EK867" s="221"/>
      <c r="EL867" s="313"/>
      <c r="EM867" s="249"/>
      <c r="EN867" s="221"/>
      <c r="EO867" s="313"/>
      <c r="EP867" s="249"/>
      <c r="EQ867" s="216"/>
      <c r="ER867" s="313"/>
      <c r="ES867" s="249"/>
      <c r="ET867" s="216"/>
      <c r="EU867" s="313"/>
      <c r="EV867" s="249"/>
      <c r="EW867" s="216"/>
      <c r="EX867" s="2505"/>
      <c r="EY867" s="249"/>
      <c r="EZ867" s="221"/>
      <c r="FA867" s="313"/>
      <c r="FB867" s="249"/>
      <c r="FC867" s="221"/>
      <c r="FD867" s="313"/>
      <c r="FE867" s="249"/>
      <c r="FF867" s="221"/>
      <c r="FG867" s="313"/>
      <c r="FH867" s="249"/>
      <c r="FI867" s="216"/>
      <c r="FJ867" s="1435"/>
      <c r="FK867" s="216"/>
      <c r="FL867" s="1268"/>
      <c r="FM867" s="1655"/>
      <c r="FN867" s="1268"/>
      <c r="FO867" s="1655"/>
      <c r="FP867" s="1268"/>
      <c r="FQ867" s="1656"/>
      <c r="FR867" s="249"/>
      <c r="FS867" s="216"/>
      <c r="FT867" s="1657"/>
      <c r="FU867" s="1658"/>
      <c r="FV867" s="242"/>
      <c r="FW867" s="343"/>
      <c r="FX867" s="222"/>
      <c r="FY867" s="336"/>
      <c r="FZ867" s="223"/>
      <c r="GA867" s="338"/>
      <c r="GB867" s="204"/>
      <c r="GC867" s="339"/>
      <c r="GD867" s="342"/>
      <c r="GE867" s="199"/>
      <c r="GF867" s="199"/>
      <c r="GG867" s="199"/>
      <c r="GH867" s="199"/>
      <c r="GI867" s="199"/>
      <c r="GJ867" s="199"/>
      <c r="GK867" s="199"/>
      <c r="GO867" s="322"/>
      <c r="GP867" s="1190"/>
      <c r="GQ867" s="1190"/>
      <c r="GS867" s="2879"/>
      <c r="GT867" s="2880"/>
      <c r="GU867" s="2881"/>
    </row>
    <row r="868" spans="1:203" ht="12" customHeight="1">
      <c r="A868" s="1252"/>
      <c r="B868" s="200"/>
      <c r="C868" s="486"/>
      <c r="T868" s="1186"/>
      <c r="U868" s="233"/>
      <c r="W868" s="218"/>
      <c r="X868" s="218"/>
      <c r="Y868" s="216"/>
      <c r="Z868" s="216"/>
      <c r="AA868" s="215"/>
      <c r="AB868" s="216"/>
      <c r="AC868" s="216"/>
      <c r="AD868" s="239"/>
      <c r="AE868" s="216"/>
      <c r="AF868" s="216"/>
      <c r="AG868" s="216"/>
      <c r="AH868" s="216"/>
      <c r="AI868" s="216"/>
      <c r="AJ868" s="216"/>
      <c r="AK868" s="239"/>
      <c r="AL868" s="216"/>
      <c r="AM868" s="216"/>
      <c r="AN868" s="216"/>
      <c r="AO868" s="216"/>
      <c r="AP868" s="216"/>
      <c r="AQ868" s="216"/>
      <c r="AR868" s="216"/>
      <c r="AS868" s="216"/>
      <c r="AT868" s="216"/>
      <c r="AU868" s="216"/>
      <c r="AV868" s="217"/>
      <c r="AW868" s="355"/>
      <c r="AX868" s="217"/>
      <c r="AY868" s="305"/>
      <c r="AZ868" s="249"/>
      <c r="BA868" s="221"/>
      <c r="BB868" s="300"/>
      <c r="BC868" s="217"/>
      <c r="BD868" s="392"/>
      <c r="BE868" s="1244"/>
      <c r="BF868" s="249"/>
      <c r="BG868" s="252"/>
      <c r="BH868" s="1469"/>
      <c r="BI868" s="216"/>
      <c r="BJ868" s="1469"/>
      <c r="BK868" s="1459"/>
      <c r="BL868" s="260"/>
      <c r="BM868" s="214"/>
      <c r="BN868" s="293"/>
      <c r="BO868" s="217"/>
      <c r="BP868" s="355"/>
      <c r="BQ868" s="217"/>
      <c r="BR868" s="1193"/>
      <c r="BS868" s="249"/>
      <c r="BT868" s="216"/>
      <c r="BU868" s="1195"/>
      <c r="BV868" s="249"/>
      <c r="BW868" s="216"/>
      <c r="BX868" s="1195"/>
      <c r="BY868" s="249"/>
      <c r="BZ868" s="216"/>
      <c r="CA868" s="1195"/>
      <c r="CB868" s="249"/>
      <c r="CC868" s="216"/>
      <c r="CD868" s="1195"/>
      <c r="CE868" s="249"/>
      <c r="CF868" s="216"/>
      <c r="CG868" s="1195"/>
      <c r="CH868" s="249"/>
      <c r="CI868" s="216"/>
      <c r="CJ868" s="1195"/>
      <c r="CK868" s="249"/>
      <c r="CL868" s="216"/>
      <c r="CM868" s="1194"/>
      <c r="CN868" s="1524"/>
      <c r="CO868" s="217"/>
      <c r="CP868" s="1193"/>
      <c r="CQ868" s="293"/>
      <c r="CR868" s="217"/>
      <c r="CS868" s="305"/>
      <c r="CT868" s="249"/>
      <c r="CU868" s="216"/>
      <c r="CV868" s="1193"/>
      <c r="CW868" s="249"/>
      <c r="CX868" s="216"/>
      <c r="CY868" s="305"/>
      <c r="CZ868" s="249"/>
      <c r="DA868" s="216"/>
      <c r="DB868" s="307"/>
      <c r="DC868" s="328"/>
      <c r="DD868" s="322"/>
      <c r="DE868" s="305"/>
      <c r="DF868" s="249"/>
      <c r="DG868" s="216"/>
      <c r="DH868" s="305"/>
      <c r="DI868" s="249"/>
      <c r="DJ868" s="216"/>
      <c r="DK868" s="309"/>
      <c r="DL868" s="293"/>
      <c r="DM868" s="326"/>
      <c r="DN868" s="1256"/>
      <c r="DO868" s="214"/>
      <c r="DP868" s="1257"/>
      <c r="DQ868" s="1258"/>
      <c r="DR868" s="305"/>
      <c r="DS868" s="249"/>
      <c r="DT868" s="216"/>
      <c r="DU868" s="305"/>
      <c r="DV868" s="2520"/>
      <c r="DW868" s="2521"/>
      <c r="DX868" s="305"/>
      <c r="DY868" s="249"/>
      <c r="DZ868" s="221"/>
      <c r="EA868" s="388"/>
      <c r="EB868" s="249"/>
      <c r="EC868" s="216"/>
      <c r="ED868" s="1461"/>
      <c r="EE868" s="249"/>
      <c r="EF868" s="216"/>
      <c r="EG868" s="355"/>
      <c r="EH868" s="1425"/>
      <c r="EI868" s="1470"/>
      <c r="EJ868" s="249"/>
      <c r="EK868" s="221"/>
      <c r="EL868" s="313"/>
      <c r="EM868" s="249"/>
      <c r="EN868" s="221"/>
      <c r="EO868" s="313"/>
      <c r="EP868" s="249"/>
      <c r="EQ868" s="216"/>
      <c r="ER868" s="313"/>
      <c r="ES868" s="249"/>
      <c r="ET868" s="216"/>
      <c r="EU868" s="313"/>
      <c r="EV868" s="249"/>
      <c r="EW868" s="216"/>
      <c r="EX868" s="2505"/>
      <c r="EY868" s="249"/>
      <c r="EZ868" s="221"/>
      <c r="FA868" s="313"/>
      <c r="FB868" s="249"/>
      <c r="FC868" s="221"/>
      <c r="FD868" s="313"/>
      <c r="FE868" s="249"/>
      <c r="FF868" s="221"/>
      <c r="FG868" s="313"/>
      <c r="FH868" s="249"/>
      <c r="FI868" s="216"/>
      <c r="FJ868" s="1435"/>
      <c r="FK868" s="216"/>
      <c r="FL868" s="1268"/>
      <c r="FM868" s="1655"/>
      <c r="FN868" s="1268"/>
      <c r="FO868" s="1655"/>
      <c r="FP868" s="1268"/>
      <c r="FQ868" s="1656"/>
      <c r="FR868" s="249"/>
      <c r="FS868" s="216"/>
      <c r="FT868" s="1657"/>
      <c r="FU868" s="1658"/>
      <c r="FV868" s="242"/>
      <c r="FW868" s="343"/>
      <c r="FX868" s="222"/>
      <c r="FY868" s="336"/>
      <c r="FZ868" s="223"/>
      <c r="GA868" s="338"/>
      <c r="GB868" s="204"/>
      <c r="GC868" s="339"/>
      <c r="GD868" s="342"/>
      <c r="GE868" s="199"/>
      <c r="GF868" s="199"/>
      <c r="GG868" s="199"/>
      <c r="GH868" s="199"/>
      <c r="GI868" s="199"/>
      <c r="GJ868" s="199"/>
      <c r="GK868" s="199"/>
      <c r="GO868" s="322"/>
      <c r="GP868" s="1190"/>
      <c r="GQ868" s="1190"/>
      <c r="GS868" s="2879"/>
      <c r="GT868" s="2880"/>
      <c r="GU868" s="2881"/>
    </row>
    <row r="869" spans="1:203" ht="12" customHeight="1">
      <c r="A869" s="1252"/>
      <c r="B869" s="200"/>
      <c r="C869" s="486"/>
      <c r="T869" s="1186"/>
      <c r="U869" s="233"/>
      <c r="W869" s="218"/>
      <c r="X869" s="218"/>
      <c r="Y869" s="216"/>
      <c r="Z869" s="216"/>
      <c r="AA869" s="215"/>
      <c r="AB869" s="216"/>
      <c r="AC869" s="216"/>
      <c r="AD869" s="239"/>
      <c r="AE869" s="216"/>
      <c r="AF869" s="216"/>
      <c r="AG869" s="216"/>
      <c r="AH869" s="216"/>
      <c r="AI869" s="216"/>
      <c r="AJ869" s="216"/>
      <c r="AK869" s="239"/>
      <c r="AL869" s="216"/>
      <c r="AM869" s="216"/>
      <c r="AN869" s="216"/>
      <c r="AO869" s="216"/>
      <c r="AP869" s="216"/>
      <c r="AQ869" s="216"/>
      <c r="AR869" s="216"/>
      <c r="AS869" s="216"/>
      <c r="AT869" s="216"/>
      <c r="AU869" s="216"/>
      <c r="AV869" s="217"/>
      <c r="AW869" s="355"/>
      <c r="AX869" s="217"/>
      <c r="AY869" s="305"/>
      <c r="AZ869" s="249"/>
      <c r="BA869" s="221"/>
      <c r="BB869" s="300"/>
      <c r="BC869" s="217"/>
      <c r="BD869" s="392"/>
      <c r="BE869" s="1244"/>
      <c r="BF869" s="249"/>
      <c r="BG869" s="252"/>
      <c r="BH869" s="1469"/>
      <c r="BI869" s="216"/>
      <c r="BJ869" s="1469"/>
      <c r="BK869" s="1459"/>
      <c r="BL869" s="260"/>
      <c r="BM869" s="214"/>
      <c r="BN869" s="293"/>
      <c r="BO869" s="217"/>
      <c r="BP869" s="355"/>
      <c r="BQ869" s="217"/>
      <c r="BR869" s="1193"/>
      <c r="BS869" s="249"/>
      <c r="BT869" s="216"/>
      <c r="BU869" s="1195"/>
      <c r="BV869" s="249"/>
      <c r="BW869" s="216"/>
      <c r="BX869" s="1195"/>
      <c r="BY869" s="249"/>
      <c r="BZ869" s="216"/>
      <c r="CA869" s="1195"/>
      <c r="CB869" s="249"/>
      <c r="CC869" s="216"/>
      <c r="CD869" s="1195"/>
      <c r="CE869" s="249"/>
      <c r="CF869" s="216"/>
      <c r="CG869" s="1195"/>
      <c r="CH869" s="249"/>
      <c r="CI869" s="216"/>
      <c r="CJ869" s="1195"/>
      <c r="CK869" s="249"/>
      <c r="CL869" s="216"/>
      <c r="CM869" s="1194"/>
      <c r="CN869" s="1524"/>
      <c r="CO869" s="217"/>
      <c r="CP869" s="1193"/>
      <c r="CQ869" s="293"/>
      <c r="CR869" s="217"/>
      <c r="CS869" s="305"/>
      <c r="CT869" s="249"/>
      <c r="CU869" s="216"/>
      <c r="CV869" s="1193"/>
      <c r="CW869" s="249"/>
      <c r="CX869" s="216"/>
      <c r="CY869" s="305"/>
      <c r="CZ869" s="249"/>
      <c r="DA869" s="216"/>
      <c r="DB869" s="307"/>
      <c r="DC869" s="328"/>
      <c r="DD869" s="322"/>
      <c r="DE869" s="305"/>
      <c r="DF869" s="249"/>
      <c r="DG869" s="216"/>
      <c r="DH869" s="305"/>
      <c r="DI869" s="249"/>
      <c r="DJ869" s="216"/>
      <c r="DK869" s="309"/>
      <c r="DL869" s="293"/>
      <c r="DM869" s="326"/>
      <c r="DN869" s="1256"/>
      <c r="DO869" s="214"/>
      <c r="DP869" s="1257"/>
      <c r="DQ869" s="1258"/>
      <c r="DR869" s="305"/>
      <c r="DS869" s="249"/>
      <c r="DT869" s="216"/>
      <c r="DU869" s="305"/>
      <c r="DV869" s="2520"/>
      <c r="DW869" s="2521"/>
      <c r="DX869" s="305"/>
      <c r="DY869" s="249"/>
      <c r="DZ869" s="221"/>
      <c r="EA869" s="388"/>
      <c r="EB869" s="249"/>
      <c r="EC869" s="216"/>
      <c r="ED869" s="1461"/>
      <c r="EE869" s="249"/>
      <c r="EF869" s="216"/>
      <c r="EG869" s="355"/>
      <c r="EH869" s="1425"/>
      <c r="EI869" s="1470"/>
      <c r="EJ869" s="249"/>
      <c r="EK869" s="221"/>
      <c r="EL869" s="313"/>
      <c r="EM869" s="249"/>
      <c r="EN869" s="221"/>
      <c r="EO869" s="313"/>
      <c r="EP869" s="249"/>
      <c r="EQ869" s="216"/>
      <c r="ER869" s="313"/>
      <c r="ES869" s="249"/>
      <c r="ET869" s="216"/>
      <c r="EU869" s="313"/>
      <c r="EV869" s="249"/>
      <c r="EW869" s="216"/>
      <c r="EX869" s="2505"/>
      <c r="EY869" s="249"/>
      <c r="EZ869" s="221"/>
      <c r="FA869" s="313"/>
      <c r="FB869" s="249"/>
      <c r="FC869" s="221"/>
      <c r="FD869" s="313"/>
      <c r="FE869" s="249"/>
      <c r="FF869" s="221"/>
      <c r="FG869" s="313"/>
      <c r="FH869" s="249"/>
      <c r="FI869" s="216"/>
      <c r="FJ869" s="1435"/>
      <c r="FK869" s="216"/>
      <c r="FL869" s="1268"/>
      <c r="FM869" s="1655"/>
      <c r="FN869" s="1268"/>
      <c r="FO869" s="1655"/>
      <c r="FP869" s="1268"/>
      <c r="FQ869" s="1656"/>
      <c r="FR869" s="249"/>
      <c r="FS869" s="216"/>
      <c r="FT869" s="1657"/>
      <c r="FU869" s="1658"/>
      <c r="FV869" s="242"/>
      <c r="FW869" s="343"/>
      <c r="FX869" s="222"/>
      <c r="FY869" s="336"/>
      <c r="FZ869" s="223"/>
      <c r="GA869" s="338"/>
      <c r="GB869" s="204"/>
      <c r="GC869" s="339"/>
      <c r="GD869" s="342"/>
      <c r="GE869" s="199"/>
      <c r="GF869" s="199"/>
      <c r="GG869" s="199"/>
      <c r="GH869" s="199"/>
      <c r="GI869" s="199"/>
      <c r="GJ869" s="199"/>
      <c r="GK869" s="199"/>
      <c r="GO869" s="322"/>
      <c r="GP869" s="1190"/>
      <c r="GQ869" s="1190"/>
      <c r="GS869" s="2879"/>
      <c r="GT869" s="2880"/>
      <c r="GU869" s="2881"/>
    </row>
    <row r="870" spans="1:203" ht="12" customHeight="1">
      <c r="A870" s="1252"/>
      <c r="B870" s="200"/>
      <c r="C870" s="486"/>
      <c r="T870" s="1186"/>
      <c r="U870" s="233"/>
      <c r="W870" s="218"/>
      <c r="X870" s="218"/>
      <c r="Y870" s="216"/>
      <c r="Z870" s="216"/>
      <c r="AA870" s="215"/>
      <c r="AB870" s="216"/>
      <c r="AC870" s="216"/>
      <c r="AD870" s="239"/>
      <c r="AE870" s="216"/>
      <c r="AF870" s="216"/>
      <c r="AG870" s="216"/>
      <c r="AH870" s="216"/>
      <c r="AI870" s="216"/>
      <c r="AJ870" s="216"/>
      <c r="AK870" s="239"/>
      <c r="AL870" s="216"/>
      <c r="AM870" s="216"/>
      <c r="AN870" s="216"/>
      <c r="AO870" s="216"/>
      <c r="AP870" s="216"/>
      <c r="AQ870" s="216"/>
      <c r="AR870" s="216"/>
      <c r="AS870" s="216"/>
      <c r="AT870" s="216"/>
      <c r="AU870" s="216"/>
      <c r="AV870" s="217"/>
      <c r="AW870" s="355"/>
      <c r="AX870" s="217"/>
      <c r="AY870" s="305"/>
      <c r="AZ870" s="249"/>
      <c r="BA870" s="221"/>
      <c r="BB870" s="300"/>
      <c r="BC870" s="217"/>
      <c r="BD870" s="392"/>
      <c r="BE870" s="1244"/>
      <c r="BF870" s="249"/>
      <c r="BG870" s="252"/>
      <c r="BH870" s="1469"/>
      <c r="BI870" s="216"/>
      <c r="BJ870" s="1469"/>
      <c r="BK870" s="1459"/>
      <c r="BL870" s="260"/>
      <c r="BM870" s="214"/>
      <c r="BN870" s="293"/>
      <c r="BO870" s="217"/>
      <c r="BP870" s="355"/>
      <c r="BQ870" s="217"/>
      <c r="BR870" s="1193"/>
      <c r="BS870" s="249"/>
      <c r="BT870" s="216"/>
      <c r="BU870" s="1195"/>
      <c r="BV870" s="249"/>
      <c r="BW870" s="216"/>
      <c r="BX870" s="1195"/>
      <c r="BY870" s="249"/>
      <c r="BZ870" s="216"/>
      <c r="CA870" s="1195"/>
      <c r="CB870" s="249"/>
      <c r="CC870" s="216"/>
      <c r="CD870" s="1195"/>
      <c r="CE870" s="249"/>
      <c r="CF870" s="216"/>
      <c r="CG870" s="1195"/>
      <c r="CH870" s="249"/>
      <c r="CI870" s="216"/>
      <c r="CJ870" s="1195"/>
      <c r="CK870" s="249"/>
      <c r="CL870" s="216"/>
      <c r="CM870" s="1194"/>
      <c r="CN870" s="1524"/>
      <c r="CO870" s="217"/>
      <c r="CP870" s="1193"/>
      <c r="CQ870" s="293"/>
      <c r="CR870" s="217"/>
      <c r="CS870" s="305"/>
      <c r="CT870" s="249"/>
      <c r="CU870" s="216"/>
      <c r="CV870" s="1193"/>
      <c r="CW870" s="249"/>
      <c r="CX870" s="216"/>
      <c r="CY870" s="305"/>
      <c r="CZ870" s="249"/>
      <c r="DA870" s="216"/>
      <c r="DB870" s="307"/>
      <c r="DC870" s="328"/>
      <c r="DD870" s="322"/>
      <c r="DE870" s="305"/>
      <c r="DF870" s="249"/>
      <c r="DG870" s="216"/>
      <c r="DH870" s="305"/>
      <c r="DI870" s="249"/>
      <c r="DJ870" s="216"/>
      <c r="DK870" s="309"/>
      <c r="DL870" s="293"/>
      <c r="DM870" s="326"/>
      <c r="DN870" s="1256"/>
      <c r="DO870" s="214"/>
      <c r="DP870" s="1257"/>
      <c r="DQ870" s="1258"/>
      <c r="DR870" s="305"/>
      <c r="DS870" s="249"/>
      <c r="DT870" s="216"/>
      <c r="DU870" s="305"/>
      <c r="DV870" s="2520"/>
      <c r="DW870" s="2521"/>
      <c r="DX870" s="305"/>
      <c r="DY870" s="249"/>
      <c r="DZ870" s="221"/>
      <c r="EA870" s="388"/>
      <c r="EB870" s="249"/>
      <c r="EC870" s="216"/>
      <c r="ED870" s="1461"/>
      <c r="EE870" s="249"/>
      <c r="EF870" s="216"/>
      <c r="EG870" s="355"/>
      <c r="EH870" s="1425"/>
      <c r="EI870" s="1470"/>
      <c r="EJ870" s="249"/>
      <c r="EK870" s="221"/>
      <c r="EL870" s="313"/>
      <c r="EM870" s="249"/>
      <c r="EN870" s="221"/>
      <c r="EO870" s="313"/>
      <c r="EP870" s="249"/>
      <c r="EQ870" s="216"/>
      <c r="ER870" s="313"/>
      <c r="ES870" s="249"/>
      <c r="ET870" s="216"/>
      <c r="EU870" s="313"/>
      <c r="EV870" s="249"/>
      <c r="EW870" s="216"/>
      <c r="EX870" s="2505"/>
      <c r="EY870" s="249"/>
      <c r="EZ870" s="221"/>
      <c r="FA870" s="313"/>
      <c r="FB870" s="249"/>
      <c r="FC870" s="221"/>
      <c r="FD870" s="313"/>
      <c r="FE870" s="249"/>
      <c r="FF870" s="221"/>
      <c r="FG870" s="313"/>
      <c r="FH870" s="249"/>
      <c r="FI870" s="216"/>
      <c r="FJ870" s="1435"/>
      <c r="FK870" s="216"/>
      <c r="FL870" s="1268"/>
      <c r="FM870" s="1655"/>
      <c r="FN870" s="1268"/>
      <c r="FO870" s="1655"/>
      <c r="FP870" s="1268"/>
      <c r="FQ870" s="1656"/>
      <c r="FR870" s="249"/>
      <c r="FS870" s="216"/>
      <c r="FT870" s="1657"/>
      <c r="FU870" s="1658"/>
      <c r="FV870" s="242"/>
      <c r="FW870" s="343"/>
      <c r="FX870" s="222"/>
      <c r="FY870" s="336"/>
      <c r="FZ870" s="223"/>
      <c r="GA870" s="338"/>
      <c r="GB870" s="204"/>
      <c r="GC870" s="339"/>
      <c r="GD870" s="342"/>
      <c r="GE870" s="199"/>
      <c r="GF870" s="199"/>
      <c r="GG870" s="199"/>
      <c r="GH870" s="199"/>
      <c r="GI870" s="199"/>
      <c r="GJ870" s="199"/>
      <c r="GK870" s="199"/>
      <c r="GO870" s="322"/>
      <c r="GP870" s="1190"/>
      <c r="GQ870" s="1190"/>
      <c r="GS870" s="2879"/>
      <c r="GT870" s="2880"/>
      <c r="GU870" s="2881"/>
    </row>
    <row r="871" spans="1:203" ht="12" customHeight="1">
      <c r="A871" s="1252"/>
      <c r="B871" s="200"/>
      <c r="C871" s="486"/>
      <c r="T871" s="1186"/>
      <c r="U871" s="233"/>
      <c r="W871" s="218"/>
      <c r="X871" s="218"/>
      <c r="Y871" s="216"/>
      <c r="Z871" s="216"/>
      <c r="AA871" s="215"/>
      <c r="AB871" s="216"/>
      <c r="AC871" s="216"/>
      <c r="AD871" s="239"/>
      <c r="AE871" s="216"/>
      <c r="AF871" s="216"/>
      <c r="AG871" s="216"/>
      <c r="AH871" s="216"/>
      <c r="AI871" s="216"/>
      <c r="AJ871" s="216"/>
      <c r="AK871" s="239"/>
      <c r="AL871" s="216"/>
      <c r="AM871" s="216"/>
      <c r="AN871" s="216"/>
      <c r="AO871" s="216"/>
      <c r="AP871" s="216"/>
      <c r="AQ871" s="216"/>
      <c r="AR871" s="216"/>
      <c r="AS871" s="216"/>
      <c r="AT871" s="216"/>
      <c r="AU871" s="216"/>
      <c r="AV871" s="217"/>
      <c r="AW871" s="355"/>
      <c r="AX871" s="217"/>
      <c r="AY871" s="305"/>
      <c r="AZ871" s="249"/>
      <c r="BA871" s="221"/>
      <c r="BB871" s="300"/>
      <c r="BC871" s="217"/>
      <c r="BD871" s="392"/>
      <c r="BE871" s="1244"/>
      <c r="BF871" s="249"/>
      <c r="BG871" s="252"/>
      <c r="BH871" s="1469"/>
      <c r="BI871" s="216"/>
      <c r="BJ871" s="1469"/>
      <c r="BK871" s="1459"/>
      <c r="BL871" s="260"/>
      <c r="BM871" s="214"/>
      <c r="BN871" s="293"/>
      <c r="BO871" s="217"/>
      <c r="BP871" s="355"/>
      <c r="BQ871" s="217"/>
      <c r="BR871" s="1193"/>
      <c r="BS871" s="249"/>
      <c r="BT871" s="216"/>
      <c r="BU871" s="1195"/>
      <c r="BV871" s="249"/>
      <c r="BW871" s="216"/>
      <c r="BX871" s="1195"/>
      <c r="BY871" s="249"/>
      <c r="BZ871" s="216"/>
      <c r="CA871" s="1195"/>
      <c r="CB871" s="249"/>
      <c r="CC871" s="216"/>
      <c r="CD871" s="1195"/>
      <c r="CE871" s="249"/>
      <c r="CF871" s="216"/>
      <c r="CG871" s="1195"/>
      <c r="CH871" s="249"/>
      <c r="CI871" s="216"/>
      <c r="CJ871" s="1195"/>
      <c r="CK871" s="249"/>
      <c r="CL871" s="216"/>
      <c r="CM871" s="1194"/>
      <c r="CN871" s="1524"/>
      <c r="CO871" s="217"/>
      <c r="CP871" s="1193"/>
      <c r="CQ871" s="293"/>
      <c r="CR871" s="217"/>
      <c r="CS871" s="305"/>
      <c r="CT871" s="249"/>
      <c r="CU871" s="216"/>
      <c r="CV871" s="1193"/>
      <c r="CW871" s="249"/>
      <c r="CX871" s="216"/>
      <c r="CY871" s="305"/>
      <c r="CZ871" s="249"/>
      <c r="DA871" s="216"/>
      <c r="DB871" s="307"/>
      <c r="DC871" s="328"/>
      <c r="DD871" s="322"/>
      <c r="DE871" s="305"/>
      <c r="DF871" s="249"/>
      <c r="DG871" s="216"/>
      <c r="DH871" s="305"/>
      <c r="DI871" s="249"/>
      <c r="DJ871" s="216"/>
      <c r="DK871" s="309"/>
      <c r="DL871" s="293"/>
      <c r="DM871" s="326"/>
      <c r="DN871" s="1256"/>
      <c r="DO871" s="214"/>
      <c r="DP871" s="1257"/>
      <c r="DQ871" s="1258"/>
      <c r="DR871" s="305"/>
      <c r="DS871" s="249"/>
      <c r="DT871" s="216"/>
      <c r="DU871" s="305"/>
      <c r="DV871" s="2520"/>
      <c r="DW871" s="2521"/>
      <c r="DX871" s="305"/>
      <c r="DY871" s="249"/>
      <c r="DZ871" s="221"/>
      <c r="EA871" s="388"/>
      <c r="EB871" s="249"/>
      <c r="EC871" s="216"/>
      <c r="ED871" s="1461"/>
      <c r="EE871" s="249"/>
      <c r="EF871" s="216"/>
      <c r="EG871" s="355"/>
      <c r="EH871" s="1425"/>
      <c r="EI871" s="1470"/>
      <c r="EJ871" s="249"/>
      <c r="EK871" s="221"/>
      <c r="EL871" s="313"/>
      <c r="EM871" s="249"/>
      <c r="EN871" s="221"/>
      <c r="EO871" s="313"/>
      <c r="EP871" s="249"/>
      <c r="EQ871" s="216"/>
      <c r="ER871" s="313"/>
      <c r="ES871" s="249"/>
      <c r="ET871" s="216"/>
      <c r="EU871" s="313"/>
      <c r="EV871" s="249"/>
      <c r="EW871" s="216"/>
      <c r="EX871" s="2505"/>
      <c r="EY871" s="249"/>
      <c r="EZ871" s="221"/>
      <c r="FA871" s="313"/>
      <c r="FB871" s="249"/>
      <c r="FC871" s="221"/>
      <c r="FD871" s="313"/>
      <c r="FE871" s="249"/>
      <c r="FF871" s="221"/>
      <c r="FG871" s="313"/>
      <c r="FH871" s="249"/>
      <c r="FI871" s="216"/>
      <c r="FJ871" s="1435"/>
      <c r="FK871" s="216"/>
      <c r="FL871" s="1268"/>
      <c r="FM871" s="1655"/>
      <c r="FN871" s="1268"/>
      <c r="FO871" s="1655"/>
      <c r="FP871" s="1268"/>
      <c r="FQ871" s="1656"/>
      <c r="FR871" s="249"/>
      <c r="FS871" s="216"/>
      <c r="FT871" s="1657"/>
      <c r="FU871" s="1658"/>
      <c r="FV871" s="242"/>
      <c r="FW871" s="343"/>
      <c r="FX871" s="222"/>
      <c r="FY871" s="336"/>
      <c r="FZ871" s="223"/>
      <c r="GA871" s="338"/>
      <c r="GB871" s="204"/>
      <c r="GC871" s="339"/>
      <c r="GD871" s="342"/>
      <c r="GE871" s="199"/>
      <c r="GF871" s="199"/>
      <c r="GG871" s="199"/>
      <c r="GH871" s="199"/>
      <c r="GI871" s="199"/>
      <c r="GJ871" s="199"/>
      <c r="GK871" s="199"/>
      <c r="GO871" s="322"/>
      <c r="GP871" s="1190"/>
      <c r="GQ871" s="1190"/>
      <c r="GS871" s="2879"/>
      <c r="GT871" s="2880"/>
      <c r="GU871" s="2881"/>
    </row>
    <row r="872" spans="1:203" ht="12" customHeight="1">
      <c r="A872" s="1252"/>
      <c r="B872" s="200"/>
      <c r="C872" s="486"/>
      <c r="T872" s="1186"/>
      <c r="U872" s="233"/>
      <c r="W872" s="218"/>
      <c r="X872" s="218"/>
      <c r="Y872" s="216"/>
      <c r="Z872" s="216"/>
      <c r="AA872" s="215"/>
      <c r="AB872" s="216"/>
      <c r="AC872" s="216"/>
      <c r="AD872" s="239"/>
      <c r="AE872" s="216"/>
      <c r="AF872" s="216"/>
      <c r="AG872" s="216"/>
      <c r="AH872" s="216"/>
      <c r="AI872" s="216"/>
      <c r="AJ872" s="216"/>
      <c r="AK872" s="239"/>
      <c r="AL872" s="216"/>
      <c r="AM872" s="216"/>
      <c r="AN872" s="216"/>
      <c r="AO872" s="216"/>
      <c r="AP872" s="216"/>
      <c r="AQ872" s="216"/>
      <c r="AR872" s="216"/>
      <c r="AS872" s="216"/>
      <c r="AT872" s="216"/>
      <c r="AU872" s="216"/>
      <c r="AV872" s="217"/>
      <c r="AW872" s="355"/>
      <c r="AX872" s="217"/>
      <c r="AY872" s="305"/>
      <c r="AZ872" s="249"/>
      <c r="BA872" s="221"/>
      <c r="BB872" s="300"/>
      <c r="BC872" s="217"/>
      <c r="BD872" s="392"/>
      <c r="BE872" s="1244"/>
      <c r="BF872" s="249"/>
      <c r="BG872" s="252"/>
      <c r="BH872" s="1469"/>
      <c r="BI872" s="216"/>
      <c r="BJ872" s="1469"/>
      <c r="BK872" s="1459"/>
      <c r="BL872" s="260"/>
      <c r="BM872" s="214"/>
      <c r="BN872" s="293"/>
      <c r="BO872" s="217"/>
      <c r="BP872" s="355"/>
      <c r="BQ872" s="217"/>
      <c r="BR872" s="1193"/>
      <c r="BS872" s="249"/>
      <c r="BT872" s="216"/>
      <c r="BU872" s="1195"/>
      <c r="BV872" s="249"/>
      <c r="BW872" s="216"/>
      <c r="BX872" s="1195"/>
      <c r="BY872" s="249"/>
      <c r="BZ872" s="216"/>
      <c r="CA872" s="1195"/>
      <c r="CB872" s="249"/>
      <c r="CC872" s="216"/>
      <c r="CD872" s="1195"/>
      <c r="CE872" s="249"/>
      <c r="CF872" s="216"/>
      <c r="CG872" s="1195"/>
      <c r="CH872" s="249"/>
      <c r="CI872" s="216"/>
      <c r="CJ872" s="1195"/>
      <c r="CK872" s="249"/>
      <c r="CL872" s="216"/>
      <c r="CM872" s="1194"/>
      <c r="CN872" s="1524"/>
      <c r="CO872" s="217"/>
      <c r="CP872" s="1193"/>
      <c r="CQ872" s="293"/>
      <c r="CR872" s="217"/>
      <c r="CS872" s="305"/>
      <c r="CT872" s="249"/>
      <c r="CU872" s="216"/>
      <c r="CV872" s="1193"/>
      <c r="CW872" s="249"/>
      <c r="CX872" s="216"/>
      <c r="CY872" s="305"/>
      <c r="CZ872" s="249"/>
      <c r="DA872" s="216"/>
      <c r="DB872" s="307"/>
      <c r="DC872" s="328"/>
      <c r="DD872" s="322"/>
      <c r="DE872" s="305"/>
      <c r="DF872" s="249"/>
      <c r="DG872" s="216"/>
      <c r="DH872" s="305"/>
      <c r="DI872" s="249"/>
      <c r="DJ872" s="216"/>
      <c r="DK872" s="309"/>
      <c r="DL872" s="293"/>
      <c r="DM872" s="326"/>
      <c r="DN872" s="1256"/>
      <c r="DO872" s="214"/>
      <c r="DP872" s="1257"/>
      <c r="DQ872" s="1258"/>
      <c r="DR872" s="305"/>
      <c r="DS872" s="249"/>
      <c r="DT872" s="216"/>
      <c r="DU872" s="305"/>
      <c r="DV872" s="2520"/>
      <c r="DW872" s="2521"/>
      <c r="DX872" s="305"/>
      <c r="DY872" s="249"/>
      <c r="DZ872" s="221"/>
      <c r="EA872" s="388"/>
      <c r="EB872" s="249"/>
      <c r="EC872" s="216"/>
      <c r="ED872" s="1461"/>
      <c r="EE872" s="249"/>
      <c r="EF872" s="216"/>
      <c r="EG872" s="355"/>
      <c r="EH872" s="1425"/>
      <c r="EI872" s="1470"/>
      <c r="EJ872" s="249"/>
      <c r="EK872" s="221"/>
      <c r="EL872" s="313"/>
      <c r="EM872" s="249"/>
      <c r="EN872" s="221"/>
      <c r="EO872" s="313"/>
      <c r="EP872" s="249"/>
      <c r="EQ872" s="216"/>
      <c r="ER872" s="313"/>
      <c r="ES872" s="249"/>
      <c r="ET872" s="216"/>
      <c r="EU872" s="313"/>
      <c r="EV872" s="249"/>
      <c r="EW872" s="216"/>
      <c r="EX872" s="2505"/>
      <c r="EY872" s="249"/>
      <c r="EZ872" s="221"/>
      <c r="FA872" s="313"/>
      <c r="FB872" s="249"/>
      <c r="FC872" s="221"/>
      <c r="FD872" s="313"/>
      <c r="FE872" s="249"/>
      <c r="FF872" s="221"/>
      <c r="FG872" s="313"/>
      <c r="FH872" s="249"/>
      <c r="FI872" s="216"/>
      <c r="FJ872" s="1435"/>
      <c r="FK872" s="216"/>
      <c r="FL872" s="1268"/>
      <c r="FM872" s="1655"/>
      <c r="FN872" s="1268"/>
      <c r="FO872" s="1655"/>
      <c r="FP872" s="1268"/>
      <c r="FQ872" s="1656"/>
      <c r="FR872" s="249"/>
      <c r="FS872" s="216"/>
      <c r="FT872" s="1657"/>
      <c r="FU872" s="1658"/>
      <c r="FV872" s="242"/>
      <c r="FW872" s="343"/>
      <c r="FX872" s="222"/>
      <c r="FY872" s="336"/>
      <c r="FZ872" s="223"/>
      <c r="GA872" s="338"/>
      <c r="GB872" s="204"/>
      <c r="GC872" s="339"/>
      <c r="GD872" s="342"/>
      <c r="GE872" s="199"/>
      <c r="GF872" s="199"/>
      <c r="GG872" s="199"/>
      <c r="GH872" s="199"/>
      <c r="GI872" s="199"/>
      <c r="GJ872" s="199"/>
      <c r="GK872" s="199"/>
      <c r="GO872" s="322"/>
      <c r="GP872" s="1190"/>
      <c r="GQ872" s="1190"/>
      <c r="GS872" s="2879"/>
      <c r="GT872" s="2880"/>
      <c r="GU872" s="2881"/>
    </row>
    <row r="873" spans="1:203" ht="12" customHeight="1">
      <c r="A873" s="1252"/>
      <c r="B873" s="200"/>
      <c r="C873" s="486"/>
      <c r="T873" s="1186"/>
      <c r="U873" s="233"/>
      <c r="W873" s="218"/>
      <c r="X873" s="218"/>
      <c r="Y873" s="216"/>
      <c r="Z873" s="216"/>
      <c r="AA873" s="215"/>
      <c r="AB873" s="216"/>
      <c r="AC873" s="216"/>
      <c r="AD873" s="239"/>
      <c r="AE873" s="216"/>
      <c r="AF873" s="216"/>
      <c r="AG873" s="216"/>
      <c r="AH873" s="216"/>
      <c r="AI873" s="216"/>
      <c r="AJ873" s="216"/>
      <c r="AK873" s="239"/>
      <c r="AL873" s="216"/>
      <c r="AM873" s="216"/>
      <c r="AN873" s="216"/>
      <c r="AO873" s="216"/>
      <c r="AP873" s="216"/>
      <c r="AQ873" s="216"/>
      <c r="AR873" s="216"/>
      <c r="AS873" s="216"/>
      <c r="AT873" s="216"/>
      <c r="AU873" s="216"/>
      <c r="AV873" s="217"/>
      <c r="AW873" s="355"/>
      <c r="AX873" s="217"/>
      <c r="AY873" s="305"/>
      <c r="AZ873" s="249"/>
      <c r="BA873" s="221"/>
      <c r="BB873" s="300"/>
      <c r="BC873" s="217"/>
      <c r="BD873" s="392"/>
      <c r="BE873" s="1244"/>
      <c r="BF873" s="249"/>
      <c r="BG873" s="252"/>
      <c r="BH873" s="1469"/>
      <c r="BI873" s="216"/>
      <c r="BJ873" s="1469"/>
      <c r="BK873" s="1459"/>
      <c r="BL873" s="260"/>
      <c r="BM873" s="214"/>
      <c r="BN873" s="293"/>
      <c r="BO873" s="217"/>
      <c r="BP873" s="355"/>
      <c r="BQ873" s="217"/>
      <c r="BR873" s="1193"/>
      <c r="BS873" s="249"/>
      <c r="BT873" s="216"/>
      <c r="BU873" s="1195"/>
      <c r="BV873" s="249"/>
      <c r="BW873" s="216"/>
      <c r="BX873" s="1195"/>
      <c r="BY873" s="249"/>
      <c r="BZ873" s="216"/>
      <c r="CA873" s="1195"/>
      <c r="CB873" s="249"/>
      <c r="CC873" s="216"/>
      <c r="CD873" s="1195"/>
      <c r="CE873" s="249"/>
      <c r="CF873" s="216"/>
      <c r="CG873" s="1195"/>
      <c r="CH873" s="249"/>
      <c r="CI873" s="216"/>
      <c r="CJ873" s="1195"/>
      <c r="CK873" s="249"/>
      <c r="CL873" s="216"/>
      <c r="CM873" s="1194"/>
      <c r="CN873" s="1524"/>
      <c r="CO873" s="217"/>
      <c r="CP873" s="1193"/>
      <c r="CQ873" s="293"/>
      <c r="CR873" s="217"/>
      <c r="CS873" s="305"/>
      <c r="CT873" s="249"/>
      <c r="CU873" s="216"/>
      <c r="CV873" s="1193"/>
      <c r="CW873" s="249"/>
      <c r="CX873" s="216"/>
      <c r="CY873" s="305"/>
      <c r="CZ873" s="249"/>
      <c r="DA873" s="216"/>
      <c r="DB873" s="307"/>
      <c r="DC873" s="328"/>
      <c r="DD873" s="322"/>
      <c r="DE873" s="305"/>
      <c r="DF873" s="249"/>
      <c r="DG873" s="216"/>
      <c r="DH873" s="305"/>
      <c r="DI873" s="249"/>
      <c r="DJ873" s="216"/>
      <c r="DK873" s="309"/>
      <c r="DL873" s="293"/>
      <c r="DM873" s="326"/>
      <c r="DN873" s="1256"/>
      <c r="DO873" s="214"/>
      <c r="DP873" s="1257"/>
      <c r="DQ873" s="1258"/>
      <c r="DR873" s="305"/>
      <c r="DS873" s="249"/>
      <c r="DT873" s="216"/>
      <c r="DU873" s="305"/>
      <c r="DV873" s="2520"/>
      <c r="DW873" s="2521"/>
      <c r="DX873" s="305"/>
      <c r="DY873" s="249"/>
      <c r="DZ873" s="221"/>
      <c r="EA873" s="388"/>
      <c r="EB873" s="249"/>
      <c r="EC873" s="216"/>
      <c r="ED873" s="1461"/>
      <c r="EE873" s="249"/>
      <c r="EF873" s="216"/>
      <c r="EG873" s="355"/>
      <c r="EH873" s="1425"/>
      <c r="EI873" s="1470"/>
      <c r="EJ873" s="249"/>
      <c r="EK873" s="221"/>
      <c r="EL873" s="313"/>
      <c r="EM873" s="249"/>
      <c r="EN873" s="221"/>
      <c r="EO873" s="313"/>
      <c r="EP873" s="249"/>
      <c r="EQ873" s="216"/>
      <c r="ER873" s="313"/>
      <c r="ES873" s="249"/>
      <c r="ET873" s="216"/>
      <c r="EU873" s="313"/>
      <c r="EV873" s="249"/>
      <c r="EW873" s="216"/>
      <c r="EX873" s="2505"/>
      <c r="EY873" s="249"/>
      <c r="EZ873" s="221"/>
      <c r="FA873" s="313"/>
      <c r="FB873" s="249"/>
      <c r="FC873" s="221"/>
      <c r="FD873" s="313"/>
      <c r="FE873" s="249"/>
      <c r="FF873" s="221"/>
      <c r="FG873" s="313"/>
      <c r="FH873" s="249"/>
      <c r="FI873" s="216"/>
      <c r="FJ873" s="1435"/>
      <c r="FK873" s="216"/>
      <c r="FL873" s="1268"/>
      <c r="FM873" s="1655"/>
      <c r="FN873" s="1268"/>
      <c r="FO873" s="1655"/>
      <c r="FP873" s="1268"/>
      <c r="FQ873" s="1656"/>
      <c r="FR873" s="249"/>
      <c r="FS873" s="216"/>
      <c r="FT873" s="1657"/>
      <c r="FU873" s="1658"/>
      <c r="FV873" s="242"/>
      <c r="FW873" s="343"/>
      <c r="FX873" s="222"/>
      <c r="FY873" s="336"/>
      <c r="FZ873" s="223"/>
      <c r="GA873" s="338"/>
      <c r="GB873" s="204"/>
      <c r="GC873" s="339"/>
      <c r="GD873" s="342"/>
      <c r="GE873" s="199"/>
      <c r="GF873" s="199"/>
      <c r="GG873" s="199"/>
      <c r="GH873" s="199"/>
      <c r="GI873" s="199"/>
      <c r="GJ873" s="199"/>
      <c r="GK873" s="199"/>
      <c r="GO873" s="322"/>
      <c r="GP873" s="1190"/>
      <c r="GQ873" s="1190"/>
      <c r="GS873" s="2879"/>
      <c r="GT873" s="2880"/>
      <c r="GU873" s="2881"/>
    </row>
    <row r="874" spans="1:203" ht="12" customHeight="1">
      <c r="A874" s="1252"/>
      <c r="B874" s="200"/>
      <c r="C874" s="486"/>
      <c r="T874" s="1186"/>
      <c r="U874" s="233"/>
      <c r="W874" s="218"/>
      <c r="X874" s="218"/>
      <c r="Y874" s="216"/>
      <c r="Z874" s="216"/>
      <c r="AA874" s="215"/>
      <c r="AB874" s="216"/>
      <c r="AC874" s="216"/>
      <c r="AD874" s="239"/>
      <c r="AE874" s="216"/>
      <c r="AF874" s="216"/>
      <c r="AG874" s="216"/>
      <c r="AH874" s="216"/>
      <c r="AI874" s="216"/>
      <c r="AJ874" s="216"/>
      <c r="AK874" s="239"/>
      <c r="AL874" s="216"/>
      <c r="AM874" s="216"/>
      <c r="AN874" s="216"/>
      <c r="AO874" s="216"/>
      <c r="AP874" s="216"/>
      <c r="AQ874" s="216"/>
      <c r="AR874" s="216"/>
      <c r="AS874" s="216"/>
      <c r="AT874" s="216"/>
      <c r="AU874" s="216"/>
      <c r="AV874" s="217"/>
      <c r="AW874" s="355"/>
      <c r="AX874" s="217"/>
      <c r="AY874" s="305"/>
      <c r="AZ874" s="249"/>
      <c r="BA874" s="221"/>
      <c r="BB874" s="300"/>
      <c r="BC874" s="217"/>
      <c r="BD874" s="392"/>
      <c r="BE874" s="1244"/>
      <c r="BF874" s="249"/>
      <c r="BG874" s="252"/>
      <c r="BH874" s="1469"/>
      <c r="BI874" s="216"/>
      <c r="BJ874" s="1469"/>
      <c r="BK874" s="1459"/>
      <c r="BL874" s="260"/>
      <c r="BM874" s="214"/>
      <c r="BN874" s="293"/>
      <c r="BO874" s="217"/>
      <c r="BP874" s="355"/>
      <c r="BQ874" s="217"/>
      <c r="BR874" s="1193"/>
      <c r="BS874" s="249"/>
      <c r="BT874" s="216"/>
      <c r="BU874" s="1195"/>
      <c r="BV874" s="249"/>
      <c r="BW874" s="216"/>
      <c r="BX874" s="1195"/>
      <c r="BY874" s="249"/>
      <c r="BZ874" s="216"/>
      <c r="CA874" s="1195"/>
      <c r="CB874" s="249"/>
      <c r="CC874" s="216"/>
      <c r="CD874" s="1195"/>
      <c r="CE874" s="249"/>
      <c r="CF874" s="216"/>
      <c r="CG874" s="1195"/>
      <c r="CH874" s="249"/>
      <c r="CI874" s="216"/>
      <c r="CJ874" s="1195"/>
      <c r="CK874" s="249"/>
      <c r="CL874" s="216"/>
      <c r="CM874" s="1194"/>
      <c r="CN874" s="1524"/>
      <c r="CO874" s="217"/>
      <c r="CP874" s="1193"/>
      <c r="CQ874" s="293"/>
      <c r="CR874" s="217"/>
      <c r="CS874" s="305"/>
      <c r="CT874" s="249"/>
      <c r="CU874" s="216"/>
      <c r="CV874" s="1193"/>
      <c r="CW874" s="249"/>
      <c r="CX874" s="216"/>
      <c r="CY874" s="305"/>
      <c r="CZ874" s="249"/>
      <c r="DA874" s="216"/>
      <c r="DB874" s="307"/>
      <c r="DC874" s="328"/>
      <c r="DD874" s="322"/>
      <c r="DE874" s="305"/>
      <c r="DF874" s="249"/>
      <c r="DG874" s="216"/>
      <c r="DH874" s="305"/>
      <c r="DI874" s="249"/>
      <c r="DJ874" s="216"/>
      <c r="DK874" s="309"/>
      <c r="DL874" s="293"/>
      <c r="DM874" s="326"/>
      <c r="DN874" s="1256"/>
      <c r="DO874" s="214"/>
      <c r="DP874" s="1257"/>
      <c r="DQ874" s="1258"/>
      <c r="DR874" s="305"/>
      <c r="DS874" s="249"/>
      <c r="DT874" s="216"/>
      <c r="DU874" s="305"/>
      <c r="DV874" s="2520"/>
      <c r="DW874" s="2521"/>
      <c r="DX874" s="305"/>
      <c r="DY874" s="249"/>
      <c r="DZ874" s="221"/>
      <c r="EA874" s="388"/>
      <c r="EB874" s="249"/>
      <c r="EC874" s="216"/>
      <c r="ED874" s="1461"/>
      <c r="EE874" s="249"/>
      <c r="EF874" s="216"/>
      <c r="EG874" s="355"/>
      <c r="EH874" s="1425"/>
      <c r="EI874" s="1470"/>
      <c r="EJ874" s="249"/>
      <c r="EK874" s="221"/>
      <c r="EL874" s="313"/>
      <c r="EM874" s="249"/>
      <c r="EN874" s="221"/>
      <c r="EO874" s="313"/>
      <c r="EP874" s="249"/>
      <c r="EQ874" s="216"/>
      <c r="ER874" s="313"/>
      <c r="ES874" s="249"/>
      <c r="ET874" s="216"/>
      <c r="EU874" s="313"/>
      <c r="EV874" s="249"/>
      <c r="EW874" s="216"/>
      <c r="EX874" s="2505"/>
      <c r="EY874" s="249"/>
      <c r="EZ874" s="221"/>
      <c r="FA874" s="313"/>
      <c r="FB874" s="249"/>
      <c r="FC874" s="221"/>
      <c r="FD874" s="313"/>
      <c r="FE874" s="249"/>
      <c r="FF874" s="221"/>
      <c r="FG874" s="313"/>
      <c r="FH874" s="249"/>
      <c r="FI874" s="216"/>
      <c r="FJ874" s="1435"/>
      <c r="FK874" s="216"/>
      <c r="FL874" s="1268"/>
      <c r="FM874" s="1655"/>
      <c r="FN874" s="1268"/>
      <c r="FO874" s="1655"/>
      <c r="FP874" s="1268"/>
      <c r="FQ874" s="1656"/>
      <c r="FR874" s="249"/>
      <c r="FS874" s="216"/>
      <c r="FT874" s="1657"/>
      <c r="FU874" s="1658"/>
      <c r="FV874" s="242"/>
      <c r="FW874" s="343"/>
      <c r="FX874" s="222"/>
      <c r="FY874" s="336"/>
      <c r="FZ874" s="223"/>
      <c r="GA874" s="338"/>
      <c r="GB874" s="204"/>
      <c r="GC874" s="339"/>
      <c r="GD874" s="342"/>
      <c r="GE874" s="199"/>
      <c r="GF874" s="199"/>
      <c r="GG874" s="199"/>
      <c r="GH874" s="199"/>
      <c r="GI874" s="199"/>
      <c r="GJ874" s="199"/>
      <c r="GK874" s="199"/>
      <c r="GO874" s="322"/>
      <c r="GP874" s="1190"/>
      <c r="GQ874" s="1190"/>
      <c r="GS874" s="2879"/>
      <c r="GT874" s="2880"/>
      <c r="GU874" s="2881"/>
    </row>
    <row r="875" spans="1:203" ht="12" customHeight="1">
      <c r="A875" s="1252"/>
      <c r="B875" s="200"/>
      <c r="C875" s="486"/>
      <c r="T875" s="1186"/>
      <c r="U875" s="233"/>
      <c r="W875" s="218"/>
      <c r="X875" s="218"/>
      <c r="Y875" s="216"/>
      <c r="Z875" s="216"/>
      <c r="AA875" s="215"/>
      <c r="AB875" s="216"/>
      <c r="AC875" s="216"/>
      <c r="AD875" s="239"/>
      <c r="AE875" s="216"/>
      <c r="AF875" s="216"/>
      <c r="AG875" s="216"/>
      <c r="AH875" s="216"/>
      <c r="AI875" s="216"/>
      <c r="AJ875" s="216"/>
      <c r="AK875" s="239"/>
      <c r="AL875" s="216"/>
      <c r="AM875" s="216"/>
      <c r="AN875" s="216"/>
      <c r="AO875" s="216"/>
      <c r="AP875" s="216"/>
      <c r="AQ875" s="216"/>
      <c r="AR875" s="216"/>
      <c r="AS875" s="216"/>
      <c r="AT875" s="216"/>
      <c r="AU875" s="216"/>
      <c r="AV875" s="217"/>
      <c r="AW875" s="355"/>
      <c r="AX875" s="217"/>
      <c r="AY875" s="305"/>
      <c r="AZ875" s="249"/>
      <c r="BA875" s="221"/>
      <c r="BB875" s="300"/>
      <c r="BC875" s="217"/>
      <c r="BD875" s="392"/>
      <c r="BE875" s="1244"/>
      <c r="BF875" s="249"/>
      <c r="BG875" s="252"/>
      <c r="BH875" s="1469"/>
      <c r="BI875" s="216"/>
      <c r="BJ875" s="1469"/>
      <c r="BK875" s="1459"/>
      <c r="BL875" s="260"/>
      <c r="BM875" s="214"/>
      <c r="BN875" s="293"/>
      <c r="BO875" s="217"/>
      <c r="BP875" s="355"/>
      <c r="BQ875" s="217"/>
      <c r="BR875" s="1193"/>
      <c r="BS875" s="249"/>
      <c r="BT875" s="216"/>
      <c r="BU875" s="1195"/>
      <c r="BV875" s="249"/>
      <c r="BW875" s="216"/>
      <c r="BX875" s="1195"/>
      <c r="BY875" s="249"/>
      <c r="BZ875" s="216"/>
      <c r="CA875" s="1195"/>
      <c r="CB875" s="249"/>
      <c r="CC875" s="216"/>
      <c r="CD875" s="1195"/>
      <c r="CE875" s="249"/>
      <c r="CF875" s="216"/>
      <c r="CG875" s="1195"/>
      <c r="CH875" s="249"/>
      <c r="CI875" s="216"/>
      <c r="CJ875" s="1195"/>
      <c r="CK875" s="249"/>
      <c r="CL875" s="216"/>
      <c r="CM875" s="1194"/>
      <c r="CN875" s="1524"/>
      <c r="CO875" s="217"/>
      <c r="CP875" s="1193"/>
      <c r="CQ875" s="293"/>
      <c r="CR875" s="217"/>
      <c r="CS875" s="305"/>
      <c r="CT875" s="249"/>
      <c r="CU875" s="216"/>
      <c r="CV875" s="1193"/>
      <c r="CW875" s="249"/>
      <c r="CX875" s="216"/>
      <c r="CY875" s="305"/>
      <c r="CZ875" s="249"/>
      <c r="DA875" s="216"/>
      <c r="DB875" s="307"/>
      <c r="DC875" s="328"/>
      <c r="DD875" s="322"/>
      <c r="DE875" s="305"/>
      <c r="DF875" s="249"/>
      <c r="DG875" s="216"/>
      <c r="DH875" s="305"/>
      <c r="DI875" s="249"/>
      <c r="DJ875" s="216"/>
      <c r="DK875" s="309"/>
      <c r="DL875" s="293"/>
      <c r="DM875" s="326"/>
      <c r="DN875" s="1256"/>
      <c r="DO875" s="214"/>
      <c r="DP875" s="1257"/>
      <c r="DQ875" s="1258"/>
      <c r="DR875" s="305"/>
      <c r="DS875" s="249"/>
      <c r="DT875" s="216"/>
      <c r="DU875" s="305"/>
      <c r="DV875" s="2520"/>
      <c r="DW875" s="2521"/>
      <c r="DX875" s="305"/>
      <c r="DY875" s="249"/>
      <c r="DZ875" s="221"/>
      <c r="EA875" s="388"/>
      <c r="EB875" s="249"/>
      <c r="EC875" s="216"/>
      <c r="ED875" s="1461"/>
      <c r="EE875" s="249"/>
      <c r="EF875" s="216"/>
      <c r="EG875" s="355"/>
      <c r="EH875" s="1425"/>
      <c r="EI875" s="1470"/>
      <c r="EJ875" s="249"/>
      <c r="EK875" s="221"/>
      <c r="EL875" s="313"/>
      <c r="EM875" s="249"/>
      <c r="EN875" s="221"/>
      <c r="EO875" s="313"/>
      <c r="EP875" s="249"/>
      <c r="EQ875" s="216"/>
      <c r="ER875" s="313"/>
      <c r="ES875" s="249"/>
      <c r="ET875" s="216"/>
      <c r="EU875" s="313"/>
      <c r="EV875" s="249"/>
      <c r="EW875" s="216"/>
      <c r="EX875" s="2505"/>
      <c r="EY875" s="249"/>
      <c r="EZ875" s="221"/>
      <c r="FA875" s="313"/>
      <c r="FB875" s="249"/>
      <c r="FC875" s="221"/>
      <c r="FD875" s="313"/>
      <c r="FE875" s="249"/>
      <c r="FF875" s="221"/>
      <c r="FG875" s="313"/>
      <c r="FH875" s="249"/>
      <c r="FI875" s="216"/>
      <c r="FJ875" s="1435"/>
      <c r="FK875" s="216"/>
      <c r="FL875" s="1268"/>
      <c r="FM875" s="1655"/>
      <c r="FN875" s="1268"/>
      <c r="FO875" s="1655"/>
      <c r="FP875" s="1268"/>
      <c r="FQ875" s="1656"/>
      <c r="FR875" s="249"/>
      <c r="FS875" s="216"/>
      <c r="FT875" s="1657"/>
      <c r="FU875" s="1658"/>
      <c r="FV875" s="242"/>
      <c r="FW875" s="343"/>
      <c r="FX875" s="222"/>
      <c r="FY875" s="336"/>
      <c r="FZ875" s="223"/>
      <c r="GA875" s="338"/>
      <c r="GB875" s="204"/>
      <c r="GC875" s="339"/>
      <c r="GD875" s="342"/>
      <c r="GE875" s="199"/>
      <c r="GF875" s="199"/>
      <c r="GG875" s="199"/>
      <c r="GH875" s="199"/>
      <c r="GI875" s="199"/>
      <c r="GJ875" s="199"/>
      <c r="GK875" s="199"/>
      <c r="GO875" s="322"/>
      <c r="GP875" s="1190"/>
      <c r="GQ875" s="1190"/>
      <c r="GS875" s="2879"/>
      <c r="GT875" s="2880"/>
      <c r="GU875" s="2881"/>
    </row>
    <row r="876" spans="1:203" ht="12" customHeight="1">
      <c r="A876" s="1252"/>
      <c r="B876" s="200"/>
      <c r="C876" s="486"/>
      <c r="T876" s="1186"/>
      <c r="U876" s="233"/>
      <c r="W876" s="218"/>
      <c r="X876" s="218"/>
      <c r="Y876" s="216"/>
      <c r="Z876" s="216"/>
      <c r="AA876" s="215"/>
      <c r="AB876" s="216"/>
      <c r="AC876" s="216"/>
      <c r="AD876" s="239"/>
      <c r="AE876" s="216"/>
      <c r="AF876" s="216"/>
      <c r="AG876" s="216"/>
      <c r="AH876" s="216"/>
      <c r="AI876" s="216"/>
      <c r="AJ876" s="216"/>
      <c r="AK876" s="239"/>
      <c r="AL876" s="216"/>
      <c r="AM876" s="216"/>
      <c r="AN876" s="216"/>
      <c r="AO876" s="216"/>
      <c r="AP876" s="216"/>
      <c r="AQ876" s="216"/>
      <c r="AR876" s="216"/>
      <c r="AS876" s="216"/>
      <c r="AT876" s="216"/>
      <c r="AU876" s="216"/>
      <c r="AV876" s="217"/>
      <c r="AW876" s="355"/>
      <c r="AX876" s="217"/>
      <c r="AY876" s="305"/>
      <c r="AZ876" s="249"/>
      <c r="BA876" s="221"/>
      <c r="BB876" s="300"/>
      <c r="BC876" s="217"/>
      <c r="BD876" s="392"/>
      <c r="BE876" s="1244"/>
      <c r="BF876" s="249"/>
      <c r="BG876" s="252"/>
      <c r="BH876" s="1469"/>
      <c r="BI876" s="216"/>
      <c r="BJ876" s="1469"/>
      <c r="BK876" s="1459"/>
      <c r="BL876" s="260"/>
      <c r="BM876" s="214"/>
      <c r="BN876" s="293"/>
      <c r="BO876" s="217"/>
      <c r="BP876" s="355"/>
      <c r="BQ876" s="217"/>
      <c r="BR876" s="1193"/>
      <c r="BS876" s="249"/>
      <c r="BT876" s="216"/>
      <c r="BU876" s="1195"/>
      <c r="BV876" s="249"/>
      <c r="BW876" s="216"/>
      <c r="BX876" s="1195"/>
      <c r="BY876" s="249"/>
      <c r="BZ876" s="216"/>
      <c r="CA876" s="1195"/>
      <c r="CB876" s="249"/>
      <c r="CC876" s="216"/>
      <c r="CD876" s="1195"/>
      <c r="CE876" s="249"/>
      <c r="CF876" s="216"/>
      <c r="CG876" s="1195"/>
      <c r="CH876" s="249"/>
      <c r="CI876" s="216"/>
      <c r="CJ876" s="1195"/>
      <c r="CK876" s="249"/>
      <c r="CL876" s="216"/>
      <c r="CM876" s="1194"/>
      <c r="CN876" s="1524"/>
      <c r="CO876" s="217"/>
      <c r="CP876" s="1193"/>
      <c r="CQ876" s="293"/>
      <c r="CR876" s="217"/>
      <c r="CS876" s="305"/>
      <c r="CT876" s="249"/>
      <c r="CU876" s="216"/>
      <c r="CV876" s="1193"/>
      <c r="CW876" s="249"/>
      <c r="CX876" s="216"/>
      <c r="CY876" s="305"/>
      <c r="CZ876" s="249"/>
      <c r="DA876" s="216"/>
      <c r="DB876" s="307"/>
      <c r="DC876" s="328"/>
      <c r="DD876" s="322"/>
      <c r="DE876" s="305"/>
      <c r="DF876" s="249"/>
      <c r="DG876" s="216"/>
      <c r="DH876" s="305"/>
      <c r="DI876" s="249"/>
      <c r="DJ876" s="216"/>
      <c r="DK876" s="309"/>
      <c r="DL876" s="293"/>
      <c r="DM876" s="326"/>
      <c r="DN876" s="1256"/>
      <c r="DO876" s="214"/>
      <c r="DP876" s="1257"/>
      <c r="DQ876" s="1258"/>
      <c r="DR876" s="305"/>
      <c r="DS876" s="249"/>
      <c r="DT876" s="216"/>
      <c r="DU876" s="305"/>
      <c r="DV876" s="2520"/>
      <c r="DW876" s="2521"/>
      <c r="DX876" s="305"/>
      <c r="DY876" s="249"/>
      <c r="DZ876" s="221"/>
      <c r="EA876" s="388"/>
      <c r="EB876" s="249"/>
      <c r="EC876" s="216"/>
      <c r="ED876" s="1461"/>
      <c r="EE876" s="249"/>
      <c r="EF876" s="216"/>
      <c r="EG876" s="355"/>
      <c r="EH876" s="1425"/>
      <c r="EI876" s="1470"/>
      <c r="EJ876" s="249"/>
      <c r="EK876" s="221"/>
      <c r="EL876" s="313"/>
      <c r="EM876" s="249"/>
      <c r="EN876" s="221"/>
      <c r="EO876" s="313"/>
      <c r="EP876" s="249"/>
      <c r="EQ876" s="216"/>
      <c r="ER876" s="313"/>
      <c r="ES876" s="249"/>
      <c r="ET876" s="216"/>
      <c r="EU876" s="313"/>
      <c r="EV876" s="249"/>
      <c r="EW876" s="216"/>
      <c r="EX876" s="2505"/>
      <c r="EY876" s="249"/>
      <c r="EZ876" s="221"/>
      <c r="FA876" s="313"/>
      <c r="FB876" s="249"/>
      <c r="FC876" s="221"/>
      <c r="FD876" s="313"/>
      <c r="FE876" s="249"/>
      <c r="FF876" s="221"/>
      <c r="FG876" s="313"/>
      <c r="FH876" s="249"/>
      <c r="FI876" s="216"/>
      <c r="FJ876" s="1435"/>
      <c r="FK876" s="216"/>
      <c r="FL876" s="1268"/>
      <c r="FM876" s="1655"/>
      <c r="FN876" s="1268"/>
      <c r="FO876" s="1655"/>
      <c r="FP876" s="1268"/>
      <c r="FQ876" s="1656"/>
      <c r="FR876" s="249"/>
      <c r="FS876" s="216"/>
      <c r="FT876" s="1657"/>
      <c r="FU876" s="1658"/>
      <c r="FV876" s="242"/>
      <c r="FW876" s="343"/>
      <c r="FX876" s="222"/>
      <c r="FY876" s="336"/>
      <c r="FZ876" s="223"/>
      <c r="GA876" s="338"/>
      <c r="GB876" s="204"/>
      <c r="GC876" s="339"/>
      <c r="GD876" s="342"/>
      <c r="GE876" s="199"/>
      <c r="GF876" s="199"/>
      <c r="GG876" s="199"/>
      <c r="GH876" s="199"/>
      <c r="GI876" s="199"/>
      <c r="GJ876" s="199"/>
      <c r="GK876" s="199"/>
      <c r="GO876" s="322"/>
      <c r="GP876" s="1190"/>
      <c r="GQ876" s="1190"/>
      <c r="GS876" s="2879"/>
      <c r="GT876" s="2880"/>
      <c r="GU876" s="2881"/>
    </row>
    <row r="877" spans="1:203" ht="12" customHeight="1">
      <c r="A877" s="1252"/>
      <c r="B877" s="200"/>
      <c r="C877" s="486"/>
      <c r="T877" s="1186"/>
      <c r="U877" s="233"/>
      <c r="W877" s="218"/>
      <c r="X877" s="218"/>
      <c r="Y877" s="216"/>
      <c r="Z877" s="216"/>
      <c r="AA877" s="215"/>
      <c r="AB877" s="216"/>
      <c r="AC877" s="216"/>
      <c r="AD877" s="239"/>
      <c r="AE877" s="216"/>
      <c r="AF877" s="216"/>
      <c r="AG877" s="216"/>
      <c r="AH877" s="216"/>
      <c r="AI877" s="216"/>
      <c r="AJ877" s="216"/>
      <c r="AK877" s="239"/>
      <c r="AL877" s="216"/>
      <c r="AM877" s="216"/>
      <c r="AN877" s="216"/>
      <c r="AO877" s="216"/>
      <c r="AP877" s="216"/>
      <c r="AQ877" s="216"/>
      <c r="AR877" s="216"/>
      <c r="AS877" s="216"/>
      <c r="AT877" s="216"/>
      <c r="AU877" s="216"/>
      <c r="AV877" s="217"/>
      <c r="AW877" s="355"/>
      <c r="AX877" s="217"/>
      <c r="AY877" s="305"/>
      <c r="AZ877" s="249"/>
      <c r="BA877" s="221"/>
      <c r="BB877" s="300"/>
      <c r="BC877" s="217"/>
      <c r="BD877" s="392"/>
      <c r="BE877" s="1244"/>
      <c r="BF877" s="249"/>
      <c r="BG877" s="252"/>
      <c r="BH877" s="1469"/>
      <c r="BI877" s="216"/>
      <c r="BJ877" s="1469"/>
      <c r="BK877" s="1459"/>
      <c r="BL877" s="260"/>
      <c r="BM877" s="214"/>
      <c r="BN877" s="293"/>
      <c r="BO877" s="217"/>
      <c r="BP877" s="355"/>
      <c r="BQ877" s="217"/>
      <c r="BR877" s="1193"/>
      <c r="BS877" s="249"/>
      <c r="BT877" s="216"/>
      <c r="BU877" s="1195"/>
      <c r="BV877" s="249"/>
      <c r="BW877" s="216"/>
      <c r="BX877" s="1195"/>
      <c r="BY877" s="249"/>
      <c r="BZ877" s="216"/>
      <c r="CA877" s="1195"/>
      <c r="CB877" s="249"/>
      <c r="CC877" s="216"/>
      <c r="CD877" s="1195"/>
      <c r="CE877" s="249"/>
      <c r="CF877" s="216"/>
      <c r="CG877" s="1195"/>
      <c r="CH877" s="249"/>
      <c r="CI877" s="216"/>
      <c r="CJ877" s="1195"/>
      <c r="CK877" s="249"/>
      <c r="CL877" s="216"/>
      <c r="CM877" s="1194"/>
      <c r="CN877" s="1524"/>
      <c r="CO877" s="217"/>
      <c r="CP877" s="1193"/>
      <c r="CQ877" s="293"/>
      <c r="CR877" s="217"/>
      <c r="CS877" s="305"/>
      <c r="CT877" s="249"/>
      <c r="CU877" s="216"/>
      <c r="CV877" s="1193"/>
      <c r="CW877" s="249"/>
      <c r="CX877" s="216"/>
      <c r="CY877" s="305"/>
      <c r="CZ877" s="249"/>
      <c r="DA877" s="216"/>
      <c r="DB877" s="307"/>
      <c r="DC877" s="328"/>
      <c r="DD877" s="322"/>
      <c r="DE877" s="305"/>
      <c r="DF877" s="249"/>
      <c r="DG877" s="216"/>
      <c r="DH877" s="305"/>
      <c r="DI877" s="249"/>
      <c r="DJ877" s="216"/>
      <c r="DK877" s="309"/>
      <c r="DL877" s="293"/>
      <c r="DM877" s="326"/>
      <c r="DN877" s="1256"/>
      <c r="DO877" s="214"/>
      <c r="DP877" s="1257"/>
      <c r="DQ877" s="1258"/>
      <c r="DR877" s="305"/>
      <c r="DS877" s="249"/>
      <c r="DT877" s="216"/>
      <c r="DU877" s="305"/>
      <c r="DV877" s="2520"/>
      <c r="DW877" s="2521"/>
      <c r="DX877" s="305"/>
      <c r="DY877" s="249"/>
      <c r="DZ877" s="221"/>
      <c r="EA877" s="388"/>
      <c r="EB877" s="249"/>
      <c r="EC877" s="216"/>
      <c r="ED877" s="1461"/>
      <c r="EE877" s="249"/>
      <c r="EF877" s="216"/>
      <c r="EG877" s="355"/>
      <c r="EH877" s="1425"/>
      <c r="EI877" s="1470"/>
      <c r="EJ877" s="249"/>
      <c r="EK877" s="221"/>
      <c r="EL877" s="313"/>
      <c r="EM877" s="249"/>
      <c r="EN877" s="221"/>
      <c r="EO877" s="313"/>
      <c r="EP877" s="249"/>
      <c r="EQ877" s="216"/>
      <c r="ER877" s="313"/>
      <c r="ES877" s="249"/>
      <c r="ET877" s="216"/>
      <c r="EU877" s="313"/>
      <c r="EV877" s="249"/>
      <c r="EW877" s="216"/>
      <c r="EX877" s="2505"/>
      <c r="EY877" s="249"/>
      <c r="EZ877" s="221"/>
      <c r="FA877" s="313"/>
      <c r="FB877" s="249"/>
      <c r="FC877" s="221"/>
      <c r="FD877" s="313"/>
      <c r="FE877" s="249"/>
      <c r="FF877" s="221"/>
      <c r="FG877" s="313"/>
      <c r="FH877" s="249"/>
      <c r="FI877" s="216"/>
      <c r="FJ877" s="1435"/>
      <c r="FK877" s="216"/>
      <c r="FL877" s="1268"/>
      <c r="FM877" s="1655"/>
      <c r="FN877" s="1268"/>
      <c r="FO877" s="1655"/>
      <c r="FP877" s="1268"/>
      <c r="FQ877" s="1656"/>
      <c r="FR877" s="249"/>
      <c r="FS877" s="216"/>
      <c r="FT877" s="1657"/>
      <c r="FU877" s="1658"/>
      <c r="FV877" s="242"/>
      <c r="FW877" s="343"/>
      <c r="FX877" s="222"/>
      <c r="FY877" s="336"/>
      <c r="FZ877" s="223"/>
      <c r="GA877" s="338"/>
      <c r="GB877" s="204"/>
      <c r="GC877" s="339"/>
      <c r="GD877" s="342"/>
      <c r="GE877" s="199"/>
      <c r="GF877" s="199"/>
      <c r="GG877" s="199"/>
      <c r="GH877" s="199"/>
      <c r="GI877" s="199"/>
      <c r="GJ877" s="199"/>
      <c r="GK877" s="199"/>
      <c r="GO877" s="322"/>
      <c r="GP877" s="1190"/>
      <c r="GQ877" s="1190"/>
      <c r="GS877" s="2879"/>
      <c r="GT877" s="2880"/>
      <c r="GU877" s="2881"/>
    </row>
    <row r="878" spans="1:203" ht="12" customHeight="1">
      <c r="A878" s="1252"/>
      <c r="B878" s="200"/>
      <c r="C878" s="486"/>
      <c r="T878" s="1186"/>
      <c r="U878" s="233"/>
      <c r="W878" s="218"/>
      <c r="X878" s="218"/>
      <c r="Y878" s="216"/>
      <c r="Z878" s="216"/>
      <c r="AA878" s="215"/>
      <c r="AB878" s="216"/>
      <c r="AC878" s="216"/>
      <c r="AD878" s="239"/>
      <c r="AE878" s="216"/>
      <c r="AF878" s="216"/>
      <c r="AG878" s="216"/>
      <c r="AH878" s="216"/>
      <c r="AI878" s="216"/>
      <c r="AJ878" s="216"/>
      <c r="AK878" s="239"/>
      <c r="AL878" s="216"/>
      <c r="AM878" s="216"/>
      <c r="AN878" s="216"/>
      <c r="AO878" s="216"/>
      <c r="AP878" s="216"/>
      <c r="AQ878" s="216"/>
      <c r="AR878" s="216"/>
      <c r="AS878" s="216"/>
      <c r="AT878" s="216"/>
      <c r="AU878" s="216"/>
      <c r="AV878" s="217"/>
      <c r="AW878" s="355"/>
      <c r="AX878" s="217"/>
      <c r="AY878" s="305"/>
      <c r="AZ878" s="249"/>
      <c r="BA878" s="221"/>
      <c r="BB878" s="300"/>
      <c r="BC878" s="217"/>
      <c r="BD878" s="392"/>
      <c r="BE878" s="1244"/>
      <c r="BF878" s="249"/>
      <c r="BG878" s="252"/>
      <c r="BH878" s="1469"/>
      <c r="BI878" s="216"/>
      <c r="BJ878" s="1469"/>
      <c r="BK878" s="1459"/>
      <c r="BL878" s="260"/>
      <c r="BM878" s="214"/>
      <c r="BN878" s="293"/>
      <c r="BO878" s="217"/>
      <c r="BP878" s="355"/>
      <c r="BQ878" s="217"/>
      <c r="BR878" s="1193"/>
      <c r="BS878" s="249"/>
      <c r="BT878" s="216"/>
      <c r="BU878" s="1195"/>
      <c r="BV878" s="249"/>
      <c r="BW878" s="216"/>
      <c r="BX878" s="1195"/>
      <c r="BY878" s="249"/>
      <c r="BZ878" s="216"/>
      <c r="CA878" s="1195"/>
      <c r="CB878" s="249"/>
      <c r="CC878" s="216"/>
      <c r="CD878" s="1195"/>
      <c r="CE878" s="249"/>
      <c r="CF878" s="216"/>
      <c r="CG878" s="1195"/>
      <c r="CH878" s="249"/>
      <c r="CI878" s="216"/>
      <c r="CJ878" s="1195"/>
      <c r="CK878" s="249"/>
      <c r="CL878" s="216"/>
      <c r="CM878" s="1194"/>
      <c r="CN878" s="1524"/>
      <c r="CO878" s="217"/>
      <c r="CP878" s="1193"/>
      <c r="CQ878" s="293"/>
      <c r="CR878" s="217"/>
      <c r="CS878" s="305"/>
      <c r="CT878" s="249"/>
      <c r="CU878" s="216"/>
      <c r="CV878" s="1193"/>
      <c r="CW878" s="249"/>
      <c r="CX878" s="216"/>
      <c r="CY878" s="305"/>
      <c r="CZ878" s="249"/>
      <c r="DA878" s="216"/>
      <c r="DB878" s="307"/>
      <c r="DC878" s="328"/>
      <c r="DD878" s="322"/>
      <c r="DE878" s="305"/>
      <c r="DF878" s="249"/>
      <c r="DG878" s="216"/>
      <c r="DH878" s="305"/>
      <c r="DI878" s="249"/>
      <c r="DJ878" s="216"/>
      <c r="DK878" s="309"/>
      <c r="DL878" s="293"/>
      <c r="DM878" s="326"/>
      <c r="DN878" s="1256"/>
      <c r="DO878" s="214"/>
      <c r="DP878" s="1257"/>
      <c r="DQ878" s="1258"/>
      <c r="DR878" s="305"/>
      <c r="DS878" s="249"/>
      <c r="DT878" s="216"/>
      <c r="DU878" s="305"/>
      <c r="DV878" s="2520"/>
      <c r="DW878" s="2521"/>
      <c r="DX878" s="305"/>
      <c r="DY878" s="249"/>
      <c r="DZ878" s="221"/>
      <c r="EA878" s="388"/>
      <c r="EB878" s="249"/>
      <c r="EC878" s="216"/>
      <c r="ED878" s="1461"/>
      <c r="EE878" s="249"/>
      <c r="EF878" s="216"/>
      <c r="EG878" s="355"/>
      <c r="EH878" s="1425"/>
      <c r="EI878" s="1470"/>
      <c r="EJ878" s="249"/>
      <c r="EK878" s="221"/>
      <c r="EL878" s="313"/>
      <c r="EM878" s="249"/>
      <c r="EN878" s="221"/>
      <c r="EO878" s="313"/>
      <c r="EP878" s="249"/>
      <c r="EQ878" s="216"/>
      <c r="ER878" s="313"/>
      <c r="ES878" s="249"/>
      <c r="ET878" s="216"/>
      <c r="EU878" s="313"/>
      <c r="EV878" s="249"/>
      <c r="EW878" s="216"/>
      <c r="EX878" s="2505"/>
      <c r="EY878" s="249"/>
      <c r="EZ878" s="221"/>
      <c r="FA878" s="313"/>
      <c r="FB878" s="249"/>
      <c r="FC878" s="221"/>
      <c r="FD878" s="313"/>
      <c r="FE878" s="249"/>
      <c r="FF878" s="221"/>
      <c r="FG878" s="313"/>
      <c r="FH878" s="249"/>
      <c r="FI878" s="216"/>
      <c r="FJ878" s="1435"/>
      <c r="FK878" s="216"/>
      <c r="FL878" s="1268"/>
      <c r="FM878" s="1655"/>
      <c r="FN878" s="1268"/>
      <c r="FO878" s="1655"/>
      <c r="FP878" s="1268"/>
      <c r="FQ878" s="1656"/>
      <c r="FR878" s="249"/>
      <c r="FS878" s="216"/>
      <c r="FT878" s="1657"/>
      <c r="FU878" s="1658"/>
      <c r="FV878" s="242"/>
      <c r="FW878" s="343"/>
      <c r="FX878" s="222"/>
      <c r="FY878" s="336"/>
      <c r="FZ878" s="223"/>
      <c r="GA878" s="338"/>
      <c r="GB878" s="204"/>
      <c r="GC878" s="339"/>
      <c r="GD878" s="342"/>
      <c r="GE878" s="199"/>
      <c r="GF878" s="199"/>
      <c r="GG878" s="199"/>
      <c r="GH878" s="199"/>
      <c r="GI878" s="199"/>
      <c r="GJ878" s="199"/>
      <c r="GK878" s="199"/>
      <c r="GO878" s="322"/>
      <c r="GP878" s="1190"/>
      <c r="GQ878" s="1190"/>
      <c r="GS878" s="2879"/>
      <c r="GT878" s="2880"/>
      <c r="GU878" s="2881"/>
    </row>
    <row r="879" spans="1:203" ht="12" customHeight="1">
      <c r="A879" s="1252"/>
      <c r="B879" s="200"/>
      <c r="C879" s="486"/>
      <c r="T879" s="1186"/>
      <c r="U879" s="233"/>
      <c r="W879" s="218"/>
      <c r="X879" s="218"/>
      <c r="Y879" s="216"/>
      <c r="Z879" s="216"/>
      <c r="AA879" s="215"/>
      <c r="AB879" s="216"/>
      <c r="AC879" s="216"/>
      <c r="AD879" s="239"/>
      <c r="AE879" s="216"/>
      <c r="AF879" s="216"/>
      <c r="AG879" s="216"/>
      <c r="AH879" s="216"/>
      <c r="AI879" s="216"/>
      <c r="AJ879" s="216"/>
      <c r="AK879" s="239"/>
      <c r="AL879" s="216"/>
      <c r="AM879" s="216"/>
      <c r="AN879" s="216"/>
      <c r="AO879" s="216"/>
      <c r="AP879" s="216"/>
      <c r="AQ879" s="216"/>
      <c r="AR879" s="216"/>
      <c r="AS879" s="216"/>
      <c r="AT879" s="216"/>
      <c r="AU879" s="216"/>
      <c r="AV879" s="217"/>
      <c r="AW879" s="355"/>
      <c r="AX879" s="217"/>
      <c r="AY879" s="305"/>
      <c r="AZ879" s="249"/>
      <c r="BA879" s="221"/>
      <c r="BB879" s="300"/>
      <c r="BC879" s="217"/>
      <c r="BD879" s="392"/>
      <c r="BE879" s="1244"/>
      <c r="BF879" s="249"/>
      <c r="BG879" s="252"/>
      <c r="BH879" s="1469"/>
      <c r="BI879" s="216"/>
      <c r="BJ879" s="1469"/>
      <c r="BK879" s="1459"/>
      <c r="BL879" s="260"/>
      <c r="BM879" s="214"/>
      <c r="BN879" s="293"/>
      <c r="BO879" s="217"/>
      <c r="BP879" s="355"/>
      <c r="BQ879" s="217"/>
      <c r="BR879" s="1193"/>
      <c r="BS879" s="249"/>
      <c r="BT879" s="216"/>
      <c r="BU879" s="1195"/>
      <c r="BV879" s="249"/>
      <c r="BW879" s="216"/>
      <c r="BX879" s="1195"/>
      <c r="BY879" s="249"/>
      <c r="BZ879" s="216"/>
      <c r="CA879" s="1195"/>
      <c r="CB879" s="249"/>
      <c r="CC879" s="216"/>
      <c r="CD879" s="1195"/>
      <c r="CE879" s="249"/>
      <c r="CF879" s="216"/>
      <c r="CG879" s="1195"/>
      <c r="CH879" s="249"/>
      <c r="CI879" s="216"/>
      <c r="CJ879" s="1195"/>
      <c r="CK879" s="249"/>
      <c r="CL879" s="216"/>
      <c r="CM879" s="1194"/>
      <c r="CN879" s="1524"/>
      <c r="CO879" s="217"/>
      <c r="CP879" s="1193"/>
      <c r="CQ879" s="293"/>
      <c r="CR879" s="217"/>
      <c r="CS879" s="305"/>
      <c r="CT879" s="249"/>
      <c r="CU879" s="216"/>
      <c r="CV879" s="1193"/>
      <c r="CW879" s="249"/>
      <c r="CX879" s="216"/>
      <c r="CY879" s="305"/>
      <c r="CZ879" s="249"/>
      <c r="DA879" s="216"/>
      <c r="DB879" s="307"/>
      <c r="DC879" s="328"/>
      <c r="DD879" s="322"/>
      <c r="DE879" s="305"/>
      <c r="DF879" s="249"/>
      <c r="DG879" s="216"/>
      <c r="DH879" s="305"/>
      <c r="DI879" s="249"/>
      <c r="DJ879" s="216"/>
      <c r="DK879" s="309"/>
      <c r="DL879" s="293"/>
      <c r="DM879" s="326"/>
      <c r="DN879" s="1256"/>
      <c r="DO879" s="214"/>
      <c r="DP879" s="1257"/>
      <c r="DQ879" s="1258"/>
      <c r="DR879" s="305"/>
      <c r="DS879" s="249"/>
      <c r="DT879" s="216"/>
      <c r="DU879" s="305"/>
      <c r="DV879" s="2520"/>
      <c r="DW879" s="2521"/>
      <c r="DX879" s="305"/>
      <c r="DY879" s="249"/>
      <c r="DZ879" s="221"/>
      <c r="EA879" s="388"/>
      <c r="EB879" s="249"/>
      <c r="EC879" s="216"/>
      <c r="ED879" s="1461"/>
      <c r="EE879" s="249"/>
      <c r="EF879" s="216"/>
      <c r="EG879" s="355"/>
      <c r="EH879" s="1425"/>
      <c r="EI879" s="1470"/>
      <c r="EJ879" s="249"/>
      <c r="EK879" s="221"/>
      <c r="EL879" s="313"/>
      <c r="EM879" s="249"/>
      <c r="EN879" s="221"/>
      <c r="EO879" s="313"/>
      <c r="EP879" s="249"/>
      <c r="EQ879" s="216"/>
      <c r="ER879" s="313"/>
      <c r="ES879" s="249"/>
      <c r="ET879" s="216"/>
      <c r="EU879" s="313"/>
      <c r="EV879" s="249"/>
      <c r="EW879" s="216"/>
      <c r="EX879" s="2505"/>
      <c r="EY879" s="249"/>
      <c r="EZ879" s="221"/>
      <c r="FA879" s="313"/>
      <c r="FB879" s="249"/>
      <c r="FC879" s="221"/>
      <c r="FD879" s="313"/>
      <c r="FE879" s="249"/>
      <c r="FF879" s="221"/>
      <c r="FG879" s="313"/>
      <c r="FH879" s="249"/>
      <c r="FI879" s="216"/>
      <c r="FJ879" s="1435"/>
      <c r="FK879" s="216"/>
      <c r="FL879" s="1268"/>
      <c r="FM879" s="1655"/>
      <c r="FN879" s="1268"/>
      <c r="FO879" s="1655"/>
      <c r="FP879" s="1268"/>
      <c r="FQ879" s="1656"/>
      <c r="FR879" s="249"/>
      <c r="FS879" s="216"/>
      <c r="FT879" s="1657"/>
      <c r="FU879" s="1658"/>
      <c r="FV879" s="242"/>
      <c r="FW879" s="343"/>
      <c r="FX879" s="222"/>
      <c r="FY879" s="336"/>
      <c r="FZ879" s="223"/>
      <c r="GA879" s="338"/>
      <c r="GB879" s="204"/>
      <c r="GC879" s="339"/>
      <c r="GD879" s="342"/>
      <c r="GE879" s="199"/>
      <c r="GF879" s="199"/>
      <c r="GG879" s="199"/>
      <c r="GH879" s="199"/>
      <c r="GI879" s="199"/>
      <c r="GJ879" s="199"/>
      <c r="GK879" s="199"/>
      <c r="GO879" s="322"/>
      <c r="GP879" s="1190"/>
      <c r="GQ879" s="1190"/>
      <c r="GS879" s="2879"/>
      <c r="GT879" s="2880"/>
      <c r="GU879" s="2881"/>
    </row>
    <row r="880" spans="1:203" ht="12" customHeight="1">
      <c r="A880" s="1252"/>
      <c r="B880" s="200"/>
      <c r="C880" s="486"/>
      <c r="T880" s="1186"/>
      <c r="U880" s="233"/>
      <c r="W880" s="218"/>
      <c r="X880" s="218"/>
      <c r="Y880" s="216"/>
      <c r="Z880" s="216"/>
      <c r="AA880" s="215"/>
      <c r="AB880" s="216"/>
      <c r="AC880" s="216"/>
      <c r="AD880" s="239"/>
      <c r="AE880" s="216"/>
      <c r="AF880" s="216"/>
      <c r="AG880" s="216"/>
      <c r="AH880" s="216"/>
      <c r="AI880" s="216"/>
      <c r="AJ880" s="216"/>
      <c r="AK880" s="239"/>
      <c r="AL880" s="216"/>
      <c r="AM880" s="216"/>
      <c r="AN880" s="216"/>
      <c r="AO880" s="216"/>
      <c r="AP880" s="216"/>
      <c r="AQ880" s="216"/>
      <c r="AR880" s="216"/>
      <c r="AS880" s="216"/>
      <c r="AT880" s="216"/>
      <c r="AU880" s="216"/>
      <c r="AV880" s="217"/>
      <c r="AW880" s="355"/>
      <c r="AX880" s="217"/>
      <c r="AY880" s="305"/>
      <c r="AZ880" s="249"/>
      <c r="BA880" s="221"/>
      <c r="BB880" s="300"/>
      <c r="BC880" s="217"/>
      <c r="BD880" s="392"/>
      <c r="BE880" s="1244"/>
      <c r="BF880" s="249"/>
      <c r="BG880" s="252"/>
      <c r="BH880" s="1469"/>
      <c r="BI880" s="216"/>
      <c r="BJ880" s="1469"/>
      <c r="BK880" s="1459"/>
      <c r="BL880" s="260"/>
      <c r="BM880" s="214"/>
      <c r="BN880" s="293"/>
      <c r="BO880" s="217"/>
      <c r="BP880" s="355"/>
      <c r="BQ880" s="217"/>
      <c r="BR880" s="1193"/>
      <c r="BS880" s="249"/>
      <c r="BT880" s="216"/>
      <c r="BU880" s="1195"/>
      <c r="BV880" s="249"/>
      <c r="BW880" s="216"/>
      <c r="BX880" s="1195"/>
      <c r="BY880" s="249"/>
      <c r="BZ880" s="216"/>
      <c r="CA880" s="1195"/>
      <c r="CB880" s="249"/>
      <c r="CC880" s="216"/>
      <c r="CD880" s="1195"/>
      <c r="CE880" s="249"/>
      <c r="CF880" s="216"/>
      <c r="CG880" s="1195"/>
      <c r="CH880" s="249"/>
      <c r="CI880" s="216"/>
      <c r="CJ880" s="1195"/>
      <c r="CK880" s="249"/>
      <c r="CL880" s="216"/>
      <c r="CM880" s="1194"/>
      <c r="CN880" s="1524"/>
      <c r="CO880" s="217"/>
      <c r="CP880" s="1193"/>
      <c r="CQ880" s="293"/>
      <c r="CR880" s="217"/>
      <c r="CS880" s="305"/>
      <c r="CT880" s="249"/>
      <c r="CU880" s="216"/>
      <c r="CV880" s="1193"/>
      <c r="CW880" s="249"/>
      <c r="CX880" s="216"/>
      <c r="CY880" s="305"/>
      <c r="CZ880" s="249"/>
      <c r="DA880" s="216"/>
      <c r="DB880" s="307"/>
      <c r="DC880" s="328"/>
      <c r="DD880" s="322"/>
      <c r="DE880" s="305"/>
      <c r="DF880" s="249"/>
      <c r="DG880" s="216"/>
      <c r="DH880" s="305"/>
      <c r="DI880" s="249"/>
      <c r="DJ880" s="216"/>
      <c r="DK880" s="309"/>
      <c r="DL880" s="293"/>
      <c r="DM880" s="326"/>
      <c r="DN880" s="1256"/>
      <c r="DO880" s="214"/>
      <c r="DP880" s="1257"/>
      <c r="DQ880" s="1258"/>
      <c r="DR880" s="305"/>
      <c r="DS880" s="249"/>
      <c r="DT880" s="216"/>
      <c r="DU880" s="305"/>
      <c r="DV880" s="2520"/>
      <c r="DW880" s="2521"/>
      <c r="DX880" s="305"/>
      <c r="DY880" s="249"/>
      <c r="DZ880" s="221"/>
      <c r="EA880" s="388"/>
      <c r="EB880" s="249"/>
      <c r="EC880" s="216"/>
      <c r="ED880" s="1461"/>
      <c r="EE880" s="249"/>
      <c r="EF880" s="216"/>
      <c r="EG880" s="355"/>
      <c r="EH880" s="1425"/>
      <c r="EI880" s="1470"/>
      <c r="EJ880" s="249"/>
      <c r="EK880" s="221"/>
      <c r="EL880" s="313"/>
      <c r="EM880" s="249"/>
      <c r="EN880" s="221"/>
      <c r="EO880" s="313"/>
      <c r="EP880" s="249"/>
      <c r="EQ880" s="216"/>
      <c r="ER880" s="313"/>
      <c r="ES880" s="249"/>
      <c r="ET880" s="216"/>
      <c r="EU880" s="313"/>
      <c r="EV880" s="249"/>
      <c r="EW880" s="216"/>
      <c r="EX880" s="2505"/>
      <c r="EY880" s="249"/>
      <c r="EZ880" s="221"/>
      <c r="FA880" s="313"/>
      <c r="FB880" s="249"/>
      <c r="FC880" s="221"/>
      <c r="FD880" s="313"/>
      <c r="FE880" s="249"/>
      <c r="FF880" s="221"/>
      <c r="FG880" s="313"/>
      <c r="FH880" s="249"/>
      <c r="FI880" s="216"/>
      <c r="FJ880" s="1435"/>
      <c r="FK880" s="216"/>
      <c r="FL880" s="1268"/>
      <c r="FM880" s="1655"/>
      <c r="FN880" s="1268"/>
      <c r="FO880" s="1655"/>
      <c r="FP880" s="1268"/>
      <c r="FQ880" s="1656"/>
      <c r="FR880" s="249"/>
      <c r="FS880" s="216"/>
      <c r="FT880" s="1657"/>
      <c r="FU880" s="1658"/>
      <c r="FV880" s="242"/>
      <c r="FW880" s="343"/>
      <c r="FX880" s="222"/>
      <c r="FY880" s="336"/>
      <c r="FZ880" s="223"/>
      <c r="GA880" s="338"/>
      <c r="GB880" s="204"/>
      <c r="GC880" s="339"/>
      <c r="GD880" s="342"/>
      <c r="GE880" s="199"/>
      <c r="GF880" s="199"/>
      <c r="GG880" s="199"/>
      <c r="GH880" s="199"/>
      <c r="GI880" s="199"/>
      <c r="GJ880" s="199"/>
      <c r="GK880" s="199"/>
      <c r="GO880" s="322"/>
      <c r="GP880" s="1190"/>
      <c r="GQ880" s="1190"/>
      <c r="GS880" s="2879"/>
      <c r="GT880" s="2880"/>
      <c r="GU880" s="2881"/>
    </row>
    <row r="881" spans="1:203" ht="12" customHeight="1">
      <c r="A881" s="1252"/>
      <c r="B881" s="200"/>
      <c r="C881" s="486"/>
      <c r="T881" s="1186"/>
      <c r="U881" s="233"/>
      <c r="W881" s="218"/>
      <c r="X881" s="218"/>
      <c r="Y881" s="216"/>
      <c r="Z881" s="216"/>
      <c r="AA881" s="215"/>
      <c r="AB881" s="216"/>
      <c r="AC881" s="216"/>
      <c r="AD881" s="239"/>
      <c r="AE881" s="216"/>
      <c r="AF881" s="216"/>
      <c r="AG881" s="216"/>
      <c r="AH881" s="216"/>
      <c r="AI881" s="216"/>
      <c r="AJ881" s="216"/>
      <c r="AK881" s="239"/>
      <c r="AL881" s="216"/>
      <c r="AM881" s="216"/>
      <c r="AN881" s="216"/>
      <c r="AO881" s="216"/>
      <c r="AP881" s="216"/>
      <c r="AQ881" s="216"/>
      <c r="AR881" s="216"/>
      <c r="AS881" s="216"/>
      <c r="AT881" s="216"/>
      <c r="AU881" s="216"/>
      <c r="AV881" s="217"/>
      <c r="AW881" s="355"/>
      <c r="AX881" s="217"/>
      <c r="AY881" s="305"/>
      <c r="AZ881" s="249"/>
      <c r="BA881" s="221"/>
      <c r="BB881" s="300"/>
      <c r="BC881" s="217"/>
      <c r="BD881" s="392"/>
      <c r="BE881" s="1244"/>
      <c r="BF881" s="249"/>
      <c r="BG881" s="252"/>
      <c r="BH881" s="1469"/>
      <c r="BI881" s="216"/>
      <c r="BJ881" s="1469"/>
      <c r="BK881" s="1459"/>
      <c r="BL881" s="260"/>
      <c r="BM881" s="214"/>
      <c r="BN881" s="293"/>
      <c r="BO881" s="217"/>
      <c r="BP881" s="355"/>
      <c r="BQ881" s="217"/>
      <c r="BR881" s="1193"/>
      <c r="BS881" s="249"/>
      <c r="BT881" s="216"/>
      <c r="BU881" s="1195"/>
      <c r="BV881" s="249"/>
      <c r="BW881" s="216"/>
      <c r="BX881" s="1195"/>
      <c r="BY881" s="249"/>
      <c r="BZ881" s="216"/>
      <c r="CA881" s="1195"/>
      <c r="CB881" s="249"/>
      <c r="CC881" s="216"/>
      <c r="CD881" s="1195"/>
      <c r="CE881" s="249"/>
      <c r="CF881" s="216"/>
      <c r="CG881" s="1195"/>
      <c r="CH881" s="249"/>
      <c r="CI881" s="216"/>
      <c r="CJ881" s="1195"/>
      <c r="CK881" s="249"/>
      <c r="CL881" s="216"/>
      <c r="CM881" s="1194"/>
      <c r="CN881" s="1524"/>
      <c r="CO881" s="217"/>
      <c r="CP881" s="1193"/>
      <c r="CQ881" s="293"/>
      <c r="CR881" s="217"/>
      <c r="CS881" s="305"/>
      <c r="CT881" s="249"/>
      <c r="CU881" s="216"/>
      <c r="CV881" s="1193"/>
      <c r="CW881" s="249"/>
      <c r="CX881" s="216"/>
      <c r="CY881" s="305"/>
      <c r="CZ881" s="249"/>
      <c r="DA881" s="216"/>
      <c r="DB881" s="307"/>
      <c r="DC881" s="328"/>
      <c r="DD881" s="322"/>
      <c r="DE881" s="305"/>
      <c r="DF881" s="249"/>
      <c r="DG881" s="216"/>
      <c r="DH881" s="305"/>
      <c r="DI881" s="249"/>
      <c r="DJ881" s="216"/>
      <c r="DK881" s="309"/>
      <c r="DL881" s="293"/>
      <c r="DM881" s="326"/>
      <c r="DN881" s="1256"/>
      <c r="DO881" s="214"/>
      <c r="DP881" s="1257"/>
      <c r="DQ881" s="1258"/>
      <c r="DR881" s="305"/>
      <c r="DS881" s="249"/>
      <c r="DT881" s="216"/>
      <c r="DU881" s="305"/>
      <c r="DV881" s="2520"/>
      <c r="DW881" s="2521"/>
      <c r="DX881" s="305"/>
      <c r="DY881" s="249"/>
      <c r="DZ881" s="221"/>
      <c r="EA881" s="388"/>
      <c r="EB881" s="249"/>
      <c r="EC881" s="216"/>
      <c r="ED881" s="1461"/>
      <c r="EE881" s="249"/>
      <c r="EF881" s="216"/>
      <c r="EG881" s="355"/>
      <c r="EH881" s="1425"/>
      <c r="EI881" s="1470"/>
      <c r="EJ881" s="249"/>
      <c r="EK881" s="221"/>
      <c r="EL881" s="313"/>
      <c r="EM881" s="249"/>
      <c r="EN881" s="221"/>
      <c r="EO881" s="313"/>
      <c r="EP881" s="249"/>
      <c r="EQ881" s="216"/>
      <c r="ER881" s="313"/>
      <c r="ES881" s="249"/>
      <c r="ET881" s="216"/>
      <c r="EU881" s="313"/>
      <c r="EV881" s="249"/>
      <c r="EW881" s="216"/>
      <c r="EX881" s="2505"/>
      <c r="EY881" s="249"/>
      <c r="EZ881" s="221"/>
      <c r="FA881" s="313"/>
      <c r="FB881" s="249"/>
      <c r="FC881" s="221"/>
      <c r="FD881" s="313"/>
      <c r="FE881" s="249"/>
      <c r="FF881" s="221"/>
      <c r="FG881" s="313"/>
      <c r="FH881" s="249"/>
      <c r="FI881" s="216"/>
      <c r="FJ881" s="1435"/>
      <c r="FK881" s="216"/>
      <c r="FL881" s="1268"/>
      <c r="FM881" s="1655"/>
      <c r="FN881" s="1268"/>
      <c r="FO881" s="1655"/>
      <c r="FP881" s="1268"/>
      <c r="FQ881" s="1656"/>
      <c r="FR881" s="249"/>
      <c r="FS881" s="216"/>
      <c r="FT881" s="1657"/>
      <c r="FU881" s="1658"/>
      <c r="FV881" s="242"/>
      <c r="FW881" s="343"/>
      <c r="FX881" s="222"/>
      <c r="FY881" s="336"/>
      <c r="FZ881" s="223"/>
      <c r="GA881" s="338"/>
      <c r="GB881" s="204"/>
      <c r="GC881" s="339"/>
      <c r="GD881" s="342"/>
      <c r="GE881" s="199"/>
      <c r="GF881" s="199"/>
      <c r="GG881" s="199"/>
      <c r="GH881" s="199"/>
      <c r="GI881" s="199"/>
      <c r="GJ881" s="199"/>
      <c r="GK881" s="199"/>
      <c r="GO881" s="322"/>
      <c r="GP881" s="1190"/>
      <c r="GQ881" s="1190"/>
      <c r="GS881" s="2879"/>
      <c r="GT881" s="2880"/>
      <c r="GU881" s="2881"/>
    </row>
    <row r="882" spans="1:203" ht="12" customHeight="1">
      <c r="A882" s="1252"/>
      <c r="B882" s="200"/>
      <c r="C882" s="486"/>
      <c r="T882" s="1186"/>
      <c r="U882" s="233"/>
      <c r="W882" s="218"/>
      <c r="X882" s="218"/>
      <c r="Y882" s="216"/>
      <c r="Z882" s="216"/>
      <c r="AA882" s="215"/>
      <c r="AB882" s="216"/>
      <c r="AC882" s="216"/>
      <c r="AD882" s="239"/>
      <c r="AE882" s="216"/>
      <c r="AF882" s="216"/>
      <c r="AG882" s="216"/>
      <c r="AH882" s="216"/>
      <c r="AI882" s="216"/>
      <c r="AJ882" s="216"/>
      <c r="AK882" s="239"/>
      <c r="AL882" s="216"/>
      <c r="AM882" s="216"/>
      <c r="AN882" s="216"/>
      <c r="AO882" s="216"/>
      <c r="AP882" s="216"/>
      <c r="AQ882" s="216"/>
      <c r="AR882" s="216"/>
      <c r="AS882" s="216"/>
      <c r="AT882" s="216"/>
      <c r="AU882" s="216"/>
      <c r="AV882" s="217"/>
      <c r="AW882" s="355"/>
      <c r="AX882" s="217"/>
      <c r="AY882" s="305"/>
      <c r="AZ882" s="249"/>
      <c r="BA882" s="221"/>
      <c r="BB882" s="300"/>
      <c r="BC882" s="217"/>
      <c r="BD882" s="392"/>
      <c r="BE882" s="1244"/>
      <c r="BF882" s="249"/>
      <c r="BG882" s="252"/>
      <c r="BH882" s="1469"/>
      <c r="BI882" s="216"/>
      <c r="BJ882" s="1469"/>
      <c r="BK882" s="1459"/>
      <c r="BL882" s="260"/>
      <c r="BM882" s="214"/>
      <c r="BN882" s="293"/>
      <c r="BO882" s="217"/>
      <c r="BP882" s="355"/>
      <c r="BQ882" s="217"/>
      <c r="BR882" s="1193"/>
      <c r="BS882" s="249"/>
      <c r="BT882" s="216"/>
      <c r="BU882" s="1195"/>
      <c r="BV882" s="249"/>
      <c r="BW882" s="216"/>
      <c r="BX882" s="1195"/>
      <c r="BY882" s="249"/>
      <c r="BZ882" s="216"/>
      <c r="CA882" s="1195"/>
      <c r="CB882" s="249"/>
      <c r="CC882" s="216"/>
      <c r="CD882" s="1195"/>
      <c r="CE882" s="249"/>
      <c r="CF882" s="216"/>
      <c r="CG882" s="1195"/>
      <c r="CH882" s="249"/>
      <c r="CI882" s="216"/>
      <c r="CJ882" s="1195"/>
      <c r="CK882" s="249"/>
      <c r="CL882" s="216"/>
      <c r="CM882" s="1194"/>
      <c r="CN882" s="1524"/>
      <c r="CO882" s="217"/>
      <c r="CP882" s="1193"/>
      <c r="CQ882" s="293"/>
      <c r="CR882" s="217"/>
      <c r="CS882" s="305"/>
      <c r="CT882" s="249"/>
      <c r="CU882" s="216"/>
      <c r="CV882" s="1193"/>
      <c r="CW882" s="249"/>
      <c r="CX882" s="216"/>
      <c r="CY882" s="305"/>
      <c r="CZ882" s="249"/>
      <c r="DA882" s="216"/>
      <c r="DB882" s="307"/>
      <c r="DC882" s="328"/>
      <c r="DD882" s="322"/>
      <c r="DE882" s="305"/>
      <c r="DF882" s="249"/>
      <c r="DG882" s="216"/>
      <c r="DH882" s="305"/>
      <c r="DI882" s="249"/>
      <c r="DJ882" s="216"/>
      <c r="DK882" s="309"/>
      <c r="DL882" s="293"/>
      <c r="DM882" s="326"/>
      <c r="DN882" s="1256"/>
      <c r="DO882" s="214"/>
      <c r="DP882" s="1257"/>
      <c r="DQ882" s="1258"/>
      <c r="DR882" s="305"/>
      <c r="DS882" s="249"/>
      <c r="DT882" s="216"/>
      <c r="DU882" s="305"/>
      <c r="DV882" s="2520"/>
      <c r="DW882" s="2521"/>
      <c r="DX882" s="305"/>
      <c r="DY882" s="249"/>
      <c r="DZ882" s="221"/>
      <c r="EA882" s="388"/>
      <c r="EB882" s="249"/>
      <c r="EC882" s="216"/>
      <c r="ED882" s="1461"/>
      <c r="EE882" s="249"/>
      <c r="EF882" s="216"/>
      <c r="EG882" s="355"/>
      <c r="EH882" s="1425"/>
      <c r="EI882" s="1470"/>
      <c r="EJ882" s="249"/>
      <c r="EK882" s="221"/>
      <c r="EL882" s="313"/>
      <c r="EM882" s="249"/>
      <c r="EN882" s="221"/>
      <c r="EO882" s="313"/>
      <c r="EP882" s="249"/>
      <c r="EQ882" s="216"/>
      <c r="ER882" s="313"/>
      <c r="ES882" s="249"/>
      <c r="ET882" s="216"/>
      <c r="EU882" s="313"/>
      <c r="EV882" s="249"/>
      <c r="EW882" s="216"/>
      <c r="EX882" s="2505"/>
      <c r="EY882" s="249"/>
      <c r="EZ882" s="221"/>
      <c r="FA882" s="313"/>
      <c r="FB882" s="249"/>
      <c r="FC882" s="221"/>
      <c r="FD882" s="313"/>
      <c r="FE882" s="249"/>
      <c r="FF882" s="221"/>
      <c r="FG882" s="313"/>
      <c r="FH882" s="249"/>
      <c r="FI882" s="216"/>
      <c r="FJ882" s="1435"/>
      <c r="FK882" s="216"/>
      <c r="FL882" s="1268"/>
      <c r="FM882" s="1655"/>
      <c r="FN882" s="1268"/>
      <c r="FO882" s="1655"/>
      <c r="FP882" s="1268"/>
      <c r="FQ882" s="1656"/>
      <c r="FR882" s="249"/>
      <c r="FS882" s="216"/>
      <c r="FT882" s="1657"/>
      <c r="FU882" s="1658"/>
      <c r="FV882" s="242"/>
      <c r="FW882" s="343"/>
      <c r="FX882" s="222"/>
      <c r="FY882" s="336"/>
      <c r="FZ882" s="223"/>
      <c r="GA882" s="338"/>
      <c r="GB882" s="204"/>
      <c r="GC882" s="339"/>
      <c r="GD882" s="342"/>
      <c r="GE882" s="199"/>
      <c r="GF882" s="199"/>
      <c r="GG882" s="199"/>
      <c r="GH882" s="199"/>
      <c r="GI882" s="199"/>
      <c r="GJ882" s="199"/>
      <c r="GK882" s="199"/>
      <c r="GO882" s="322"/>
      <c r="GP882" s="1190"/>
      <c r="GQ882" s="1190"/>
      <c r="GS882" s="2879"/>
      <c r="GT882" s="2880"/>
      <c r="GU882" s="2881"/>
    </row>
    <row r="883" spans="1:203" ht="12" customHeight="1">
      <c r="A883" s="1252"/>
      <c r="B883" s="200"/>
      <c r="C883" s="486"/>
      <c r="T883" s="1186"/>
      <c r="U883" s="233"/>
      <c r="W883" s="218"/>
      <c r="X883" s="218"/>
      <c r="Y883" s="216"/>
      <c r="Z883" s="216"/>
      <c r="AA883" s="215"/>
      <c r="AB883" s="216"/>
      <c r="AC883" s="216"/>
      <c r="AD883" s="239"/>
      <c r="AE883" s="216"/>
      <c r="AF883" s="216"/>
      <c r="AG883" s="216"/>
      <c r="AH883" s="216"/>
      <c r="AI883" s="216"/>
      <c r="AJ883" s="216"/>
      <c r="AK883" s="239"/>
      <c r="AL883" s="216"/>
      <c r="AM883" s="216"/>
      <c r="AN883" s="216"/>
      <c r="AO883" s="216"/>
      <c r="AP883" s="216"/>
      <c r="AQ883" s="216"/>
      <c r="AR883" s="216"/>
      <c r="AS883" s="216"/>
      <c r="AT883" s="216"/>
      <c r="AU883" s="216"/>
      <c r="AV883" s="217"/>
      <c r="AW883" s="355"/>
      <c r="AX883" s="217"/>
      <c r="AY883" s="305"/>
      <c r="AZ883" s="249"/>
      <c r="BA883" s="221"/>
      <c r="BB883" s="300"/>
      <c r="BC883" s="217"/>
      <c r="BD883" s="392"/>
      <c r="BE883" s="1244"/>
      <c r="BF883" s="249"/>
      <c r="BG883" s="252"/>
      <c r="BH883" s="1469"/>
      <c r="BI883" s="216"/>
      <c r="BJ883" s="1469"/>
      <c r="BK883" s="1459"/>
      <c r="BL883" s="260"/>
      <c r="BM883" s="214"/>
      <c r="BN883" s="293"/>
      <c r="BO883" s="217"/>
      <c r="BP883" s="355"/>
      <c r="BQ883" s="217"/>
      <c r="BR883" s="1193"/>
      <c r="BS883" s="249"/>
      <c r="BT883" s="216"/>
      <c r="BU883" s="1195"/>
      <c r="BV883" s="249"/>
      <c r="BW883" s="216"/>
      <c r="BX883" s="1195"/>
      <c r="BY883" s="249"/>
      <c r="BZ883" s="216"/>
      <c r="CA883" s="1195"/>
      <c r="CB883" s="249"/>
      <c r="CC883" s="216"/>
      <c r="CD883" s="1195"/>
      <c r="CE883" s="249"/>
      <c r="CF883" s="216"/>
      <c r="CG883" s="1195"/>
      <c r="CH883" s="249"/>
      <c r="CI883" s="216"/>
      <c r="CJ883" s="1195"/>
      <c r="CK883" s="249"/>
      <c r="CL883" s="216"/>
      <c r="CM883" s="1194"/>
      <c r="CN883" s="1524"/>
      <c r="CO883" s="217"/>
      <c r="CP883" s="1193"/>
      <c r="CQ883" s="293"/>
      <c r="CR883" s="217"/>
      <c r="CS883" s="305"/>
      <c r="CT883" s="249"/>
      <c r="CU883" s="216"/>
      <c r="CV883" s="1193"/>
      <c r="CW883" s="249"/>
      <c r="CX883" s="216"/>
      <c r="CY883" s="305"/>
      <c r="CZ883" s="249"/>
      <c r="DA883" s="216"/>
      <c r="DB883" s="307"/>
      <c r="DC883" s="328"/>
      <c r="DD883" s="322"/>
      <c r="DE883" s="305"/>
      <c r="DF883" s="249"/>
      <c r="DG883" s="216"/>
      <c r="DH883" s="305"/>
      <c r="DI883" s="249"/>
      <c r="DJ883" s="216"/>
      <c r="DK883" s="309"/>
      <c r="DL883" s="293"/>
      <c r="DM883" s="326"/>
      <c r="DN883" s="1256"/>
      <c r="DO883" s="214"/>
      <c r="DP883" s="1257"/>
      <c r="DQ883" s="1258"/>
      <c r="DR883" s="305"/>
      <c r="DS883" s="249"/>
      <c r="DT883" s="216"/>
      <c r="DU883" s="305"/>
      <c r="DV883" s="2520"/>
      <c r="DW883" s="2521"/>
      <c r="DX883" s="305"/>
      <c r="DY883" s="249"/>
      <c r="DZ883" s="221"/>
      <c r="EA883" s="388"/>
      <c r="EB883" s="249"/>
      <c r="EC883" s="216"/>
      <c r="ED883" s="1461"/>
      <c r="EE883" s="249"/>
      <c r="EF883" s="216"/>
      <c r="EG883" s="355"/>
      <c r="EH883" s="1425"/>
      <c r="EI883" s="1470"/>
      <c r="EJ883" s="249"/>
      <c r="EK883" s="221"/>
      <c r="EL883" s="313"/>
      <c r="EM883" s="249"/>
      <c r="EN883" s="221"/>
      <c r="EO883" s="313"/>
      <c r="EP883" s="249"/>
      <c r="EQ883" s="216"/>
      <c r="ER883" s="313"/>
      <c r="ES883" s="249"/>
      <c r="ET883" s="216"/>
      <c r="EU883" s="313"/>
      <c r="EV883" s="249"/>
      <c r="EW883" s="216"/>
      <c r="EX883" s="2505"/>
      <c r="EY883" s="249"/>
      <c r="EZ883" s="221"/>
      <c r="FA883" s="313"/>
      <c r="FB883" s="249"/>
      <c r="FC883" s="221"/>
      <c r="FD883" s="313"/>
      <c r="FE883" s="249"/>
      <c r="FF883" s="221"/>
      <c r="FG883" s="313"/>
      <c r="FH883" s="249"/>
      <c r="FI883" s="216"/>
      <c r="FJ883" s="1435"/>
      <c r="FK883" s="216"/>
      <c r="FL883" s="1268"/>
      <c r="FM883" s="1655"/>
      <c r="FN883" s="1268"/>
      <c r="FO883" s="1655"/>
      <c r="FP883" s="1268"/>
      <c r="FQ883" s="1656"/>
      <c r="FR883" s="249"/>
      <c r="FS883" s="216"/>
      <c r="FT883" s="1657"/>
      <c r="FU883" s="1658"/>
      <c r="FV883" s="242"/>
      <c r="FW883" s="343"/>
      <c r="FX883" s="222"/>
      <c r="FY883" s="336"/>
      <c r="FZ883" s="223"/>
      <c r="GA883" s="338"/>
      <c r="GB883" s="204"/>
      <c r="GC883" s="339"/>
      <c r="GD883" s="342"/>
      <c r="GE883" s="199"/>
      <c r="GF883" s="199"/>
      <c r="GG883" s="199"/>
      <c r="GH883" s="199"/>
      <c r="GI883" s="199"/>
      <c r="GJ883" s="199"/>
      <c r="GK883" s="199"/>
      <c r="GO883" s="322"/>
      <c r="GP883" s="1190"/>
      <c r="GQ883" s="1190"/>
      <c r="GS883" s="2879"/>
      <c r="GT883" s="2880"/>
      <c r="GU883" s="2881"/>
    </row>
    <row r="884" spans="1:203" ht="12" customHeight="1">
      <c r="A884" s="1252"/>
      <c r="B884" s="200"/>
      <c r="C884" s="486"/>
      <c r="T884" s="1186"/>
      <c r="U884" s="233"/>
      <c r="W884" s="218"/>
      <c r="X884" s="218"/>
      <c r="Y884" s="216"/>
      <c r="Z884" s="216"/>
      <c r="AA884" s="215"/>
      <c r="AB884" s="216"/>
      <c r="AC884" s="216"/>
      <c r="AD884" s="239"/>
      <c r="AE884" s="216"/>
      <c r="AF884" s="216"/>
      <c r="AG884" s="216"/>
      <c r="AH884" s="216"/>
      <c r="AI884" s="216"/>
      <c r="AJ884" s="216"/>
      <c r="AK884" s="239"/>
      <c r="AL884" s="216"/>
      <c r="AM884" s="216"/>
      <c r="AN884" s="216"/>
      <c r="AO884" s="216"/>
      <c r="AP884" s="216"/>
      <c r="AQ884" s="216"/>
      <c r="AR884" s="216"/>
      <c r="AS884" s="216"/>
      <c r="AT884" s="216"/>
      <c r="AU884" s="216"/>
      <c r="AV884" s="217"/>
      <c r="AW884" s="355"/>
      <c r="AX884" s="217"/>
      <c r="AY884" s="305"/>
      <c r="AZ884" s="249"/>
      <c r="BA884" s="221"/>
      <c r="BB884" s="300"/>
      <c r="BC884" s="217"/>
      <c r="BD884" s="392"/>
      <c r="BE884" s="1244"/>
      <c r="BF884" s="249"/>
      <c r="BG884" s="252"/>
      <c r="BH884" s="1469"/>
      <c r="BI884" s="216"/>
      <c r="BJ884" s="1469"/>
      <c r="BK884" s="1459"/>
      <c r="BL884" s="260"/>
      <c r="BM884" s="214"/>
      <c r="BN884" s="293"/>
      <c r="BO884" s="217"/>
      <c r="BP884" s="355"/>
      <c r="BQ884" s="217"/>
      <c r="BR884" s="1193"/>
      <c r="BS884" s="249"/>
      <c r="BT884" s="216"/>
      <c r="BU884" s="1195"/>
      <c r="BV884" s="249"/>
      <c r="BW884" s="216"/>
      <c r="BX884" s="1195"/>
      <c r="BY884" s="249"/>
      <c r="BZ884" s="216"/>
      <c r="CA884" s="1195"/>
      <c r="CB884" s="249"/>
      <c r="CC884" s="216"/>
      <c r="CD884" s="1195"/>
      <c r="CE884" s="249"/>
      <c r="CF884" s="216"/>
      <c r="CG884" s="1195"/>
      <c r="CH884" s="249"/>
      <c r="CI884" s="216"/>
      <c r="CJ884" s="1195"/>
      <c r="CK884" s="249"/>
      <c r="CL884" s="216"/>
      <c r="CM884" s="1194"/>
      <c r="CN884" s="1524"/>
      <c r="CO884" s="217"/>
      <c r="CP884" s="1193"/>
      <c r="CQ884" s="293"/>
      <c r="CR884" s="217"/>
      <c r="CS884" s="305"/>
      <c r="CT884" s="249"/>
      <c r="CU884" s="216"/>
      <c r="CV884" s="1193"/>
      <c r="CW884" s="249"/>
      <c r="CX884" s="216"/>
      <c r="CY884" s="305"/>
      <c r="CZ884" s="249"/>
      <c r="DA884" s="216"/>
      <c r="DB884" s="307"/>
      <c r="DC884" s="328"/>
      <c r="DD884" s="322"/>
      <c r="DE884" s="305"/>
      <c r="DF884" s="249"/>
      <c r="DG884" s="216"/>
      <c r="DH884" s="305"/>
      <c r="DI884" s="249"/>
      <c r="DJ884" s="216"/>
      <c r="DK884" s="309"/>
      <c r="DL884" s="293"/>
      <c r="DM884" s="326"/>
      <c r="DN884" s="1256"/>
      <c r="DO884" s="214"/>
      <c r="DP884" s="1257"/>
      <c r="DQ884" s="1258"/>
      <c r="DR884" s="305"/>
      <c r="DS884" s="249"/>
      <c r="DT884" s="216"/>
      <c r="DU884" s="305"/>
      <c r="DV884" s="2520"/>
      <c r="DW884" s="2521"/>
      <c r="DX884" s="305"/>
      <c r="DY884" s="249"/>
      <c r="DZ884" s="221"/>
      <c r="EA884" s="388"/>
      <c r="EB884" s="249"/>
      <c r="EC884" s="216"/>
      <c r="ED884" s="1461"/>
      <c r="EE884" s="249"/>
      <c r="EF884" s="216"/>
      <c r="EG884" s="355"/>
      <c r="EH884" s="1425"/>
      <c r="EI884" s="1470"/>
      <c r="EJ884" s="249"/>
      <c r="EK884" s="221"/>
      <c r="EL884" s="313"/>
      <c r="EM884" s="249"/>
      <c r="EN884" s="221"/>
      <c r="EO884" s="313"/>
      <c r="EP884" s="249"/>
      <c r="EQ884" s="216"/>
      <c r="ER884" s="313"/>
      <c r="ES884" s="249"/>
      <c r="ET884" s="216"/>
      <c r="EU884" s="313"/>
      <c r="EV884" s="249"/>
      <c r="EW884" s="216"/>
      <c r="EX884" s="2505"/>
      <c r="EY884" s="249"/>
      <c r="EZ884" s="221"/>
      <c r="FA884" s="313"/>
      <c r="FB884" s="249"/>
      <c r="FC884" s="221"/>
      <c r="FD884" s="313"/>
      <c r="FE884" s="249"/>
      <c r="FF884" s="221"/>
      <c r="FG884" s="313"/>
      <c r="FH884" s="249"/>
      <c r="FI884" s="216"/>
      <c r="FJ884" s="1435"/>
      <c r="FK884" s="216"/>
      <c r="FL884" s="1268"/>
      <c r="FM884" s="1655"/>
      <c r="FN884" s="1268"/>
      <c r="FO884" s="1655"/>
      <c r="FP884" s="1268"/>
      <c r="FQ884" s="1656"/>
      <c r="FR884" s="249"/>
      <c r="FS884" s="216"/>
      <c r="FT884" s="1657"/>
      <c r="FU884" s="1658"/>
      <c r="FV884" s="242"/>
      <c r="FW884" s="343"/>
      <c r="FX884" s="222"/>
      <c r="FY884" s="336"/>
      <c r="FZ884" s="223"/>
      <c r="GA884" s="338"/>
      <c r="GB884" s="204"/>
      <c r="GC884" s="339"/>
      <c r="GD884" s="342"/>
      <c r="GE884" s="199"/>
      <c r="GF884" s="199"/>
      <c r="GG884" s="199"/>
      <c r="GH884" s="199"/>
      <c r="GI884" s="199"/>
      <c r="GJ884" s="199"/>
      <c r="GK884" s="199"/>
      <c r="GO884" s="322"/>
      <c r="GP884" s="1190"/>
      <c r="GQ884" s="1190"/>
      <c r="GS884" s="2879"/>
      <c r="GT884" s="2880"/>
      <c r="GU884" s="2881"/>
    </row>
    <row r="885" spans="1:203" ht="12" customHeight="1">
      <c r="A885" s="1252"/>
      <c r="B885" s="200"/>
      <c r="C885" s="486"/>
      <c r="T885" s="1186"/>
      <c r="U885" s="233"/>
      <c r="W885" s="218"/>
      <c r="X885" s="218"/>
      <c r="Y885" s="216"/>
      <c r="Z885" s="216"/>
      <c r="AA885" s="215"/>
      <c r="AB885" s="216"/>
      <c r="AC885" s="216"/>
      <c r="AD885" s="239"/>
      <c r="AE885" s="216"/>
      <c r="AF885" s="216"/>
      <c r="AG885" s="216"/>
      <c r="AH885" s="216"/>
      <c r="AI885" s="216"/>
      <c r="AJ885" s="216"/>
      <c r="AK885" s="239"/>
      <c r="AL885" s="216"/>
      <c r="AM885" s="216"/>
      <c r="AN885" s="216"/>
      <c r="AO885" s="216"/>
      <c r="AP885" s="216"/>
      <c r="AQ885" s="216"/>
      <c r="AR885" s="216"/>
      <c r="AS885" s="216"/>
      <c r="AT885" s="216"/>
      <c r="AU885" s="216"/>
      <c r="AV885" s="217"/>
      <c r="AW885" s="355"/>
      <c r="AX885" s="217"/>
      <c r="AY885" s="305"/>
      <c r="AZ885" s="249"/>
      <c r="BA885" s="221"/>
      <c r="BB885" s="300"/>
      <c r="BC885" s="217"/>
      <c r="BD885" s="392"/>
      <c r="BE885" s="1244"/>
      <c r="BF885" s="249"/>
      <c r="BG885" s="252"/>
      <c r="BH885" s="1469"/>
      <c r="BI885" s="216"/>
      <c r="BJ885" s="1469"/>
      <c r="BK885" s="1459"/>
      <c r="BL885" s="260"/>
      <c r="BM885" s="214"/>
      <c r="BN885" s="293"/>
      <c r="BO885" s="217"/>
      <c r="BP885" s="355"/>
      <c r="BQ885" s="217"/>
      <c r="BR885" s="1193"/>
      <c r="BS885" s="249"/>
      <c r="BT885" s="216"/>
      <c r="BU885" s="1195"/>
      <c r="BV885" s="249"/>
      <c r="BW885" s="216"/>
      <c r="BX885" s="1195"/>
      <c r="BY885" s="249"/>
      <c r="BZ885" s="216"/>
      <c r="CA885" s="1195"/>
      <c r="CB885" s="249"/>
      <c r="CC885" s="216"/>
      <c r="CD885" s="1195"/>
      <c r="CE885" s="249"/>
      <c r="CF885" s="216"/>
      <c r="CG885" s="1195"/>
      <c r="CH885" s="249"/>
      <c r="CI885" s="216"/>
      <c r="CJ885" s="1195"/>
      <c r="CK885" s="249"/>
      <c r="CL885" s="216"/>
      <c r="CM885" s="1194"/>
      <c r="CN885" s="1524"/>
      <c r="CO885" s="217"/>
      <c r="CP885" s="1193"/>
      <c r="CQ885" s="293"/>
      <c r="CR885" s="217"/>
      <c r="CS885" s="305"/>
      <c r="CT885" s="249"/>
      <c r="CU885" s="216"/>
      <c r="CV885" s="1193"/>
      <c r="CW885" s="249"/>
      <c r="CX885" s="216"/>
      <c r="CY885" s="305"/>
      <c r="CZ885" s="249"/>
      <c r="DA885" s="216"/>
      <c r="DB885" s="307"/>
      <c r="DC885" s="328"/>
      <c r="DD885" s="322"/>
      <c r="DE885" s="305"/>
      <c r="DF885" s="249"/>
      <c r="DG885" s="216"/>
      <c r="DH885" s="305"/>
      <c r="DI885" s="249"/>
      <c r="DJ885" s="216"/>
      <c r="DK885" s="309"/>
      <c r="DL885" s="293"/>
      <c r="DM885" s="326"/>
      <c r="DN885" s="1256"/>
      <c r="DO885" s="214"/>
      <c r="DP885" s="1257"/>
      <c r="DQ885" s="1258"/>
      <c r="DR885" s="305"/>
      <c r="DS885" s="249"/>
      <c r="DT885" s="216"/>
      <c r="DU885" s="305"/>
      <c r="DV885" s="2520"/>
      <c r="DW885" s="2521"/>
      <c r="DX885" s="305"/>
      <c r="DY885" s="249"/>
      <c r="DZ885" s="221"/>
      <c r="EA885" s="388"/>
      <c r="EB885" s="249"/>
      <c r="EC885" s="216"/>
      <c r="ED885" s="1461"/>
      <c r="EE885" s="249"/>
      <c r="EF885" s="216"/>
      <c r="EG885" s="355"/>
      <c r="EH885" s="1425"/>
      <c r="EI885" s="1470"/>
      <c r="EJ885" s="249"/>
      <c r="EK885" s="221"/>
      <c r="EL885" s="313"/>
      <c r="EM885" s="249"/>
      <c r="EN885" s="221"/>
      <c r="EO885" s="313"/>
      <c r="EP885" s="249"/>
      <c r="EQ885" s="216"/>
      <c r="ER885" s="313"/>
      <c r="ES885" s="249"/>
      <c r="ET885" s="216"/>
      <c r="EU885" s="313"/>
      <c r="EV885" s="249"/>
      <c r="EW885" s="216"/>
      <c r="EX885" s="2505"/>
      <c r="EY885" s="249"/>
      <c r="EZ885" s="221"/>
      <c r="FA885" s="313"/>
      <c r="FB885" s="249"/>
      <c r="FC885" s="221"/>
      <c r="FD885" s="313"/>
      <c r="FE885" s="249"/>
      <c r="FF885" s="221"/>
      <c r="FG885" s="313"/>
      <c r="FH885" s="249"/>
      <c r="FI885" s="216"/>
      <c r="FJ885" s="1435"/>
      <c r="FK885" s="216"/>
      <c r="FL885" s="1268"/>
      <c r="FM885" s="1655"/>
      <c r="FN885" s="1268"/>
      <c r="FO885" s="1655"/>
      <c r="FP885" s="1268"/>
      <c r="FQ885" s="1656"/>
      <c r="FR885" s="249"/>
      <c r="FS885" s="216"/>
      <c r="FT885" s="1657"/>
      <c r="FU885" s="1658"/>
      <c r="FV885" s="242"/>
      <c r="FW885" s="343"/>
      <c r="FX885" s="222"/>
      <c r="FY885" s="336"/>
      <c r="FZ885" s="223"/>
      <c r="GA885" s="338"/>
      <c r="GB885" s="204"/>
      <c r="GC885" s="339"/>
      <c r="GD885" s="342"/>
      <c r="GE885" s="199"/>
      <c r="GF885" s="199"/>
      <c r="GG885" s="199"/>
      <c r="GH885" s="199"/>
      <c r="GI885" s="199"/>
      <c r="GJ885" s="199"/>
      <c r="GK885" s="199"/>
      <c r="GO885" s="322"/>
      <c r="GP885" s="1190"/>
      <c r="GQ885" s="1190"/>
      <c r="GS885" s="2879"/>
      <c r="GT885" s="2880"/>
      <c r="GU885" s="2881"/>
    </row>
    <row r="886" spans="1:203" ht="12" customHeight="1">
      <c r="A886" s="1252"/>
      <c r="B886" s="200"/>
      <c r="C886" s="486"/>
      <c r="T886" s="1186"/>
      <c r="U886" s="233"/>
      <c r="W886" s="218"/>
      <c r="X886" s="218"/>
      <c r="Y886" s="216"/>
      <c r="Z886" s="216"/>
      <c r="AA886" s="215"/>
      <c r="AB886" s="216"/>
      <c r="AC886" s="216"/>
      <c r="AD886" s="239"/>
      <c r="AE886" s="216"/>
      <c r="AF886" s="216"/>
      <c r="AG886" s="216"/>
      <c r="AH886" s="216"/>
      <c r="AI886" s="216"/>
      <c r="AJ886" s="216"/>
      <c r="AK886" s="239"/>
      <c r="AL886" s="216"/>
      <c r="AM886" s="216"/>
      <c r="AN886" s="216"/>
      <c r="AO886" s="216"/>
      <c r="AP886" s="216"/>
      <c r="AQ886" s="216"/>
      <c r="AR886" s="216"/>
      <c r="AS886" s="216"/>
      <c r="AT886" s="216"/>
      <c r="AU886" s="216"/>
      <c r="AV886" s="217"/>
      <c r="AW886" s="355"/>
      <c r="AX886" s="217"/>
      <c r="AY886" s="305"/>
      <c r="AZ886" s="249"/>
      <c r="BA886" s="221"/>
      <c r="BB886" s="300"/>
      <c r="BC886" s="217"/>
      <c r="BD886" s="392"/>
      <c r="BE886" s="1244"/>
      <c r="BF886" s="249"/>
      <c r="BG886" s="252"/>
      <c r="BH886" s="1469"/>
      <c r="BI886" s="216"/>
      <c r="BJ886" s="1469"/>
      <c r="BK886" s="1459"/>
      <c r="BL886" s="260"/>
      <c r="BM886" s="214"/>
      <c r="BN886" s="293"/>
      <c r="BO886" s="217"/>
      <c r="BP886" s="355"/>
      <c r="BQ886" s="217"/>
      <c r="BR886" s="1193"/>
      <c r="BS886" s="249"/>
      <c r="BT886" s="216"/>
      <c r="BU886" s="1195"/>
      <c r="BV886" s="249"/>
      <c r="BW886" s="216"/>
      <c r="BX886" s="1195"/>
      <c r="BY886" s="249"/>
      <c r="BZ886" s="216"/>
      <c r="CA886" s="1195"/>
      <c r="CB886" s="249"/>
      <c r="CC886" s="216"/>
      <c r="CD886" s="1195"/>
      <c r="CE886" s="249"/>
      <c r="CF886" s="216"/>
      <c r="CG886" s="1195"/>
      <c r="CH886" s="249"/>
      <c r="CI886" s="216"/>
      <c r="CJ886" s="1195"/>
      <c r="CK886" s="249"/>
      <c r="CL886" s="216"/>
      <c r="CM886" s="1194"/>
      <c r="CN886" s="1524"/>
      <c r="CO886" s="217"/>
      <c r="CP886" s="1193"/>
      <c r="CQ886" s="293"/>
      <c r="CR886" s="217"/>
      <c r="CS886" s="305"/>
      <c r="CT886" s="249"/>
      <c r="CU886" s="216"/>
      <c r="CV886" s="1193"/>
      <c r="CW886" s="249"/>
      <c r="CX886" s="216"/>
      <c r="CY886" s="305"/>
      <c r="CZ886" s="249"/>
      <c r="DA886" s="216"/>
      <c r="DB886" s="307"/>
      <c r="DC886" s="328"/>
      <c r="DD886" s="322"/>
      <c r="DE886" s="305"/>
      <c r="DF886" s="249"/>
      <c r="DG886" s="216"/>
      <c r="DH886" s="305"/>
      <c r="DI886" s="249"/>
      <c r="DJ886" s="216"/>
      <c r="DK886" s="309"/>
      <c r="DL886" s="293"/>
      <c r="DM886" s="326"/>
      <c r="DN886" s="1256"/>
      <c r="DO886" s="214"/>
      <c r="DP886" s="1257"/>
      <c r="DQ886" s="1258"/>
      <c r="DR886" s="305"/>
      <c r="DS886" s="249"/>
      <c r="DT886" s="216"/>
      <c r="DU886" s="305"/>
      <c r="DV886" s="2520"/>
      <c r="DW886" s="2521"/>
      <c r="DX886" s="305"/>
      <c r="DY886" s="249"/>
      <c r="DZ886" s="221"/>
      <c r="EA886" s="388"/>
      <c r="EB886" s="249"/>
      <c r="EC886" s="216"/>
      <c r="ED886" s="1461"/>
      <c r="EE886" s="249"/>
      <c r="EF886" s="216"/>
      <c r="EG886" s="355"/>
      <c r="EH886" s="1425"/>
      <c r="EI886" s="1470"/>
      <c r="EJ886" s="249"/>
      <c r="EK886" s="221"/>
      <c r="EL886" s="313"/>
      <c r="EM886" s="249"/>
      <c r="EN886" s="221"/>
      <c r="EO886" s="313"/>
      <c r="EP886" s="249"/>
      <c r="EQ886" s="216"/>
      <c r="ER886" s="313"/>
      <c r="ES886" s="249"/>
      <c r="ET886" s="216"/>
      <c r="EU886" s="313"/>
      <c r="EV886" s="249"/>
      <c r="EW886" s="216"/>
      <c r="EX886" s="2505"/>
      <c r="EY886" s="249"/>
      <c r="EZ886" s="221"/>
      <c r="FA886" s="313"/>
      <c r="FB886" s="249"/>
      <c r="FC886" s="221"/>
      <c r="FD886" s="313"/>
      <c r="FE886" s="249"/>
      <c r="FF886" s="221"/>
      <c r="FG886" s="313"/>
      <c r="FH886" s="249"/>
      <c r="FI886" s="216"/>
      <c r="FJ886" s="1435"/>
      <c r="FK886" s="216"/>
      <c r="FL886" s="1268"/>
      <c r="FM886" s="1655"/>
      <c r="FN886" s="1268"/>
      <c r="FO886" s="1655"/>
      <c r="FP886" s="1268"/>
      <c r="FQ886" s="1656"/>
      <c r="FR886" s="249"/>
      <c r="FS886" s="216"/>
      <c r="FT886" s="1657"/>
      <c r="FU886" s="1658"/>
      <c r="FV886" s="242"/>
      <c r="FW886" s="343"/>
      <c r="FX886" s="222"/>
      <c r="FY886" s="336"/>
      <c r="FZ886" s="223"/>
      <c r="GA886" s="338"/>
      <c r="GB886" s="204"/>
      <c r="GC886" s="339"/>
      <c r="GD886" s="342"/>
      <c r="GE886" s="199"/>
      <c r="GF886" s="199"/>
      <c r="GG886" s="199"/>
      <c r="GH886" s="199"/>
      <c r="GI886" s="199"/>
      <c r="GJ886" s="199"/>
      <c r="GK886" s="199"/>
      <c r="GO886" s="322"/>
      <c r="GP886" s="1190"/>
      <c r="GQ886" s="1190"/>
      <c r="GS886" s="2879"/>
      <c r="GT886" s="2880"/>
      <c r="GU886" s="2881"/>
    </row>
    <row r="887" spans="1:203" ht="12" customHeight="1">
      <c r="A887" s="1252"/>
      <c r="B887" s="200"/>
      <c r="C887" s="486"/>
      <c r="T887" s="1186"/>
      <c r="U887" s="233"/>
      <c r="W887" s="218"/>
      <c r="X887" s="218"/>
      <c r="Y887" s="216"/>
      <c r="Z887" s="216"/>
      <c r="AA887" s="215"/>
      <c r="AB887" s="216"/>
      <c r="AC887" s="216"/>
      <c r="AD887" s="239"/>
      <c r="AE887" s="216"/>
      <c r="AF887" s="216"/>
      <c r="AG887" s="216"/>
      <c r="AH887" s="216"/>
      <c r="AI887" s="216"/>
      <c r="AJ887" s="216"/>
      <c r="AK887" s="239"/>
      <c r="AL887" s="216"/>
      <c r="AM887" s="216"/>
      <c r="AN887" s="216"/>
      <c r="AO887" s="216"/>
      <c r="AP887" s="216"/>
      <c r="AQ887" s="216"/>
      <c r="AR887" s="216"/>
      <c r="AS887" s="216"/>
      <c r="AT887" s="216"/>
      <c r="AU887" s="216"/>
      <c r="AV887" s="217"/>
      <c r="AW887" s="355"/>
      <c r="AX887" s="217"/>
      <c r="AY887" s="305"/>
      <c r="AZ887" s="249"/>
      <c r="BA887" s="221"/>
      <c r="BB887" s="300"/>
      <c r="BC887" s="217"/>
      <c r="BD887" s="392"/>
      <c r="BE887" s="1244"/>
      <c r="BF887" s="249"/>
      <c r="BG887" s="252"/>
      <c r="BH887" s="1469"/>
      <c r="BI887" s="216"/>
      <c r="BJ887" s="1469"/>
      <c r="BK887" s="1459"/>
      <c r="BL887" s="260"/>
      <c r="BM887" s="214"/>
      <c r="BN887" s="293"/>
      <c r="BO887" s="217"/>
      <c r="BP887" s="355"/>
      <c r="BQ887" s="217"/>
      <c r="BR887" s="1193"/>
      <c r="BS887" s="249"/>
      <c r="BT887" s="216"/>
      <c r="BU887" s="1195"/>
      <c r="BV887" s="249"/>
      <c r="BW887" s="216"/>
      <c r="BX887" s="1195"/>
      <c r="BY887" s="249"/>
      <c r="BZ887" s="216"/>
      <c r="CA887" s="1195"/>
      <c r="CB887" s="249"/>
      <c r="CC887" s="216"/>
      <c r="CD887" s="1195"/>
      <c r="CE887" s="249"/>
      <c r="CF887" s="216"/>
      <c r="CG887" s="1195"/>
      <c r="CH887" s="249"/>
      <c r="CI887" s="216"/>
      <c r="CJ887" s="1195"/>
      <c r="CK887" s="249"/>
      <c r="CL887" s="216"/>
      <c r="CM887" s="1194"/>
      <c r="CN887" s="1524"/>
      <c r="CO887" s="217"/>
      <c r="CP887" s="1193"/>
      <c r="CQ887" s="293"/>
      <c r="CR887" s="217"/>
      <c r="CS887" s="305"/>
      <c r="CT887" s="249"/>
      <c r="CU887" s="216"/>
      <c r="CV887" s="1193"/>
      <c r="CW887" s="249"/>
      <c r="CX887" s="216"/>
      <c r="CY887" s="305"/>
      <c r="CZ887" s="249"/>
      <c r="DA887" s="216"/>
      <c r="DB887" s="307"/>
      <c r="DC887" s="328"/>
      <c r="DD887" s="322"/>
      <c r="DE887" s="305"/>
      <c r="DF887" s="249"/>
      <c r="DG887" s="216"/>
      <c r="DH887" s="305"/>
      <c r="DI887" s="249"/>
      <c r="DJ887" s="216"/>
      <c r="DK887" s="309"/>
      <c r="DL887" s="293"/>
      <c r="DM887" s="326"/>
      <c r="DN887" s="1256"/>
      <c r="DO887" s="214"/>
      <c r="DP887" s="1257"/>
      <c r="DQ887" s="1258"/>
      <c r="DR887" s="305"/>
      <c r="DS887" s="249"/>
      <c r="DT887" s="216"/>
      <c r="DU887" s="305"/>
      <c r="DV887" s="2520"/>
      <c r="DW887" s="2521"/>
      <c r="DX887" s="305"/>
      <c r="DY887" s="249"/>
      <c r="DZ887" s="221"/>
      <c r="EA887" s="388"/>
      <c r="EB887" s="249"/>
      <c r="EC887" s="216"/>
      <c r="ED887" s="1461"/>
      <c r="EE887" s="249"/>
      <c r="EF887" s="216"/>
      <c r="EG887" s="355"/>
      <c r="EH887" s="1425"/>
      <c r="EI887" s="1470"/>
      <c r="EJ887" s="249"/>
      <c r="EK887" s="221"/>
      <c r="EL887" s="313"/>
      <c r="EM887" s="249"/>
      <c r="EN887" s="221"/>
      <c r="EO887" s="313"/>
      <c r="EP887" s="249"/>
      <c r="EQ887" s="216"/>
      <c r="ER887" s="313"/>
      <c r="ES887" s="249"/>
      <c r="ET887" s="216"/>
      <c r="EU887" s="313"/>
      <c r="EV887" s="249"/>
      <c r="EW887" s="216"/>
      <c r="EX887" s="2505"/>
      <c r="EY887" s="249"/>
      <c r="EZ887" s="221"/>
      <c r="FA887" s="313"/>
      <c r="FB887" s="249"/>
      <c r="FC887" s="221"/>
      <c r="FD887" s="313"/>
      <c r="FE887" s="249"/>
      <c r="FF887" s="221"/>
      <c r="FG887" s="313"/>
      <c r="FH887" s="249"/>
      <c r="FI887" s="216"/>
      <c r="FJ887" s="1435"/>
      <c r="FK887" s="216"/>
      <c r="FL887" s="1268"/>
      <c r="FM887" s="1655"/>
      <c r="FN887" s="1268"/>
      <c r="FO887" s="1655"/>
      <c r="FP887" s="1268"/>
      <c r="FQ887" s="1656"/>
      <c r="FR887" s="249"/>
      <c r="FS887" s="216"/>
      <c r="FT887" s="1657"/>
      <c r="FU887" s="1658"/>
      <c r="FV887" s="242"/>
      <c r="FW887" s="343"/>
      <c r="FX887" s="222"/>
      <c r="FY887" s="336"/>
      <c r="FZ887" s="223"/>
      <c r="GA887" s="338"/>
      <c r="GB887" s="204"/>
      <c r="GC887" s="339"/>
      <c r="GD887" s="342"/>
      <c r="GE887" s="199"/>
      <c r="GF887" s="199"/>
      <c r="GG887" s="199"/>
      <c r="GH887" s="199"/>
      <c r="GI887" s="199"/>
      <c r="GJ887" s="199"/>
      <c r="GK887" s="199"/>
      <c r="GO887" s="322"/>
      <c r="GP887" s="1190"/>
      <c r="GQ887" s="1190"/>
      <c r="GS887" s="2879"/>
      <c r="GT887" s="2880"/>
      <c r="GU887" s="2881"/>
    </row>
    <row r="888" spans="1:203" ht="12" customHeight="1">
      <c r="A888" s="1252"/>
      <c r="B888" s="200"/>
      <c r="C888" s="486"/>
      <c r="T888" s="1186"/>
      <c r="U888" s="233"/>
      <c r="W888" s="218"/>
      <c r="X888" s="218"/>
      <c r="Y888" s="216"/>
      <c r="Z888" s="216"/>
      <c r="AA888" s="215"/>
      <c r="AB888" s="216"/>
      <c r="AC888" s="216"/>
      <c r="AD888" s="239"/>
      <c r="AE888" s="216"/>
      <c r="AF888" s="216"/>
      <c r="AG888" s="216"/>
      <c r="AH888" s="216"/>
      <c r="AI888" s="216"/>
      <c r="AJ888" s="216"/>
      <c r="AK888" s="239"/>
      <c r="AL888" s="216"/>
      <c r="AM888" s="216"/>
      <c r="AN888" s="216"/>
      <c r="AO888" s="216"/>
      <c r="AP888" s="216"/>
      <c r="AQ888" s="216"/>
      <c r="AR888" s="216"/>
      <c r="AS888" s="216"/>
      <c r="AT888" s="216"/>
      <c r="AU888" s="216"/>
      <c r="AV888" s="217"/>
      <c r="AW888" s="355"/>
      <c r="AX888" s="217"/>
      <c r="AY888" s="305"/>
      <c r="AZ888" s="249"/>
      <c r="BA888" s="221"/>
      <c r="BB888" s="300"/>
      <c r="BC888" s="217"/>
      <c r="BD888" s="392"/>
      <c r="BE888" s="1244"/>
      <c r="BF888" s="249"/>
      <c r="BG888" s="252"/>
      <c r="BH888" s="1469"/>
      <c r="BI888" s="216"/>
      <c r="BJ888" s="1469"/>
      <c r="BK888" s="1459"/>
      <c r="BL888" s="260"/>
      <c r="BM888" s="214"/>
      <c r="BN888" s="293"/>
      <c r="BO888" s="217"/>
      <c r="BP888" s="355"/>
      <c r="BQ888" s="217"/>
      <c r="BR888" s="1193"/>
      <c r="BS888" s="249"/>
      <c r="BT888" s="216"/>
      <c r="BU888" s="1195"/>
      <c r="BV888" s="249"/>
      <c r="BW888" s="216"/>
      <c r="BX888" s="1195"/>
      <c r="BY888" s="249"/>
      <c r="BZ888" s="216"/>
      <c r="CA888" s="1195"/>
      <c r="CB888" s="249"/>
      <c r="CC888" s="216"/>
      <c r="CD888" s="1195"/>
      <c r="CE888" s="249"/>
      <c r="CF888" s="216"/>
      <c r="CG888" s="1195"/>
      <c r="CH888" s="249"/>
      <c r="CI888" s="216"/>
      <c r="CJ888" s="1195"/>
      <c r="CK888" s="249"/>
      <c r="CL888" s="216"/>
      <c r="CM888" s="1194"/>
      <c r="CN888" s="1524"/>
      <c r="CO888" s="217"/>
      <c r="CP888" s="1193"/>
      <c r="CQ888" s="293"/>
      <c r="CR888" s="217"/>
      <c r="CS888" s="305"/>
      <c r="CT888" s="249"/>
      <c r="CU888" s="216"/>
      <c r="CV888" s="1193"/>
      <c r="CW888" s="249"/>
      <c r="CX888" s="216"/>
      <c r="CY888" s="305"/>
      <c r="CZ888" s="249"/>
      <c r="DA888" s="216"/>
      <c r="DB888" s="307"/>
      <c r="DC888" s="328"/>
      <c r="DD888" s="322"/>
      <c r="DE888" s="305"/>
      <c r="DF888" s="249"/>
      <c r="DG888" s="216"/>
      <c r="DH888" s="305"/>
      <c r="DI888" s="249"/>
      <c r="DJ888" s="216"/>
      <c r="DK888" s="309"/>
      <c r="DL888" s="293"/>
      <c r="DM888" s="326"/>
      <c r="DN888" s="1256"/>
      <c r="DO888" s="214"/>
      <c r="DP888" s="1257"/>
      <c r="DQ888" s="1258"/>
      <c r="DR888" s="305"/>
      <c r="DS888" s="249"/>
      <c r="DT888" s="216"/>
      <c r="DU888" s="305"/>
      <c r="DV888" s="2520"/>
      <c r="DW888" s="2521"/>
      <c r="DX888" s="305"/>
      <c r="DY888" s="249"/>
      <c r="DZ888" s="221"/>
      <c r="EA888" s="388"/>
      <c r="EB888" s="249"/>
      <c r="EC888" s="216"/>
      <c r="ED888" s="1461"/>
      <c r="EE888" s="249"/>
      <c r="EF888" s="216"/>
      <c r="EG888" s="355"/>
      <c r="EH888" s="1425"/>
      <c r="EI888" s="1470"/>
      <c r="EJ888" s="249"/>
      <c r="EK888" s="221"/>
      <c r="EL888" s="313"/>
      <c r="EM888" s="249"/>
      <c r="EN888" s="221"/>
      <c r="EO888" s="313"/>
      <c r="EP888" s="249"/>
      <c r="EQ888" s="216"/>
      <c r="ER888" s="313"/>
      <c r="ES888" s="249"/>
      <c r="ET888" s="216"/>
      <c r="EU888" s="313"/>
      <c r="EV888" s="249"/>
      <c r="EW888" s="216"/>
      <c r="EX888" s="2505"/>
      <c r="EY888" s="249"/>
      <c r="EZ888" s="221"/>
      <c r="FA888" s="313"/>
      <c r="FB888" s="249"/>
      <c r="FC888" s="221"/>
      <c r="FD888" s="313"/>
      <c r="FE888" s="249"/>
      <c r="FF888" s="221"/>
      <c r="FG888" s="313"/>
      <c r="FH888" s="249"/>
      <c r="FI888" s="216"/>
      <c r="FJ888" s="1435"/>
      <c r="FK888" s="216"/>
      <c r="FL888" s="1268"/>
      <c r="FM888" s="1655"/>
      <c r="FN888" s="1268"/>
      <c r="FO888" s="1655"/>
      <c r="FP888" s="1268"/>
      <c r="FQ888" s="1656"/>
      <c r="FR888" s="249"/>
      <c r="FS888" s="216"/>
      <c r="FT888" s="1657"/>
      <c r="FU888" s="1658"/>
      <c r="FV888" s="242"/>
      <c r="FW888" s="343"/>
      <c r="FX888" s="222"/>
      <c r="FY888" s="336"/>
      <c r="FZ888" s="223"/>
      <c r="GA888" s="338"/>
      <c r="GB888" s="204"/>
      <c r="GC888" s="339"/>
      <c r="GD888" s="342"/>
      <c r="GE888" s="199"/>
      <c r="GF888" s="199"/>
      <c r="GG888" s="199"/>
      <c r="GH888" s="199"/>
      <c r="GI888" s="199"/>
      <c r="GJ888" s="199"/>
      <c r="GK888" s="199"/>
      <c r="GO888" s="322"/>
      <c r="GP888" s="1190"/>
      <c r="GQ888" s="1190"/>
      <c r="GS888" s="2879"/>
      <c r="GT888" s="2880"/>
      <c r="GU888" s="2881"/>
    </row>
    <row r="889" spans="1:203" ht="12" customHeight="1">
      <c r="A889" s="1252"/>
      <c r="B889" s="200"/>
      <c r="C889" s="486"/>
      <c r="T889" s="1186"/>
      <c r="U889" s="233"/>
      <c r="W889" s="218"/>
      <c r="X889" s="218"/>
      <c r="Y889" s="216"/>
      <c r="Z889" s="216"/>
      <c r="AA889" s="215"/>
      <c r="AB889" s="216"/>
      <c r="AC889" s="216"/>
      <c r="AD889" s="239"/>
      <c r="AE889" s="216"/>
      <c r="AF889" s="216"/>
      <c r="AG889" s="216"/>
      <c r="AH889" s="216"/>
      <c r="AI889" s="216"/>
      <c r="AJ889" s="216"/>
      <c r="AK889" s="239"/>
      <c r="AL889" s="216"/>
      <c r="AM889" s="216"/>
      <c r="AN889" s="216"/>
      <c r="AO889" s="216"/>
      <c r="AP889" s="216"/>
      <c r="AQ889" s="216"/>
      <c r="AR889" s="216"/>
      <c r="AS889" s="216"/>
      <c r="AT889" s="216"/>
      <c r="AU889" s="216"/>
      <c r="AV889" s="217"/>
      <c r="AW889" s="355"/>
      <c r="AX889" s="217"/>
      <c r="AY889" s="305"/>
      <c r="AZ889" s="249"/>
      <c r="BA889" s="221"/>
      <c r="BB889" s="300"/>
      <c r="BC889" s="217"/>
      <c r="BD889" s="392"/>
      <c r="BE889" s="1244"/>
      <c r="BF889" s="249"/>
      <c r="BG889" s="252"/>
      <c r="BH889" s="1469"/>
      <c r="BI889" s="216"/>
      <c r="BJ889" s="1469"/>
      <c r="BK889" s="1459"/>
      <c r="BL889" s="260"/>
      <c r="BM889" s="214"/>
      <c r="BN889" s="293"/>
      <c r="BO889" s="217"/>
      <c r="BP889" s="355"/>
      <c r="BQ889" s="217"/>
      <c r="BR889" s="1193"/>
      <c r="BS889" s="249"/>
      <c r="BT889" s="216"/>
      <c r="BU889" s="1195"/>
      <c r="BV889" s="249"/>
      <c r="BW889" s="216"/>
      <c r="BX889" s="1195"/>
      <c r="BY889" s="249"/>
      <c r="BZ889" s="216"/>
      <c r="CA889" s="1195"/>
      <c r="CB889" s="249"/>
      <c r="CC889" s="216"/>
      <c r="CD889" s="1195"/>
      <c r="CE889" s="249"/>
      <c r="CF889" s="216"/>
      <c r="CG889" s="1195"/>
      <c r="CH889" s="249"/>
      <c r="CI889" s="216"/>
      <c r="CJ889" s="1195"/>
      <c r="CK889" s="249"/>
      <c r="CL889" s="216"/>
      <c r="CM889" s="1194"/>
      <c r="CN889" s="1524"/>
      <c r="CO889" s="217"/>
      <c r="CP889" s="1193"/>
      <c r="CQ889" s="293"/>
      <c r="CR889" s="217"/>
      <c r="CS889" s="305"/>
      <c r="CT889" s="249"/>
      <c r="CU889" s="216"/>
      <c r="CV889" s="1193"/>
      <c r="CW889" s="249"/>
      <c r="CX889" s="216"/>
      <c r="CY889" s="305"/>
      <c r="CZ889" s="249"/>
      <c r="DA889" s="216"/>
      <c r="DB889" s="307"/>
      <c r="DC889" s="328"/>
      <c r="DD889" s="322"/>
      <c r="DE889" s="305"/>
      <c r="DF889" s="249"/>
      <c r="DG889" s="216"/>
      <c r="DH889" s="305"/>
      <c r="DI889" s="249"/>
      <c r="DJ889" s="216"/>
      <c r="DK889" s="309"/>
      <c r="DL889" s="293"/>
      <c r="DM889" s="326"/>
      <c r="DN889" s="1256"/>
      <c r="DO889" s="214"/>
      <c r="DP889" s="1257"/>
      <c r="DQ889" s="1258"/>
      <c r="DR889" s="305"/>
      <c r="DS889" s="249"/>
      <c r="DT889" s="216"/>
      <c r="DU889" s="305"/>
      <c r="DV889" s="2520"/>
      <c r="DW889" s="2521"/>
      <c r="DX889" s="305"/>
      <c r="DY889" s="249"/>
      <c r="DZ889" s="221"/>
      <c r="EA889" s="388"/>
      <c r="EB889" s="249"/>
      <c r="EC889" s="216"/>
      <c r="ED889" s="1461"/>
      <c r="EE889" s="249"/>
      <c r="EF889" s="216"/>
      <c r="EG889" s="355"/>
      <c r="EH889" s="1425"/>
      <c r="EI889" s="1470"/>
      <c r="EJ889" s="249"/>
      <c r="EK889" s="221"/>
      <c r="EL889" s="313"/>
      <c r="EM889" s="249"/>
      <c r="EN889" s="221"/>
      <c r="EO889" s="313"/>
      <c r="EP889" s="249"/>
      <c r="EQ889" s="216"/>
      <c r="ER889" s="313"/>
      <c r="ES889" s="249"/>
      <c r="ET889" s="216"/>
      <c r="EU889" s="313"/>
      <c r="EV889" s="249"/>
      <c r="EW889" s="216"/>
      <c r="EX889" s="2505"/>
      <c r="EY889" s="249"/>
      <c r="EZ889" s="221"/>
      <c r="FA889" s="313"/>
      <c r="FB889" s="249"/>
      <c r="FC889" s="221"/>
      <c r="FD889" s="313"/>
      <c r="FE889" s="249"/>
      <c r="FF889" s="221"/>
      <c r="FG889" s="313"/>
      <c r="FH889" s="249"/>
      <c r="FI889" s="216"/>
      <c r="FJ889" s="1435"/>
      <c r="FK889" s="216"/>
      <c r="FL889" s="1268"/>
      <c r="FM889" s="1655"/>
      <c r="FN889" s="1268"/>
      <c r="FO889" s="1655"/>
      <c r="FP889" s="1268"/>
      <c r="FQ889" s="1656"/>
      <c r="FR889" s="249"/>
      <c r="FS889" s="216"/>
      <c r="FT889" s="1657"/>
      <c r="FU889" s="1658"/>
      <c r="FV889" s="242"/>
      <c r="FW889" s="343"/>
      <c r="FX889" s="222"/>
      <c r="FY889" s="336"/>
      <c r="FZ889" s="223"/>
      <c r="GA889" s="338"/>
      <c r="GB889" s="204"/>
      <c r="GC889" s="339"/>
      <c r="GD889" s="342"/>
      <c r="GE889" s="199"/>
      <c r="GF889" s="199"/>
      <c r="GG889" s="199"/>
      <c r="GH889" s="199"/>
      <c r="GI889" s="199"/>
      <c r="GJ889" s="199"/>
      <c r="GK889" s="199"/>
      <c r="GO889" s="322"/>
      <c r="GP889" s="1190"/>
      <c r="GQ889" s="1190"/>
      <c r="GS889" s="2879"/>
      <c r="GT889" s="2880"/>
      <c r="GU889" s="2881"/>
    </row>
    <row r="890" spans="1:203" ht="12" customHeight="1">
      <c r="A890" s="1252"/>
      <c r="B890" s="200"/>
      <c r="C890" s="486"/>
      <c r="T890" s="1186"/>
      <c r="U890" s="233"/>
      <c r="W890" s="218"/>
      <c r="X890" s="218"/>
      <c r="Y890" s="216"/>
      <c r="Z890" s="216"/>
      <c r="AA890" s="215"/>
      <c r="AB890" s="216"/>
      <c r="AC890" s="216"/>
      <c r="AD890" s="239"/>
      <c r="AE890" s="216"/>
      <c r="AF890" s="216"/>
      <c r="AG890" s="216"/>
      <c r="AH890" s="216"/>
      <c r="AI890" s="216"/>
      <c r="AJ890" s="216"/>
      <c r="AK890" s="239"/>
      <c r="AL890" s="216"/>
      <c r="AM890" s="216"/>
      <c r="AN890" s="216"/>
      <c r="AO890" s="216"/>
      <c r="AP890" s="216"/>
      <c r="AQ890" s="216"/>
      <c r="AR890" s="216"/>
      <c r="AS890" s="216"/>
      <c r="AT890" s="216"/>
      <c r="AU890" s="216"/>
      <c r="AV890" s="217"/>
      <c r="AW890" s="355"/>
      <c r="AX890" s="217"/>
      <c r="AY890" s="305"/>
      <c r="AZ890" s="249"/>
      <c r="BA890" s="221"/>
      <c r="BB890" s="300"/>
      <c r="BC890" s="217"/>
      <c r="BD890" s="392"/>
      <c r="BE890" s="1244"/>
      <c r="BF890" s="249"/>
      <c r="BG890" s="252"/>
      <c r="BH890" s="1469"/>
      <c r="BI890" s="216"/>
      <c r="BJ890" s="1469"/>
      <c r="BK890" s="1459"/>
      <c r="BL890" s="260"/>
      <c r="BM890" s="214"/>
      <c r="BN890" s="293"/>
      <c r="BO890" s="217"/>
      <c r="BP890" s="355"/>
      <c r="BQ890" s="217"/>
      <c r="BR890" s="1193"/>
      <c r="BS890" s="249"/>
      <c r="BT890" s="216"/>
      <c r="BU890" s="1195"/>
      <c r="BV890" s="249"/>
      <c r="BW890" s="216"/>
      <c r="BX890" s="1195"/>
      <c r="BY890" s="249"/>
      <c r="BZ890" s="216"/>
      <c r="CA890" s="1195"/>
      <c r="CB890" s="249"/>
      <c r="CC890" s="216"/>
      <c r="CD890" s="1195"/>
      <c r="CE890" s="249"/>
      <c r="CF890" s="216"/>
      <c r="CG890" s="1195"/>
      <c r="CH890" s="249"/>
      <c r="CI890" s="216"/>
      <c r="CJ890" s="1195"/>
      <c r="CK890" s="249"/>
      <c r="CL890" s="216"/>
      <c r="CM890" s="1194"/>
      <c r="CN890" s="1524"/>
      <c r="CO890" s="217"/>
      <c r="CP890" s="1193"/>
      <c r="CQ890" s="293"/>
      <c r="CR890" s="217"/>
      <c r="CS890" s="305"/>
      <c r="CT890" s="249"/>
      <c r="CU890" s="216"/>
      <c r="CV890" s="1193"/>
      <c r="CW890" s="249"/>
      <c r="CX890" s="216"/>
      <c r="CY890" s="305"/>
      <c r="CZ890" s="249"/>
      <c r="DA890" s="216"/>
      <c r="DB890" s="307"/>
      <c r="DC890" s="328"/>
      <c r="DD890" s="322"/>
      <c r="DE890" s="305"/>
      <c r="DF890" s="249"/>
      <c r="DG890" s="216"/>
      <c r="DH890" s="305"/>
      <c r="DI890" s="249"/>
      <c r="DJ890" s="216"/>
      <c r="DK890" s="309"/>
      <c r="DL890" s="293"/>
      <c r="DM890" s="326"/>
      <c r="DN890" s="1256"/>
      <c r="DO890" s="214"/>
      <c r="DP890" s="1257"/>
      <c r="DQ890" s="1258"/>
      <c r="DR890" s="305"/>
      <c r="DS890" s="249"/>
      <c r="DT890" s="216"/>
      <c r="DU890" s="305"/>
      <c r="DV890" s="2520"/>
      <c r="DW890" s="2521"/>
      <c r="DX890" s="305"/>
      <c r="DY890" s="249"/>
      <c r="DZ890" s="221"/>
      <c r="EA890" s="388"/>
      <c r="EB890" s="249"/>
      <c r="EC890" s="216"/>
      <c r="ED890" s="1461"/>
      <c r="EE890" s="249"/>
      <c r="EF890" s="216"/>
      <c r="EG890" s="355"/>
      <c r="EH890" s="1425"/>
      <c r="EI890" s="1470"/>
      <c r="EJ890" s="249"/>
      <c r="EK890" s="221"/>
      <c r="EL890" s="313"/>
      <c r="EM890" s="249"/>
      <c r="EN890" s="221"/>
      <c r="EO890" s="313"/>
      <c r="EP890" s="249"/>
      <c r="EQ890" s="216"/>
      <c r="ER890" s="313"/>
      <c r="ES890" s="249"/>
      <c r="ET890" s="216"/>
      <c r="EU890" s="313"/>
      <c r="EV890" s="249"/>
      <c r="EW890" s="216"/>
      <c r="EX890" s="2505"/>
      <c r="EY890" s="249"/>
      <c r="EZ890" s="221"/>
      <c r="FA890" s="313"/>
      <c r="FB890" s="249"/>
      <c r="FC890" s="221"/>
      <c r="FD890" s="313"/>
      <c r="FE890" s="249"/>
      <c r="FF890" s="221"/>
      <c r="FG890" s="313"/>
      <c r="FH890" s="249"/>
      <c r="FI890" s="216"/>
      <c r="FJ890" s="1435"/>
      <c r="FK890" s="216"/>
      <c r="FL890" s="1268"/>
      <c r="FM890" s="1655"/>
      <c r="FN890" s="1268"/>
      <c r="FO890" s="1655"/>
      <c r="FP890" s="1268"/>
      <c r="FQ890" s="1656"/>
      <c r="FR890" s="249"/>
      <c r="FS890" s="216"/>
      <c r="FT890" s="1657"/>
      <c r="FU890" s="1658"/>
      <c r="FV890" s="242"/>
      <c r="FW890" s="343"/>
      <c r="FX890" s="222"/>
      <c r="FY890" s="336"/>
      <c r="FZ890" s="223"/>
      <c r="GA890" s="338"/>
      <c r="GB890" s="204"/>
      <c r="GC890" s="339"/>
      <c r="GD890" s="342"/>
      <c r="GE890" s="199"/>
      <c r="GF890" s="199"/>
      <c r="GG890" s="199"/>
      <c r="GH890" s="199"/>
      <c r="GI890" s="199"/>
      <c r="GJ890" s="199"/>
      <c r="GK890" s="199"/>
      <c r="GO890" s="322"/>
      <c r="GP890" s="1190"/>
      <c r="GQ890" s="1190"/>
      <c r="GS890" s="2879"/>
      <c r="GT890" s="2880"/>
      <c r="GU890" s="2881"/>
    </row>
    <row r="891" spans="1:203" ht="12" customHeight="1">
      <c r="A891" s="1252"/>
      <c r="B891" s="200"/>
      <c r="C891" s="486"/>
      <c r="T891" s="1186"/>
      <c r="U891" s="233"/>
      <c r="W891" s="218"/>
      <c r="X891" s="218"/>
      <c r="Y891" s="216"/>
      <c r="Z891" s="216"/>
      <c r="AA891" s="215"/>
      <c r="AB891" s="216"/>
      <c r="AC891" s="216"/>
      <c r="AD891" s="239"/>
      <c r="AE891" s="216"/>
      <c r="AF891" s="216"/>
      <c r="AG891" s="216"/>
      <c r="AH891" s="216"/>
      <c r="AI891" s="216"/>
      <c r="AJ891" s="216"/>
      <c r="AK891" s="239"/>
      <c r="AL891" s="216"/>
      <c r="AM891" s="216"/>
      <c r="AN891" s="216"/>
      <c r="AO891" s="216"/>
      <c r="AP891" s="216"/>
      <c r="AQ891" s="216"/>
      <c r="AR891" s="216"/>
      <c r="AS891" s="216"/>
      <c r="AT891" s="216"/>
      <c r="AU891" s="216"/>
      <c r="AV891" s="217"/>
      <c r="AW891" s="355"/>
      <c r="AX891" s="217"/>
      <c r="AY891" s="305"/>
      <c r="AZ891" s="249"/>
      <c r="BA891" s="221"/>
      <c r="BB891" s="300"/>
      <c r="BC891" s="217"/>
      <c r="BD891" s="392"/>
      <c r="BE891" s="1244"/>
      <c r="BF891" s="249"/>
      <c r="BG891" s="252"/>
      <c r="BH891" s="1469"/>
      <c r="BI891" s="216"/>
      <c r="BJ891" s="1469"/>
      <c r="BK891" s="1459"/>
      <c r="BL891" s="260"/>
      <c r="BM891" s="214"/>
      <c r="BN891" s="293"/>
      <c r="BO891" s="217"/>
      <c r="BP891" s="355"/>
      <c r="BQ891" s="217"/>
      <c r="BR891" s="1193"/>
      <c r="BS891" s="249"/>
      <c r="BT891" s="216"/>
      <c r="BU891" s="1195"/>
      <c r="BV891" s="249"/>
      <c r="BW891" s="216"/>
      <c r="BX891" s="1195"/>
      <c r="BY891" s="249"/>
      <c r="BZ891" s="216"/>
      <c r="CA891" s="1195"/>
      <c r="CB891" s="249"/>
      <c r="CC891" s="216"/>
      <c r="CD891" s="1195"/>
      <c r="CE891" s="249"/>
      <c r="CF891" s="216"/>
      <c r="CG891" s="1195"/>
      <c r="CH891" s="249"/>
      <c r="CI891" s="216"/>
      <c r="CJ891" s="1195"/>
      <c r="CK891" s="249"/>
      <c r="CL891" s="216"/>
      <c r="CM891" s="1194"/>
      <c r="CN891" s="1524"/>
      <c r="CO891" s="217"/>
      <c r="CP891" s="1193"/>
      <c r="CQ891" s="293"/>
      <c r="CR891" s="217"/>
      <c r="CS891" s="305"/>
      <c r="CT891" s="249"/>
      <c r="CU891" s="216"/>
      <c r="CV891" s="1193"/>
      <c r="CW891" s="249"/>
      <c r="CX891" s="216"/>
      <c r="CY891" s="305"/>
      <c r="CZ891" s="249"/>
      <c r="DA891" s="216"/>
      <c r="DB891" s="307"/>
      <c r="DC891" s="328"/>
      <c r="DD891" s="322"/>
      <c r="DE891" s="305"/>
      <c r="DF891" s="249"/>
      <c r="DG891" s="216"/>
      <c r="DH891" s="305"/>
      <c r="DI891" s="249"/>
      <c r="DJ891" s="216"/>
      <c r="DK891" s="309"/>
      <c r="DL891" s="293"/>
      <c r="DM891" s="326"/>
      <c r="DN891" s="1256"/>
      <c r="DO891" s="214"/>
      <c r="DP891" s="1257"/>
      <c r="DQ891" s="1258"/>
      <c r="DR891" s="305"/>
      <c r="DS891" s="249"/>
      <c r="DT891" s="216"/>
      <c r="DU891" s="305"/>
      <c r="DV891" s="2520"/>
      <c r="DW891" s="2521"/>
      <c r="DX891" s="305"/>
      <c r="DY891" s="249"/>
      <c r="DZ891" s="221"/>
      <c r="EA891" s="388"/>
      <c r="EB891" s="249"/>
      <c r="EC891" s="216"/>
      <c r="ED891" s="1461"/>
      <c r="EE891" s="249"/>
      <c r="EF891" s="216"/>
      <c r="EG891" s="355"/>
      <c r="EH891" s="1425"/>
      <c r="EI891" s="1470"/>
      <c r="EJ891" s="249"/>
      <c r="EK891" s="221"/>
      <c r="EL891" s="313"/>
      <c r="EM891" s="249"/>
      <c r="EN891" s="221"/>
      <c r="EO891" s="313"/>
      <c r="EP891" s="249"/>
      <c r="EQ891" s="216"/>
      <c r="ER891" s="313"/>
      <c r="ES891" s="249"/>
      <c r="ET891" s="216"/>
      <c r="EU891" s="313"/>
      <c r="EV891" s="249"/>
      <c r="EW891" s="216"/>
      <c r="EX891" s="2505"/>
      <c r="EY891" s="249"/>
      <c r="EZ891" s="221"/>
      <c r="FA891" s="313"/>
      <c r="FB891" s="249"/>
      <c r="FC891" s="221"/>
      <c r="FD891" s="313"/>
      <c r="FE891" s="249"/>
      <c r="FF891" s="221"/>
      <c r="FG891" s="313"/>
      <c r="FH891" s="249"/>
      <c r="FI891" s="216"/>
      <c r="FJ891" s="1435"/>
      <c r="FK891" s="216"/>
      <c r="FL891" s="1268"/>
      <c r="FM891" s="1655"/>
      <c r="FN891" s="1268"/>
      <c r="FO891" s="1655"/>
      <c r="FP891" s="1268"/>
      <c r="FQ891" s="1656"/>
      <c r="FR891" s="249"/>
      <c r="FS891" s="216"/>
      <c r="FT891" s="1657"/>
      <c r="FU891" s="1658"/>
      <c r="FV891" s="242"/>
      <c r="FW891" s="343"/>
      <c r="FX891" s="222"/>
      <c r="FY891" s="336"/>
      <c r="FZ891" s="223"/>
      <c r="GA891" s="338"/>
      <c r="GB891" s="204"/>
      <c r="GC891" s="339"/>
      <c r="GD891" s="342"/>
      <c r="GE891" s="199"/>
      <c r="GF891" s="199"/>
      <c r="GG891" s="199"/>
      <c r="GH891" s="199"/>
      <c r="GI891" s="199"/>
      <c r="GJ891" s="199"/>
      <c r="GK891" s="199"/>
      <c r="GO891" s="322"/>
      <c r="GP891" s="1190"/>
      <c r="GQ891" s="1190"/>
      <c r="GS891" s="2879"/>
      <c r="GT891" s="2880"/>
      <c r="GU891" s="2881"/>
    </row>
    <row r="892" spans="1:203" ht="12" customHeight="1">
      <c r="A892" s="1252"/>
      <c r="B892" s="200"/>
      <c r="C892" s="486"/>
      <c r="T892" s="1186"/>
      <c r="U892" s="233"/>
      <c r="W892" s="218"/>
      <c r="X892" s="218"/>
      <c r="Y892" s="216"/>
      <c r="Z892" s="216"/>
      <c r="AA892" s="215"/>
      <c r="AB892" s="216"/>
      <c r="AC892" s="216"/>
      <c r="AD892" s="239"/>
      <c r="AE892" s="216"/>
      <c r="AF892" s="216"/>
      <c r="AG892" s="216"/>
      <c r="AH892" s="216"/>
      <c r="AI892" s="216"/>
      <c r="AJ892" s="216"/>
      <c r="AK892" s="239"/>
      <c r="AL892" s="216"/>
      <c r="AM892" s="216"/>
      <c r="AN892" s="216"/>
      <c r="AO892" s="216"/>
      <c r="AP892" s="216"/>
      <c r="AQ892" s="216"/>
      <c r="AR892" s="216"/>
      <c r="AS892" s="216"/>
      <c r="AT892" s="216"/>
      <c r="AU892" s="216"/>
      <c r="AV892" s="217"/>
      <c r="AW892" s="355"/>
      <c r="AX892" s="217"/>
      <c r="AY892" s="305"/>
      <c r="AZ892" s="249"/>
      <c r="BA892" s="221"/>
      <c r="BB892" s="300"/>
      <c r="BC892" s="217"/>
      <c r="BD892" s="392"/>
      <c r="BE892" s="1244"/>
      <c r="BF892" s="249"/>
      <c r="BG892" s="252"/>
      <c r="BH892" s="1469"/>
      <c r="BI892" s="216"/>
      <c r="BJ892" s="1469"/>
      <c r="BK892" s="1459"/>
      <c r="BL892" s="260"/>
      <c r="BM892" s="214"/>
      <c r="BN892" s="293"/>
      <c r="BO892" s="217"/>
      <c r="BP892" s="355"/>
      <c r="BQ892" s="217"/>
      <c r="BR892" s="1193"/>
      <c r="BS892" s="249"/>
      <c r="BT892" s="216"/>
      <c r="BU892" s="1195"/>
      <c r="BV892" s="249"/>
      <c r="BW892" s="216"/>
      <c r="BX892" s="1195"/>
      <c r="BY892" s="249"/>
      <c r="BZ892" s="216"/>
      <c r="CA892" s="1195"/>
      <c r="CB892" s="249"/>
      <c r="CC892" s="216"/>
      <c r="CD892" s="1195"/>
      <c r="CE892" s="249"/>
      <c r="CF892" s="216"/>
      <c r="CG892" s="1195"/>
      <c r="CH892" s="249"/>
      <c r="CI892" s="216"/>
      <c r="CJ892" s="1195"/>
      <c r="CK892" s="249"/>
      <c r="CL892" s="216"/>
      <c r="CM892" s="1194"/>
      <c r="CN892" s="1524"/>
      <c r="CO892" s="217"/>
      <c r="CP892" s="1193"/>
      <c r="CQ892" s="293"/>
      <c r="CR892" s="217"/>
      <c r="CS892" s="305"/>
      <c r="CT892" s="249"/>
      <c r="CU892" s="216"/>
      <c r="CV892" s="1193"/>
      <c r="CW892" s="249"/>
      <c r="CX892" s="216"/>
      <c r="CY892" s="305"/>
      <c r="CZ892" s="249"/>
      <c r="DA892" s="216"/>
      <c r="DB892" s="307"/>
      <c r="DC892" s="328"/>
      <c r="DD892" s="322"/>
      <c r="DE892" s="305"/>
      <c r="DF892" s="249"/>
      <c r="DG892" s="216"/>
      <c r="DH892" s="305"/>
      <c r="DI892" s="249"/>
      <c r="DJ892" s="216"/>
      <c r="DK892" s="309"/>
      <c r="DL892" s="293"/>
      <c r="DM892" s="326"/>
      <c r="DN892" s="1256"/>
      <c r="DO892" s="214"/>
      <c r="DP892" s="1257"/>
      <c r="DQ892" s="1258"/>
      <c r="DR892" s="305"/>
      <c r="DS892" s="249"/>
      <c r="DT892" s="216"/>
      <c r="DU892" s="305"/>
      <c r="DV892" s="2520"/>
      <c r="DW892" s="2521"/>
      <c r="DX892" s="305"/>
      <c r="DY892" s="249"/>
      <c r="DZ892" s="221"/>
      <c r="EA892" s="388"/>
      <c r="EB892" s="249"/>
      <c r="EC892" s="216"/>
      <c r="ED892" s="1461"/>
      <c r="EE892" s="249"/>
      <c r="EF892" s="216"/>
      <c r="EG892" s="355"/>
      <c r="EH892" s="1425"/>
      <c r="EI892" s="1470"/>
      <c r="EJ892" s="249"/>
      <c r="EK892" s="221"/>
      <c r="EL892" s="313"/>
      <c r="EM892" s="249"/>
      <c r="EN892" s="221"/>
      <c r="EO892" s="313"/>
      <c r="EP892" s="249"/>
      <c r="EQ892" s="216"/>
      <c r="ER892" s="313"/>
      <c r="ES892" s="249"/>
      <c r="ET892" s="216"/>
      <c r="EU892" s="313"/>
      <c r="EV892" s="249"/>
      <c r="EW892" s="216"/>
      <c r="EX892" s="2505"/>
      <c r="EY892" s="249"/>
      <c r="EZ892" s="221"/>
      <c r="FA892" s="313"/>
      <c r="FB892" s="249"/>
      <c r="FC892" s="221"/>
      <c r="FD892" s="313"/>
      <c r="FE892" s="249"/>
      <c r="FF892" s="221"/>
      <c r="FG892" s="313"/>
      <c r="FH892" s="249"/>
      <c r="FI892" s="216"/>
      <c r="FJ892" s="1435"/>
      <c r="FK892" s="216"/>
      <c r="FL892" s="1268"/>
      <c r="FM892" s="1655"/>
      <c r="FN892" s="1268"/>
      <c r="FO892" s="1655"/>
      <c r="FP892" s="1268"/>
      <c r="FQ892" s="1656"/>
      <c r="FR892" s="249"/>
      <c r="FS892" s="216"/>
      <c r="FT892" s="1657"/>
      <c r="FU892" s="1658"/>
      <c r="FV892" s="242"/>
      <c r="FW892" s="343"/>
      <c r="FX892" s="222"/>
      <c r="FY892" s="336"/>
      <c r="FZ892" s="223"/>
      <c r="GA892" s="338"/>
      <c r="GB892" s="204"/>
      <c r="GC892" s="339"/>
      <c r="GD892" s="342"/>
      <c r="GE892" s="199"/>
      <c r="GF892" s="199"/>
      <c r="GG892" s="199"/>
      <c r="GH892" s="199"/>
      <c r="GI892" s="199"/>
      <c r="GJ892" s="199"/>
      <c r="GK892" s="199"/>
      <c r="GO892" s="322"/>
      <c r="GP892" s="1190"/>
      <c r="GQ892" s="1190"/>
      <c r="GS892" s="2879"/>
      <c r="GT892" s="2880"/>
      <c r="GU892" s="2881"/>
    </row>
    <row r="893" spans="1:203" ht="12" customHeight="1">
      <c r="A893" s="1252"/>
      <c r="B893" s="200"/>
      <c r="C893" s="486"/>
      <c r="T893" s="1186"/>
      <c r="U893" s="233"/>
      <c r="W893" s="218"/>
      <c r="X893" s="218"/>
      <c r="Y893" s="216"/>
      <c r="Z893" s="216"/>
      <c r="AA893" s="215"/>
      <c r="AB893" s="216"/>
      <c r="AC893" s="216"/>
      <c r="AD893" s="239"/>
      <c r="AE893" s="216"/>
      <c r="AF893" s="216"/>
      <c r="AG893" s="216"/>
      <c r="AH893" s="216"/>
      <c r="AI893" s="216"/>
      <c r="AJ893" s="216"/>
      <c r="AK893" s="239"/>
      <c r="AL893" s="216"/>
      <c r="AM893" s="216"/>
      <c r="AN893" s="216"/>
      <c r="AO893" s="216"/>
      <c r="AP893" s="216"/>
      <c r="AQ893" s="216"/>
      <c r="AR893" s="216"/>
      <c r="AS893" s="216"/>
      <c r="AT893" s="216"/>
      <c r="AU893" s="216"/>
      <c r="AV893" s="217"/>
      <c r="AW893" s="355"/>
      <c r="AX893" s="217"/>
      <c r="AY893" s="305"/>
      <c r="AZ893" s="249"/>
      <c r="BA893" s="221"/>
      <c r="BB893" s="300"/>
      <c r="BC893" s="217"/>
      <c r="BD893" s="392"/>
      <c r="BE893" s="1244"/>
      <c r="BF893" s="249"/>
      <c r="BG893" s="252"/>
      <c r="BH893" s="1469"/>
      <c r="BI893" s="216"/>
      <c r="BJ893" s="1469"/>
      <c r="BK893" s="1459"/>
      <c r="BL893" s="260"/>
      <c r="BM893" s="214"/>
      <c r="BN893" s="293"/>
      <c r="BO893" s="217"/>
      <c r="BP893" s="355"/>
      <c r="BQ893" s="217"/>
      <c r="BR893" s="1193"/>
      <c r="BS893" s="249"/>
      <c r="BT893" s="216"/>
      <c r="BU893" s="1195"/>
      <c r="BV893" s="249"/>
      <c r="BW893" s="216"/>
      <c r="BX893" s="1195"/>
      <c r="BY893" s="249"/>
      <c r="BZ893" s="216"/>
      <c r="CA893" s="1195"/>
      <c r="CB893" s="249"/>
      <c r="CC893" s="216"/>
      <c r="CD893" s="1195"/>
      <c r="CE893" s="249"/>
      <c r="CF893" s="216"/>
      <c r="CG893" s="1195"/>
      <c r="CH893" s="249"/>
      <c r="CI893" s="216"/>
      <c r="CJ893" s="1195"/>
      <c r="CK893" s="249"/>
      <c r="CL893" s="216"/>
      <c r="CM893" s="1194"/>
      <c r="CN893" s="1524"/>
      <c r="CO893" s="217"/>
      <c r="CP893" s="1193"/>
      <c r="CQ893" s="293"/>
      <c r="CR893" s="217"/>
      <c r="CS893" s="305"/>
      <c r="CT893" s="249"/>
      <c r="CU893" s="216"/>
      <c r="CV893" s="1193"/>
      <c r="CW893" s="249"/>
      <c r="CX893" s="216"/>
      <c r="CY893" s="305"/>
      <c r="CZ893" s="249"/>
      <c r="DA893" s="216"/>
      <c r="DB893" s="307"/>
      <c r="DC893" s="328"/>
      <c r="DD893" s="322"/>
      <c r="DE893" s="305"/>
      <c r="DF893" s="249"/>
      <c r="DG893" s="216"/>
      <c r="DH893" s="305"/>
      <c r="DI893" s="249"/>
      <c r="DJ893" s="216"/>
      <c r="DK893" s="309"/>
      <c r="DL893" s="293"/>
      <c r="DM893" s="326"/>
      <c r="DN893" s="1256"/>
      <c r="DO893" s="214"/>
      <c r="DP893" s="1257"/>
      <c r="DQ893" s="1258"/>
      <c r="DR893" s="305"/>
      <c r="DS893" s="249"/>
      <c r="DT893" s="216"/>
      <c r="DU893" s="305"/>
      <c r="DV893" s="2520"/>
      <c r="DW893" s="2521"/>
      <c r="DX893" s="305"/>
      <c r="DY893" s="249"/>
      <c r="DZ893" s="221"/>
      <c r="EA893" s="388"/>
      <c r="EB893" s="249"/>
      <c r="EC893" s="216"/>
      <c r="ED893" s="1461"/>
      <c r="EE893" s="249"/>
      <c r="EF893" s="216"/>
      <c r="EG893" s="355"/>
      <c r="EH893" s="1425"/>
      <c r="EI893" s="1470"/>
      <c r="EJ893" s="249"/>
      <c r="EK893" s="221"/>
      <c r="EL893" s="313"/>
      <c r="EM893" s="249"/>
      <c r="EN893" s="221"/>
      <c r="EO893" s="313"/>
      <c r="EP893" s="249"/>
      <c r="EQ893" s="216"/>
      <c r="ER893" s="313"/>
      <c r="ES893" s="249"/>
      <c r="ET893" s="216"/>
      <c r="EU893" s="313"/>
      <c r="EV893" s="249"/>
      <c r="EW893" s="216"/>
      <c r="EX893" s="2505"/>
      <c r="EY893" s="249"/>
      <c r="EZ893" s="221"/>
      <c r="FA893" s="313"/>
      <c r="FB893" s="249"/>
      <c r="FC893" s="221"/>
      <c r="FD893" s="313"/>
      <c r="FE893" s="249"/>
      <c r="FF893" s="221"/>
      <c r="FG893" s="313"/>
      <c r="FH893" s="249"/>
      <c r="FI893" s="216"/>
      <c r="FJ893" s="1435"/>
      <c r="FK893" s="216"/>
      <c r="FL893" s="1268"/>
      <c r="FM893" s="1655"/>
      <c r="FN893" s="1268"/>
      <c r="FO893" s="1655"/>
      <c r="FP893" s="1268"/>
      <c r="FQ893" s="1656"/>
      <c r="FR893" s="249"/>
      <c r="FS893" s="216"/>
      <c r="FT893" s="1657"/>
      <c r="FU893" s="1658"/>
      <c r="FV893" s="242"/>
      <c r="FW893" s="343"/>
      <c r="FX893" s="222"/>
      <c r="FY893" s="336"/>
      <c r="FZ893" s="223"/>
      <c r="GA893" s="338"/>
      <c r="GB893" s="204"/>
      <c r="GC893" s="339"/>
      <c r="GD893" s="342"/>
      <c r="GE893" s="199"/>
      <c r="GF893" s="199"/>
      <c r="GG893" s="199"/>
      <c r="GH893" s="199"/>
      <c r="GI893" s="199"/>
      <c r="GJ893" s="199"/>
      <c r="GK893" s="199"/>
      <c r="GO893" s="322"/>
      <c r="GP893" s="1190"/>
      <c r="GQ893" s="1190"/>
      <c r="GS893" s="2879"/>
      <c r="GT893" s="2880"/>
      <c r="GU893" s="2881"/>
    </row>
    <row r="894" spans="1:203" ht="12" customHeight="1">
      <c r="A894" s="1252"/>
      <c r="B894" s="200"/>
      <c r="C894" s="486"/>
      <c r="T894" s="1186"/>
      <c r="U894" s="233"/>
      <c r="W894" s="218"/>
      <c r="X894" s="218"/>
      <c r="Y894" s="216"/>
      <c r="Z894" s="216"/>
      <c r="AA894" s="215"/>
      <c r="AB894" s="216"/>
      <c r="AC894" s="216"/>
      <c r="AD894" s="239"/>
      <c r="AE894" s="216"/>
      <c r="AF894" s="216"/>
      <c r="AG894" s="216"/>
      <c r="AH894" s="216"/>
      <c r="AI894" s="216"/>
      <c r="AJ894" s="216"/>
      <c r="AK894" s="239"/>
      <c r="AL894" s="216"/>
      <c r="AM894" s="216"/>
      <c r="AN894" s="216"/>
      <c r="AO894" s="216"/>
      <c r="AP894" s="216"/>
      <c r="AQ894" s="216"/>
      <c r="AR894" s="216"/>
      <c r="AS894" s="216"/>
      <c r="AT894" s="216"/>
      <c r="AU894" s="216"/>
      <c r="AV894" s="217"/>
      <c r="AW894" s="355"/>
      <c r="AX894" s="217"/>
      <c r="AY894" s="305"/>
      <c r="AZ894" s="249"/>
      <c r="BA894" s="221"/>
      <c r="BB894" s="300"/>
      <c r="BC894" s="217"/>
      <c r="BD894" s="392"/>
      <c r="BE894" s="1244"/>
      <c r="BF894" s="249"/>
      <c r="BG894" s="252"/>
      <c r="BH894" s="1469"/>
      <c r="BI894" s="216"/>
      <c r="BJ894" s="1469"/>
      <c r="BK894" s="1459"/>
      <c r="BL894" s="260"/>
      <c r="BM894" s="214"/>
      <c r="BN894" s="293"/>
      <c r="BO894" s="217"/>
      <c r="BP894" s="355"/>
      <c r="BQ894" s="217"/>
      <c r="BR894" s="1193"/>
      <c r="BS894" s="249"/>
      <c r="BT894" s="216"/>
      <c r="BU894" s="1195"/>
      <c r="BV894" s="249"/>
      <c r="BW894" s="216"/>
      <c r="BX894" s="1195"/>
      <c r="BY894" s="249"/>
      <c r="BZ894" s="216"/>
      <c r="CA894" s="1195"/>
      <c r="CB894" s="249"/>
      <c r="CC894" s="216"/>
      <c r="CD894" s="1195"/>
      <c r="CE894" s="249"/>
      <c r="CF894" s="216"/>
      <c r="CG894" s="1195"/>
      <c r="CH894" s="249"/>
      <c r="CI894" s="216"/>
      <c r="CJ894" s="1195"/>
      <c r="CK894" s="249"/>
      <c r="CL894" s="216"/>
      <c r="CM894" s="1194"/>
      <c r="CN894" s="1524"/>
      <c r="CO894" s="217"/>
      <c r="CP894" s="1193"/>
      <c r="CQ894" s="293"/>
      <c r="CR894" s="217"/>
      <c r="CS894" s="305"/>
      <c r="CT894" s="249"/>
      <c r="CU894" s="216"/>
      <c r="CV894" s="1193"/>
      <c r="CW894" s="249"/>
      <c r="CX894" s="216"/>
      <c r="CY894" s="305"/>
      <c r="CZ894" s="249"/>
      <c r="DA894" s="216"/>
      <c r="DB894" s="307"/>
      <c r="DC894" s="328"/>
      <c r="DD894" s="322"/>
      <c r="DE894" s="305"/>
      <c r="DF894" s="249"/>
      <c r="DG894" s="216"/>
      <c r="DH894" s="305"/>
      <c r="DI894" s="249"/>
      <c r="DJ894" s="216"/>
      <c r="DK894" s="309"/>
      <c r="DL894" s="293"/>
      <c r="DM894" s="326"/>
      <c r="DN894" s="1256"/>
      <c r="DO894" s="214"/>
      <c r="DP894" s="1257"/>
      <c r="DQ894" s="1258"/>
      <c r="DR894" s="305"/>
      <c r="DS894" s="249"/>
      <c r="DT894" s="216"/>
      <c r="DU894" s="305"/>
      <c r="DV894" s="2520"/>
      <c r="DW894" s="2521"/>
      <c r="DX894" s="305"/>
      <c r="DY894" s="249"/>
      <c r="DZ894" s="221"/>
      <c r="EA894" s="388"/>
      <c r="EB894" s="249"/>
      <c r="EC894" s="216"/>
      <c r="ED894" s="1461"/>
      <c r="EE894" s="249"/>
      <c r="EF894" s="216"/>
      <c r="EG894" s="355"/>
      <c r="EH894" s="1425"/>
      <c r="EI894" s="1470"/>
      <c r="EJ894" s="249"/>
      <c r="EK894" s="221"/>
      <c r="EL894" s="313"/>
      <c r="EM894" s="249"/>
      <c r="EN894" s="221"/>
      <c r="EO894" s="313"/>
      <c r="EP894" s="249"/>
      <c r="EQ894" s="216"/>
      <c r="ER894" s="313"/>
      <c r="ES894" s="249"/>
      <c r="ET894" s="216"/>
      <c r="EU894" s="313"/>
      <c r="EV894" s="249"/>
      <c r="EW894" s="216"/>
      <c r="EX894" s="2505"/>
      <c r="EY894" s="249"/>
      <c r="EZ894" s="221"/>
      <c r="FA894" s="313"/>
      <c r="FB894" s="249"/>
      <c r="FC894" s="221"/>
      <c r="FD894" s="313"/>
      <c r="FE894" s="249"/>
      <c r="FF894" s="221"/>
      <c r="FG894" s="313"/>
      <c r="FH894" s="249"/>
      <c r="FI894" s="216"/>
      <c r="FJ894" s="1435"/>
      <c r="FK894" s="216"/>
      <c r="FL894" s="1268"/>
      <c r="FM894" s="1655"/>
      <c r="FN894" s="1268"/>
      <c r="FO894" s="1655"/>
      <c r="FP894" s="1268"/>
      <c r="FQ894" s="1656"/>
      <c r="FR894" s="249"/>
      <c r="FS894" s="216"/>
      <c r="FT894" s="1657"/>
      <c r="FU894" s="1658"/>
      <c r="FV894" s="242"/>
      <c r="FW894" s="343"/>
      <c r="FX894" s="222"/>
      <c r="FY894" s="336"/>
      <c r="FZ894" s="223"/>
      <c r="GA894" s="338"/>
      <c r="GB894" s="204"/>
      <c r="GC894" s="339"/>
      <c r="GD894" s="342"/>
      <c r="GE894" s="199"/>
      <c r="GF894" s="199"/>
      <c r="GG894" s="199"/>
      <c r="GH894" s="199"/>
      <c r="GI894" s="199"/>
      <c r="GJ894" s="199"/>
      <c r="GK894" s="199"/>
      <c r="GO894" s="322"/>
      <c r="GP894" s="1190"/>
      <c r="GQ894" s="1190"/>
      <c r="GS894" s="2879"/>
      <c r="GT894" s="2880"/>
      <c r="GU894" s="2881"/>
    </row>
    <row r="895" spans="1:203" ht="12" customHeight="1">
      <c r="A895" s="1252"/>
      <c r="B895" s="200"/>
      <c r="C895" s="486"/>
      <c r="T895" s="1186"/>
      <c r="U895" s="233"/>
      <c r="W895" s="218"/>
      <c r="X895" s="218"/>
      <c r="Y895" s="216"/>
      <c r="Z895" s="216"/>
      <c r="AA895" s="215"/>
      <c r="AB895" s="216"/>
      <c r="AC895" s="216"/>
      <c r="AD895" s="239"/>
      <c r="AE895" s="216"/>
      <c r="AF895" s="216"/>
      <c r="AG895" s="216"/>
      <c r="AH895" s="216"/>
      <c r="AI895" s="216"/>
      <c r="AJ895" s="216"/>
      <c r="AK895" s="239"/>
      <c r="AL895" s="216"/>
      <c r="AM895" s="216"/>
      <c r="AN895" s="216"/>
      <c r="AO895" s="216"/>
      <c r="AP895" s="216"/>
      <c r="AQ895" s="216"/>
      <c r="AR895" s="216"/>
      <c r="AS895" s="216"/>
      <c r="AT895" s="216"/>
      <c r="AU895" s="216"/>
      <c r="AV895" s="217"/>
      <c r="AW895" s="355"/>
      <c r="AX895" s="217"/>
      <c r="AY895" s="305"/>
      <c r="AZ895" s="249"/>
      <c r="BA895" s="221"/>
      <c r="BB895" s="300"/>
      <c r="BC895" s="217"/>
      <c r="BD895" s="392"/>
      <c r="BE895" s="1244"/>
      <c r="BF895" s="249"/>
      <c r="BG895" s="252"/>
      <c r="BH895" s="1469"/>
      <c r="BI895" s="216"/>
      <c r="BJ895" s="1469"/>
      <c r="BK895" s="1459"/>
      <c r="BL895" s="260"/>
      <c r="BM895" s="214"/>
      <c r="BN895" s="293"/>
      <c r="BO895" s="217"/>
      <c r="BP895" s="355"/>
      <c r="BQ895" s="217"/>
      <c r="BR895" s="1193"/>
      <c r="BS895" s="249"/>
      <c r="BT895" s="216"/>
      <c r="BU895" s="1195"/>
      <c r="BV895" s="249"/>
      <c r="BW895" s="216"/>
      <c r="BX895" s="1195"/>
      <c r="BY895" s="249"/>
      <c r="BZ895" s="216"/>
      <c r="CA895" s="1195"/>
      <c r="CB895" s="249"/>
      <c r="CC895" s="216"/>
      <c r="CD895" s="1195"/>
      <c r="CE895" s="249"/>
      <c r="CF895" s="216"/>
      <c r="CG895" s="1195"/>
      <c r="CH895" s="249"/>
      <c r="CI895" s="216"/>
      <c r="CJ895" s="1195"/>
      <c r="CK895" s="249"/>
      <c r="CL895" s="216"/>
      <c r="CM895" s="1194"/>
      <c r="CN895" s="1524"/>
      <c r="CO895" s="217"/>
      <c r="CP895" s="1193"/>
      <c r="CQ895" s="293"/>
      <c r="CR895" s="217"/>
      <c r="CS895" s="305"/>
      <c r="CT895" s="249"/>
      <c r="CU895" s="216"/>
      <c r="CV895" s="1193"/>
      <c r="CW895" s="249"/>
      <c r="CX895" s="216"/>
      <c r="CY895" s="305"/>
      <c r="CZ895" s="249"/>
      <c r="DA895" s="216"/>
      <c r="DB895" s="307"/>
      <c r="DC895" s="328"/>
      <c r="DD895" s="322"/>
      <c r="DE895" s="305"/>
      <c r="DF895" s="249"/>
      <c r="DG895" s="216"/>
      <c r="DH895" s="305"/>
      <c r="DI895" s="249"/>
      <c r="DJ895" s="216"/>
      <c r="DK895" s="309"/>
      <c r="DL895" s="293"/>
      <c r="DM895" s="326"/>
      <c r="DN895" s="1256"/>
      <c r="DO895" s="214"/>
      <c r="DP895" s="1257"/>
      <c r="DQ895" s="1258"/>
      <c r="DR895" s="305"/>
      <c r="DS895" s="249"/>
      <c r="DT895" s="216"/>
      <c r="DU895" s="305"/>
      <c r="DV895" s="2520"/>
      <c r="DW895" s="2521"/>
      <c r="DX895" s="305"/>
      <c r="DY895" s="249"/>
      <c r="DZ895" s="221"/>
      <c r="EA895" s="388"/>
      <c r="EB895" s="249"/>
      <c r="EC895" s="216"/>
      <c r="ED895" s="1461"/>
      <c r="EE895" s="249"/>
      <c r="EF895" s="216"/>
      <c r="EG895" s="355"/>
      <c r="EH895" s="1425"/>
      <c r="EI895" s="1470"/>
      <c r="EJ895" s="249"/>
      <c r="EK895" s="221"/>
      <c r="EL895" s="313"/>
      <c r="EM895" s="249"/>
      <c r="EN895" s="221"/>
      <c r="EO895" s="313"/>
      <c r="EP895" s="249"/>
      <c r="EQ895" s="216"/>
      <c r="ER895" s="313"/>
      <c r="ES895" s="249"/>
      <c r="ET895" s="216"/>
      <c r="EU895" s="313"/>
      <c r="EV895" s="249"/>
      <c r="EW895" s="216"/>
      <c r="EX895" s="2505"/>
      <c r="EY895" s="249"/>
      <c r="EZ895" s="221"/>
      <c r="FA895" s="313"/>
      <c r="FB895" s="249"/>
      <c r="FC895" s="221"/>
      <c r="FD895" s="313"/>
      <c r="FE895" s="249"/>
      <c r="FF895" s="221"/>
      <c r="FG895" s="313"/>
      <c r="FH895" s="249"/>
      <c r="FI895" s="216"/>
      <c r="FJ895" s="1435"/>
      <c r="FK895" s="216"/>
      <c r="FL895" s="1268"/>
      <c r="FM895" s="1655"/>
      <c r="FN895" s="1268"/>
      <c r="FO895" s="1655"/>
      <c r="FP895" s="1268"/>
      <c r="FQ895" s="1656"/>
      <c r="FR895" s="249"/>
      <c r="FS895" s="216"/>
      <c r="FT895" s="1657"/>
      <c r="FU895" s="1658"/>
      <c r="FV895" s="242"/>
      <c r="FW895" s="343"/>
      <c r="FX895" s="222"/>
      <c r="FY895" s="336"/>
      <c r="FZ895" s="223"/>
      <c r="GA895" s="338"/>
      <c r="GB895" s="204"/>
      <c r="GC895" s="339"/>
      <c r="GD895" s="342"/>
      <c r="GE895" s="199"/>
      <c r="GF895" s="199"/>
      <c r="GG895" s="199"/>
      <c r="GH895" s="199"/>
      <c r="GI895" s="199"/>
      <c r="GJ895" s="199"/>
      <c r="GK895" s="199"/>
      <c r="GO895" s="322"/>
      <c r="GP895" s="1190"/>
      <c r="GQ895" s="1190"/>
      <c r="GS895" s="2879"/>
      <c r="GT895" s="2880"/>
      <c r="GU895" s="2881"/>
    </row>
    <row r="896" spans="1:203" ht="12" customHeight="1">
      <c r="A896" s="1252"/>
      <c r="B896" s="200"/>
      <c r="C896" s="486"/>
      <c r="T896" s="1186"/>
      <c r="U896" s="233"/>
      <c r="W896" s="218"/>
      <c r="X896" s="218"/>
      <c r="Y896" s="216"/>
      <c r="Z896" s="216"/>
      <c r="AA896" s="215"/>
      <c r="AB896" s="216"/>
      <c r="AC896" s="216"/>
      <c r="AD896" s="239"/>
      <c r="AE896" s="216"/>
      <c r="AF896" s="216"/>
      <c r="AG896" s="216"/>
      <c r="AH896" s="216"/>
      <c r="AI896" s="216"/>
      <c r="AJ896" s="216"/>
      <c r="AK896" s="239"/>
      <c r="AL896" s="216"/>
      <c r="AM896" s="216"/>
      <c r="AN896" s="216"/>
      <c r="AO896" s="216"/>
      <c r="AP896" s="216"/>
      <c r="AQ896" s="216"/>
      <c r="AR896" s="216"/>
      <c r="AS896" s="216"/>
      <c r="AT896" s="216"/>
      <c r="AU896" s="216"/>
      <c r="AV896" s="217"/>
      <c r="AW896" s="355"/>
      <c r="AX896" s="217"/>
      <c r="AY896" s="305"/>
      <c r="AZ896" s="249"/>
      <c r="BA896" s="221"/>
      <c r="BB896" s="300"/>
      <c r="BC896" s="217"/>
      <c r="BD896" s="392"/>
      <c r="BE896" s="1244"/>
      <c r="BF896" s="249"/>
      <c r="BG896" s="252"/>
      <c r="BH896" s="1469"/>
      <c r="BI896" s="216"/>
      <c r="BJ896" s="1469"/>
      <c r="BK896" s="1459"/>
      <c r="BL896" s="260"/>
      <c r="BM896" s="214"/>
      <c r="BN896" s="293"/>
      <c r="BO896" s="217"/>
      <c r="BP896" s="355"/>
      <c r="BQ896" s="217"/>
      <c r="BR896" s="1193"/>
      <c r="BS896" s="249"/>
      <c r="BT896" s="216"/>
      <c r="BU896" s="1195"/>
      <c r="BV896" s="249"/>
      <c r="BW896" s="216"/>
      <c r="BX896" s="1195"/>
      <c r="BY896" s="249"/>
      <c r="BZ896" s="216"/>
      <c r="CA896" s="1195"/>
      <c r="CB896" s="249"/>
      <c r="CC896" s="216"/>
      <c r="CD896" s="1195"/>
      <c r="CE896" s="249"/>
      <c r="CF896" s="216"/>
      <c r="CG896" s="1195"/>
      <c r="CH896" s="249"/>
      <c r="CI896" s="216"/>
      <c r="CJ896" s="1195"/>
      <c r="CK896" s="249"/>
      <c r="CL896" s="216"/>
      <c r="CM896" s="1194"/>
      <c r="CN896" s="1524"/>
      <c r="CO896" s="217"/>
      <c r="CP896" s="1193"/>
      <c r="CQ896" s="293"/>
      <c r="CR896" s="217"/>
      <c r="CS896" s="305"/>
      <c r="CT896" s="249"/>
      <c r="CU896" s="216"/>
      <c r="CV896" s="1193"/>
      <c r="CW896" s="249"/>
      <c r="CX896" s="216"/>
      <c r="CY896" s="305"/>
      <c r="CZ896" s="249"/>
      <c r="DA896" s="216"/>
      <c r="DB896" s="307"/>
      <c r="DC896" s="328"/>
      <c r="DD896" s="322"/>
      <c r="DE896" s="305"/>
      <c r="DF896" s="249"/>
      <c r="DG896" s="216"/>
      <c r="DH896" s="305"/>
      <c r="DI896" s="249"/>
      <c r="DJ896" s="216"/>
      <c r="DK896" s="309"/>
      <c r="DL896" s="293"/>
      <c r="DM896" s="326"/>
      <c r="DN896" s="1256"/>
      <c r="DO896" s="214"/>
      <c r="DP896" s="1257"/>
      <c r="DQ896" s="1258"/>
      <c r="DR896" s="305"/>
      <c r="DS896" s="249"/>
      <c r="DT896" s="216"/>
      <c r="DU896" s="305"/>
      <c r="DV896" s="2520"/>
      <c r="DW896" s="2521"/>
      <c r="DX896" s="305"/>
      <c r="DY896" s="249"/>
      <c r="DZ896" s="221"/>
      <c r="EA896" s="388"/>
      <c r="EB896" s="249"/>
      <c r="EC896" s="216"/>
      <c r="ED896" s="1461"/>
      <c r="EE896" s="249"/>
      <c r="EF896" s="216"/>
      <c r="EG896" s="355"/>
      <c r="EH896" s="1425"/>
      <c r="EI896" s="1470"/>
      <c r="EJ896" s="249"/>
      <c r="EK896" s="221"/>
      <c r="EL896" s="313"/>
      <c r="EM896" s="249"/>
      <c r="EN896" s="221"/>
      <c r="EO896" s="313"/>
      <c r="EP896" s="249"/>
      <c r="EQ896" s="216"/>
      <c r="ER896" s="313"/>
      <c r="ES896" s="249"/>
      <c r="ET896" s="216"/>
      <c r="EU896" s="313"/>
      <c r="EV896" s="249"/>
      <c r="EW896" s="216"/>
      <c r="EX896" s="2505"/>
      <c r="EY896" s="249"/>
      <c r="EZ896" s="221"/>
      <c r="FA896" s="313"/>
      <c r="FB896" s="249"/>
      <c r="FC896" s="221"/>
      <c r="FD896" s="313"/>
      <c r="FE896" s="249"/>
      <c r="FF896" s="221"/>
      <c r="FG896" s="313"/>
      <c r="FH896" s="249"/>
      <c r="FI896" s="216"/>
      <c r="FJ896" s="1435"/>
      <c r="FK896" s="216"/>
      <c r="FL896" s="1268"/>
      <c r="FM896" s="1655"/>
      <c r="FN896" s="1268"/>
      <c r="FO896" s="1655"/>
      <c r="FP896" s="1268"/>
      <c r="FQ896" s="1656"/>
      <c r="FR896" s="249"/>
      <c r="FS896" s="216"/>
      <c r="FT896" s="1657"/>
      <c r="FU896" s="1658"/>
      <c r="FV896" s="242"/>
      <c r="FW896" s="343"/>
      <c r="FX896" s="222"/>
      <c r="FY896" s="336"/>
      <c r="FZ896" s="223"/>
      <c r="GA896" s="338"/>
      <c r="GB896" s="204"/>
      <c r="GC896" s="339"/>
      <c r="GD896" s="342"/>
      <c r="GE896" s="199"/>
      <c r="GF896" s="199"/>
      <c r="GG896" s="199"/>
      <c r="GH896" s="199"/>
      <c r="GI896" s="199"/>
      <c r="GJ896" s="199"/>
      <c r="GK896" s="199"/>
      <c r="GO896" s="322"/>
      <c r="GP896" s="1190"/>
      <c r="GQ896" s="1190"/>
      <c r="GS896" s="2879"/>
      <c r="GT896" s="2880"/>
      <c r="GU896" s="2881"/>
    </row>
    <row r="897" spans="1:203" ht="12" customHeight="1">
      <c r="A897" s="1252"/>
      <c r="B897" s="200"/>
      <c r="C897" s="486"/>
      <c r="T897" s="1186"/>
      <c r="U897" s="233"/>
      <c r="W897" s="218"/>
      <c r="X897" s="218"/>
      <c r="Y897" s="216"/>
      <c r="Z897" s="216"/>
      <c r="AA897" s="215"/>
      <c r="AB897" s="216"/>
      <c r="AC897" s="216"/>
      <c r="AD897" s="239"/>
      <c r="AE897" s="216"/>
      <c r="AF897" s="216"/>
      <c r="AG897" s="216"/>
      <c r="AH897" s="216"/>
      <c r="AI897" s="216"/>
      <c r="AJ897" s="216"/>
      <c r="AK897" s="239"/>
      <c r="AL897" s="216"/>
      <c r="AM897" s="216"/>
      <c r="AN897" s="216"/>
      <c r="AO897" s="216"/>
      <c r="AP897" s="216"/>
      <c r="AQ897" s="216"/>
      <c r="AR897" s="216"/>
      <c r="AS897" s="216"/>
      <c r="AT897" s="216"/>
      <c r="AU897" s="216"/>
      <c r="AV897" s="217"/>
      <c r="AW897" s="355"/>
      <c r="AX897" s="217"/>
      <c r="AY897" s="305"/>
      <c r="AZ897" s="249"/>
      <c r="BA897" s="221"/>
      <c r="BB897" s="300"/>
      <c r="BC897" s="217"/>
      <c r="BD897" s="392"/>
      <c r="BE897" s="1244"/>
      <c r="BF897" s="249"/>
      <c r="BG897" s="252"/>
      <c r="BH897" s="1469"/>
      <c r="BI897" s="216"/>
      <c r="BJ897" s="1469"/>
      <c r="BK897" s="1459"/>
      <c r="BL897" s="260"/>
      <c r="BM897" s="214"/>
      <c r="BN897" s="293"/>
      <c r="BO897" s="217"/>
      <c r="BP897" s="355"/>
      <c r="BQ897" s="217"/>
      <c r="BR897" s="1193"/>
      <c r="BS897" s="249"/>
      <c r="BT897" s="216"/>
      <c r="BU897" s="1195"/>
      <c r="BV897" s="249"/>
      <c r="BW897" s="216"/>
      <c r="BX897" s="1195"/>
      <c r="BY897" s="249"/>
      <c r="BZ897" s="216"/>
      <c r="CA897" s="1195"/>
      <c r="CB897" s="249"/>
      <c r="CC897" s="216"/>
      <c r="CD897" s="1195"/>
      <c r="CE897" s="249"/>
      <c r="CF897" s="216"/>
      <c r="CG897" s="1195"/>
      <c r="CH897" s="249"/>
      <c r="CI897" s="216"/>
      <c r="CJ897" s="1195"/>
      <c r="CK897" s="249"/>
      <c r="CL897" s="216"/>
      <c r="CM897" s="1194"/>
      <c r="CN897" s="1524"/>
      <c r="CO897" s="217"/>
      <c r="CP897" s="1193"/>
      <c r="CQ897" s="293"/>
      <c r="CR897" s="217"/>
      <c r="CS897" s="305"/>
      <c r="CT897" s="249"/>
      <c r="CU897" s="216"/>
      <c r="CV897" s="1193"/>
      <c r="CW897" s="249"/>
      <c r="CX897" s="216"/>
      <c r="CY897" s="305"/>
      <c r="CZ897" s="249"/>
      <c r="DA897" s="216"/>
      <c r="DB897" s="307"/>
      <c r="DC897" s="328"/>
      <c r="DD897" s="322"/>
      <c r="DE897" s="305"/>
      <c r="DF897" s="249"/>
      <c r="DG897" s="216"/>
      <c r="DH897" s="305"/>
      <c r="DI897" s="249"/>
      <c r="DJ897" s="216"/>
      <c r="DK897" s="309"/>
      <c r="DL897" s="293"/>
      <c r="DM897" s="326"/>
      <c r="DN897" s="1256"/>
      <c r="DO897" s="214"/>
      <c r="DP897" s="1257"/>
      <c r="DQ897" s="1258"/>
      <c r="DR897" s="305"/>
      <c r="DS897" s="249"/>
      <c r="DT897" s="216"/>
      <c r="DU897" s="305"/>
      <c r="DV897" s="2520"/>
      <c r="DW897" s="2521"/>
      <c r="DX897" s="305"/>
      <c r="DY897" s="249"/>
      <c r="DZ897" s="221"/>
      <c r="EA897" s="388"/>
      <c r="EB897" s="249"/>
      <c r="EC897" s="216"/>
      <c r="ED897" s="1461"/>
      <c r="EE897" s="249"/>
      <c r="EF897" s="216"/>
      <c r="EG897" s="355"/>
      <c r="EH897" s="1425"/>
      <c r="EI897" s="1470"/>
      <c r="EJ897" s="249"/>
      <c r="EK897" s="221"/>
      <c r="EL897" s="313"/>
      <c r="EM897" s="249"/>
      <c r="EN897" s="221"/>
      <c r="EO897" s="313"/>
      <c r="EP897" s="249"/>
      <c r="EQ897" s="216"/>
      <c r="ER897" s="313"/>
      <c r="ES897" s="249"/>
      <c r="ET897" s="216"/>
      <c r="EU897" s="313"/>
      <c r="EV897" s="249"/>
      <c r="EW897" s="216"/>
      <c r="EX897" s="2505"/>
      <c r="EY897" s="249"/>
      <c r="EZ897" s="221"/>
      <c r="FA897" s="313"/>
      <c r="FB897" s="249"/>
      <c r="FC897" s="221"/>
      <c r="FD897" s="313"/>
      <c r="FE897" s="249"/>
      <c r="FF897" s="221"/>
      <c r="FG897" s="313"/>
      <c r="FH897" s="249"/>
      <c r="FI897" s="216"/>
      <c r="FJ897" s="1435"/>
      <c r="FK897" s="216"/>
      <c r="FL897" s="1268"/>
      <c r="FM897" s="1655"/>
      <c r="FN897" s="1268"/>
      <c r="FO897" s="1655"/>
      <c r="FP897" s="1268"/>
      <c r="FQ897" s="1656"/>
      <c r="FR897" s="249"/>
      <c r="FS897" s="216"/>
      <c r="FT897" s="1657"/>
      <c r="FU897" s="1658"/>
      <c r="FV897" s="242"/>
      <c r="FW897" s="343"/>
      <c r="FX897" s="222"/>
      <c r="FY897" s="336"/>
      <c r="FZ897" s="223"/>
      <c r="GA897" s="338"/>
      <c r="GB897" s="204"/>
      <c r="GC897" s="339"/>
      <c r="GD897" s="342"/>
      <c r="GE897" s="199"/>
      <c r="GF897" s="199"/>
      <c r="GG897" s="199"/>
      <c r="GH897" s="199"/>
      <c r="GI897" s="199"/>
      <c r="GJ897" s="199"/>
      <c r="GK897" s="199"/>
      <c r="GO897" s="322"/>
      <c r="GP897" s="1190"/>
      <c r="GQ897" s="1190"/>
      <c r="GS897" s="2879"/>
      <c r="GT897" s="2880"/>
      <c r="GU897" s="2881"/>
    </row>
    <row r="898" spans="1:203" ht="12" customHeight="1">
      <c r="A898" s="1252"/>
      <c r="B898" s="200"/>
      <c r="C898" s="486"/>
      <c r="T898" s="1186"/>
      <c r="U898" s="233"/>
      <c r="W898" s="218"/>
      <c r="X898" s="218"/>
      <c r="Y898" s="216"/>
      <c r="Z898" s="216"/>
      <c r="AA898" s="215"/>
      <c r="AB898" s="216"/>
      <c r="AC898" s="216"/>
      <c r="AD898" s="239"/>
      <c r="AE898" s="216"/>
      <c r="AF898" s="216"/>
      <c r="AG898" s="216"/>
      <c r="AH898" s="216"/>
      <c r="AI898" s="216"/>
      <c r="AJ898" s="216"/>
      <c r="AK898" s="239"/>
      <c r="AL898" s="216"/>
      <c r="AM898" s="216"/>
      <c r="AN898" s="216"/>
      <c r="AO898" s="216"/>
      <c r="AP898" s="216"/>
      <c r="AQ898" s="216"/>
      <c r="AR898" s="216"/>
      <c r="AS898" s="216"/>
      <c r="AT898" s="216"/>
      <c r="AU898" s="216"/>
      <c r="AV898" s="217"/>
      <c r="AW898" s="355"/>
      <c r="AX898" s="217"/>
      <c r="AY898" s="305"/>
      <c r="AZ898" s="249"/>
      <c r="BA898" s="221"/>
      <c r="BB898" s="300"/>
      <c r="BC898" s="217"/>
      <c r="BD898" s="392"/>
      <c r="BE898" s="1244"/>
      <c r="BF898" s="249"/>
      <c r="BG898" s="252"/>
      <c r="BH898" s="1469"/>
      <c r="BI898" s="216"/>
      <c r="BJ898" s="1469"/>
      <c r="BK898" s="1459"/>
      <c r="BL898" s="260"/>
      <c r="BM898" s="214"/>
      <c r="BN898" s="293"/>
      <c r="BO898" s="217"/>
      <c r="BP898" s="355"/>
      <c r="BQ898" s="217"/>
      <c r="BR898" s="1193"/>
      <c r="BS898" s="249"/>
      <c r="BT898" s="216"/>
      <c r="BU898" s="1195"/>
      <c r="BV898" s="249"/>
      <c r="BW898" s="216"/>
      <c r="BX898" s="1195"/>
      <c r="BY898" s="249"/>
      <c r="BZ898" s="216"/>
      <c r="CA898" s="1195"/>
      <c r="CB898" s="249"/>
      <c r="CC898" s="216"/>
      <c r="CD898" s="1195"/>
      <c r="CE898" s="249"/>
      <c r="CF898" s="216"/>
      <c r="CG898" s="1195"/>
      <c r="CH898" s="249"/>
      <c r="CI898" s="216"/>
      <c r="CJ898" s="1195"/>
      <c r="CK898" s="249"/>
      <c r="CL898" s="216"/>
      <c r="CM898" s="1194"/>
      <c r="CN898" s="1524"/>
      <c r="CO898" s="217"/>
      <c r="CP898" s="1193"/>
      <c r="CQ898" s="293"/>
      <c r="CR898" s="217"/>
      <c r="CS898" s="305"/>
      <c r="CT898" s="249"/>
      <c r="CU898" s="216"/>
      <c r="CV898" s="1193"/>
      <c r="CW898" s="249"/>
      <c r="CX898" s="216"/>
      <c r="CY898" s="305"/>
      <c r="CZ898" s="249"/>
      <c r="DA898" s="216"/>
      <c r="DB898" s="307"/>
      <c r="DC898" s="328"/>
      <c r="DD898" s="322"/>
      <c r="DE898" s="305"/>
      <c r="DF898" s="249"/>
      <c r="DG898" s="216"/>
      <c r="DH898" s="305"/>
      <c r="DI898" s="249"/>
      <c r="DJ898" s="216"/>
      <c r="DK898" s="309"/>
      <c r="DL898" s="293"/>
      <c r="DM898" s="326"/>
      <c r="DN898" s="1256"/>
      <c r="DO898" s="214"/>
      <c r="DP898" s="1257"/>
      <c r="DQ898" s="1258"/>
      <c r="DR898" s="305"/>
      <c r="DS898" s="249"/>
      <c r="DT898" s="216"/>
      <c r="DU898" s="305"/>
      <c r="DV898" s="2520"/>
      <c r="DW898" s="2521"/>
      <c r="DX898" s="305"/>
      <c r="DY898" s="249"/>
      <c r="DZ898" s="221"/>
      <c r="EA898" s="388"/>
      <c r="EB898" s="249"/>
      <c r="EC898" s="216"/>
      <c r="ED898" s="1461"/>
      <c r="EE898" s="249"/>
      <c r="EF898" s="216"/>
      <c r="EG898" s="355"/>
      <c r="EH898" s="1425"/>
      <c r="EI898" s="1470"/>
      <c r="EJ898" s="249"/>
      <c r="EK898" s="221"/>
      <c r="EL898" s="313"/>
      <c r="EM898" s="249"/>
      <c r="EN898" s="221"/>
      <c r="EO898" s="313"/>
      <c r="EP898" s="249"/>
      <c r="EQ898" s="216"/>
      <c r="ER898" s="313"/>
      <c r="ES898" s="249"/>
      <c r="ET898" s="216"/>
      <c r="EU898" s="313"/>
      <c r="EV898" s="249"/>
      <c r="EW898" s="216"/>
      <c r="EX898" s="2505"/>
      <c r="EY898" s="249"/>
      <c r="EZ898" s="221"/>
      <c r="FA898" s="313"/>
      <c r="FB898" s="249"/>
      <c r="FC898" s="221"/>
      <c r="FD898" s="313"/>
      <c r="FE898" s="249"/>
      <c r="FF898" s="221"/>
      <c r="FG898" s="313"/>
      <c r="FH898" s="249"/>
      <c r="FI898" s="216"/>
      <c r="FJ898" s="1435"/>
      <c r="FK898" s="216"/>
      <c r="FL898" s="1268"/>
      <c r="FM898" s="1655"/>
      <c r="FN898" s="1268"/>
      <c r="FO898" s="1655"/>
      <c r="FP898" s="1268"/>
      <c r="FQ898" s="1656"/>
      <c r="FR898" s="249"/>
      <c r="FS898" s="216"/>
      <c r="FT898" s="1657"/>
      <c r="FU898" s="1658"/>
      <c r="FV898" s="242"/>
      <c r="FW898" s="343"/>
      <c r="FX898" s="222"/>
      <c r="FY898" s="336"/>
      <c r="FZ898" s="223"/>
      <c r="GA898" s="338"/>
      <c r="GB898" s="204"/>
      <c r="GC898" s="339"/>
      <c r="GD898" s="342"/>
      <c r="GE898" s="199"/>
      <c r="GF898" s="199"/>
      <c r="GG898" s="199"/>
      <c r="GH898" s="199"/>
      <c r="GI898" s="199"/>
      <c r="GJ898" s="199"/>
      <c r="GK898" s="199"/>
      <c r="GO898" s="322"/>
      <c r="GP898" s="1190"/>
      <c r="GQ898" s="1190"/>
      <c r="GS898" s="2879"/>
      <c r="GT898" s="2880"/>
      <c r="GU898" s="2881"/>
    </row>
    <row r="899" spans="1:203" ht="12" customHeight="1">
      <c r="A899" s="1252"/>
      <c r="B899" s="200"/>
      <c r="C899" s="486"/>
      <c r="T899" s="1186"/>
      <c r="U899" s="233"/>
      <c r="W899" s="218"/>
      <c r="X899" s="218"/>
      <c r="Y899" s="216"/>
      <c r="Z899" s="216"/>
      <c r="AA899" s="215"/>
      <c r="AB899" s="216"/>
      <c r="AC899" s="216"/>
      <c r="AD899" s="239"/>
      <c r="AE899" s="216"/>
      <c r="AF899" s="216"/>
      <c r="AG899" s="216"/>
      <c r="AH899" s="216"/>
      <c r="AI899" s="216"/>
      <c r="AJ899" s="216"/>
      <c r="AK899" s="239"/>
      <c r="AL899" s="216"/>
      <c r="AM899" s="216"/>
      <c r="AN899" s="216"/>
      <c r="AO899" s="216"/>
      <c r="AP899" s="216"/>
      <c r="AQ899" s="216"/>
      <c r="AR899" s="216"/>
      <c r="AS899" s="216"/>
      <c r="AT899" s="216"/>
      <c r="AU899" s="216"/>
      <c r="AV899" s="217"/>
      <c r="AW899" s="355"/>
      <c r="AX899" s="217"/>
      <c r="AY899" s="305"/>
      <c r="AZ899" s="249"/>
      <c r="BA899" s="221"/>
      <c r="BB899" s="300"/>
      <c r="BC899" s="217"/>
      <c r="BD899" s="392"/>
      <c r="BE899" s="1244"/>
      <c r="BF899" s="249"/>
      <c r="BG899" s="252"/>
      <c r="BH899" s="1469"/>
      <c r="BI899" s="216"/>
      <c r="BJ899" s="1469"/>
      <c r="BK899" s="1459"/>
      <c r="BL899" s="260"/>
      <c r="BM899" s="214"/>
      <c r="BN899" s="293"/>
      <c r="BO899" s="217"/>
      <c r="BP899" s="355"/>
      <c r="BQ899" s="217"/>
      <c r="BR899" s="1193"/>
      <c r="BS899" s="249"/>
      <c r="BT899" s="216"/>
      <c r="BU899" s="1195"/>
      <c r="BV899" s="249"/>
      <c r="BW899" s="216"/>
      <c r="BX899" s="1195"/>
      <c r="BY899" s="249"/>
      <c r="BZ899" s="216"/>
      <c r="CA899" s="1195"/>
      <c r="CB899" s="249"/>
      <c r="CC899" s="216"/>
      <c r="CD899" s="1195"/>
      <c r="CE899" s="249"/>
      <c r="CF899" s="216"/>
      <c r="CG899" s="1195"/>
      <c r="CH899" s="249"/>
      <c r="CI899" s="216"/>
      <c r="CJ899" s="1195"/>
      <c r="CK899" s="249"/>
      <c r="CL899" s="216"/>
      <c r="CM899" s="1194"/>
      <c r="CN899" s="1524"/>
      <c r="CO899" s="217"/>
      <c r="CP899" s="1193"/>
      <c r="CQ899" s="293"/>
      <c r="CR899" s="217"/>
      <c r="CS899" s="305"/>
      <c r="CT899" s="249"/>
      <c r="CU899" s="216"/>
      <c r="CV899" s="1193"/>
      <c r="CW899" s="249"/>
      <c r="CX899" s="216"/>
      <c r="CY899" s="305"/>
      <c r="CZ899" s="249"/>
      <c r="DA899" s="216"/>
      <c r="DB899" s="307"/>
      <c r="DC899" s="328"/>
      <c r="DD899" s="322"/>
      <c r="DE899" s="305"/>
      <c r="DF899" s="249"/>
      <c r="DG899" s="216"/>
      <c r="DH899" s="305"/>
      <c r="DI899" s="249"/>
      <c r="DJ899" s="216"/>
      <c r="DK899" s="309"/>
      <c r="DL899" s="293"/>
      <c r="DM899" s="326"/>
      <c r="DN899" s="1256"/>
      <c r="DO899" s="214"/>
      <c r="DP899" s="1257"/>
      <c r="DQ899" s="1258"/>
      <c r="DR899" s="305"/>
      <c r="DS899" s="249"/>
      <c r="DT899" s="216"/>
      <c r="DU899" s="305"/>
      <c r="DV899" s="2520"/>
      <c r="DW899" s="2521"/>
      <c r="DX899" s="305"/>
      <c r="DY899" s="249"/>
      <c r="DZ899" s="221"/>
      <c r="EA899" s="388"/>
      <c r="EB899" s="249"/>
      <c r="EC899" s="216"/>
      <c r="ED899" s="1461"/>
      <c r="EE899" s="249"/>
      <c r="EF899" s="216"/>
      <c r="EG899" s="355"/>
      <c r="EH899" s="1425"/>
      <c r="EI899" s="1470"/>
      <c r="EJ899" s="249"/>
      <c r="EK899" s="221"/>
      <c r="EL899" s="313"/>
      <c r="EM899" s="249"/>
      <c r="EN899" s="221"/>
      <c r="EO899" s="313"/>
      <c r="EP899" s="249"/>
      <c r="EQ899" s="216"/>
      <c r="ER899" s="313"/>
      <c r="ES899" s="249"/>
      <c r="ET899" s="216"/>
      <c r="EU899" s="313"/>
      <c r="EV899" s="249"/>
      <c r="EW899" s="216"/>
      <c r="EX899" s="2505"/>
      <c r="EY899" s="249"/>
      <c r="EZ899" s="221"/>
      <c r="FA899" s="313"/>
      <c r="FB899" s="249"/>
      <c r="FC899" s="221"/>
      <c r="FD899" s="313"/>
      <c r="FE899" s="249"/>
      <c r="FF899" s="221"/>
      <c r="FG899" s="313"/>
      <c r="FH899" s="249"/>
      <c r="FI899" s="216"/>
      <c r="FJ899" s="1435"/>
      <c r="FK899" s="216"/>
      <c r="FL899" s="1268"/>
      <c r="FM899" s="1655"/>
      <c r="FN899" s="1268"/>
      <c r="FO899" s="1655"/>
      <c r="FP899" s="1268"/>
      <c r="FQ899" s="1656"/>
      <c r="FR899" s="249"/>
      <c r="FS899" s="216"/>
      <c r="FT899" s="1657"/>
      <c r="FU899" s="1658"/>
      <c r="FV899" s="242"/>
      <c r="FW899" s="343"/>
      <c r="FX899" s="222"/>
      <c r="FY899" s="336"/>
      <c r="FZ899" s="223"/>
      <c r="GA899" s="338"/>
      <c r="GB899" s="204"/>
      <c r="GC899" s="339"/>
      <c r="GD899" s="342"/>
      <c r="GE899" s="199"/>
      <c r="GF899" s="199"/>
      <c r="GG899" s="199"/>
      <c r="GH899" s="199"/>
      <c r="GI899" s="199"/>
      <c r="GJ899" s="199"/>
      <c r="GK899" s="199"/>
      <c r="GO899" s="322"/>
      <c r="GP899" s="1190"/>
      <c r="GQ899" s="1190"/>
      <c r="GS899" s="2879"/>
      <c r="GT899" s="2880"/>
      <c r="GU899" s="2881"/>
    </row>
    <row r="900" spans="1:203" ht="12" customHeight="1">
      <c r="A900" s="1252"/>
      <c r="B900" s="200"/>
      <c r="C900" s="486"/>
      <c r="T900" s="1186"/>
      <c r="U900" s="233"/>
      <c r="W900" s="218"/>
      <c r="X900" s="218"/>
      <c r="Y900" s="216"/>
      <c r="Z900" s="216"/>
      <c r="AA900" s="215"/>
      <c r="AB900" s="216"/>
      <c r="AC900" s="216"/>
      <c r="AD900" s="239"/>
      <c r="AE900" s="216"/>
      <c r="AF900" s="216"/>
      <c r="AG900" s="216"/>
      <c r="AH900" s="216"/>
      <c r="AI900" s="216"/>
      <c r="AJ900" s="216"/>
      <c r="AK900" s="239"/>
      <c r="AL900" s="216"/>
      <c r="AM900" s="216"/>
      <c r="AN900" s="216"/>
      <c r="AO900" s="216"/>
      <c r="AP900" s="216"/>
      <c r="AQ900" s="216"/>
      <c r="AR900" s="216"/>
      <c r="AS900" s="216"/>
      <c r="AT900" s="216"/>
      <c r="AU900" s="216"/>
      <c r="AV900" s="217"/>
      <c r="AW900" s="355"/>
      <c r="AX900" s="217"/>
      <c r="AY900" s="305"/>
      <c r="AZ900" s="249"/>
      <c r="BA900" s="221"/>
      <c r="BB900" s="300"/>
      <c r="BC900" s="217"/>
      <c r="BD900" s="392"/>
      <c r="BE900" s="1244"/>
      <c r="BF900" s="249"/>
      <c r="BG900" s="252"/>
      <c r="BH900" s="1469"/>
      <c r="BI900" s="216"/>
      <c r="BJ900" s="1469"/>
      <c r="BK900" s="1459"/>
      <c r="BL900" s="260"/>
      <c r="BM900" s="214"/>
      <c r="BN900" s="293"/>
      <c r="BO900" s="217"/>
      <c r="BP900" s="355"/>
      <c r="BQ900" s="217"/>
      <c r="BR900" s="1193"/>
      <c r="BS900" s="249"/>
      <c r="BT900" s="216"/>
      <c r="BU900" s="1195"/>
      <c r="BV900" s="249"/>
      <c r="BW900" s="216"/>
      <c r="BX900" s="1195"/>
      <c r="BY900" s="249"/>
      <c r="BZ900" s="216"/>
      <c r="CA900" s="1195"/>
      <c r="CB900" s="249"/>
      <c r="CC900" s="216"/>
      <c r="CD900" s="1195"/>
      <c r="CE900" s="249"/>
      <c r="CF900" s="216"/>
      <c r="CG900" s="1195"/>
      <c r="CH900" s="249"/>
      <c r="CI900" s="216"/>
      <c r="CJ900" s="1195"/>
      <c r="CK900" s="249"/>
      <c r="CL900" s="216"/>
      <c r="CM900" s="1194"/>
      <c r="CN900" s="1524"/>
      <c r="CO900" s="217"/>
      <c r="CP900" s="1193"/>
      <c r="CQ900" s="293"/>
      <c r="CR900" s="217"/>
      <c r="CS900" s="305"/>
      <c r="CT900" s="249"/>
      <c r="CU900" s="216"/>
      <c r="CV900" s="1193"/>
      <c r="CW900" s="249"/>
      <c r="CX900" s="216"/>
      <c r="CY900" s="305"/>
      <c r="CZ900" s="249"/>
      <c r="DA900" s="216"/>
      <c r="DB900" s="307"/>
      <c r="DC900" s="328"/>
      <c r="DD900" s="322"/>
      <c r="DE900" s="305"/>
      <c r="DF900" s="249"/>
      <c r="DG900" s="216"/>
      <c r="DH900" s="305"/>
      <c r="DI900" s="249"/>
      <c r="DJ900" s="216"/>
      <c r="DK900" s="309"/>
      <c r="DL900" s="293"/>
      <c r="DM900" s="326"/>
      <c r="DN900" s="1256"/>
      <c r="DO900" s="214"/>
      <c r="DP900" s="1257"/>
      <c r="DQ900" s="1258"/>
      <c r="DR900" s="305"/>
      <c r="DS900" s="249"/>
      <c r="DT900" s="216"/>
      <c r="DU900" s="305"/>
      <c r="DV900" s="2520"/>
      <c r="DW900" s="2521"/>
      <c r="DX900" s="305"/>
      <c r="DY900" s="249"/>
      <c r="DZ900" s="221"/>
      <c r="EA900" s="388"/>
      <c r="EB900" s="249"/>
      <c r="EC900" s="216"/>
      <c r="ED900" s="1461"/>
      <c r="EE900" s="249"/>
      <c r="EF900" s="216"/>
      <c r="EG900" s="355"/>
      <c r="EH900" s="1425"/>
      <c r="EI900" s="1470"/>
      <c r="EJ900" s="249"/>
      <c r="EK900" s="221"/>
      <c r="EL900" s="313"/>
      <c r="EM900" s="249"/>
      <c r="EN900" s="221"/>
      <c r="EO900" s="313"/>
      <c r="EP900" s="249"/>
      <c r="EQ900" s="216"/>
      <c r="ER900" s="313"/>
      <c r="ES900" s="249"/>
      <c r="ET900" s="216"/>
      <c r="EU900" s="313"/>
      <c r="EV900" s="249"/>
      <c r="EW900" s="216"/>
      <c r="EX900" s="2505"/>
      <c r="EY900" s="249"/>
      <c r="EZ900" s="221"/>
      <c r="FA900" s="313"/>
      <c r="FB900" s="249"/>
      <c r="FC900" s="221"/>
      <c r="FD900" s="313"/>
      <c r="FE900" s="249"/>
      <c r="FF900" s="221"/>
      <c r="FG900" s="313"/>
      <c r="FH900" s="249"/>
      <c r="FI900" s="216"/>
      <c r="FJ900" s="1435"/>
      <c r="FK900" s="216"/>
      <c r="FL900" s="1268"/>
      <c r="FM900" s="1655"/>
      <c r="FN900" s="1268"/>
      <c r="FO900" s="1655"/>
      <c r="FP900" s="1268"/>
      <c r="FQ900" s="1656"/>
      <c r="FR900" s="249"/>
      <c r="FS900" s="216"/>
      <c r="FT900" s="1657"/>
      <c r="FU900" s="1658"/>
      <c r="FV900" s="242"/>
      <c r="FW900" s="343"/>
      <c r="FX900" s="222"/>
      <c r="FY900" s="336"/>
      <c r="FZ900" s="223"/>
      <c r="GA900" s="338"/>
      <c r="GB900" s="204"/>
      <c r="GC900" s="339"/>
      <c r="GD900" s="342"/>
      <c r="GE900" s="199"/>
      <c r="GF900" s="199"/>
      <c r="GG900" s="199"/>
      <c r="GH900" s="199"/>
      <c r="GI900" s="199"/>
      <c r="GJ900" s="199"/>
      <c r="GK900" s="199"/>
      <c r="GO900" s="322"/>
      <c r="GP900" s="1190"/>
      <c r="GQ900" s="1190"/>
      <c r="GS900" s="2879"/>
      <c r="GT900" s="2880"/>
      <c r="GU900" s="2881"/>
    </row>
    <row r="901" spans="1:203" ht="12" customHeight="1">
      <c r="A901" s="1252"/>
      <c r="B901" s="200"/>
      <c r="C901" s="486"/>
      <c r="T901" s="1186"/>
      <c r="U901" s="233"/>
      <c r="W901" s="218"/>
      <c r="X901" s="218"/>
      <c r="Y901" s="216"/>
      <c r="Z901" s="216"/>
      <c r="AA901" s="215"/>
      <c r="AB901" s="216"/>
      <c r="AC901" s="216"/>
      <c r="AD901" s="239"/>
      <c r="AE901" s="216"/>
      <c r="AF901" s="216"/>
      <c r="AG901" s="216"/>
      <c r="AH901" s="216"/>
      <c r="AI901" s="216"/>
      <c r="AJ901" s="216"/>
      <c r="AK901" s="239"/>
      <c r="AL901" s="216"/>
      <c r="AM901" s="216"/>
      <c r="AN901" s="216"/>
      <c r="AO901" s="216"/>
      <c r="AP901" s="216"/>
      <c r="AQ901" s="216"/>
      <c r="AR901" s="216"/>
      <c r="AS901" s="216"/>
      <c r="AT901" s="216"/>
      <c r="AU901" s="216"/>
      <c r="AV901" s="217"/>
      <c r="AW901" s="355"/>
      <c r="AX901" s="217"/>
      <c r="AY901" s="305"/>
      <c r="AZ901" s="249"/>
      <c r="BA901" s="221"/>
      <c r="BB901" s="300"/>
      <c r="BC901" s="217"/>
      <c r="BD901" s="392"/>
      <c r="BE901" s="1244"/>
      <c r="BF901" s="249"/>
      <c r="BG901" s="252"/>
      <c r="BH901" s="1469"/>
      <c r="BI901" s="216"/>
      <c r="BJ901" s="1469"/>
      <c r="BK901" s="1459"/>
      <c r="BL901" s="260"/>
      <c r="BM901" s="214"/>
      <c r="BN901" s="293"/>
      <c r="BO901" s="217"/>
      <c r="BP901" s="355"/>
      <c r="BQ901" s="217"/>
      <c r="BR901" s="1193"/>
      <c r="BS901" s="249"/>
      <c r="BT901" s="216"/>
      <c r="BU901" s="1195"/>
      <c r="BV901" s="249"/>
      <c r="BW901" s="216"/>
      <c r="BX901" s="1195"/>
      <c r="BY901" s="249"/>
      <c r="BZ901" s="216"/>
      <c r="CA901" s="1195"/>
      <c r="CB901" s="249"/>
      <c r="CC901" s="216"/>
      <c r="CD901" s="1195"/>
      <c r="CE901" s="249"/>
      <c r="CF901" s="216"/>
      <c r="CG901" s="1195"/>
      <c r="CH901" s="249"/>
      <c r="CI901" s="216"/>
      <c r="CJ901" s="1195"/>
      <c r="CK901" s="249"/>
      <c r="CL901" s="216"/>
      <c r="CM901" s="1194"/>
      <c r="CN901" s="1524"/>
      <c r="CO901" s="217"/>
      <c r="CP901" s="1193"/>
      <c r="CQ901" s="293"/>
      <c r="CR901" s="217"/>
      <c r="CS901" s="305"/>
      <c r="CT901" s="249"/>
      <c r="CU901" s="216"/>
      <c r="CV901" s="1193"/>
      <c r="CW901" s="249"/>
      <c r="CX901" s="216"/>
      <c r="CY901" s="305"/>
      <c r="CZ901" s="249"/>
      <c r="DA901" s="216"/>
      <c r="DB901" s="307"/>
      <c r="DC901" s="328"/>
      <c r="DD901" s="322"/>
      <c r="DE901" s="305"/>
      <c r="DF901" s="249"/>
      <c r="DG901" s="216"/>
      <c r="DH901" s="305"/>
      <c r="DI901" s="249"/>
      <c r="DJ901" s="216"/>
      <c r="DK901" s="309"/>
      <c r="DL901" s="293"/>
      <c r="DM901" s="326"/>
      <c r="DN901" s="1256"/>
      <c r="DO901" s="214"/>
      <c r="DP901" s="1257"/>
      <c r="DQ901" s="1258"/>
      <c r="DR901" s="305"/>
      <c r="DS901" s="249"/>
      <c r="DT901" s="216"/>
      <c r="DU901" s="305"/>
      <c r="DV901" s="2520"/>
      <c r="DW901" s="2521"/>
      <c r="DX901" s="305"/>
      <c r="DY901" s="249"/>
      <c r="DZ901" s="221"/>
      <c r="EA901" s="388"/>
      <c r="EB901" s="249"/>
      <c r="EC901" s="216"/>
      <c r="ED901" s="1461"/>
      <c r="EE901" s="249"/>
      <c r="EF901" s="216"/>
      <c r="EG901" s="355"/>
      <c r="EH901" s="1425"/>
      <c r="EI901" s="1470"/>
      <c r="EJ901" s="249"/>
      <c r="EK901" s="221"/>
      <c r="EL901" s="313"/>
      <c r="EM901" s="249"/>
      <c r="EN901" s="221"/>
      <c r="EO901" s="313"/>
      <c r="EP901" s="249"/>
      <c r="EQ901" s="216"/>
      <c r="ER901" s="313"/>
      <c r="ES901" s="249"/>
      <c r="ET901" s="216"/>
      <c r="EU901" s="313"/>
      <c r="EV901" s="249"/>
      <c r="EW901" s="216"/>
      <c r="EX901" s="2505"/>
      <c r="EY901" s="249"/>
      <c r="EZ901" s="221"/>
      <c r="FA901" s="313"/>
      <c r="FB901" s="249"/>
      <c r="FC901" s="221"/>
      <c r="FD901" s="313"/>
      <c r="FE901" s="249"/>
      <c r="FF901" s="221"/>
      <c r="FG901" s="313"/>
      <c r="FH901" s="249"/>
      <c r="FI901" s="216"/>
      <c r="FJ901" s="1435"/>
      <c r="FK901" s="216"/>
      <c r="FL901" s="1268"/>
      <c r="FM901" s="1655"/>
      <c r="FN901" s="1268"/>
      <c r="FO901" s="1655"/>
      <c r="FP901" s="1268"/>
      <c r="FQ901" s="1656"/>
      <c r="FR901" s="249"/>
      <c r="FS901" s="216"/>
      <c r="FT901" s="1657"/>
      <c r="FU901" s="1658"/>
      <c r="FV901" s="242"/>
      <c r="FW901" s="343"/>
      <c r="FX901" s="222"/>
      <c r="FY901" s="336"/>
      <c r="FZ901" s="223"/>
      <c r="GA901" s="338"/>
      <c r="GB901" s="204"/>
      <c r="GC901" s="339"/>
      <c r="GD901" s="342"/>
      <c r="GE901" s="199"/>
      <c r="GF901" s="199"/>
      <c r="GG901" s="199"/>
      <c r="GH901" s="199"/>
      <c r="GI901" s="199"/>
      <c r="GJ901" s="199"/>
      <c r="GK901" s="199"/>
      <c r="GO901" s="322"/>
      <c r="GP901" s="1190"/>
      <c r="GQ901" s="1190"/>
      <c r="GS901" s="2879"/>
      <c r="GT901" s="2880"/>
      <c r="GU901" s="2881"/>
    </row>
    <row r="902" spans="1:203" ht="12" customHeight="1">
      <c r="A902" s="1252"/>
      <c r="B902" s="200"/>
      <c r="C902" s="486"/>
      <c r="T902" s="1186"/>
      <c r="U902" s="233"/>
      <c r="W902" s="218"/>
      <c r="X902" s="218"/>
      <c r="Y902" s="216"/>
      <c r="Z902" s="216"/>
      <c r="AA902" s="215"/>
      <c r="AB902" s="216"/>
      <c r="AC902" s="216"/>
      <c r="AD902" s="239"/>
      <c r="AE902" s="216"/>
      <c r="AF902" s="216"/>
      <c r="AG902" s="216"/>
      <c r="AH902" s="216"/>
      <c r="AI902" s="216"/>
      <c r="AJ902" s="216"/>
      <c r="AK902" s="239"/>
      <c r="AL902" s="216"/>
      <c r="AM902" s="216"/>
      <c r="AN902" s="216"/>
      <c r="AO902" s="216"/>
      <c r="AP902" s="216"/>
      <c r="AQ902" s="216"/>
      <c r="AR902" s="216"/>
      <c r="AS902" s="216"/>
      <c r="AT902" s="216"/>
      <c r="AU902" s="216"/>
      <c r="AV902" s="217"/>
      <c r="AW902" s="355"/>
      <c r="AX902" s="217"/>
      <c r="AY902" s="305"/>
      <c r="AZ902" s="249"/>
      <c r="BA902" s="221"/>
      <c r="BB902" s="300"/>
      <c r="BC902" s="217"/>
      <c r="BD902" s="392"/>
      <c r="BE902" s="1244"/>
      <c r="BF902" s="249"/>
      <c r="BG902" s="252"/>
      <c r="BH902" s="1469"/>
      <c r="BI902" s="216"/>
      <c r="BJ902" s="1469"/>
      <c r="BK902" s="1459"/>
      <c r="BL902" s="260"/>
      <c r="BM902" s="214"/>
      <c r="BN902" s="293"/>
      <c r="BO902" s="217"/>
      <c r="BP902" s="355"/>
      <c r="BQ902" s="217"/>
      <c r="BR902" s="1193"/>
      <c r="BS902" s="249"/>
      <c r="BT902" s="216"/>
      <c r="BU902" s="1195"/>
      <c r="BV902" s="249"/>
      <c r="BW902" s="216"/>
      <c r="BX902" s="1195"/>
      <c r="BY902" s="249"/>
      <c r="BZ902" s="216"/>
      <c r="CA902" s="1195"/>
      <c r="CB902" s="249"/>
      <c r="CC902" s="216"/>
      <c r="CD902" s="1195"/>
      <c r="CE902" s="249"/>
      <c r="CF902" s="216"/>
      <c r="CG902" s="1195"/>
      <c r="CH902" s="249"/>
      <c r="CI902" s="216"/>
      <c r="CJ902" s="1195"/>
      <c r="CK902" s="249"/>
      <c r="CL902" s="216"/>
      <c r="CM902" s="1194"/>
      <c r="CN902" s="1524"/>
      <c r="CO902" s="217"/>
      <c r="CP902" s="1193"/>
      <c r="CQ902" s="293"/>
      <c r="CR902" s="217"/>
      <c r="CS902" s="305"/>
      <c r="CT902" s="249"/>
      <c r="CU902" s="216"/>
      <c r="CV902" s="1193"/>
      <c r="CW902" s="249"/>
      <c r="CX902" s="216"/>
      <c r="CY902" s="305"/>
      <c r="CZ902" s="249"/>
      <c r="DA902" s="216"/>
      <c r="DB902" s="307"/>
      <c r="DC902" s="328"/>
      <c r="DD902" s="322"/>
      <c r="DE902" s="305"/>
      <c r="DF902" s="249"/>
      <c r="DG902" s="216"/>
      <c r="DH902" s="305"/>
      <c r="DI902" s="249"/>
      <c r="DJ902" s="216"/>
      <c r="DK902" s="309"/>
      <c r="DL902" s="293"/>
      <c r="DM902" s="326"/>
      <c r="DN902" s="1256"/>
      <c r="DO902" s="214"/>
      <c r="DP902" s="1257"/>
      <c r="DQ902" s="1258"/>
      <c r="DR902" s="305"/>
      <c r="DS902" s="249"/>
      <c r="DT902" s="216"/>
      <c r="DU902" s="305"/>
      <c r="DV902" s="2520"/>
      <c r="DW902" s="2521"/>
      <c r="DX902" s="305"/>
      <c r="DY902" s="249"/>
      <c r="DZ902" s="221"/>
      <c r="EA902" s="388"/>
      <c r="EB902" s="249"/>
      <c r="EC902" s="216"/>
      <c r="ED902" s="1461"/>
      <c r="EE902" s="249"/>
      <c r="EF902" s="216"/>
      <c r="EG902" s="355"/>
      <c r="EH902" s="1425"/>
      <c r="EI902" s="1470"/>
      <c r="EJ902" s="249"/>
      <c r="EK902" s="221"/>
      <c r="EL902" s="313"/>
      <c r="EM902" s="249"/>
      <c r="EN902" s="221"/>
      <c r="EO902" s="313"/>
      <c r="EP902" s="249"/>
      <c r="EQ902" s="216"/>
      <c r="ER902" s="313"/>
      <c r="ES902" s="249"/>
      <c r="ET902" s="216"/>
      <c r="EU902" s="313"/>
      <c r="EV902" s="249"/>
      <c r="EW902" s="216"/>
      <c r="EX902" s="2505"/>
      <c r="EY902" s="249"/>
      <c r="EZ902" s="221"/>
      <c r="FA902" s="313"/>
      <c r="FB902" s="249"/>
      <c r="FC902" s="221"/>
      <c r="FD902" s="313"/>
      <c r="FE902" s="249"/>
      <c r="FF902" s="221"/>
      <c r="FG902" s="313"/>
      <c r="FH902" s="249"/>
      <c r="FI902" s="216"/>
      <c r="FJ902" s="1435"/>
      <c r="FK902" s="216"/>
      <c r="FL902" s="1268"/>
      <c r="FM902" s="1655"/>
      <c r="FN902" s="1268"/>
      <c r="FO902" s="1655"/>
      <c r="FP902" s="1268"/>
      <c r="FQ902" s="1656"/>
      <c r="FR902" s="249"/>
      <c r="FS902" s="216"/>
      <c r="FT902" s="1657"/>
      <c r="FU902" s="1658"/>
      <c r="FV902" s="242"/>
      <c r="FW902" s="343"/>
      <c r="FX902" s="222"/>
      <c r="FY902" s="336"/>
      <c r="FZ902" s="223"/>
      <c r="GA902" s="338"/>
      <c r="GB902" s="204"/>
      <c r="GC902" s="339"/>
      <c r="GD902" s="342"/>
      <c r="GE902" s="199"/>
      <c r="GF902" s="199"/>
      <c r="GG902" s="199"/>
      <c r="GH902" s="199"/>
      <c r="GI902" s="199"/>
      <c r="GJ902" s="199"/>
      <c r="GK902" s="199"/>
      <c r="GO902" s="322"/>
      <c r="GP902" s="1190"/>
      <c r="GQ902" s="1190"/>
      <c r="GS902" s="2879"/>
      <c r="GT902" s="2880"/>
      <c r="GU902" s="2881"/>
    </row>
    <row r="903" spans="1:203" ht="12" customHeight="1">
      <c r="A903" s="1252"/>
      <c r="B903" s="200"/>
      <c r="C903" s="486"/>
      <c r="T903" s="1186"/>
      <c r="U903" s="233"/>
      <c r="W903" s="218"/>
      <c r="X903" s="218"/>
      <c r="Y903" s="216"/>
      <c r="Z903" s="216"/>
      <c r="AA903" s="215"/>
      <c r="AB903" s="216"/>
      <c r="AC903" s="216"/>
      <c r="AD903" s="239"/>
      <c r="AE903" s="216"/>
      <c r="AF903" s="216"/>
      <c r="AG903" s="216"/>
      <c r="AH903" s="216"/>
      <c r="AI903" s="216"/>
      <c r="AJ903" s="216"/>
      <c r="AK903" s="239"/>
      <c r="AL903" s="216"/>
      <c r="AM903" s="216"/>
      <c r="AN903" s="216"/>
      <c r="AO903" s="216"/>
      <c r="AP903" s="216"/>
      <c r="AQ903" s="216"/>
      <c r="AR903" s="216"/>
      <c r="AS903" s="216"/>
      <c r="AT903" s="216"/>
      <c r="AU903" s="216"/>
      <c r="AV903" s="217"/>
      <c r="AW903" s="355"/>
      <c r="AX903" s="217"/>
      <c r="AY903" s="305"/>
      <c r="AZ903" s="249"/>
      <c r="BA903" s="221"/>
      <c r="BB903" s="300"/>
      <c r="BC903" s="217"/>
      <c r="BD903" s="392"/>
      <c r="BE903" s="1244"/>
      <c r="BF903" s="249"/>
      <c r="BG903" s="252"/>
      <c r="BH903" s="1469"/>
      <c r="BI903" s="216"/>
      <c r="BJ903" s="1469"/>
      <c r="BK903" s="1459"/>
      <c r="BL903" s="260"/>
      <c r="BM903" s="214"/>
      <c r="BN903" s="293"/>
      <c r="BO903" s="217"/>
      <c r="BP903" s="355"/>
      <c r="BQ903" s="217"/>
      <c r="BR903" s="1193"/>
      <c r="BS903" s="249"/>
      <c r="BT903" s="216"/>
      <c r="BU903" s="1195"/>
      <c r="BV903" s="249"/>
      <c r="BW903" s="216"/>
      <c r="BX903" s="1195"/>
      <c r="BY903" s="249"/>
      <c r="BZ903" s="216"/>
      <c r="CA903" s="1195"/>
      <c r="CB903" s="249"/>
      <c r="CC903" s="216"/>
      <c r="CD903" s="1195"/>
      <c r="CE903" s="249"/>
      <c r="CF903" s="216"/>
      <c r="CG903" s="1195"/>
      <c r="CH903" s="249"/>
      <c r="CI903" s="216"/>
      <c r="CJ903" s="1195"/>
      <c r="CK903" s="249"/>
      <c r="CL903" s="216"/>
      <c r="CM903" s="1194"/>
      <c r="CN903" s="1524"/>
      <c r="CO903" s="217"/>
      <c r="CP903" s="1193"/>
      <c r="CQ903" s="293"/>
      <c r="CR903" s="217"/>
      <c r="CS903" s="305"/>
      <c r="CT903" s="249"/>
      <c r="CU903" s="216"/>
      <c r="CV903" s="1193"/>
      <c r="CW903" s="249"/>
      <c r="CX903" s="216"/>
      <c r="CY903" s="305"/>
      <c r="CZ903" s="249"/>
      <c r="DA903" s="216"/>
      <c r="DB903" s="307"/>
      <c r="DC903" s="328"/>
      <c r="DD903" s="322"/>
      <c r="DE903" s="305"/>
      <c r="DF903" s="249"/>
      <c r="DG903" s="216"/>
      <c r="DH903" s="305"/>
      <c r="DI903" s="249"/>
      <c r="DJ903" s="216"/>
      <c r="DK903" s="309"/>
      <c r="DL903" s="293"/>
      <c r="DM903" s="326"/>
      <c r="DN903" s="1256"/>
      <c r="DO903" s="214"/>
      <c r="DP903" s="1257"/>
      <c r="DQ903" s="1258"/>
      <c r="DR903" s="305"/>
      <c r="DS903" s="249"/>
      <c r="DT903" s="216"/>
      <c r="DU903" s="305"/>
      <c r="DV903" s="2520"/>
      <c r="DW903" s="2521"/>
      <c r="DX903" s="305"/>
      <c r="DY903" s="249"/>
      <c r="DZ903" s="221"/>
      <c r="EA903" s="388"/>
      <c r="EB903" s="249"/>
      <c r="EC903" s="216"/>
      <c r="ED903" s="1461"/>
      <c r="EE903" s="249"/>
      <c r="EF903" s="216"/>
      <c r="EG903" s="355"/>
      <c r="EH903" s="1425"/>
      <c r="EI903" s="1470"/>
      <c r="EJ903" s="249"/>
      <c r="EK903" s="221"/>
      <c r="EL903" s="313"/>
      <c r="EM903" s="249"/>
      <c r="EN903" s="221"/>
      <c r="EO903" s="313"/>
      <c r="EP903" s="249"/>
      <c r="EQ903" s="216"/>
      <c r="ER903" s="313"/>
      <c r="ES903" s="249"/>
      <c r="ET903" s="216"/>
      <c r="EU903" s="313"/>
      <c r="EV903" s="249"/>
      <c r="EW903" s="216"/>
      <c r="EX903" s="2505"/>
      <c r="EY903" s="249"/>
      <c r="EZ903" s="221"/>
      <c r="FA903" s="313"/>
      <c r="FB903" s="249"/>
      <c r="FC903" s="221"/>
      <c r="FD903" s="313"/>
      <c r="FE903" s="249"/>
      <c r="FF903" s="221"/>
      <c r="FG903" s="313"/>
      <c r="FH903" s="249"/>
      <c r="FI903" s="216"/>
      <c r="FJ903" s="1435"/>
      <c r="FK903" s="216"/>
      <c r="FL903" s="1268"/>
      <c r="FM903" s="1655"/>
      <c r="FN903" s="1268"/>
      <c r="FO903" s="1655"/>
      <c r="FP903" s="1268"/>
      <c r="FQ903" s="1656"/>
      <c r="FR903" s="249"/>
      <c r="FS903" s="216"/>
      <c r="FT903" s="1657"/>
      <c r="FU903" s="1658"/>
      <c r="FV903" s="242"/>
      <c r="FW903" s="343"/>
      <c r="FX903" s="222"/>
      <c r="FY903" s="336"/>
      <c r="FZ903" s="223"/>
      <c r="GA903" s="338"/>
      <c r="GB903" s="204"/>
      <c r="GC903" s="339"/>
      <c r="GD903" s="342"/>
      <c r="GE903" s="199"/>
      <c r="GF903" s="199"/>
      <c r="GG903" s="199"/>
      <c r="GH903" s="199"/>
      <c r="GI903" s="199"/>
      <c r="GJ903" s="199"/>
      <c r="GK903" s="199"/>
      <c r="GO903" s="322"/>
      <c r="GP903" s="1190"/>
      <c r="GQ903" s="1190"/>
      <c r="GS903" s="2879"/>
      <c r="GT903" s="2880"/>
      <c r="GU903" s="2881"/>
    </row>
    <row r="904" spans="1:203" ht="12" customHeight="1">
      <c r="A904" s="1252"/>
      <c r="B904" s="200"/>
      <c r="C904" s="486"/>
      <c r="T904" s="1186"/>
      <c r="U904" s="233"/>
      <c r="W904" s="218"/>
      <c r="X904" s="218"/>
      <c r="Y904" s="216"/>
      <c r="Z904" s="216"/>
      <c r="AA904" s="215"/>
      <c r="AB904" s="216"/>
      <c r="AC904" s="216"/>
      <c r="AD904" s="239"/>
      <c r="AE904" s="216"/>
      <c r="AF904" s="216"/>
      <c r="AG904" s="216"/>
      <c r="AH904" s="216"/>
      <c r="AI904" s="216"/>
      <c r="AJ904" s="216"/>
      <c r="AK904" s="239"/>
      <c r="AL904" s="216"/>
      <c r="AM904" s="216"/>
      <c r="AN904" s="216"/>
      <c r="AO904" s="216"/>
      <c r="AP904" s="216"/>
      <c r="AQ904" s="216"/>
      <c r="AR904" s="216"/>
      <c r="AS904" s="216"/>
      <c r="AT904" s="216"/>
      <c r="AU904" s="216"/>
      <c r="AV904" s="217"/>
      <c r="AW904" s="355"/>
      <c r="AX904" s="217"/>
      <c r="AY904" s="305"/>
      <c r="AZ904" s="249"/>
      <c r="BA904" s="221"/>
      <c r="BB904" s="300"/>
      <c r="BC904" s="217"/>
      <c r="BD904" s="392"/>
      <c r="BE904" s="1244"/>
      <c r="BF904" s="249"/>
      <c r="BG904" s="252"/>
      <c r="BH904" s="1469"/>
      <c r="BI904" s="216"/>
      <c r="BJ904" s="1469"/>
      <c r="BK904" s="1459"/>
      <c r="BL904" s="260"/>
      <c r="BM904" s="214"/>
      <c r="BN904" s="293"/>
      <c r="BO904" s="217"/>
      <c r="BP904" s="355"/>
      <c r="BQ904" s="217"/>
      <c r="BR904" s="1193"/>
      <c r="BS904" s="249"/>
      <c r="BT904" s="216"/>
      <c r="BU904" s="1195"/>
      <c r="BV904" s="249"/>
      <c r="BW904" s="216"/>
      <c r="BX904" s="1195"/>
      <c r="BY904" s="249"/>
      <c r="BZ904" s="216"/>
      <c r="CA904" s="1195"/>
      <c r="CB904" s="249"/>
      <c r="CC904" s="216"/>
      <c r="CD904" s="1195"/>
      <c r="CE904" s="249"/>
      <c r="CF904" s="216"/>
      <c r="CG904" s="1195"/>
      <c r="CH904" s="249"/>
      <c r="CI904" s="216"/>
      <c r="CJ904" s="1195"/>
      <c r="CK904" s="249"/>
      <c r="CL904" s="216"/>
      <c r="CM904" s="1194"/>
      <c r="CN904" s="1524"/>
      <c r="CO904" s="217"/>
      <c r="CP904" s="1193"/>
      <c r="CQ904" s="293"/>
      <c r="CR904" s="217"/>
      <c r="CS904" s="305"/>
      <c r="CT904" s="249"/>
      <c r="CU904" s="216"/>
      <c r="CV904" s="1193"/>
      <c r="CW904" s="249"/>
      <c r="CX904" s="216"/>
      <c r="CY904" s="305"/>
      <c r="CZ904" s="249"/>
      <c r="DA904" s="216"/>
      <c r="DB904" s="307"/>
      <c r="DC904" s="328"/>
      <c r="DD904" s="322"/>
      <c r="DE904" s="305"/>
      <c r="DF904" s="249"/>
      <c r="DG904" s="216"/>
      <c r="DH904" s="305"/>
      <c r="DI904" s="249"/>
      <c r="DJ904" s="216"/>
      <c r="DK904" s="309"/>
      <c r="DL904" s="293"/>
      <c r="DM904" s="326"/>
      <c r="DN904" s="1256"/>
      <c r="DO904" s="214"/>
      <c r="DP904" s="1257"/>
      <c r="DQ904" s="1258"/>
      <c r="DR904" s="305"/>
      <c r="DS904" s="249"/>
      <c r="DT904" s="216"/>
      <c r="DU904" s="305"/>
      <c r="DV904" s="2520"/>
      <c r="DW904" s="2521"/>
      <c r="DX904" s="305"/>
      <c r="DY904" s="249"/>
      <c r="DZ904" s="221"/>
      <c r="EA904" s="388"/>
      <c r="EB904" s="249"/>
      <c r="EC904" s="216"/>
      <c r="ED904" s="1461"/>
      <c r="EE904" s="249"/>
      <c r="EF904" s="216"/>
      <c r="EG904" s="355"/>
      <c r="EH904" s="1425"/>
      <c r="EI904" s="1470"/>
      <c r="EJ904" s="249"/>
      <c r="EK904" s="221"/>
      <c r="EL904" s="313"/>
      <c r="EM904" s="249"/>
      <c r="EN904" s="221"/>
      <c r="EO904" s="313"/>
      <c r="EP904" s="249"/>
      <c r="EQ904" s="216"/>
      <c r="ER904" s="313"/>
      <c r="ES904" s="249"/>
      <c r="ET904" s="216"/>
      <c r="EU904" s="313"/>
      <c r="EV904" s="249"/>
      <c r="EW904" s="216"/>
      <c r="EX904" s="2505"/>
      <c r="EY904" s="249"/>
      <c r="EZ904" s="221"/>
      <c r="FA904" s="313"/>
      <c r="FB904" s="249"/>
      <c r="FC904" s="221"/>
      <c r="FD904" s="313"/>
      <c r="FE904" s="249"/>
      <c r="FF904" s="221"/>
      <c r="FG904" s="313"/>
      <c r="FH904" s="249"/>
      <c r="FI904" s="216"/>
      <c r="FJ904" s="1435"/>
      <c r="FK904" s="216"/>
      <c r="FL904" s="1268"/>
      <c r="FM904" s="1655"/>
      <c r="FN904" s="1268"/>
      <c r="FO904" s="1655"/>
      <c r="FP904" s="1268"/>
      <c r="FQ904" s="1656"/>
      <c r="FR904" s="249"/>
      <c r="FS904" s="216"/>
      <c r="FT904" s="1657"/>
      <c r="FU904" s="1658"/>
      <c r="FV904" s="242"/>
      <c r="FW904" s="343"/>
      <c r="FX904" s="222"/>
      <c r="FY904" s="336"/>
      <c r="FZ904" s="223"/>
      <c r="GA904" s="338"/>
      <c r="GB904" s="204"/>
      <c r="GC904" s="339"/>
      <c r="GD904" s="342"/>
      <c r="GE904" s="199"/>
      <c r="GF904" s="199"/>
      <c r="GG904" s="199"/>
      <c r="GH904" s="199"/>
      <c r="GI904" s="199"/>
      <c r="GJ904" s="199"/>
      <c r="GK904" s="199"/>
      <c r="GO904" s="322"/>
      <c r="GP904" s="1190"/>
      <c r="GQ904" s="1190"/>
      <c r="GS904" s="2879"/>
      <c r="GT904" s="2880"/>
      <c r="GU904" s="2881"/>
    </row>
    <row r="905" spans="1:203" ht="12" customHeight="1">
      <c r="A905" s="1252"/>
      <c r="B905" s="200"/>
      <c r="C905" s="486"/>
      <c r="T905" s="1186"/>
      <c r="U905" s="233"/>
      <c r="W905" s="218"/>
      <c r="X905" s="218"/>
      <c r="Y905" s="216"/>
      <c r="Z905" s="216"/>
      <c r="AA905" s="215"/>
      <c r="AB905" s="216"/>
      <c r="AC905" s="216"/>
      <c r="AD905" s="239"/>
      <c r="AE905" s="216"/>
      <c r="AF905" s="216"/>
      <c r="AG905" s="216"/>
      <c r="AH905" s="216"/>
      <c r="AI905" s="216"/>
      <c r="AJ905" s="216"/>
      <c r="AK905" s="239"/>
      <c r="AL905" s="216"/>
      <c r="AM905" s="216"/>
      <c r="AN905" s="216"/>
      <c r="AO905" s="216"/>
      <c r="AP905" s="216"/>
      <c r="AQ905" s="216"/>
      <c r="AR905" s="216"/>
      <c r="AS905" s="216"/>
      <c r="AT905" s="216"/>
      <c r="AU905" s="216"/>
      <c r="AV905" s="217"/>
      <c r="AW905" s="355"/>
      <c r="AX905" s="217"/>
      <c r="AY905" s="305"/>
      <c r="AZ905" s="249"/>
      <c r="BA905" s="221"/>
      <c r="BB905" s="300"/>
      <c r="BC905" s="217"/>
      <c r="BD905" s="392"/>
      <c r="BE905" s="1244"/>
      <c r="BF905" s="249"/>
      <c r="BG905" s="252"/>
      <c r="BH905" s="1469"/>
      <c r="BI905" s="216"/>
      <c r="BJ905" s="1469"/>
      <c r="BK905" s="1459"/>
      <c r="BL905" s="260"/>
      <c r="BM905" s="214"/>
      <c r="BN905" s="293"/>
      <c r="BO905" s="217"/>
      <c r="BP905" s="355"/>
      <c r="BQ905" s="217"/>
      <c r="BR905" s="1193"/>
      <c r="BS905" s="249"/>
      <c r="BT905" s="216"/>
      <c r="BU905" s="1195"/>
      <c r="BV905" s="249"/>
      <c r="BW905" s="216"/>
      <c r="BX905" s="1195"/>
      <c r="BY905" s="249"/>
      <c r="BZ905" s="216"/>
      <c r="CA905" s="1195"/>
      <c r="CB905" s="249"/>
      <c r="CC905" s="216"/>
      <c r="CD905" s="1195"/>
      <c r="CE905" s="249"/>
      <c r="CF905" s="216"/>
      <c r="CG905" s="1195"/>
      <c r="CH905" s="249"/>
      <c r="CI905" s="216"/>
      <c r="CJ905" s="1195"/>
      <c r="CK905" s="249"/>
      <c r="CL905" s="216"/>
      <c r="CM905" s="1194"/>
      <c r="CN905" s="1524"/>
      <c r="CO905" s="217"/>
      <c r="CP905" s="1193"/>
      <c r="CQ905" s="293"/>
      <c r="CR905" s="217"/>
      <c r="CS905" s="305"/>
      <c r="CT905" s="249"/>
      <c r="CU905" s="216"/>
      <c r="CV905" s="1193"/>
      <c r="CW905" s="249"/>
      <c r="CX905" s="216"/>
      <c r="CY905" s="305"/>
      <c r="CZ905" s="249"/>
      <c r="DA905" s="216"/>
      <c r="DB905" s="307"/>
      <c r="DC905" s="328"/>
      <c r="DD905" s="322"/>
      <c r="DE905" s="305"/>
      <c r="DF905" s="249"/>
      <c r="DG905" s="216"/>
      <c r="DH905" s="305"/>
      <c r="DI905" s="249"/>
      <c r="DJ905" s="216"/>
      <c r="DK905" s="309"/>
      <c r="DL905" s="293"/>
      <c r="DM905" s="326"/>
      <c r="DN905" s="1256"/>
      <c r="DO905" s="214"/>
      <c r="DP905" s="1257"/>
      <c r="DQ905" s="1258"/>
      <c r="DR905" s="305"/>
      <c r="DS905" s="249"/>
      <c r="DT905" s="216"/>
      <c r="DU905" s="305"/>
      <c r="DV905" s="2520"/>
      <c r="DW905" s="2521"/>
      <c r="DX905" s="305"/>
      <c r="DY905" s="249"/>
      <c r="DZ905" s="221"/>
      <c r="EA905" s="388"/>
      <c r="EB905" s="249"/>
      <c r="EC905" s="216"/>
      <c r="ED905" s="1461"/>
      <c r="EE905" s="249"/>
      <c r="EF905" s="216"/>
      <c r="EG905" s="355"/>
      <c r="EH905" s="1425"/>
      <c r="EI905" s="1470"/>
      <c r="EJ905" s="249"/>
      <c r="EK905" s="221"/>
      <c r="EL905" s="313"/>
      <c r="EM905" s="249"/>
      <c r="EN905" s="221"/>
      <c r="EO905" s="313"/>
      <c r="EP905" s="249"/>
      <c r="EQ905" s="216"/>
      <c r="ER905" s="313"/>
      <c r="ES905" s="249"/>
      <c r="ET905" s="216"/>
      <c r="EU905" s="313"/>
      <c r="EV905" s="249"/>
      <c r="EW905" s="216"/>
      <c r="EX905" s="2505"/>
      <c r="EY905" s="249"/>
      <c r="EZ905" s="221"/>
      <c r="FA905" s="313"/>
      <c r="FB905" s="249"/>
      <c r="FC905" s="221"/>
      <c r="FD905" s="313"/>
      <c r="FE905" s="249"/>
      <c r="FF905" s="221"/>
      <c r="FG905" s="313"/>
      <c r="FH905" s="249"/>
      <c r="FI905" s="216"/>
      <c r="FJ905" s="1435"/>
      <c r="FK905" s="216"/>
      <c r="FL905" s="1268"/>
      <c r="FM905" s="1655"/>
      <c r="FN905" s="1268"/>
      <c r="FO905" s="1655"/>
      <c r="FP905" s="1268"/>
      <c r="FQ905" s="1656"/>
      <c r="FR905" s="249"/>
      <c r="FS905" s="216"/>
      <c r="FT905" s="1657"/>
      <c r="FU905" s="1658"/>
      <c r="FV905" s="242"/>
      <c r="FW905" s="343"/>
      <c r="FX905" s="222"/>
      <c r="FY905" s="336"/>
      <c r="FZ905" s="223"/>
      <c r="GA905" s="338"/>
      <c r="GB905" s="204"/>
      <c r="GC905" s="339"/>
      <c r="GD905" s="342"/>
      <c r="GE905" s="199"/>
      <c r="GF905" s="199"/>
      <c r="GG905" s="199"/>
      <c r="GH905" s="199"/>
      <c r="GI905" s="199"/>
      <c r="GJ905" s="199"/>
      <c r="GK905" s="199"/>
      <c r="GO905" s="322"/>
      <c r="GP905" s="1190"/>
      <c r="GQ905" s="1190"/>
      <c r="GS905" s="2879"/>
      <c r="GT905" s="2880"/>
      <c r="GU905" s="2881"/>
    </row>
    <row r="906" spans="1:203" ht="12" customHeight="1">
      <c r="A906" s="1252"/>
      <c r="B906" s="200"/>
      <c r="C906" s="486"/>
      <c r="T906" s="1186"/>
      <c r="U906" s="233"/>
      <c r="W906" s="218"/>
      <c r="X906" s="218"/>
      <c r="Y906" s="216"/>
      <c r="Z906" s="216"/>
      <c r="AA906" s="215"/>
      <c r="AB906" s="216"/>
      <c r="AC906" s="216"/>
      <c r="AD906" s="239"/>
      <c r="AE906" s="216"/>
      <c r="AF906" s="216"/>
      <c r="AG906" s="216"/>
      <c r="AH906" s="216"/>
      <c r="AI906" s="216"/>
      <c r="AJ906" s="216"/>
      <c r="AK906" s="239"/>
      <c r="AL906" s="216"/>
      <c r="AM906" s="216"/>
      <c r="AN906" s="216"/>
      <c r="AO906" s="216"/>
      <c r="AP906" s="216"/>
      <c r="AQ906" s="216"/>
      <c r="AR906" s="216"/>
      <c r="AS906" s="216"/>
      <c r="AT906" s="216"/>
      <c r="AU906" s="216"/>
      <c r="AV906" s="217"/>
      <c r="AW906" s="355"/>
      <c r="AX906" s="217"/>
      <c r="AY906" s="305"/>
      <c r="AZ906" s="249"/>
      <c r="BA906" s="221"/>
      <c r="BB906" s="300"/>
      <c r="BC906" s="217"/>
      <c r="BD906" s="392"/>
      <c r="BE906" s="1244"/>
      <c r="BF906" s="249"/>
      <c r="BG906" s="252"/>
      <c r="BH906" s="1469"/>
      <c r="BI906" s="216"/>
      <c r="BJ906" s="1469"/>
      <c r="BK906" s="1459"/>
      <c r="BL906" s="260"/>
      <c r="BM906" s="214"/>
      <c r="BN906" s="293"/>
      <c r="BO906" s="217"/>
      <c r="BP906" s="355"/>
      <c r="BQ906" s="217"/>
      <c r="BR906" s="1193"/>
      <c r="BS906" s="249"/>
      <c r="BT906" s="216"/>
      <c r="BU906" s="1195"/>
      <c r="BV906" s="249"/>
      <c r="BW906" s="216"/>
      <c r="BX906" s="1195"/>
      <c r="BY906" s="249"/>
      <c r="BZ906" s="216"/>
      <c r="CA906" s="1195"/>
      <c r="CB906" s="249"/>
      <c r="CC906" s="216"/>
      <c r="CD906" s="1195"/>
      <c r="CE906" s="249"/>
      <c r="CF906" s="216"/>
      <c r="CG906" s="1195"/>
      <c r="CH906" s="249"/>
      <c r="CI906" s="216"/>
      <c r="CJ906" s="1195"/>
      <c r="CK906" s="249"/>
      <c r="CL906" s="216"/>
      <c r="CM906" s="1194"/>
      <c r="CN906" s="1524"/>
      <c r="CO906" s="217"/>
      <c r="CP906" s="1193"/>
      <c r="CQ906" s="293"/>
      <c r="CR906" s="217"/>
      <c r="CS906" s="305"/>
      <c r="CT906" s="249"/>
      <c r="CU906" s="216"/>
      <c r="CV906" s="1193"/>
      <c r="CW906" s="249"/>
      <c r="CX906" s="216"/>
      <c r="CY906" s="305"/>
      <c r="CZ906" s="249"/>
      <c r="DA906" s="216"/>
      <c r="DB906" s="307"/>
      <c r="DC906" s="328"/>
      <c r="DD906" s="322"/>
      <c r="DE906" s="305"/>
      <c r="DF906" s="249"/>
      <c r="DG906" s="216"/>
      <c r="DH906" s="305"/>
      <c r="DI906" s="249"/>
      <c r="DJ906" s="216"/>
      <c r="DK906" s="309"/>
      <c r="DL906" s="293"/>
      <c r="DM906" s="326"/>
      <c r="DN906" s="1256"/>
      <c r="DO906" s="214"/>
      <c r="DP906" s="1257"/>
      <c r="DQ906" s="1258"/>
      <c r="DR906" s="305"/>
      <c r="DS906" s="249"/>
      <c r="DT906" s="216"/>
      <c r="DU906" s="305"/>
      <c r="DV906" s="2520"/>
      <c r="DW906" s="2521"/>
      <c r="DX906" s="305"/>
      <c r="DY906" s="249"/>
      <c r="DZ906" s="221"/>
      <c r="EA906" s="388"/>
      <c r="EB906" s="249"/>
      <c r="EC906" s="216"/>
      <c r="ED906" s="1461"/>
      <c r="EE906" s="249"/>
      <c r="EF906" s="216"/>
      <c r="EG906" s="355"/>
      <c r="EH906" s="1425"/>
      <c r="EI906" s="1470"/>
      <c r="EJ906" s="249"/>
      <c r="EK906" s="221"/>
      <c r="EL906" s="313"/>
      <c r="EM906" s="249"/>
      <c r="EN906" s="221"/>
      <c r="EO906" s="313"/>
      <c r="EP906" s="249"/>
      <c r="EQ906" s="216"/>
      <c r="ER906" s="313"/>
      <c r="ES906" s="249"/>
      <c r="ET906" s="216"/>
      <c r="EU906" s="313"/>
      <c r="EV906" s="249"/>
      <c r="EW906" s="216"/>
      <c r="EX906" s="2505"/>
      <c r="EY906" s="249"/>
      <c r="EZ906" s="221"/>
      <c r="FA906" s="313"/>
      <c r="FB906" s="249"/>
      <c r="FC906" s="221"/>
      <c r="FD906" s="313"/>
      <c r="FE906" s="249"/>
      <c r="FF906" s="221"/>
      <c r="FG906" s="313"/>
      <c r="FH906" s="249"/>
      <c r="FI906" s="216"/>
      <c r="FJ906" s="1435"/>
      <c r="FK906" s="216"/>
      <c r="FL906" s="1268"/>
      <c r="FM906" s="1655"/>
      <c r="FN906" s="1268"/>
      <c r="FO906" s="1655"/>
      <c r="FP906" s="1268"/>
      <c r="FQ906" s="1656"/>
      <c r="FR906" s="249"/>
      <c r="FS906" s="216"/>
      <c r="FT906" s="1657"/>
      <c r="FU906" s="1658"/>
      <c r="FV906" s="242"/>
      <c r="FW906" s="343"/>
      <c r="FX906" s="222"/>
      <c r="FY906" s="336"/>
      <c r="FZ906" s="223"/>
      <c r="GA906" s="338"/>
      <c r="GB906" s="204"/>
      <c r="GC906" s="339"/>
      <c r="GD906" s="342"/>
      <c r="GE906" s="199"/>
      <c r="GF906" s="199"/>
      <c r="GG906" s="199"/>
      <c r="GH906" s="199"/>
      <c r="GI906" s="199"/>
      <c r="GJ906" s="199"/>
      <c r="GK906" s="199"/>
      <c r="GO906" s="322"/>
      <c r="GP906" s="1190"/>
      <c r="GQ906" s="1190"/>
      <c r="GS906" s="2879"/>
      <c r="GT906" s="2880"/>
      <c r="GU906" s="2881"/>
    </row>
    <row r="907" spans="1:203" ht="12" customHeight="1">
      <c r="A907" s="1252"/>
      <c r="B907" s="200"/>
      <c r="C907" s="486"/>
      <c r="T907" s="1186"/>
      <c r="U907" s="233"/>
      <c r="W907" s="218"/>
      <c r="X907" s="218"/>
      <c r="Y907" s="216"/>
      <c r="Z907" s="216"/>
      <c r="AA907" s="215"/>
      <c r="AB907" s="216"/>
      <c r="AC907" s="216"/>
      <c r="AD907" s="239"/>
      <c r="AE907" s="216"/>
      <c r="AF907" s="216"/>
      <c r="AG907" s="216"/>
      <c r="AH907" s="216"/>
      <c r="AI907" s="216"/>
      <c r="AJ907" s="216"/>
      <c r="AK907" s="239"/>
      <c r="AL907" s="216"/>
      <c r="AM907" s="216"/>
      <c r="AN907" s="216"/>
      <c r="AO907" s="216"/>
      <c r="AP907" s="216"/>
      <c r="AQ907" s="216"/>
      <c r="AR907" s="216"/>
      <c r="AS907" s="216"/>
      <c r="AT907" s="216"/>
      <c r="AU907" s="216"/>
      <c r="AV907" s="217"/>
      <c r="AW907" s="355"/>
      <c r="AX907" s="217"/>
      <c r="AY907" s="305"/>
      <c r="AZ907" s="249"/>
      <c r="BA907" s="221"/>
      <c r="BB907" s="300"/>
      <c r="BC907" s="217"/>
      <c r="BD907" s="392"/>
      <c r="BE907" s="1244"/>
      <c r="BF907" s="249"/>
      <c r="BG907" s="252"/>
      <c r="BH907" s="1469"/>
      <c r="BI907" s="216"/>
      <c r="BJ907" s="1469"/>
      <c r="BK907" s="1459"/>
      <c r="BL907" s="260"/>
      <c r="BM907" s="214"/>
      <c r="BN907" s="293"/>
      <c r="BO907" s="217"/>
      <c r="BP907" s="355"/>
      <c r="BQ907" s="217"/>
      <c r="BR907" s="1193"/>
      <c r="BS907" s="249"/>
      <c r="BT907" s="216"/>
      <c r="BU907" s="1195"/>
      <c r="BV907" s="249"/>
      <c r="BW907" s="216"/>
      <c r="BX907" s="1195"/>
      <c r="BY907" s="249"/>
      <c r="BZ907" s="216"/>
      <c r="CA907" s="1195"/>
      <c r="CB907" s="249"/>
      <c r="CC907" s="216"/>
      <c r="CD907" s="1195"/>
      <c r="CE907" s="249"/>
      <c r="CF907" s="216"/>
      <c r="CG907" s="1195"/>
      <c r="CH907" s="249"/>
      <c r="CI907" s="216"/>
      <c r="CJ907" s="1195"/>
      <c r="CK907" s="249"/>
      <c r="CL907" s="216"/>
      <c r="CM907" s="1194"/>
      <c r="CN907" s="1524"/>
      <c r="CO907" s="217"/>
      <c r="CP907" s="1193"/>
      <c r="CQ907" s="293"/>
      <c r="CR907" s="217"/>
      <c r="CS907" s="305"/>
      <c r="CT907" s="249"/>
      <c r="CU907" s="216"/>
      <c r="CV907" s="1193"/>
      <c r="CW907" s="249"/>
      <c r="CX907" s="216"/>
      <c r="CY907" s="305"/>
      <c r="CZ907" s="249"/>
      <c r="DA907" s="216"/>
      <c r="DB907" s="307"/>
      <c r="DC907" s="328"/>
      <c r="DD907" s="322"/>
      <c r="DE907" s="305"/>
      <c r="DF907" s="249"/>
      <c r="DG907" s="216"/>
      <c r="DH907" s="305"/>
      <c r="DI907" s="249"/>
      <c r="DJ907" s="216"/>
      <c r="DK907" s="309"/>
      <c r="DL907" s="293"/>
      <c r="DM907" s="326"/>
      <c r="DN907" s="1256"/>
      <c r="DO907" s="214"/>
      <c r="DP907" s="1257"/>
      <c r="DQ907" s="1258"/>
      <c r="DR907" s="305"/>
      <c r="DS907" s="249"/>
      <c r="DT907" s="216"/>
      <c r="DU907" s="305"/>
      <c r="DV907" s="2520"/>
      <c r="DW907" s="2521"/>
      <c r="DX907" s="305"/>
      <c r="DY907" s="249"/>
      <c r="DZ907" s="221"/>
      <c r="EA907" s="388"/>
      <c r="EB907" s="249"/>
      <c r="EC907" s="216"/>
      <c r="ED907" s="1461"/>
      <c r="EE907" s="249"/>
      <c r="EF907" s="216"/>
      <c r="EG907" s="355"/>
      <c r="EH907" s="1425"/>
      <c r="EI907" s="1470"/>
      <c r="EJ907" s="249"/>
      <c r="EK907" s="221"/>
      <c r="EL907" s="313"/>
      <c r="EM907" s="249"/>
      <c r="EN907" s="221"/>
      <c r="EO907" s="313"/>
      <c r="EP907" s="249"/>
      <c r="EQ907" s="216"/>
      <c r="ER907" s="313"/>
      <c r="ES907" s="249"/>
      <c r="ET907" s="216"/>
      <c r="EU907" s="313"/>
      <c r="EV907" s="249"/>
      <c r="EW907" s="216"/>
      <c r="EX907" s="2505"/>
      <c r="EY907" s="249"/>
      <c r="EZ907" s="221"/>
      <c r="FA907" s="313"/>
      <c r="FB907" s="249"/>
      <c r="FC907" s="221"/>
      <c r="FD907" s="313"/>
      <c r="FE907" s="249"/>
      <c r="FF907" s="221"/>
      <c r="FG907" s="313"/>
      <c r="FH907" s="249"/>
      <c r="FI907" s="216"/>
      <c r="FJ907" s="1435"/>
      <c r="FK907" s="216"/>
      <c r="FL907" s="1268"/>
      <c r="FM907" s="1655"/>
      <c r="FN907" s="1268"/>
      <c r="FO907" s="1655"/>
      <c r="FP907" s="1268"/>
      <c r="FQ907" s="1656"/>
      <c r="FR907" s="249"/>
      <c r="FS907" s="216"/>
      <c r="FT907" s="1657"/>
      <c r="FU907" s="1658"/>
      <c r="FV907" s="242"/>
      <c r="FW907" s="343"/>
      <c r="FX907" s="222"/>
      <c r="FY907" s="336"/>
      <c r="FZ907" s="223"/>
      <c r="GA907" s="338"/>
      <c r="GB907" s="204"/>
      <c r="GC907" s="339"/>
      <c r="GD907" s="342"/>
      <c r="GE907" s="199"/>
      <c r="GF907" s="199"/>
      <c r="GG907" s="199"/>
      <c r="GH907" s="199"/>
      <c r="GI907" s="199"/>
      <c r="GJ907" s="199"/>
      <c r="GK907" s="199"/>
      <c r="GO907" s="322"/>
      <c r="GP907" s="1190"/>
      <c r="GQ907" s="1190"/>
      <c r="GS907" s="2879"/>
      <c r="GT907" s="2880"/>
      <c r="GU907" s="2881"/>
    </row>
    <row r="908" spans="1:203" ht="12" customHeight="1">
      <c r="A908" s="1252"/>
      <c r="B908" s="200"/>
      <c r="C908" s="486"/>
      <c r="T908" s="1186"/>
      <c r="U908" s="233"/>
      <c r="W908" s="218"/>
      <c r="X908" s="218"/>
      <c r="Y908" s="216"/>
      <c r="Z908" s="216"/>
      <c r="AA908" s="215"/>
      <c r="AB908" s="216"/>
      <c r="AC908" s="216"/>
      <c r="AD908" s="239"/>
      <c r="AE908" s="216"/>
      <c r="AF908" s="216"/>
      <c r="AG908" s="216"/>
      <c r="AH908" s="216"/>
      <c r="AI908" s="216"/>
      <c r="AJ908" s="216"/>
      <c r="AK908" s="239"/>
      <c r="AL908" s="216"/>
      <c r="AM908" s="216"/>
      <c r="AN908" s="216"/>
      <c r="AO908" s="216"/>
      <c r="AP908" s="216"/>
      <c r="AQ908" s="216"/>
      <c r="AR908" s="216"/>
      <c r="AS908" s="216"/>
      <c r="AT908" s="216"/>
      <c r="AU908" s="216"/>
      <c r="AV908" s="217"/>
      <c r="AW908" s="355"/>
      <c r="AX908" s="217"/>
      <c r="AY908" s="305"/>
      <c r="AZ908" s="249"/>
      <c r="BA908" s="221"/>
      <c r="BB908" s="300"/>
      <c r="BC908" s="217"/>
      <c r="BD908" s="392"/>
      <c r="BE908" s="1244"/>
      <c r="BF908" s="249"/>
      <c r="BG908" s="252"/>
      <c r="BH908" s="1469"/>
      <c r="BI908" s="216"/>
      <c r="BJ908" s="1469"/>
      <c r="BK908" s="1459"/>
      <c r="BL908" s="260"/>
      <c r="BM908" s="214"/>
      <c r="BN908" s="293"/>
      <c r="BO908" s="217"/>
      <c r="BP908" s="355"/>
      <c r="BQ908" s="217"/>
      <c r="BR908" s="1193"/>
      <c r="BS908" s="249"/>
      <c r="BT908" s="216"/>
      <c r="BU908" s="1195"/>
      <c r="BV908" s="249"/>
      <c r="BW908" s="216"/>
      <c r="BX908" s="1195"/>
      <c r="BY908" s="249"/>
      <c r="BZ908" s="216"/>
      <c r="CA908" s="1195"/>
      <c r="CB908" s="249"/>
      <c r="CC908" s="216"/>
      <c r="CD908" s="1195"/>
      <c r="CE908" s="249"/>
      <c r="CF908" s="216"/>
      <c r="CG908" s="1195"/>
      <c r="CH908" s="249"/>
      <c r="CI908" s="216"/>
      <c r="CJ908" s="1195"/>
      <c r="CK908" s="249"/>
      <c r="CL908" s="216"/>
      <c r="CM908" s="1194"/>
      <c r="CN908" s="1524"/>
      <c r="CO908" s="217"/>
      <c r="CP908" s="1193"/>
      <c r="CQ908" s="293"/>
      <c r="CR908" s="217"/>
      <c r="CS908" s="305"/>
      <c r="CT908" s="249"/>
      <c r="CU908" s="216"/>
      <c r="CV908" s="1193"/>
      <c r="CW908" s="249"/>
      <c r="CX908" s="216"/>
      <c r="CY908" s="305"/>
      <c r="CZ908" s="249"/>
      <c r="DA908" s="216"/>
      <c r="DB908" s="307"/>
      <c r="DC908" s="328"/>
      <c r="DD908" s="322"/>
      <c r="DE908" s="305"/>
      <c r="DF908" s="249"/>
      <c r="DG908" s="216"/>
      <c r="DH908" s="305"/>
      <c r="DI908" s="249"/>
      <c r="DJ908" s="216"/>
      <c r="DK908" s="309"/>
      <c r="DL908" s="293"/>
      <c r="DM908" s="326"/>
      <c r="DN908" s="1256"/>
      <c r="DO908" s="214"/>
      <c r="DP908" s="1257"/>
      <c r="DQ908" s="1258"/>
      <c r="DR908" s="305"/>
      <c r="DS908" s="249"/>
      <c r="DT908" s="216"/>
      <c r="DU908" s="305"/>
      <c r="DV908" s="2520"/>
      <c r="DW908" s="2521"/>
      <c r="DX908" s="305"/>
      <c r="DY908" s="249"/>
      <c r="DZ908" s="221"/>
      <c r="EA908" s="388"/>
      <c r="EB908" s="249"/>
      <c r="EC908" s="216"/>
      <c r="ED908" s="1461"/>
      <c r="EE908" s="249"/>
      <c r="EF908" s="216"/>
      <c r="EG908" s="355"/>
      <c r="EH908" s="1425"/>
      <c r="EI908" s="1470"/>
      <c r="EJ908" s="249"/>
      <c r="EK908" s="221"/>
      <c r="EL908" s="313"/>
      <c r="EM908" s="249"/>
      <c r="EN908" s="221"/>
      <c r="EO908" s="313"/>
      <c r="EP908" s="249"/>
      <c r="EQ908" s="216"/>
      <c r="ER908" s="313"/>
      <c r="ES908" s="249"/>
      <c r="ET908" s="216"/>
      <c r="EU908" s="313"/>
      <c r="EV908" s="249"/>
      <c r="EW908" s="216"/>
      <c r="EX908" s="2505"/>
      <c r="EY908" s="249"/>
      <c r="EZ908" s="221"/>
      <c r="FA908" s="313"/>
      <c r="FB908" s="249"/>
      <c r="FC908" s="221"/>
      <c r="FD908" s="313"/>
      <c r="FE908" s="249"/>
      <c r="FF908" s="221"/>
      <c r="FG908" s="313"/>
      <c r="FH908" s="249"/>
      <c r="FI908" s="216"/>
      <c r="FJ908" s="1435"/>
      <c r="FK908" s="216"/>
      <c r="FL908" s="1268"/>
      <c r="FM908" s="1655"/>
      <c r="FN908" s="1268"/>
      <c r="FO908" s="1655"/>
      <c r="FP908" s="1268"/>
      <c r="FQ908" s="1656"/>
      <c r="FR908" s="249"/>
      <c r="FS908" s="216"/>
      <c r="FT908" s="1657"/>
      <c r="FU908" s="1658"/>
      <c r="FV908" s="242"/>
      <c r="FW908" s="343"/>
      <c r="FX908" s="222"/>
      <c r="FY908" s="336"/>
      <c r="FZ908" s="223"/>
      <c r="GA908" s="338"/>
      <c r="GB908" s="204"/>
      <c r="GC908" s="339"/>
      <c r="GD908" s="342"/>
      <c r="GE908" s="199"/>
      <c r="GF908" s="199"/>
      <c r="GG908" s="199"/>
      <c r="GH908" s="199"/>
      <c r="GI908" s="199"/>
      <c r="GJ908" s="199"/>
      <c r="GK908" s="199"/>
      <c r="GO908" s="322"/>
      <c r="GP908" s="1190"/>
      <c r="GQ908" s="1190"/>
      <c r="GS908" s="2879"/>
      <c r="GT908" s="2880"/>
      <c r="GU908" s="2881"/>
    </row>
    <row r="909" spans="1:203" ht="12" customHeight="1">
      <c r="A909" s="1252"/>
      <c r="B909" s="200"/>
      <c r="C909" s="486"/>
      <c r="T909" s="1186"/>
      <c r="U909" s="233"/>
      <c r="W909" s="218"/>
      <c r="X909" s="218"/>
      <c r="Y909" s="216"/>
      <c r="Z909" s="216"/>
      <c r="AA909" s="215"/>
      <c r="AB909" s="216"/>
      <c r="AC909" s="216"/>
      <c r="AD909" s="239"/>
      <c r="AE909" s="216"/>
      <c r="AF909" s="216"/>
      <c r="AG909" s="216"/>
      <c r="AH909" s="216"/>
      <c r="AI909" s="216"/>
      <c r="AJ909" s="216"/>
      <c r="AK909" s="239"/>
      <c r="AL909" s="216"/>
      <c r="AM909" s="216"/>
      <c r="AN909" s="216"/>
      <c r="AO909" s="216"/>
      <c r="AP909" s="216"/>
      <c r="AQ909" s="216"/>
      <c r="AR909" s="216"/>
      <c r="AS909" s="216"/>
      <c r="AT909" s="216"/>
      <c r="AU909" s="216"/>
      <c r="AV909" s="217"/>
      <c r="AW909" s="355"/>
      <c r="AX909" s="217"/>
      <c r="AY909" s="305"/>
      <c r="AZ909" s="249"/>
      <c r="BA909" s="221"/>
      <c r="BB909" s="300"/>
      <c r="BC909" s="217"/>
      <c r="BD909" s="392"/>
      <c r="BE909" s="1244"/>
      <c r="BF909" s="249"/>
      <c r="BG909" s="252"/>
      <c r="BH909" s="1469"/>
      <c r="BI909" s="216"/>
      <c r="BJ909" s="1469"/>
      <c r="BK909" s="1459"/>
      <c r="BL909" s="260"/>
      <c r="BM909" s="214"/>
      <c r="BN909" s="293"/>
      <c r="BO909" s="217"/>
      <c r="BP909" s="355"/>
      <c r="BQ909" s="217"/>
      <c r="BR909" s="1193"/>
      <c r="BS909" s="249"/>
      <c r="BT909" s="216"/>
      <c r="BU909" s="1195"/>
      <c r="BV909" s="249"/>
      <c r="BW909" s="216"/>
      <c r="BX909" s="1195"/>
      <c r="BY909" s="249"/>
      <c r="BZ909" s="216"/>
      <c r="CA909" s="1195"/>
      <c r="CB909" s="249"/>
      <c r="CC909" s="216"/>
      <c r="CD909" s="1195"/>
      <c r="CE909" s="249"/>
      <c r="CF909" s="216"/>
      <c r="CG909" s="1195"/>
      <c r="CH909" s="249"/>
      <c r="CI909" s="216"/>
      <c r="CJ909" s="1195"/>
      <c r="CK909" s="249"/>
      <c r="CL909" s="216"/>
      <c r="CM909" s="1194"/>
      <c r="CN909" s="1524"/>
      <c r="CO909" s="217"/>
      <c r="CP909" s="1193"/>
      <c r="CQ909" s="293"/>
      <c r="CR909" s="217"/>
      <c r="CS909" s="305"/>
      <c r="CT909" s="249"/>
      <c r="CU909" s="216"/>
      <c r="CV909" s="1193"/>
      <c r="CW909" s="249"/>
      <c r="CX909" s="216"/>
      <c r="CY909" s="305"/>
      <c r="CZ909" s="249"/>
      <c r="DA909" s="216"/>
      <c r="DB909" s="307"/>
      <c r="DC909" s="328"/>
      <c r="DD909" s="322"/>
      <c r="DE909" s="305"/>
      <c r="DF909" s="249"/>
      <c r="DG909" s="216"/>
      <c r="DH909" s="305"/>
      <c r="DI909" s="249"/>
      <c r="DJ909" s="216"/>
      <c r="DK909" s="309"/>
      <c r="DL909" s="293"/>
      <c r="DM909" s="326"/>
      <c r="DN909" s="1256"/>
      <c r="DO909" s="214"/>
      <c r="DP909" s="1257"/>
      <c r="DQ909" s="1258"/>
      <c r="DR909" s="305"/>
      <c r="DS909" s="249"/>
      <c r="DT909" s="216"/>
      <c r="DU909" s="305"/>
      <c r="DV909" s="2520"/>
      <c r="DW909" s="2521"/>
      <c r="DX909" s="305"/>
      <c r="DY909" s="249"/>
      <c r="DZ909" s="221"/>
      <c r="EA909" s="388"/>
      <c r="EB909" s="249"/>
      <c r="EC909" s="216"/>
      <c r="ED909" s="1461"/>
      <c r="EE909" s="249"/>
      <c r="EF909" s="216"/>
      <c r="EG909" s="355"/>
      <c r="EH909" s="1425"/>
      <c r="EI909" s="1470"/>
      <c r="EJ909" s="249"/>
      <c r="EK909" s="221"/>
      <c r="EL909" s="313"/>
      <c r="EM909" s="249"/>
      <c r="EN909" s="221"/>
      <c r="EO909" s="313"/>
      <c r="EP909" s="249"/>
      <c r="EQ909" s="216"/>
      <c r="ER909" s="313"/>
      <c r="ES909" s="249"/>
      <c r="ET909" s="216"/>
      <c r="EU909" s="313"/>
      <c r="EV909" s="249"/>
      <c r="EW909" s="216"/>
      <c r="EX909" s="2505"/>
      <c r="EY909" s="249"/>
      <c r="EZ909" s="221"/>
      <c r="FA909" s="313"/>
      <c r="FB909" s="249"/>
      <c r="FC909" s="221"/>
      <c r="FD909" s="313"/>
      <c r="FE909" s="249"/>
      <c r="FF909" s="221"/>
      <c r="FG909" s="313"/>
      <c r="FH909" s="249"/>
      <c r="FI909" s="216"/>
      <c r="FJ909" s="1435"/>
      <c r="FK909" s="216"/>
      <c r="FL909" s="1268"/>
      <c r="FM909" s="1655"/>
      <c r="FN909" s="1268"/>
      <c r="FO909" s="1655"/>
      <c r="FP909" s="1268"/>
      <c r="FQ909" s="1656"/>
      <c r="FR909" s="249"/>
      <c r="FS909" s="216"/>
      <c r="FT909" s="1657"/>
      <c r="FU909" s="1658"/>
      <c r="FV909" s="242"/>
      <c r="FW909" s="343"/>
      <c r="FX909" s="222"/>
      <c r="FY909" s="336"/>
      <c r="FZ909" s="223"/>
      <c r="GA909" s="338"/>
      <c r="GB909" s="204"/>
      <c r="GC909" s="339"/>
      <c r="GD909" s="342"/>
      <c r="GE909" s="199"/>
      <c r="GF909" s="199"/>
      <c r="GG909" s="199"/>
      <c r="GH909" s="199"/>
      <c r="GI909" s="199"/>
      <c r="GJ909" s="199"/>
      <c r="GK909" s="199"/>
      <c r="GO909" s="322"/>
      <c r="GP909" s="1190"/>
      <c r="GQ909" s="1190"/>
      <c r="GS909" s="2879"/>
      <c r="GT909" s="2880"/>
      <c r="GU909" s="2881"/>
    </row>
    <row r="910" spans="1:203" ht="12" customHeight="1">
      <c r="A910" s="1252"/>
      <c r="B910" s="200"/>
      <c r="C910" s="486"/>
      <c r="T910" s="1186"/>
      <c r="U910" s="233"/>
      <c r="W910" s="218"/>
      <c r="X910" s="218"/>
      <c r="Y910" s="216"/>
      <c r="Z910" s="216"/>
      <c r="AA910" s="215"/>
      <c r="AB910" s="216"/>
      <c r="AC910" s="216"/>
      <c r="AD910" s="239"/>
      <c r="AE910" s="216"/>
      <c r="AF910" s="216"/>
      <c r="AG910" s="216"/>
      <c r="AH910" s="216"/>
      <c r="AI910" s="216"/>
      <c r="AJ910" s="216"/>
      <c r="AK910" s="239"/>
      <c r="AL910" s="216"/>
      <c r="AM910" s="216"/>
      <c r="AN910" s="216"/>
      <c r="AO910" s="216"/>
      <c r="AP910" s="216"/>
      <c r="AQ910" s="216"/>
      <c r="AR910" s="216"/>
      <c r="AS910" s="216"/>
      <c r="AT910" s="216"/>
      <c r="AU910" s="216"/>
      <c r="AV910" s="217"/>
      <c r="AW910" s="355"/>
      <c r="AX910" s="217"/>
      <c r="AY910" s="305"/>
      <c r="AZ910" s="249"/>
      <c r="BA910" s="221"/>
      <c r="BB910" s="300"/>
      <c r="BC910" s="217"/>
      <c r="BD910" s="392"/>
      <c r="BE910" s="1244"/>
      <c r="BF910" s="249"/>
      <c r="BG910" s="252"/>
      <c r="BH910" s="1469"/>
      <c r="BI910" s="216"/>
      <c r="BJ910" s="1469"/>
      <c r="BK910" s="1459"/>
      <c r="BL910" s="260"/>
      <c r="BM910" s="214"/>
      <c r="BN910" s="293"/>
      <c r="BO910" s="217"/>
      <c r="BP910" s="355"/>
      <c r="BQ910" s="217"/>
      <c r="BR910" s="1193"/>
      <c r="BS910" s="249"/>
      <c r="BT910" s="216"/>
      <c r="BU910" s="1195"/>
      <c r="BV910" s="249"/>
      <c r="BW910" s="216"/>
      <c r="BX910" s="1195"/>
      <c r="BY910" s="249"/>
      <c r="BZ910" s="216"/>
      <c r="CA910" s="1195"/>
      <c r="CB910" s="249"/>
      <c r="CC910" s="216"/>
      <c r="CD910" s="1195"/>
      <c r="CE910" s="249"/>
      <c r="CF910" s="216"/>
      <c r="CG910" s="1195"/>
      <c r="CH910" s="249"/>
      <c r="CI910" s="216"/>
      <c r="CJ910" s="1195"/>
      <c r="CK910" s="249"/>
      <c r="CL910" s="216"/>
      <c r="CM910" s="1194"/>
      <c r="CN910" s="1524"/>
      <c r="CO910" s="217"/>
      <c r="CP910" s="1193"/>
      <c r="CQ910" s="293"/>
      <c r="CR910" s="217"/>
      <c r="CS910" s="305"/>
      <c r="CT910" s="249"/>
      <c r="CU910" s="216"/>
      <c r="CV910" s="1193"/>
      <c r="CW910" s="249"/>
      <c r="CX910" s="216"/>
      <c r="CY910" s="305"/>
      <c r="CZ910" s="249"/>
      <c r="DA910" s="216"/>
      <c r="DB910" s="307"/>
      <c r="DC910" s="328"/>
      <c r="DD910" s="322"/>
      <c r="DE910" s="305"/>
      <c r="DF910" s="249"/>
      <c r="DG910" s="216"/>
      <c r="DH910" s="305"/>
      <c r="DI910" s="249"/>
      <c r="DJ910" s="216"/>
      <c r="DK910" s="309"/>
      <c r="DL910" s="293"/>
      <c r="DM910" s="326"/>
      <c r="DN910" s="1256"/>
      <c r="DO910" s="214"/>
      <c r="DP910" s="1257"/>
      <c r="DQ910" s="1258"/>
      <c r="DR910" s="305"/>
      <c r="DS910" s="249"/>
      <c r="DT910" s="216"/>
      <c r="DU910" s="305"/>
      <c r="DV910" s="2520"/>
      <c r="DW910" s="2521"/>
      <c r="DX910" s="305"/>
      <c r="DY910" s="249"/>
      <c r="DZ910" s="221"/>
      <c r="EA910" s="388"/>
      <c r="EB910" s="249"/>
      <c r="EC910" s="216"/>
      <c r="ED910" s="1461"/>
      <c r="EE910" s="249"/>
      <c r="EF910" s="216"/>
      <c r="EG910" s="355"/>
      <c r="EH910" s="1425"/>
      <c r="EI910" s="1470"/>
      <c r="EJ910" s="249"/>
      <c r="EK910" s="221"/>
      <c r="EL910" s="313"/>
      <c r="EM910" s="249"/>
      <c r="EN910" s="221"/>
      <c r="EO910" s="313"/>
      <c r="EP910" s="249"/>
      <c r="EQ910" s="216"/>
      <c r="ER910" s="313"/>
      <c r="ES910" s="249"/>
      <c r="ET910" s="216"/>
      <c r="EU910" s="313"/>
      <c r="EV910" s="249"/>
      <c r="EW910" s="216"/>
      <c r="EX910" s="2505"/>
      <c r="EY910" s="249"/>
      <c r="EZ910" s="221"/>
      <c r="FA910" s="313"/>
      <c r="FB910" s="249"/>
      <c r="FC910" s="221"/>
      <c r="FD910" s="313"/>
      <c r="FE910" s="249"/>
      <c r="FF910" s="221"/>
      <c r="FG910" s="313"/>
      <c r="FH910" s="249"/>
      <c r="FI910" s="216"/>
      <c r="FJ910" s="1435"/>
      <c r="FK910" s="216"/>
      <c r="FL910" s="1268"/>
      <c r="FM910" s="1655"/>
      <c r="FN910" s="1268"/>
      <c r="FO910" s="1655"/>
      <c r="FP910" s="1268"/>
      <c r="FQ910" s="1656"/>
      <c r="FR910" s="249"/>
      <c r="FS910" s="216"/>
      <c r="FT910" s="1657"/>
      <c r="FU910" s="1658"/>
      <c r="FV910" s="242"/>
      <c r="FW910" s="343"/>
      <c r="FX910" s="222"/>
      <c r="FY910" s="336"/>
      <c r="FZ910" s="223"/>
      <c r="GA910" s="338"/>
      <c r="GB910" s="204"/>
      <c r="GC910" s="339"/>
      <c r="GD910" s="342"/>
      <c r="GE910" s="199"/>
      <c r="GF910" s="199"/>
      <c r="GG910" s="199"/>
      <c r="GH910" s="199"/>
      <c r="GI910" s="199"/>
      <c r="GJ910" s="199"/>
      <c r="GK910" s="199"/>
      <c r="GO910" s="322"/>
      <c r="GP910" s="1190"/>
      <c r="GQ910" s="1190"/>
      <c r="GS910" s="2879"/>
      <c r="GT910" s="2880"/>
      <c r="GU910" s="2881"/>
    </row>
    <row r="911" spans="1:203" ht="12" customHeight="1">
      <c r="A911" s="1252"/>
      <c r="B911" s="200"/>
      <c r="C911" s="486"/>
      <c r="T911" s="1186"/>
      <c r="U911" s="233"/>
      <c r="W911" s="218"/>
      <c r="X911" s="218"/>
      <c r="Y911" s="216"/>
      <c r="Z911" s="216"/>
      <c r="AA911" s="215"/>
      <c r="AB911" s="216"/>
      <c r="AC911" s="216"/>
      <c r="AD911" s="239"/>
      <c r="AE911" s="216"/>
      <c r="AF911" s="216"/>
      <c r="AG911" s="216"/>
      <c r="AH911" s="216"/>
      <c r="AI911" s="216"/>
      <c r="AJ911" s="216"/>
      <c r="AK911" s="239"/>
      <c r="AL911" s="216"/>
      <c r="AM911" s="216"/>
      <c r="AN911" s="216"/>
      <c r="AO911" s="216"/>
      <c r="AP911" s="216"/>
      <c r="AQ911" s="216"/>
      <c r="AR911" s="216"/>
      <c r="AS911" s="216"/>
      <c r="AT911" s="216"/>
      <c r="AU911" s="216"/>
      <c r="AV911" s="217"/>
      <c r="AW911" s="355"/>
      <c r="AX911" s="217"/>
      <c r="AY911" s="305"/>
      <c r="AZ911" s="249"/>
      <c r="BA911" s="221"/>
      <c r="BB911" s="300"/>
      <c r="BC911" s="217"/>
      <c r="BD911" s="392"/>
      <c r="BE911" s="1244"/>
      <c r="BF911" s="249"/>
      <c r="BG911" s="252"/>
      <c r="BH911" s="1469"/>
      <c r="BI911" s="216"/>
      <c r="BJ911" s="1469"/>
      <c r="BK911" s="1459"/>
      <c r="BL911" s="260"/>
      <c r="BM911" s="214"/>
      <c r="BN911" s="293"/>
      <c r="BO911" s="217"/>
      <c r="BP911" s="355"/>
      <c r="BQ911" s="217"/>
      <c r="BR911" s="1193"/>
      <c r="BS911" s="249"/>
      <c r="BT911" s="216"/>
      <c r="BU911" s="1195"/>
      <c r="BV911" s="249"/>
      <c r="BW911" s="216"/>
      <c r="BX911" s="1195"/>
      <c r="BY911" s="249"/>
      <c r="BZ911" s="216"/>
      <c r="CA911" s="1195"/>
      <c r="CB911" s="249"/>
      <c r="CC911" s="216"/>
      <c r="CD911" s="1195"/>
      <c r="CE911" s="249"/>
      <c r="CF911" s="216"/>
      <c r="CG911" s="1195"/>
      <c r="CH911" s="249"/>
      <c r="CI911" s="216"/>
      <c r="CJ911" s="1195"/>
      <c r="CK911" s="249"/>
      <c r="CL911" s="216"/>
      <c r="CM911" s="1194"/>
      <c r="CN911" s="1524"/>
      <c r="CO911" s="217"/>
      <c r="CP911" s="1193"/>
      <c r="CQ911" s="293"/>
      <c r="CR911" s="217"/>
      <c r="CS911" s="305"/>
      <c r="CT911" s="249"/>
      <c r="CU911" s="216"/>
      <c r="CV911" s="1193"/>
      <c r="CW911" s="249"/>
      <c r="CX911" s="216"/>
      <c r="CY911" s="305"/>
      <c r="CZ911" s="249"/>
      <c r="DA911" s="216"/>
      <c r="DB911" s="307"/>
      <c r="DC911" s="328"/>
      <c r="DD911" s="322"/>
      <c r="DE911" s="305"/>
      <c r="DF911" s="249"/>
      <c r="DG911" s="216"/>
      <c r="DH911" s="305"/>
      <c r="DI911" s="249"/>
      <c r="DJ911" s="216"/>
      <c r="DK911" s="309"/>
      <c r="DL911" s="293"/>
      <c r="DM911" s="326"/>
      <c r="DN911" s="1256"/>
      <c r="DO911" s="214"/>
      <c r="DP911" s="1257"/>
      <c r="DQ911" s="1258"/>
      <c r="DR911" s="305"/>
      <c r="DS911" s="249"/>
      <c r="DT911" s="216"/>
      <c r="DU911" s="305"/>
      <c r="DV911" s="2520"/>
      <c r="DW911" s="2521"/>
      <c r="DX911" s="305"/>
      <c r="DY911" s="249"/>
      <c r="DZ911" s="221"/>
      <c r="EA911" s="388"/>
      <c r="EB911" s="249"/>
      <c r="EC911" s="216"/>
      <c r="ED911" s="1461"/>
      <c r="EE911" s="249"/>
      <c r="EF911" s="216"/>
      <c r="EG911" s="355"/>
      <c r="EH911" s="1425"/>
      <c r="EI911" s="1470"/>
      <c r="EJ911" s="249"/>
      <c r="EK911" s="221"/>
      <c r="EL911" s="313"/>
      <c r="EM911" s="249"/>
      <c r="EN911" s="221"/>
      <c r="EO911" s="313"/>
      <c r="EP911" s="249"/>
      <c r="EQ911" s="216"/>
      <c r="ER911" s="313"/>
      <c r="ES911" s="249"/>
      <c r="ET911" s="216"/>
      <c r="EU911" s="313"/>
      <c r="EV911" s="249"/>
      <c r="EW911" s="216"/>
      <c r="EX911" s="2505"/>
      <c r="EY911" s="249"/>
      <c r="EZ911" s="221"/>
      <c r="FA911" s="313"/>
      <c r="FB911" s="249"/>
      <c r="FC911" s="221"/>
      <c r="FD911" s="313"/>
      <c r="FE911" s="249"/>
      <c r="FF911" s="221"/>
      <c r="FG911" s="313"/>
      <c r="FH911" s="249"/>
      <c r="FI911" s="216"/>
      <c r="FJ911" s="1435"/>
      <c r="FK911" s="216"/>
      <c r="FL911" s="1268"/>
      <c r="FM911" s="1655"/>
      <c r="FN911" s="1268"/>
      <c r="FO911" s="1655"/>
      <c r="FP911" s="1268"/>
      <c r="FQ911" s="1656"/>
      <c r="FR911" s="249"/>
      <c r="FS911" s="216"/>
      <c r="FT911" s="1657"/>
      <c r="FU911" s="1658"/>
      <c r="FV911" s="242"/>
      <c r="FW911" s="343"/>
      <c r="FX911" s="222"/>
      <c r="FY911" s="336"/>
      <c r="FZ911" s="223"/>
      <c r="GA911" s="338"/>
      <c r="GB911" s="204"/>
      <c r="GC911" s="339"/>
      <c r="GD911" s="342"/>
      <c r="GE911" s="199"/>
      <c r="GF911" s="199"/>
      <c r="GG911" s="199"/>
      <c r="GH911" s="199"/>
      <c r="GI911" s="199"/>
      <c r="GJ911" s="199"/>
      <c r="GK911" s="199"/>
      <c r="GO911" s="322"/>
      <c r="GP911" s="1190"/>
      <c r="GQ911" s="1190"/>
      <c r="GS911" s="2879"/>
      <c r="GT911" s="2880"/>
      <c r="GU911" s="2881"/>
    </row>
    <row r="912" spans="1:203" ht="12" customHeight="1">
      <c r="A912" s="1252"/>
      <c r="B912" s="200"/>
      <c r="C912" s="486"/>
      <c r="T912" s="1186"/>
      <c r="U912" s="233"/>
      <c r="W912" s="218"/>
      <c r="X912" s="218"/>
      <c r="Y912" s="216"/>
      <c r="Z912" s="216"/>
      <c r="AA912" s="215"/>
      <c r="AB912" s="216"/>
      <c r="AC912" s="216"/>
      <c r="AD912" s="239"/>
      <c r="AE912" s="216"/>
      <c r="AF912" s="216"/>
      <c r="AG912" s="216"/>
      <c r="AH912" s="216"/>
      <c r="AI912" s="216"/>
      <c r="AJ912" s="216"/>
      <c r="AK912" s="239"/>
      <c r="AL912" s="216"/>
      <c r="AM912" s="216"/>
      <c r="AN912" s="216"/>
      <c r="AO912" s="216"/>
      <c r="AP912" s="216"/>
      <c r="AQ912" s="216"/>
      <c r="AR912" s="216"/>
      <c r="AS912" s="216"/>
      <c r="AT912" s="216"/>
      <c r="AU912" s="216"/>
      <c r="AV912" s="217"/>
      <c r="AW912" s="355"/>
      <c r="AX912" s="217"/>
      <c r="AY912" s="305"/>
      <c r="AZ912" s="249"/>
      <c r="BA912" s="221"/>
      <c r="BB912" s="300"/>
      <c r="BC912" s="217"/>
      <c r="BD912" s="392"/>
      <c r="BE912" s="1244"/>
      <c r="BF912" s="249"/>
      <c r="BG912" s="252"/>
      <c r="BH912" s="1469"/>
      <c r="BI912" s="216"/>
      <c r="BJ912" s="1469"/>
      <c r="BK912" s="1459"/>
      <c r="BL912" s="260"/>
      <c r="BM912" s="214"/>
      <c r="BN912" s="293"/>
      <c r="BO912" s="217"/>
      <c r="BP912" s="355"/>
      <c r="BQ912" s="217"/>
      <c r="BR912" s="1193"/>
      <c r="BS912" s="249"/>
      <c r="BT912" s="216"/>
      <c r="BU912" s="1195"/>
      <c r="BV912" s="249"/>
      <c r="BW912" s="216"/>
      <c r="BX912" s="1195"/>
      <c r="BY912" s="249"/>
      <c r="BZ912" s="216"/>
      <c r="CA912" s="1195"/>
      <c r="CB912" s="249"/>
      <c r="CC912" s="216"/>
      <c r="CD912" s="1195"/>
      <c r="CE912" s="249"/>
      <c r="CF912" s="216"/>
      <c r="CG912" s="1195"/>
      <c r="CH912" s="249"/>
      <c r="CI912" s="216"/>
      <c r="CJ912" s="1195"/>
      <c r="CK912" s="249"/>
      <c r="CL912" s="216"/>
      <c r="CM912" s="1194"/>
      <c r="CN912" s="1524"/>
      <c r="CO912" s="217"/>
      <c r="CP912" s="1193"/>
      <c r="CQ912" s="293"/>
      <c r="CR912" s="217"/>
      <c r="CS912" s="305"/>
      <c r="CT912" s="249"/>
      <c r="CU912" s="216"/>
      <c r="CV912" s="1193"/>
      <c r="CW912" s="249"/>
      <c r="CX912" s="216"/>
      <c r="CY912" s="305"/>
      <c r="CZ912" s="249"/>
      <c r="DA912" s="216"/>
      <c r="DB912" s="307"/>
      <c r="DC912" s="328"/>
      <c r="DD912" s="322"/>
      <c r="DE912" s="305"/>
      <c r="DF912" s="249"/>
      <c r="DG912" s="216"/>
      <c r="DH912" s="305"/>
      <c r="DI912" s="249"/>
      <c r="DJ912" s="216"/>
      <c r="DK912" s="309"/>
      <c r="DL912" s="293"/>
      <c r="DM912" s="326"/>
      <c r="DN912" s="1256"/>
      <c r="DO912" s="214"/>
      <c r="DP912" s="1257"/>
      <c r="DQ912" s="1258"/>
      <c r="DR912" s="305"/>
      <c r="DS912" s="249"/>
      <c r="DT912" s="216"/>
      <c r="DU912" s="305"/>
      <c r="DV912" s="2520"/>
      <c r="DW912" s="2521"/>
      <c r="DX912" s="305"/>
      <c r="DY912" s="249"/>
      <c r="DZ912" s="221"/>
      <c r="EA912" s="388"/>
      <c r="EB912" s="249"/>
      <c r="EC912" s="216"/>
      <c r="ED912" s="1461"/>
      <c r="EE912" s="249"/>
      <c r="EF912" s="216"/>
      <c r="EG912" s="355"/>
      <c r="EH912" s="1425"/>
      <c r="EI912" s="1470"/>
      <c r="EJ912" s="249"/>
      <c r="EK912" s="221"/>
      <c r="EL912" s="313"/>
      <c r="EM912" s="249"/>
      <c r="EN912" s="221"/>
      <c r="EO912" s="313"/>
      <c r="EP912" s="249"/>
      <c r="EQ912" s="216"/>
      <c r="ER912" s="313"/>
      <c r="ES912" s="249"/>
      <c r="ET912" s="216"/>
      <c r="EU912" s="313"/>
      <c r="EV912" s="249"/>
      <c r="EW912" s="216"/>
      <c r="EX912" s="2505"/>
      <c r="EY912" s="249"/>
      <c r="EZ912" s="221"/>
      <c r="FA912" s="313"/>
      <c r="FB912" s="249"/>
      <c r="FC912" s="221"/>
      <c r="FD912" s="313"/>
      <c r="FE912" s="249"/>
      <c r="FF912" s="221"/>
      <c r="FG912" s="313"/>
      <c r="FH912" s="249"/>
      <c r="FI912" s="216"/>
      <c r="FJ912" s="1435"/>
      <c r="FK912" s="216"/>
      <c r="FL912" s="1268"/>
      <c r="FM912" s="1655"/>
      <c r="FN912" s="1268"/>
      <c r="FO912" s="1655"/>
      <c r="FP912" s="1268"/>
      <c r="FQ912" s="1656"/>
      <c r="FR912" s="249"/>
      <c r="FS912" s="216"/>
      <c r="FT912" s="1657"/>
      <c r="FU912" s="1658"/>
      <c r="FV912" s="242"/>
      <c r="FW912" s="343"/>
      <c r="FX912" s="222"/>
      <c r="FY912" s="336"/>
      <c r="FZ912" s="223"/>
      <c r="GA912" s="338"/>
      <c r="GB912" s="204"/>
      <c r="GC912" s="339"/>
      <c r="GD912" s="342"/>
      <c r="GE912" s="199"/>
      <c r="GF912" s="199"/>
      <c r="GG912" s="199"/>
      <c r="GH912" s="199"/>
      <c r="GI912" s="199"/>
      <c r="GJ912" s="199"/>
      <c r="GK912" s="199"/>
      <c r="GO912" s="322"/>
      <c r="GP912" s="1190"/>
      <c r="GQ912" s="1190"/>
      <c r="GS912" s="2879"/>
      <c r="GT912" s="2880"/>
      <c r="GU912" s="2881"/>
    </row>
    <row r="913" spans="1:203" ht="12" customHeight="1">
      <c r="A913" s="1252"/>
      <c r="B913" s="200"/>
      <c r="C913" s="486"/>
      <c r="T913" s="1186"/>
      <c r="U913" s="233"/>
      <c r="W913" s="218"/>
      <c r="X913" s="218"/>
      <c r="Y913" s="216"/>
      <c r="Z913" s="216"/>
      <c r="AA913" s="215"/>
      <c r="AB913" s="216"/>
      <c r="AC913" s="216"/>
      <c r="AD913" s="239"/>
      <c r="AE913" s="216"/>
      <c r="AF913" s="216"/>
      <c r="AG913" s="216"/>
      <c r="AH913" s="216"/>
      <c r="AI913" s="216"/>
      <c r="AJ913" s="216"/>
      <c r="AK913" s="239"/>
      <c r="AL913" s="216"/>
      <c r="AM913" s="216"/>
      <c r="AN913" s="216"/>
      <c r="AO913" s="216"/>
      <c r="AP913" s="216"/>
      <c r="AQ913" s="216"/>
      <c r="AR913" s="216"/>
      <c r="AS913" s="216"/>
      <c r="AT913" s="216"/>
      <c r="AU913" s="216"/>
      <c r="AV913" s="217"/>
      <c r="AW913" s="355"/>
      <c r="AX913" s="217"/>
      <c r="AY913" s="305"/>
      <c r="AZ913" s="249"/>
      <c r="BA913" s="221"/>
      <c r="BB913" s="300"/>
      <c r="BC913" s="217"/>
      <c r="BD913" s="392"/>
      <c r="BE913" s="1244"/>
      <c r="BF913" s="249"/>
      <c r="BG913" s="252"/>
      <c r="BH913" s="1469"/>
      <c r="BI913" s="216"/>
      <c r="BJ913" s="1469"/>
      <c r="BK913" s="1459"/>
      <c r="BL913" s="260"/>
      <c r="BM913" s="214"/>
      <c r="BN913" s="293"/>
      <c r="BO913" s="217"/>
      <c r="BP913" s="355"/>
      <c r="BQ913" s="217"/>
      <c r="BR913" s="1193"/>
      <c r="BS913" s="249"/>
      <c r="BT913" s="216"/>
      <c r="BU913" s="1195"/>
      <c r="BV913" s="249"/>
      <c r="BW913" s="216"/>
      <c r="BX913" s="1195"/>
      <c r="BY913" s="249"/>
      <c r="BZ913" s="216"/>
      <c r="CA913" s="1195"/>
      <c r="CB913" s="249"/>
      <c r="CC913" s="216"/>
      <c r="CD913" s="1195"/>
      <c r="CE913" s="249"/>
      <c r="CF913" s="216"/>
      <c r="CG913" s="1195"/>
      <c r="CH913" s="249"/>
      <c r="CI913" s="216"/>
      <c r="CJ913" s="1195"/>
      <c r="CK913" s="249"/>
      <c r="CL913" s="216"/>
      <c r="CM913" s="1194"/>
      <c r="CN913" s="1524"/>
      <c r="CO913" s="217"/>
      <c r="CP913" s="1193"/>
      <c r="CQ913" s="293"/>
      <c r="CR913" s="217"/>
      <c r="CS913" s="305"/>
      <c r="CT913" s="249"/>
      <c r="CU913" s="216"/>
      <c r="CV913" s="1193"/>
      <c r="CW913" s="249"/>
      <c r="CX913" s="216"/>
      <c r="CY913" s="305"/>
      <c r="CZ913" s="249"/>
      <c r="DA913" s="216"/>
      <c r="DB913" s="307"/>
      <c r="DC913" s="328"/>
      <c r="DD913" s="322"/>
      <c r="DE913" s="305"/>
      <c r="DF913" s="249"/>
      <c r="DG913" s="216"/>
      <c r="DH913" s="305"/>
      <c r="DI913" s="249"/>
      <c r="DJ913" s="216"/>
      <c r="DK913" s="309"/>
      <c r="DL913" s="293"/>
      <c r="DM913" s="326"/>
      <c r="DN913" s="1256"/>
      <c r="DO913" s="214"/>
      <c r="DP913" s="1257"/>
      <c r="DQ913" s="1258"/>
      <c r="DR913" s="305"/>
      <c r="DS913" s="249"/>
      <c r="DT913" s="216"/>
      <c r="DU913" s="305"/>
      <c r="DV913" s="2520"/>
      <c r="DW913" s="2521"/>
      <c r="DX913" s="305"/>
      <c r="DY913" s="249"/>
      <c r="DZ913" s="221"/>
      <c r="EA913" s="388"/>
      <c r="EB913" s="249"/>
      <c r="EC913" s="216"/>
      <c r="ED913" s="1461"/>
      <c r="EE913" s="249"/>
      <c r="EF913" s="216"/>
      <c r="EG913" s="355"/>
      <c r="EH913" s="1425"/>
      <c r="EI913" s="1470"/>
      <c r="EJ913" s="249"/>
      <c r="EK913" s="221"/>
      <c r="EL913" s="313"/>
      <c r="EM913" s="249"/>
      <c r="EN913" s="221"/>
      <c r="EO913" s="313"/>
      <c r="EP913" s="249"/>
      <c r="EQ913" s="216"/>
      <c r="ER913" s="313"/>
      <c r="ES913" s="249"/>
      <c r="ET913" s="216"/>
      <c r="EU913" s="313"/>
      <c r="EV913" s="249"/>
      <c r="EW913" s="216"/>
      <c r="EX913" s="2505"/>
      <c r="EY913" s="249"/>
      <c r="EZ913" s="221"/>
      <c r="FA913" s="313"/>
      <c r="FB913" s="249"/>
      <c r="FC913" s="221"/>
      <c r="FD913" s="313"/>
      <c r="FE913" s="249"/>
      <c r="FF913" s="221"/>
      <c r="FG913" s="313"/>
      <c r="FH913" s="249"/>
      <c r="FI913" s="216"/>
      <c r="FJ913" s="1435"/>
      <c r="FK913" s="216"/>
      <c r="FL913" s="1268"/>
      <c r="FM913" s="1655"/>
      <c r="FN913" s="1268"/>
      <c r="FO913" s="1655"/>
      <c r="FP913" s="1268"/>
      <c r="FQ913" s="1656"/>
      <c r="FR913" s="249"/>
      <c r="FS913" s="216"/>
      <c r="FT913" s="1657"/>
      <c r="FU913" s="1658"/>
      <c r="FV913" s="242"/>
      <c r="FW913" s="343"/>
      <c r="FX913" s="222"/>
      <c r="FY913" s="336"/>
      <c r="FZ913" s="223"/>
      <c r="GA913" s="338"/>
      <c r="GB913" s="204"/>
      <c r="GC913" s="339"/>
      <c r="GD913" s="342"/>
      <c r="GE913" s="199"/>
      <c r="GF913" s="199"/>
      <c r="GG913" s="199"/>
      <c r="GH913" s="199"/>
      <c r="GI913" s="199"/>
      <c r="GJ913" s="199"/>
      <c r="GK913" s="199"/>
      <c r="GO913" s="322"/>
      <c r="GP913" s="1190"/>
      <c r="GQ913" s="1190"/>
      <c r="GS913" s="2879"/>
      <c r="GT913" s="2880"/>
      <c r="GU913" s="2881"/>
    </row>
    <row r="914" spans="1:203" ht="12" customHeight="1">
      <c r="A914" s="1252"/>
      <c r="B914" s="200"/>
      <c r="C914" s="486"/>
      <c r="T914" s="1186"/>
      <c r="U914" s="233"/>
      <c r="W914" s="218"/>
      <c r="X914" s="218"/>
      <c r="Y914" s="216"/>
      <c r="Z914" s="216"/>
      <c r="AA914" s="215"/>
      <c r="AB914" s="216"/>
      <c r="AC914" s="216"/>
      <c r="AD914" s="239"/>
      <c r="AE914" s="216"/>
      <c r="AF914" s="216"/>
      <c r="AG914" s="216"/>
      <c r="AH914" s="216"/>
      <c r="AI914" s="216"/>
      <c r="AJ914" s="216"/>
      <c r="AK914" s="239"/>
      <c r="AL914" s="216"/>
      <c r="AM914" s="216"/>
      <c r="AN914" s="216"/>
      <c r="AO914" s="216"/>
      <c r="AP914" s="216"/>
      <c r="AQ914" s="216"/>
      <c r="AR914" s="216"/>
      <c r="AS914" s="216"/>
      <c r="AT914" s="216"/>
      <c r="AU914" s="216"/>
      <c r="AV914" s="217"/>
      <c r="AW914" s="355"/>
      <c r="AX914" s="217"/>
      <c r="AY914" s="305"/>
      <c r="AZ914" s="249"/>
      <c r="BA914" s="221"/>
      <c r="BB914" s="300"/>
      <c r="BC914" s="217"/>
      <c r="BD914" s="392"/>
      <c r="BE914" s="1244"/>
      <c r="BF914" s="249"/>
      <c r="BG914" s="252"/>
      <c r="BH914" s="1469"/>
      <c r="BI914" s="216"/>
      <c r="BJ914" s="1469"/>
      <c r="BK914" s="1459"/>
      <c r="BL914" s="260"/>
      <c r="BM914" s="214"/>
      <c r="BN914" s="293"/>
      <c r="BO914" s="217"/>
      <c r="BP914" s="355"/>
      <c r="BQ914" s="217"/>
      <c r="BR914" s="1193"/>
      <c r="BS914" s="249"/>
      <c r="BT914" s="216"/>
      <c r="BU914" s="1195"/>
      <c r="BV914" s="249"/>
      <c r="BW914" s="216"/>
      <c r="BX914" s="1195"/>
      <c r="BY914" s="249"/>
      <c r="BZ914" s="216"/>
      <c r="CA914" s="1195"/>
      <c r="CB914" s="249"/>
      <c r="CC914" s="216"/>
      <c r="CD914" s="1195"/>
      <c r="CE914" s="249"/>
      <c r="CF914" s="216"/>
      <c r="CG914" s="1195"/>
      <c r="CH914" s="249"/>
      <c r="CI914" s="216"/>
      <c r="CJ914" s="1195"/>
      <c r="CK914" s="249"/>
      <c r="CL914" s="216"/>
      <c r="CM914" s="1194"/>
      <c r="CN914" s="1524"/>
      <c r="CO914" s="217"/>
      <c r="CP914" s="1193"/>
      <c r="CQ914" s="293"/>
      <c r="CR914" s="217"/>
      <c r="CS914" s="305"/>
      <c r="CT914" s="249"/>
      <c r="CU914" s="216"/>
      <c r="CV914" s="1193"/>
      <c r="CW914" s="249"/>
      <c r="CX914" s="216"/>
      <c r="CY914" s="305"/>
      <c r="CZ914" s="249"/>
      <c r="DA914" s="216"/>
      <c r="DB914" s="307"/>
      <c r="DC914" s="328"/>
      <c r="DD914" s="322"/>
      <c r="DE914" s="305"/>
      <c r="DF914" s="249"/>
      <c r="DG914" s="216"/>
      <c r="DH914" s="305"/>
      <c r="DI914" s="249"/>
      <c r="DJ914" s="216"/>
      <c r="DK914" s="309"/>
      <c r="DL914" s="293"/>
      <c r="DM914" s="326"/>
      <c r="DN914" s="1256"/>
      <c r="DO914" s="214"/>
      <c r="DP914" s="1257"/>
      <c r="DQ914" s="1258"/>
      <c r="DR914" s="305"/>
      <c r="DS914" s="249"/>
      <c r="DT914" s="216"/>
      <c r="DU914" s="305"/>
      <c r="DV914" s="2520"/>
      <c r="DW914" s="2521"/>
      <c r="DX914" s="305"/>
      <c r="DY914" s="249"/>
      <c r="DZ914" s="221"/>
      <c r="EA914" s="388"/>
      <c r="EB914" s="249"/>
      <c r="EC914" s="216"/>
      <c r="ED914" s="1461"/>
      <c r="EE914" s="249"/>
      <c r="EF914" s="216"/>
      <c r="EG914" s="355"/>
      <c r="EH914" s="1425"/>
      <c r="EI914" s="1470"/>
      <c r="EJ914" s="249"/>
      <c r="EK914" s="221"/>
      <c r="EL914" s="313"/>
      <c r="EM914" s="249"/>
      <c r="EN914" s="221"/>
      <c r="EO914" s="313"/>
      <c r="EP914" s="249"/>
      <c r="EQ914" s="216"/>
      <c r="ER914" s="313"/>
      <c r="ES914" s="249"/>
      <c r="ET914" s="216"/>
      <c r="EU914" s="313"/>
      <c r="EV914" s="249"/>
      <c r="EW914" s="216"/>
      <c r="EX914" s="2505"/>
      <c r="EY914" s="249"/>
      <c r="EZ914" s="221"/>
      <c r="FA914" s="313"/>
      <c r="FB914" s="249"/>
      <c r="FC914" s="221"/>
      <c r="FD914" s="313"/>
      <c r="FE914" s="249"/>
      <c r="FF914" s="221"/>
      <c r="FG914" s="313"/>
      <c r="FH914" s="249"/>
      <c r="FI914" s="216"/>
      <c r="FJ914" s="1435"/>
      <c r="FK914" s="216"/>
      <c r="FL914" s="1268"/>
      <c r="FM914" s="1655"/>
      <c r="FN914" s="1268"/>
      <c r="FO914" s="1655"/>
      <c r="FP914" s="1268"/>
      <c r="FQ914" s="1656"/>
      <c r="FR914" s="249"/>
      <c r="FS914" s="216"/>
      <c r="FT914" s="1657"/>
      <c r="FU914" s="1658"/>
      <c r="FV914" s="242"/>
      <c r="FW914" s="343"/>
      <c r="FX914" s="222"/>
      <c r="FY914" s="336"/>
      <c r="FZ914" s="223"/>
      <c r="GA914" s="338"/>
      <c r="GB914" s="204"/>
      <c r="GC914" s="339"/>
      <c r="GD914" s="342"/>
      <c r="GE914" s="199"/>
      <c r="GF914" s="199"/>
      <c r="GG914" s="199"/>
      <c r="GH914" s="199"/>
      <c r="GI914" s="199"/>
      <c r="GJ914" s="199"/>
      <c r="GK914" s="199"/>
      <c r="GO914" s="322"/>
      <c r="GP914" s="1190"/>
      <c r="GQ914" s="1190"/>
      <c r="GS914" s="2879"/>
      <c r="GT914" s="2880"/>
      <c r="GU914" s="2881"/>
    </row>
    <row r="915" spans="1:203" ht="12" customHeight="1">
      <c r="A915" s="1252"/>
      <c r="B915" s="200"/>
      <c r="C915" s="486"/>
      <c r="T915" s="1186"/>
      <c r="U915" s="233"/>
      <c r="W915" s="218"/>
      <c r="X915" s="218"/>
      <c r="Y915" s="216"/>
      <c r="Z915" s="216"/>
      <c r="AA915" s="215"/>
      <c r="AB915" s="216"/>
      <c r="AC915" s="216"/>
      <c r="AD915" s="239"/>
      <c r="AE915" s="216"/>
      <c r="AF915" s="216"/>
      <c r="AG915" s="216"/>
      <c r="AH915" s="216"/>
      <c r="AI915" s="216"/>
      <c r="AJ915" s="216"/>
      <c r="AK915" s="239"/>
      <c r="AL915" s="216"/>
      <c r="AM915" s="216"/>
      <c r="AN915" s="216"/>
      <c r="AO915" s="216"/>
      <c r="AP915" s="216"/>
      <c r="AQ915" s="216"/>
      <c r="AR915" s="216"/>
      <c r="AS915" s="216"/>
      <c r="AT915" s="216"/>
      <c r="AU915" s="216"/>
      <c r="AV915" s="217"/>
      <c r="AW915" s="355"/>
      <c r="AX915" s="217"/>
      <c r="AY915" s="305"/>
      <c r="AZ915" s="249"/>
      <c r="BA915" s="221"/>
      <c r="BB915" s="300"/>
      <c r="BC915" s="217"/>
      <c r="BD915" s="392"/>
      <c r="BE915" s="1244"/>
      <c r="BF915" s="249"/>
      <c r="BG915" s="252"/>
      <c r="BH915" s="1469"/>
      <c r="BI915" s="216"/>
      <c r="BJ915" s="1469"/>
      <c r="BK915" s="1459"/>
      <c r="BL915" s="260"/>
      <c r="BM915" s="214"/>
      <c r="BN915" s="293"/>
      <c r="BO915" s="217"/>
      <c r="BP915" s="355"/>
      <c r="BQ915" s="217"/>
      <c r="BR915" s="1193"/>
      <c r="BS915" s="249"/>
      <c r="BT915" s="216"/>
      <c r="BU915" s="1195"/>
      <c r="BV915" s="249"/>
      <c r="BW915" s="216"/>
      <c r="BX915" s="1195"/>
      <c r="BY915" s="249"/>
      <c r="BZ915" s="216"/>
      <c r="CA915" s="1195"/>
      <c r="CB915" s="249"/>
      <c r="CC915" s="216"/>
      <c r="CD915" s="1195"/>
      <c r="CE915" s="249"/>
      <c r="CF915" s="216"/>
      <c r="CG915" s="1195"/>
      <c r="CH915" s="249"/>
      <c r="CI915" s="216"/>
      <c r="CJ915" s="1195"/>
      <c r="CK915" s="249"/>
      <c r="CL915" s="216"/>
      <c r="CM915" s="1194"/>
      <c r="CN915" s="1524"/>
      <c r="CO915" s="217"/>
      <c r="CP915" s="1193"/>
      <c r="CQ915" s="293"/>
      <c r="CR915" s="217"/>
      <c r="CS915" s="305"/>
      <c r="CT915" s="249"/>
      <c r="CU915" s="216"/>
      <c r="CV915" s="1193"/>
      <c r="CW915" s="249"/>
      <c r="CX915" s="216"/>
      <c r="CY915" s="305"/>
      <c r="CZ915" s="249"/>
      <c r="DA915" s="216"/>
      <c r="DB915" s="307"/>
      <c r="DC915" s="328"/>
      <c r="DD915" s="322"/>
      <c r="DE915" s="305"/>
      <c r="DF915" s="249"/>
      <c r="DG915" s="216"/>
      <c r="DH915" s="305"/>
      <c r="DI915" s="249"/>
      <c r="DJ915" s="216"/>
      <c r="DK915" s="309"/>
      <c r="DL915" s="293"/>
      <c r="DM915" s="326"/>
      <c r="DN915" s="1256"/>
      <c r="DO915" s="214"/>
      <c r="DP915" s="1257"/>
      <c r="DQ915" s="1258"/>
      <c r="DR915" s="305"/>
      <c r="DS915" s="249"/>
      <c r="DT915" s="216"/>
      <c r="DU915" s="305"/>
      <c r="DV915" s="2520"/>
      <c r="DW915" s="2521"/>
      <c r="DX915" s="305"/>
      <c r="DY915" s="249"/>
      <c r="DZ915" s="221"/>
      <c r="EA915" s="388"/>
      <c r="EB915" s="249"/>
      <c r="EC915" s="216"/>
      <c r="ED915" s="1461"/>
      <c r="EE915" s="249"/>
      <c r="EF915" s="216"/>
      <c r="EG915" s="355"/>
      <c r="EH915" s="1425"/>
      <c r="EI915" s="1470"/>
      <c r="EJ915" s="249"/>
      <c r="EK915" s="221"/>
      <c r="EL915" s="313"/>
      <c r="EM915" s="249"/>
      <c r="EN915" s="221"/>
      <c r="EO915" s="313"/>
      <c r="EP915" s="249"/>
      <c r="EQ915" s="216"/>
      <c r="ER915" s="313"/>
      <c r="ES915" s="249"/>
      <c r="ET915" s="216"/>
      <c r="EU915" s="313"/>
      <c r="EV915" s="249"/>
      <c r="EW915" s="216"/>
      <c r="EX915" s="2505"/>
      <c r="EY915" s="249"/>
      <c r="EZ915" s="221"/>
      <c r="FA915" s="313"/>
      <c r="FB915" s="249"/>
      <c r="FC915" s="221"/>
      <c r="FD915" s="313"/>
      <c r="FE915" s="249"/>
      <c r="FF915" s="221"/>
      <c r="FG915" s="313"/>
      <c r="FH915" s="249"/>
      <c r="FI915" s="216"/>
      <c r="FJ915" s="1435"/>
      <c r="FK915" s="216"/>
      <c r="FL915" s="1268"/>
      <c r="FM915" s="1655"/>
      <c r="FN915" s="1268"/>
      <c r="FO915" s="1655"/>
      <c r="FP915" s="1268"/>
      <c r="FQ915" s="1656"/>
      <c r="FR915" s="249"/>
      <c r="FS915" s="216"/>
      <c r="FT915" s="1657"/>
      <c r="FU915" s="1658"/>
      <c r="FV915" s="242"/>
      <c r="FW915" s="343"/>
      <c r="FX915" s="222"/>
      <c r="FY915" s="336"/>
      <c r="FZ915" s="223"/>
      <c r="GA915" s="338"/>
      <c r="GB915" s="204"/>
      <c r="GC915" s="339"/>
      <c r="GD915" s="342"/>
      <c r="GE915" s="199"/>
      <c r="GF915" s="199"/>
      <c r="GG915" s="199"/>
      <c r="GH915" s="199"/>
      <c r="GI915" s="199"/>
      <c r="GJ915" s="199"/>
      <c r="GK915" s="199"/>
      <c r="GO915" s="322"/>
      <c r="GP915" s="1190"/>
      <c r="GQ915" s="1190"/>
      <c r="GS915" s="2879"/>
      <c r="GT915" s="2880"/>
      <c r="GU915" s="2881"/>
    </row>
    <row r="916" spans="1:203" ht="12" customHeight="1">
      <c r="A916" s="1252"/>
      <c r="B916" s="200"/>
      <c r="C916" s="486"/>
      <c r="T916" s="1186"/>
      <c r="U916" s="233"/>
      <c r="W916" s="218"/>
      <c r="X916" s="218"/>
      <c r="Y916" s="216"/>
      <c r="Z916" s="216"/>
      <c r="AA916" s="215"/>
      <c r="AB916" s="216"/>
      <c r="AC916" s="216"/>
      <c r="AD916" s="239"/>
      <c r="AE916" s="216"/>
      <c r="AF916" s="216"/>
      <c r="AG916" s="216"/>
      <c r="AH916" s="216"/>
      <c r="AI916" s="216"/>
      <c r="AJ916" s="216"/>
      <c r="AK916" s="239"/>
      <c r="AL916" s="216"/>
      <c r="AM916" s="216"/>
      <c r="AN916" s="216"/>
      <c r="AO916" s="216"/>
      <c r="AP916" s="216"/>
      <c r="AQ916" s="216"/>
      <c r="AR916" s="216"/>
      <c r="AS916" s="216"/>
      <c r="AT916" s="216"/>
      <c r="AU916" s="216"/>
      <c r="AV916" s="217"/>
      <c r="AW916" s="355"/>
      <c r="AX916" s="217"/>
      <c r="AY916" s="305"/>
      <c r="AZ916" s="249"/>
      <c r="BA916" s="221"/>
      <c r="BB916" s="300"/>
      <c r="BC916" s="217"/>
      <c r="BD916" s="392"/>
      <c r="BE916" s="1244"/>
      <c r="BF916" s="249"/>
      <c r="BG916" s="252"/>
      <c r="BH916" s="1469"/>
      <c r="BI916" s="216"/>
      <c r="BJ916" s="1469"/>
      <c r="BK916" s="1459"/>
      <c r="BL916" s="260"/>
      <c r="BM916" s="214"/>
      <c r="BN916" s="293"/>
      <c r="BO916" s="217"/>
      <c r="BP916" s="355"/>
      <c r="BQ916" s="217"/>
      <c r="BR916" s="1193"/>
      <c r="BS916" s="249"/>
      <c r="BT916" s="216"/>
      <c r="BU916" s="1195"/>
      <c r="BV916" s="249"/>
      <c r="BW916" s="216"/>
      <c r="BX916" s="1195"/>
      <c r="BY916" s="249"/>
      <c r="BZ916" s="216"/>
      <c r="CA916" s="1195"/>
      <c r="CB916" s="249"/>
      <c r="CC916" s="216"/>
      <c r="CD916" s="1195"/>
      <c r="CE916" s="249"/>
      <c r="CF916" s="216"/>
      <c r="CG916" s="1195"/>
      <c r="CH916" s="249"/>
      <c r="CI916" s="216"/>
      <c r="CJ916" s="1195"/>
      <c r="CK916" s="249"/>
      <c r="CL916" s="216"/>
      <c r="CM916" s="1194"/>
      <c r="CN916" s="1524"/>
      <c r="CO916" s="217"/>
      <c r="CP916" s="1193"/>
      <c r="CQ916" s="293"/>
      <c r="CR916" s="217"/>
      <c r="CS916" s="305"/>
      <c r="CT916" s="249"/>
      <c r="CU916" s="216"/>
      <c r="CV916" s="1193"/>
      <c r="CW916" s="249"/>
      <c r="CX916" s="216"/>
      <c r="CY916" s="305"/>
      <c r="CZ916" s="249"/>
      <c r="DA916" s="216"/>
      <c r="DB916" s="307"/>
      <c r="DC916" s="328"/>
      <c r="DD916" s="322"/>
      <c r="DE916" s="305"/>
      <c r="DF916" s="249"/>
      <c r="DG916" s="216"/>
      <c r="DH916" s="305"/>
      <c r="DI916" s="249"/>
      <c r="DJ916" s="216"/>
      <c r="DK916" s="309"/>
      <c r="DL916" s="293"/>
      <c r="DM916" s="326"/>
      <c r="DN916" s="1256"/>
      <c r="DO916" s="214"/>
      <c r="DP916" s="1257"/>
      <c r="DQ916" s="1258"/>
      <c r="DR916" s="305"/>
      <c r="DS916" s="249"/>
      <c r="DT916" s="216"/>
      <c r="DU916" s="305"/>
      <c r="DV916" s="2520"/>
      <c r="DW916" s="2521"/>
      <c r="DX916" s="305"/>
      <c r="DY916" s="249"/>
      <c r="DZ916" s="221"/>
      <c r="EA916" s="388"/>
      <c r="EB916" s="249"/>
      <c r="EC916" s="216"/>
      <c r="ED916" s="1461"/>
      <c r="EE916" s="249"/>
      <c r="EF916" s="216"/>
      <c r="EG916" s="355"/>
      <c r="EH916" s="1425"/>
      <c r="EI916" s="1470"/>
      <c r="EJ916" s="249"/>
      <c r="EK916" s="221"/>
      <c r="EL916" s="313"/>
      <c r="EM916" s="249"/>
      <c r="EN916" s="221"/>
      <c r="EO916" s="313"/>
      <c r="EP916" s="249"/>
      <c r="EQ916" s="216"/>
      <c r="ER916" s="313"/>
      <c r="ES916" s="249"/>
      <c r="ET916" s="216"/>
      <c r="EU916" s="313"/>
      <c r="EV916" s="249"/>
      <c r="EW916" s="216"/>
      <c r="EX916" s="2505"/>
      <c r="EY916" s="249"/>
      <c r="EZ916" s="221"/>
      <c r="FA916" s="313"/>
      <c r="FB916" s="249"/>
      <c r="FC916" s="221"/>
      <c r="FD916" s="313"/>
      <c r="FE916" s="249"/>
      <c r="FF916" s="221"/>
      <c r="FG916" s="313"/>
      <c r="FH916" s="249"/>
      <c r="FI916" s="216"/>
      <c r="FJ916" s="1435"/>
      <c r="FK916" s="216"/>
      <c r="FL916" s="1268"/>
      <c r="FM916" s="1655"/>
      <c r="FN916" s="1268"/>
      <c r="FO916" s="1655"/>
      <c r="FP916" s="1268"/>
      <c r="FQ916" s="1656"/>
      <c r="FR916" s="249"/>
      <c r="FS916" s="216"/>
      <c r="FT916" s="1657"/>
      <c r="FU916" s="1658"/>
      <c r="FV916" s="242"/>
      <c r="FW916" s="343"/>
      <c r="FX916" s="222"/>
      <c r="FY916" s="336"/>
      <c r="FZ916" s="223"/>
      <c r="GA916" s="338"/>
      <c r="GB916" s="204"/>
      <c r="GC916" s="339"/>
      <c r="GD916" s="342"/>
      <c r="GE916" s="199"/>
      <c r="GF916" s="199"/>
      <c r="GG916" s="199"/>
      <c r="GH916" s="199"/>
      <c r="GI916" s="199"/>
      <c r="GJ916" s="199"/>
      <c r="GK916" s="199"/>
      <c r="GO916" s="322"/>
      <c r="GP916" s="1190"/>
      <c r="GQ916" s="1190"/>
      <c r="GS916" s="2879"/>
      <c r="GT916" s="2880"/>
      <c r="GU916" s="2881"/>
    </row>
    <row r="917" spans="1:203" ht="12" customHeight="1">
      <c r="A917" s="1252"/>
      <c r="B917" s="200"/>
      <c r="C917" s="486"/>
      <c r="T917" s="1186"/>
      <c r="U917" s="233"/>
      <c r="W917" s="218"/>
      <c r="X917" s="218"/>
      <c r="Y917" s="216"/>
      <c r="Z917" s="216"/>
      <c r="AA917" s="215"/>
      <c r="AB917" s="216"/>
      <c r="AC917" s="216"/>
      <c r="AD917" s="239"/>
      <c r="AE917" s="216"/>
      <c r="AF917" s="216"/>
      <c r="AG917" s="216"/>
      <c r="AH917" s="216"/>
      <c r="AI917" s="216"/>
      <c r="AJ917" s="216"/>
      <c r="AK917" s="239"/>
      <c r="AL917" s="216"/>
      <c r="AM917" s="216"/>
      <c r="AN917" s="216"/>
      <c r="AO917" s="216"/>
      <c r="AP917" s="216"/>
      <c r="AQ917" s="216"/>
      <c r="AR917" s="216"/>
      <c r="AS917" s="216"/>
      <c r="AT917" s="216"/>
      <c r="AU917" s="216"/>
      <c r="AV917" s="217"/>
      <c r="AW917" s="355"/>
      <c r="AX917" s="217"/>
      <c r="AY917" s="305"/>
      <c r="AZ917" s="249"/>
      <c r="BA917" s="221"/>
      <c r="BB917" s="300"/>
      <c r="BC917" s="217"/>
      <c r="BD917" s="392"/>
      <c r="BE917" s="1244"/>
      <c r="BF917" s="249"/>
      <c r="BG917" s="252"/>
      <c r="BH917" s="1469"/>
      <c r="BI917" s="216"/>
      <c r="BJ917" s="1469"/>
      <c r="BK917" s="1459"/>
      <c r="BL917" s="260"/>
      <c r="BM917" s="214"/>
      <c r="BN917" s="293"/>
      <c r="BO917" s="217"/>
      <c r="BP917" s="355"/>
      <c r="BQ917" s="217"/>
      <c r="BR917" s="1193"/>
      <c r="BS917" s="249"/>
      <c r="BT917" s="216"/>
      <c r="BU917" s="1195"/>
      <c r="BV917" s="249"/>
      <c r="BW917" s="216"/>
      <c r="BX917" s="1195"/>
      <c r="BY917" s="249"/>
      <c r="BZ917" s="216"/>
      <c r="CA917" s="1195"/>
      <c r="CB917" s="249"/>
      <c r="CC917" s="216"/>
      <c r="CD917" s="1195"/>
      <c r="CE917" s="249"/>
      <c r="CF917" s="216"/>
      <c r="CG917" s="1195"/>
      <c r="CH917" s="249"/>
      <c r="CI917" s="216"/>
      <c r="CJ917" s="1195"/>
      <c r="CK917" s="249"/>
      <c r="CL917" s="216"/>
      <c r="CM917" s="1194"/>
      <c r="CN917" s="1524"/>
      <c r="CO917" s="217"/>
      <c r="CP917" s="1193"/>
      <c r="CQ917" s="293"/>
      <c r="CR917" s="217"/>
      <c r="CS917" s="305"/>
      <c r="CT917" s="249"/>
      <c r="CU917" s="216"/>
      <c r="CV917" s="1193"/>
      <c r="CW917" s="249"/>
      <c r="CX917" s="216"/>
      <c r="CY917" s="305"/>
      <c r="CZ917" s="249"/>
      <c r="DA917" s="216"/>
      <c r="DB917" s="307"/>
      <c r="DC917" s="328"/>
      <c r="DD917" s="322"/>
      <c r="DE917" s="305"/>
      <c r="DF917" s="249"/>
      <c r="DG917" s="216"/>
      <c r="DH917" s="305"/>
      <c r="DI917" s="249"/>
      <c r="DJ917" s="216"/>
      <c r="DK917" s="309"/>
      <c r="DL917" s="293"/>
      <c r="DM917" s="326"/>
      <c r="DN917" s="1256"/>
      <c r="DO917" s="214"/>
      <c r="DP917" s="1257"/>
      <c r="DQ917" s="1258"/>
      <c r="DR917" s="305"/>
      <c r="DS917" s="249"/>
      <c r="DT917" s="216"/>
      <c r="DU917" s="305"/>
      <c r="DV917" s="2520"/>
      <c r="DW917" s="2521"/>
      <c r="DX917" s="305"/>
      <c r="DY917" s="249"/>
      <c r="DZ917" s="221"/>
      <c r="EA917" s="388"/>
      <c r="EB917" s="249"/>
      <c r="EC917" s="216"/>
      <c r="ED917" s="1461"/>
      <c r="EE917" s="249"/>
      <c r="EF917" s="216"/>
      <c r="EG917" s="355"/>
      <c r="EH917" s="1425"/>
      <c r="EI917" s="1470"/>
      <c r="EJ917" s="249"/>
      <c r="EK917" s="221"/>
      <c r="EL917" s="313"/>
      <c r="EM917" s="249"/>
      <c r="EN917" s="221"/>
      <c r="EO917" s="313"/>
      <c r="EP917" s="249"/>
      <c r="EQ917" s="216"/>
      <c r="ER917" s="313"/>
      <c r="ES917" s="249"/>
      <c r="ET917" s="216"/>
      <c r="EU917" s="313"/>
      <c r="EV917" s="249"/>
      <c r="EW917" s="216"/>
      <c r="EX917" s="2505"/>
      <c r="EY917" s="249"/>
      <c r="EZ917" s="221"/>
      <c r="FA917" s="313"/>
      <c r="FB917" s="249"/>
      <c r="FC917" s="221"/>
      <c r="FD917" s="313"/>
      <c r="FE917" s="249"/>
      <c r="FF917" s="221"/>
      <c r="FG917" s="313"/>
      <c r="FH917" s="249"/>
      <c r="FI917" s="216"/>
      <c r="FJ917" s="1435"/>
      <c r="FK917" s="216"/>
      <c r="FL917" s="1268"/>
      <c r="FM917" s="1655"/>
      <c r="FN917" s="1268"/>
      <c r="FO917" s="1655"/>
      <c r="FP917" s="1268"/>
      <c r="FQ917" s="1656"/>
      <c r="FR917" s="249"/>
      <c r="FS917" s="216"/>
      <c r="FT917" s="1657"/>
      <c r="FU917" s="1658"/>
      <c r="FV917" s="242"/>
      <c r="FW917" s="343"/>
      <c r="FX917" s="222"/>
      <c r="FY917" s="336"/>
      <c r="FZ917" s="223"/>
      <c r="GA917" s="338"/>
      <c r="GB917" s="204"/>
      <c r="GC917" s="339"/>
      <c r="GD917" s="342"/>
      <c r="GE917" s="199"/>
      <c r="GF917" s="199"/>
      <c r="GG917" s="199"/>
      <c r="GH917" s="199"/>
      <c r="GI917" s="199"/>
      <c r="GJ917" s="199"/>
      <c r="GK917" s="199"/>
      <c r="GO917" s="322"/>
      <c r="GP917" s="1190"/>
      <c r="GQ917" s="1190"/>
      <c r="GS917" s="2879"/>
      <c r="GT917" s="2880"/>
      <c r="GU917" s="2881"/>
    </row>
    <row r="918" spans="1:203" ht="12" customHeight="1">
      <c r="A918" s="1252"/>
      <c r="B918" s="200"/>
      <c r="C918" s="486"/>
      <c r="T918" s="1186"/>
      <c r="U918" s="233"/>
      <c r="W918" s="218"/>
      <c r="X918" s="218"/>
      <c r="Y918" s="216"/>
      <c r="Z918" s="216"/>
      <c r="AA918" s="215"/>
      <c r="AB918" s="216"/>
      <c r="AC918" s="216"/>
      <c r="AD918" s="239"/>
      <c r="AE918" s="216"/>
      <c r="AF918" s="216"/>
      <c r="AG918" s="216"/>
      <c r="AH918" s="216"/>
      <c r="AI918" s="216"/>
      <c r="AJ918" s="216"/>
      <c r="AK918" s="239"/>
      <c r="AL918" s="216"/>
      <c r="AM918" s="216"/>
      <c r="AN918" s="216"/>
      <c r="AO918" s="216"/>
      <c r="AP918" s="216"/>
      <c r="AQ918" s="216"/>
      <c r="AR918" s="216"/>
      <c r="AS918" s="216"/>
      <c r="AT918" s="216"/>
      <c r="AU918" s="216"/>
      <c r="AV918" s="217"/>
      <c r="AW918" s="355"/>
      <c r="AX918" s="217"/>
      <c r="AY918" s="305"/>
      <c r="AZ918" s="249"/>
      <c r="BA918" s="221"/>
      <c r="BB918" s="300"/>
      <c r="BC918" s="217"/>
      <c r="BD918" s="392"/>
      <c r="BE918" s="1244"/>
      <c r="BF918" s="249"/>
      <c r="BG918" s="252"/>
      <c r="BH918" s="1469"/>
      <c r="BI918" s="216"/>
      <c r="BJ918" s="1469"/>
      <c r="BK918" s="1459"/>
      <c r="BL918" s="260"/>
      <c r="BM918" s="214"/>
      <c r="BN918" s="293"/>
      <c r="BO918" s="217"/>
      <c r="BP918" s="355"/>
      <c r="BQ918" s="217"/>
      <c r="BR918" s="1193"/>
      <c r="BS918" s="249"/>
      <c r="BT918" s="216"/>
      <c r="BU918" s="1195"/>
      <c r="BV918" s="249"/>
      <c r="BW918" s="216"/>
      <c r="BX918" s="1195"/>
      <c r="BY918" s="249"/>
      <c r="BZ918" s="216"/>
      <c r="CA918" s="1195"/>
      <c r="CB918" s="249"/>
      <c r="CC918" s="216"/>
      <c r="CD918" s="1195"/>
      <c r="CE918" s="249"/>
      <c r="CF918" s="216"/>
      <c r="CG918" s="1195"/>
      <c r="CH918" s="249"/>
      <c r="CI918" s="216"/>
      <c r="CJ918" s="1195"/>
      <c r="CK918" s="249"/>
      <c r="CL918" s="216"/>
      <c r="CM918" s="1194"/>
      <c r="CN918" s="1524"/>
      <c r="CO918" s="217"/>
      <c r="CP918" s="1193"/>
      <c r="CQ918" s="293"/>
      <c r="CR918" s="217"/>
      <c r="CS918" s="305"/>
      <c r="CT918" s="249"/>
      <c r="CU918" s="216"/>
      <c r="CV918" s="1193"/>
      <c r="CW918" s="249"/>
      <c r="CX918" s="216"/>
      <c r="CY918" s="305"/>
      <c r="CZ918" s="249"/>
      <c r="DA918" s="216"/>
      <c r="DB918" s="307"/>
      <c r="DC918" s="328"/>
      <c r="DD918" s="322"/>
      <c r="DE918" s="305"/>
      <c r="DF918" s="249"/>
      <c r="DG918" s="216"/>
      <c r="DH918" s="305"/>
      <c r="DI918" s="249"/>
      <c r="DJ918" s="216"/>
      <c r="DK918" s="309"/>
      <c r="DL918" s="293"/>
      <c r="DM918" s="326"/>
      <c r="DN918" s="1256"/>
      <c r="DO918" s="214"/>
      <c r="DP918" s="1257"/>
      <c r="DQ918" s="1258"/>
      <c r="DR918" s="305"/>
      <c r="DS918" s="249"/>
      <c r="DT918" s="216"/>
      <c r="DU918" s="305"/>
      <c r="DV918" s="2520"/>
      <c r="DW918" s="2521"/>
      <c r="DX918" s="305"/>
      <c r="DY918" s="249"/>
      <c r="DZ918" s="221"/>
      <c r="EA918" s="388"/>
      <c r="EB918" s="249"/>
      <c r="EC918" s="216"/>
      <c r="ED918" s="1461"/>
      <c r="EE918" s="249"/>
      <c r="EF918" s="216"/>
      <c r="EG918" s="355"/>
      <c r="EH918" s="1425"/>
      <c r="EI918" s="1470"/>
      <c r="EJ918" s="249"/>
      <c r="EK918" s="221"/>
      <c r="EL918" s="313"/>
      <c r="EM918" s="249"/>
      <c r="EN918" s="221"/>
      <c r="EO918" s="313"/>
      <c r="EP918" s="249"/>
      <c r="EQ918" s="216"/>
      <c r="ER918" s="313"/>
      <c r="ES918" s="249"/>
      <c r="ET918" s="216"/>
      <c r="EU918" s="313"/>
      <c r="EV918" s="249"/>
      <c r="EW918" s="216"/>
      <c r="EX918" s="2505"/>
      <c r="EY918" s="249"/>
      <c r="EZ918" s="221"/>
      <c r="FA918" s="313"/>
      <c r="FB918" s="249"/>
      <c r="FC918" s="221"/>
      <c r="FD918" s="313"/>
      <c r="FE918" s="249"/>
      <c r="FF918" s="221"/>
      <c r="FG918" s="313"/>
      <c r="FH918" s="249"/>
      <c r="FI918" s="216"/>
      <c r="FJ918" s="1435"/>
      <c r="FK918" s="216"/>
      <c r="FL918" s="1268"/>
      <c r="FM918" s="1655"/>
      <c r="FN918" s="1268"/>
      <c r="FO918" s="1655"/>
      <c r="FP918" s="1268"/>
      <c r="FQ918" s="1656"/>
      <c r="FR918" s="249"/>
      <c r="FS918" s="216"/>
      <c r="FT918" s="1657"/>
      <c r="FU918" s="1658"/>
      <c r="FV918" s="242"/>
      <c r="FW918" s="343"/>
      <c r="FX918" s="222"/>
      <c r="FY918" s="336"/>
      <c r="FZ918" s="223"/>
      <c r="GA918" s="338"/>
      <c r="GB918" s="204"/>
      <c r="GC918" s="339"/>
      <c r="GD918" s="342"/>
      <c r="GE918" s="199"/>
      <c r="GF918" s="199"/>
      <c r="GG918" s="199"/>
      <c r="GH918" s="199"/>
      <c r="GI918" s="199"/>
      <c r="GJ918" s="199"/>
      <c r="GK918" s="199"/>
      <c r="GO918" s="322"/>
      <c r="GP918" s="1190"/>
      <c r="GQ918" s="1190"/>
      <c r="GS918" s="2879"/>
      <c r="GT918" s="2880"/>
      <c r="GU918" s="2881"/>
    </row>
    <row r="919" spans="1:203" ht="12" customHeight="1">
      <c r="A919" s="1252"/>
      <c r="B919" s="200"/>
      <c r="C919" s="486"/>
      <c r="T919" s="1186"/>
      <c r="U919" s="233"/>
      <c r="W919" s="218"/>
      <c r="X919" s="218"/>
      <c r="Y919" s="216"/>
      <c r="Z919" s="216"/>
      <c r="AA919" s="215"/>
      <c r="AB919" s="216"/>
      <c r="AC919" s="216"/>
      <c r="AD919" s="239"/>
      <c r="AE919" s="216"/>
      <c r="AF919" s="216"/>
      <c r="AG919" s="216"/>
      <c r="AH919" s="216"/>
      <c r="AI919" s="216"/>
      <c r="AJ919" s="216"/>
      <c r="AK919" s="239"/>
      <c r="AL919" s="216"/>
      <c r="AM919" s="216"/>
      <c r="AN919" s="216"/>
      <c r="AO919" s="216"/>
      <c r="AP919" s="216"/>
      <c r="AQ919" s="216"/>
      <c r="AR919" s="216"/>
      <c r="AS919" s="216"/>
      <c r="AT919" s="216"/>
      <c r="AU919" s="216"/>
      <c r="AV919" s="217"/>
      <c r="AW919" s="355"/>
      <c r="AX919" s="217"/>
      <c r="AY919" s="305"/>
      <c r="AZ919" s="249"/>
      <c r="BA919" s="221"/>
      <c r="BB919" s="300"/>
      <c r="BC919" s="217"/>
      <c r="BD919" s="392"/>
      <c r="BE919" s="1244"/>
      <c r="BF919" s="249"/>
      <c r="BG919" s="252"/>
      <c r="BH919" s="1469"/>
      <c r="BI919" s="216"/>
      <c r="BJ919" s="1469"/>
      <c r="BK919" s="1459"/>
      <c r="BL919" s="260"/>
      <c r="BM919" s="214"/>
      <c r="BN919" s="293"/>
      <c r="BO919" s="217"/>
      <c r="BP919" s="355"/>
      <c r="BQ919" s="217"/>
      <c r="BR919" s="1193"/>
      <c r="BS919" s="249"/>
      <c r="BT919" s="216"/>
      <c r="BU919" s="1195"/>
      <c r="BV919" s="249"/>
      <c r="BW919" s="216"/>
      <c r="BX919" s="1195"/>
      <c r="BY919" s="249"/>
      <c r="BZ919" s="216"/>
      <c r="CA919" s="1195"/>
      <c r="CB919" s="249"/>
      <c r="CC919" s="216"/>
      <c r="CD919" s="1195"/>
      <c r="CE919" s="249"/>
      <c r="CF919" s="216"/>
      <c r="CG919" s="1195"/>
      <c r="CH919" s="249"/>
      <c r="CI919" s="216"/>
      <c r="CJ919" s="1195"/>
      <c r="CK919" s="249"/>
      <c r="CL919" s="216"/>
      <c r="CM919" s="1194"/>
      <c r="CN919" s="1524"/>
      <c r="CO919" s="217"/>
      <c r="CP919" s="1193"/>
      <c r="CQ919" s="293"/>
      <c r="CR919" s="217"/>
      <c r="CS919" s="305"/>
      <c r="CT919" s="249"/>
      <c r="CU919" s="216"/>
      <c r="CV919" s="1193"/>
      <c r="CW919" s="249"/>
      <c r="CX919" s="216"/>
      <c r="CY919" s="305"/>
      <c r="CZ919" s="249"/>
      <c r="DA919" s="216"/>
      <c r="DB919" s="307"/>
      <c r="DC919" s="328"/>
      <c r="DD919" s="322"/>
      <c r="DE919" s="305"/>
      <c r="DF919" s="249"/>
      <c r="DG919" s="216"/>
      <c r="DH919" s="305"/>
      <c r="DI919" s="249"/>
      <c r="DJ919" s="216"/>
      <c r="DK919" s="309"/>
      <c r="DL919" s="293"/>
      <c r="DM919" s="326"/>
      <c r="DN919" s="1256"/>
      <c r="DO919" s="214"/>
      <c r="DP919" s="1257"/>
      <c r="DQ919" s="1258"/>
      <c r="DR919" s="305"/>
      <c r="DS919" s="249"/>
      <c r="DT919" s="216"/>
      <c r="DU919" s="305"/>
      <c r="DV919" s="2520"/>
      <c r="DW919" s="2521"/>
      <c r="DX919" s="305"/>
      <c r="DY919" s="249"/>
      <c r="DZ919" s="221"/>
      <c r="EA919" s="388"/>
      <c r="EB919" s="249"/>
      <c r="EC919" s="216"/>
      <c r="ED919" s="1461"/>
      <c r="EE919" s="249"/>
      <c r="EF919" s="216"/>
      <c r="EG919" s="355"/>
      <c r="EH919" s="1425"/>
      <c r="EI919" s="1470"/>
      <c r="EJ919" s="249"/>
      <c r="EK919" s="221"/>
      <c r="EL919" s="313"/>
      <c r="EM919" s="249"/>
      <c r="EN919" s="221"/>
      <c r="EO919" s="313"/>
      <c r="EP919" s="249"/>
      <c r="EQ919" s="216"/>
      <c r="ER919" s="313"/>
      <c r="ES919" s="249"/>
      <c r="ET919" s="216"/>
      <c r="EU919" s="313"/>
      <c r="EV919" s="249"/>
      <c r="EW919" s="216"/>
      <c r="EX919" s="2505"/>
      <c r="EY919" s="249"/>
      <c r="EZ919" s="221"/>
      <c r="FA919" s="313"/>
      <c r="FB919" s="249"/>
      <c r="FC919" s="221"/>
      <c r="FD919" s="313"/>
      <c r="FE919" s="249"/>
      <c r="FF919" s="221"/>
      <c r="FG919" s="313"/>
      <c r="FH919" s="249"/>
      <c r="FI919" s="216"/>
      <c r="FJ919" s="1435"/>
      <c r="FK919" s="216"/>
      <c r="FL919" s="1268"/>
      <c r="FM919" s="1655"/>
      <c r="FN919" s="1268"/>
      <c r="FO919" s="1655"/>
      <c r="FP919" s="1268"/>
      <c r="FQ919" s="1656"/>
      <c r="FR919" s="249"/>
      <c r="FS919" s="216"/>
      <c r="FT919" s="1657"/>
      <c r="FU919" s="1658"/>
      <c r="FV919" s="242"/>
      <c r="FW919" s="343"/>
      <c r="FX919" s="222"/>
      <c r="FY919" s="336"/>
      <c r="FZ919" s="223"/>
      <c r="GA919" s="338"/>
      <c r="GB919" s="204"/>
      <c r="GC919" s="339"/>
      <c r="GD919" s="342"/>
      <c r="GE919" s="199"/>
      <c r="GF919" s="199"/>
      <c r="GG919" s="199"/>
      <c r="GH919" s="199"/>
      <c r="GI919" s="199"/>
      <c r="GJ919" s="199"/>
      <c r="GK919" s="199"/>
      <c r="GO919" s="322"/>
      <c r="GP919" s="1190"/>
      <c r="GQ919" s="1190"/>
      <c r="GS919" s="2879"/>
      <c r="GT919" s="2880"/>
      <c r="GU919" s="2881"/>
    </row>
    <row r="920" spans="1:203" ht="12" customHeight="1">
      <c r="A920" s="1252"/>
      <c r="B920" s="200"/>
      <c r="C920" s="486"/>
      <c r="T920" s="1186"/>
      <c r="U920" s="233"/>
      <c r="W920" s="218"/>
      <c r="X920" s="218"/>
      <c r="Y920" s="216"/>
      <c r="Z920" s="216"/>
      <c r="AA920" s="215"/>
      <c r="AB920" s="216"/>
      <c r="AC920" s="216"/>
      <c r="AD920" s="239"/>
      <c r="AE920" s="216"/>
      <c r="AF920" s="216"/>
      <c r="AG920" s="216"/>
      <c r="AH920" s="216"/>
      <c r="AI920" s="216"/>
      <c r="AJ920" s="216"/>
      <c r="AK920" s="239"/>
      <c r="AL920" s="216"/>
      <c r="AM920" s="216"/>
      <c r="AN920" s="216"/>
      <c r="AO920" s="216"/>
      <c r="AP920" s="216"/>
      <c r="AQ920" s="216"/>
      <c r="AR920" s="216"/>
      <c r="AS920" s="216"/>
      <c r="AT920" s="216"/>
      <c r="AU920" s="216"/>
      <c r="AV920" s="217"/>
      <c r="AW920" s="355"/>
      <c r="AX920" s="217"/>
      <c r="AY920" s="305"/>
      <c r="AZ920" s="249"/>
      <c r="BA920" s="221"/>
      <c r="BB920" s="300"/>
      <c r="BC920" s="217"/>
      <c r="BD920" s="392"/>
      <c r="BE920" s="1244"/>
      <c r="BF920" s="249"/>
      <c r="BG920" s="252"/>
      <c r="BH920" s="1469"/>
      <c r="BI920" s="216"/>
      <c r="BJ920" s="1469"/>
      <c r="BK920" s="1459"/>
      <c r="BL920" s="260"/>
      <c r="BM920" s="214"/>
      <c r="BN920" s="293"/>
      <c r="BO920" s="217"/>
      <c r="BP920" s="355"/>
      <c r="BQ920" s="217"/>
      <c r="BR920" s="1193"/>
      <c r="BS920" s="249"/>
      <c r="BT920" s="216"/>
      <c r="BU920" s="1195"/>
      <c r="BV920" s="249"/>
      <c r="BW920" s="216"/>
      <c r="BX920" s="1195"/>
      <c r="BY920" s="249"/>
      <c r="BZ920" s="216"/>
      <c r="CA920" s="1195"/>
      <c r="CB920" s="249"/>
      <c r="CC920" s="216"/>
      <c r="CD920" s="1195"/>
      <c r="CE920" s="249"/>
      <c r="CF920" s="216"/>
      <c r="CG920" s="1195"/>
      <c r="CH920" s="249"/>
      <c r="CI920" s="216"/>
      <c r="CJ920" s="1195"/>
      <c r="CK920" s="249"/>
      <c r="CL920" s="216"/>
      <c r="CM920" s="1194"/>
      <c r="CN920" s="1524"/>
      <c r="CO920" s="217"/>
      <c r="CP920" s="1193"/>
      <c r="CQ920" s="293"/>
      <c r="CR920" s="217"/>
      <c r="CS920" s="305"/>
      <c r="CT920" s="249"/>
      <c r="CU920" s="216"/>
      <c r="CV920" s="1193"/>
      <c r="CW920" s="249"/>
      <c r="CX920" s="216"/>
      <c r="CY920" s="305"/>
      <c r="CZ920" s="249"/>
      <c r="DA920" s="216"/>
      <c r="DB920" s="307"/>
      <c r="DC920" s="328"/>
      <c r="DD920" s="322"/>
      <c r="DE920" s="305"/>
      <c r="DF920" s="249"/>
      <c r="DG920" s="216"/>
      <c r="DH920" s="305"/>
      <c r="DI920" s="249"/>
      <c r="DJ920" s="216"/>
      <c r="DK920" s="309"/>
      <c r="DL920" s="293"/>
      <c r="DM920" s="326"/>
      <c r="DN920" s="1256"/>
      <c r="DO920" s="214"/>
      <c r="DP920" s="1257"/>
      <c r="DQ920" s="1258"/>
      <c r="DR920" s="305"/>
      <c r="DS920" s="249"/>
      <c r="DT920" s="216"/>
      <c r="DU920" s="305"/>
      <c r="DV920" s="2520"/>
      <c r="DW920" s="2521"/>
      <c r="DX920" s="305"/>
      <c r="DY920" s="249"/>
      <c r="DZ920" s="221"/>
      <c r="EA920" s="388"/>
      <c r="EB920" s="249"/>
      <c r="EC920" s="216"/>
      <c r="ED920" s="1461"/>
      <c r="EE920" s="249"/>
      <c r="EF920" s="216"/>
      <c r="EG920" s="355"/>
      <c r="EH920" s="1425"/>
      <c r="EI920" s="1470"/>
      <c r="EJ920" s="249"/>
      <c r="EK920" s="221"/>
      <c r="EL920" s="313"/>
      <c r="EM920" s="249"/>
      <c r="EN920" s="221"/>
      <c r="EO920" s="313"/>
      <c r="EP920" s="249"/>
      <c r="EQ920" s="216"/>
      <c r="ER920" s="313"/>
      <c r="ES920" s="249"/>
      <c r="ET920" s="216"/>
      <c r="EU920" s="313"/>
      <c r="EV920" s="249"/>
      <c r="EW920" s="216"/>
      <c r="EX920" s="2505"/>
      <c r="EY920" s="249"/>
      <c r="EZ920" s="221"/>
      <c r="FA920" s="313"/>
      <c r="FB920" s="249"/>
      <c r="FC920" s="221"/>
      <c r="FD920" s="313"/>
      <c r="FE920" s="249"/>
      <c r="FF920" s="221"/>
      <c r="FG920" s="313"/>
      <c r="FH920" s="249"/>
      <c r="FI920" s="216"/>
      <c r="FJ920" s="1435"/>
      <c r="FK920" s="216"/>
      <c r="FL920" s="1268"/>
      <c r="FM920" s="1655"/>
      <c r="FN920" s="1268"/>
      <c r="FO920" s="1655"/>
      <c r="FP920" s="1268"/>
      <c r="FQ920" s="1656"/>
      <c r="FR920" s="249"/>
      <c r="FS920" s="216"/>
      <c r="FT920" s="1657"/>
      <c r="FU920" s="1658"/>
      <c r="FV920" s="242"/>
      <c r="FW920" s="343"/>
      <c r="FX920" s="222"/>
      <c r="FY920" s="336"/>
      <c r="FZ920" s="223"/>
      <c r="GA920" s="338"/>
      <c r="GB920" s="204"/>
      <c r="GC920" s="339"/>
      <c r="GD920" s="342"/>
      <c r="GE920" s="199"/>
      <c r="GF920" s="199"/>
      <c r="GG920" s="199"/>
      <c r="GH920" s="199"/>
      <c r="GI920" s="199"/>
      <c r="GJ920" s="199"/>
      <c r="GK920" s="199"/>
      <c r="GO920" s="322"/>
      <c r="GP920" s="1190"/>
      <c r="GQ920" s="1190"/>
      <c r="GS920" s="2879"/>
      <c r="GT920" s="2880"/>
      <c r="GU920" s="2881"/>
    </row>
    <row r="921" spans="1:203" ht="12" customHeight="1">
      <c r="A921" s="1252"/>
      <c r="B921" s="200"/>
      <c r="C921" s="486"/>
      <c r="T921" s="1186"/>
      <c r="U921" s="233"/>
      <c r="W921" s="218"/>
      <c r="X921" s="218"/>
      <c r="Y921" s="216"/>
      <c r="Z921" s="216"/>
      <c r="AA921" s="215"/>
      <c r="AB921" s="216"/>
      <c r="AC921" s="216"/>
      <c r="AD921" s="239"/>
      <c r="AE921" s="216"/>
      <c r="AF921" s="216"/>
      <c r="AG921" s="216"/>
      <c r="AH921" s="216"/>
      <c r="AI921" s="216"/>
      <c r="AJ921" s="216"/>
      <c r="AK921" s="239"/>
      <c r="AL921" s="216"/>
      <c r="AM921" s="216"/>
      <c r="AN921" s="216"/>
      <c r="AO921" s="216"/>
      <c r="AP921" s="216"/>
      <c r="AQ921" s="216"/>
      <c r="AR921" s="216"/>
      <c r="AS921" s="216"/>
      <c r="AT921" s="216"/>
      <c r="AU921" s="216"/>
      <c r="AV921" s="217"/>
      <c r="AW921" s="355"/>
      <c r="AX921" s="217"/>
      <c r="AY921" s="305"/>
      <c r="AZ921" s="249"/>
      <c r="BA921" s="221"/>
      <c r="BB921" s="300"/>
      <c r="BC921" s="217"/>
      <c r="BD921" s="392"/>
      <c r="BE921" s="1244"/>
      <c r="BF921" s="249"/>
      <c r="BG921" s="252"/>
      <c r="BH921" s="1469"/>
      <c r="BI921" s="216"/>
      <c r="BJ921" s="1469"/>
      <c r="BK921" s="1459"/>
      <c r="BL921" s="260"/>
      <c r="BM921" s="214"/>
      <c r="BN921" s="293"/>
      <c r="BO921" s="217"/>
      <c r="BP921" s="355"/>
      <c r="BQ921" s="217"/>
      <c r="BR921" s="1193"/>
      <c r="BS921" s="249"/>
      <c r="BT921" s="216"/>
      <c r="BU921" s="1195"/>
      <c r="BV921" s="249"/>
      <c r="BW921" s="216"/>
      <c r="BX921" s="1195"/>
      <c r="BY921" s="249"/>
      <c r="BZ921" s="216"/>
      <c r="CA921" s="1195"/>
      <c r="CB921" s="249"/>
      <c r="CC921" s="216"/>
      <c r="CD921" s="1195"/>
      <c r="CE921" s="249"/>
      <c r="CF921" s="216"/>
      <c r="CG921" s="1195"/>
      <c r="CH921" s="249"/>
      <c r="CI921" s="216"/>
      <c r="CJ921" s="1195"/>
      <c r="CK921" s="249"/>
      <c r="CL921" s="216"/>
      <c r="CM921" s="1194"/>
      <c r="CN921" s="1524"/>
      <c r="CO921" s="217"/>
      <c r="CP921" s="1193"/>
      <c r="CQ921" s="293"/>
      <c r="CR921" s="217"/>
      <c r="CS921" s="305"/>
      <c r="CT921" s="249"/>
      <c r="CU921" s="216"/>
      <c r="CV921" s="1193"/>
      <c r="CW921" s="249"/>
      <c r="CX921" s="216"/>
      <c r="CY921" s="305"/>
      <c r="CZ921" s="249"/>
      <c r="DA921" s="216"/>
      <c r="DB921" s="307"/>
      <c r="DC921" s="328"/>
      <c r="DD921" s="322"/>
      <c r="DE921" s="305"/>
      <c r="DF921" s="249"/>
      <c r="DG921" s="216"/>
      <c r="DH921" s="305"/>
      <c r="DI921" s="249"/>
      <c r="DJ921" s="216"/>
      <c r="DK921" s="309"/>
      <c r="DL921" s="293"/>
      <c r="DM921" s="326"/>
      <c r="DN921" s="1256"/>
      <c r="DO921" s="214"/>
      <c r="DP921" s="1257"/>
      <c r="DQ921" s="1258"/>
      <c r="DR921" s="305"/>
      <c r="DS921" s="249"/>
      <c r="DT921" s="216"/>
      <c r="DU921" s="305"/>
      <c r="DV921" s="2520"/>
      <c r="DW921" s="2521"/>
      <c r="DX921" s="305"/>
      <c r="DY921" s="249"/>
      <c r="DZ921" s="221"/>
      <c r="EA921" s="388"/>
      <c r="EB921" s="249"/>
      <c r="EC921" s="216"/>
      <c r="ED921" s="1461"/>
      <c r="EE921" s="249"/>
      <c r="EF921" s="216"/>
      <c r="EG921" s="355"/>
      <c r="EH921" s="1425"/>
      <c r="EI921" s="1470"/>
      <c r="EJ921" s="249"/>
      <c r="EK921" s="221"/>
      <c r="EL921" s="313"/>
      <c r="EM921" s="249"/>
      <c r="EN921" s="221"/>
      <c r="EO921" s="313"/>
      <c r="EP921" s="249"/>
      <c r="EQ921" s="216"/>
      <c r="ER921" s="313"/>
      <c r="ES921" s="249"/>
      <c r="ET921" s="216"/>
      <c r="EU921" s="313"/>
      <c r="EV921" s="249"/>
      <c r="EW921" s="216"/>
      <c r="EX921" s="2505"/>
      <c r="EY921" s="249"/>
      <c r="EZ921" s="221"/>
      <c r="FA921" s="313"/>
      <c r="FB921" s="249"/>
      <c r="FC921" s="221"/>
      <c r="FD921" s="313"/>
      <c r="FE921" s="249"/>
      <c r="FF921" s="221"/>
      <c r="FG921" s="313"/>
      <c r="FH921" s="249"/>
      <c r="FI921" s="216"/>
      <c r="FJ921" s="1435"/>
      <c r="FK921" s="216"/>
      <c r="FL921" s="1268"/>
      <c r="FM921" s="1655"/>
      <c r="FN921" s="1268"/>
      <c r="FO921" s="1655"/>
      <c r="FP921" s="1268"/>
      <c r="FQ921" s="1656"/>
      <c r="FR921" s="249"/>
      <c r="FS921" s="216"/>
      <c r="FT921" s="1657"/>
      <c r="FU921" s="1658"/>
      <c r="FV921" s="242"/>
      <c r="FW921" s="343"/>
      <c r="FX921" s="222"/>
      <c r="FY921" s="336"/>
      <c r="FZ921" s="223"/>
      <c r="GA921" s="338"/>
      <c r="GB921" s="204"/>
      <c r="GC921" s="339"/>
      <c r="GD921" s="342"/>
      <c r="GE921" s="199"/>
      <c r="GF921" s="199"/>
      <c r="GG921" s="199"/>
      <c r="GH921" s="199"/>
      <c r="GI921" s="199"/>
      <c r="GJ921" s="199"/>
      <c r="GK921" s="199"/>
      <c r="GO921" s="322"/>
      <c r="GP921" s="1190"/>
      <c r="GQ921" s="1190"/>
      <c r="GS921" s="2879"/>
      <c r="GT921" s="2880"/>
      <c r="GU921" s="2881"/>
    </row>
    <row r="922" spans="1:203" ht="12" customHeight="1">
      <c r="A922" s="1252"/>
      <c r="B922" s="200"/>
      <c r="C922" s="486"/>
      <c r="T922" s="1186"/>
      <c r="U922" s="233"/>
      <c r="W922" s="218"/>
      <c r="X922" s="218"/>
      <c r="Y922" s="216"/>
      <c r="Z922" s="216"/>
      <c r="AA922" s="215"/>
      <c r="AB922" s="216"/>
      <c r="AC922" s="216"/>
      <c r="AD922" s="239"/>
      <c r="AE922" s="216"/>
      <c r="AF922" s="216"/>
      <c r="AG922" s="216"/>
      <c r="AH922" s="216"/>
      <c r="AI922" s="216"/>
      <c r="AJ922" s="216"/>
      <c r="AK922" s="239"/>
      <c r="AL922" s="216"/>
      <c r="AM922" s="216"/>
      <c r="AN922" s="216"/>
      <c r="AO922" s="216"/>
      <c r="AP922" s="216"/>
      <c r="AQ922" s="216"/>
      <c r="AR922" s="216"/>
      <c r="AS922" s="216"/>
      <c r="AT922" s="216"/>
      <c r="AU922" s="216"/>
      <c r="AV922" s="217"/>
      <c r="AW922" s="355"/>
      <c r="AX922" s="217"/>
      <c r="AY922" s="305"/>
      <c r="AZ922" s="249"/>
      <c r="BA922" s="221"/>
      <c r="BB922" s="300"/>
      <c r="BC922" s="217"/>
      <c r="BD922" s="392"/>
      <c r="BE922" s="1244"/>
      <c r="BF922" s="249"/>
      <c r="BG922" s="252"/>
      <c r="BH922" s="1469"/>
      <c r="BI922" s="216"/>
      <c r="BJ922" s="1469"/>
      <c r="BK922" s="1459"/>
      <c r="BL922" s="260"/>
      <c r="BM922" s="214"/>
      <c r="BN922" s="293"/>
      <c r="BO922" s="217"/>
      <c r="BP922" s="355"/>
      <c r="BQ922" s="217"/>
      <c r="BR922" s="1193"/>
      <c r="BS922" s="249"/>
      <c r="BT922" s="216"/>
      <c r="BU922" s="1195"/>
      <c r="BV922" s="249"/>
      <c r="BW922" s="216"/>
      <c r="BX922" s="1195"/>
      <c r="BY922" s="249"/>
      <c r="BZ922" s="216"/>
      <c r="CA922" s="1195"/>
      <c r="CB922" s="249"/>
      <c r="CC922" s="216"/>
      <c r="CD922" s="1195"/>
      <c r="CE922" s="249"/>
      <c r="CF922" s="216"/>
      <c r="CG922" s="1195"/>
      <c r="CH922" s="249"/>
      <c r="CI922" s="216"/>
      <c r="CJ922" s="1195"/>
      <c r="CK922" s="249"/>
      <c r="CL922" s="216"/>
      <c r="CM922" s="1194"/>
      <c r="CN922" s="1524"/>
      <c r="CO922" s="217"/>
      <c r="CP922" s="1193"/>
      <c r="CQ922" s="293"/>
      <c r="CR922" s="217"/>
      <c r="CS922" s="305"/>
      <c r="CT922" s="249"/>
      <c r="CU922" s="216"/>
      <c r="CV922" s="1193"/>
      <c r="CW922" s="249"/>
      <c r="CX922" s="216"/>
      <c r="CY922" s="305"/>
      <c r="CZ922" s="249"/>
      <c r="DA922" s="216"/>
      <c r="DB922" s="307"/>
      <c r="DC922" s="328"/>
      <c r="DD922" s="322"/>
      <c r="DE922" s="305"/>
      <c r="DF922" s="249"/>
      <c r="DG922" s="216"/>
      <c r="DH922" s="305"/>
      <c r="DI922" s="249"/>
      <c r="DJ922" s="216"/>
      <c r="DK922" s="309"/>
      <c r="DL922" s="293"/>
      <c r="DM922" s="326"/>
      <c r="DN922" s="1256"/>
      <c r="DO922" s="214"/>
      <c r="DP922" s="1257"/>
      <c r="DQ922" s="1258"/>
      <c r="DR922" s="305"/>
      <c r="DS922" s="249"/>
      <c r="DT922" s="216"/>
      <c r="DU922" s="305"/>
      <c r="DV922" s="2520"/>
      <c r="DW922" s="2521"/>
      <c r="DX922" s="305"/>
      <c r="DY922" s="249"/>
      <c r="DZ922" s="221"/>
      <c r="EA922" s="388"/>
      <c r="EB922" s="249"/>
      <c r="EC922" s="216"/>
      <c r="ED922" s="1461"/>
      <c r="EE922" s="249"/>
      <c r="EF922" s="216"/>
      <c r="EG922" s="355"/>
      <c r="EH922" s="1425"/>
      <c r="EI922" s="1470"/>
      <c r="EJ922" s="249"/>
      <c r="EK922" s="221"/>
      <c r="EL922" s="313"/>
      <c r="EM922" s="249"/>
      <c r="EN922" s="221"/>
      <c r="EO922" s="313"/>
      <c r="EP922" s="249"/>
      <c r="EQ922" s="216"/>
      <c r="ER922" s="313"/>
      <c r="ES922" s="249"/>
      <c r="ET922" s="216"/>
      <c r="EU922" s="313"/>
      <c r="EV922" s="249"/>
      <c r="EW922" s="216"/>
      <c r="EX922" s="2505"/>
      <c r="EY922" s="249"/>
      <c r="EZ922" s="221"/>
      <c r="FA922" s="313"/>
      <c r="FB922" s="249"/>
      <c r="FC922" s="221"/>
      <c r="FD922" s="313"/>
      <c r="FE922" s="249"/>
      <c r="FF922" s="221"/>
      <c r="FG922" s="313"/>
      <c r="FH922" s="249"/>
      <c r="FI922" s="216"/>
      <c r="FJ922" s="1435"/>
      <c r="FK922" s="216"/>
      <c r="FL922" s="1268"/>
      <c r="FM922" s="1655"/>
      <c r="FN922" s="1268"/>
      <c r="FO922" s="1655"/>
      <c r="FP922" s="1268"/>
      <c r="FQ922" s="1656"/>
      <c r="FR922" s="249"/>
      <c r="FS922" s="216"/>
      <c r="FT922" s="1657"/>
      <c r="FU922" s="1658"/>
      <c r="FV922" s="242"/>
      <c r="FW922" s="343"/>
      <c r="FX922" s="222"/>
      <c r="FY922" s="336"/>
      <c r="FZ922" s="223"/>
      <c r="GA922" s="338"/>
      <c r="GB922" s="204"/>
      <c r="GC922" s="339"/>
      <c r="GD922" s="342"/>
      <c r="GE922" s="199"/>
      <c r="GF922" s="199"/>
      <c r="GG922" s="199"/>
      <c r="GH922" s="199"/>
      <c r="GI922" s="199"/>
      <c r="GJ922" s="199"/>
      <c r="GK922" s="199"/>
      <c r="GO922" s="322"/>
      <c r="GP922" s="1190"/>
      <c r="GQ922" s="1190"/>
      <c r="GS922" s="2879"/>
      <c r="GT922" s="2880"/>
      <c r="GU922" s="2881"/>
    </row>
    <row r="923" spans="1:203" ht="12" customHeight="1">
      <c r="A923" s="1252"/>
      <c r="B923" s="200"/>
      <c r="C923" s="486"/>
      <c r="T923" s="1186"/>
      <c r="U923" s="233"/>
      <c r="W923" s="218"/>
      <c r="X923" s="218"/>
      <c r="Y923" s="216"/>
      <c r="Z923" s="216"/>
      <c r="AA923" s="215"/>
      <c r="AB923" s="216"/>
      <c r="AC923" s="216"/>
      <c r="AD923" s="239"/>
      <c r="AE923" s="216"/>
      <c r="AF923" s="216"/>
      <c r="AG923" s="216"/>
      <c r="AH923" s="216"/>
      <c r="AI923" s="216"/>
      <c r="AJ923" s="216"/>
      <c r="AK923" s="239"/>
      <c r="AL923" s="216"/>
      <c r="AM923" s="216"/>
      <c r="AN923" s="216"/>
      <c r="AO923" s="216"/>
      <c r="AP923" s="216"/>
      <c r="AQ923" s="216"/>
      <c r="AR923" s="216"/>
      <c r="AS923" s="216"/>
      <c r="AT923" s="216"/>
      <c r="AU923" s="216"/>
      <c r="AV923" s="217"/>
      <c r="AW923" s="355"/>
      <c r="AX923" s="217"/>
      <c r="AY923" s="305"/>
      <c r="AZ923" s="249"/>
      <c r="BA923" s="221"/>
      <c r="BB923" s="300"/>
      <c r="BC923" s="217"/>
      <c r="BD923" s="392"/>
      <c r="BE923" s="1244"/>
      <c r="BF923" s="249"/>
      <c r="BG923" s="252"/>
      <c r="BH923" s="1469"/>
      <c r="BI923" s="216"/>
      <c r="BJ923" s="1469"/>
      <c r="BK923" s="1459"/>
      <c r="BL923" s="260"/>
      <c r="BM923" s="214"/>
      <c r="BN923" s="293"/>
      <c r="BO923" s="217"/>
      <c r="BP923" s="355"/>
      <c r="BQ923" s="217"/>
      <c r="BR923" s="1193"/>
      <c r="BS923" s="249"/>
      <c r="BT923" s="216"/>
      <c r="BU923" s="1195"/>
      <c r="BV923" s="249"/>
      <c r="BW923" s="216"/>
      <c r="BX923" s="1195"/>
      <c r="BY923" s="249"/>
      <c r="BZ923" s="216"/>
      <c r="CA923" s="1195"/>
      <c r="CB923" s="249"/>
      <c r="CC923" s="216"/>
      <c r="CD923" s="1195"/>
      <c r="CE923" s="249"/>
      <c r="CF923" s="216"/>
      <c r="CG923" s="1195"/>
      <c r="CH923" s="249"/>
      <c r="CI923" s="216"/>
      <c r="CJ923" s="1195"/>
      <c r="CK923" s="249"/>
      <c r="CL923" s="216"/>
      <c r="CM923" s="1194"/>
      <c r="CN923" s="1524"/>
      <c r="CO923" s="217"/>
      <c r="CP923" s="1193"/>
      <c r="CQ923" s="293"/>
      <c r="CR923" s="217"/>
      <c r="CS923" s="305"/>
      <c r="CT923" s="249"/>
      <c r="CU923" s="216"/>
      <c r="CV923" s="1193"/>
      <c r="CW923" s="249"/>
      <c r="CX923" s="216"/>
      <c r="CY923" s="305"/>
      <c r="CZ923" s="249"/>
      <c r="DA923" s="216"/>
      <c r="DB923" s="307"/>
      <c r="DC923" s="328"/>
      <c r="DD923" s="322"/>
      <c r="DE923" s="305"/>
      <c r="DF923" s="249"/>
      <c r="DG923" s="216"/>
      <c r="DH923" s="305"/>
      <c r="DI923" s="249"/>
      <c r="DJ923" s="216"/>
      <c r="DK923" s="309"/>
      <c r="DL923" s="293"/>
      <c r="DM923" s="326"/>
      <c r="DN923" s="1256"/>
      <c r="DO923" s="214"/>
      <c r="DP923" s="1257"/>
      <c r="DQ923" s="1258"/>
      <c r="DR923" s="305"/>
      <c r="DS923" s="249"/>
      <c r="DT923" s="216"/>
      <c r="DU923" s="305"/>
      <c r="DV923" s="2520"/>
      <c r="DW923" s="2521"/>
      <c r="DX923" s="305"/>
      <c r="DY923" s="249"/>
      <c r="DZ923" s="221"/>
      <c r="EA923" s="388"/>
      <c r="EB923" s="249"/>
      <c r="EC923" s="216"/>
      <c r="ED923" s="1461"/>
      <c r="EE923" s="249"/>
      <c r="EF923" s="216"/>
      <c r="EG923" s="355"/>
      <c r="EH923" s="1425"/>
      <c r="EI923" s="1470"/>
      <c r="EJ923" s="249"/>
      <c r="EK923" s="221"/>
      <c r="EL923" s="313"/>
      <c r="EM923" s="249"/>
      <c r="EN923" s="221"/>
      <c r="EO923" s="313"/>
      <c r="EP923" s="249"/>
      <c r="EQ923" s="216"/>
      <c r="ER923" s="313"/>
      <c r="ES923" s="249"/>
      <c r="ET923" s="216"/>
      <c r="EU923" s="313"/>
      <c r="EV923" s="249"/>
      <c r="EW923" s="216"/>
      <c r="EX923" s="2505"/>
      <c r="EY923" s="249"/>
      <c r="EZ923" s="221"/>
      <c r="FA923" s="313"/>
      <c r="FB923" s="249"/>
      <c r="FC923" s="221"/>
      <c r="FD923" s="313"/>
      <c r="FE923" s="249"/>
      <c r="FF923" s="221"/>
      <c r="FG923" s="313"/>
      <c r="FH923" s="249"/>
      <c r="FI923" s="216"/>
      <c r="FJ923" s="1435"/>
      <c r="FK923" s="216"/>
      <c r="FL923" s="1268"/>
      <c r="FM923" s="1655"/>
      <c r="FN923" s="1268"/>
      <c r="FO923" s="1655"/>
      <c r="FP923" s="1268"/>
      <c r="FQ923" s="1656"/>
      <c r="FR923" s="249"/>
      <c r="FS923" s="216"/>
      <c r="FT923" s="1657"/>
      <c r="FU923" s="1658"/>
      <c r="FV923" s="242"/>
      <c r="FW923" s="343"/>
      <c r="FX923" s="222"/>
      <c r="FY923" s="336"/>
      <c r="FZ923" s="223"/>
      <c r="GA923" s="338"/>
      <c r="GB923" s="204"/>
      <c r="GC923" s="339"/>
      <c r="GD923" s="342"/>
      <c r="GE923" s="199"/>
      <c r="GF923" s="199"/>
      <c r="GG923" s="199"/>
      <c r="GH923" s="199"/>
      <c r="GI923" s="199"/>
      <c r="GJ923" s="199"/>
      <c r="GK923" s="199"/>
      <c r="GO923" s="322"/>
      <c r="GP923" s="1190"/>
      <c r="GQ923" s="1190"/>
      <c r="GS923" s="2879"/>
      <c r="GT923" s="2880"/>
      <c r="GU923" s="2881"/>
    </row>
    <row r="924" spans="1:203" ht="12" customHeight="1">
      <c r="A924" s="1252"/>
      <c r="B924" s="200"/>
      <c r="C924" s="486"/>
      <c r="T924" s="1186"/>
      <c r="U924" s="233"/>
      <c r="W924" s="218"/>
      <c r="X924" s="218"/>
      <c r="Y924" s="216"/>
      <c r="Z924" s="216"/>
      <c r="AA924" s="215"/>
      <c r="AB924" s="216"/>
      <c r="AC924" s="216"/>
      <c r="AD924" s="239"/>
      <c r="AE924" s="216"/>
      <c r="AF924" s="216"/>
      <c r="AG924" s="216"/>
      <c r="AH924" s="216"/>
      <c r="AI924" s="216"/>
      <c r="AJ924" s="216"/>
      <c r="AK924" s="239"/>
      <c r="AL924" s="216"/>
      <c r="AM924" s="216"/>
      <c r="AN924" s="216"/>
      <c r="AO924" s="216"/>
      <c r="AP924" s="216"/>
      <c r="AQ924" s="216"/>
      <c r="AR924" s="216"/>
      <c r="AS924" s="216"/>
      <c r="AT924" s="216"/>
      <c r="AU924" s="216"/>
      <c r="AV924" s="217"/>
      <c r="AW924" s="355"/>
      <c r="AX924" s="217"/>
      <c r="AY924" s="305"/>
      <c r="AZ924" s="249"/>
      <c r="BA924" s="221"/>
      <c r="BB924" s="300"/>
      <c r="BC924" s="217"/>
      <c r="BD924" s="392"/>
      <c r="BE924" s="1244"/>
      <c r="BF924" s="249"/>
      <c r="BG924" s="252"/>
      <c r="BH924" s="1469"/>
      <c r="BI924" s="216"/>
      <c r="BJ924" s="1469"/>
      <c r="BK924" s="1459"/>
      <c r="BL924" s="260"/>
      <c r="BM924" s="214"/>
      <c r="BN924" s="293"/>
      <c r="BO924" s="217"/>
      <c r="BP924" s="355"/>
      <c r="BQ924" s="217"/>
      <c r="BR924" s="1193"/>
      <c r="BS924" s="249"/>
      <c r="BT924" s="216"/>
      <c r="BU924" s="1195"/>
      <c r="BV924" s="249"/>
      <c r="BW924" s="216"/>
      <c r="BX924" s="1195"/>
      <c r="BY924" s="249"/>
      <c r="BZ924" s="216"/>
      <c r="CA924" s="1195"/>
      <c r="CB924" s="249"/>
      <c r="CC924" s="216"/>
      <c r="CD924" s="1195"/>
      <c r="CE924" s="249"/>
      <c r="CF924" s="216"/>
      <c r="CG924" s="1195"/>
      <c r="CH924" s="249"/>
      <c r="CI924" s="216"/>
      <c r="CJ924" s="1195"/>
      <c r="CK924" s="249"/>
      <c r="CL924" s="216"/>
      <c r="CM924" s="1194"/>
      <c r="CN924" s="1524"/>
      <c r="CO924" s="217"/>
      <c r="CP924" s="1193"/>
      <c r="CQ924" s="293"/>
      <c r="CR924" s="217"/>
      <c r="CS924" s="305"/>
      <c r="CT924" s="249"/>
      <c r="CU924" s="216"/>
      <c r="CV924" s="1193"/>
      <c r="CW924" s="249"/>
      <c r="CX924" s="216"/>
      <c r="CY924" s="305"/>
      <c r="CZ924" s="249"/>
      <c r="DA924" s="216"/>
      <c r="DB924" s="307"/>
      <c r="DC924" s="328"/>
      <c r="DD924" s="322"/>
      <c r="DE924" s="305"/>
      <c r="DF924" s="249"/>
      <c r="DG924" s="216"/>
      <c r="DH924" s="305"/>
      <c r="DI924" s="249"/>
      <c r="DJ924" s="216"/>
      <c r="DK924" s="309"/>
      <c r="DL924" s="293"/>
      <c r="DM924" s="326"/>
      <c r="DN924" s="1256"/>
      <c r="DO924" s="214"/>
      <c r="DP924" s="1257"/>
      <c r="DQ924" s="1258"/>
      <c r="DR924" s="305"/>
      <c r="DS924" s="249"/>
      <c r="DT924" s="216"/>
      <c r="DU924" s="305"/>
      <c r="DV924" s="2520"/>
      <c r="DW924" s="2521"/>
      <c r="DX924" s="305"/>
      <c r="DY924" s="249"/>
      <c r="DZ924" s="221"/>
      <c r="EA924" s="388"/>
      <c r="EB924" s="249"/>
      <c r="EC924" s="216"/>
      <c r="ED924" s="1461"/>
      <c r="EE924" s="249"/>
      <c r="EF924" s="216"/>
      <c r="EG924" s="355"/>
      <c r="EH924" s="1425"/>
      <c r="EI924" s="1470"/>
      <c r="EJ924" s="249"/>
      <c r="EK924" s="221"/>
      <c r="EL924" s="313"/>
      <c r="EM924" s="249"/>
      <c r="EN924" s="221"/>
      <c r="EO924" s="313"/>
      <c r="EP924" s="249"/>
      <c r="EQ924" s="216"/>
      <c r="ER924" s="313"/>
      <c r="ES924" s="249"/>
      <c r="ET924" s="216"/>
      <c r="EU924" s="313"/>
      <c r="EV924" s="249"/>
      <c r="EW924" s="216"/>
      <c r="EX924" s="2505"/>
      <c r="EY924" s="249"/>
      <c r="EZ924" s="221"/>
      <c r="FA924" s="313"/>
      <c r="FB924" s="249"/>
      <c r="FC924" s="221"/>
      <c r="FD924" s="313"/>
      <c r="FE924" s="249"/>
      <c r="FF924" s="221"/>
      <c r="FG924" s="313"/>
      <c r="FH924" s="249"/>
      <c r="FI924" s="216"/>
      <c r="FJ924" s="1435"/>
      <c r="FK924" s="216"/>
      <c r="FL924" s="1268"/>
      <c r="FM924" s="1655"/>
      <c r="FN924" s="1268"/>
      <c r="FO924" s="1655"/>
      <c r="FP924" s="1268"/>
      <c r="FQ924" s="1656"/>
      <c r="FR924" s="249"/>
      <c r="FS924" s="216"/>
      <c r="FT924" s="1657"/>
      <c r="FU924" s="1658"/>
      <c r="FV924" s="242"/>
      <c r="FW924" s="343"/>
      <c r="FX924" s="222"/>
      <c r="FY924" s="336"/>
      <c r="FZ924" s="223"/>
      <c r="GA924" s="338"/>
      <c r="GB924" s="204"/>
      <c r="GC924" s="339"/>
      <c r="GD924" s="342"/>
      <c r="GE924" s="199"/>
      <c r="GF924" s="199"/>
      <c r="GG924" s="199"/>
      <c r="GH924" s="199"/>
      <c r="GI924" s="199"/>
      <c r="GJ924" s="199"/>
      <c r="GK924" s="199"/>
      <c r="GO924" s="322"/>
      <c r="GP924" s="1190"/>
      <c r="GQ924" s="1190"/>
      <c r="GS924" s="2879"/>
      <c r="GT924" s="2880"/>
      <c r="GU924" s="2881"/>
    </row>
    <row r="925" spans="1:203" ht="12" customHeight="1">
      <c r="A925" s="1252"/>
      <c r="B925" s="200"/>
      <c r="C925" s="486"/>
      <c r="T925" s="1186"/>
      <c r="U925" s="233"/>
      <c r="W925" s="218"/>
      <c r="X925" s="218"/>
      <c r="Y925" s="216"/>
      <c r="Z925" s="216"/>
      <c r="AA925" s="215"/>
      <c r="AB925" s="216"/>
      <c r="AC925" s="216"/>
      <c r="AD925" s="239"/>
      <c r="AE925" s="216"/>
      <c r="AF925" s="216"/>
      <c r="AG925" s="216"/>
      <c r="AH925" s="216"/>
      <c r="AI925" s="216"/>
      <c r="AJ925" s="216"/>
      <c r="AK925" s="239"/>
      <c r="AL925" s="216"/>
      <c r="AM925" s="216"/>
      <c r="AN925" s="216"/>
      <c r="AO925" s="216"/>
      <c r="AP925" s="216"/>
      <c r="AQ925" s="216"/>
      <c r="AR925" s="216"/>
      <c r="AS925" s="216"/>
      <c r="AT925" s="216"/>
      <c r="AU925" s="216"/>
      <c r="AV925" s="217"/>
      <c r="AW925" s="355"/>
      <c r="AX925" s="217"/>
      <c r="AY925" s="305"/>
      <c r="AZ925" s="249"/>
      <c r="BA925" s="221"/>
      <c r="BB925" s="300"/>
      <c r="BC925" s="217"/>
      <c r="BD925" s="392"/>
      <c r="BE925" s="1244"/>
      <c r="BF925" s="249"/>
      <c r="BG925" s="252"/>
      <c r="BH925" s="1469"/>
      <c r="BI925" s="216"/>
      <c r="BJ925" s="1469"/>
      <c r="BK925" s="1459"/>
      <c r="BL925" s="260"/>
      <c r="BM925" s="214"/>
      <c r="BN925" s="293"/>
      <c r="BO925" s="217"/>
      <c r="BP925" s="355"/>
      <c r="BQ925" s="217"/>
      <c r="BR925" s="1193"/>
      <c r="BS925" s="249"/>
      <c r="BT925" s="216"/>
      <c r="BU925" s="1195"/>
      <c r="BV925" s="249"/>
      <c r="BW925" s="216"/>
      <c r="BX925" s="1195"/>
      <c r="BY925" s="249"/>
      <c r="BZ925" s="216"/>
      <c r="CA925" s="1195"/>
      <c r="CB925" s="249"/>
      <c r="CC925" s="216"/>
      <c r="CD925" s="1195"/>
      <c r="CE925" s="249"/>
      <c r="CF925" s="216"/>
      <c r="CG925" s="1195"/>
      <c r="CH925" s="249"/>
      <c r="CI925" s="216"/>
      <c r="CJ925" s="1195"/>
      <c r="CK925" s="249"/>
      <c r="CL925" s="216"/>
      <c r="CM925" s="1194"/>
      <c r="CN925" s="1524"/>
      <c r="CO925" s="217"/>
      <c r="CP925" s="1193"/>
      <c r="CQ925" s="293"/>
      <c r="CR925" s="217"/>
      <c r="CS925" s="305"/>
      <c r="CT925" s="249"/>
      <c r="CU925" s="216"/>
      <c r="CV925" s="1193"/>
      <c r="CW925" s="249"/>
      <c r="CX925" s="216"/>
      <c r="CY925" s="305"/>
      <c r="CZ925" s="249"/>
      <c r="DA925" s="216"/>
      <c r="DB925" s="307"/>
      <c r="DC925" s="328"/>
      <c r="DD925" s="322"/>
      <c r="DE925" s="305"/>
      <c r="DF925" s="249"/>
      <c r="DG925" s="216"/>
      <c r="DH925" s="305"/>
      <c r="DI925" s="249"/>
      <c r="DJ925" s="216"/>
      <c r="DK925" s="309"/>
      <c r="DL925" s="293"/>
      <c r="DM925" s="326"/>
      <c r="DN925" s="1256"/>
      <c r="DO925" s="214"/>
      <c r="DP925" s="1257"/>
      <c r="DQ925" s="1258"/>
      <c r="DR925" s="305"/>
      <c r="DS925" s="249"/>
      <c r="DT925" s="216"/>
      <c r="DU925" s="305"/>
      <c r="DV925" s="2520"/>
      <c r="DW925" s="2521"/>
      <c r="DX925" s="305"/>
      <c r="DY925" s="249"/>
      <c r="DZ925" s="221"/>
      <c r="EA925" s="388"/>
      <c r="EB925" s="249"/>
      <c r="EC925" s="216"/>
      <c r="ED925" s="1461"/>
      <c r="EE925" s="249"/>
      <c r="EF925" s="216"/>
      <c r="EG925" s="355"/>
      <c r="EH925" s="1425"/>
      <c r="EI925" s="1470"/>
      <c r="EJ925" s="249"/>
      <c r="EK925" s="221"/>
      <c r="EL925" s="313"/>
      <c r="EM925" s="249"/>
      <c r="EN925" s="221"/>
      <c r="EO925" s="313"/>
      <c r="EP925" s="249"/>
      <c r="EQ925" s="216"/>
      <c r="ER925" s="313"/>
      <c r="ES925" s="249"/>
      <c r="ET925" s="216"/>
      <c r="EU925" s="313"/>
      <c r="EV925" s="249"/>
      <c r="EW925" s="216"/>
      <c r="EX925" s="2505"/>
      <c r="EY925" s="249"/>
      <c r="EZ925" s="221"/>
      <c r="FA925" s="313"/>
      <c r="FB925" s="249"/>
      <c r="FC925" s="221"/>
      <c r="FD925" s="313"/>
      <c r="FE925" s="249"/>
      <c r="FF925" s="221"/>
      <c r="FG925" s="313"/>
      <c r="FH925" s="249"/>
      <c r="FI925" s="216"/>
      <c r="FJ925" s="1435"/>
      <c r="FK925" s="216"/>
      <c r="FL925" s="1268"/>
      <c r="FM925" s="1655"/>
      <c r="FN925" s="1268"/>
      <c r="FO925" s="1655"/>
      <c r="FP925" s="1268"/>
      <c r="FQ925" s="1656"/>
      <c r="FR925" s="249"/>
      <c r="FS925" s="216"/>
      <c r="FT925" s="1657"/>
      <c r="FU925" s="1658"/>
      <c r="FV925" s="242"/>
      <c r="FW925" s="343"/>
      <c r="FX925" s="222"/>
      <c r="FY925" s="336"/>
      <c r="FZ925" s="223"/>
      <c r="GA925" s="338"/>
      <c r="GB925" s="204"/>
      <c r="GC925" s="339"/>
      <c r="GD925" s="342"/>
      <c r="GE925" s="199"/>
      <c r="GF925" s="199"/>
      <c r="GG925" s="199"/>
      <c r="GH925" s="199"/>
      <c r="GI925" s="199"/>
      <c r="GJ925" s="199"/>
      <c r="GK925" s="199"/>
      <c r="GO925" s="322"/>
      <c r="GP925" s="1190"/>
      <c r="GQ925" s="1190"/>
      <c r="GS925" s="2879"/>
      <c r="GT925" s="2880"/>
      <c r="GU925" s="2881"/>
    </row>
    <row r="926" spans="1:203" ht="12" customHeight="1">
      <c r="A926" s="1252"/>
      <c r="B926" s="200"/>
      <c r="C926" s="486"/>
      <c r="T926" s="1186"/>
      <c r="U926" s="233"/>
      <c r="W926" s="218"/>
      <c r="X926" s="218"/>
      <c r="Y926" s="216"/>
      <c r="Z926" s="216"/>
      <c r="AA926" s="215"/>
      <c r="AB926" s="216"/>
      <c r="AC926" s="216"/>
      <c r="AD926" s="239"/>
      <c r="AE926" s="216"/>
      <c r="AF926" s="216"/>
      <c r="AG926" s="216"/>
      <c r="AH926" s="216"/>
      <c r="AI926" s="216"/>
      <c r="AJ926" s="216"/>
      <c r="AK926" s="239"/>
      <c r="AL926" s="216"/>
      <c r="AM926" s="216"/>
      <c r="AN926" s="216"/>
      <c r="AO926" s="216"/>
      <c r="AP926" s="216"/>
      <c r="AQ926" s="216"/>
      <c r="AR926" s="216"/>
      <c r="AS926" s="216"/>
      <c r="AT926" s="216"/>
      <c r="AU926" s="216"/>
      <c r="AV926" s="217"/>
      <c r="AW926" s="355"/>
      <c r="AX926" s="217"/>
      <c r="AY926" s="305"/>
      <c r="AZ926" s="249"/>
      <c r="BA926" s="221"/>
      <c r="BB926" s="300"/>
      <c r="BC926" s="217"/>
      <c r="BD926" s="392"/>
      <c r="BE926" s="1244"/>
      <c r="BF926" s="249"/>
      <c r="BG926" s="252"/>
      <c r="BH926" s="1469"/>
      <c r="BI926" s="216"/>
      <c r="BJ926" s="1469"/>
      <c r="BK926" s="1459"/>
      <c r="BL926" s="260"/>
      <c r="BM926" s="214"/>
      <c r="BN926" s="293"/>
      <c r="BO926" s="217"/>
      <c r="BP926" s="355"/>
      <c r="BQ926" s="217"/>
      <c r="BR926" s="1193"/>
      <c r="BS926" s="249"/>
      <c r="BT926" s="216"/>
      <c r="BU926" s="1195"/>
      <c r="BV926" s="249"/>
      <c r="BW926" s="216"/>
      <c r="BX926" s="1195"/>
      <c r="BY926" s="249"/>
      <c r="BZ926" s="216"/>
      <c r="CA926" s="1195"/>
      <c r="CB926" s="249"/>
      <c r="CC926" s="216"/>
      <c r="CD926" s="1195"/>
      <c r="CE926" s="249"/>
      <c r="CF926" s="216"/>
      <c r="CG926" s="1195"/>
      <c r="CH926" s="249"/>
      <c r="CI926" s="216"/>
      <c r="CJ926" s="1195"/>
      <c r="CK926" s="249"/>
      <c r="CL926" s="216"/>
      <c r="CM926" s="1194"/>
      <c r="CN926" s="1524"/>
      <c r="CO926" s="217"/>
      <c r="CP926" s="1193"/>
      <c r="CQ926" s="293"/>
      <c r="CR926" s="217"/>
      <c r="CS926" s="305"/>
      <c r="CT926" s="249"/>
      <c r="CU926" s="216"/>
      <c r="CV926" s="1193"/>
      <c r="CW926" s="249"/>
      <c r="CX926" s="216"/>
      <c r="CY926" s="305"/>
      <c r="CZ926" s="249"/>
      <c r="DA926" s="216"/>
      <c r="DB926" s="307"/>
      <c r="DC926" s="328"/>
      <c r="DD926" s="322"/>
      <c r="DE926" s="305"/>
      <c r="DF926" s="249"/>
      <c r="DG926" s="216"/>
      <c r="DH926" s="305"/>
      <c r="DI926" s="249"/>
      <c r="DJ926" s="216"/>
      <c r="DK926" s="309"/>
      <c r="DL926" s="293"/>
      <c r="DM926" s="326"/>
      <c r="DN926" s="1256"/>
      <c r="DO926" s="214"/>
      <c r="DP926" s="1257"/>
      <c r="DQ926" s="1258"/>
      <c r="DR926" s="305"/>
      <c r="DS926" s="249"/>
      <c r="DT926" s="216"/>
      <c r="DU926" s="305"/>
      <c r="DV926" s="2520"/>
      <c r="DW926" s="2521"/>
      <c r="DX926" s="305"/>
      <c r="DY926" s="249"/>
      <c r="DZ926" s="221"/>
      <c r="EA926" s="388"/>
      <c r="EB926" s="249"/>
      <c r="EC926" s="216"/>
      <c r="ED926" s="1461"/>
      <c r="EE926" s="249"/>
      <c r="EF926" s="216"/>
      <c r="EG926" s="355"/>
      <c r="EH926" s="1425"/>
      <c r="EI926" s="1470"/>
      <c r="EJ926" s="249"/>
      <c r="EK926" s="221"/>
      <c r="EL926" s="313"/>
      <c r="EM926" s="249"/>
      <c r="EN926" s="221"/>
      <c r="EO926" s="313"/>
      <c r="EP926" s="249"/>
      <c r="EQ926" s="216"/>
      <c r="ER926" s="313"/>
      <c r="ES926" s="249"/>
      <c r="ET926" s="216"/>
      <c r="EU926" s="313"/>
      <c r="EV926" s="249"/>
      <c r="EW926" s="216"/>
      <c r="EX926" s="2505"/>
      <c r="EY926" s="249"/>
      <c r="EZ926" s="221"/>
      <c r="FA926" s="313"/>
      <c r="FB926" s="249"/>
      <c r="FC926" s="221"/>
      <c r="FD926" s="313"/>
      <c r="FE926" s="249"/>
      <c r="FF926" s="221"/>
      <c r="FG926" s="313"/>
      <c r="FH926" s="249"/>
      <c r="FI926" s="216"/>
      <c r="FJ926" s="1435"/>
      <c r="FK926" s="216"/>
      <c r="FL926" s="1268"/>
      <c r="FM926" s="1655"/>
      <c r="FN926" s="1268"/>
      <c r="FO926" s="1655"/>
      <c r="FP926" s="1268"/>
      <c r="FQ926" s="1656"/>
      <c r="FR926" s="249"/>
      <c r="FS926" s="216"/>
      <c r="FT926" s="1657"/>
      <c r="FU926" s="1658"/>
      <c r="FV926" s="242"/>
      <c r="FW926" s="343"/>
      <c r="FX926" s="222"/>
      <c r="FY926" s="336"/>
      <c r="FZ926" s="223"/>
      <c r="GA926" s="338"/>
      <c r="GB926" s="204"/>
      <c r="GC926" s="339"/>
      <c r="GD926" s="342"/>
      <c r="GE926" s="199"/>
      <c r="GF926" s="199"/>
      <c r="GG926" s="199"/>
      <c r="GH926" s="199"/>
      <c r="GI926" s="199"/>
      <c r="GJ926" s="199"/>
      <c r="GK926" s="199"/>
      <c r="GO926" s="322"/>
      <c r="GP926" s="1190"/>
      <c r="GQ926" s="1190"/>
      <c r="GS926" s="2879"/>
      <c r="GT926" s="2880"/>
      <c r="GU926" s="2881"/>
    </row>
    <row r="927" spans="1:203" ht="12" customHeight="1">
      <c r="A927" s="1252"/>
      <c r="B927" s="200"/>
      <c r="C927" s="486"/>
      <c r="T927" s="1186"/>
      <c r="U927" s="233"/>
      <c r="W927" s="218"/>
      <c r="X927" s="218"/>
      <c r="Y927" s="216"/>
      <c r="Z927" s="216"/>
      <c r="AA927" s="215"/>
      <c r="AB927" s="216"/>
      <c r="AC927" s="216"/>
      <c r="AD927" s="239"/>
      <c r="AE927" s="216"/>
      <c r="AF927" s="216"/>
      <c r="AG927" s="216"/>
      <c r="AH927" s="216"/>
      <c r="AI927" s="216"/>
      <c r="AJ927" s="216"/>
      <c r="AK927" s="239"/>
      <c r="AL927" s="216"/>
      <c r="AM927" s="216"/>
      <c r="AN927" s="216"/>
      <c r="AO927" s="216"/>
      <c r="AP927" s="216"/>
      <c r="AQ927" s="216"/>
      <c r="AR927" s="216"/>
      <c r="AS927" s="216"/>
      <c r="AT927" s="216"/>
      <c r="AU927" s="216"/>
      <c r="AV927" s="217"/>
      <c r="AW927" s="355"/>
      <c r="AX927" s="217"/>
      <c r="AY927" s="305"/>
      <c r="AZ927" s="249"/>
      <c r="BA927" s="221"/>
      <c r="BB927" s="300"/>
      <c r="BC927" s="217"/>
      <c r="BD927" s="392"/>
      <c r="BE927" s="1244"/>
      <c r="BF927" s="249"/>
      <c r="BG927" s="252"/>
      <c r="BH927" s="1469"/>
      <c r="BI927" s="216"/>
      <c r="BJ927" s="1469"/>
      <c r="BK927" s="1459"/>
      <c r="BL927" s="260"/>
      <c r="BM927" s="214"/>
      <c r="BN927" s="293"/>
      <c r="BO927" s="217"/>
      <c r="BP927" s="355"/>
      <c r="BQ927" s="217"/>
      <c r="BR927" s="1193"/>
      <c r="BS927" s="249"/>
      <c r="BT927" s="216"/>
      <c r="BU927" s="1195"/>
      <c r="BV927" s="249"/>
      <c r="BW927" s="216"/>
      <c r="BX927" s="1195"/>
      <c r="BY927" s="249"/>
      <c r="BZ927" s="216"/>
      <c r="CA927" s="1195"/>
      <c r="CB927" s="249"/>
      <c r="CC927" s="216"/>
      <c r="CD927" s="1195"/>
      <c r="CE927" s="249"/>
      <c r="CF927" s="216"/>
      <c r="CG927" s="1195"/>
      <c r="CH927" s="249"/>
      <c r="CI927" s="216"/>
      <c r="CJ927" s="1195"/>
      <c r="CK927" s="249"/>
      <c r="CL927" s="216"/>
      <c r="CM927" s="1194"/>
      <c r="CN927" s="1524"/>
      <c r="CO927" s="217"/>
      <c r="CP927" s="1193"/>
      <c r="CQ927" s="293"/>
      <c r="CR927" s="217"/>
      <c r="CS927" s="305"/>
      <c r="CT927" s="249"/>
      <c r="CU927" s="216"/>
      <c r="CV927" s="1193"/>
      <c r="CW927" s="249"/>
      <c r="CX927" s="216"/>
      <c r="CY927" s="305"/>
      <c r="CZ927" s="249"/>
      <c r="DA927" s="216"/>
      <c r="DB927" s="307"/>
      <c r="DC927" s="328"/>
      <c r="DD927" s="322"/>
      <c r="DE927" s="305"/>
      <c r="DF927" s="249"/>
      <c r="DG927" s="216"/>
      <c r="DH927" s="305"/>
      <c r="DI927" s="249"/>
      <c r="DJ927" s="216"/>
      <c r="DK927" s="309"/>
      <c r="DL927" s="293"/>
      <c r="DM927" s="326"/>
      <c r="DN927" s="1256"/>
      <c r="DO927" s="214"/>
      <c r="DP927" s="1257"/>
      <c r="DQ927" s="1258"/>
      <c r="DR927" s="305"/>
      <c r="DS927" s="249"/>
      <c r="DT927" s="216"/>
      <c r="DU927" s="305"/>
      <c r="DV927" s="2520"/>
      <c r="DW927" s="2521"/>
      <c r="DX927" s="305"/>
      <c r="DY927" s="249"/>
      <c r="DZ927" s="221"/>
      <c r="EA927" s="388"/>
      <c r="EB927" s="249"/>
      <c r="EC927" s="216"/>
      <c r="ED927" s="1461"/>
      <c r="EE927" s="249"/>
      <c r="EF927" s="216"/>
      <c r="EG927" s="355"/>
      <c r="EH927" s="1425"/>
      <c r="EI927" s="1470"/>
      <c r="EJ927" s="249"/>
      <c r="EK927" s="221"/>
      <c r="EL927" s="313"/>
      <c r="EM927" s="249"/>
      <c r="EN927" s="221"/>
      <c r="EO927" s="313"/>
      <c r="EP927" s="249"/>
      <c r="EQ927" s="216"/>
      <c r="ER927" s="313"/>
      <c r="ES927" s="249"/>
      <c r="ET927" s="216"/>
      <c r="EU927" s="313"/>
      <c r="EV927" s="249"/>
      <c r="EW927" s="216"/>
      <c r="EX927" s="2505"/>
      <c r="EY927" s="249"/>
      <c r="EZ927" s="221"/>
      <c r="FA927" s="313"/>
      <c r="FB927" s="249"/>
      <c r="FC927" s="221"/>
      <c r="FD927" s="313"/>
      <c r="FE927" s="249"/>
      <c r="FF927" s="221"/>
      <c r="FG927" s="313"/>
      <c r="FH927" s="249"/>
      <c r="FI927" s="216"/>
      <c r="FJ927" s="1435"/>
      <c r="FK927" s="216"/>
      <c r="FL927" s="1268"/>
      <c r="FM927" s="1655"/>
      <c r="FN927" s="1268"/>
      <c r="FO927" s="1655"/>
      <c r="FP927" s="1268"/>
      <c r="FQ927" s="1656"/>
      <c r="FR927" s="249"/>
      <c r="FS927" s="216"/>
      <c r="FT927" s="1657"/>
      <c r="FU927" s="1658"/>
      <c r="FV927" s="242"/>
      <c r="FW927" s="343"/>
      <c r="FX927" s="222"/>
      <c r="FY927" s="336"/>
      <c r="FZ927" s="223"/>
      <c r="GA927" s="338"/>
      <c r="GB927" s="204"/>
      <c r="GC927" s="339"/>
      <c r="GD927" s="342"/>
      <c r="GE927" s="199"/>
      <c r="GF927" s="199"/>
      <c r="GG927" s="199"/>
      <c r="GH927" s="199"/>
      <c r="GI927" s="199"/>
      <c r="GJ927" s="199"/>
      <c r="GK927" s="199"/>
      <c r="GO927" s="322"/>
      <c r="GP927" s="1190"/>
      <c r="GQ927" s="1190"/>
      <c r="GS927" s="2879"/>
      <c r="GT927" s="2880"/>
      <c r="GU927" s="2881"/>
    </row>
    <row r="928" spans="1:203" ht="12" customHeight="1">
      <c r="A928" s="1252"/>
      <c r="B928" s="200"/>
      <c r="C928" s="486"/>
      <c r="T928" s="1186"/>
      <c r="U928" s="233"/>
      <c r="W928" s="218"/>
      <c r="X928" s="218"/>
      <c r="Y928" s="216"/>
      <c r="Z928" s="216"/>
      <c r="AA928" s="215"/>
      <c r="AB928" s="216"/>
      <c r="AC928" s="216"/>
      <c r="AD928" s="239"/>
      <c r="AE928" s="216"/>
      <c r="AF928" s="216"/>
      <c r="AG928" s="216"/>
      <c r="AH928" s="216"/>
      <c r="AI928" s="216"/>
      <c r="AJ928" s="216"/>
      <c r="AK928" s="239"/>
      <c r="AL928" s="216"/>
      <c r="AM928" s="216"/>
      <c r="AN928" s="216"/>
      <c r="AO928" s="216"/>
      <c r="AP928" s="216"/>
      <c r="AQ928" s="216"/>
      <c r="AR928" s="216"/>
      <c r="AS928" s="216"/>
      <c r="AT928" s="216"/>
      <c r="AU928" s="216"/>
      <c r="AV928" s="217"/>
      <c r="AW928" s="355"/>
      <c r="AX928" s="217"/>
      <c r="AY928" s="305"/>
      <c r="AZ928" s="249"/>
      <c r="BA928" s="221"/>
      <c r="BB928" s="300"/>
      <c r="BC928" s="217"/>
      <c r="BD928" s="392"/>
      <c r="BE928" s="1244"/>
      <c r="BF928" s="249"/>
      <c r="BG928" s="252"/>
      <c r="BH928" s="1469"/>
      <c r="BI928" s="216"/>
      <c r="BJ928" s="1469"/>
      <c r="BK928" s="1459"/>
      <c r="BL928" s="260"/>
      <c r="BM928" s="214"/>
      <c r="BN928" s="293"/>
      <c r="BO928" s="217"/>
      <c r="BP928" s="355"/>
      <c r="BQ928" s="217"/>
      <c r="BR928" s="1193"/>
      <c r="BS928" s="249"/>
      <c r="BT928" s="216"/>
      <c r="BU928" s="1195"/>
      <c r="BV928" s="249"/>
      <c r="BW928" s="216"/>
      <c r="BX928" s="1195"/>
      <c r="BY928" s="249"/>
      <c r="BZ928" s="216"/>
      <c r="CA928" s="1195"/>
      <c r="CB928" s="249"/>
      <c r="CC928" s="216"/>
      <c r="CD928" s="1195"/>
      <c r="CE928" s="249"/>
      <c r="CF928" s="216"/>
      <c r="CG928" s="1195"/>
      <c r="CH928" s="249"/>
      <c r="CI928" s="216"/>
      <c r="CJ928" s="1195"/>
      <c r="CK928" s="249"/>
      <c r="CL928" s="216"/>
      <c r="CM928" s="1194"/>
      <c r="CN928" s="1524"/>
      <c r="CO928" s="217"/>
      <c r="CP928" s="1193"/>
      <c r="CQ928" s="293"/>
      <c r="CR928" s="217"/>
      <c r="CS928" s="305"/>
      <c r="CT928" s="249"/>
      <c r="CU928" s="216"/>
      <c r="CV928" s="1193"/>
      <c r="CW928" s="249"/>
      <c r="CX928" s="216"/>
      <c r="CY928" s="305"/>
      <c r="CZ928" s="249"/>
      <c r="DA928" s="216"/>
      <c r="DB928" s="307"/>
      <c r="DC928" s="328"/>
      <c r="DD928" s="322"/>
      <c r="DE928" s="305"/>
      <c r="DF928" s="249"/>
      <c r="DG928" s="216"/>
      <c r="DH928" s="305"/>
      <c r="DI928" s="249"/>
      <c r="DJ928" s="216"/>
      <c r="DK928" s="309"/>
      <c r="DL928" s="293"/>
      <c r="DM928" s="326"/>
      <c r="DN928" s="1256"/>
      <c r="DO928" s="214"/>
      <c r="DP928" s="1257"/>
      <c r="DQ928" s="1258"/>
      <c r="DR928" s="305"/>
      <c r="DS928" s="249"/>
      <c r="DT928" s="216"/>
      <c r="DU928" s="305"/>
      <c r="DV928" s="2520"/>
      <c r="DW928" s="2521"/>
      <c r="DX928" s="305"/>
      <c r="DY928" s="249"/>
      <c r="DZ928" s="221"/>
      <c r="EA928" s="388"/>
      <c r="EB928" s="249"/>
      <c r="EC928" s="216"/>
      <c r="ED928" s="1461"/>
      <c r="EE928" s="249"/>
      <c r="EF928" s="216"/>
      <c r="EG928" s="355"/>
      <c r="EH928" s="1425"/>
      <c r="EI928" s="1470"/>
      <c r="EJ928" s="249"/>
      <c r="EK928" s="221"/>
      <c r="EL928" s="313"/>
      <c r="EM928" s="249"/>
      <c r="EN928" s="221"/>
      <c r="EO928" s="313"/>
      <c r="EP928" s="249"/>
      <c r="EQ928" s="216"/>
      <c r="ER928" s="313"/>
      <c r="ES928" s="249"/>
      <c r="ET928" s="216"/>
      <c r="EU928" s="313"/>
      <c r="EV928" s="249"/>
      <c r="EW928" s="216"/>
      <c r="EX928" s="2505"/>
      <c r="EY928" s="249"/>
      <c r="EZ928" s="221"/>
      <c r="FA928" s="313"/>
      <c r="FB928" s="249"/>
      <c r="FC928" s="221"/>
      <c r="FD928" s="313"/>
      <c r="FE928" s="249"/>
      <c r="FF928" s="221"/>
      <c r="FG928" s="313"/>
      <c r="FH928" s="249"/>
      <c r="FI928" s="216"/>
      <c r="FJ928" s="1435"/>
      <c r="FK928" s="216"/>
      <c r="FL928" s="1268"/>
      <c r="FM928" s="1655"/>
      <c r="FN928" s="1268"/>
      <c r="FO928" s="1655"/>
      <c r="FP928" s="1268"/>
      <c r="FQ928" s="1656"/>
      <c r="FR928" s="249"/>
      <c r="FS928" s="216"/>
      <c r="FT928" s="1657"/>
      <c r="FU928" s="1658"/>
      <c r="FV928" s="242"/>
      <c r="FW928" s="343"/>
      <c r="FX928" s="222"/>
      <c r="FY928" s="336"/>
      <c r="FZ928" s="223"/>
      <c r="GA928" s="338"/>
      <c r="GB928" s="204"/>
      <c r="GC928" s="339"/>
      <c r="GD928" s="342"/>
      <c r="GE928" s="199"/>
      <c r="GF928" s="199"/>
      <c r="GG928" s="199"/>
      <c r="GH928" s="199"/>
      <c r="GI928" s="199"/>
      <c r="GJ928" s="199"/>
      <c r="GK928" s="199"/>
      <c r="GO928" s="322"/>
      <c r="GP928" s="1190"/>
      <c r="GQ928" s="1190"/>
      <c r="GS928" s="2879"/>
      <c r="GT928" s="2880"/>
      <c r="GU928" s="2881"/>
    </row>
    <row r="929" spans="1:203" ht="12" customHeight="1">
      <c r="A929" s="1252"/>
      <c r="B929" s="200"/>
      <c r="C929" s="486"/>
      <c r="T929" s="1186"/>
      <c r="U929" s="233"/>
      <c r="W929" s="218"/>
      <c r="X929" s="218"/>
      <c r="Y929" s="216"/>
      <c r="Z929" s="216"/>
      <c r="AA929" s="215"/>
      <c r="AB929" s="216"/>
      <c r="AC929" s="216"/>
      <c r="AD929" s="239"/>
      <c r="AE929" s="216"/>
      <c r="AF929" s="216"/>
      <c r="AG929" s="216"/>
      <c r="AH929" s="216"/>
      <c r="AI929" s="216"/>
      <c r="AJ929" s="216"/>
      <c r="AK929" s="239"/>
      <c r="AL929" s="216"/>
      <c r="AM929" s="216"/>
      <c r="AN929" s="216"/>
      <c r="AO929" s="216"/>
      <c r="AP929" s="216"/>
      <c r="AQ929" s="216"/>
      <c r="AR929" s="216"/>
      <c r="AS929" s="216"/>
      <c r="AT929" s="216"/>
      <c r="AU929" s="216"/>
      <c r="AV929" s="217"/>
      <c r="AW929" s="355"/>
      <c r="AX929" s="217"/>
      <c r="AY929" s="305"/>
      <c r="AZ929" s="249"/>
      <c r="BA929" s="221"/>
      <c r="BB929" s="300"/>
      <c r="BC929" s="217"/>
      <c r="BD929" s="392"/>
      <c r="BE929" s="1244"/>
      <c r="BF929" s="249"/>
      <c r="BG929" s="252"/>
      <c r="BH929" s="1469"/>
      <c r="BI929" s="216"/>
      <c r="BJ929" s="1469"/>
      <c r="BK929" s="1459"/>
      <c r="BL929" s="260"/>
      <c r="BM929" s="214"/>
      <c r="BN929" s="293"/>
      <c r="BO929" s="217"/>
      <c r="BP929" s="355"/>
      <c r="BQ929" s="217"/>
      <c r="BR929" s="1193"/>
      <c r="BS929" s="249"/>
      <c r="BT929" s="216"/>
      <c r="BU929" s="1195"/>
      <c r="BV929" s="249"/>
      <c r="BW929" s="216"/>
      <c r="BX929" s="1195"/>
      <c r="BY929" s="249"/>
      <c r="BZ929" s="216"/>
      <c r="CA929" s="1195"/>
      <c r="CB929" s="249"/>
      <c r="CC929" s="216"/>
      <c r="CD929" s="1195"/>
      <c r="CE929" s="249"/>
      <c r="CF929" s="216"/>
      <c r="CG929" s="1195"/>
      <c r="CH929" s="249"/>
      <c r="CI929" s="216"/>
      <c r="CJ929" s="1195"/>
      <c r="CK929" s="249"/>
      <c r="CL929" s="216"/>
      <c r="CM929" s="1194"/>
      <c r="CN929" s="1524"/>
      <c r="CO929" s="217"/>
      <c r="CP929" s="1193"/>
      <c r="CQ929" s="293"/>
      <c r="CR929" s="217"/>
      <c r="CS929" s="305"/>
      <c r="CT929" s="249"/>
      <c r="CU929" s="216"/>
      <c r="CV929" s="1193"/>
      <c r="CW929" s="249"/>
      <c r="CX929" s="216"/>
      <c r="CY929" s="305"/>
      <c r="CZ929" s="249"/>
      <c r="DA929" s="216"/>
      <c r="DB929" s="307"/>
      <c r="DC929" s="328"/>
      <c r="DD929" s="322"/>
      <c r="DE929" s="305"/>
      <c r="DF929" s="249"/>
      <c r="DG929" s="216"/>
      <c r="DH929" s="305"/>
      <c r="DI929" s="249"/>
      <c r="DJ929" s="216"/>
      <c r="DK929" s="309"/>
      <c r="DL929" s="293"/>
      <c r="DM929" s="326"/>
      <c r="DN929" s="1256"/>
      <c r="DO929" s="214"/>
      <c r="DP929" s="1257"/>
      <c r="DQ929" s="1258"/>
      <c r="DR929" s="305"/>
      <c r="DS929" s="249"/>
      <c r="DT929" s="216"/>
      <c r="DU929" s="305"/>
      <c r="DV929" s="2520"/>
      <c r="DW929" s="2521"/>
      <c r="DX929" s="305"/>
      <c r="DY929" s="249"/>
      <c r="DZ929" s="221"/>
      <c r="EA929" s="388"/>
      <c r="EB929" s="249"/>
      <c r="EC929" s="216"/>
      <c r="ED929" s="1461"/>
      <c r="EE929" s="249"/>
      <c r="EF929" s="216"/>
      <c r="EG929" s="355"/>
      <c r="EH929" s="1425"/>
      <c r="EI929" s="1470"/>
      <c r="EJ929" s="249"/>
      <c r="EK929" s="221"/>
      <c r="EL929" s="313"/>
      <c r="EM929" s="249"/>
      <c r="EN929" s="221"/>
      <c r="EO929" s="313"/>
      <c r="EP929" s="249"/>
      <c r="EQ929" s="216"/>
      <c r="ER929" s="313"/>
      <c r="ES929" s="249"/>
      <c r="ET929" s="216"/>
      <c r="EU929" s="313"/>
      <c r="EV929" s="249"/>
      <c r="EW929" s="216"/>
      <c r="EX929" s="2505"/>
      <c r="EY929" s="249"/>
      <c r="EZ929" s="221"/>
      <c r="FA929" s="313"/>
      <c r="FB929" s="249"/>
      <c r="FC929" s="221"/>
      <c r="FD929" s="313"/>
      <c r="FE929" s="249"/>
      <c r="FF929" s="221"/>
      <c r="FG929" s="313"/>
      <c r="FH929" s="249"/>
      <c r="FI929" s="216"/>
      <c r="FJ929" s="1435"/>
      <c r="FK929" s="216"/>
      <c r="FL929" s="1268"/>
      <c r="FM929" s="1655"/>
      <c r="FN929" s="1268"/>
      <c r="FO929" s="1655"/>
      <c r="FP929" s="1268"/>
      <c r="FQ929" s="1656"/>
      <c r="FR929" s="249"/>
      <c r="FS929" s="216"/>
      <c r="FT929" s="1657"/>
      <c r="FU929" s="1658"/>
      <c r="FV929" s="242"/>
      <c r="FW929" s="343"/>
      <c r="FX929" s="222"/>
      <c r="FY929" s="336"/>
      <c r="FZ929" s="223"/>
      <c r="GA929" s="338"/>
      <c r="GB929" s="204"/>
      <c r="GC929" s="339"/>
      <c r="GD929" s="342"/>
      <c r="GE929" s="199"/>
      <c r="GF929" s="199"/>
      <c r="GG929" s="199"/>
      <c r="GH929" s="199"/>
      <c r="GI929" s="199"/>
      <c r="GJ929" s="199"/>
      <c r="GK929" s="199"/>
      <c r="GO929" s="322"/>
      <c r="GP929" s="1190"/>
      <c r="GQ929" s="1190"/>
      <c r="GS929" s="2879"/>
      <c r="GT929" s="2880"/>
      <c r="GU929" s="2881"/>
    </row>
    <row r="930" spans="1:203" ht="12" customHeight="1">
      <c r="A930" s="1252"/>
      <c r="B930" s="200"/>
      <c r="C930" s="486"/>
      <c r="T930" s="1186"/>
      <c r="U930" s="233"/>
      <c r="W930" s="218"/>
      <c r="X930" s="218"/>
      <c r="Y930" s="216"/>
      <c r="Z930" s="216"/>
      <c r="AA930" s="215"/>
      <c r="AB930" s="216"/>
      <c r="AC930" s="216"/>
      <c r="AD930" s="239"/>
      <c r="AE930" s="216"/>
      <c r="AF930" s="216"/>
      <c r="AG930" s="216"/>
      <c r="AH930" s="216"/>
      <c r="AI930" s="216"/>
      <c r="AJ930" s="216"/>
      <c r="AK930" s="239"/>
      <c r="AL930" s="216"/>
      <c r="AM930" s="216"/>
      <c r="AN930" s="216"/>
      <c r="AO930" s="216"/>
      <c r="AP930" s="216"/>
      <c r="AQ930" s="216"/>
      <c r="AR930" s="216"/>
      <c r="AS930" s="216"/>
      <c r="AT930" s="216"/>
      <c r="AU930" s="216"/>
      <c r="AV930" s="217"/>
      <c r="AW930" s="355"/>
      <c r="AX930" s="217"/>
      <c r="AY930" s="305"/>
      <c r="AZ930" s="249"/>
      <c r="BA930" s="221"/>
      <c r="BB930" s="300"/>
      <c r="BC930" s="217"/>
      <c r="BD930" s="392"/>
      <c r="BE930" s="1244"/>
      <c r="BF930" s="249"/>
      <c r="BG930" s="252"/>
      <c r="BH930" s="1469"/>
      <c r="BI930" s="216"/>
      <c r="BJ930" s="1469"/>
      <c r="BK930" s="1459"/>
      <c r="BL930" s="260"/>
      <c r="BM930" s="214"/>
      <c r="BN930" s="293"/>
      <c r="BO930" s="217"/>
      <c r="BP930" s="355"/>
      <c r="BQ930" s="217"/>
      <c r="BR930" s="1193"/>
      <c r="BS930" s="249"/>
      <c r="BT930" s="216"/>
      <c r="BU930" s="1195"/>
      <c r="BV930" s="249"/>
      <c r="BW930" s="216"/>
      <c r="BX930" s="1195"/>
      <c r="BY930" s="249"/>
      <c r="BZ930" s="216"/>
      <c r="CA930" s="1195"/>
      <c r="CB930" s="249"/>
      <c r="CC930" s="216"/>
      <c r="CD930" s="1195"/>
      <c r="CE930" s="249"/>
      <c r="CF930" s="216"/>
      <c r="CG930" s="1195"/>
      <c r="CH930" s="249"/>
      <c r="CI930" s="216"/>
      <c r="CJ930" s="1195"/>
      <c r="CK930" s="249"/>
      <c r="CL930" s="216"/>
      <c r="CM930" s="1194"/>
      <c r="CN930" s="1524"/>
      <c r="CO930" s="217"/>
      <c r="CP930" s="1193"/>
      <c r="CQ930" s="293"/>
      <c r="CR930" s="217"/>
      <c r="CS930" s="305"/>
      <c r="CT930" s="249"/>
      <c r="CU930" s="216"/>
      <c r="CV930" s="1193"/>
      <c r="CW930" s="249"/>
      <c r="CX930" s="216"/>
      <c r="CY930" s="305"/>
      <c r="CZ930" s="249"/>
      <c r="DA930" s="216"/>
      <c r="DB930" s="307"/>
      <c r="DC930" s="328"/>
      <c r="DD930" s="322"/>
      <c r="DE930" s="305"/>
      <c r="DF930" s="249"/>
      <c r="DG930" s="216"/>
      <c r="DH930" s="305"/>
      <c r="DI930" s="249"/>
      <c r="DJ930" s="216"/>
      <c r="DK930" s="309"/>
      <c r="DL930" s="293"/>
      <c r="DM930" s="326"/>
      <c r="DN930" s="1256"/>
      <c r="DO930" s="214"/>
      <c r="DP930" s="1257"/>
      <c r="DQ930" s="1258"/>
      <c r="DR930" s="305"/>
      <c r="DS930" s="249"/>
      <c r="DT930" s="216"/>
      <c r="DU930" s="305"/>
      <c r="DV930" s="2520"/>
      <c r="DW930" s="2521"/>
      <c r="DX930" s="305"/>
      <c r="DY930" s="249"/>
      <c r="DZ930" s="221"/>
      <c r="EA930" s="388"/>
      <c r="EB930" s="249"/>
      <c r="EC930" s="216"/>
      <c r="ED930" s="1461"/>
      <c r="EE930" s="249"/>
      <c r="EF930" s="216"/>
      <c r="EG930" s="355"/>
      <c r="EH930" s="1425"/>
      <c r="EI930" s="1470"/>
      <c r="EJ930" s="249"/>
      <c r="EK930" s="221"/>
      <c r="EL930" s="313"/>
      <c r="EM930" s="249"/>
      <c r="EN930" s="221"/>
      <c r="EO930" s="313"/>
      <c r="EP930" s="249"/>
      <c r="EQ930" s="216"/>
      <c r="ER930" s="313"/>
      <c r="ES930" s="249"/>
      <c r="ET930" s="216"/>
      <c r="EU930" s="313"/>
      <c r="EV930" s="249"/>
      <c r="EW930" s="216"/>
      <c r="EX930" s="2505"/>
      <c r="EY930" s="249"/>
      <c r="EZ930" s="221"/>
      <c r="FA930" s="313"/>
      <c r="FB930" s="249"/>
      <c r="FC930" s="221"/>
      <c r="FD930" s="313"/>
      <c r="FE930" s="249"/>
      <c r="FF930" s="221"/>
      <c r="FG930" s="313"/>
      <c r="FH930" s="249"/>
      <c r="FI930" s="216"/>
      <c r="FJ930" s="1435"/>
      <c r="FK930" s="216"/>
      <c r="FL930" s="1268"/>
      <c r="FM930" s="1655"/>
      <c r="FN930" s="1268"/>
      <c r="FO930" s="1655"/>
      <c r="FP930" s="1268"/>
      <c r="FQ930" s="1656"/>
      <c r="FR930" s="249"/>
      <c r="FS930" s="216"/>
      <c r="FT930" s="1657"/>
      <c r="FU930" s="1658"/>
      <c r="FV930" s="242"/>
      <c r="FW930" s="343"/>
      <c r="FX930" s="222"/>
      <c r="FY930" s="336"/>
      <c r="FZ930" s="223"/>
      <c r="GA930" s="338"/>
      <c r="GB930" s="204"/>
      <c r="GC930" s="339"/>
      <c r="GD930" s="342"/>
      <c r="GE930" s="199"/>
      <c r="GF930" s="199"/>
      <c r="GG930" s="199"/>
      <c r="GH930" s="199"/>
      <c r="GI930" s="199"/>
      <c r="GJ930" s="199"/>
      <c r="GK930" s="199"/>
      <c r="GO930" s="322"/>
      <c r="GP930" s="1190"/>
      <c r="GQ930" s="1190"/>
      <c r="GS930" s="2879"/>
      <c r="GT930" s="2880"/>
      <c r="GU930" s="2881"/>
    </row>
    <row r="931" spans="1:203" ht="12" customHeight="1">
      <c r="A931" s="1252"/>
      <c r="B931" s="200"/>
      <c r="C931" s="486"/>
      <c r="T931" s="1186"/>
      <c r="U931" s="233"/>
      <c r="W931" s="218"/>
      <c r="X931" s="218"/>
      <c r="Y931" s="216"/>
      <c r="Z931" s="216"/>
      <c r="AA931" s="215"/>
      <c r="AB931" s="216"/>
      <c r="AC931" s="216"/>
      <c r="AD931" s="239"/>
      <c r="AE931" s="216"/>
      <c r="AF931" s="216"/>
      <c r="AG931" s="216"/>
      <c r="AH931" s="216"/>
      <c r="AI931" s="216"/>
      <c r="AJ931" s="216"/>
      <c r="AK931" s="239"/>
      <c r="AL931" s="216"/>
      <c r="AM931" s="216"/>
      <c r="AN931" s="216"/>
      <c r="AO931" s="216"/>
      <c r="AP931" s="216"/>
      <c r="AQ931" s="216"/>
      <c r="AR931" s="216"/>
      <c r="AS931" s="216"/>
      <c r="AT931" s="216"/>
      <c r="AU931" s="216"/>
      <c r="AV931" s="217"/>
      <c r="AW931" s="355"/>
      <c r="AX931" s="217"/>
      <c r="AY931" s="305"/>
      <c r="AZ931" s="249"/>
      <c r="BA931" s="221"/>
      <c r="BB931" s="300"/>
      <c r="BC931" s="217"/>
      <c r="BD931" s="392"/>
      <c r="BE931" s="1244"/>
      <c r="BF931" s="249"/>
      <c r="BG931" s="252"/>
      <c r="BH931" s="1469"/>
      <c r="BI931" s="216"/>
      <c r="BJ931" s="1469"/>
      <c r="BK931" s="1459"/>
      <c r="BL931" s="260"/>
      <c r="BM931" s="214"/>
      <c r="BN931" s="293"/>
      <c r="BO931" s="217"/>
      <c r="BP931" s="355"/>
      <c r="BQ931" s="217"/>
      <c r="BR931" s="1193"/>
      <c r="BS931" s="249"/>
      <c r="BT931" s="216"/>
      <c r="BU931" s="1195"/>
      <c r="BV931" s="249"/>
      <c r="BW931" s="216"/>
      <c r="BX931" s="1195"/>
      <c r="BY931" s="249"/>
      <c r="BZ931" s="216"/>
      <c r="CA931" s="1195"/>
      <c r="CB931" s="249"/>
      <c r="CC931" s="216"/>
      <c r="CD931" s="1195"/>
      <c r="CE931" s="249"/>
      <c r="CF931" s="216"/>
      <c r="CG931" s="1195"/>
      <c r="CH931" s="249"/>
      <c r="CI931" s="216"/>
      <c r="CJ931" s="1195"/>
      <c r="CK931" s="249"/>
      <c r="CL931" s="216"/>
      <c r="CM931" s="1194"/>
      <c r="CN931" s="1524"/>
      <c r="CO931" s="217"/>
      <c r="CP931" s="1193"/>
      <c r="CQ931" s="293"/>
      <c r="CR931" s="217"/>
      <c r="CS931" s="305"/>
      <c r="CT931" s="249"/>
      <c r="CU931" s="216"/>
      <c r="CV931" s="1193"/>
      <c r="CW931" s="249"/>
      <c r="CX931" s="216"/>
      <c r="CY931" s="305"/>
      <c r="CZ931" s="249"/>
      <c r="DA931" s="216"/>
      <c r="DB931" s="307"/>
      <c r="DC931" s="328"/>
      <c r="DD931" s="322"/>
      <c r="DE931" s="305"/>
      <c r="DF931" s="249"/>
      <c r="DG931" s="216"/>
      <c r="DH931" s="305"/>
      <c r="DI931" s="249"/>
      <c r="DJ931" s="216"/>
      <c r="DK931" s="309"/>
      <c r="DL931" s="293"/>
      <c r="DM931" s="326"/>
      <c r="DN931" s="1256"/>
      <c r="DO931" s="214"/>
      <c r="DP931" s="1257"/>
      <c r="DQ931" s="1258"/>
      <c r="DR931" s="305"/>
      <c r="DS931" s="249"/>
      <c r="DT931" s="216"/>
      <c r="DU931" s="305"/>
      <c r="DV931" s="2520"/>
      <c r="DW931" s="2521"/>
      <c r="DX931" s="305"/>
      <c r="DY931" s="249"/>
      <c r="DZ931" s="221"/>
      <c r="EA931" s="388"/>
      <c r="EB931" s="249"/>
      <c r="EC931" s="216"/>
      <c r="ED931" s="1461"/>
      <c r="EE931" s="249"/>
      <c r="EF931" s="216"/>
      <c r="EG931" s="355"/>
      <c r="EH931" s="1425"/>
      <c r="EI931" s="1470"/>
      <c r="EJ931" s="249"/>
      <c r="EK931" s="221"/>
      <c r="EL931" s="313"/>
      <c r="EM931" s="249"/>
      <c r="EN931" s="221"/>
      <c r="EO931" s="313"/>
      <c r="EP931" s="249"/>
      <c r="EQ931" s="216"/>
      <c r="ER931" s="313"/>
      <c r="ES931" s="249"/>
      <c r="ET931" s="216"/>
      <c r="EU931" s="313"/>
      <c r="EV931" s="249"/>
      <c r="EW931" s="216"/>
      <c r="EX931" s="2505"/>
      <c r="EY931" s="249"/>
      <c r="EZ931" s="221"/>
      <c r="FA931" s="313"/>
      <c r="FB931" s="249"/>
      <c r="FC931" s="221"/>
      <c r="FD931" s="313"/>
      <c r="FE931" s="249"/>
      <c r="FF931" s="221"/>
      <c r="FG931" s="313"/>
      <c r="FH931" s="249"/>
      <c r="FI931" s="216"/>
      <c r="FJ931" s="1435"/>
      <c r="FK931" s="216"/>
      <c r="FL931" s="1268"/>
      <c r="FM931" s="1655"/>
      <c r="FN931" s="1268"/>
      <c r="FO931" s="1655"/>
      <c r="FP931" s="1268"/>
      <c r="FQ931" s="1656"/>
      <c r="FR931" s="249"/>
      <c r="FS931" s="216"/>
      <c r="FT931" s="1657"/>
      <c r="FU931" s="1658"/>
      <c r="FV931" s="242"/>
      <c r="FW931" s="343"/>
      <c r="FX931" s="222"/>
      <c r="FY931" s="336"/>
      <c r="FZ931" s="223"/>
      <c r="GA931" s="338"/>
      <c r="GB931" s="204"/>
      <c r="GC931" s="339"/>
      <c r="GD931" s="342"/>
      <c r="GE931" s="199"/>
      <c r="GF931" s="199"/>
      <c r="GG931" s="199"/>
      <c r="GH931" s="199"/>
      <c r="GI931" s="199"/>
      <c r="GJ931" s="199"/>
      <c r="GK931" s="199"/>
      <c r="GO931" s="322"/>
      <c r="GP931" s="1190"/>
      <c r="GQ931" s="1190"/>
      <c r="GS931" s="2879"/>
      <c r="GT931" s="2880"/>
      <c r="GU931" s="2881"/>
    </row>
    <row r="932" spans="1:203" ht="12" customHeight="1">
      <c r="A932" s="1252"/>
      <c r="B932" s="200"/>
      <c r="C932" s="486"/>
      <c r="T932" s="1186"/>
      <c r="U932" s="233"/>
      <c r="W932" s="218"/>
      <c r="X932" s="218"/>
      <c r="Y932" s="216"/>
      <c r="Z932" s="216"/>
      <c r="AA932" s="215"/>
      <c r="AB932" s="216"/>
      <c r="AC932" s="216"/>
      <c r="AD932" s="239"/>
      <c r="AE932" s="216"/>
      <c r="AF932" s="216"/>
      <c r="AG932" s="216"/>
      <c r="AH932" s="216"/>
      <c r="AI932" s="216"/>
      <c r="AJ932" s="216"/>
      <c r="AK932" s="239"/>
      <c r="AL932" s="216"/>
      <c r="AM932" s="216"/>
      <c r="AN932" s="216"/>
      <c r="AO932" s="216"/>
      <c r="AP932" s="216"/>
      <c r="AQ932" s="216"/>
      <c r="AR932" s="216"/>
      <c r="AS932" s="216"/>
      <c r="AT932" s="216"/>
      <c r="AU932" s="216"/>
      <c r="AV932" s="217"/>
      <c r="AW932" s="355"/>
      <c r="AX932" s="217"/>
      <c r="AY932" s="305"/>
      <c r="AZ932" s="249"/>
      <c r="BA932" s="221"/>
      <c r="BB932" s="300"/>
      <c r="BC932" s="217"/>
      <c r="BD932" s="392"/>
      <c r="BE932" s="1244"/>
      <c r="BF932" s="249"/>
      <c r="BG932" s="252"/>
      <c r="BH932" s="1469"/>
      <c r="BI932" s="216"/>
      <c r="BJ932" s="1469"/>
      <c r="BK932" s="1459"/>
      <c r="BL932" s="260"/>
      <c r="BM932" s="214"/>
      <c r="BN932" s="293"/>
      <c r="BO932" s="217"/>
      <c r="BP932" s="355"/>
      <c r="BQ932" s="217"/>
      <c r="BR932" s="1193"/>
      <c r="BS932" s="249"/>
      <c r="BT932" s="216"/>
      <c r="BU932" s="1195"/>
      <c r="BV932" s="249"/>
      <c r="BW932" s="216"/>
      <c r="BX932" s="1195"/>
      <c r="BY932" s="249"/>
      <c r="BZ932" s="216"/>
      <c r="CA932" s="1195"/>
      <c r="CB932" s="249"/>
      <c r="CC932" s="216"/>
      <c r="CD932" s="1195"/>
      <c r="CE932" s="249"/>
      <c r="CF932" s="216"/>
      <c r="CG932" s="1195"/>
      <c r="CH932" s="249"/>
      <c r="CI932" s="216"/>
      <c r="CJ932" s="1195"/>
      <c r="CK932" s="249"/>
      <c r="CL932" s="216"/>
      <c r="CM932" s="1194"/>
      <c r="CN932" s="1524"/>
      <c r="CO932" s="217"/>
      <c r="CP932" s="1193"/>
      <c r="CQ932" s="293"/>
      <c r="CR932" s="217"/>
      <c r="CS932" s="305"/>
      <c r="CT932" s="249"/>
      <c r="CU932" s="216"/>
      <c r="CV932" s="1193"/>
      <c r="CW932" s="249"/>
      <c r="CX932" s="216"/>
      <c r="CY932" s="305"/>
      <c r="CZ932" s="249"/>
      <c r="DA932" s="216"/>
      <c r="DB932" s="307"/>
      <c r="DC932" s="328"/>
      <c r="DD932" s="322"/>
      <c r="DE932" s="305"/>
      <c r="DF932" s="249"/>
      <c r="DG932" s="216"/>
      <c r="DH932" s="305"/>
      <c r="DI932" s="249"/>
      <c r="DJ932" s="216"/>
      <c r="DK932" s="309"/>
      <c r="DL932" s="293"/>
      <c r="DM932" s="326"/>
      <c r="DN932" s="1256"/>
      <c r="DO932" s="214"/>
      <c r="DP932" s="1257"/>
      <c r="DQ932" s="1258"/>
      <c r="DR932" s="305"/>
      <c r="DS932" s="249"/>
      <c r="DT932" s="216"/>
      <c r="DU932" s="305"/>
      <c r="DV932" s="2520"/>
      <c r="DW932" s="2521"/>
      <c r="DX932" s="305"/>
      <c r="DY932" s="249"/>
      <c r="DZ932" s="221"/>
      <c r="EA932" s="388"/>
      <c r="EB932" s="249"/>
      <c r="EC932" s="216"/>
      <c r="ED932" s="1461"/>
      <c r="EE932" s="249"/>
      <c r="EF932" s="216"/>
      <c r="EG932" s="355"/>
      <c r="EH932" s="1425"/>
      <c r="EI932" s="1470"/>
      <c r="EJ932" s="249"/>
      <c r="EK932" s="221"/>
      <c r="EL932" s="313"/>
      <c r="EM932" s="249"/>
      <c r="EN932" s="221"/>
      <c r="EO932" s="313"/>
      <c r="EP932" s="249"/>
      <c r="EQ932" s="216"/>
      <c r="ER932" s="313"/>
      <c r="ES932" s="249"/>
      <c r="ET932" s="216"/>
      <c r="EU932" s="313"/>
      <c r="EV932" s="249"/>
      <c r="EW932" s="216"/>
      <c r="EX932" s="2505"/>
      <c r="EY932" s="249"/>
      <c r="EZ932" s="221"/>
      <c r="FA932" s="313"/>
      <c r="FB932" s="249"/>
      <c r="FC932" s="221"/>
      <c r="FD932" s="313"/>
      <c r="FE932" s="249"/>
      <c r="FF932" s="221"/>
      <c r="FG932" s="313"/>
      <c r="FH932" s="249"/>
      <c r="FI932" s="216"/>
      <c r="FJ932" s="1435"/>
      <c r="FK932" s="216"/>
      <c r="FL932" s="1268"/>
      <c r="FM932" s="1655"/>
      <c r="FN932" s="1268"/>
      <c r="FO932" s="1655"/>
      <c r="FP932" s="1268"/>
      <c r="FQ932" s="1656"/>
      <c r="FR932" s="249"/>
      <c r="FS932" s="216"/>
      <c r="FT932" s="1657"/>
      <c r="FU932" s="1658"/>
      <c r="FV932" s="242"/>
      <c r="FW932" s="343"/>
      <c r="FX932" s="222"/>
      <c r="FY932" s="336"/>
      <c r="FZ932" s="223"/>
      <c r="GA932" s="338"/>
      <c r="GB932" s="204"/>
      <c r="GC932" s="339"/>
      <c r="GD932" s="342"/>
      <c r="GE932" s="199"/>
      <c r="GF932" s="199"/>
      <c r="GG932" s="199"/>
      <c r="GH932" s="199"/>
      <c r="GI932" s="199"/>
      <c r="GJ932" s="199"/>
      <c r="GK932" s="199"/>
      <c r="GO932" s="322"/>
      <c r="GP932" s="1190"/>
      <c r="GQ932" s="1190"/>
      <c r="GS932" s="2879"/>
      <c r="GT932" s="2880"/>
      <c r="GU932" s="2881"/>
    </row>
    <row r="933" spans="1:203" ht="12" customHeight="1">
      <c r="A933" s="1252"/>
      <c r="B933" s="200"/>
      <c r="C933" s="486"/>
      <c r="T933" s="1186"/>
      <c r="U933" s="233"/>
      <c r="W933" s="218"/>
      <c r="X933" s="218"/>
      <c r="Y933" s="216"/>
      <c r="Z933" s="216"/>
      <c r="AA933" s="215"/>
      <c r="AB933" s="216"/>
      <c r="AC933" s="216"/>
      <c r="AD933" s="239"/>
      <c r="AE933" s="216"/>
      <c r="AF933" s="216"/>
      <c r="AG933" s="216"/>
      <c r="AH933" s="216"/>
      <c r="AI933" s="216"/>
      <c r="AJ933" s="216"/>
      <c r="AK933" s="239"/>
      <c r="AL933" s="216"/>
      <c r="AM933" s="216"/>
      <c r="AN933" s="216"/>
      <c r="AO933" s="216"/>
      <c r="AP933" s="216"/>
      <c r="AQ933" s="216"/>
      <c r="AR933" s="216"/>
      <c r="AS933" s="216"/>
      <c r="AT933" s="216"/>
      <c r="AU933" s="216"/>
      <c r="AV933" s="217"/>
      <c r="AW933" s="355"/>
      <c r="AX933" s="217"/>
      <c r="AY933" s="305"/>
      <c r="AZ933" s="249"/>
      <c r="BA933" s="221"/>
      <c r="BB933" s="300"/>
      <c r="BC933" s="217"/>
      <c r="BD933" s="392"/>
      <c r="BE933" s="1244"/>
      <c r="BF933" s="249"/>
      <c r="BG933" s="252"/>
      <c r="BH933" s="1469"/>
      <c r="BI933" s="216"/>
      <c r="BJ933" s="1469"/>
      <c r="BK933" s="1459"/>
      <c r="BL933" s="260"/>
      <c r="BM933" s="214"/>
      <c r="BN933" s="293"/>
      <c r="BO933" s="217"/>
      <c r="BP933" s="355"/>
      <c r="BQ933" s="217"/>
      <c r="BR933" s="1193"/>
      <c r="BS933" s="249"/>
      <c r="BT933" s="216"/>
      <c r="BU933" s="1195"/>
      <c r="BV933" s="249"/>
      <c r="BW933" s="216"/>
      <c r="BX933" s="1195"/>
      <c r="BY933" s="249"/>
      <c r="BZ933" s="216"/>
      <c r="CA933" s="1195"/>
      <c r="CB933" s="249"/>
      <c r="CC933" s="216"/>
      <c r="CD933" s="1195"/>
      <c r="CE933" s="249"/>
      <c r="CF933" s="216"/>
      <c r="CG933" s="1195"/>
      <c r="CH933" s="249"/>
      <c r="CI933" s="216"/>
      <c r="CJ933" s="1195"/>
      <c r="CK933" s="249"/>
      <c r="CL933" s="216"/>
      <c r="CM933" s="1194"/>
      <c r="CN933" s="1524"/>
      <c r="CO933" s="217"/>
      <c r="CP933" s="1193"/>
      <c r="CQ933" s="293"/>
      <c r="CR933" s="217"/>
      <c r="CS933" s="305"/>
      <c r="CT933" s="249"/>
      <c r="CU933" s="216"/>
      <c r="CV933" s="1193"/>
      <c r="CW933" s="249"/>
      <c r="CX933" s="216"/>
      <c r="CY933" s="305"/>
      <c r="CZ933" s="249"/>
      <c r="DA933" s="216"/>
      <c r="DB933" s="307"/>
      <c r="DC933" s="328"/>
      <c r="DD933" s="322"/>
      <c r="DE933" s="305"/>
      <c r="DF933" s="249"/>
      <c r="DG933" s="216"/>
      <c r="DH933" s="305"/>
      <c r="DI933" s="249"/>
      <c r="DJ933" s="216"/>
      <c r="DK933" s="309"/>
      <c r="DL933" s="293"/>
      <c r="DM933" s="326"/>
      <c r="DN933" s="1256"/>
      <c r="DO933" s="214"/>
      <c r="DP933" s="1257"/>
      <c r="DQ933" s="1258"/>
      <c r="DR933" s="305"/>
      <c r="DS933" s="249"/>
      <c r="DT933" s="216"/>
      <c r="DU933" s="305"/>
      <c r="DV933" s="2520"/>
      <c r="DW933" s="2521"/>
      <c r="DX933" s="305"/>
      <c r="DY933" s="249"/>
      <c r="DZ933" s="221"/>
      <c r="EA933" s="388"/>
      <c r="EB933" s="249"/>
      <c r="EC933" s="216"/>
      <c r="ED933" s="1461"/>
      <c r="EE933" s="249"/>
      <c r="EF933" s="216"/>
      <c r="EG933" s="355"/>
      <c r="EH933" s="1425"/>
      <c r="EI933" s="1470"/>
      <c r="EJ933" s="249"/>
      <c r="EK933" s="221"/>
      <c r="EL933" s="313"/>
      <c r="EM933" s="249"/>
      <c r="EN933" s="221"/>
      <c r="EO933" s="313"/>
      <c r="EP933" s="249"/>
      <c r="EQ933" s="216"/>
      <c r="ER933" s="313"/>
      <c r="ES933" s="249"/>
      <c r="ET933" s="216"/>
      <c r="EU933" s="313"/>
      <c r="EV933" s="249"/>
      <c r="EW933" s="216"/>
      <c r="EX933" s="2505"/>
      <c r="EY933" s="249"/>
      <c r="EZ933" s="221"/>
      <c r="FA933" s="313"/>
      <c r="FB933" s="249"/>
      <c r="FC933" s="221"/>
      <c r="FD933" s="313"/>
      <c r="FE933" s="249"/>
      <c r="FF933" s="221"/>
      <c r="FG933" s="313"/>
      <c r="FH933" s="249"/>
      <c r="FI933" s="216"/>
      <c r="FJ933" s="1435"/>
      <c r="FK933" s="216"/>
      <c r="FL933" s="1268"/>
      <c r="FM933" s="1655"/>
      <c r="FN933" s="1268"/>
      <c r="FO933" s="1655"/>
      <c r="FP933" s="1268"/>
      <c r="FQ933" s="1656"/>
      <c r="FR933" s="249"/>
      <c r="FS933" s="216"/>
      <c r="FT933" s="1657"/>
      <c r="FU933" s="1658"/>
      <c r="FV933" s="242"/>
      <c r="FW933" s="343"/>
      <c r="FX933" s="222"/>
      <c r="FY933" s="336"/>
      <c r="FZ933" s="223"/>
      <c r="GA933" s="338"/>
      <c r="GB933" s="204"/>
      <c r="GC933" s="339"/>
      <c r="GD933" s="342"/>
      <c r="GE933" s="199"/>
      <c r="GF933" s="199"/>
      <c r="GG933" s="199"/>
      <c r="GH933" s="199"/>
      <c r="GI933" s="199"/>
      <c r="GJ933" s="199"/>
      <c r="GK933" s="199"/>
      <c r="GO933" s="322"/>
      <c r="GP933" s="1190"/>
      <c r="GQ933" s="1190"/>
      <c r="GS933" s="2879"/>
      <c r="GT933" s="2880"/>
      <c r="GU933" s="2881"/>
    </row>
    <row r="934" spans="1:203" ht="12" customHeight="1">
      <c r="A934" s="1252"/>
      <c r="B934" s="200"/>
      <c r="C934" s="486"/>
      <c r="T934" s="1186"/>
      <c r="U934" s="233"/>
      <c r="W934" s="218"/>
      <c r="X934" s="218"/>
      <c r="Y934" s="216"/>
      <c r="Z934" s="216"/>
      <c r="AA934" s="215"/>
      <c r="AB934" s="216"/>
      <c r="AC934" s="216"/>
      <c r="AD934" s="239"/>
      <c r="AE934" s="216"/>
      <c r="AF934" s="216"/>
      <c r="AG934" s="216"/>
      <c r="AH934" s="216"/>
      <c r="AI934" s="216"/>
      <c r="AJ934" s="216"/>
      <c r="AK934" s="239"/>
      <c r="AL934" s="216"/>
      <c r="AM934" s="216"/>
      <c r="AN934" s="216"/>
      <c r="AO934" s="216"/>
      <c r="AP934" s="216"/>
      <c r="AQ934" s="216"/>
      <c r="AR934" s="216"/>
      <c r="AS934" s="216"/>
      <c r="AT934" s="216"/>
      <c r="AU934" s="216"/>
      <c r="AV934" s="217"/>
      <c r="AW934" s="355"/>
      <c r="AX934" s="217"/>
      <c r="AY934" s="305"/>
      <c r="AZ934" s="249"/>
      <c r="BA934" s="221"/>
      <c r="BB934" s="300"/>
      <c r="BC934" s="217"/>
      <c r="BD934" s="392"/>
      <c r="BE934" s="1244"/>
      <c r="BF934" s="249"/>
      <c r="BG934" s="252"/>
      <c r="BH934" s="1469"/>
      <c r="BI934" s="216"/>
      <c r="BJ934" s="1469"/>
      <c r="BK934" s="1459"/>
      <c r="BL934" s="260"/>
      <c r="BM934" s="214"/>
      <c r="BN934" s="293"/>
      <c r="BO934" s="217"/>
      <c r="BP934" s="355"/>
      <c r="BQ934" s="217"/>
      <c r="BR934" s="1193"/>
      <c r="BS934" s="249"/>
      <c r="BT934" s="216"/>
      <c r="BU934" s="1195"/>
      <c r="BV934" s="249"/>
      <c r="BW934" s="216"/>
      <c r="BX934" s="1195"/>
      <c r="BY934" s="249"/>
      <c r="BZ934" s="216"/>
      <c r="CA934" s="1195"/>
      <c r="CB934" s="249"/>
      <c r="CC934" s="216"/>
      <c r="CD934" s="1195"/>
      <c r="CE934" s="249"/>
      <c r="CF934" s="216"/>
      <c r="CG934" s="1195"/>
      <c r="CH934" s="249"/>
      <c r="CI934" s="216"/>
      <c r="CJ934" s="1195"/>
      <c r="CK934" s="249"/>
      <c r="CL934" s="216"/>
      <c r="CM934" s="1194"/>
      <c r="CN934" s="1524"/>
      <c r="CO934" s="217"/>
      <c r="CP934" s="1193"/>
      <c r="CQ934" s="293"/>
      <c r="CR934" s="217"/>
      <c r="CS934" s="305"/>
      <c r="CT934" s="249"/>
      <c r="CU934" s="216"/>
      <c r="CV934" s="1193"/>
      <c r="CW934" s="249"/>
      <c r="CX934" s="216"/>
      <c r="CY934" s="305"/>
      <c r="CZ934" s="249"/>
      <c r="DA934" s="216"/>
      <c r="DB934" s="307"/>
      <c r="DC934" s="328"/>
      <c r="DD934" s="322"/>
      <c r="DE934" s="305"/>
      <c r="DF934" s="249"/>
      <c r="DG934" s="216"/>
      <c r="DH934" s="305"/>
      <c r="DI934" s="249"/>
      <c r="DJ934" s="216"/>
      <c r="DK934" s="309"/>
      <c r="DL934" s="293"/>
      <c r="DM934" s="326"/>
      <c r="DN934" s="1256"/>
      <c r="DO934" s="214"/>
      <c r="DP934" s="1257"/>
      <c r="DQ934" s="1258"/>
      <c r="DR934" s="305"/>
      <c r="DS934" s="249"/>
      <c r="DT934" s="216"/>
      <c r="DU934" s="305"/>
      <c r="DV934" s="2520"/>
      <c r="DW934" s="2521"/>
      <c r="DX934" s="305"/>
      <c r="DY934" s="249"/>
      <c r="DZ934" s="221"/>
      <c r="EA934" s="388"/>
      <c r="EB934" s="249"/>
      <c r="EC934" s="216"/>
      <c r="ED934" s="1461"/>
      <c r="EE934" s="249"/>
      <c r="EF934" s="216"/>
      <c r="EG934" s="355"/>
      <c r="EH934" s="1425"/>
      <c r="EI934" s="1470"/>
      <c r="EJ934" s="249"/>
      <c r="EK934" s="221"/>
      <c r="EL934" s="313"/>
      <c r="EM934" s="249"/>
      <c r="EN934" s="221"/>
      <c r="EO934" s="313"/>
      <c r="EP934" s="249"/>
      <c r="EQ934" s="216"/>
      <c r="ER934" s="313"/>
      <c r="ES934" s="249"/>
      <c r="ET934" s="216"/>
      <c r="EU934" s="313"/>
      <c r="EV934" s="249"/>
      <c r="EW934" s="216"/>
      <c r="EX934" s="2505"/>
      <c r="EY934" s="249"/>
      <c r="EZ934" s="221"/>
      <c r="FA934" s="313"/>
      <c r="FB934" s="249"/>
      <c r="FC934" s="221"/>
      <c r="FD934" s="313"/>
      <c r="FE934" s="249"/>
      <c r="FF934" s="221"/>
      <c r="FG934" s="313"/>
      <c r="FH934" s="249"/>
      <c r="FI934" s="216"/>
      <c r="FJ934" s="1435"/>
      <c r="FK934" s="216"/>
      <c r="FL934" s="1268"/>
      <c r="FM934" s="1655"/>
      <c r="FN934" s="1268"/>
      <c r="FO934" s="1655"/>
      <c r="FP934" s="1268"/>
      <c r="FQ934" s="1656"/>
      <c r="FR934" s="249"/>
      <c r="FS934" s="216"/>
      <c r="FT934" s="1657"/>
      <c r="FU934" s="1658"/>
      <c r="FV934" s="242"/>
      <c r="FW934" s="343"/>
      <c r="FX934" s="222"/>
      <c r="FY934" s="336"/>
      <c r="FZ934" s="223"/>
      <c r="GA934" s="338"/>
      <c r="GB934" s="204"/>
      <c r="GC934" s="339"/>
      <c r="GD934" s="342"/>
      <c r="GE934" s="199"/>
      <c r="GF934" s="199"/>
      <c r="GG934" s="199"/>
      <c r="GH934" s="199"/>
      <c r="GI934" s="199"/>
      <c r="GJ934" s="199"/>
      <c r="GK934" s="199"/>
      <c r="GO934" s="322"/>
      <c r="GP934" s="1190"/>
      <c r="GQ934" s="1190"/>
      <c r="GS934" s="2879"/>
      <c r="GT934" s="2880"/>
      <c r="GU934" s="2881"/>
    </row>
    <row r="935" spans="1:203" ht="12" customHeight="1">
      <c r="A935" s="1252"/>
      <c r="B935" s="200"/>
      <c r="C935" s="486"/>
      <c r="T935" s="1186"/>
      <c r="U935" s="233"/>
      <c r="W935" s="218"/>
      <c r="X935" s="218"/>
      <c r="Y935" s="216"/>
      <c r="Z935" s="216"/>
      <c r="AA935" s="215"/>
      <c r="AB935" s="216"/>
      <c r="AC935" s="216"/>
      <c r="AD935" s="239"/>
      <c r="AE935" s="216"/>
      <c r="AF935" s="216"/>
      <c r="AG935" s="216"/>
      <c r="AH935" s="216"/>
      <c r="AI935" s="216"/>
      <c r="AJ935" s="216"/>
      <c r="AK935" s="239"/>
      <c r="AL935" s="216"/>
      <c r="AM935" s="216"/>
      <c r="AN935" s="216"/>
      <c r="AO935" s="216"/>
      <c r="AP935" s="216"/>
      <c r="AQ935" s="216"/>
      <c r="AR935" s="216"/>
      <c r="AS935" s="216"/>
      <c r="AT935" s="216"/>
      <c r="AU935" s="216"/>
      <c r="AV935" s="217"/>
      <c r="AW935" s="355"/>
      <c r="AX935" s="217"/>
      <c r="AY935" s="305"/>
      <c r="AZ935" s="249"/>
      <c r="BA935" s="221"/>
      <c r="BB935" s="300"/>
      <c r="BC935" s="217"/>
      <c r="BD935" s="392"/>
      <c r="BE935" s="1244"/>
      <c r="BF935" s="249"/>
      <c r="BG935" s="252"/>
      <c r="BH935" s="1469"/>
      <c r="BI935" s="216"/>
      <c r="BJ935" s="1469"/>
      <c r="BK935" s="1459"/>
      <c r="BL935" s="260"/>
      <c r="BM935" s="214"/>
      <c r="BN935" s="293"/>
      <c r="BO935" s="217"/>
      <c r="BP935" s="355"/>
      <c r="BQ935" s="217"/>
      <c r="BR935" s="1193"/>
      <c r="BS935" s="249"/>
      <c r="BT935" s="216"/>
      <c r="BU935" s="1195"/>
      <c r="BV935" s="249"/>
      <c r="BW935" s="216"/>
      <c r="BX935" s="1195"/>
      <c r="BY935" s="249"/>
      <c r="BZ935" s="216"/>
      <c r="CA935" s="1195"/>
      <c r="CB935" s="249"/>
      <c r="CC935" s="216"/>
      <c r="CD935" s="1195"/>
      <c r="CE935" s="249"/>
      <c r="CF935" s="216"/>
      <c r="CG935" s="1195"/>
      <c r="CH935" s="249"/>
      <c r="CI935" s="216"/>
      <c r="CJ935" s="1195"/>
      <c r="CK935" s="249"/>
      <c r="CL935" s="216"/>
      <c r="CM935" s="1194"/>
      <c r="CN935" s="1524"/>
      <c r="CO935" s="217"/>
      <c r="CP935" s="1193"/>
      <c r="CQ935" s="293"/>
      <c r="CR935" s="217"/>
      <c r="CS935" s="305"/>
      <c r="CT935" s="249"/>
      <c r="CU935" s="216"/>
      <c r="CV935" s="1193"/>
      <c r="CW935" s="249"/>
      <c r="CX935" s="216"/>
      <c r="CY935" s="305"/>
      <c r="CZ935" s="249"/>
      <c r="DA935" s="216"/>
      <c r="DB935" s="307"/>
      <c r="DC935" s="328"/>
      <c r="DD935" s="322"/>
      <c r="DE935" s="305"/>
      <c r="DF935" s="249"/>
      <c r="DG935" s="216"/>
      <c r="DH935" s="305"/>
      <c r="DI935" s="249"/>
      <c r="DJ935" s="216"/>
      <c r="DK935" s="309"/>
      <c r="DL935" s="293"/>
      <c r="DM935" s="326"/>
      <c r="DN935" s="1256"/>
      <c r="DO935" s="214"/>
      <c r="DP935" s="1257"/>
      <c r="DQ935" s="1258"/>
      <c r="DR935" s="305"/>
      <c r="DS935" s="249"/>
      <c r="DT935" s="216"/>
      <c r="DU935" s="305"/>
      <c r="DV935" s="2520"/>
      <c r="DW935" s="2521"/>
      <c r="DX935" s="305"/>
      <c r="DY935" s="249"/>
      <c r="DZ935" s="221"/>
      <c r="EA935" s="388"/>
      <c r="EB935" s="249"/>
      <c r="EC935" s="216"/>
      <c r="ED935" s="1461"/>
      <c r="EE935" s="249"/>
      <c r="EF935" s="216"/>
      <c r="EG935" s="355"/>
      <c r="EH935" s="1425"/>
      <c r="EI935" s="1470"/>
      <c r="EJ935" s="249"/>
      <c r="EK935" s="221"/>
      <c r="EL935" s="313"/>
      <c r="EM935" s="249"/>
      <c r="EN935" s="221"/>
      <c r="EO935" s="313"/>
      <c r="EP935" s="249"/>
      <c r="EQ935" s="216"/>
      <c r="ER935" s="313"/>
      <c r="ES935" s="249"/>
      <c r="ET935" s="216"/>
      <c r="EU935" s="313"/>
      <c r="EV935" s="249"/>
      <c r="EW935" s="216"/>
      <c r="EX935" s="2505"/>
      <c r="EY935" s="249"/>
      <c r="EZ935" s="221"/>
      <c r="FA935" s="313"/>
      <c r="FB935" s="249"/>
      <c r="FC935" s="221"/>
      <c r="FD935" s="313"/>
      <c r="FE935" s="249"/>
      <c r="FF935" s="221"/>
      <c r="FG935" s="313"/>
      <c r="FH935" s="249"/>
      <c r="FI935" s="216"/>
      <c r="FJ935" s="1435"/>
      <c r="FK935" s="216"/>
      <c r="FL935" s="1268"/>
      <c r="FM935" s="1655"/>
      <c r="FN935" s="1268"/>
      <c r="FO935" s="1655"/>
      <c r="FP935" s="1268"/>
      <c r="FQ935" s="1656"/>
      <c r="FR935" s="249"/>
      <c r="FS935" s="216"/>
      <c r="FT935" s="1657"/>
      <c r="FU935" s="1658"/>
      <c r="FV935" s="242"/>
      <c r="FW935" s="343"/>
      <c r="FX935" s="222"/>
      <c r="FY935" s="336"/>
      <c r="FZ935" s="223"/>
      <c r="GA935" s="338"/>
      <c r="GB935" s="204"/>
      <c r="GC935" s="339"/>
      <c r="GD935" s="342"/>
      <c r="GE935" s="199"/>
      <c r="GF935" s="199"/>
      <c r="GG935" s="199"/>
      <c r="GH935" s="199"/>
      <c r="GI935" s="199"/>
      <c r="GJ935" s="199"/>
      <c r="GK935" s="199"/>
      <c r="GO935" s="322"/>
      <c r="GP935" s="1190"/>
      <c r="GQ935" s="1190"/>
      <c r="GS935" s="2879"/>
      <c r="GT935" s="2880"/>
      <c r="GU935" s="2881"/>
    </row>
    <row r="936" spans="1:203" ht="12" customHeight="1">
      <c r="A936" s="1252"/>
      <c r="B936" s="200"/>
      <c r="C936" s="486"/>
      <c r="T936" s="1186"/>
      <c r="U936" s="233"/>
      <c r="W936" s="218"/>
      <c r="X936" s="218"/>
      <c r="Y936" s="216"/>
      <c r="Z936" s="216"/>
      <c r="AA936" s="215"/>
      <c r="AB936" s="216"/>
      <c r="AC936" s="216"/>
      <c r="AD936" s="239"/>
      <c r="AE936" s="216"/>
      <c r="AF936" s="216"/>
      <c r="AG936" s="216"/>
      <c r="AH936" s="216"/>
      <c r="AI936" s="216"/>
      <c r="AJ936" s="216"/>
      <c r="AK936" s="239"/>
      <c r="AL936" s="216"/>
      <c r="AM936" s="216"/>
      <c r="AN936" s="216"/>
      <c r="AO936" s="216"/>
      <c r="AP936" s="216"/>
      <c r="AQ936" s="216"/>
      <c r="AR936" s="216"/>
      <c r="AS936" s="216"/>
      <c r="AT936" s="216"/>
      <c r="AU936" s="216"/>
      <c r="AV936" s="217"/>
      <c r="AW936" s="355"/>
      <c r="AX936" s="217"/>
      <c r="AY936" s="305"/>
      <c r="AZ936" s="249"/>
      <c r="BA936" s="221"/>
      <c r="BB936" s="300"/>
      <c r="BC936" s="217"/>
      <c r="BD936" s="392"/>
      <c r="BE936" s="1244"/>
      <c r="BF936" s="249"/>
      <c r="BG936" s="252"/>
      <c r="BH936" s="1469"/>
      <c r="BI936" s="216"/>
      <c r="BJ936" s="1469"/>
      <c r="BK936" s="1459"/>
      <c r="BL936" s="260"/>
      <c r="BM936" s="214"/>
      <c r="BN936" s="293"/>
      <c r="BO936" s="217"/>
      <c r="BP936" s="355"/>
      <c r="BQ936" s="217"/>
      <c r="BR936" s="1193"/>
      <c r="BS936" s="249"/>
      <c r="BT936" s="216"/>
      <c r="BU936" s="1195"/>
      <c r="BV936" s="249"/>
      <c r="BW936" s="216"/>
      <c r="BX936" s="1195"/>
      <c r="BY936" s="249"/>
      <c r="BZ936" s="216"/>
      <c r="CA936" s="1195"/>
      <c r="CB936" s="249"/>
      <c r="CC936" s="216"/>
      <c r="CD936" s="1195"/>
      <c r="CE936" s="249"/>
      <c r="CF936" s="216"/>
      <c r="CG936" s="1195"/>
      <c r="CH936" s="249"/>
      <c r="CI936" s="216"/>
      <c r="CJ936" s="1195"/>
      <c r="CK936" s="249"/>
      <c r="CL936" s="216"/>
      <c r="CM936" s="1194"/>
      <c r="CN936" s="1524"/>
      <c r="CO936" s="217"/>
      <c r="CP936" s="1193"/>
      <c r="CQ936" s="293"/>
      <c r="CR936" s="217"/>
      <c r="CS936" s="305"/>
      <c r="CT936" s="249"/>
      <c r="CU936" s="216"/>
      <c r="CV936" s="1193"/>
      <c r="CW936" s="249"/>
      <c r="CX936" s="216"/>
      <c r="CY936" s="305"/>
      <c r="CZ936" s="249"/>
      <c r="DA936" s="216"/>
      <c r="DB936" s="307"/>
      <c r="DC936" s="328"/>
      <c r="DD936" s="322"/>
      <c r="DE936" s="305"/>
      <c r="DF936" s="249"/>
      <c r="DG936" s="216"/>
      <c r="DH936" s="305"/>
      <c r="DI936" s="249"/>
      <c r="DJ936" s="216"/>
      <c r="DK936" s="309"/>
      <c r="DL936" s="293"/>
      <c r="DM936" s="326"/>
      <c r="DN936" s="1256"/>
      <c r="DO936" s="214"/>
      <c r="DP936" s="1257"/>
      <c r="DQ936" s="1258"/>
      <c r="DR936" s="305"/>
      <c r="DS936" s="249"/>
      <c r="DT936" s="216"/>
      <c r="DU936" s="305"/>
      <c r="DV936" s="2520"/>
      <c r="DW936" s="2521"/>
      <c r="DX936" s="305"/>
      <c r="DY936" s="249"/>
      <c r="DZ936" s="221"/>
      <c r="EA936" s="388"/>
      <c r="EB936" s="249"/>
      <c r="EC936" s="216"/>
      <c r="ED936" s="1461"/>
      <c r="EE936" s="249"/>
      <c r="EF936" s="216"/>
      <c r="EG936" s="355"/>
      <c r="EH936" s="1425"/>
      <c r="EI936" s="1470"/>
      <c r="EJ936" s="249"/>
      <c r="EK936" s="221"/>
      <c r="EL936" s="313"/>
      <c r="EM936" s="249"/>
      <c r="EN936" s="221"/>
      <c r="EO936" s="313"/>
      <c r="EP936" s="249"/>
      <c r="EQ936" s="216"/>
      <c r="ER936" s="313"/>
      <c r="ES936" s="249"/>
      <c r="ET936" s="216"/>
      <c r="EU936" s="313"/>
      <c r="EV936" s="249"/>
      <c r="EW936" s="216"/>
      <c r="EX936" s="2505"/>
      <c r="EY936" s="249"/>
      <c r="EZ936" s="221"/>
      <c r="FA936" s="313"/>
      <c r="FB936" s="249"/>
      <c r="FC936" s="221"/>
      <c r="FD936" s="313"/>
      <c r="FE936" s="249"/>
      <c r="FF936" s="221"/>
      <c r="FG936" s="313"/>
      <c r="FH936" s="249"/>
      <c r="FI936" s="216"/>
      <c r="FJ936" s="1435"/>
      <c r="FK936" s="216"/>
      <c r="FL936" s="1268"/>
      <c r="FM936" s="1655"/>
      <c r="FN936" s="1268"/>
      <c r="FO936" s="1655"/>
      <c r="FP936" s="1268"/>
      <c r="FQ936" s="1656"/>
      <c r="FR936" s="249"/>
      <c r="FS936" s="216"/>
      <c r="FT936" s="1657"/>
      <c r="FU936" s="1658"/>
      <c r="FV936" s="242"/>
      <c r="FW936" s="343"/>
      <c r="FX936" s="222"/>
      <c r="FY936" s="336"/>
      <c r="FZ936" s="223"/>
      <c r="GA936" s="338"/>
      <c r="GB936" s="204"/>
      <c r="GC936" s="339"/>
      <c r="GD936" s="342"/>
      <c r="GE936" s="199"/>
      <c r="GF936" s="199"/>
      <c r="GG936" s="199"/>
      <c r="GH936" s="199"/>
      <c r="GI936" s="199"/>
      <c r="GJ936" s="199"/>
      <c r="GK936" s="199"/>
      <c r="GO936" s="322"/>
      <c r="GP936" s="1190"/>
      <c r="GQ936" s="1190"/>
      <c r="GS936" s="2879"/>
      <c r="GT936" s="2880"/>
      <c r="GU936" s="2881"/>
    </row>
    <row r="937" spans="1:203" ht="12" customHeight="1">
      <c r="A937" s="1252"/>
      <c r="B937" s="200"/>
      <c r="C937" s="486"/>
      <c r="T937" s="1186"/>
      <c r="U937" s="233"/>
      <c r="W937" s="218"/>
      <c r="X937" s="218"/>
      <c r="Y937" s="216"/>
      <c r="Z937" s="216"/>
      <c r="AA937" s="215"/>
      <c r="AB937" s="216"/>
      <c r="AC937" s="216"/>
      <c r="AD937" s="239"/>
      <c r="AE937" s="216"/>
      <c r="AF937" s="216"/>
      <c r="AG937" s="216"/>
      <c r="AH937" s="216"/>
      <c r="AI937" s="216"/>
      <c r="AJ937" s="216"/>
      <c r="AK937" s="239"/>
      <c r="AL937" s="216"/>
      <c r="AM937" s="216"/>
      <c r="AN937" s="216"/>
      <c r="AO937" s="216"/>
      <c r="AP937" s="216"/>
      <c r="AQ937" s="216"/>
      <c r="AR937" s="216"/>
      <c r="AS937" s="216"/>
      <c r="AT937" s="216"/>
      <c r="AU937" s="216"/>
      <c r="AV937" s="217"/>
      <c r="AW937" s="355"/>
      <c r="AX937" s="217"/>
      <c r="AY937" s="305"/>
      <c r="AZ937" s="249"/>
      <c r="BA937" s="221"/>
      <c r="BB937" s="300"/>
      <c r="BC937" s="217"/>
      <c r="BD937" s="392"/>
      <c r="BE937" s="1244"/>
      <c r="BF937" s="249"/>
      <c r="BG937" s="252"/>
      <c r="BH937" s="1469"/>
      <c r="BI937" s="216"/>
      <c r="BJ937" s="1469"/>
      <c r="BK937" s="1459"/>
      <c r="BL937" s="260"/>
      <c r="BM937" s="214"/>
      <c r="BN937" s="293"/>
      <c r="BO937" s="217"/>
      <c r="BP937" s="355"/>
      <c r="BQ937" s="217"/>
      <c r="BR937" s="1193"/>
      <c r="BS937" s="249"/>
      <c r="BT937" s="216"/>
      <c r="BU937" s="1195"/>
      <c r="BV937" s="249"/>
      <c r="BW937" s="216"/>
      <c r="BX937" s="1195"/>
      <c r="BY937" s="249"/>
      <c r="BZ937" s="216"/>
      <c r="CA937" s="1195"/>
      <c r="CB937" s="249"/>
      <c r="CC937" s="216"/>
      <c r="CD937" s="1195"/>
      <c r="CE937" s="249"/>
      <c r="CF937" s="216"/>
      <c r="CG937" s="1195"/>
      <c r="CH937" s="249"/>
      <c r="CI937" s="216"/>
      <c r="CJ937" s="1195"/>
      <c r="CK937" s="249"/>
      <c r="CL937" s="216"/>
      <c r="CM937" s="1194"/>
      <c r="CN937" s="1524"/>
      <c r="CO937" s="217"/>
      <c r="CP937" s="1193"/>
      <c r="CQ937" s="293"/>
      <c r="CR937" s="217"/>
      <c r="CS937" s="305"/>
      <c r="CT937" s="249"/>
      <c r="CU937" s="216"/>
      <c r="CV937" s="1193"/>
      <c r="CW937" s="249"/>
      <c r="CX937" s="216"/>
      <c r="CY937" s="305"/>
      <c r="CZ937" s="249"/>
      <c r="DA937" s="216"/>
      <c r="DB937" s="307"/>
      <c r="DC937" s="328"/>
      <c r="DD937" s="322"/>
      <c r="DE937" s="305"/>
      <c r="DF937" s="249"/>
      <c r="DG937" s="216"/>
      <c r="DH937" s="305"/>
      <c r="DI937" s="249"/>
      <c r="DJ937" s="216"/>
      <c r="DK937" s="309"/>
      <c r="DL937" s="293"/>
      <c r="DM937" s="326"/>
      <c r="DN937" s="1256"/>
      <c r="DO937" s="214"/>
      <c r="DP937" s="1257"/>
      <c r="DQ937" s="1258"/>
      <c r="DR937" s="305"/>
      <c r="DS937" s="249"/>
      <c r="DT937" s="216"/>
      <c r="DU937" s="305"/>
      <c r="DV937" s="2520"/>
      <c r="DW937" s="2521"/>
      <c r="DX937" s="305"/>
      <c r="DY937" s="249"/>
      <c r="DZ937" s="221"/>
      <c r="EA937" s="388"/>
      <c r="EB937" s="249"/>
      <c r="EC937" s="216"/>
      <c r="ED937" s="1461"/>
      <c r="EE937" s="249"/>
      <c r="EF937" s="216"/>
      <c r="EG937" s="355"/>
      <c r="EH937" s="1425"/>
      <c r="EI937" s="1470"/>
      <c r="EJ937" s="249"/>
      <c r="EK937" s="221"/>
      <c r="EL937" s="313"/>
      <c r="EM937" s="249"/>
      <c r="EN937" s="221"/>
      <c r="EO937" s="313"/>
      <c r="EP937" s="249"/>
      <c r="EQ937" s="216"/>
      <c r="ER937" s="313"/>
      <c r="ES937" s="249"/>
      <c r="ET937" s="216"/>
      <c r="EU937" s="313"/>
      <c r="EV937" s="249"/>
      <c r="EW937" s="216"/>
      <c r="EX937" s="2505"/>
      <c r="EY937" s="249"/>
      <c r="EZ937" s="221"/>
      <c r="FA937" s="313"/>
      <c r="FB937" s="249"/>
      <c r="FC937" s="221"/>
      <c r="FD937" s="313"/>
      <c r="FE937" s="249"/>
      <c r="FF937" s="221"/>
      <c r="FG937" s="313"/>
      <c r="FH937" s="249"/>
      <c r="FI937" s="216"/>
      <c r="FJ937" s="1435"/>
      <c r="FK937" s="216"/>
      <c r="FL937" s="1268"/>
      <c r="FM937" s="1655"/>
      <c r="FN937" s="1268"/>
      <c r="FO937" s="1655"/>
      <c r="FP937" s="1268"/>
      <c r="FQ937" s="1656"/>
      <c r="FR937" s="249"/>
      <c r="FS937" s="216"/>
      <c r="FT937" s="1657"/>
      <c r="FU937" s="1658"/>
      <c r="FV937" s="242"/>
      <c r="FW937" s="343"/>
      <c r="FX937" s="222"/>
      <c r="FY937" s="336"/>
      <c r="FZ937" s="223"/>
      <c r="GA937" s="338"/>
      <c r="GB937" s="204"/>
      <c r="GC937" s="339"/>
      <c r="GD937" s="342"/>
      <c r="GE937" s="199"/>
      <c r="GF937" s="199"/>
      <c r="GG937" s="199"/>
      <c r="GH937" s="199"/>
      <c r="GI937" s="199"/>
      <c r="GJ937" s="199"/>
      <c r="GK937" s="199"/>
      <c r="GO937" s="322"/>
      <c r="GP937" s="1190"/>
      <c r="GQ937" s="1190"/>
      <c r="GS937" s="2879"/>
      <c r="GT937" s="2880"/>
      <c r="GU937" s="2881"/>
    </row>
    <row r="938" spans="1:203" ht="12" customHeight="1">
      <c r="A938" s="1252"/>
      <c r="B938" s="200"/>
      <c r="C938" s="486"/>
      <c r="T938" s="1186"/>
      <c r="U938" s="233"/>
      <c r="W938" s="218"/>
      <c r="X938" s="218"/>
      <c r="Y938" s="216"/>
      <c r="Z938" s="216"/>
      <c r="AA938" s="215"/>
      <c r="AB938" s="216"/>
      <c r="AC938" s="216"/>
      <c r="AD938" s="239"/>
      <c r="AE938" s="216"/>
      <c r="AF938" s="216"/>
      <c r="AG938" s="216"/>
      <c r="AH938" s="216"/>
      <c r="AI938" s="216"/>
      <c r="AJ938" s="216"/>
      <c r="AK938" s="239"/>
      <c r="AL938" s="216"/>
      <c r="AM938" s="216"/>
      <c r="AN938" s="216"/>
      <c r="AO938" s="216"/>
      <c r="AP938" s="216"/>
      <c r="AQ938" s="216"/>
      <c r="AR938" s="216"/>
      <c r="AS938" s="216"/>
      <c r="AT938" s="216"/>
      <c r="AU938" s="216"/>
      <c r="AV938" s="217"/>
      <c r="AW938" s="355"/>
      <c r="AX938" s="217"/>
      <c r="AY938" s="305"/>
      <c r="AZ938" s="249"/>
      <c r="BA938" s="221"/>
      <c r="BB938" s="300"/>
      <c r="BC938" s="217"/>
      <c r="BD938" s="392"/>
      <c r="BE938" s="1244"/>
      <c r="BF938" s="249"/>
      <c r="BG938" s="252"/>
      <c r="BH938" s="1469"/>
      <c r="BI938" s="216"/>
      <c r="BJ938" s="1469"/>
      <c r="BK938" s="1459"/>
      <c r="BL938" s="260"/>
      <c r="BM938" s="214"/>
      <c r="BN938" s="293"/>
      <c r="BO938" s="217"/>
      <c r="BP938" s="355"/>
      <c r="BQ938" s="217"/>
      <c r="BR938" s="1193"/>
      <c r="BS938" s="249"/>
      <c r="BT938" s="216"/>
      <c r="BU938" s="1195"/>
      <c r="BV938" s="249"/>
      <c r="BW938" s="216"/>
      <c r="BX938" s="1195"/>
      <c r="BY938" s="249"/>
      <c r="BZ938" s="216"/>
      <c r="CA938" s="1195"/>
      <c r="CB938" s="249"/>
      <c r="CC938" s="216"/>
      <c r="CD938" s="1195"/>
      <c r="CE938" s="249"/>
      <c r="CF938" s="216"/>
      <c r="CG938" s="1195"/>
      <c r="CH938" s="249"/>
      <c r="CI938" s="216"/>
      <c r="CJ938" s="1195"/>
      <c r="CK938" s="249"/>
      <c r="CL938" s="216"/>
      <c r="CM938" s="1194"/>
      <c r="CN938" s="1524"/>
      <c r="CO938" s="217"/>
      <c r="CP938" s="1193"/>
      <c r="CQ938" s="293"/>
      <c r="CR938" s="217"/>
      <c r="CS938" s="305"/>
      <c r="CT938" s="249"/>
      <c r="CU938" s="216"/>
      <c r="CV938" s="1193"/>
      <c r="CW938" s="249"/>
      <c r="CX938" s="216"/>
      <c r="CY938" s="305"/>
      <c r="CZ938" s="249"/>
      <c r="DA938" s="216"/>
      <c r="DB938" s="307"/>
      <c r="DC938" s="328"/>
      <c r="DD938" s="322"/>
      <c r="DE938" s="305"/>
      <c r="DF938" s="249"/>
      <c r="DG938" s="216"/>
      <c r="DH938" s="305"/>
      <c r="DI938" s="249"/>
      <c r="DJ938" s="216"/>
      <c r="DK938" s="309"/>
      <c r="DL938" s="293"/>
      <c r="DM938" s="326"/>
      <c r="DN938" s="1256"/>
      <c r="DO938" s="214"/>
      <c r="DP938" s="1257"/>
      <c r="DQ938" s="1258"/>
      <c r="DR938" s="305"/>
      <c r="DS938" s="249"/>
      <c r="DT938" s="216"/>
      <c r="DU938" s="305"/>
      <c r="DV938" s="2520"/>
      <c r="DW938" s="2521"/>
      <c r="DX938" s="305"/>
      <c r="DY938" s="249"/>
      <c r="DZ938" s="221"/>
      <c r="EA938" s="388"/>
      <c r="EB938" s="249"/>
      <c r="EC938" s="216"/>
      <c r="ED938" s="1461"/>
      <c r="EE938" s="249"/>
      <c r="EF938" s="216"/>
      <c r="EG938" s="355"/>
      <c r="EH938" s="1425"/>
      <c r="EI938" s="1470"/>
      <c r="EJ938" s="249"/>
      <c r="EK938" s="221"/>
      <c r="EL938" s="313"/>
      <c r="EM938" s="249"/>
      <c r="EN938" s="221"/>
      <c r="EO938" s="313"/>
      <c r="EP938" s="249"/>
      <c r="EQ938" s="216"/>
      <c r="ER938" s="313"/>
      <c r="ES938" s="249"/>
      <c r="ET938" s="216"/>
      <c r="EU938" s="313"/>
      <c r="EV938" s="249"/>
      <c r="EW938" s="216"/>
      <c r="EX938" s="2505"/>
      <c r="EY938" s="249"/>
      <c r="EZ938" s="221"/>
      <c r="FA938" s="313"/>
      <c r="FB938" s="249"/>
      <c r="FC938" s="221"/>
      <c r="FD938" s="313"/>
      <c r="FE938" s="249"/>
      <c r="FF938" s="221"/>
      <c r="FG938" s="313"/>
      <c r="FH938" s="249"/>
      <c r="FI938" s="216"/>
      <c r="FJ938" s="1435"/>
      <c r="FK938" s="216"/>
      <c r="FL938" s="1268"/>
      <c r="FM938" s="1655"/>
      <c r="FN938" s="1268"/>
      <c r="FO938" s="1655"/>
      <c r="FP938" s="1268"/>
      <c r="FQ938" s="1656"/>
      <c r="FR938" s="249"/>
      <c r="FS938" s="216"/>
      <c r="FT938" s="1657"/>
      <c r="FU938" s="1658"/>
      <c r="FV938" s="242"/>
      <c r="FW938" s="343"/>
      <c r="FX938" s="222"/>
      <c r="FY938" s="336"/>
      <c r="FZ938" s="223"/>
      <c r="GA938" s="338"/>
      <c r="GB938" s="204"/>
      <c r="GC938" s="339"/>
      <c r="GD938" s="342"/>
      <c r="GE938" s="199"/>
      <c r="GF938" s="199"/>
      <c r="GG938" s="199"/>
      <c r="GH938" s="199"/>
      <c r="GI938" s="199"/>
      <c r="GJ938" s="199"/>
      <c r="GK938" s="199"/>
      <c r="GO938" s="322"/>
      <c r="GP938" s="1190"/>
      <c r="GQ938" s="1190"/>
      <c r="GS938" s="2879"/>
      <c r="GT938" s="2880"/>
      <c r="GU938" s="2881"/>
    </row>
    <row r="939" spans="1:203" ht="12" customHeight="1">
      <c r="A939" s="1252"/>
      <c r="B939" s="200"/>
      <c r="C939" s="486"/>
      <c r="T939" s="1186"/>
      <c r="U939" s="233"/>
      <c r="W939" s="218"/>
      <c r="X939" s="218"/>
      <c r="Y939" s="216"/>
      <c r="Z939" s="216"/>
      <c r="AA939" s="215"/>
      <c r="AB939" s="216"/>
      <c r="AC939" s="216"/>
      <c r="AD939" s="239"/>
      <c r="AE939" s="216"/>
      <c r="AF939" s="216"/>
      <c r="AG939" s="216"/>
      <c r="AH939" s="216"/>
      <c r="AI939" s="216"/>
      <c r="AJ939" s="216"/>
      <c r="AK939" s="239"/>
      <c r="AL939" s="216"/>
      <c r="AM939" s="216"/>
      <c r="AN939" s="216"/>
      <c r="AO939" s="216"/>
      <c r="AP939" s="216"/>
      <c r="AQ939" s="216"/>
      <c r="AR939" s="216"/>
      <c r="AS939" s="216"/>
      <c r="AT939" s="216"/>
      <c r="AU939" s="216"/>
      <c r="AV939" s="217"/>
      <c r="AW939" s="355"/>
      <c r="AX939" s="217"/>
      <c r="AY939" s="305"/>
      <c r="AZ939" s="249"/>
      <c r="BA939" s="221"/>
      <c r="BB939" s="300"/>
      <c r="BC939" s="217"/>
      <c r="BD939" s="392"/>
      <c r="BE939" s="1244"/>
      <c r="BF939" s="249"/>
      <c r="BG939" s="252"/>
      <c r="BH939" s="1469"/>
      <c r="BI939" s="216"/>
      <c r="BJ939" s="1469"/>
      <c r="BK939" s="1459"/>
      <c r="BL939" s="260"/>
      <c r="BM939" s="214"/>
      <c r="BN939" s="293"/>
      <c r="BO939" s="217"/>
      <c r="BP939" s="355"/>
      <c r="BQ939" s="217"/>
      <c r="BR939" s="1193"/>
      <c r="BS939" s="249"/>
      <c r="BT939" s="216"/>
      <c r="BU939" s="1195"/>
      <c r="BV939" s="249"/>
      <c r="BW939" s="216"/>
      <c r="BX939" s="1195"/>
      <c r="BY939" s="249"/>
      <c r="BZ939" s="216"/>
      <c r="CA939" s="1195"/>
      <c r="CB939" s="249"/>
      <c r="CC939" s="216"/>
      <c r="CD939" s="1195"/>
      <c r="CE939" s="249"/>
      <c r="CF939" s="216"/>
      <c r="CG939" s="1195"/>
      <c r="CH939" s="249"/>
      <c r="CI939" s="216"/>
      <c r="CJ939" s="1195"/>
      <c r="CK939" s="249"/>
      <c r="CL939" s="216"/>
      <c r="CM939" s="1194"/>
      <c r="CN939" s="1524"/>
      <c r="CO939" s="217"/>
      <c r="CP939" s="1193"/>
      <c r="CQ939" s="293"/>
      <c r="CR939" s="217"/>
      <c r="CS939" s="305"/>
      <c r="CT939" s="249"/>
      <c r="CU939" s="216"/>
      <c r="CV939" s="1193"/>
      <c r="CW939" s="249"/>
      <c r="CX939" s="216"/>
      <c r="CY939" s="305"/>
      <c r="CZ939" s="249"/>
      <c r="DA939" s="216"/>
      <c r="DB939" s="307"/>
      <c r="DC939" s="328"/>
      <c r="DD939" s="322"/>
      <c r="DE939" s="305"/>
      <c r="DF939" s="249"/>
      <c r="DG939" s="216"/>
      <c r="DH939" s="305"/>
      <c r="DI939" s="249"/>
      <c r="DJ939" s="216"/>
      <c r="DK939" s="309"/>
      <c r="DL939" s="293"/>
      <c r="DM939" s="326"/>
      <c r="DN939" s="1256"/>
      <c r="DO939" s="214"/>
      <c r="DP939" s="1257"/>
      <c r="DQ939" s="1258"/>
      <c r="DR939" s="305"/>
      <c r="DS939" s="249"/>
      <c r="DT939" s="216"/>
      <c r="DU939" s="305"/>
      <c r="DV939" s="2520"/>
      <c r="DW939" s="2521"/>
      <c r="DX939" s="305"/>
      <c r="DY939" s="249"/>
      <c r="DZ939" s="221"/>
      <c r="EA939" s="388"/>
      <c r="EB939" s="249"/>
      <c r="EC939" s="216"/>
      <c r="ED939" s="1461"/>
      <c r="EE939" s="249"/>
      <c r="EF939" s="216"/>
      <c r="EG939" s="355"/>
      <c r="EH939" s="1425"/>
      <c r="EI939" s="1470"/>
      <c r="EJ939" s="249"/>
      <c r="EK939" s="221"/>
      <c r="EL939" s="313"/>
      <c r="EM939" s="249"/>
      <c r="EN939" s="221"/>
      <c r="EO939" s="313"/>
      <c r="EP939" s="249"/>
      <c r="EQ939" s="216"/>
      <c r="ER939" s="313"/>
      <c r="ES939" s="249"/>
      <c r="ET939" s="216"/>
      <c r="EU939" s="313"/>
      <c r="EV939" s="249"/>
      <c r="EW939" s="216"/>
      <c r="EX939" s="2505"/>
      <c r="EY939" s="249"/>
      <c r="EZ939" s="221"/>
      <c r="FA939" s="313"/>
      <c r="FB939" s="249"/>
      <c r="FC939" s="221"/>
      <c r="FD939" s="313"/>
      <c r="FE939" s="249"/>
      <c r="FF939" s="221"/>
      <c r="FG939" s="313"/>
      <c r="FH939" s="249"/>
      <c r="FI939" s="216"/>
      <c r="FJ939" s="1435"/>
      <c r="FK939" s="216"/>
      <c r="FL939" s="1268"/>
      <c r="FM939" s="1655"/>
      <c r="FN939" s="1268"/>
      <c r="FO939" s="1655"/>
      <c r="FP939" s="1268"/>
      <c r="FQ939" s="1656"/>
      <c r="FR939" s="249"/>
      <c r="FS939" s="216"/>
      <c r="FT939" s="1657"/>
      <c r="FU939" s="1658"/>
      <c r="FV939" s="242"/>
      <c r="FW939" s="343"/>
      <c r="FX939" s="222"/>
      <c r="FY939" s="336"/>
      <c r="FZ939" s="223"/>
      <c r="GA939" s="338"/>
      <c r="GB939" s="204"/>
      <c r="GC939" s="339"/>
      <c r="GD939" s="342"/>
      <c r="GE939" s="199"/>
      <c r="GF939" s="199"/>
      <c r="GG939" s="199"/>
      <c r="GH939" s="199"/>
      <c r="GI939" s="199"/>
      <c r="GJ939" s="199"/>
      <c r="GK939" s="199"/>
      <c r="GO939" s="322"/>
      <c r="GP939" s="1190"/>
      <c r="GQ939" s="1190"/>
      <c r="GS939" s="2879"/>
      <c r="GT939" s="2880"/>
      <c r="GU939" s="2881"/>
    </row>
    <row r="940" spans="1:203" ht="12" customHeight="1">
      <c r="A940" s="1252"/>
      <c r="B940" s="200"/>
      <c r="C940" s="486"/>
      <c r="T940" s="1186"/>
      <c r="U940" s="233"/>
      <c r="W940" s="218"/>
      <c r="X940" s="218"/>
      <c r="Y940" s="216"/>
      <c r="Z940" s="216"/>
      <c r="AA940" s="215"/>
      <c r="AB940" s="216"/>
      <c r="AC940" s="216"/>
      <c r="AD940" s="239"/>
      <c r="AE940" s="216"/>
      <c r="AF940" s="216"/>
      <c r="AG940" s="216"/>
      <c r="AH940" s="216"/>
      <c r="AI940" s="216"/>
      <c r="AJ940" s="216"/>
      <c r="AK940" s="239"/>
      <c r="AL940" s="216"/>
      <c r="AM940" s="216"/>
      <c r="AN940" s="216"/>
      <c r="AO940" s="216"/>
      <c r="AP940" s="216"/>
      <c r="AQ940" s="216"/>
      <c r="AR940" s="216"/>
      <c r="AS940" s="216"/>
      <c r="AT940" s="216"/>
      <c r="AU940" s="216"/>
      <c r="AV940" s="217"/>
      <c r="AW940" s="355"/>
      <c r="AX940" s="217"/>
      <c r="AY940" s="305"/>
      <c r="AZ940" s="249"/>
      <c r="BA940" s="221"/>
      <c r="BB940" s="300"/>
      <c r="BC940" s="217"/>
      <c r="BD940" s="392"/>
      <c r="BE940" s="1244"/>
      <c r="BF940" s="249"/>
      <c r="BG940" s="252"/>
      <c r="BH940" s="1469"/>
      <c r="BI940" s="216"/>
      <c r="BJ940" s="1469"/>
      <c r="BK940" s="1459"/>
      <c r="BL940" s="260"/>
      <c r="BM940" s="214"/>
      <c r="BN940" s="293"/>
      <c r="BO940" s="217"/>
      <c r="BP940" s="355"/>
      <c r="BQ940" s="217"/>
      <c r="BR940" s="1193"/>
      <c r="BS940" s="249"/>
      <c r="BT940" s="216"/>
      <c r="BU940" s="1195"/>
      <c r="BV940" s="249"/>
      <c r="BW940" s="216"/>
      <c r="BX940" s="1195"/>
      <c r="BY940" s="249"/>
      <c r="BZ940" s="216"/>
      <c r="CA940" s="1195"/>
      <c r="CB940" s="249"/>
      <c r="CC940" s="216"/>
      <c r="CD940" s="1195"/>
      <c r="CE940" s="249"/>
      <c r="CF940" s="216"/>
      <c r="CG940" s="1195"/>
      <c r="CH940" s="249"/>
      <c r="CI940" s="216"/>
      <c r="CJ940" s="1195"/>
      <c r="CK940" s="249"/>
      <c r="CL940" s="216"/>
      <c r="CM940" s="1194"/>
      <c r="CN940" s="1524"/>
      <c r="CO940" s="217"/>
      <c r="CP940" s="1193"/>
      <c r="CQ940" s="293"/>
      <c r="CR940" s="217"/>
      <c r="CS940" s="305"/>
      <c r="CT940" s="249"/>
      <c r="CU940" s="216"/>
      <c r="CV940" s="1193"/>
      <c r="CW940" s="249"/>
      <c r="CX940" s="216"/>
      <c r="CY940" s="305"/>
      <c r="CZ940" s="249"/>
      <c r="DA940" s="216"/>
      <c r="DB940" s="307"/>
      <c r="DC940" s="328"/>
      <c r="DD940" s="322"/>
      <c r="DE940" s="305"/>
      <c r="DF940" s="249"/>
      <c r="DG940" s="216"/>
      <c r="DH940" s="305"/>
      <c r="DI940" s="249"/>
      <c r="DJ940" s="216"/>
      <c r="DK940" s="309"/>
      <c r="DL940" s="293"/>
      <c r="DM940" s="326"/>
      <c r="DN940" s="1256"/>
      <c r="DO940" s="214"/>
      <c r="DP940" s="1257"/>
      <c r="DQ940" s="1258"/>
      <c r="DR940" s="305"/>
      <c r="DS940" s="249"/>
      <c r="DT940" s="216"/>
      <c r="DU940" s="305"/>
      <c r="DV940" s="2520"/>
      <c r="DW940" s="2521"/>
      <c r="DX940" s="305"/>
      <c r="DY940" s="249"/>
      <c r="DZ940" s="221"/>
      <c r="EA940" s="388"/>
      <c r="EB940" s="249"/>
      <c r="EC940" s="216"/>
      <c r="ED940" s="1461"/>
      <c r="EE940" s="249"/>
      <c r="EF940" s="216"/>
      <c r="EG940" s="355"/>
      <c r="EH940" s="1425"/>
      <c r="EI940" s="1470"/>
      <c r="EJ940" s="249"/>
      <c r="EK940" s="221"/>
      <c r="EL940" s="313"/>
      <c r="EM940" s="249"/>
      <c r="EN940" s="221"/>
      <c r="EO940" s="313"/>
      <c r="EP940" s="249"/>
      <c r="EQ940" s="216"/>
      <c r="ER940" s="313"/>
      <c r="ES940" s="249"/>
      <c r="ET940" s="216"/>
      <c r="EU940" s="313"/>
      <c r="EV940" s="249"/>
      <c r="EW940" s="216"/>
      <c r="EX940" s="2505"/>
      <c r="EY940" s="249"/>
      <c r="EZ940" s="221"/>
      <c r="FA940" s="313"/>
      <c r="FB940" s="249"/>
      <c r="FC940" s="221"/>
      <c r="FD940" s="313"/>
      <c r="FE940" s="249"/>
      <c r="FF940" s="221"/>
      <c r="FG940" s="313"/>
      <c r="FH940" s="249"/>
      <c r="FI940" s="216"/>
      <c r="FJ940" s="1435"/>
      <c r="FK940" s="216"/>
      <c r="FL940" s="1268"/>
      <c r="FM940" s="1655"/>
      <c r="FN940" s="1268"/>
      <c r="FO940" s="1655"/>
      <c r="FP940" s="1268"/>
      <c r="FQ940" s="1656"/>
      <c r="FR940" s="249"/>
      <c r="FS940" s="216"/>
      <c r="FT940" s="1657"/>
      <c r="FU940" s="1658"/>
      <c r="FV940" s="242"/>
      <c r="FW940" s="343"/>
      <c r="FX940" s="222"/>
      <c r="FY940" s="336"/>
      <c r="FZ940" s="223"/>
      <c r="GA940" s="338"/>
      <c r="GB940" s="204"/>
      <c r="GC940" s="339"/>
      <c r="GD940" s="342"/>
      <c r="GE940" s="199"/>
      <c r="GF940" s="199"/>
      <c r="GG940" s="199"/>
      <c r="GH940" s="199"/>
      <c r="GI940" s="199"/>
      <c r="GJ940" s="199"/>
      <c r="GK940" s="199"/>
      <c r="GO940" s="322"/>
      <c r="GP940" s="1190"/>
      <c r="GQ940" s="1190"/>
      <c r="GS940" s="2879"/>
      <c r="GT940" s="2880"/>
      <c r="GU940" s="2881"/>
    </row>
    <row r="941" spans="1:203" ht="12" customHeight="1">
      <c r="A941" s="1252"/>
      <c r="B941" s="200"/>
      <c r="C941" s="486"/>
      <c r="T941" s="1186"/>
      <c r="U941" s="233"/>
      <c r="W941" s="218"/>
      <c r="X941" s="218"/>
      <c r="Y941" s="216"/>
      <c r="Z941" s="216"/>
      <c r="AA941" s="215"/>
      <c r="AB941" s="216"/>
      <c r="AC941" s="216"/>
      <c r="AD941" s="239"/>
      <c r="AE941" s="216"/>
      <c r="AF941" s="216"/>
      <c r="AG941" s="216"/>
      <c r="AH941" s="216"/>
      <c r="AI941" s="216"/>
      <c r="AJ941" s="216"/>
      <c r="AK941" s="239"/>
      <c r="AL941" s="216"/>
      <c r="AM941" s="216"/>
      <c r="AN941" s="216"/>
      <c r="AO941" s="216"/>
      <c r="AP941" s="216"/>
      <c r="AQ941" s="216"/>
      <c r="AR941" s="216"/>
      <c r="AS941" s="216"/>
      <c r="AT941" s="216"/>
      <c r="AU941" s="216"/>
      <c r="AV941" s="217"/>
      <c r="AW941" s="355"/>
      <c r="AX941" s="217"/>
      <c r="AY941" s="305"/>
      <c r="AZ941" s="249"/>
      <c r="BA941" s="221"/>
      <c r="BB941" s="300"/>
      <c r="BC941" s="217"/>
      <c r="BD941" s="392"/>
      <c r="BE941" s="1244"/>
      <c r="BF941" s="249"/>
      <c r="BG941" s="252"/>
      <c r="BH941" s="1469"/>
      <c r="BI941" s="216"/>
      <c r="BJ941" s="1469"/>
      <c r="BK941" s="1459"/>
      <c r="BL941" s="260"/>
      <c r="BM941" s="214"/>
      <c r="BN941" s="293"/>
      <c r="BO941" s="217"/>
      <c r="BP941" s="355"/>
      <c r="BQ941" s="217"/>
      <c r="BR941" s="1193"/>
      <c r="BS941" s="249"/>
      <c r="BT941" s="216"/>
      <c r="BU941" s="1195"/>
      <c r="BV941" s="249"/>
      <c r="BW941" s="216"/>
      <c r="BX941" s="1195"/>
      <c r="BY941" s="249"/>
      <c r="BZ941" s="216"/>
      <c r="CA941" s="1195"/>
      <c r="CB941" s="249"/>
      <c r="CC941" s="216"/>
      <c r="CD941" s="1195"/>
      <c r="CE941" s="249"/>
      <c r="CF941" s="216"/>
      <c r="CG941" s="1195"/>
      <c r="CH941" s="249"/>
      <c r="CI941" s="216"/>
      <c r="CJ941" s="1195"/>
      <c r="CK941" s="249"/>
      <c r="CL941" s="216"/>
      <c r="CM941" s="1194"/>
      <c r="CN941" s="1524"/>
      <c r="CO941" s="217"/>
      <c r="CP941" s="1193"/>
      <c r="CQ941" s="293"/>
      <c r="CR941" s="217"/>
      <c r="CS941" s="305"/>
      <c r="CT941" s="249"/>
      <c r="CU941" s="216"/>
      <c r="CV941" s="1193"/>
      <c r="CW941" s="249"/>
      <c r="CX941" s="216"/>
      <c r="CY941" s="305"/>
      <c r="CZ941" s="249"/>
      <c r="DA941" s="216"/>
      <c r="DB941" s="307"/>
      <c r="DC941" s="328"/>
      <c r="DD941" s="322"/>
      <c r="DE941" s="305"/>
      <c r="DF941" s="249"/>
      <c r="DG941" s="216"/>
      <c r="DH941" s="305"/>
      <c r="DI941" s="249"/>
      <c r="DJ941" s="216"/>
      <c r="DK941" s="309"/>
      <c r="DL941" s="293"/>
      <c r="DM941" s="326"/>
      <c r="DN941" s="1256"/>
      <c r="DO941" s="214"/>
      <c r="DP941" s="1257"/>
      <c r="DQ941" s="1258"/>
      <c r="DR941" s="305"/>
      <c r="DS941" s="249"/>
      <c r="DT941" s="216"/>
      <c r="DU941" s="305"/>
      <c r="DV941" s="2520"/>
      <c r="DW941" s="2521"/>
      <c r="DX941" s="305"/>
      <c r="DY941" s="249"/>
      <c r="DZ941" s="221"/>
      <c r="EA941" s="388"/>
      <c r="EB941" s="249"/>
      <c r="EC941" s="216"/>
      <c r="ED941" s="1461"/>
      <c r="EE941" s="249"/>
      <c r="EF941" s="216"/>
      <c r="EG941" s="355"/>
      <c r="EH941" s="1425"/>
      <c r="EI941" s="1470"/>
      <c r="EJ941" s="249"/>
      <c r="EK941" s="221"/>
      <c r="EL941" s="313"/>
      <c r="EM941" s="249"/>
      <c r="EN941" s="221"/>
      <c r="EO941" s="313"/>
      <c r="EP941" s="249"/>
      <c r="EQ941" s="216"/>
      <c r="ER941" s="313"/>
      <c r="ES941" s="249"/>
      <c r="ET941" s="216"/>
      <c r="EU941" s="313"/>
      <c r="EV941" s="249"/>
      <c r="EW941" s="216"/>
      <c r="EX941" s="2505"/>
      <c r="EY941" s="249"/>
      <c r="EZ941" s="221"/>
      <c r="FA941" s="313"/>
      <c r="FB941" s="249"/>
      <c r="FC941" s="221"/>
      <c r="FD941" s="313"/>
      <c r="FE941" s="249"/>
      <c r="FF941" s="221"/>
      <c r="FG941" s="313"/>
      <c r="FH941" s="249"/>
      <c r="FI941" s="216"/>
      <c r="FJ941" s="1435"/>
      <c r="FK941" s="216"/>
      <c r="FL941" s="1268"/>
      <c r="FM941" s="1655"/>
      <c r="FN941" s="1268"/>
      <c r="FO941" s="1655"/>
      <c r="FP941" s="1268"/>
      <c r="FQ941" s="1656"/>
      <c r="FR941" s="249"/>
      <c r="FS941" s="216"/>
      <c r="FT941" s="1657"/>
      <c r="FU941" s="1658"/>
      <c r="FV941" s="242"/>
      <c r="FW941" s="343"/>
      <c r="FX941" s="222"/>
      <c r="FY941" s="336"/>
      <c r="FZ941" s="223"/>
      <c r="GA941" s="338"/>
      <c r="GB941" s="204"/>
      <c r="GC941" s="339"/>
      <c r="GD941" s="342"/>
      <c r="GE941" s="199"/>
      <c r="GF941" s="199"/>
      <c r="GG941" s="199"/>
      <c r="GH941" s="199"/>
      <c r="GI941" s="199"/>
      <c r="GJ941" s="199"/>
      <c r="GK941" s="199"/>
      <c r="GO941" s="322"/>
      <c r="GP941" s="1190"/>
      <c r="GQ941" s="1190"/>
      <c r="GS941" s="2879"/>
      <c r="GT941" s="2880"/>
      <c r="GU941" s="2881"/>
    </row>
    <row r="942" spans="1:203" ht="12" customHeight="1">
      <c r="A942" s="1252"/>
      <c r="B942" s="200"/>
      <c r="C942" s="486"/>
      <c r="T942" s="1186"/>
      <c r="U942" s="233"/>
      <c r="W942" s="218"/>
      <c r="X942" s="218"/>
      <c r="Y942" s="216"/>
      <c r="Z942" s="216"/>
      <c r="AA942" s="215"/>
      <c r="AB942" s="216"/>
      <c r="AC942" s="216"/>
      <c r="AD942" s="239"/>
      <c r="AE942" s="216"/>
      <c r="AF942" s="216"/>
      <c r="AG942" s="216"/>
      <c r="AH942" s="216"/>
      <c r="AI942" s="216"/>
      <c r="AJ942" s="216"/>
      <c r="AK942" s="239"/>
      <c r="AL942" s="216"/>
      <c r="AM942" s="216"/>
      <c r="AN942" s="216"/>
      <c r="AO942" s="216"/>
      <c r="AP942" s="216"/>
      <c r="AQ942" s="216"/>
      <c r="AR942" s="216"/>
      <c r="AS942" s="216"/>
      <c r="AT942" s="216"/>
      <c r="AU942" s="216"/>
      <c r="AV942" s="217"/>
      <c r="AW942" s="355"/>
      <c r="AX942" s="217"/>
      <c r="AY942" s="305"/>
      <c r="AZ942" s="249"/>
      <c r="BA942" s="221"/>
      <c r="BB942" s="300"/>
      <c r="BC942" s="217"/>
      <c r="BD942" s="392"/>
      <c r="BE942" s="1244"/>
      <c r="BF942" s="249"/>
      <c r="BG942" s="252"/>
      <c r="BH942" s="1469"/>
      <c r="BI942" s="216"/>
      <c r="BJ942" s="1469"/>
      <c r="BK942" s="1459"/>
      <c r="BL942" s="260"/>
      <c r="BM942" s="214"/>
      <c r="BN942" s="293"/>
      <c r="BO942" s="217"/>
      <c r="BP942" s="355"/>
      <c r="BQ942" s="217"/>
      <c r="BR942" s="1193"/>
      <c r="BS942" s="249"/>
      <c r="BT942" s="216"/>
      <c r="BU942" s="1195"/>
      <c r="BV942" s="249"/>
      <c r="BW942" s="216"/>
      <c r="BX942" s="1195"/>
      <c r="BY942" s="249"/>
      <c r="BZ942" s="216"/>
      <c r="CA942" s="1195"/>
      <c r="CB942" s="249"/>
      <c r="CC942" s="216"/>
      <c r="CD942" s="1195"/>
      <c r="CE942" s="249"/>
      <c r="CF942" s="216"/>
      <c r="CG942" s="1195"/>
      <c r="CH942" s="249"/>
      <c r="CI942" s="216"/>
      <c r="CJ942" s="1195"/>
      <c r="CK942" s="249"/>
      <c r="CL942" s="216"/>
      <c r="CM942" s="1194"/>
      <c r="CN942" s="1524"/>
      <c r="CO942" s="217"/>
      <c r="CP942" s="1193"/>
      <c r="CQ942" s="293"/>
      <c r="CR942" s="217"/>
      <c r="CS942" s="305"/>
      <c r="CT942" s="249"/>
      <c r="CU942" s="216"/>
      <c r="CV942" s="1193"/>
      <c r="CW942" s="249"/>
      <c r="CX942" s="216"/>
      <c r="CY942" s="305"/>
      <c r="CZ942" s="249"/>
      <c r="DA942" s="216"/>
      <c r="DB942" s="307"/>
      <c r="DC942" s="328"/>
      <c r="DD942" s="322"/>
      <c r="DE942" s="305"/>
      <c r="DF942" s="249"/>
      <c r="DG942" s="216"/>
      <c r="DH942" s="305"/>
      <c r="DI942" s="249"/>
      <c r="DJ942" s="216"/>
      <c r="DK942" s="309"/>
      <c r="DL942" s="293"/>
      <c r="DM942" s="326"/>
      <c r="DN942" s="1256"/>
      <c r="DO942" s="214"/>
      <c r="DP942" s="1257"/>
      <c r="DQ942" s="1258"/>
      <c r="DR942" s="305"/>
      <c r="DS942" s="249"/>
      <c r="DT942" s="216"/>
      <c r="DU942" s="305"/>
      <c r="DV942" s="2520"/>
      <c r="DW942" s="2521"/>
      <c r="DX942" s="305"/>
      <c r="DY942" s="249"/>
      <c r="DZ942" s="221"/>
      <c r="EA942" s="388"/>
      <c r="EB942" s="249"/>
      <c r="EC942" s="216"/>
      <c r="ED942" s="1461"/>
      <c r="EE942" s="249"/>
      <c r="EF942" s="216"/>
      <c r="EG942" s="355"/>
      <c r="EH942" s="1425"/>
      <c r="EI942" s="1470"/>
      <c r="EJ942" s="249"/>
      <c r="EK942" s="221"/>
      <c r="EL942" s="313"/>
      <c r="EM942" s="249"/>
      <c r="EN942" s="221"/>
      <c r="EO942" s="313"/>
      <c r="EP942" s="249"/>
      <c r="EQ942" s="216"/>
      <c r="ER942" s="313"/>
      <c r="ES942" s="249"/>
      <c r="ET942" s="216"/>
      <c r="EU942" s="313"/>
      <c r="EV942" s="249"/>
      <c r="EW942" s="216"/>
      <c r="EX942" s="2505"/>
      <c r="EY942" s="249"/>
      <c r="EZ942" s="221"/>
      <c r="FA942" s="313"/>
      <c r="FB942" s="249"/>
      <c r="FC942" s="221"/>
      <c r="FD942" s="313"/>
      <c r="FE942" s="249"/>
      <c r="FF942" s="221"/>
      <c r="FG942" s="313"/>
      <c r="FH942" s="249"/>
      <c r="FI942" s="216"/>
      <c r="FJ942" s="1435"/>
      <c r="FK942" s="216"/>
      <c r="FL942" s="1268"/>
      <c r="FM942" s="1655"/>
      <c r="FN942" s="1268"/>
      <c r="FO942" s="1655"/>
      <c r="FP942" s="1268"/>
      <c r="FQ942" s="1656"/>
      <c r="FR942" s="249"/>
      <c r="FS942" s="216"/>
      <c r="FT942" s="1657"/>
      <c r="FU942" s="1658"/>
      <c r="FV942" s="242"/>
      <c r="FW942" s="343"/>
      <c r="FX942" s="222"/>
      <c r="FY942" s="336"/>
      <c r="FZ942" s="223"/>
      <c r="GA942" s="338"/>
      <c r="GB942" s="204"/>
      <c r="GC942" s="339"/>
      <c r="GD942" s="342"/>
      <c r="GE942" s="199"/>
      <c r="GF942" s="199"/>
      <c r="GG942" s="199"/>
      <c r="GH942" s="199"/>
      <c r="GI942" s="199"/>
      <c r="GJ942" s="199"/>
      <c r="GK942" s="199"/>
      <c r="GO942" s="322"/>
      <c r="GP942" s="1190"/>
      <c r="GQ942" s="1190"/>
      <c r="GS942" s="2879"/>
      <c r="GT942" s="2880"/>
      <c r="GU942" s="2881"/>
    </row>
    <row r="943" spans="1:203" ht="12" customHeight="1">
      <c r="A943" s="1252"/>
      <c r="B943" s="200"/>
      <c r="C943" s="486"/>
      <c r="T943" s="1186"/>
      <c r="U943" s="233"/>
      <c r="W943" s="218"/>
      <c r="X943" s="218"/>
      <c r="Y943" s="216"/>
      <c r="Z943" s="216"/>
      <c r="AA943" s="215"/>
      <c r="AB943" s="216"/>
      <c r="AC943" s="216"/>
      <c r="AD943" s="239"/>
      <c r="AE943" s="216"/>
      <c r="AF943" s="216"/>
      <c r="AG943" s="216"/>
      <c r="AH943" s="216"/>
      <c r="AI943" s="216"/>
      <c r="AJ943" s="216"/>
      <c r="AK943" s="239"/>
      <c r="AL943" s="216"/>
      <c r="AM943" s="216"/>
      <c r="AN943" s="216"/>
      <c r="AO943" s="216"/>
      <c r="AP943" s="216"/>
      <c r="AQ943" s="216"/>
      <c r="AR943" s="216"/>
      <c r="AS943" s="216"/>
      <c r="AT943" s="216"/>
      <c r="AU943" s="216"/>
      <c r="AV943" s="217"/>
      <c r="AW943" s="355"/>
      <c r="AX943" s="217"/>
      <c r="AY943" s="305"/>
      <c r="AZ943" s="249"/>
      <c r="BA943" s="221"/>
      <c r="BB943" s="300"/>
      <c r="BC943" s="217"/>
      <c r="BD943" s="392"/>
      <c r="BE943" s="1244"/>
      <c r="BF943" s="249"/>
      <c r="BG943" s="252"/>
      <c r="BH943" s="1469"/>
      <c r="BI943" s="216"/>
      <c r="BJ943" s="1469"/>
      <c r="BK943" s="1459"/>
      <c r="BL943" s="260"/>
      <c r="BM943" s="214"/>
      <c r="BN943" s="293"/>
      <c r="BO943" s="217"/>
      <c r="BP943" s="355"/>
      <c r="BQ943" s="217"/>
      <c r="BR943" s="1193"/>
      <c r="BS943" s="249"/>
      <c r="BT943" s="216"/>
      <c r="BU943" s="1195"/>
      <c r="BV943" s="249"/>
      <c r="BW943" s="216"/>
      <c r="BX943" s="1195"/>
      <c r="BY943" s="249"/>
      <c r="BZ943" s="216"/>
      <c r="CA943" s="1195"/>
      <c r="CB943" s="249"/>
      <c r="CC943" s="216"/>
      <c r="CD943" s="1195"/>
      <c r="CE943" s="249"/>
      <c r="CF943" s="216"/>
      <c r="CG943" s="1195"/>
      <c r="CH943" s="249"/>
      <c r="CI943" s="216"/>
      <c r="CJ943" s="1195"/>
      <c r="CK943" s="249"/>
      <c r="CL943" s="216"/>
      <c r="CM943" s="1194"/>
      <c r="CN943" s="1524"/>
      <c r="CO943" s="217"/>
      <c r="CP943" s="1193"/>
      <c r="CQ943" s="293"/>
      <c r="CR943" s="217"/>
      <c r="CS943" s="305"/>
      <c r="CT943" s="249"/>
      <c r="CU943" s="216"/>
      <c r="CV943" s="1193"/>
      <c r="CW943" s="249"/>
      <c r="CX943" s="216"/>
      <c r="CY943" s="305"/>
      <c r="CZ943" s="249"/>
      <c r="DA943" s="216"/>
      <c r="DB943" s="307"/>
      <c r="DC943" s="328"/>
      <c r="DD943" s="322"/>
      <c r="DE943" s="305"/>
      <c r="DF943" s="249"/>
      <c r="DG943" s="216"/>
      <c r="DH943" s="305"/>
      <c r="DI943" s="249"/>
      <c r="DJ943" s="216"/>
      <c r="DK943" s="309"/>
      <c r="DL943" s="293"/>
      <c r="DM943" s="326"/>
      <c r="DN943" s="1256"/>
      <c r="DO943" s="214"/>
      <c r="DP943" s="1257"/>
      <c r="DQ943" s="1258"/>
      <c r="DR943" s="305"/>
      <c r="DS943" s="249"/>
      <c r="DT943" s="216"/>
      <c r="DU943" s="305"/>
      <c r="DV943" s="2520"/>
      <c r="DW943" s="2521"/>
      <c r="DX943" s="305"/>
      <c r="DY943" s="249"/>
      <c r="DZ943" s="221"/>
      <c r="EA943" s="388"/>
      <c r="EB943" s="249"/>
      <c r="EC943" s="216"/>
      <c r="ED943" s="1461"/>
      <c r="EE943" s="249"/>
      <c r="EF943" s="216"/>
      <c r="EG943" s="355"/>
      <c r="EH943" s="1425"/>
      <c r="EI943" s="1470"/>
      <c r="EJ943" s="249"/>
      <c r="EK943" s="221"/>
      <c r="EL943" s="313"/>
      <c r="EM943" s="249"/>
      <c r="EN943" s="221"/>
      <c r="EO943" s="313"/>
      <c r="EP943" s="249"/>
      <c r="EQ943" s="216"/>
      <c r="ER943" s="313"/>
      <c r="ES943" s="249"/>
      <c r="ET943" s="216"/>
      <c r="EU943" s="313"/>
      <c r="EV943" s="249"/>
      <c r="EW943" s="216"/>
      <c r="EX943" s="2505"/>
      <c r="EY943" s="249"/>
      <c r="EZ943" s="221"/>
      <c r="FA943" s="313"/>
      <c r="FB943" s="249"/>
      <c r="FC943" s="221"/>
      <c r="FD943" s="313"/>
      <c r="FE943" s="249"/>
      <c r="FF943" s="221"/>
      <c r="FG943" s="313"/>
      <c r="FH943" s="249"/>
      <c r="FI943" s="216"/>
      <c r="FJ943" s="1435"/>
      <c r="FK943" s="216"/>
      <c r="FL943" s="1268"/>
      <c r="FM943" s="1655"/>
      <c r="FN943" s="1268"/>
      <c r="FO943" s="1655"/>
      <c r="FP943" s="1268"/>
      <c r="FQ943" s="1656"/>
      <c r="FR943" s="249"/>
      <c r="FS943" s="216"/>
      <c r="FT943" s="1657"/>
      <c r="FU943" s="1658"/>
      <c r="FV943" s="242"/>
      <c r="FW943" s="343"/>
      <c r="FX943" s="222"/>
      <c r="FY943" s="336"/>
      <c r="FZ943" s="223"/>
      <c r="GA943" s="338"/>
      <c r="GB943" s="204"/>
      <c r="GC943" s="339"/>
      <c r="GD943" s="342"/>
      <c r="GE943" s="199"/>
      <c r="GF943" s="199"/>
      <c r="GG943" s="199"/>
      <c r="GH943" s="199"/>
      <c r="GI943" s="199"/>
      <c r="GJ943" s="199"/>
      <c r="GK943" s="199"/>
      <c r="GO943" s="322"/>
      <c r="GP943" s="1190"/>
      <c r="GQ943" s="1190"/>
      <c r="GS943" s="2879"/>
      <c r="GT943" s="2880"/>
      <c r="GU943" s="2881"/>
    </row>
    <row r="944" spans="1:203" ht="12" customHeight="1">
      <c r="A944" s="1252"/>
      <c r="B944" s="200"/>
      <c r="C944" s="486"/>
      <c r="T944" s="1186"/>
      <c r="U944" s="233"/>
      <c r="W944" s="218"/>
      <c r="X944" s="218"/>
      <c r="Y944" s="216"/>
      <c r="Z944" s="216"/>
      <c r="AA944" s="215"/>
      <c r="AB944" s="216"/>
      <c r="AC944" s="216"/>
      <c r="AD944" s="239"/>
      <c r="AE944" s="216"/>
      <c r="AF944" s="216"/>
      <c r="AG944" s="216"/>
      <c r="AH944" s="216"/>
      <c r="AI944" s="216"/>
      <c r="AJ944" s="216"/>
      <c r="AK944" s="239"/>
      <c r="AL944" s="216"/>
      <c r="AM944" s="216"/>
      <c r="AN944" s="216"/>
      <c r="AO944" s="216"/>
      <c r="AP944" s="216"/>
      <c r="AQ944" s="216"/>
      <c r="AR944" s="216"/>
      <c r="AS944" s="216"/>
      <c r="AT944" s="216"/>
      <c r="AU944" s="216"/>
      <c r="AV944" s="217"/>
      <c r="AW944" s="355"/>
      <c r="AX944" s="217"/>
      <c r="AY944" s="305"/>
      <c r="AZ944" s="249"/>
      <c r="BA944" s="221"/>
      <c r="BB944" s="300"/>
      <c r="BC944" s="217"/>
      <c r="BD944" s="392"/>
      <c r="BE944" s="1244"/>
      <c r="BF944" s="249"/>
      <c r="BG944" s="252"/>
      <c r="BH944" s="1469"/>
      <c r="BI944" s="216"/>
      <c r="BJ944" s="1469"/>
      <c r="BK944" s="1459"/>
      <c r="BL944" s="260"/>
      <c r="BM944" s="214"/>
      <c r="BN944" s="293"/>
      <c r="BO944" s="217"/>
      <c r="BP944" s="355"/>
      <c r="BQ944" s="217"/>
      <c r="BR944" s="1193"/>
      <c r="BS944" s="249"/>
      <c r="BT944" s="216"/>
      <c r="BU944" s="1195"/>
      <c r="BV944" s="249"/>
      <c r="BW944" s="216"/>
      <c r="BX944" s="1195"/>
      <c r="BY944" s="249"/>
      <c r="BZ944" s="216"/>
      <c r="CA944" s="1195"/>
      <c r="CB944" s="249"/>
      <c r="CC944" s="216"/>
      <c r="CD944" s="1195"/>
      <c r="CE944" s="249"/>
      <c r="CF944" s="216"/>
      <c r="CG944" s="1195"/>
      <c r="CH944" s="249"/>
      <c r="CI944" s="216"/>
      <c r="CJ944" s="1195"/>
      <c r="CK944" s="249"/>
      <c r="CL944" s="216"/>
      <c r="CM944" s="1194"/>
      <c r="CN944" s="1524"/>
      <c r="CO944" s="217"/>
      <c r="CP944" s="1193"/>
      <c r="CQ944" s="293"/>
      <c r="CR944" s="217"/>
      <c r="CS944" s="305"/>
      <c r="CT944" s="249"/>
      <c r="CU944" s="216"/>
      <c r="CV944" s="1193"/>
      <c r="CW944" s="249"/>
      <c r="CX944" s="216"/>
      <c r="CY944" s="305"/>
      <c r="CZ944" s="249"/>
      <c r="DA944" s="216"/>
      <c r="DB944" s="307"/>
      <c r="DC944" s="328"/>
      <c r="DD944" s="322"/>
      <c r="DE944" s="305"/>
      <c r="DF944" s="249"/>
      <c r="DG944" s="216"/>
      <c r="DH944" s="305"/>
      <c r="DI944" s="249"/>
      <c r="DJ944" s="216"/>
      <c r="DK944" s="309"/>
      <c r="DL944" s="293"/>
      <c r="DM944" s="326"/>
      <c r="DN944" s="1256"/>
      <c r="DO944" s="214"/>
      <c r="DP944" s="1257"/>
      <c r="DQ944" s="1258"/>
      <c r="DR944" s="305"/>
      <c r="DS944" s="249"/>
      <c r="DT944" s="216"/>
      <c r="DU944" s="305"/>
      <c r="DV944" s="2520"/>
      <c r="DW944" s="2521"/>
      <c r="DX944" s="305"/>
      <c r="DY944" s="249"/>
      <c r="DZ944" s="221"/>
      <c r="EA944" s="388"/>
      <c r="EB944" s="249"/>
      <c r="EC944" s="216"/>
      <c r="ED944" s="1461"/>
      <c r="EE944" s="249"/>
      <c r="EF944" s="216"/>
      <c r="EG944" s="355"/>
      <c r="EH944" s="1425"/>
      <c r="EI944" s="1470"/>
      <c r="EJ944" s="249"/>
      <c r="EK944" s="221"/>
      <c r="EL944" s="313"/>
      <c r="EM944" s="249"/>
      <c r="EN944" s="221"/>
      <c r="EO944" s="313"/>
      <c r="EP944" s="249"/>
      <c r="EQ944" s="216"/>
      <c r="ER944" s="313"/>
      <c r="ES944" s="249"/>
      <c r="ET944" s="216"/>
      <c r="EU944" s="313"/>
      <c r="EV944" s="249"/>
      <c r="EW944" s="216"/>
      <c r="EX944" s="2505"/>
      <c r="EY944" s="249"/>
      <c r="EZ944" s="221"/>
      <c r="FA944" s="313"/>
      <c r="FB944" s="249"/>
      <c r="FC944" s="221"/>
      <c r="FD944" s="313"/>
      <c r="FE944" s="249"/>
      <c r="FF944" s="221"/>
      <c r="FG944" s="313"/>
      <c r="FH944" s="249"/>
      <c r="FI944" s="216"/>
      <c r="FJ944" s="1435"/>
      <c r="FK944" s="216"/>
      <c r="FL944" s="1268"/>
      <c r="FM944" s="1655"/>
      <c r="FN944" s="1268"/>
      <c r="FO944" s="1655"/>
      <c r="FP944" s="1268"/>
      <c r="FQ944" s="1656"/>
      <c r="FR944" s="249"/>
      <c r="FS944" s="216"/>
      <c r="FT944" s="1657"/>
      <c r="FU944" s="1658"/>
      <c r="FV944" s="242"/>
      <c r="FW944" s="343"/>
      <c r="FX944" s="222"/>
      <c r="FY944" s="336"/>
      <c r="FZ944" s="223"/>
      <c r="GA944" s="338"/>
      <c r="GB944" s="204"/>
      <c r="GC944" s="339"/>
      <c r="GD944" s="342"/>
      <c r="GE944" s="199"/>
      <c r="GF944" s="199"/>
      <c r="GG944" s="199"/>
      <c r="GH944" s="199"/>
      <c r="GI944" s="199"/>
      <c r="GJ944" s="199"/>
      <c r="GK944" s="199"/>
      <c r="GO944" s="322"/>
      <c r="GP944" s="1190"/>
      <c r="GQ944" s="1190"/>
      <c r="GS944" s="2879"/>
      <c r="GT944" s="2880"/>
      <c r="GU944" s="2881"/>
    </row>
    <row r="945" spans="1:203" ht="12" customHeight="1">
      <c r="A945" s="1252"/>
      <c r="B945" s="200"/>
      <c r="C945" s="486"/>
      <c r="T945" s="1186"/>
      <c r="U945" s="233"/>
      <c r="W945" s="218"/>
      <c r="X945" s="218"/>
      <c r="Y945" s="216"/>
      <c r="Z945" s="216"/>
      <c r="AA945" s="215"/>
      <c r="AB945" s="216"/>
      <c r="AC945" s="216"/>
      <c r="AD945" s="239"/>
      <c r="AE945" s="216"/>
      <c r="AF945" s="216"/>
      <c r="AG945" s="216"/>
      <c r="AH945" s="216"/>
      <c r="AI945" s="216"/>
      <c r="AJ945" s="216"/>
      <c r="AK945" s="239"/>
      <c r="AL945" s="216"/>
      <c r="AM945" s="216"/>
      <c r="AN945" s="216"/>
      <c r="AO945" s="216"/>
      <c r="AP945" s="216"/>
      <c r="AQ945" s="216"/>
      <c r="AR945" s="216"/>
      <c r="AS945" s="216"/>
      <c r="AT945" s="216"/>
      <c r="AU945" s="216"/>
      <c r="AV945" s="217"/>
      <c r="AW945" s="355"/>
      <c r="AX945" s="217"/>
      <c r="AY945" s="305"/>
      <c r="AZ945" s="249"/>
      <c r="BA945" s="221"/>
      <c r="BB945" s="300"/>
      <c r="BC945" s="217"/>
      <c r="BD945" s="392"/>
      <c r="BE945" s="1244"/>
      <c r="BF945" s="249"/>
      <c r="BG945" s="252"/>
      <c r="BH945" s="1469"/>
      <c r="BI945" s="216"/>
      <c r="BJ945" s="1469"/>
      <c r="BK945" s="1459"/>
      <c r="BL945" s="260"/>
      <c r="BM945" s="214"/>
      <c r="BN945" s="293"/>
      <c r="BO945" s="217"/>
      <c r="BP945" s="355"/>
      <c r="BQ945" s="217"/>
      <c r="BR945" s="1193"/>
      <c r="BS945" s="249"/>
      <c r="BT945" s="216"/>
      <c r="BU945" s="1195"/>
      <c r="BV945" s="249"/>
      <c r="BW945" s="216"/>
      <c r="BX945" s="1195"/>
      <c r="BY945" s="249"/>
      <c r="BZ945" s="216"/>
      <c r="CA945" s="1195"/>
      <c r="CB945" s="249"/>
      <c r="CC945" s="216"/>
      <c r="CD945" s="1195"/>
      <c r="CE945" s="249"/>
      <c r="CF945" s="216"/>
      <c r="CG945" s="1195"/>
      <c r="CH945" s="249"/>
      <c r="CI945" s="216"/>
      <c r="CJ945" s="1195"/>
      <c r="CK945" s="249"/>
      <c r="CL945" s="216"/>
      <c r="CM945" s="1194"/>
      <c r="CN945" s="1524"/>
      <c r="CO945" s="217"/>
      <c r="CP945" s="1193"/>
      <c r="CQ945" s="293"/>
      <c r="CR945" s="217"/>
      <c r="CS945" s="305"/>
      <c r="CT945" s="249"/>
      <c r="CU945" s="216"/>
      <c r="CV945" s="1193"/>
      <c r="CW945" s="249"/>
      <c r="CX945" s="216"/>
      <c r="CY945" s="305"/>
      <c r="CZ945" s="249"/>
      <c r="DA945" s="216"/>
      <c r="DB945" s="307"/>
      <c r="DC945" s="328"/>
      <c r="DD945" s="322"/>
      <c r="DE945" s="305"/>
      <c r="DF945" s="249"/>
      <c r="DG945" s="216"/>
      <c r="DH945" s="305"/>
      <c r="DI945" s="249"/>
      <c r="DJ945" s="216"/>
      <c r="DK945" s="309"/>
      <c r="DL945" s="293"/>
      <c r="DM945" s="326"/>
      <c r="DN945" s="1256"/>
      <c r="DO945" s="214"/>
      <c r="DP945" s="1257"/>
      <c r="DQ945" s="1258"/>
      <c r="DR945" s="305"/>
      <c r="DS945" s="249"/>
      <c r="DT945" s="216"/>
      <c r="DU945" s="305"/>
      <c r="DV945" s="2520"/>
      <c r="DW945" s="2521"/>
      <c r="DX945" s="305"/>
      <c r="DY945" s="249"/>
      <c r="DZ945" s="221"/>
      <c r="EA945" s="388"/>
      <c r="EB945" s="249"/>
      <c r="EC945" s="216"/>
      <c r="ED945" s="1461"/>
      <c r="EE945" s="249"/>
      <c r="EF945" s="216"/>
      <c r="EG945" s="355"/>
      <c r="EH945" s="1425"/>
      <c r="EI945" s="1470"/>
      <c r="EJ945" s="249"/>
      <c r="EK945" s="221"/>
      <c r="EL945" s="313"/>
      <c r="EM945" s="249"/>
      <c r="EN945" s="221"/>
      <c r="EO945" s="313"/>
      <c r="EP945" s="249"/>
      <c r="EQ945" s="216"/>
      <c r="ER945" s="313"/>
      <c r="ES945" s="249"/>
      <c r="ET945" s="216"/>
      <c r="EU945" s="313"/>
      <c r="EV945" s="249"/>
      <c r="EW945" s="216"/>
      <c r="EX945" s="2505"/>
      <c r="EY945" s="249"/>
      <c r="EZ945" s="221"/>
      <c r="FA945" s="313"/>
      <c r="FB945" s="249"/>
      <c r="FC945" s="221"/>
      <c r="FD945" s="313"/>
      <c r="FE945" s="249"/>
      <c r="FF945" s="221"/>
      <c r="FG945" s="313"/>
      <c r="FH945" s="249"/>
      <c r="FI945" s="216"/>
      <c r="FJ945" s="1435"/>
      <c r="FK945" s="216"/>
      <c r="FL945" s="1268"/>
      <c r="FM945" s="1655"/>
      <c r="FN945" s="1268"/>
      <c r="FO945" s="1655"/>
      <c r="FP945" s="1268"/>
      <c r="FQ945" s="1656"/>
      <c r="FR945" s="249"/>
      <c r="FS945" s="216"/>
      <c r="FT945" s="1657"/>
      <c r="FU945" s="1658"/>
      <c r="FV945" s="242"/>
      <c r="FW945" s="343"/>
      <c r="FX945" s="222"/>
      <c r="FY945" s="336"/>
      <c r="FZ945" s="223"/>
      <c r="GA945" s="338"/>
      <c r="GB945" s="204"/>
      <c r="GC945" s="339"/>
      <c r="GD945" s="342"/>
      <c r="GE945" s="199"/>
      <c r="GF945" s="199"/>
      <c r="GG945" s="199"/>
      <c r="GH945" s="199"/>
      <c r="GI945" s="199"/>
      <c r="GJ945" s="199"/>
      <c r="GK945" s="199"/>
      <c r="GO945" s="322"/>
      <c r="GP945" s="1190"/>
      <c r="GQ945" s="1190"/>
      <c r="GS945" s="2879"/>
      <c r="GT945" s="2880"/>
      <c r="GU945" s="2881"/>
    </row>
    <row r="946" spans="1:203" ht="12" customHeight="1">
      <c r="A946" s="1252"/>
      <c r="B946" s="200"/>
      <c r="C946" s="486"/>
      <c r="T946" s="1186"/>
      <c r="U946" s="233"/>
      <c r="W946" s="218"/>
      <c r="X946" s="218"/>
      <c r="Y946" s="216"/>
      <c r="Z946" s="216"/>
      <c r="AA946" s="215"/>
      <c r="AB946" s="216"/>
      <c r="AC946" s="216"/>
      <c r="AD946" s="239"/>
      <c r="AE946" s="216"/>
      <c r="AF946" s="216"/>
      <c r="AG946" s="216"/>
      <c r="AH946" s="216"/>
      <c r="AI946" s="216"/>
      <c r="AJ946" s="216"/>
      <c r="AK946" s="239"/>
      <c r="AL946" s="216"/>
      <c r="AM946" s="216"/>
      <c r="AN946" s="216"/>
      <c r="AO946" s="216"/>
      <c r="AP946" s="216"/>
      <c r="AQ946" s="216"/>
      <c r="AR946" s="216"/>
      <c r="AS946" s="216"/>
      <c r="AT946" s="216"/>
      <c r="AU946" s="216"/>
      <c r="AV946" s="217"/>
      <c r="AW946" s="355"/>
      <c r="AX946" s="217"/>
      <c r="AY946" s="305"/>
      <c r="AZ946" s="249"/>
      <c r="BA946" s="221"/>
      <c r="BB946" s="300"/>
      <c r="BC946" s="217"/>
      <c r="BD946" s="392"/>
      <c r="BE946" s="1244"/>
      <c r="BF946" s="249"/>
      <c r="BG946" s="252"/>
      <c r="BH946" s="1469"/>
      <c r="BI946" s="216"/>
      <c r="BJ946" s="1469"/>
      <c r="BK946" s="1459"/>
      <c r="BL946" s="260"/>
      <c r="BM946" s="214"/>
      <c r="BN946" s="293"/>
      <c r="BO946" s="217"/>
      <c r="BP946" s="355"/>
      <c r="BQ946" s="217"/>
      <c r="BR946" s="1193"/>
      <c r="BS946" s="249"/>
      <c r="BT946" s="216"/>
      <c r="BU946" s="1195"/>
      <c r="BV946" s="249"/>
      <c r="BW946" s="216"/>
      <c r="BX946" s="1195"/>
      <c r="BY946" s="249"/>
      <c r="BZ946" s="216"/>
      <c r="CA946" s="1195"/>
      <c r="CB946" s="249"/>
      <c r="CC946" s="216"/>
      <c r="CD946" s="1195"/>
      <c r="CE946" s="249"/>
      <c r="CF946" s="216"/>
      <c r="CG946" s="1195"/>
      <c r="CH946" s="249"/>
      <c r="CI946" s="216"/>
      <c r="CJ946" s="1195"/>
      <c r="CK946" s="249"/>
      <c r="CL946" s="216"/>
      <c r="CM946" s="1194"/>
      <c r="CN946" s="1524"/>
      <c r="CO946" s="217"/>
      <c r="CP946" s="1193"/>
      <c r="CQ946" s="293"/>
      <c r="CR946" s="217"/>
      <c r="CS946" s="305"/>
      <c r="CT946" s="249"/>
      <c r="CU946" s="216"/>
      <c r="CV946" s="1193"/>
      <c r="CW946" s="249"/>
      <c r="CX946" s="216"/>
      <c r="CY946" s="305"/>
      <c r="CZ946" s="249"/>
      <c r="DA946" s="216"/>
      <c r="DB946" s="307"/>
      <c r="DC946" s="328"/>
      <c r="DD946" s="322"/>
      <c r="DE946" s="305"/>
      <c r="DF946" s="249"/>
      <c r="DG946" s="216"/>
      <c r="DH946" s="305"/>
      <c r="DI946" s="249"/>
      <c r="DJ946" s="216"/>
      <c r="DK946" s="309"/>
      <c r="DL946" s="293"/>
      <c r="DM946" s="326"/>
      <c r="DN946" s="1256"/>
      <c r="DO946" s="214"/>
      <c r="DP946" s="1257"/>
      <c r="DQ946" s="1258"/>
      <c r="DR946" s="305"/>
      <c r="DS946" s="249"/>
      <c r="DT946" s="216"/>
      <c r="DU946" s="305"/>
      <c r="DV946" s="2520"/>
      <c r="DW946" s="2521"/>
      <c r="DX946" s="305"/>
      <c r="DY946" s="249"/>
      <c r="DZ946" s="221"/>
      <c r="EA946" s="388"/>
      <c r="EB946" s="249"/>
      <c r="EC946" s="216"/>
      <c r="ED946" s="1461"/>
      <c r="EE946" s="249"/>
      <c r="EF946" s="216"/>
      <c r="EG946" s="355"/>
      <c r="EH946" s="1425"/>
      <c r="EI946" s="1470"/>
      <c r="EJ946" s="249"/>
      <c r="EK946" s="221"/>
      <c r="EL946" s="313"/>
      <c r="EM946" s="249"/>
      <c r="EN946" s="221"/>
      <c r="EO946" s="313"/>
      <c r="EP946" s="249"/>
      <c r="EQ946" s="216"/>
      <c r="ER946" s="313"/>
      <c r="ES946" s="249"/>
      <c r="ET946" s="216"/>
      <c r="EU946" s="313"/>
      <c r="EV946" s="249"/>
      <c r="EW946" s="216"/>
      <c r="EX946" s="2505"/>
      <c r="EY946" s="249"/>
      <c r="EZ946" s="221"/>
      <c r="FA946" s="313"/>
      <c r="FB946" s="249"/>
      <c r="FC946" s="221"/>
      <c r="FD946" s="313"/>
      <c r="FE946" s="249"/>
      <c r="FF946" s="221"/>
      <c r="FG946" s="313"/>
      <c r="FH946" s="249"/>
      <c r="FI946" s="216"/>
      <c r="FJ946" s="1435"/>
      <c r="FK946" s="216"/>
      <c r="FL946" s="1268"/>
      <c r="FM946" s="1655"/>
      <c r="FN946" s="1268"/>
      <c r="FO946" s="1655"/>
      <c r="FP946" s="1268"/>
      <c r="FQ946" s="1656"/>
      <c r="FR946" s="249"/>
      <c r="FS946" s="216"/>
      <c r="FT946" s="1657"/>
      <c r="FU946" s="1658"/>
      <c r="FV946" s="242"/>
      <c r="FW946" s="343"/>
      <c r="FX946" s="222"/>
      <c r="FY946" s="336"/>
      <c r="FZ946" s="223"/>
      <c r="GA946" s="338"/>
      <c r="GB946" s="204"/>
      <c r="GC946" s="339"/>
      <c r="GD946" s="342"/>
      <c r="GE946" s="199"/>
      <c r="GF946" s="199"/>
      <c r="GG946" s="199"/>
      <c r="GH946" s="199"/>
      <c r="GI946" s="199"/>
      <c r="GJ946" s="199"/>
      <c r="GK946" s="199"/>
      <c r="GO946" s="322"/>
      <c r="GP946" s="1190"/>
      <c r="GQ946" s="1190"/>
      <c r="GS946" s="2879"/>
      <c r="GT946" s="2880"/>
      <c r="GU946" s="2881"/>
    </row>
    <row r="947" spans="1:203" ht="12" customHeight="1">
      <c r="A947" s="1252"/>
      <c r="B947" s="200"/>
      <c r="C947" s="486"/>
      <c r="T947" s="1186"/>
      <c r="U947" s="233"/>
      <c r="W947" s="218"/>
      <c r="X947" s="218"/>
      <c r="Y947" s="216"/>
      <c r="Z947" s="216"/>
      <c r="AA947" s="215"/>
      <c r="AB947" s="216"/>
      <c r="AC947" s="216"/>
      <c r="AD947" s="239"/>
      <c r="AE947" s="216"/>
      <c r="AF947" s="216"/>
      <c r="AG947" s="216"/>
      <c r="AH947" s="216"/>
      <c r="AI947" s="216"/>
      <c r="AJ947" s="216"/>
      <c r="AK947" s="239"/>
      <c r="AL947" s="216"/>
      <c r="AM947" s="216"/>
      <c r="AN947" s="216"/>
      <c r="AO947" s="216"/>
      <c r="AP947" s="216"/>
      <c r="AQ947" s="216"/>
      <c r="AR947" s="216"/>
      <c r="AS947" s="216"/>
      <c r="AT947" s="216"/>
      <c r="AU947" s="216"/>
      <c r="AV947" s="217"/>
      <c r="AW947" s="355"/>
      <c r="AX947" s="217"/>
      <c r="AY947" s="305"/>
      <c r="AZ947" s="249"/>
      <c r="BA947" s="221"/>
      <c r="BB947" s="300"/>
      <c r="BC947" s="217"/>
      <c r="BD947" s="392"/>
      <c r="BE947" s="1244"/>
      <c r="BF947" s="249"/>
      <c r="BG947" s="252"/>
      <c r="BH947" s="1469"/>
      <c r="BI947" s="216"/>
      <c r="BJ947" s="1469"/>
      <c r="BK947" s="1459"/>
      <c r="BL947" s="260"/>
      <c r="BM947" s="214"/>
      <c r="BN947" s="293"/>
      <c r="BO947" s="217"/>
      <c r="BP947" s="355"/>
      <c r="BQ947" s="217"/>
      <c r="BR947" s="1193"/>
      <c r="BS947" s="249"/>
      <c r="BT947" s="216"/>
      <c r="BU947" s="1195"/>
      <c r="BV947" s="249"/>
      <c r="BW947" s="216"/>
      <c r="BX947" s="1195"/>
      <c r="BY947" s="249"/>
      <c r="BZ947" s="216"/>
      <c r="CA947" s="1195"/>
      <c r="CB947" s="249"/>
      <c r="CC947" s="216"/>
      <c r="CD947" s="1195"/>
      <c r="CE947" s="249"/>
      <c r="CF947" s="216"/>
      <c r="CG947" s="1195"/>
      <c r="CH947" s="249"/>
      <c r="CI947" s="216"/>
      <c r="CJ947" s="1195"/>
      <c r="CK947" s="249"/>
      <c r="CL947" s="216"/>
      <c r="CM947" s="1194"/>
      <c r="CN947" s="1524"/>
      <c r="CO947" s="217"/>
      <c r="CP947" s="1193"/>
      <c r="CQ947" s="293"/>
      <c r="CR947" s="217"/>
      <c r="CS947" s="305"/>
      <c r="CT947" s="249"/>
      <c r="CU947" s="216"/>
      <c r="CV947" s="1193"/>
      <c r="CW947" s="249"/>
      <c r="CX947" s="216"/>
      <c r="CY947" s="305"/>
      <c r="CZ947" s="249"/>
      <c r="DA947" s="216"/>
      <c r="DB947" s="307"/>
      <c r="DC947" s="328"/>
      <c r="DD947" s="322"/>
      <c r="DE947" s="305"/>
      <c r="DF947" s="249"/>
      <c r="DG947" s="216"/>
      <c r="DH947" s="305"/>
      <c r="DI947" s="249"/>
      <c r="DJ947" s="216"/>
      <c r="DK947" s="309"/>
      <c r="DL947" s="293"/>
      <c r="DM947" s="326"/>
      <c r="DN947" s="1256"/>
      <c r="DO947" s="214"/>
      <c r="DP947" s="1257"/>
      <c r="DQ947" s="1258"/>
      <c r="DR947" s="305"/>
      <c r="DS947" s="249"/>
      <c r="DT947" s="216"/>
      <c r="DU947" s="305"/>
      <c r="DV947" s="2520"/>
      <c r="DW947" s="2521"/>
      <c r="DX947" s="305"/>
      <c r="DY947" s="249"/>
      <c r="DZ947" s="221"/>
      <c r="EA947" s="388"/>
      <c r="EB947" s="249"/>
      <c r="EC947" s="216"/>
      <c r="ED947" s="1461"/>
      <c r="EE947" s="249"/>
      <c r="EF947" s="216"/>
      <c r="EG947" s="355"/>
      <c r="EH947" s="1425"/>
      <c r="EI947" s="1470"/>
      <c r="EJ947" s="249"/>
      <c r="EK947" s="221"/>
      <c r="EL947" s="313"/>
      <c r="EM947" s="249"/>
      <c r="EN947" s="221"/>
      <c r="EO947" s="313"/>
      <c r="EP947" s="249"/>
      <c r="EQ947" s="216"/>
      <c r="ER947" s="313"/>
      <c r="ES947" s="249"/>
      <c r="ET947" s="216"/>
      <c r="EU947" s="313"/>
      <c r="EV947" s="249"/>
      <c r="EW947" s="216"/>
      <c r="EX947" s="2505"/>
      <c r="EY947" s="249"/>
      <c r="EZ947" s="221"/>
      <c r="FA947" s="313"/>
      <c r="FB947" s="249"/>
      <c r="FC947" s="221"/>
      <c r="FD947" s="313"/>
      <c r="FE947" s="249"/>
      <c r="FF947" s="221"/>
      <c r="FG947" s="313"/>
      <c r="FH947" s="249"/>
      <c r="FI947" s="216"/>
      <c r="FJ947" s="1435"/>
      <c r="FK947" s="216"/>
      <c r="FL947" s="1268"/>
      <c r="FM947" s="1655"/>
      <c r="FN947" s="1268"/>
      <c r="FO947" s="1655"/>
      <c r="FP947" s="1268"/>
      <c r="FQ947" s="1656"/>
      <c r="FR947" s="249"/>
      <c r="FS947" s="216"/>
      <c r="FT947" s="1657"/>
      <c r="FU947" s="1658"/>
      <c r="FV947" s="242"/>
      <c r="FW947" s="343"/>
      <c r="FX947" s="222"/>
      <c r="FY947" s="336"/>
      <c r="FZ947" s="223"/>
      <c r="GA947" s="338"/>
      <c r="GB947" s="204"/>
      <c r="GC947" s="339"/>
      <c r="GD947" s="342"/>
      <c r="GE947" s="199"/>
      <c r="GF947" s="199"/>
      <c r="GG947" s="199"/>
      <c r="GH947" s="199"/>
      <c r="GI947" s="199"/>
      <c r="GJ947" s="199"/>
      <c r="GK947" s="199"/>
      <c r="GO947" s="322"/>
      <c r="GP947" s="1190"/>
      <c r="GQ947" s="1190"/>
      <c r="GS947" s="2879"/>
      <c r="GT947" s="2880"/>
      <c r="GU947" s="2881"/>
    </row>
    <row r="948" spans="1:203" ht="12" customHeight="1">
      <c r="A948" s="1252"/>
      <c r="B948" s="200"/>
      <c r="C948" s="486"/>
      <c r="T948" s="1186"/>
      <c r="U948" s="233"/>
      <c r="W948" s="218"/>
      <c r="X948" s="218"/>
      <c r="Y948" s="216"/>
      <c r="Z948" s="216"/>
      <c r="AA948" s="215"/>
      <c r="AB948" s="216"/>
      <c r="AC948" s="216"/>
      <c r="AD948" s="239"/>
      <c r="AE948" s="216"/>
      <c r="AF948" s="216"/>
      <c r="AG948" s="216"/>
      <c r="AH948" s="216"/>
      <c r="AI948" s="216"/>
      <c r="AJ948" s="216"/>
      <c r="AK948" s="239"/>
      <c r="AL948" s="216"/>
      <c r="AM948" s="216"/>
      <c r="AN948" s="216"/>
      <c r="AO948" s="216"/>
      <c r="AP948" s="216"/>
      <c r="AQ948" s="216"/>
      <c r="AR948" s="216"/>
      <c r="AS948" s="216"/>
      <c r="AT948" s="216"/>
      <c r="AU948" s="216"/>
      <c r="AV948" s="217"/>
      <c r="AW948" s="355"/>
      <c r="AX948" s="217"/>
      <c r="AY948" s="305"/>
      <c r="AZ948" s="249"/>
      <c r="BA948" s="221"/>
      <c r="BB948" s="300"/>
      <c r="BC948" s="217"/>
      <c r="BD948" s="392"/>
      <c r="BE948" s="1244"/>
      <c r="BF948" s="249"/>
      <c r="BG948" s="252"/>
      <c r="BH948" s="1469"/>
      <c r="BI948" s="216"/>
      <c r="BJ948" s="1469"/>
      <c r="BK948" s="1459"/>
      <c r="BL948" s="260"/>
      <c r="BM948" s="214"/>
      <c r="BN948" s="293"/>
      <c r="BO948" s="217"/>
      <c r="BP948" s="355"/>
      <c r="BQ948" s="217"/>
      <c r="BR948" s="1193"/>
      <c r="BS948" s="249"/>
      <c r="BT948" s="216"/>
      <c r="BU948" s="1195"/>
      <c r="BV948" s="249"/>
      <c r="BW948" s="216"/>
      <c r="BX948" s="1195"/>
      <c r="BY948" s="249"/>
      <c r="BZ948" s="216"/>
      <c r="CA948" s="1195"/>
      <c r="CB948" s="249"/>
      <c r="CC948" s="216"/>
      <c r="CD948" s="1195"/>
      <c r="CE948" s="249"/>
      <c r="CF948" s="216"/>
      <c r="CG948" s="1195"/>
      <c r="CH948" s="249"/>
      <c r="CI948" s="216"/>
      <c r="CJ948" s="1195"/>
      <c r="CK948" s="249"/>
      <c r="CL948" s="216"/>
      <c r="CM948" s="1194"/>
      <c r="CN948" s="1524"/>
      <c r="CO948" s="217"/>
      <c r="CP948" s="1193"/>
      <c r="CQ948" s="293"/>
      <c r="CR948" s="217"/>
      <c r="CS948" s="305"/>
      <c r="CT948" s="249"/>
      <c r="CU948" s="216"/>
      <c r="CV948" s="1193"/>
      <c r="CW948" s="249"/>
      <c r="CX948" s="216"/>
      <c r="CY948" s="305"/>
      <c r="CZ948" s="249"/>
      <c r="DA948" s="216"/>
      <c r="DB948" s="307"/>
      <c r="DC948" s="328"/>
      <c r="DD948" s="322"/>
      <c r="DE948" s="305"/>
      <c r="DF948" s="249"/>
      <c r="DG948" s="216"/>
      <c r="DH948" s="305"/>
      <c r="DI948" s="249"/>
      <c r="DJ948" s="216"/>
      <c r="DK948" s="309"/>
      <c r="DL948" s="293"/>
      <c r="DM948" s="326"/>
      <c r="DN948" s="1256"/>
      <c r="DO948" s="214"/>
      <c r="DP948" s="1257"/>
      <c r="DQ948" s="1258"/>
      <c r="DR948" s="305"/>
      <c r="DS948" s="249"/>
      <c r="DT948" s="216"/>
      <c r="DU948" s="305"/>
      <c r="DV948" s="2520"/>
      <c r="DW948" s="2521"/>
      <c r="DX948" s="305"/>
      <c r="DY948" s="249"/>
      <c r="DZ948" s="221"/>
      <c r="EA948" s="388"/>
      <c r="EB948" s="249"/>
      <c r="EC948" s="216"/>
      <c r="ED948" s="1461"/>
      <c r="EE948" s="249"/>
      <c r="EF948" s="216"/>
      <c r="EG948" s="355"/>
      <c r="EH948" s="1425"/>
      <c r="EI948" s="1470"/>
      <c r="EJ948" s="249"/>
      <c r="EK948" s="221"/>
      <c r="EL948" s="313"/>
      <c r="EM948" s="249"/>
      <c r="EN948" s="221"/>
      <c r="EO948" s="313"/>
      <c r="EP948" s="249"/>
      <c r="EQ948" s="216"/>
      <c r="ER948" s="313"/>
      <c r="ES948" s="249"/>
      <c r="ET948" s="216"/>
      <c r="EU948" s="313"/>
      <c r="EV948" s="249"/>
      <c r="EW948" s="216"/>
      <c r="EX948" s="2505"/>
      <c r="EY948" s="249"/>
      <c r="EZ948" s="221"/>
      <c r="FA948" s="313"/>
      <c r="FB948" s="249"/>
      <c r="FC948" s="221"/>
      <c r="FD948" s="313"/>
      <c r="FE948" s="249"/>
      <c r="FF948" s="221"/>
      <c r="FG948" s="313"/>
      <c r="FH948" s="249"/>
      <c r="FI948" s="216"/>
      <c r="FJ948" s="1435"/>
      <c r="FK948" s="216"/>
      <c r="FL948" s="1268"/>
      <c r="FM948" s="1655"/>
      <c r="FN948" s="1268"/>
      <c r="FO948" s="1655"/>
      <c r="FP948" s="1268"/>
      <c r="FQ948" s="1656"/>
      <c r="FR948" s="249"/>
      <c r="FS948" s="216"/>
      <c r="FT948" s="1657"/>
      <c r="FU948" s="1658"/>
      <c r="FV948" s="242"/>
      <c r="FW948" s="343"/>
      <c r="FX948" s="222"/>
      <c r="FY948" s="336"/>
      <c r="FZ948" s="223"/>
      <c r="GA948" s="338"/>
      <c r="GB948" s="204"/>
      <c r="GC948" s="339"/>
      <c r="GD948" s="342"/>
      <c r="GE948" s="199"/>
      <c r="GF948" s="199"/>
      <c r="GG948" s="199"/>
      <c r="GH948" s="199"/>
      <c r="GI948" s="199"/>
      <c r="GJ948" s="199"/>
      <c r="GK948" s="199"/>
      <c r="GO948" s="322"/>
      <c r="GP948" s="1190"/>
      <c r="GQ948" s="1190"/>
      <c r="GS948" s="2879"/>
      <c r="GT948" s="2880"/>
      <c r="GU948" s="2881"/>
    </row>
    <row r="949" spans="1:203" ht="12" customHeight="1">
      <c r="A949" s="1252"/>
      <c r="B949" s="200"/>
      <c r="C949" s="486"/>
      <c r="T949" s="1186"/>
      <c r="U949" s="233"/>
      <c r="W949" s="218"/>
      <c r="X949" s="218"/>
      <c r="Y949" s="216"/>
      <c r="Z949" s="216"/>
      <c r="AA949" s="215"/>
      <c r="AB949" s="216"/>
      <c r="AC949" s="216"/>
      <c r="AD949" s="239"/>
      <c r="AE949" s="216"/>
      <c r="AF949" s="216"/>
      <c r="AG949" s="216"/>
      <c r="AH949" s="216"/>
      <c r="AI949" s="216"/>
      <c r="AJ949" s="216"/>
      <c r="AK949" s="239"/>
      <c r="AL949" s="216"/>
      <c r="AM949" s="216"/>
      <c r="AN949" s="216"/>
      <c r="AO949" s="216"/>
      <c r="AP949" s="216"/>
      <c r="AQ949" s="216"/>
      <c r="AR949" s="216"/>
      <c r="AS949" s="216"/>
      <c r="AT949" s="216"/>
      <c r="AU949" s="216"/>
      <c r="AV949" s="217"/>
      <c r="AW949" s="355"/>
      <c r="AX949" s="217"/>
      <c r="AY949" s="305"/>
      <c r="AZ949" s="249"/>
      <c r="BA949" s="221"/>
      <c r="BB949" s="300"/>
      <c r="BC949" s="217"/>
      <c r="BD949" s="392"/>
      <c r="BE949" s="1244"/>
      <c r="BF949" s="249"/>
      <c r="BG949" s="252"/>
      <c r="BH949" s="1469"/>
      <c r="BI949" s="216"/>
      <c r="BJ949" s="1469"/>
      <c r="BK949" s="1459"/>
      <c r="BL949" s="260"/>
      <c r="BM949" s="214"/>
      <c r="BN949" s="293"/>
      <c r="BO949" s="217"/>
      <c r="BP949" s="355"/>
      <c r="BQ949" s="217"/>
      <c r="BR949" s="1193"/>
      <c r="BS949" s="249"/>
      <c r="BT949" s="216"/>
      <c r="BU949" s="1195"/>
      <c r="BV949" s="249"/>
      <c r="BW949" s="216"/>
      <c r="BX949" s="1195"/>
      <c r="BY949" s="249"/>
      <c r="BZ949" s="216"/>
      <c r="CA949" s="1195"/>
      <c r="CB949" s="249"/>
      <c r="CC949" s="216"/>
      <c r="CD949" s="1195"/>
      <c r="CE949" s="249"/>
      <c r="CF949" s="216"/>
      <c r="CG949" s="1195"/>
      <c r="CH949" s="249"/>
      <c r="CI949" s="216"/>
      <c r="CJ949" s="1195"/>
      <c r="CK949" s="249"/>
      <c r="CL949" s="216"/>
      <c r="CM949" s="1194"/>
      <c r="CN949" s="1524"/>
      <c r="CO949" s="217"/>
      <c r="CP949" s="1193"/>
      <c r="CQ949" s="293"/>
      <c r="CR949" s="217"/>
      <c r="CS949" s="305"/>
      <c r="CT949" s="249"/>
      <c r="CU949" s="216"/>
      <c r="CV949" s="1193"/>
      <c r="CW949" s="249"/>
      <c r="CX949" s="216"/>
      <c r="CY949" s="305"/>
      <c r="CZ949" s="249"/>
      <c r="DA949" s="216"/>
      <c r="DB949" s="307"/>
      <c r="DC949" s="328"/>
      <c r="DD949" s="322"/>
      <c r="DE949" s="305"/>
      <c r="DF949" s="249"/>
      <c r="DG949" s="216"/>
      <c r="DH949" s="305"/>
      <c r="DI949" s="249"/>
      <c r="DJ949" s="216"/>
      <c r="DK949" s="309"/>
      <c r="DL949" s="293"/>
      <c r="DM949" s="326"/>
      <c r="DN949" s="1256"/>
      <c r="DO949" s="214"/>
      <c r="DP949" s="1257"/>
      <c r="DQ949" s="1258"/>
      <c r="DR949" s="305"/>
      <c r="DS949" s="249"/>
      <c r="DT949" s="216"/>
      <c r="DU949" s="305"/>
      <c r="DV949" s="2520"/>
      <c r="DW949" s="2521"/>
      <c r="DX949" s="305"/>
      <c r="DY949" s="249"/>
      <c r="DZ949" s="221"/>
      <c r="EA949" s="388"/>
      <c r="EB949" s="249"/>
      <c r="EC949" s="216"/>
      <c r="ED949" s="1461"/>
      <c r="EE949" s="249"/>
      <c r="EF949" s="216"/>
      <c r="EG949" s="355"/>
      <c r="EH949" s="1425"/>
      <c r="EI949" s="1470"/>
      <c r="EJ949" s="249"/>
      <c r="EK949" s="221"/>
      <c r="EL949" s="313"/>
      <c r="EM949" s="249"/>
      <c r="EN949" s="221"/>
      <c r="EO949" s="313"/>
      <c r="EP949" s="249"/>
      <c r="EQ949" s="216"/>
      <c r="ER949" s="313"/>
      <c r="ES949" s="249"/>
      <c r="ET949" s="216"/>
      <c r="EU949" s="313"/>
      <c r="EV949" s="249"/>
      <c r="EW949" s="216"/>
      <c r="EX949" s="2505"/>
      <c r="EY949" s="249"/>
      <c r="EZ949" s="221"/>
      <c r="FA949" s="313"/>
      <c r="FB949" s="249"/>
      <c r="FC949" s="221"/>
      <c r="FD949" s="313"/>
      <c r="FE949" s="249"/>
      <c r="FF949" s="221"/>
      <c r="FG949" s="313"/>
      <c r="FH949" s="249"/>
      <c r="FI949" s="216"/>
      <c r="FJ949" s="1435"/>
      <c r="FK949" s="216"/>
      <c r="FL949" s="1268"/>
      <c r="FM949" s="1655"/>
      <c r="FN949" s="1268"/>
      <c r="FO949" s="1655"/>
      <c r="FP949" s="1268"/>
      <c r="FQ949" s="1656"/>
      <c r="FR949" s="249"/>
      <c r="FS949" s="216"/>
      <c r="FT949" s="1657"/>
      <c r="FU949" s="1658"/>
      <c r="FV949" s="242"/>
      <c r="FW949" s="343"/>
      <c r="FX949" s="222"/>
      <c r="FY949" s="336"/>
      <c r="FZ949" s="223"/>
      <c r="GA949" s="338"/>
      <c r="GB949" s="204"/>
      <c r="GC949" s="339"/>
      <c r="GD949" s="342"/>
      <c r="GE949" s="199"/>
      <c r="GF949" s="199"/>
      <c r="GG949" s="199"/>
      <c r="GH949" s="199"/>
      <c r="GI949" s="199"/>
      <c r="GJ949" s="199"/>
      <c r="GK949" s="199"/>
      <c r="GO949" s="322"/>
      <c r="GP949" s="1190"/>
      <c r="GQ949" s="1190"/>
      <c r="GS949" s="2879"/>
      <c r="GT949" s="2880"/>
      <c r="GU949" s="2881"/>
    </row>
    <row r="950" spans="1:203" ht="12" customHeight="1">
      <c r="A950" s="1252"/>
      <c r="B950" s="200"/>
      <c r="C950" s="486"/>
      <c r="T950" s="1186"/>
      <c r="U950" s="233"/>
      <c r="W950" s="218"/>
      <c r="X950" s="218"/>
      <c r="Y950" s="216"/>
      <c r="Z950" s="216"/>
      <c r="AA950" s="215"/>
      <c r="AB950" s="216"/>
      <c r="AC950" s="216"/>
      <c r="AD950" s="239"/>
      <c r="AE950" s="216"/>
      <c r="AF950" s="216"/>
      <c r="AG950" s="216"/>
      <c r="AH950" s="216"/>
      <c r="AI950" s="216"/>
      <c r="AJ950" s="216"/>
      <c r="AK950" s="239"/>
      <c r="AL950" s="216"/>
      <c r="AM950" s="216"/>
      <c r="AN950" s="216"/>
      <c r="AO950" s="216"/>
      <c r="AP950" s="216"/>
      <c r="AQ950" s="216"/>
      <c r="AR950" s="216"/>
      <c r="AS950" s="216"/>
      <c r="AT950" s="216"/>
      <c r="AU950" s="216"/>
      <c r="AV950" s="217"/>
      <c r="AW950" s="355"/>
      <c r="AX950" s="217"/>
      <c r="AY950" s="305"/>
      <c r="AZ950" s="249"/>
      <c r="BA950" s="221"/>
      <c r="BB950" s="300"/>
      <c r="BC950" s="217"/>
      <c r="BD950" s="392"/>
      <c r="BE950" s="1244"/>
      <c r="BF950" s="249"/>
      <c r="BG950" s="252"/>
      <c r="BH950" s="1469"/>
      <c r="BI950" s="216"/>
      <c r="BJ950" s="1469"/>
      <c r="BK950" s="1459"/>
      <c r="BL950" s="260"/>
      <c r="BM950" s="214"/>
      <c r="BN950" s="293"/>
      <c r="BO950" s="217"/>
      <c r="BP950" s="355"/>
      <c r="BQ950" s="217"/>
      <c r="BR950" s="1193"/>
      <c r="BS950" s="249"/>
      <c r="BT950" s="216"/>
      <c r="BU950" s="1195"/>
      <c r="BV950" s="249"/>
      <c r="BW950" s="216"/>
      <c r="BX950" s="1195"/>
      <c r="BY950" s="249"/>
      <c r="BZ950" s="216"/>
      <c r="CA950" s="1195"/>
      <c r="CB950" s="249"/>
      <c r="CC950" s="216"/>
      <c r="CD950" s="1195"/>
      <c r="CE950" s="249"/>
      <c r="CF950" s="216"/>
      <c r="CG950" s="1195"/>
      <c r="CH950" s="249"/>
      <c r="CI950" s="216"/>
      <c r="CJ950" s="1195"/>
      <c r="CK950" s="249"/>
      <c r="CL950" s="216"/>
      <c r="CM950" s="1194"/>
      <c r="CN950" s="1524"/>
      <c r="CO950" s="217"/>
      <c r="CP950" s="1193"/>
      <c r="CQ950" s="293"/>
      <c r="CR950" s="217"/>
      <c r="CS950" s="305"/>
      <c r="CT950" s="249"/>
      <c r="CU950" s="216"/>
      <c r="CV950" s="1193"/>
      <c r="CW950" s="249"/>
      <c r="CX950" s="216"/>
      <c r="CY950" s="305"/>
      <c r="CZ950" s="249"/>
      <c r="DA950" s="216"/>
      <c r="DB950" s="307"/>
      <c r="DC950" s="328"/>
      <c r="DD950" s="322"/>
      <c r="DE950" s="305"/>
      <c r="DF950" s="249"/>
      <c r="DG950" s="216"/>
      <c r="DH950" s="305"/>
      <c r="DI950" s="249"/>
      <c r="DJ950" s="216"/>
      <c r="DK950" s="309"/>
      <c r="DL950" s="293"/>
      <c r="DM950" s="326"/>
      <c r="DN950" s="1256"/>
      <c r="DO950" s="214"/>
      <c r="DP950" s="1257"/>
      <c r="DQ950" s="1258"/>
      <c r="DR950" s="305"/>
      <c r="DS950" s="249"/>
      <c r="DT950" s="216"/>
      <c r="DU950" s="305"/>
      <c r="DV950" s="2520"/>
      <c r="DW950" s="2521"/>
      <c r="DX950" s="305"/>
      <c r="DY950" s="249"/>
      <c r="DZ950" s="221"/>
      <c r="EA950" s="388"/>
      <c r="EB950" s="249"/>
      <c r="EC950" s="216"/>
      <c r="ED950" s="1461"/>
      <c r="EE950" s="249"/>
      <c r="EF950" s="216"/>
      <c r="EG950" s="355"/>
      <c r="EH950" s="1425"/>
      <c r="EI950" s="1470"/>
      <c r="EJ950" s="249"/>
      <c r="EK950" s="221"/>
      <c r="EL950" s="313"/>
      <c r="EM950" s="249"/>
      <c r="EN950" s="221"/>
      <c r="EO950" s="313"/>
      <c r="EP950" s="249"/>
      <c r="EQ950" s="216"/>
      <c r="ER950" s="313"/>
      <c r="ES950" s="249"/>
      <c r="ET950" s="216"/>
      <c r="EU950" s="313"/>
      <c r="EV950" s="249"/>
      <c r="EW950" s="216"/>
      <c r="EX950" s="2505"/>
      <c r="EY950" s="249"/>
      <c r="EZ950" s="221"/>
      <c r="FA950" s="313"/>
      <c r="FB950" s="249"/>
      <c r="FC950" s="221"/>
      <c r="FD950" s="313"/>
      <c r="FE950" s="249"/>
      <c r="FF950" s="221"/>
      <c r="FG950" s="313"/>
      <c r="FH950" s="249"/>
      <c r="FI950" s="216"/>
      <c r="FJ950" s="1435"/>
      <c r="FK950" s="216"/>
      <c r="FL950" s="1268"/>
      <c r="FM950" s="1655"/>
      <c r="FN950" s="1268"/>
      <c r="FO950" s="1655"/>
      <c r="FP950" s="1268"/>
      <c r="FQ950" s="1656"/>
      <c r="FR950" s="249"/>
      <c r="FS950" s="216"/>
      <c r="FT950" s="1657"/>
      <c r="FU950" s="1658"/>
      <c r="FV950" s="242"/>
      <c r="FW950" s="343"/>
      <c r="FX950" s="222"/>
      <c r="FY950" s="336"/>
      <c r="FZ950" s="223"/>
      <c r="GA950" s="338"/>
      <c r="GB950" s="204"/>
      <c r="GC950" s="339"/>
      <c r="GD950" s="342"/>
      <c r="GE950" s="199"/>
      <c r="GF950" s="199"/>
      <c r="GG950" s="199"/>
      <c r="GH950" s="199"/>
      <c r="GI950" s="199"/>
      <c r="GJ950" s="199"/>
      <c r="GK950" s="199"/>
      <c r="GO950" s="322"/>
      <c r="GP950" s="1190"/>
      <c r="GQ950" s="1190"/>
      <c r="GS950" s="2879"/>
      <c r="GT950" s="2880"/>
      <c r="GU950" s="2881"/>
    </row>
    <row r="951" spans="1:203" ht="12" customHeight="1">
      <c r="A951" s="1252"/>
      <c r="B951" s="200"/>
      <c r="C951" s="486"/>
      <c r="T951" s="1186"/>
      <c r="U951" s="233"/>
      <c r="W951" s="218"/>
      <c r="X951" s="218"/>
      <c r="Y951" s="216"/>
      <c r="Z951" s="216"/>
      <c r="AA951" s="215"/>
      <c r="AB951" s="216"/>
      <c r="AC951" s="216"/>
      <c r="AD951" s="239"/>
      <c r="AE951" s="216"/>
      <c r="AF951" s="216"/>
      <c r="AG951" s="216"/>
      <c r="AH951" s="216"/>
      <c r="AI951" s="216"/>
      <c r="AJ951" s="216"/>
      <c r="AK951" s="239"/>
      <c r="AL951" s="216"/>
      <c r="AM951" s="216"/>
      <c r="AN951" s="216"/>
      <c r="AO951" s="216"/>
      <c r="AP951" s="216"/>
      <c r="AQ951" s="216"/>
      <c r="AR951" s="216"/>
      <c r="AS951" s="216"/>
      <c r="AT951" s="216"/>
      <c r="AU951" s="216"/>
      <c r="AV951" s="217"/>
      <c r="AW951" s="355"/>
      <c r="AX951" s="217"/>
      <c r="AY951" s="305"/>
      <c r="AZ951" s="249"/>
      <c r="BA951" s="221"/>
      <c r="BB951" s="300"/>
      <c r="BC951" s="217"/>
      <c r="BD951" s="392"/>
      <c r="BE951" s="1244"/>
      <c r="BF951" s="249"/>
      <c r="BG951" s="252"/>
      <c r="BH951" s="1469"/>
      <c r="BI951" s="216"/>
      <c r="BJ951" s="1469"/>
      <c r="BK951" s="1459"/>
      <c r="BL951" s="260"/>
      <c r="BM951" s="214"/>
      <c r="BN951" s="293"/>
      <c r="BO951" s="217"/>
      <c r="BP951" s="355"/>
      <c r="BQ951" s="217"/>
      <c r="BR951" s="1193"/>
      <c r="BS951" s="249"/>
      <c r="BT951" s="216"/>
      <c r="BU951" s="1195"/>
      <c r="BV951" s="249"/>
      <c r="BW951" s="216"/>
      <c r="BX951" s="1195"/>
      <c r="BY951" s="249"/>
      <c r="BZ951" s="216"/>
      <c r="CA951" s="1195"/>
      <c r="CB951" s="249"/>
      <c r="CC951" s="216"/>
      <c r="CD951" s="1195"/>
      <c r="CE951" s="249"/>
      <c r="CF951" s="216"/>
      <c r="CG951" s="1195"/>
      <c r="CH951" s="249"/>
      <c r="CI951" s="216"/>
      <c r="CJ951" s="1195"/>
      <c r="CK951" s="249"/>
      <c r="CL951" s="216"/>
      <c r="CM951" s="1194"/>
      <c r="CN951" s="1524"/>
      <c r="CO951" s="217"/>
      <c r="CP951" s="1193"/>
      <c r="CQ951" s="293"/>
      <c r="CR951" s="217"/>
      <c r="CS951" s="305"/>
      <c r="CT951" s="249"/>
      <c r="CU951" s="216"/>
      <c r="CV951" s="1193"/>
      <c r="CW951" s="249"/>
      <c r="CX951" s="216"/>
      <c r="CY951" s="305"/>
      <c r="CZ951" s="249"/>
      <c r="DA951" s="216"/>
      <c r="DB951" s="307"/>
      <c r="DC951" s="328"/>
      <c r="DD951" s="322"/>
      <c r="DE951" s="305"/>
      <c r="DF951" s="249"/>
      <c r="DG951" s="216"/>
      <c r="DH951" s="305"/>
      <c r="DI951" s="249"/>
      <c r="DJ951" s="216"/>
      <c r="DK951" s="309"/>
      <c r="DL951" s="293"/>
      <c r="DM951" s="326"/>
      <c r="DN951" s="1256"/>
      <c r="DO951" s="214"/>
      <c r="DP951" s="1257"/>
      <c r="DQ951" s="1258"/>
      <c r="DR951" s="305"/>
      <c r="DS951" s="249"/>
      <c r="DT951" s="216"/>
      <c r="DU951" s="305"/>
      <c r="DV951" s="2520"/>
      <c r="DW951" s="2521"/>
      <c r="DX951" s="305"/>
      <c r="DY951" s="249"/>
      <c r="DZ951" s="221"/>
      <c r="EA951" s="388"/>
      <c r="EB951" s="249"/>
      <c r="EC951" s="216"/>
      <c r="ED951" s="1461"/>
      <c r="EE951" s="249"/>
      <c r="EF951" s="216"/>
      <c r="EG951" s="355"/>
      <c r="EH951" s="1425"/>
      <c r="EI951" s="1470"/>
      <c r="EJ951" s="249"/>
      <c r="EK951" s="221"/>
      <c r="EL951" s="313"/>
      <c r="EM951" s="249"/>
      <c r="EN951" s="221"/>
      <c r="EO951" s="313"/>
      <c r="EP951" s="249"/>
      <c r="EQ951" s="216"/>
      <c r="ER951" s="313"/>
      <c r="ES951" s="249"/>
      <c r="ET951" s="216"/>
      <c r="EU951" s="313"/>
      <c r="EV951" s="249"/>
      <c r="EW951" s="216"/>
      <c r="EX951" s="2505"/>
      <c r="EY951" s="249"/>
      <c r="EZ951" s="221"/>
      <c r="FA951" s="313"/>
      <c r="FB951" s="249"/>
      <c r="FC951" s="221"/>
      <c r="FD951" s="313"/>
      <c r="FE951" s="249"/>
      <c r="FF951" s="221"/>
      <c r="FG951" s="313"/>
      <c r="FH951" s="249"/>
      <c r="FI951" s="216"/>
      <c r="FJ951" s="1435"/>
      <c r="FK951" s="216"/>
      <c r="FL951" s="1268"/>
      <c r="FM951" s="1655"/>
      <c r="FN951" s="1268"/>
      <c r="FO951" s="1655"/>
      <c r="FP951" s="1268"/>
      <c r="FQ951" s="1656"/>
      <c r="FR951" s="249"/>
      <c r="FS951" s="216"/>
      <c r="FT951" s="1657"/>
      <c r="FU951" s="1658"/>
      <c r="FV951" s="242"/>
      <c r="FW951" s="343"/>
      <c r="FX951" s="222"/>
      <c r="FY951" s="336"/>
      <c r="FZ951" s="223"/>
      <c r="GA951" s="338"/>
      <c r="GB951" s="204"/>
      <c r="GC951" s="339"/>
      <c r="GD951" s="342"/>
      <c r="GE951" s="199"/>
      <c r="GF951" s="199"/>
      <c r="GG951" s="199"/>
      <c r="GH951" s="199"/>
      <c r="GI951" s="199"/>
      <c r="GJ951" s="199"/>
      <c r="GK951" s="199"/>
      <c r="GO951" s="322"/>
      <c r="GP951" s="1190"/>
      <c r="GQ951" s="1190"/>
      <c r="GS951" s="2879"/>
      <c r="GT951" s="2880"/>
      <c r="GU951" s="2881"/>
    </row>
    <row r="952" spans="1:203" ht="12" customHeight="1">
      <c r="A952" s="1252"/>
      <c r="B952" s="200"/>
      <c r="C952" s="486"/>
      <c r="T952" s="1186"/>
      <c r="U952" s="233"/>
      <c r="W952" s="218"/>
      <c r="X952" s="218"/>
      <c r="Y952" s="216"/>
      <c r="Z952" s="216"/>
      <c r="AA952" s="215"/>
      <c r="AB952" s="216"/>
      <c r="AC952" s="216"/>
      <c r="AD952" s="239"/>
      <c r="AE952" s="216"/>
      <c r="AF952" s="216"/>
      <c r="AG952" s="216"/>
      <c r="AH952" s="216"/>
      <c r="AI952" s="216"/>
      <c r="AJ952" s="216"/>
      <c r="AK952" s="239"/>
      <c r="AL952" s="216"/>
      <c r="AM952" s="216"/>
      <c r="AN952" s="216"/>
      <c r="AO952" s="216"/>
      <c r="AP952" s="216"/>
      <c r="AQ952" s="216"/>
      <c r="AR952" s="216"/>
      <c r="AS952" s="216"/>
      <c r="AT952" s="216"/>
      <c r="AU952" s="216"/>
      <c r="AV952" s="217"/>
      <c r="AW952" s="355"/>
      <c r="AX952" s="217"/>
      <c r="AY952" s="305"/>
      <c r="AZ952" s="249"/>
      <c r="BA952" s="221"/>
      <c r="BB952" s="300"/>
      <c r="BC952" s="217"/>
      <c r="BD952" s="392"/>
      <c r="BE952" s="1244"/>
      <c r="BF952" s="249"/>
      <c r="BG952" s="252"/>
      <c r="BH952" s="1469"/>
      <c r="BI952" s="216"/>
      <c r="BJ952" s="1469"/>
      <c r="BK952" s="1459"/>
      <c r="BL952" s="260"/>
      <c r="BM952" s="214"/>
      <c r="BN952" s="293"/>
      <c r="BO952" s="217"/>
      <c r="BP952" s="355"/>
      <c r="BQ952" s="217"/>
      <c r="BR952" s="1193"/>
      <c r="BS952" s="249"/>
      <c r="BT952" s="216"/>
      <c r="BU952" s="1195"/>
      <c r="BV952" s="249"/>
      <c r="BW952" s="216"/>
      <c r="BX952" s="1195"/>
      <c r="BY952" s="249"/>
      <c r="BZ952" s="216"/>
      <c r="CA952" s="1195"/>
      <c r="CB952" s="249"/>
      <c r="CC952" s="216"/>
      <c r="CD952" s="1195"/>
      <c r="CE952" s="249"/>
      <c r="CF952" s="216"/>
      <c r="CG952" s="1195"/>
      <c r="CH952" s="249"/>
      <c r="CI952" s="216"/>
      <c r="CJ952" s="1195"/>
      <c r="CK952" s="249"/>
      <c r="CL952" s="216"/>
      <c r="CM952" s="1194"/>
      <c r="CN952" s="1524"/>
      <c r="CO952" s="217"/>
      <c r="CP952" s="1193"/>
      <c r="CQ952" s="293"/>
      <c r="CR952" s="217"/>
      <c r="CS952" s="305"/>
      <c r="CT952" s="249"/>
      <c r="CU952" s="216"/>
      <c r="CV952" s="1193"/>
      <c r="CW952" s="249"/>
      <c r="CX952" s="216"/>
      <c r="CY952" s="305"/>
      <c r="CZ952" s="249"/>
      <c r="DA952" s="216"/>
      <c r="DB952" s="307"/>
      <c r="DC952" s="328"/>
      <c r="DD952" s="322"/>
      <c r="DE952" s="305"/>
      <c r="DF952" s="249"/>
      <c r="DG952" s="216"/>
      <c r="DH952" s="305"/>
      <c r="DI952" s="249"/>
      <c r="DJ952" s="216"/>
      <c r="DK952" s="309"/>
      <c r="DL952" s="293"/>
      <c r="DM952" s="326"/>
      <c r="DN952" s="1256"/>
      <c r="DO952" s="214"/>
      <c r="DP952" s="1257"/>
      <c r="DQ952" s="1258"/>
      <c r="DR952" s="305"/>
      <c r="DS952" s="249"/>
      <c r="DT952" s="216"/>
      <c r="DU952" s="305"/>
      <c r="DV952" s="2520"/>
      <c r="DW952" s="2521"/>
      <c r="DX952" s="305"/>
      <c r="DY952" s="249"/>
      <c r="DZ952" s="221"/>
      <c r="EA952" s="388"/>
      <c r="EB952" s="249"/>
      <c r="EC952" s="216"/>
      <c r="ED952" s="1461"/>
      <c r="EE952" s="249"/>
      <c r="EF952" s="216"/>
      <c r="EG952" s="355"/>
      <c r="EH952" s="1425"/>
      <c r="EI952" s="1470"/>
      <c r="EJ952" s="249"/>
      <c r="EK952" s="221"/>
      <c r="EL952" s="313"/>
      <c r="EM952" s="249"/>
      <c r="EN952" s="221"/>
      <c r="EO952" s="313"/>
      <c r="EP952" s="249"/>
      <c r="EQ952" s="216"/>
      <c r="ER952" s="313"/>
      <c r="ES952" s="249"/>
      <c r="ET952" s="216"/>
      <c r="EU952" s="313"/>
      <c r="EV952" s="249"/>
      <c r="EW952" s="216"/>
      <c r="EX952" s="2505"/>
      <c r="EY952" s="249"/>
      <c r="EZ952" s="221"/>
      <c r="FA952" s="313"/>
      <c r="FB952" s="249"/>
      <c r="FC952" s="221"/>
      <c r="FD952" s="313"/>
      <c r="FE952" s="249"/>
      <c r="FF952" s="221"/>
      <c r="FG952" s="313"/>
      <c r="FH952" s="249"/>
      <c r="FI952" s="216"/>
      <c r="FJ952" s="1435"/>
      <c r="FK952" s="216"/>
      <c r="FL952" s="1268"/>
      <c r="FM952" s="1655"/>
      <c r="FN952" s="1268"/>
      <c r="FO952" s="1655"/>
      <c r="FP952" s="1268"/>
      <c r="FQ952" s="1656"/>
      <c r="FR952" s="249"/>
      <c r="FS952" s="216"/>
      <c r="FT952" s="1657"/>
      <c r="FU952" s="1658"/>
      <c r="FV952" s="242"/>
      <c r="FW952" s="343"/>
      <c r="FX952" s="222"/>
      <c r="FY952" s="336"/>
      <c r="FZ952" s="223"/>
      <c r="GA952" s="338"/>
      <c r="GB952" s="204"/>
      <c r="GC952" s="339"/>
      <c r="GD952" s="342"/>
      <c r="GE952" s="199"/>
      <c r="GF952" s="199"/>
      <c r="GG952" s="199"/>
      <c r="GH952" s="199"/>
      <c r="GI952" s="199"/>
      <c r="GJ952" s="199"/>
      <c r="GK952" s="199"/>
      <c r="GO952" s="322"/>
      <c r="GP952" s="1190"/>
      <c r="GQ952" s="1190"/>
      <c r="GS952" s="2879"/>
      <c r="GT952" s="2880"/>
      <c r="GU952" s="2881"/>
    </row>
    <row r="953" spans="1:203" ht="12" customHeight="1">
      <c r="A953" s="1252"/>
      <c r="B953" s="200"/>
      <c r="C953" s="486"/>
      <c r="T953" s="1186"/>
      <c r="U953" s="233"/>
      <c r="W953" s="218"/>
      <c r="X953" s="218"/>
      <c r="Y953" s="216"/>
      <c r="Z953" s="216"/>
      <c r="AA953" s="215"/>
      <c r="AB953" s="216"/>
      <c r="AC953" s="216"/>
      <c r="AD953" s="239"/>
      <c r="AE953" s="216"/>
      <c r="AF953" s="216"/>
      <c r="AG953" s="216"/>
      <c r="AH953" s="216"/>
      <c r="AI953" s="216"/>
      <c r="AJ953" s="216"/>
      <c r="AK953" s="239"/>
      <c r="AL953" s="216"/>
      <c r="AM953" s="216"/>
      <c r="AN953" s="216"/>
      <c r="AO953" s="216"/>
      <c r="AP953" s="216"/>
      <c r="AQ953" s="216"/>
      <c r="AR953" s="216"/>
      <c r="AS953" s="216"/>
      <c r="AT953" s="216"/>
      <c r="AU953" s="216"/>
      <c r="AV953" s="217"/>
      <c r="AW953" s="355"/>
      <c r="AX953" s="217"/>
      <c r="AY953" s="305"/>
      <c r="AZ953" s="249"/>
      <c r="BA953" s="221"/>
      <c r="BB953" s="300"/>
      <c r="BC953" s="217"/>
      <c r="BD953" s="392"/>
      <c r="BE953" s="1244"/>
      <c r="BF953" s="249"/>
      <c r="BG953" s="252"/>
      <c r="BH953" s="1469"/>
      <c r="BI953" s="216"/>
      <c r="BJ953" s="1469"/>
      <c r="BK953" s="1459"/>
      <c r="BL953" s="260"/>
      <c r="BM953" s="214"/>
      <c r="BN953" s="293"/>
      <c r="BO953" s="217"/>
      <c r="BP953" s="355"/>
      <c r="BQ953" s="217"/>
      <c r="BR953" s="1193"/>
      <c r="BS953" s="249"/>
      <c r="BT953" s="216"/>
      <c r="BU953" s="1195"/>
      <c r="BV953" s="249"/>
      <c r="BW953" s="216"/>
      <c r="BX953" s="1195"/>
      <c r="BY953" s="249"/>
      <c r="BZ953" s="216"/>
      <c r="CA953" s="1195"/>
      <c r="CB953" s="249"/>
      <c r="CC953" s="216"/>
      <c r="CD953" s="1195"/>
      <c r="CE953" s="249"/>
      <c r="CF953" s="216"/>
      <c r="CG953" s="1195"/>
      <c r="CH953" s="249"/>
      <c r="CI953" s="216"/>
      <c r="CJ953" s="1195"/>
      <c r="CK953" s="249"/>
      <c r="CL953" s="216"/>
      <c r="CM953" s="1194"/>
      <c r="CN953" s="1524"/>
      <c r="CO953" s="217"/>
      <c r="CP953" s="1193"/>
      <c r="CQ953" s="293"/>
      <c r="CR953" s="217"/>
      <c r="CS953" s="305"/>
      <c r="CT953" s="249"/>
      <c r="CU953" s="216"/>
      <c r="CV953" s="1193"/>
      <c r="CW953" s="249"/>
      <c r="CX953" s="216"/>
      <c r="CY953" s="305"/>
      <c r="CZ953" s="249"/>
      <c r="DA953" s="216"/>
      <c r="DB953" s="307"/>
      <c r="DC953" s="328"/>
      <c r="DD953" s="322"/>
      <c r="DE953" s="305"/>
      <c r="DF953" s="249"/>
      <c r="DG953" s="216"/>
      <c r="DH953" s="305"/>
      <c r="DI953" s="249"/>
      <c r="DJ953" s="216"/>
      <c r="DK953" s="309"/>
      <c r="DL953" s="293"/>
      <c r="DM953" s="326"/>
      <c r="DN953" s="1256"/>
      <c r="DO953" s="214"/>
      <c r="DP953" s="1257"/>
      <c r="DQ953" s="1258"/>
      <c r="DR953" s="305"/>
      <c r="DS953" s="249"/>
      <c r="DT953" s="216"/>
      <c r="DU953" s="305"/>
      <c r="DV953" s="2520"/>
      <c r="DW953" s="2521"/>
      <c r="DX953" s="305"/>
      <c r="DY953" s="249"/>
      <c r="DZ953" s="221"/>
      <c r="EA953" s="388"/>
      <c r="EB953" s="249"/>
      <c r="EC953" s="216"/>
      <c r="ED953" s="1461"/>
      <c r="EE953" s="249"/>
      <c r="EF953" s="216"/>
      <c r="EG953" s="355"/>
      <c r="EH953" s="1425"/>
      <c r="EI953" s="1470"/>
      <c r="EJ953" s="249"/>
      <c r="EK953" s="221"/>
      <c r="EL953" s="313"/>
      <c r="EM953" s="249"/>
      <c r="EN953" s="221"/>
      <c r="EO953" s="313"/>
      <c r="EP953" s="249"/>
      <c r="EQ953" s="216"/>
      <c r="ER953" s="313"/>
      <c r="ES953" s="249"/>
      <c r="ET953" s="216"/>
      <c r="EU953" s="313"/>
      <c r="EV953" s="249"/>
      <c r="EW953" s="216"/>
      <c r="EX953" s="2505"/>
      <c r="EY953" s="249"/>
      <c r="EZ953" s="221"/>
      <c r="FA953" s="313"/>
      <c r="FB953" s="249"/>
      <c r="FC953" s="221"/>
      <c r="FD953" s="313"/>
      <c r="FE953" s="249"/>
      <c r="FF953" s="221"/>
      <c r="FG953" s="313"/>
      <c r="FH953" s="249"/>
      <c r="FI953" s="216"/>
      <c r="FJ953" s="1435"/>
      <c r="FK953" s="216"/>
      <c r="FL953" s="1268"/>
      <c r="FM953" s="1655"/>
      <c r="FN953" s="1268"/>
      <c r="FO953" s="1655"/>
      <c r="FP953" s="1268"/>
      <c r="FQ953" s="1656"/>
      <c r="FR953" s="249"/>
      <c r="FS953" s="216"/>
      <c r="FT953" s="1657"/>
      <c r="FU953" s="1658"/>
      <c r="FV953" s="242"/>
      <c r="FW953" s="343"/>
      <c r="FX953" s="222"/>
      <c r="FY953" s="336"/>
      <c r="FZ953" s="223"/>
      <c r="GA953" s="338"/>
      <c r="GB953" s="204"/>
      <c r="GC953" s="339"/>
      <c r="GD953" s="342"/>
      <c r="GE953" s="199"/>
      <c r="GF953" s="199"/>
      <c r="GG953" s="199"/>
      <c r="GH953" s="199"/>
      <c r="GI953" s="199"/>
      <c r="GJ953" s="199"/>
      <c r="GK953" s="199"/>
      <c r="GO953" s="322"/>
      <c r="GP953" s="1190"/>
      <c r="GQ953" s="1190"/>
      <c r="GS953" s="2879"/>
      <c r="GT953" s="2880"/>
      <c r="GU953" s="2881"/>
    </row>
    <row r="954" spans="1:203" ht="12" customHeight="1">
      <c r="A954" s="1252"/>
      <c r="B954" s="200"/>
      <c r="C954" s="486"/>
      <c r="T954" s="1186"/>
      <c r="U954" s="233"/>
      <c r="W954" s="218"/>
      <c r="X954" s="218"/>
      <c r="Y954" s="216"/>
      <c r="Z954" s="216"/>
      <c r="AA954" s="215"/>
      <c r="AB954" s="216"/>
      <c r="AC954" s="216"/>
      <c r="AD954" s="239"/>
      <c r="AE954" s="216"/>
      <c r="AF954" s="216"/>
      <c r="AG954" s="216"/>
      <c r="AH954" s="216"/>
      <c r="AI954" s="216"/>
      <c r="AJ954" s="216"/>
      <c r="AK954" s="239"/>
      <c r="AL954" s="216"/>
      <c r="AM954" s="216"/>
      <c r="AN954" s="216"/>
      <c r="AO954" s="216"/>
      <c r="AP954" s="216"/>
      <c r="AQ954" s="216"/>
      <c r="AR954" s="216"/>
      <c r="AS954" s="216"/>
      <c r="AT954" s="216"/>
      <c r="AU954" s="216"/>
      <c r="AV954" s="217"/>
      <c r="AW954" s="355"/>
      <c r="AX954" s="217"/>
      <c r="AY954" s="305"/>
      <c r="AZ954" s="249"/>
      <c r="BA954" s="221"/>
      <c r="BB954" s="300"/>
      <c r="BC954" s="217"/>
      <c r="BD954" s="392"/>
      <c r="BE954" s="1244"/>
      <c r="BF954" s="249"/>
      <c r="BG954" s="252"/>
      <c r="BH954" s="1469"/>
      <c r="BI954" s="216"/>
      <c r="BJ954" s="1469"/>
      <c r="BK954" s="1459"/>
      <c r="BL954" s="260"/>
      <c r="BM954" s="214"/>
      <c r="BN954" s="293"/>
      <c r="BO954" s="217"/>
      <c r="BP954" s="355"/>
      <c r="BQ954" s="217"/>
      <c r="BR954" s="1193"/>
      <c r="BS954" s="249"/>
      <c r="BT954" s="216"/>
      <c r="BU954" s="1195"/>
      <c r="BV954" s="249"/>
      <c r="BW954" s="216"/>
      <c r="BX954" s="1195"/>
      <c r="BY954" s="249"/>
      <c r="BZ954" s="216"/>
      <c r="CA954" s="1195"/>
      <c r="CB954" s="249"/>
      <c r="CC954" s="216"/>
      <c r="CD954" s="1195"/>
      <c r="CE954" s="249"/>
      <c r="CF954" s="216"/>
      <c r="CG954" s="1195"/>
      <c r="CH954" s="249"/>
      <c r="CI954" s="216"/>
      <c r="CJ954" s="1195"/>
      <c r="CK954" s="249"/>
      <c r="CL954" s="216"/>
      <c r="CM954" s="1194"/>
      <c r="CN954" s="1524"/>
      <c r="CO954" s="217"/>
      <c r="CP954" s="1193"/>
      <c r="CQ954" s="293"/>
      <c r="CR954" s="217"/>
      <c r="CS954" s="305"/>
      <c r="CT954" s="249"/>
      <c r="CU954" s="216"/>
      <c r="CV954" s="1193"/>
      <c r="CW954" s="249"/>
      <c r="CX954" s="216"/>
      <c r="CY954" s="305"/>
      <c r="CZ954" s="249"/>
      <c r="DA954" s="216"/>
      <c r="DB954" s="307"/>
      <c r="DC954" s="328"/>
      <c r="DD954" s="322"/>
      <c r="DE954" s="305"/>
      <c r="DF954" s="249"/>
      <c r="DG954" s="216"/>
      <c r="DH954" s="305"/>
      <c r="DI954" s="249"/>
      <c r="DJ954" s="216"/>
      <c r="DK954" s="309"/>
      <c r="DL954" s="293"/>
      <c r="DM954" s="326"/>
      <c r="DN954" s="1256"/>
      <c r="DO954" s="214"/>
      <c r="DP954" s="1257"/>
      <c r="DQ954" s="1258"/>
      <c r="DR954" s="305"/>
      <c r="DS954" s="249"/>
      <c r="DT954" s="216"/>
      <c r="DU954" s="305"/>
      <c r="DV954" s="2520"/>
      <c r="DW954" s="2521"/>
      <c r="DX954" s="305"/>
      <c r="DY954" s="249"/>
      <c r="DZ954" s="221"/>
      <c r="EA954" s="388"/>
      <c r="EB954" s="249"/>
      <c r="EC954" s="216"/>
      <c r="ED954" s="1461"/>
      <c r="EE954" s="249"/>
      <c r="EF954" s="216"/>
      <c r="EG954" s="355"/>
      <c r="EH954" s="1425"/>
      <c r="EI954" s="1470"/>
      <c r="EJ954" s="249"/>
      <c r="EK954" s="221"/>
      <c r="EL954" s="313"/>
      <c r="EM954" s="249"/>
      <c r="EN954" s="221"/>
      <c r="EO954" s="313"/>
      <c r="EP954" s="249"/>
      <c r="EQ954" s="216"/>
      <c r="ER954" s="313"/>
      <c r="ES954" s="249"/>
      <c r="ET954" s="216"/>
      <c r="EU954" s="313"/>
      <c r="EV954" s="249"/>
      <c r="EW954" s="216"/>
      <c r="EX954" s="2505"/>
      <c r="EY954" s="249"/>
      <c r="EZ954" s="221"/>
      <c r="FA954" s="313"/>
      <c r="FB954" s="249"/>
      <c r="FC954" s="221"/>
      <c r="FD954" s="313"/>
      <c r="FE954" s="249"/>
      <c r="FF954" s="221"/>
      <c r="FG954" s="313"/>
      <c r="FH954" s="249"/>
      <c r="FI954" s="216"/>
      <c r="FJ954" s="1435"/>
      <c r="FK954" s="216"/>
      <c r="FL954" s="1268"/>
      <c r="FM954" s="1655"/>
      <c r="FN954" s="1268"/>
      <c r="FO954" s="1655"/>
      <c r="FP954" s="1268"/>
      <c r="FQ954" s="1656"/>
      <c r="FR954" s="249"/>
      <c r="FS954" s="216"/>
      <c r="FT954" s="1657"/>
      <c r="FU954" s="1658"/>
      <c r="FV954" s="242"/>
      <c r="FW954" s="343"/>
      <c r="FX954" s="222"/>
      <c r="FY954" s="336"/>
      <c r="FZ954" s="223"/>
      <c r="GA954" s="338"/>
      <c r="GB954" s="204"/>
      <c r="GC954" s="339"/>
      <c r="GD954" s="342"/>
      <c r="GE954" s="199"/>
      <c r="GF954" s="199"/>
      <c r="GG954" s="199"/>
      <c r="GH954" s="199"/>
      <c r="GI954" s="199"/>
      <c r="GJ954" s="199"/>
      <c r="GK954" s="199"/>
      <c r="GO954" s="322"/>
      <c r="GP954" s="1190"/>
      <c r="GQ954" s="1190"/>
      <c r="GS954" s="2879"/>
      <c r="GT954" s="2880"/>
      <c r="GU954" s="2881"/>
    </row>
    <row r="955" spans="1:203" ht="12" customHeight="1">
      <c r="A955" s="1252"/>
      <c r="B955" s="200"/>
      <c r="C955" s="486"/>
      <c r="T955" s="1186"/>
      <c r="U955" s="233"/>
      <c r="W955" s="218"/>
      <c r="X955" s="218"/>
      <c r="Y955" s="216"/>
      <c r="Z955" s="216"/>
      <c r="AA955" s="215"/>
      <c r="AB955" s="216"/>
      <c r="AC955" s="216"/>
      <c r="AD955" s="239"/>
      <c r="AE955" s="216"/>
      <c r="AF955" s="216"/>
      <c r="AG955" s="216"/>
      <c r="AH955" s="216"/>
      <c r="AI955" s="216"/>
      <c r="AJ955" s="216"/>
      <c r="AK955" s="239"/>
      <c r="AL955" s="216"/>
      <c r="AM955" s="216"/>
      <c r="AN955" s="216"/>
      <c r="AO955" s="216"/>
      <c r="AP955" s="216"/>
      <c r="AQ955" s="216"/>
      <c r="AR955" s="216"/>
      <c r="AS955" s="216"/>
      <c r="AT955" s="216"/>
      <c r="AU955" s="216"/>
      <c r="AV955" s="217"/>
      <c r="AW955" s="355"/>
      <c r="AX955" s="217"/>
      <c r="AY955" s="305"/>
      <c r="AZ955" s="249"/>
      <c r="BA955" s="221"/>
      <c r="BB955" s="300"/>
      <c r="BC955" s="217"/>
      <c r="BD955" s="392"/>
      <c r="BE955" s="1244"/>
      <c r="BF955" s="249"/>
      <c r="BG955" s="252"/>
      <c r="BH955" s="1469"/>
      <c r="BI955" s="216"/>
      <c r="BJ955" s="1469"/>
      <c r="BK955" s="1459"/>
      <c r="BL955" s="260"/>
      <c r="BM955" s="214"/>
      <c r="BN955" s="293"/>
      <c r="BO955" s="217"/>
      <c r="BP955" s="355"/>
      <c r="BQ955" s="217"/>
      <c r="BR955" s="1193"/>
      <c r="BS955" s="249"/>
      <c r="BT955" s="216"/>
      <c r="BU955" s="1195"/>
      <c r="BV955" s="249"/>
      <c r="BW955" s="216"/>
      <c r="BX955" s="1195"/>
      <c r="BY955" s="249"/>
      <c r="BZ955" s="216"/>
      <c r="CA955" s="1195"/>
      <c r="CB955" s="249"/>
      <c r="CC955" s="216"/>
      <c r="CD955" s="1195"/>
      <c r="CE955" s="249"/>
      <c r="CF955" s="216"/>
      <c r="CG955" s="1195"/>
      <c r="CH955" s="249"/>
      <c r="CI955" s="216"/>
      <c r="CJ955" s="1195"/>
      <c r="CK955" s="249"/>
      <c r="CL955" s="216"/>
      <c r="CM955" s="1194"/>
      <c r="CN955" s="1524"/>
      <c r="CO955" s="217"/>
      <c r="CP955" s="1193"/>
      <c r="CQ955" s="293"/>
      <c r="CR955" s="217"/>
      <c r="CS955" s="305"/>
      <c r="CT955" s="249"/>
      <c r="CU955" s="216"/>
      <c r="CV955" s="1193"/>
      <c r="CW955" s="249"/>
      <c r="CX955" s="216"/>
      <c r="CY955" s="305"/>
      <c r="CZ955" s="249"/>
      <c r="DA955" s="216"/>
      <c r="DB955" s="307"/>
      <c r="DC955" s="328"/>
      <c r="DD955" s="322"/>
      <c r="DE955" s="305"/>
      <c r="DF955" s="249"/>
      <c r="DG955" s="216"/>
      <c r="DH955" s="305"/>
      <c r="DI955" s="249"/>
      <c r="DJ955" s="216"/>
      <c r="DK955" s="309"/>
      <c r="DL955" s="293"/>
      <c r="DM955" s="326"/>
      <c r="DN955" s="1256"/>
      <c r="DO955" s="214"/>
      <c r="DP955" s="1257"/>
      <c r="DQ955" s="1258"/>
      <c r="DR955" s="305"/>
      <c r="DS955" s="249"/>
      <c r="DT955" s="216"/>
      <c r="DU955" s="305"/>
      <c r="DV955" s="2520"/>
      <c r="DW955" s="2521"/>
      <c r="DX955" s="305"/>
      <c r="DY955" s="249"/>
      <c r="DZ955" s="221"/>
      <c r="EA955" s="388"/>
      <c r="EB955" s="249"/>
      <c r="EC955" s="216"/>
      <c r="ED955" s="1461"/>
      <c r="EE955" s="249"/>
      <c r="EF955" s="216"/>
      <c r="EG955" s="355"/>
      <c r="EH955" s="1425"/>
      <c r="EI955" s="1470"/>
      <c r="EJ955" s="249"/>
      <c r="EK955" s="221"/>
      <c r="EL955" s="313"/>
      <c r="EM955" s="249"/>
      <c r="EN955" s="221"/>
      <c r="EO955" s="313"/>
      <c r="EP955" s="249"/>
      <c r="EQ955" s="216"/>
      <c r="ER955" s="313"/>
      <c r="ES955" s="249"/>
      <c r="ET955" s="216"/>
      <c r="EU955" s="313"/>
      <c r="EV955" s="249"/>
      <c r="EW955" s="216"/>
      <c r="EX955" s="2505"/>
      <c r="EY955" s="249"/>
      <c r="EZ955" s="221"/>
      <c r="FA955" s="313"/>
      <c r="FB955" s="249"/>
      <c r="FC955" s="221"/>
      <c r="FD955" s="313"/>
      <c r="FE955" s="249"/>
      <c r="FF955" s="221"/>
      <c r="FG955" s="313"/>
      <c r="FH955" s="249"/>
      <c r="FI955" s="216"/>
      <c r="FJ955" s="1435"/>
      <c r="FK955" s="216"/>
      <c r="FL955" s="1268"/>
      <c r="FM955" s="1655"/>
      <c r="FN955" s="1268"/>
      <c r="FO955" s="1655"/>
      <c r="FP955" s="1268"/>
      <c r="FQ955" s="1656"/>
      <c r="FR955" s="249"/>
      <c r="FS955" s="216"/>
      <c r="FT955" s="1657"/>
      <c r="FU955" s="1658"/>
      <c r="FV955" s="242"/>
      <c r="FW955" s="343"/>
      <c r="FX955" s="222"/>
      <c r="FY955" s="336"/>
      <c r="FZ955" s="223"/>
      <c r="GA955" s="338"/>
      <c r="GB955" s="204"/>
      <c r="GC955" s="339"/>
      <c r="GD955" s="342"/>
      <c r="GE955" s="199"/>
      <c r="GF955" s="199"/>
      <c r="GG955" s="199"/>
      <c r="GH955" s="199"/>
      <c r="GI955" s="199"/>
      <c r="GJ955" s="199"/>
      <c r="GK955" s="199"/>
      <c r="GO955" s="322"/>
      <c r="GP955" s="1190"/>
      <c r="GQ955" s="1190"/>
      <c r="GS955" s="2879"/>
      <c r="GT955" s="2880"/>
      <c r="GU955" s="2881"/>
    </row>
    <row r="956" spans="1:203" ht="12" customHeight="1">
      <c r="A956" s="1252"/>
      <c r="B956" s="200"/>
      <c r="C956" s="486"/>
      <c r="T956" s="1186"/>
      <c r="U956" s="233"/>
      <c r="W956" s="218"/>
      <c r="X956" s="218"/>
      <c r="Y956" s="216"/>
      <c r="Z956" s="216"/>
      <c r="AA956" s="215"/>
      <c r="AB956" s="216"/>
      <c r="AC956" s="216"/>
      <c r="AD956" s="239"/>
      <c r="AE956" s="216"/>
      <c r="AF956" s="216"/>
      <c r="AG956" s="216"/>
      <c r="AH956" s="216"/>
      <c r="AI956" s="216"/>
      <c r="AJ956" s="216"/>
      <c r="AK956" s="239"/>
      <c r="AL956" s="216"/>
      <c r="AM956" s="216"/>
      <c r="AN956" s="216"/>
      <c r="AO956" s="216"/>
      <c r="AP956" s="216"/>
      <c r="AQ956" s="216"/>
      <c r="AR956" s="216"/>
      <c r="AS956" s="216"/>
      <c r="AT956" s="216"/>
      <c r="AU956" s="216"/>
      <c r="AV956" s="217"/>
      <c r="AW956" s="355"/>
      <c r="AX956" s="217"/>
      <c r="AY956" s="305"/>
      <c r="AZ956" s="249"/>
      <c r="BA956" s="221"/>
      <c r="BB956" s="300"/>
      <c r="BC956" s="217"/>
      <c r="BD956" s="392"/>
      <c r="BE956" s="1244"/>
      <c r="BF956" s="249"/>
      <c r="BG956" s="252"/>
      <c r="BH956" s="1469"/>
      <c r="BI956" s="216"/>
      <c r="BJ956" s="1469"/>
      <c r="BK956" s="1459"/>
      <c r="BL956" s="260"/>
      <c r="BM956" s="214"/>
      <c r="BN956" s="293"/>
      <c r="BO956" s="217"/>
      <c r="BP956" s="355"/>
      <c r="BQ956" s="217"/>
      <c r="BR956" s="1193"/>
      <c r="BS956" s="249"/>
      <c r="BT956" s="216"/>
      <c r="BU956" s="1195"/>
      <c r="BV956" s="249"/>
      <c r="BW956" s="216"/>
      <c r="BX956" s="1195"/>
      <c r="BY956" s="249"/>
      <c r="BZ956" s="216"/>
      <c r="CA956" s="1195"/>
      <c r="CB956" s="249"/>
      <c r="CC956" s="216"/>
      <c r="CD956" s="1195"/>
      <c r="CE956" s="249"/>
      <c r="CF956" s="216"/>
      <c r="CG956" s="1195"/>
      <c r="CH956" s="249"/>
      <c r="CI956" s="216"/>
      <c r="CJ956" s="1195"/>
      <c r="CK956" s="249"/>
      <c r="CL956" s="216"/>
      <c r="CM956" s="1194"/>
      <c r="CN956" s="1524"/>
      <c r="CO956" s="217"/>
      <c r="CP956" s="1193"/>
      <c r="CQ956" s="293"/>
      <c r="CR956" s="217"/>
      <c r="CS956" s="305"/>
      <c r="CT956" s="249"/>
      <c r="CU956" s="216"/>
      <c r="CV956" s="1193"/>
      <c r="CW956" s="249"/>
      <c r="CX956" s="216"/>
      <c r="CY956" s="305"/>
      <c r="CZ956" s="249"/>
      <c r="DA956" s="216"/>
      <c r="DB956" s="307"/>
      <c r="DC956" s="328"/>
      <c r="DD956" s="322"/>
      <c r="DE956" s="305"/>
      <c r="DF956" s="249"/>
      <c r="DG956" s="216"/>
      <c r="DH956" s="305"/>
      <c r="DI956" s="249"/>
      <c r="DJ956" s="216"/>
      <c r="DK956" s="309"/>
      <c r="DL956" s="293"/>
      <c r="DM956" s="326"/>
      <c r="DN956" s="1256"/>
      <c r="DO956" s="214"/>
      <c r="DP956" s="1257"/>
      <c r="DQ956" s="1258"/>
      <c r="DR956" s="305"/>
      <c r="DS956" s="249"/>
      <c r="DT956" s="216"/>
      <c r="DU956" s="305"/>
      <c r="DV956" s="2520"/>
      <c r="DW956" s="2521"/>
      <c r="DX956" s="305"/>
      <c r="DY956" s="249"/>
      <c r="DZ956" s="221"/>
      <c r="EA956" s="388"/>
      <c r="EB956" s="249"/>
      <c r="EC956" s="216"/>
      <c r="ED956" s="1461"/>
      <c r="EE956" s="249"/>
      <c r="EF956" s="216"/>
      <c r="EG956" s="355"/>
      <c r="EH956" s="1425"/>
      <c r="EI956" s="1470"/>
      <c r="EJ956" s="249"/>
      <c r="EK956" s="221"/>
      <c r="EL956" s="313"/>
      <c r="EM956" s="249"/>
      <c r="EN956" s="221"/>
      <c r="EO956" s="313"/>
      <c r="EP956" s="249"/>
      <c r="EQ956" s="216"/>
      <c r="ER956" s="313"/>
      <c r="ES956" s="249"/>
      <c r="ET956" s="216"/>
      <c r="EU956" s="313"/>
      <c r="EV956" s="249"/>
      <c r="EW956" s="216"/>
      <c r="EX956" s="2505"/>
      <c r="EY956" s="249"/>
      <c r="EZ956" s="221"/>
      <c r="FA956" s="313"/>
      <c r="FB956" s="249"/>
      <c r="FC956" s="221"/>
      <c r="FD956" s="313"/>
      <c r="FE956" s="249"/>
      <c r="FF956" s="221"/>
      <c r="FG956" s="313"/>
      <c r="FH956" s="249"/>
      <c r="FI956" s="216"/>
      <c r="FJ956" s="1435"/>
      <c r="FK956" s="216"/>
      <c r="FL956" s="1268"/>
      <c r="FM956" s="1655"/>
      <c r="FN956" s="1268"/>
      <c r="FO956" s="1655"/>
      <c r="FP956" s="1268"/>
      <c r="FQ956" s="1656"/>
      <c r="FR956" s="249"/>
      <c r="FS956" s="216"/>
      <c r="FT956" s="1657"/>
      <c r="FU956" s="1658"/>
      <c r="FV956" s="242"/>
      <c r="FW956" s="343"/>
      <c r="FX956" s="222"/>
      <c r="FY956" s="336"/>
      <c r="FZ956" s="223"/>
      <c r="GA956" s="338"/>
      <c r="GB956" s="204"/>
      <c r="GC956" s="339"/>
      <c r="GD956" s="342"/>
      <c r="GE956" s="199"/>
      <c r="GF956" s="199"/>
      <c r="GG956" s="199"/>
      <c r="GH956" s="199"/>
      <c r="GI956" s="199"/>
      <c r="GJ956" s="199"/>
      <c r="GK956" s="199"/>
      <c r="GO956" s="322"/>
      <c r="GP956" s="1190"/>
      <c r="GQ956" s="1190"/>
      <c r="GS956" s="2879"/>
      <c r="GT956" s="2880"/>
      <c r="GU956" s="2881"/>
    </row>
    <row r="957" spans="1:203" ht="12" customHeight="1">
      <c r="A957" s="1252"/>
      <c r="B957" s="200"/>
      <c r="C957" s="486"/>
      <c r="T957" s="1186"/>
      <c r="U957" s="233"/>
      <c r="W957" s="218"/>
      <c r="X957" s="218"/>
      <c r="Y957" s="216"/>
      <c r="Z957" s="216"/>
      <c r="AA957" s="215"/>
      <c r="AB957" s="216"/>
      <c r="AC957" s="216"/>
      <c r="AD957" s="239"/>
      <c r="AE957" s="216"/>
      <c r="AF957" s="216"/>
      <c r="AG957" s="216"/>
      <c r="AH957" s="216"/>
      <c r="AI957" s="216"/>
      <c r="AJ957" s="216"/>
      <c r="AK957" s="239"/>
      <c r="AL957" s="216"/>
      <c r="AM957" s="216"/>
      <c r="AN957" s="216"/>
      <c r="AO957" s="216"/>
      <c r="AP957" s="216"/>
      <c r="AQ957" s="216"/>
      <c r="AR957" s="216"/>
      <c r="AS957" s="216"/>
      <c r="AT957" s="216"/>
      <c r="AU957" s="216"/>
      <c r="AV957" s="217"/>
      <c r="AW957" s="355"/>
      <c r="AX957" s="217"/>
      <c r="AY957" s="305"/>
      <c r="AZ957" s="249"/>
      <c r="BA957" s="221"/>
      <c r="BB957" s="300"/>
      <c r="BC957" s="217"/>
      <c r="BD957" s="392"/>
      <c r="BE957" s="1244"/>
      <c r="BF957" s="249"/>
      <c r="BG957" s="252"/>
      <c r="BH957" s="1469"/>
      <c r="BI957" s="216"/>
      <c r="BJ957" s="1469"/>
      <c r="BK957" s="1459"/>
      <c r="BL957" s="260"/>
      <c r="BM957" s="214"/>
      <c r="BN957" s="293"/>
      <c r="BO957" s="217"/>
      <c r="BP957" s="355"/>
      <c r="BQ957" s="217"/>
      <c r="BR957" s="1193"/>
      <c r="BS957" s="249"/>
      <c r="BT957" s="216"/>
      <c r="BU957" s="1195"/>
      <c r="BV957" s="249"/>
      <c r="BW957" s="216"/>
      <c r="BX957" s="1195"/>
      <c r="BY957" s="249"/>
      <c r="BZ957" s="216"/>
      <c r="CA957" s="1195"/>
      <c r="CB957" s="249"/>
      <c r="CC957" s="216"/>
      <c r="CD957" s="1195"/>
      <c r="CE957" s="249"/>
      <c r="CF957" s="216"/>
      <c r="CG957" s="1195"/>
      <c r="CH957" s="249"/>
      <c r="CI957" s="216"/>
      <c r="CJ957" s="1195"/>
      <c r="CK957" s="249"/>
      <c r="CL957" s="216"/>
      <c r="CM957" s="1194"/>
      <c r="CN957" s="1524"/>
      <c r="CO957" s="217"/>
      <c r="CP957" s="1193"/>
      <c r="CQ957" s="293"/>
      <c r="CR957" s="217"/>
      <c r="CS957" s="305"/>
      <c r="CT957" s="249"/>
      <c r="CU957" s="216"/>
      <c r="CV957" s="1193"/>
      <c r="CW957" s="249"/>
      <c r="CX957" s="216"/>
      <c r="CY957" s="305"/>
      <c r="CZ957" s="249"/>
      <c r="DA957" s="216"/>
      <c r="DB957" s="307"/>
      <c r="DC957" s="328"/>
      <c r="DD957" s="322"/>
      <c r="DE957" s="305"/>
      <c r="DF957" s="249"/>
      <c r="DG957" s="216"/>
      <c r="DH957" s="305"/>
      <c r="DI957" s="249"/>
      <c r="DJ957" s="216"/>
      <c r="DK957" s="309"/>
      <c r="DL957" s="293"/>
      <c r="DM957" s="326"/>
      <c r="DN957" s="1256"/>
      <c r="DO957" s="214"/>
      <c r="DP957" s="1257"/>
      <c r="DQ957" s="1258"/>
      <c r="DR957" s="305"/>
      <c r="DS957" s="249"/>
      <c r="DT957" s="216"/>
      <c r="DU957" s="305"/>
      <c r="DV957" s="2520"/>
      <c r="DW957" s="2521"/>
      <c r="DX957" s="305"/>
      <c r="DY957" s="249"/>
      <c r="DZ957" s="221"/>
      <c r="EA957" s="388"/>
      <c r="EB957" s="249"/>
      <c r="EC957" s="216"/>
      <c r="ED957" s="1461"/>
      <c r="EE957" s="249"/>
      <c r="EF957" s="216"/>
      <c r="EG957" s="355"/>
      <c r="EH957" s="1425"/>
      <c r="EI957" s="1470"/>
      <c r="EJ957" s="249"/>
      <c r="EK957" s="221"/>
      <c r="EL957" s="313"/>
      <c r="EM957" s="249"/>
      <c r="EN957" s="221"/>
      <c r="EO957" s="313"/>
      <c r="EP957" s="249"/>
      <c r="EQ957" s="216"/>
      <c r="ER957" s="313"/>
      <c r="ES957" s="249"/>
      <c r="ET957" s="216"/>
      <c r="EU957" s="313"/>
      <c r="EV957" s="249"/>
      <c r="EW957" s="216"/>
      <c r="EX957" s="2505"/>
      <c r="EY957" s="249"/>
      <c r="EZ957" s="221"/>
      <c r="FA957" s="313"/>
      <c r="FB957" s="249"/>
      <c r="FC957" s="221"/>
      <c r="FD957" s="313"/>
      <c r="FE957" s="249"/>
      <c r="FF957" s="221"/>
      <c r="FG957" s="313"/>
      <c r="FH957" s="249"/>
      <c r="FI957" s="216"/>
      <c r="FJ957" s="1435"/>
      <c r="FK957" s="216"/>
      <c r="FL957" s="1268"/>
      <c r="FM957" s="1655"/>
      <c r="FN957" s="1268"/>
      <c r="FO957" s="1655"/>
      <c r="FP957" s="1268"/>
      <c r="FQ957" s="1656"/>
      <c r="FR957" s="249"/>
      <c r="FS957" s="216"/>
      <c r="FT957" s="1657"/>
      <c r="FU957" s="1658"/>
      <c r="FV957" s="242"/>
      <c r="FW957" s="343"/>
      <c r="FX957" s="222"/>
      <c r="FY957" s="336"/>
      <c r="FZ957" s="223"/>
      <c r="GA957" s="338"/>
      <c r="GB957" s="204"/>
      <c r="GC957" s="339"/>
      <c r="GD957" s="342"/>
      <c r="GE957" s="199"/>
      <c r="GF957" s="199"/>
      <c r="GG957" s="199"/>
      <c r="GH957" s="199"/>
      <c r="GI957" s="199"/>
      <c r="GJ957" s="199"/>
      <c r="GK957" s="199"/>
      <c r="GO957" s="322"/>
      <c r="GP957" s="1190"/>
      <c r="GQ957" s="1190"/>
      <c r="GS957" s="2879"/>
      <c r="GT957" s="2880"/>
      <c r="GU957" s="2881"/>
    </row>
    <row r="958" spans="1:203" ht="12" customHeight="1">
      <c r="A958" s="1252"/>
      <c r="B958" s="200"/>
      <c r="C958" s="486"/>
      <c r="T958" s="1186"/>
      <c r="U958" s="233"/>
      <c r="W958" s="218"/>
      <c r="X958" s="218"/>
      <c r="Y958" s="216"/>
      <c r="Z958" s="216"/>
      <c r="AA958" s="215"/>
      <c r="AB958" s="216"/>
      <c r="AC958" s="216"/>
      <c r="AD958" s="239"/>
      <c r="AE958" s="216"/>
      <c r="AF958" s="216"/>
      <c r="AG958" s="216"/>
      <c r="AH958" s="216"/>
      <c r="AI958" s="216"/>
      <c r="AJ958" s="216"/>
      <c r="AK958" s="239"/>
      <c r="AL958" s="216"/>
      <c r="AM958" s="216"/>
      <c r="AN958" s="216"/>
      <c r="AO958" s="216"/>
      <c r="AP958" s="216"/>
      <c r="AQ958" s="216"/>
      <c r="AR958" s="216"/>
      <c r="AS958" s="216"/>
      <c r="AT958" s="216"/>
      <c r="AU958" s="216"/>
      <c r="AV958" s="217"/>
      <c r="AW958" s="355"/>
      <c r="AX958" s="217"/>
      <c r="AY958" s="305"/>
      <c r="AZ958" s="249"/>
      <c r="BA958" s="221"/>
      <c r="BB958" s="300"/>
      <c r="BC958" s="217"/>
      <c r="BD958" s="392"/>
      <c r="BE958" s="1244"/>
      <c r="BF958" s="249"/>
      <c r="BG958" s="252"/>
      <c r="BH958" s="1469"/>
      <c r="BI958" s="216"/>
      <c r="BJ958" s="1469"/>
      <c r="BK958" s="1459"/>
      <c r="BL958" s="260"/>
      <c r="BM958" s="214"/>
      <c r="BN958" s="293"/>
      <c r="BO958" s="217"/>
      <c r="BP958" s="355"/>
      <c r="BQ958" s="217"/>
      <c r="BR958" s="1193"/>
      <c r="BS958" s="249"/>
      <c r="BT958" s="216"/>
      <c r="BU958" s="1195"/>
      <c r="BV958" s="249"/>
      <c r="BW958" s="216"/>
      <c r="BX958" s="1195"/>
      <c r="BY958" s="249"/>
      <c r="BZ958" s="216"/>
      <c r="CA958" s="1195"/>
      <c r="CB958" s="249"/>
      <c r="CC958" s="216"/>
      <c r="CD958" s="1195"/>
      <c r="CE958" s="249"/>
      <c r="CF958" s="216"/>
      <c r="CG958" s="1195"/>
      <c r="CH958" s="249"/>
      <c r="CI958" s="216"/>
      <c r="CJ958" s="1195"/>
      <c r="CK958" s="249"/>
      <c r="CL958" s="216"/>
      <c r="CM958" s="1194"/>
      <c r="CN958" s="1524"/>
      <c r="CO958" s="217"/>
      <c r="CP958" s="1193"/>
      <c r="CQ958" s="293"/>
      <c r="CR958" s="217"/>
      <c r="CS958" s="305"/>
      <c r="CT958" s="249"/>
      <c r="CU958" s="216"/>
      <c r="CV958" s="1193"/>
      <c r="CW958" s="249"/>
      <c r="CX958" s="216"/>
      <c r="CY958" s="305"/>
      <c r="CZ958" s="249"/>
      <c r="DA958" s="216"/>
      <c r="DB958" s="307"/>
      <c r="DC958" s="328"/>
      <c r="DD958" s="322"/>
      <c r="DE958" s="305"/>
      <c r="DF958" s="249"/>
      <c r="DG958" s="216"/>
      <c r="DH958" s="305"/>
      <c r="DI958" s="249"/>
      <c r="DJ958" s="216"/>
      <c r="DK958" s="309"/>
      <c r="DL958" s="293"/>
      <c r="DM958" s="326"/>
      <c r="DN958" s="1256"/>
      <c r="DO958" s="214"/>
      <c r="DP958" s="1257"/>
      <c r="DQ958" s="1258"/>
      <c r="DR958" s="305"/>
      <c r="DS958" s="249"/>
      <c r="DT958" s="216"/>
      <c r="DU958" s="305"/>
      <c r="DV958" s="2520"/>
      <c r="DW958" s="2521"/>
      <c r="DX958" s="305"/>
      <c r="DY958" s="249"/>
      <c r="DZ958" s="221"/>
      <c r="EA958" s="388"/>
      <c r="EB958" s="249"/>
      <c r="EC958" s="216"/>
      <c r="ED958" s="1461"/>
      <c r="EE958" s="249"/>
      <c r="EF958" s="216"/>
      <c r="EG958" s="355"/>
      <c r="EH958" s="1425"/>
      <c r="EI958" s="1470"/>
      <c r="EJ958" s="249"/>
      <c r="EK958" s="221"/>
      <c r="EL958" s="313"/>
      <c r="EM958" s="249"/>
      <c r="EN958" s="221"/>
      <c r="EO958" s="313"/>
      <c r="EP958" s="249"/>
      <c r="EQ958" s="216"/>
      <c r="ER958" s="313"/>
      <c r="ES958" s="249"/>
      <c r="ET958" s="216"/>
      <c r="EU958" s="313"/>
      <c r="EV958" s="249"/>
      <c r="EW958" s="216"/>
      <c r="EX958" s="2505"/>
      <c r="EY958" s="249"/>
      <c r="EZ958" s="221"/>
      <c r="FA958" s="313"/>
      <c r="FB958" s="249"/>
      <c r="FC958" s="221"/>
      <c r="FD958" s="313"/>
      <c r="FE958" s="249"/>
      <c r="FF958" s="221"/>
      <c r="FG958" s="313"/>
      <c r="FH958" s="249"/>
      <c r="FI958" s="216"/>
      <c r="FJ958" s="1435"/>
      <c r="FK958" s="216"/>
      <c r="FL958" s="1268"/>
      <c r="FM958" s="1655"/>
      <c r="FN958" s="1268"/>
      <c r="FO958" s="1655"/>
      <c r="FP958" s="1268"/>
      <c r="FQ958" s="1656"/>
      <c r="FR958" s="249"/>
      <c r="FS958" s="216"/>
      <c r="FT958" s="1657"/>
      <c r="FU958" s="1658"/>
      <c r="FV958" s="242"/>
      <c r="FW958" s="343"/>
      <c r="FX958" s="222"/>
      <c r="FY958" s="336"/>
      <c r="FZ958" s="223"/>
      <c r="GA958" s="338"/>
      <c r="GB958" s="204"/>
      <c r="GC958" s="339"/>
      <c r="GD958" s="342"/>
      <c r="GE958" s="199"/>
      <c r="GF958" s="199"/>
      <c r="GG958" s="199"/>
      <c r="GH958" s="199"/>
      <c r="GI958" s="199"/>
      <c r="GJ958" s="199"/>
      <c r="GK958" s="199"/>
      <c r="GO958" s="322"/>
      <c r="GP958" s="1190"/>
      <c r="GQ958" s="1190"/>
      <c r="GS958" s="2879"/>
      <c r="GT958" s="2880"/>
      <c r="GU958" s="2881"/>
    </row>
    <row r="959" spans="1:203" ht="12" customHeight="1">
      <c r="A959" s="1252"/>
      <c r="B959" s="200"/>
      <c r="C959" s="486"/>
      <c r="T959" s="1186"/>
      <c r="U959" s="233"/>
      <c r="W959" s="218"/>
      <c r="X959" s="218"/>
      <c r="Y959" s="216"/>
      <c r="Z959" s="216"/>
      <c r="AA959" s="215"/>
      <c r="AB959" s="216"/>
      <c r="AC959" s="216"/>
      <c r="AD959" s="239"/>
      <c r="AE959" s="216"/>
      <c r="AF959" s="216"/>
      <c r="AG959" s="216"/>
      <c r="AH959" s="216"/>
      <c r="AI959" s="216"/>
      <c r="AJ959" s="216"/>
      <c r="AK959" s="239"/>
      <c r="AL959" s="216"/>
      <c r="AM959" s="216"/>
      <c r="AN959" s="216"/>
      <c r="AO959" s="216"/>
      <c r="AP959" s="216"/>
      <c r="AQ959" s="216"/>
      <c r="AR959" s="216"/>
      <c r="AS959" s="216"/>
      <c r="AT959" s="216"/>
      <c r="AU959" s="216"/>
      <c r="AV959" s="217"/>
      <c r="AW959" s="355"/>
      <c r="AX959" s="217"/>
      <c r="AY959" s="305"/>
      <c r="AZ959" s="249"/>
      <c r="BA959" s="221"/>
      <c r="BB959" s="300"/>
      <c r="BC959" s="217"/>
      <c r="BD959" s="392"/>
      <c r="BE959" s="1244"/>
      <c r="BF959" s="249"/>
      <c r="BG959" s="252"/>
      <c r="BH959" s="1469"/>
      <c r="BI959" s="216"/>
      <c r="BJ959" s="1469"/>
      <c r="BK959" s="1459"/>
      <c r="BL959" s="260"/>
      <c r="BM959" s="214"/>
      <c r="BN959" s="293"/>
      <c r="BO959" s="217"/>
      <c r="BP959" s="355"/>
      <c r="BQ959" s="217"/>
      <c r="BR959" s="1193"/>
      <c r="BS959" s="249"/>
      <c r="BT959" s="216"/>
      <c r="BU959" s="1195"/>
      <c r="BV959" s="249"/>
      <c r="BW959" s="216"/>
      <c r="BX959" s="1195"/>
      <c r="BY959" s="249"/>
      <c r="BZ959" s="216"/>
      <c r="CA959" s="1195"/>
      <c r="CB959" s="249"/>
      <c r="CC959" s="216"/>
      <c r="CD959" s="1195"/>
      <c r="CE959" s="249"/>
      <c r="CF959" s="216"/>
      <c r="CG959" s="1195"/>
      <c r="CH959" s="249"/>
      <c r="CI959" s="216"/>
      <c r="CJ959" s="1195"/>
      <c r="CK959" s="249"/>
      <c r="CL959" s="216"/>
      <c r="CM959" s="1194"/>
      <c r="CN959" s="1524"/>
      <c r="CO959" s="217"/>
      <c r="CP959" s="1193"/>
      <c r="CQ959" s="293"/>
      <c r="CR959" s="217"/>
      <c r="CS959" s="305"/>
      <c r="CT959" s="249"/>
      <c r="CU959" s="216"/>
      <c r="CV959" s="1193"/>
      <c r="CW959" s="249"/>
      <c r="CX959" s="216"/>
      <c r="CY959" s="305"/>
      <c r="CZ959" s="249"/>
      <c r="DA959" s="216"/>
      <c r="DB959" s="307"/>
      <c r="DC959" s="328"/>
      <c r="DD959" s="322"/>
      <c r="DE959" s="305"/>
      <c r="DF959" s="249"/>
      <c r="DG959" s="216"/>
      <c r="DH959" s="305"/>
      <c r="DI959" s="249"/>
      <c r="DJ959" s="216"/>
      <c r="DK959" s="309"/>
      <c r="DL959" s="293"/>
      <c r="DM959" s="326"/>
      <c r="DN959" s="1256"/>
      <c r="DO959" s="214"/>
      <c r="DP959" s="1257"/>
      <c r="DQ959" s="1258"/>
      <c r="DR959" s="305"/>
      <c r="DS959" s="249"/>
      <c r="DT959" s="216"/>
      <c r="DU959" s="305"/>
      <c r="DV959" s="2520"/>
      <c r="DW959" s="2521"/>
      <c r="DX959" s="305"/>
      <c r="DY959" s="249"/>
      <c r="DZ959" s="221"/>
      <c r="EA959" s="388"/>
      <c r="EB959" s="249"/>
      <c r="EC959" s="216"/>
      <c r="ED959" s="1461"/>
      <c r="EE959" s="249"/>
      <c r="EF959" s="216"/>
      <c r="EG959" s="355"/>
      <c r="EH959" s="1425"/>
      <c r="EI959" s="1470"/>
      <c r="EJ959" s="249"/>
      <c r="EK959" s="221"/>
      <c r="EL959" s="313"/>
      <c r="EM959" s="249"/>
      <c r="EN959" s="221"/>
      <c r="EO959" s="313"/>
      <c r="EP959" s="249"/>
      <c r="EQ959" s="216"/>
      <c r="ER959" s="313"/>
      <c r="ES959" s="249"/>
      <c r="ET959" s="216"/>
      <c r="EU959" s="313"/>
      <c r="EV959" s="249"/>
      <c r="EW959" s="216"/>
      <c r="EX959" s="2505"/>
      <c r="EY959" s="249"/>
      <c r="EZ959" s="221"/>
      <c r="FA959" s="313"/>
      <c r="FB959" s="249"/>
      <c r="FC959" s="221"/>
      <c r="FD959" s="313"/>
      <c r="FE959" s="249"/>
      <c r="FF959" s="221"/>
      <c r="FG959" s="313"/>
      <c r="FH959" s="249"/>
      <c r="FI959" s="216"/>
      <c r="FJ959" s="1435"/>
      <c r="FK959" s="216"/>
      <c r="FL959" s="1268"/>
      <c r="FM959" s="1655"/>
      <c r="FN959" s="1268"/>
      <c r="FO959" s="1655"/>
      <c r="FP959" s="1268"/>
      <c r="FQ959" s="1656"/>
      <c r="FR959" s="249"/>
      <c r="FS959" s="216"/>
      <c r="FT959" s="1657"/>
      <c r="FU959" s="1658"/>
      <c r="FV959" s="242"/>
      <c r="FW959" s="343"/>
      <c r="FX959" s="222"/>
      <c r="FY959" s="336"/>
      <c r="FZ959" s="223"/>
      <c r="GA959" s="338"/>
      <c r="GB959" s="204"/>
      <c r="GC959" s="339"/>
      <c r="GD959" s="342"/>
      <c r="GE959" s="199"/>
      <c r="GF959" s="199"/>
      <c r="GG959" s="199"/>
      <c r="GH959" s="199"/>
      <c r="GI959" s="199"/>
      <c r="GJ959" s="199"/>
      <c r="GK959" s="199"/>
      <c r="GO959" s="322"/>
      <c r="GP959" s="1190"/>
      <c r="GQ959" s="1190"/>
      <c r="GS959" s="2879"/>
      <c r="GT959" s="2880"/>
      <c r="GU959" s="2881"/>
    </row>
    <row r="960" spans="1:203" ht="12" customHeight="1">
      <c r="A960" s="1252"/>
      <c r="B960" s="200"/>
      <c r="C960" s="486"/>
      <c r="T960" s="1186"/>
      <c r="U960" s="233"/>
      <c r="W960" s="218"/>
      <c r="X960" s="218"/>
      <c r="Y960" s="216"/>
      <c r="Z960" s="216"/>
      <c r="AA960" s="215"/>
      <c r="AB960" s="216"/>
      <c r="AC960" s="216"/>
      <c r="AD960" s="239"/>
      <c r="AE960" s="216"/>
      <c r="AF960" s="216"/>
      <c r="AG960" s="216"/>
      <c r="AH960" s="216"/>
      <c r="AI960" s="216"/>
      <c r="AJ960" s="216"/>
      <c r="AK960" s="239"/>
      <c r="AL960" s="216"/>
      <c r="AM960" s="216"/>
      <c r="AN960" s="216"/>
      <c r="AO960" s="216"/>
      <c r="AP960" s="216"/>
      <c r="AQ960" s="216"/>
      <c r="AR960" s="216"/>
      <c r="AS960" s="216"/>
      <c r="AT960" s="216"/>
      <c r="AU960" s="216"/>
      <c r="AV960" s="217"/>
      <c r="AW960" s="355"/>
      <c r="AX960" s="217"/>
      <c r="AY960" s="305"/>
      <c r="AZ960" s="249"/>
      <c r="BA960" s="221"/>
      <c r="BB960" s="300"/>
      <c r="BC960" s="217"/>
      <c r="BD960" s="392"/>
      <c r="BE960" s="1244"/>
      <c r="BF960" s="249"/>
      <c r="BG960" s="252"/>
      <c r="BH960" s="1469"/>
      <c r="BI960" s="216"/>
      <c r="BJ960" s="1469"/>
      <c r="BK960" s="1459"/>
      <c r="BL960" s="260"/>
      <c r="BM960" s="214"/>
      <c r="BN960" s="293"/>
      <c r="BO960" s="217"/>
      <c r="BP960" s="355"/>
      <c r="BQ960" s="217"/>
      <c r="BR960" s="1193"/>
      <c r="BS960" s="249"/>
      <c r="BT960" s="216"/>
      <c r="BU960" s="1195"/>
      <c r="BV960" s="249"/>
      <c r="BW960" s="216"/>
      <c r="BX960" s="1195"/>
      <c r="BY960" s="249"/>
      <c r="BZ960" s="216"/>
      <c r="CA960" s="1195"/>
      <c r="CB960" s="249"/>
      <c r="CC960" s="216"/>
      <c r="CD960" s="1195"/>
      <c r="CE960" s="249"/>
      <c r="CF960" s="216"/>
      <c r="CG960" s="1195"/>
      <c r="CH960" s="249"/>
      <c r="CI960" s="216"/>
      <c r="CJ960" s="1195"/>
      <c r="CK960" s="249"/>
      <c r="CL960" s="216"/>
      <c r="CM960" s="1194"/>
      <c r="CN960" s="1524"/>
      <c r="CO960" s="217"/>
      <c r="CP960" s="1193"/>
      <c r="CQ960" s="293"/>
      <c r="CR960" s="217"/>
      <c r="CS960" s="305"/>
      <c r="CT960" s="249"/>
      <c r="CU960" s="216"/>
      <c r="CV960" s="1193"/>
      <c r="CW960" s="249"/>
      <c r="CX960" s="216"/>
      <c r="CY960" s="305"/>
      <c r="CZ960" s="249"/>
      <c r="DA960" s="216"/>
      <c r="DB960" s="307"/>
      <c r="DC960" s="328"/>
      <c r="DD960" s="322"/>
      <c r="DE960" s="305"/>
      <c r="DF960" s="249"/>
      <c r="DG960" s="216"/>
      <c r="DH960" s="305"/>
      <c r="DI960" s="249"/>
      <c r="DJ960" s="216"/>
      <c r="DK960" s="309"/>
      <c r="DL960" s="293"/>
      <c r="DM960" s="326"/>
      <c r="DN960" s="1256"/>
      <c r="DO960" s="214"/>
      <c r="DP960" s="1257"/>
      <c r="DQ960" s="1258"/>
      <c r="DR960" s="305"/>
      <c r="DS960" s="249"/>
      <c r="DT960" s="216"/>
      <c r="DU960" s="305"/>
      <c r="DV960" s="2520"/>
      <c r="DW960" s="2521"/>
      <c r="DX960" s="305"/>
      <c r="DY960" s="249"/>
      <c r="DZ960" s="221"/>
      <c r="EA960" s="388"/>
      <c r="EB960" s="249"/>
      <c r="EC960" s="216"/>
      <c r="ED960" s="1461"/>
      <c r="EE960" s="249"/>
      <c r="EF960" s="216"/>
      <c r="EG960" s="355"/>
      <c r="EH960" s="1425"/>
      <c r="EI960" s="1470"/>
      <c r="EJ960" s="249"/>
      <c r="EK960" s="221"/>
      <c r="EL960" s="313"/>
      <c r="EM960" s="249"/>
      <c r="EN960" s="221"/>
      <c r="EO960" s="313"/>
      <c r="EP960" s="249"/>
      <c r="EQ960" s="216"/>
      <c r="ER960" s="313"/>
      <c r="ES960" s="249"/>
      <c r="ET960" s="216"/>
      <c r="EU960" s="313"/>
      <c r="EV960" s="249"/>
      <c r="EW960" s="216"/>
      <c r="EX960" s="2505"/>
      <c r="EY960" s="249"/>
      <c r="EZ960" s="221"/>
      <c r="FA960" s="313"/>
      <c r="FB960" s="249"/>
      <c r="FC960" s="221"/>
      <c r="FD960" s="313"/>
      <c r="FE960" s="249"/>
      <c r="FF960" s="221"/>
      <c r="FG960" s="313"/>
      <c r="FH960" s="249"/>
      <c r="FI960" s="216"/>
      <c r="FJ960" s="1435"/>
      <c r="FK960" s="216"/>
      <c r="FL960" s="1268"/>
      <c r="FM960" s="1655"/>
      <c r="FN960" s="1268"/>
      <c r="FO960" s="1655"/>
      <c r="FP960" s="1268"/>
      <c r="FQ960" s="1656"/>
      <c r="FR960" s="249"/>
      <c r="FS960" s="216"/>
      <c r="FT960" s="1657"/>
      <c r="FU960" s="1658"/>
      <c r="FV960" s="242"/>
      <c r="FW960" s="343"/>
      <c r="FX960" s="222"/>
      <c r="FY960" s="336"/>
      <c r="FZ960" s="223"/>
      <c r="GA960" s="338"/>
      <c r="GB960" s="204"/>
      <c r="GC960" s="339"/>
      <c r="GD960" s="342"/>
      <c r="GE960" s="199"/>
      <c r="GF960" s="199"/>
      <c r="GG960" s="199"/>
      <c r="GH960" s="199"/>
      <c r="GI960" s="199"/>
      <c r="GJ960" s="199"/>
      <c r="GK960" s="199"/>
      <c r="GO960" s="322"/>
      <c r="GP960" s="1190"/>
      <c r="GQ960" s="1190"/>
      <c r="GS960" s="2879"/>
      <c r="GT960" s="2880"/>
      <c r="GU960" s="2881"/>
    </row>
    <row r="961" spans="1:203" ht="12" customHeight="1">
      <c r="A961" s="1252"/>
      <c r="B961" s="200"/>
      <c r="C961" s="486"/>
      <c r="T961" s="1186"/>
      <c r="U961" s="233"/>
      <c r="W961" s="218"/>
      <c r="X961" s="218"/>
      <c r="Y961" s="216"/>
      <c r="Z961" s="216"/>
      <c r="AA961" s="215"/>
      <c r="AB961" s="216"/>
      <c r="AC961" s="216"/>
      <c r="AD961" s="239"/>
      <c r="AE961" s="216"/>
      <c r="AF961" s="216"/>
      <c r="AG961" s="216"/>
      <c r="AH961" s="216"/>
      <c r="AI961" s="216"/>
      <c r="AJ961" s="216"/>
      <c r="AK961" s="239"/>
      <c r="AL961" s="216"/>
      <c r="AM961" s="216"/>
      <c r="AN961" s="216"/>
      <c r="AO961" s="216"/>
      <c r="AP961" s="216"/>
      <c r="AQ961" s="216"/>
      <c r="AR961" s="216"/>
      <c r="AS961" s="216"/>
      <c r="AT961" s="216"/>
      <c r="AU961" s="216"/>
      <c r="AV961" s="217"/>
      <c r="AW961" s="355"/>
      <c r="AX961" s="217"/>
      <c r="AY961" s="305"/>
      <c r="AZ961" s="249"/>
      <c r="BA961" s="221"/>
      <c r="BB961" s="300"/>
      <c r="BC961" s="217"/>
      <c r="BD961" s="392"/>
      <c r="BE961" s="1244"/>
      <c r="BF961" s="249"/>
      <c r="BG961" s="252"/>
      <c r="BH961" s="1469"/>
      <c r="BI961" s="216"/>
      <c r="BJ961" s="1469"/>
      <c r="BK961" s="1459"/>
      <c r="BL961" s="260"/>
      <c r="BM961" s="214"/>
      <c r="BN961" s="293"/>
      <c r="BO961" s="217"/>
      <c r="BP961" s="355"/>
      <c r="BQ961" s="217"/>
      <c r="BR961" s="1193"/>
      <c r="BS961" s="249"/>
      <c r="BT961" s="216"/>
      <c r="BU961" s="1195"/>
      <c r="BV961" s="249"/>
      <c r="BW961" s="216"/>
      <c r="BX961" s="1195"/>
      <c r="BY961" s="249"/>
      <c r="BZ961" s="216"/>
      <c r="CA961" s="1195"/>
      <c r="CB961" s="249"/>
      <c r="CC961" s="216"/>
      <c r="CD961" s="1195"/>
      <c r="CE961" s="249"/>
      <c r="CF961" s="216"/>
      <c r="CG961" s="1195"/>
      <c r="CH961" s="249"/>
      <c r="CI961" s="216"/>
      <c r="CJ961" s="1195"/>
      <c r="CK961" s="249"/>
      <c r="CL961" s="216"/>
      <c r="CM961" s="1194"/>
      <c r="CN961" s="1524"/>
      <c r="CO961" s="217"/>
      <c r="CP961" s="1193"/>
      <c r="CQ961" s="293"/>
      <c r="CR961" s="217"/>
      <c r="CS961" s="305"/>
      <c r="CT961" s="249"/>
      <c r="CU961" s="216"/>
      <c r="CV961" s="1193"/>
      <c r="CW961" s="249"/>
      <c r="CX961" s="216"/>
      <c r="CY961" s="305"/>
      <c r="CZ961" s="249"/>
      <c r="DA961" s="216"/>
      <c r="DB961" s="307"/>
      <c r="DC961" s="328"/>
      <c r="DD961" s="322"/>
      <c r="DE961" s="305"/>
      <c r="DF961" s="249"/>
      <c r="DG961" s="216"/>
      <c r="DH961" s="305"/>
      <c r="DI961" s="249"/>
      <c r="DJ961" s="216"/>
      <c r="DK961" s="309"/>
      <c r="DL961" s="293"/>
      <c r="DM961" s="326"/>
      <c r="DN961" s="1256"/>
      <c r="DO961" s="214"/>
      <c r="DP961" s="1257"/>
      <c r="DQ961" s="1258"/>
      <c r="DR961" s="305"/>
      <c r="DS961" s="249"/>
      <c r="DT961" s="216"/>
      <c r="DU961" s="305"/>
      <c r="DV961" s="2520"/>
      <c r="DW961" s="2521"/>
      <c r="DX961" s="305"/>
      <c r="DY961" s="249"/>
      <c r="DZ961" s="221"/>
      <c r="EA961" s="388"/>
      <c r="EB961" s="249"/>
      <c r="EC961" s="216"/>
      <c r="ED961" s="1461"/>
      <c r="EE961" s="249"/>
      <c r="EF961" s="216"/>
      <c r="EG961" s="355"/>
      <c r="EH961" s="1425"/>
      <c r="EI961" s="1470"/>
      <c r="EJ961" s="249"/>
      <c r="EK961" s="221"/>
      <c r="EL961" s="313"/>
      <c r="EM961" s="249"/>
      <c r="EN961" s="221"/>
      <c r="EO961" s="313"/>
      <c r="EP961" s="249"/>
      <c r="EQ961" s="216"/>
      <c r="ER961" s="313"/>
      <c r="ES961" s="249"/>
      <c r="ET961" s="216"/>
      <c r="EU961" s="313"/>
      <c r="EV961" s="249"/>
      <c r="EW961" s="216"/>
      <c r="EX961" s="2505"/>
      <c r="EY961" s="249"/>
      <c r="EZ961" s="221"/>
      <c r="FA961" s="313"/>
      <c r="FB961" s="249"/>
      <c r="FC961" s="221"/>
      <c r="FD961" s="313"/>
      <c r="FE961" s="249"/>
      <c r="FF961" s="221"/>
      <c r="FG961" s="313"/>
      <c r="FH961" s="249"/>
      <c r="FI961" s="216"/>
      <c r="FJ961" s="1435"/>
      <c r="FK961" s="216"/>
      <c r="FL961" s="1268"/>
      <c r="FM961" s="1655"/>
      <c r="FN961" s="1268"/>
      <c r="FO961" s="1655"/>
      <c r="FP961" s="1268"/>
      <c r="FQ961" s="1656"/>
      <c r="FR961" s="249"/>
      <c r="FS961" s="216"/>
      <c r="FT961" s="1657"/>
      <c r="FU961" s="1658"/>
      <c r="FV961" s="242"/>
      <c r="FW961" s="343"/>
      <c r="FX961" s="222"/>
      <c r="FY961" s="336"/>
      <c r="FZ961" s="223"/>
      <c r="GA961" s="338"/>
      <c r="GB961" s="204"/>
      <c r="GC961" s="339"/>
      <c r="GD961" s="342"/>
      <c r="GE961" s="199"/>
      <c r="GF961" s="199"/>
      <c r="GG961" s="199"/>
      <c r="GH961" s="199"/>
      <c r="GI961" s="199"/>
      <c r="GJ961" s="199"/>
      <c r="GK961" s="199"/>
      <c r="GO961" s="322"/>
      <c r="GP961" s="1190"/>
      <c r="GQ961" s="1190"/>
      <c r="GS961" s="2879"/>
      <c r="GT961" s="2880"/>
      <c r="GU961" s="2881"/>
    </row>
    <row r="962" spans="1:203" ht="12" customHeight="1">
      <c r="A962" s="1252"/>
      <c r="B962" s="200"/>
      <c r="C962" s="486"/>
      <c r="T962" s="1186"/>
      <c r="U962" s="233"/>
      <c r="W962" s="218"/>
      <c r="X962" s="218"/>
      <c r="Y962" s="216"/>
      <c r="Z962" s="216"/>
      <c r="AA962" s="215"/>
      <c r="AB962" s="216"/>
      <c r="AC962" s="216"/>
      <c r="AD962" s="239"/>
      <c r="AE962" s="216"/>
      <c r="AF962" s="216"/>
      <c r="AG962" s="216"/>
      <c r="AH962" s="216"/>
      <c r="AI962" s="216"/>
      <c r="AJ962" s="216"/>
      <c r="AK962" s="239"/>
      <c r="AL962" s="216"/>
      <c r="AM962" s="216"/>
      <c r="AN962" s="216"/>
      <c r="AO962" s="216"/>
      <c r="AP962" s="216"/>
      <c r="AQ962" s="216"/>
      <c r="AR962" s="216"/>
      <c r="AS962" s="216"/>
      <c r="AT962" s="216"/>
      <c r="AU962" s="216"/>
      <c r="AV962" s="217"/>
      <c r="AW962" s="355"/>
      <c r="AX962" s="217"/>
      <c r="AY962" s="305"/>
      <c r="AZ962" s="249"/>
      <c r="BA962" s="221"/>
      <c r="BB962" s="300"/>
      <c r="BC962" s="217"/>
      <c r="BD962" s="392"/>
      <c r="BE962" s="1244"/>
      <c r="BF962" s="249"/>
      <c r="BG962" s="252"/>
      <c r="BH962" s="1469"/>
      <c r="BI962" s="216"/>
      <c r="BJ962" s="1469"/>
      <c r="BK962" s="1459"/>
      <c r="BL962" s="260"/>
      <c r="BM962" s="214"/>
      <c r="BN962" s="293"/>
      <c r="BO962" s="217"/>
      <c r="BP962" s="355"/>
      <c r="BQ962" s="217"/>
      <c r="BR962" s="1193"/>
      <c r="BS962" s="249"/>
      <c r="BT962" s="216"/>
      <c r="BU962" s="1195"/>
      <c r="BV962" s="249"/>
      <c r="BW962" s="216"/>
      <c r="BX962" s="1195"/>
      <c r="BY962" s="249"/>
      <c r="BZ962" s="216"/>
      <c r="CA962" s="1195"/>
      <c r="CB962" s="249"/>
      <c r="CC962" s="216"/>
      <c r="CD962" s="1195"/>
      <c r="CE962" s="249"/>
      <c r="CF962" s="216"/>
      <c r="CG962" s="1195"/>
      <c r="CH962" s="249"/>
      <c r="CI962" s="216"/>
      <c r="CJ962" s="1195"/>
      <c r="CK962" s="249"/>
      <c r="CL962" s="216"/>
      <c r="CM962" s="1194"/>
      <c r="CN962" s="1524"/>
      <c r="CO962" s="217"/>
      <c r="CP962" s="1193"/>
      <c r="CQ962" s="293"/>
      <c r="CR962" s="217"/>
      <c r="CS962" s="305"/>
      <c r="CT962" s="249"/>
      <c r="CU962" s="216"/>
      <c r="CV962" s="1193"/>
      <c r="CW962" s="249"/>
      <c r="CX962" s="216"/>
      <c r="CY962" s="305"/>
      <c r="CZ962" s="249"/>
      <c r="DA962" s="216"/>
      <c r="DB962" s="307"/>
      <c r="DC962" s="328"/>
      <c r="DD962" s="322"/>
      <c r="DE962" s="305"/>
      <c r="DF962" s="249"/>
      <c r="DG962" s="216"/>
      <c r="DH962" s="305"/>
      <c r="DI962" s="249"/>
      <c r="DJ962" s="216"/>
      <c r="DK962" s="309"/>
      <c r="DL962" s="293"/>
      <c r="DM962" s="326"/>
      <c r="DN962" s="1256"/>
      <c r="DO962" s="214"/>
      <c r="DP962" s="1257"/>
      <c r="DQ962" s="1258"/>
      <c r="DR962" s="305"/>
      <c r="DS962" s="249"/>
      <c r="DT962" s="216"/>
      <c r="DU962" s="305"/>
      <c r="DV962" s="2520"/>
      <c r="DW962" s="2521"/>
      <c r="DX962" s="305"/>
      <c r="DY962" s="249"/>
      <c r="DZ962" s="221"/>
      <c r="EA962" s="388"/>
      <c r="EB962" s="249"/>
      <c r="EC962" s="216"/>
      <c r="ED962" s="1461"/>
      <c r="EE962" s="249"/>
      <c r="EF962" s="216"/>
      <c r="EG962" s="355"/>
      <c r="EH962" s="1425"/>
      <c r="EI962" s="1470"/>
      <c r="EJ962" s="249"/>
      <c r="EK962" s="221"/>
      <c r="EL962" s="313"/>
      <c r="EM962" s="249"/>
      <c r="EN962" s="221"/>
      <c r="EO962" s="313"/>
      <c r="EP962" s="249"/>
      <c r="EQ962" s="216"/>
      <c r="ER962" s="313"/>
      <c r="ES962" s="249"/>
      <c r="ET962" s="216"/>
      <c r="EU962" s="313"/>
      <c r="EV962" s="249"/>
      <c r="EW962" s="216"/>
      <c r="EX962" s="2505"/>
      <c r="EY962" s="249"/>
      <c r="EZ962" s="221"/>
      <c r="FA962" s="313"/>
      <c r="FB962" s="249"/>
      <c r="FC962" s="221"/>
      <c r="FD962" s="313"/>
      <c r="FE962" s="249"/>
      <c r="FF962" s="221"/>
      <c r="FG962" s="313"/>
      <c r="FH962" s="249"/>
      <c r="FI962" s="216"/>
      <c r="FJ962" s="1435"/>
      <c r="FK962" s="216"/>
      <c r="FL962" s="1268"/>
      <c r="FM962" s="1655"/>
      <c r="FN962" s="1268"/>
      <c r="FO962" s="1655"/>
      <c r="FP962" s="1268"/>
      <c r="FQ962" s="1656"/>
      <c r="FR962" s="249"/>
      <c r="FS962" s="216"/>
      <c r="FT962" s="1657"/>
      <c r="FU962" s="1658"/>
      <c r="FV962" s="242"/>
      <c r="FW962" s="343"/>
      <c r="FX962" s="222"/>
      <c r="FY962" s="336"/>
      <c r="FZ962" s="223"/>
      <c r="GA962" s="338"/>
      <c r="GB962" s="204"/>
      <c r="GC962" s="339"/>
      <c r="GD962" s="342"/>
      <c r="GE962" s="199"/>
      <c r="GF962" s="199"/>
      <c r="GG962" s="199"/>
      <c r="GH962" s="199"/>
      <c r="GI962" s="199"/>
      <c r="GJ962" s="199"/>
      <c r="GK962" s="199"/>
      <c r="GO962" s="322"/>
      <c r="GP962" s="1190"/>
      <c r="GQ962" s="1190"/>
      <c r="GS962" s="2879"/>
      <c r="GT962" s="2880"/>
      <c r="GU962" s="2881"/>
    </row>
    <row r="963" spans="1:203" ht="12" customHeight="1">
      <c r="A963" s="1252"/>
      <c r="B963" s="200"/>
      <c r="C963" s="486"/>
      <c r="T963" s="1186"/>
      <c r="U963" s="233"/>
      <c r="W963" s="218"/>
      <c r="X963" s="218"/>
      <c r="Y963" s="216"/>
      <c r="Z963" s="216"/>
      <c r="AA963" s="215"/>
      <c r="AB963" s="216"/>
      <c r="AC963" s="216"/>
      <c r="AD963" s="239"/>
      <c r="AE963" s="216"/>
      <c r="AF963" s="216"/>
      <c r="AG963" s="216"/>
      <c r="AH963" s="216"/>
      <c r="AI963" s="216"/>
      <c r="AJ963" s="216"/>
      <c r="AK963" s="239"/>
      <c r="AL963" s="216"/>
      <c r="AM963" s="216"/>
      <c r="AN963" s="216"/>
      <c r="AO963" s="216"/>
      <c r="AP963" s="216"/>
      <c r="AQ963" s="216"/>
      <c r="AR963" s="216"/>
      <c r="AS963" s="216"/>
      <c r="AT963" s="216"/>
      <c r="AU963" s="216"/>
      <c r="AV963" s="217"/>
      <c r="AW963" s="355"/>
      <c r="AX963" s="217"/>
      <c r="AY963" s="305"/>
      <c r="AZ963" s="249"/>
      <c r="BA963" s="221"/>
      <c r="BB963" s="300"/>
      <c r="BC963" s="217"/>
      <c r="BD963" s="392"/>
      <c r="BE963" s="1244"/>
      <c r="BF963" s="249"/>
      <c r="BG963" s="252"/>
      <c r="BH963" s="1469"/>
      <c r="BI963" s="216"/>
      <c r="BJ963" s="1469"/>
      <c r="BK963" s="1459"/>
      <c r="BL963" s="260"/>
      <c r="BM963" s="214"/>
      <c r="BN963" s="293"/>
      <c r="BO963" s="217"/>
      <c r="BP963" s="355"/>
      <c r="BQ963" s="217"/>
      <c r="BR963" s="1193"/>
      <c r="BS963" s="249"/>
      <c r="BT963" s="216"/>
      <c r="BU963" s="1195"/>
      <c r="BV963" s="249"/>
      <c r="BW963" s="216"/>
      <c r="BX963" s="1195"/>
      <c r="BY963" s="249"/>
      <c r="BZ963" s="216"/>
      <c r="CA963" s="1195"/>
      <c r="CB963" s="249"/>
      <c r="CC963" s="216"/>
      <c r="CD963" s="1195"/>
      <c r="CE963" s="249"/>
      <c r="CF963" s="216"/>
      <c r="CG963" s="1195"/>
      <c r="CH963" s="249"/>
      <c r="CI963" s="216"/>
      <c r="CJ963" s="1195"/>
      <c r="CK963" s="249"/>
      <c r="CL963" s="216"/>
      <c r="CM963" s="1194"/>
      <c r="CN963" s="1524"/>
      <c r="CO963" s="217"/>
      <c r="CP963" s="1193"/>
      <c r="CQ963" s="293"/>
      <c r="CR963" s="217"/>
      <c r="CS963" s="305"/>
      <c r="CT963" s="249"/>
      <c r="CU963" s="216"/>
      <c r="CV963" s="1193"/>
      <c r="CW963" s="249"/>
      <c r="CX963" s="216"/>
      <c r="CY963" s="305"/>
      <c r="CZ963" s="249"/>
      <c r="DA963" s="216"/>
      <c r="DB963" s="307"/>
      <c r="DC963" s="328"/>
      <c r="DD963" s="322"/>
      <c r="DE963" s="305"/>
      <c r="DF963" s="249"/>
      <c r="DG963" s="216"/>
      <c r="DH963" s="305"/>
      <c r="DI963" s="249"/>
      <c r="DJ963" s="216"/>
      <c r="DK963" s="309"/>
      <c r="DL963" s="293"/>
      <c r="DM963" s="326"/>
      <c r="DN963" s="1256"/>
      <c r="DO963" s="214"/>
      <c r="DP963" s="1257"/>
      <c r="DQ963" s="1258"/>
      <c r="DR963" s="305"/>
      <c r="DS963" s="249"/>
      <c r="DT963" s="216"/>
      <c r="DU963" s="305"/>
      <c r="DV963" s="2520"/>
      <c r="DW963" s="2521"/>
      <c r="DX963" s="305"/>
      <c r="DY963" s="249"/>
      <c r="DZ963" s="221"/>
      <c r="EA963" s="388"/>
      <c r="EB963" s="249"/>
      <c r="EC963" s="216"/>
      <c r="ED963" s="1461"/>
      <c r="EE963" s="249"/>
      <c r="EF963" s="216"/>
      <c r="EG963" s="355"/>
      <c r="EH963" s="1425"/>
      <c r="EI963" s="1470"/>
      <c r="EJ963" s="249"/>
      <c r="EK963" s="221"/>
      <c r="EL963" s="313"/>
      <c r="EM963" s="249"/>
      <c r="EN963" s="221"/>
      <c r="EO963" s="313"/>
      <c r="EP963" s="249"/>
      <c r="EQ963" s="216"/>
      <c r="ER963" s="313"/>
      <c r="ES963" s="249"/>
      <c r="ET963" s="216"/>
      <c r="EU963" s="313"/>
      <c r="EV963" s="249"/>
      <c r="EW963" s="216"/>
      <c r="EX963" s="2505"/>
      <c r="EY963" s="249"/>
      <c r="EZ963" s="221"/>
      <c r="FA963" s="313"/>
      <c r="FB963" s="249"/>
      <c r="FC963" s="221"/>
      <c r="FD963" s="313"/>
      <c r="FE963" s="249"/>
      <c r="FF963" s="221"/>
      <c r="FG963" s="313"/>
      <c r="FH963" s="249"/>
      <c r="FI963" s="216"/>
      <c r="FJ963" s="1435"/>
      <c r="FK963" s="216"/>
      <c r="FL963" s="1268"/>
      <c r="FM963" s="1655"/>
      <c r="FN963" s="1268"/>
      <c r="FO963" s="1655"/>
      <c r="FP963" s="1268"/>
      <c r="FQ963" s="1656"/>
      <c r="FR963" s="249"/>
      <c r="FS963" s="216"/>
      <c r="FT963" s="1657"/>
      <c r="FU963" s="1658"/>
      <c r="FV963" s="242"/>
      <c r="FW963" s="343"/>
      <c r="FX963" s="222"/>
      <c r="FY963" s="336"/>
      <c r="FZ963" s="223"/>
      <c r="GA963" s="338"/>
      <c r="GB963" s="204"/>
      <c r="GC963" s="339"/>
      <c r="GD963" s="342"/>
      <c r="GE963" s="199"/>
      <c r="GF963" s="199"/>
      <c r="GG963" s="199"/>
      <c r="GH963" s="199"/>
      <c r="GI963" s="199"/>
      <c r="GJ963" s="199"/>
      <c r="GK963" s="199"/>
      <c r="GO963" s="322"/>
      <c r="GP963" s="1190"/>
      <c r="GQ963" s="1190"/>
      <c r="GS963" s="2879"/>
      <c r="GT963" s="2880"/>
      <c r="GU963" s="2881"/>
    </row>
    <row r="964" spans="1:203" ht="12" customHeight="1">
      <c r="A964" s="1252"/>
      <c r="B964" s="200"/>
      <c r="C964" s="486"/>
      <c r="T964" s="1186"/>
      <c r="U964" s="233"/>
      <c r="W964" s="218"/>
      <c r="X964" s="218"/>
      <c r="Y964" s="216"/>
      <c r="Z964" s="216"/>
      <c r="AA964" s="215"/>
      <c r="AB964" s="216"/>
      <c r="AC964" s="216"/>
      <c r="AD964" s="239"/>
      <c r="AE964" s="216"/>
      <c r="AF964" s="216"/>
      <c r="AG964" s="216"/>
      <c r="AH964" s="216"/>
      <c r="AI964" s="216"/>
      <c r="AJ964" s="216"/>
      <c r="AK964" s="239"/>
      <c r="AL964" s="216"/>
      <c r="AM964" s="216"/>
      <c r="AN964" s="216"/>
      <c r="AO964" s="216"/>
      <c r="AP964" s="216"/>
      <c r="AQ964" s="216"/>
      <c r="AR964" s="216"/>
      <c r="AS964" s="216"/>
      <c r="AT964" s="216"/>
      <c r="AU964" s="216"/>
      <c r="AV964" s="217"/>
      <c r="AW964" s="355"/>
      <c r="AX964" s="217"/>
      <c r="AY964" s="305"/>
      <c r="AZ964" s="249"/>
      <c r="BA964" s="221"/>
      <c r="BB964" s="300"/>
      <c r="BC964" s="217"/>
      <c r="BD964" s="392"/>
      <c r="BE964" s="1244"/>
      <c r="BF964" s="249"/>
      <c r="BG964" s="252"/>
      <c r="BH964" s="1469"/>
      <c r="BI964" s="216"/>
      <c r="BJ964" s="1469"/>
      <c r="BK964" s="1459"/>
      <c r="BL964" s="260"/>
      <c r="BM964" s="214"/>
      <c r="BN964" s="293"/>
      <c r="BO964" s="217"/>
      <c r="BP964" s="355"/>
      <c r="BQ964" s="217"/>
      <c r="BR964" s="1193"/>
      <c r="BS964" s="249"/>
      <c r="BT964" s="216"/>
      <c r="BU964" s="1195"/>
      <c r="BV964" s="249"/>
      <c r="BW964" s="216"/>
      <c r="BX964" s="1195"/>
      <c r="BY964" s="249"/>
      <c r="BZ964" s="216"/>
      <c r="CA964" s="1195"/>
      <c r="CB964" s="249"/>
      <c r="CC964" s="216"/>
      <c r="CD964" s="1195"/>
      <c r="CE964" s="249"/>
      <c r="CF964" s="216"/>
      <c r="CG964" s="1195"/>
      <c r="CH964" s="249"/>
      <c r="CI964" s="216"/>
      <c r="CJ964" s="1195"/>
      <c r="CK964" s="249"/>
      <c r="CL964" s="216"/>
      <c r="CM964" s="1194"/>
      <c r="CN964" s="1524"/>
      <c r="CO964" s="217"/>
      <c r="CP964" s="1193"/>
      <c r="CQ964" s="293"/>
      <c r="CR964" s="217"/>
      <c r="CS964" s="305"/>
      <c r="CT964" s="249"/>
      <c r="CU964" s="216"/>
      <c r="CV964" s="1193"/>
      <c r="CW964" s="249"/>
      <c r="CX964" s="216"/>
      <c r="CY964" s="305"/>
      <c r="CZ964" s="249"/>
      <c r="DA964" s="216"/>
      <c r="DB964" s="307"/>
      <c r="DC964" s="328"/>
      <c r="DD964" s="322"/>
      <c r="DE964" s="305"/>
      <c r="DF964" s="249"/>
      <c r="DG964" s="216"/>
      <c r="DH964" s="305"/>
      <c r="DI964" s="249"/>
      <c r="DJ964" s="216"/>
      <c r="DK964" s="309"/>
      <c r="DL964" s="293"/>
      <c r="DM964" s="326"/>
      <c r="DN964" s="1256"/>
      <c r="DO964" s="214"/>
      <c r="DP964" s="1257"/>
      <c r="DQ964" s="1258"/>
      <c r="DR964" s="305"/>
      <c r="DS964" s="249"/>
      <c r="DT964" s="216"/>
      <c r="DU964" s="305"/>
      <c r="DV964" s="2520"/>
      <c r="DW964" s="2521"/>
      <c r="DX964" s="305"/>
      <c r="DY964" s="249"/>
      <c r="DZ964" s="221"/>
      <c r="EA964" s="388"/>
      <c r="EB964" s="249"/>
      <c r="EC964" s="216"/>
      <c r="ED964" s="1461"/>
      <c r="EE964" s="249"/>
      <c r="EF964" s="216"/>
      <c r="EG964" s="355"/>
      <c r="EH964" s="1425"/>
      <c r="EI964" s="1470"/>
      <c r="EJ964" s="249"/>
      <c r="EK964" s="221"/>
      <c r="EL964" s="313"/>
      <c r="EM964" s="249"/>
      <c r="EN964" s="221"/>
      <c r="EO964" s="313"/>
      <c r="EP964" s="249"/>
      <c r="EQ964" s="216"/>
      <c r="ER964" s="313"/>
      <c r="ES964" s="249"/>
      <c r="ET964" s="216"/>
      <c r="EU964" s="313"/>
      <c r="EV964" s="249"/>
      <c r="EW964" s="216"/>
      <c r="EX964" s="2505"/>
      <c r="EY964" s="249"/>
      <c r="EZ964" s="221"/>
      <c r="FA964" s="313"/>
      <c r="FB964" s="249"/>
      <c r="FC964" s="221"/>
      <c r="FD964" s="313"/>
      <c r="FE964" s="249"/>
      <c r="FF964" s="221"/>
      <c r="FG964" s="313"/>
      <c r="FH964" s="249"/>
      <c r="FI964" s="216"/>
      <c r="FJ964" s="1435"/>
      <c r="FK964" s="216"/>
      <c r="FL964" s="1268"/>
      <c r="FM964" s="1655"/>
      <c r="FN964" s="1268"/>
      <c r="FO964" s="1655"/>
      <c r="FP964" s="1268"/>
      <c r="FQ964" s="1656"/>
      <c r="FR964" s="249"/>
      <c r="FS964" s="216"/>
      <c r="FT964" s="1657"/>
      <c r="FU964" s="1658"/>
      <c r="FV964" s="242"/>
      <c r="FW964" s="343"/>
      <c r="FX964" s="222"/>
      <c r="FY964" s="336"/>
      <c r="FZ964" s="223"/>
      <c r="GA964" s="338"/>
      <c r="GB964" s="204"/>
      <c r="GC964" s="339"/>
      <c r="GD964" s="342"/>
      <c r="GE964" s="199"/>
      <c r="GF964" s="199"/>
      <c r="GG964" s="199"/>
      <c r="GH964" s="199"/>
      <c r="GI964" s="199"/>
      <c r="GJ964" s="199"/>
      <c r="GK964" s="199"/>
      <c r="GO964" s="322"/>
      <c r="GP964" s="1190"/>
      <c r="GQ964" s="1190"/>
      <c r="GS964" s="2879"/>
      <c r="GT964" s="2880"/>
      <c r="GU964" s="2881"/>
    </row>
    <row r="965" spans="1:203" ht="12" customHeight="1">
      <c r="A965" s="1252"/>
      <c r="B965" s="200"/>
      <c r="C965" s="486"/>
      <c r="T965" s="1186"/>
      <c r="U965" s="233"/>
      <c r="W965" s="218"/>
      <c r="X965" s="218"/>
      <c r="Y965" s="216"/>
      <c r="Z965" s="216"/>
      <c r="AA965" s="215"/>
      <c r="AB965" s="216"/>
      <c r="AC965" s="216"/>
      <c r="AD965" s="239"/>
      <c r="AE965" s="216"/>
      <c r="AF965" s="216"/>
      <c r="AG965" s="216"/>
      <c r="AH965" s="216"/>
      <c r="AI965" s="216"/>
      <c r="AJ965" s="216"/>
      <c r="AK965" s="239"/>
      <c r="AL965" s="216"/>
      <c r="AM965" s="216"/>
      <c r="AN965" s="216"/>
      <c r="AO965" s="216"/>
      <c r="AP965" s="216"/>
      <c r="AQ965" s="216"/>
      <c r="AR965" s="216"/>
      <c r="AS965" s="216"/>
      <c r="AT965" s="216"/>
      <c r="AU965" s="216"/>
      <c r="AV965" s="217"/>
      <c r="AW965" s="355"/>
      <c r="AX965" s="217"/>
      <c r="AY965" s="305"/>
      <c r="AZ965" s="249"/>
      <c r="BA965" s="221"/>
      <c r="BB965" s="300"/>
      <c r="BC965" s="217"/>
      <c r="BD965" s="392"/>
      <c r="BE965" s="1244"/>
      <c r="BF965" s="249"/>
      <c r="BG965" s="252"/>
      <c r="BH965" s="1469"/>
      <c r="BI965" s="216"/>
      <c r="BJ965" s="1469"/>
      <c r="BK965" s="1459"/>
      <c r="BL965" s="260"/>
      <c r="BM965" s="214"/>
      <c r="BN965" s="293"/>
      <c r="BO965" s="217"/>
      <c r="BP965" s="355"/>
      <c r="BQ965" s="217"/>
      <c r="BR965" s="1193"/>
      <c r="BS965" s="249"/>
      <c r="BT965" s="216"/>
      <c r="BU965" s="1195"/>
      <c r="BV965" s="249"/>
      <c r="BW965" s="216"/>
      <c r="BX965" s="1195"/>
      <c r="BY965" s="249"/>
      <c r="BZ965" s="216"/>
      <c r="CA965" s="1195"/>
      <c r="CB965" s="249"/>
      <c r="CC965" s="216"/>
      <c r="CD965" s="1195"/>
      <c r="CE965" s="249"/>
      <c r="CF965" s="216"/>
      <c r="CG965" s="1195"/>
      <c r="CH965" s="249"/>
      <c r="CI965" s="216"/>
      <c r="CJ965" s="1195"/>
      <c r="CK965" s="249"/>
      <c r="CL965" s="216"/>
      <c r="CM965" s="1194"/>
      <c r="CN965" s="1524"/>
      <c r="CO965" s="217"/>
      <c r="CP965" s="1193"/>
      <c r="CQ965" s="293"/>
      <c r="CR965" s="217"/>
      <c r="CS965" s="305"/>
      <c r="CT965" s="249"/>
      <c r="CU965" s="216"/>
      <c r="CV965" s="1193"/>
      <c r="CW965" s="249"/>
      <c r="CX965" s="216"/>
      <c r="CY965" s="305"/>
      <c r="CZ965" s="249"/>
      <c r="DA965" s="216"/>
      <c r="DB965" s="307"/>
      <c r="DC965" s="328"/>
      <c r="DD965" s="322"/>
      <c r="DE965" s="305"/>
      <c r="DF965" s="249"/>
      <c r="DG965" s="216"/>
      <c r="DH965" s="305"/>
      <c r="DI965" s="249"/>
      <c r="DJ965" s="216"/>
      <c r="DK965" s="309"/>
      <c r="DL965" s="293"/>
      <c r="DM965" s="326"/>
      <c r="DN965" s="1256"/>
      <c r="DO965" s="214"/>
      <c r="DP965" s="1257"/>
      <c r="DQ965" s="1258"/>
      <c r="DR965" s="305"/>
      <c r="DS965" s="249"/>
      <c r="DT965" s="216"/>
      <c r="DU965" s="305"/>
      <c r="DV965" s="2520"/>
      <c r="DW965" s="2521"/>
      <c r="DX965" s="305"/>
      <c r="DY965" s="249"/>
      <c r="DZ965" s="221"/>
      <c r="EA965" s="388"/>
      <c r="EB965" s="249"/>
      <c r="EC965" s="216"/>
      <c r="ED965" s="1461"/>
      <c r="EE965" s="249"/>
      <c r="EF965" s="216"/>
      <c r="EG965" s="355"/>
      <c r="EH965" s="1425"/>
      <c r="EI965" s="1470"/>
      <c r="EJ965" s="249"/>
      <c r="EK965" s="221"/>
      <c r="EL965" s="313"/>
      <c r="EM965" s="249"/>
      <c r="EN965" s="221"/>
      <c r="EO965" s="313"/>
      <c r="EP965" s="249"/>
      <c r="EQ965" s="216"/>
      <c r="ER965" s="313"/>
      <c r="ES965" s="249"/>
      <c r="ET965" s="216"/>
      <c r="EU965" s="313"/>
      <c r="EV965" s="249"/>
      <c r="EW965" s="216"/>
      <c r="EX965" s="2505"/>
      <c r="EY965" s="249"/>
      <c r="EZ965" s="221"/>
      <c r="FA965" s="313"/>
      <c r="FB965" s="249"/>
      <c r="FC965" s="221"/>
      <c r="FD965" s="313"/>
      <c r="FE965" s="249"/>
      <c r="FF965" s="221"/>
      <c r="FG965" s="313"/>
      <c r="FH965" s="249"/>
      <c r="FI965" s="216"/>
      <c r="FJ965" s="1435"/>
      <c r="FK965" s="216"/>
      <c r="FL965" s="1268"/>
      <c r="FM965" s="1655"/>
      <c r="FN965" s="1268"/>
      <c r="FO965" s="1655"/>
      <c r="FP965" s="1268"/>
      <c r="FQ965" s="1656"/>
      <c r="FR965" s="249"/>
      <c r="FS965" s="216"/>
      <c r="FT965" s="1657"/>
      <c r="FU965" s="1658"/>
      <c r="FV965" s="242"/>
      <c r="FW965" s="343"/>
      <c r="FX965" s="222"/>
      <c r="FY965" s="336"/>
      <c r="FZ965" s="223"/>
      <c r="GA965" s="338"/>
      <c r="GB965" s="204"/>
      <c r="GC965" s="339"/>
      <c r="GD965" s="342"/>
      <c r="GE965" s="199"/>
      <c r="GF965" s="199"/>
      <c r="GG965" s="199"/>
      <c r="GH965" s="199"/>
      <c r="GI965" s="199"/>
      <c r="GJ965" s="199"/>
      <c r="GK965" s="199"/>
      <c r="GO965" s="322"/>
      <c r="GP965" s="1190"/>
      <c r="GQ965" s="1190"/>
      <c r="GS965" s="2879"/>
      <c r="GT965" s="2880"/>
      <c r="GU965" s="2881"/>
    </row>
    <row r="966" spans="1:203" ht="12" customHeight="1">
      <c r="A966" s="1252"/>
      <c r="B966" s="200"/>
      <c r="C966" s="486"/>
      <c r="T966" s="1186"/>
      <c r="U966" s="233"/>
      <c r="W966" s="218"/>
      <c r="X966" s="218"/>
      <c r="Y966" s="216"/>
      <c r="Z966" s="216"/>
      <c r="AA966" s="215"/>
      <c r="AB966" s="216"/>
      <c r="AC966" s="216"/>
      <c r="AD966" s="239"/>
      <c r="AE966" s="216"/>
      <c r="AF966" s="216"/>
      <c r="AG966" s="216"/>
      <c r="AH966" s="216"/>
      <c r="AI966" s="216"/>
      <c r="AJ966" s="216"/>
      <c r="AK966" s="239"/>
      <c r="AL966" s="216"/>
      <c r="AM966" s="216"/>
      <c r="AN966" s="216"/>
      <c r="AO966" s="216"/>
      <c r="AP966" s="216"/>
      <c r="AQ966" s="216"/>
      <c r="AR966" s="216"/>
      <c r="AS966" s="216"/>
      <c r="AT966" s="216"/>
      <c r="AU966" s="216"/>
      <c r="AV966" s="217"/>
      <c r="AW966" s="355"/>
      <c r="AX966" s="217"/>
      <c r="AY966" s="305"/>
      <c r="AZ966" s="249"/>
      <c r="BA966" s="221"/>
      <c r="BB966" s="300"/>
      <c r="BC966" s="217"/>
      <c r="BD966" s="392"/>
      <c r="BE966" s="1244"/>
      <c r="BF966" s="249"/>
      <c r="BG966" s="252"/>
      <c r="BH966" s="1469"/>
      <c r="BI966" s="216"/>
      <c r="BJ966" s="1469"/>
      <c r="BK966" s="1459"/>
      <c r="BL966" s="260"/>
      <c r="BM966" s="214"/>
      <c r="BN966" s="293"/>
      <c r="BO966" s="217"/>
      <c r="BP966" s="355"/>
      <c r="BQ966" s="217"/>
      <c r="BR966" s="1193"/>
      <c r="BS966" s="249"/>
      <c r="BT966" s="216"/>
      <c r="BU966" s="1195"/>
      <c r="BV966" s="249"/>
      <c r="BW966" s="216"/>
      <c r="BX966" s="1195"/>
      <c r="BY966" s="249"/>
      <c r="BZ966" s="216"/>
      <c r="CA966" s="1195"/>
      <c r="CB966" s="249"/>
      <c r="CC966" s="216"/>
      <c r="CD966" s="1195"/>
      <c r="CE966" s="249"/>
      <c r="CF966" s="216"/>
      <c r="CG966" s="1195"/>
      <c r="CH966" s="249"/>
      <c r="CI966" s="216"/>
      <c r="CJ966" s="1195"/>
      <c r="CK966" s="249"/>
      <c r="CL966" s="216"/>
      <c r="CM966" s="1194"/>
      <c r="CN966" s="1524"/>
      <c r="CO966" s="217"/>
      <c r="CP966" s="1193"/>
      <c r="CQ966" s="293"/>
      <c r="CR966" s="217"/>
      <c r="CS966" s="305"/>
      <c r="CT966" s="249"/>
      <c r="CU966" s="216"/>
      <c r="CV966" s="1193"/>
      <c r="CW966" s="249"/>
      <c r="CX966" s="216"/>
      <c r="CY966" s="305"/>
      <c r="CZ966" s="249"/>
      <c r="DA966" s="216"/>
      <c r="DB966" s="307"/>
      <c r="DC966" s="328"/>
      <c r="DD966" s="322"/>
      <c r="DE966" s="305"/>
      <c r="DF966" s="249"/>
      <c r="DG966" s="216"/>
      <c r="DH966" s="305"/>
      <c r="DI966" s="249"/>
      <c r="DJ966" s="216"/>
      <c r="DK966" s="309"/>
      <c r="DL966" s="293"/>
      <c r="DM966" s="326"/>
      <c r="DN966" s="1256"/>
      <c r="DO966" s="214"/>
      <c r="DP966" s="1257"/>
      <c r="DQ966" s="1258"/>
      <c r="DR966" s="305"/>
      <c r="DS966" s="249"/>
      <c r="DT966" s="216"/>
      <c r="DU966" s="305"/>
      <c r="DV966" s="2520"/>
      <c r="DW966" s="2521"/>
      <c r="DX966" s="305"/>
      <c r="DY966" s="249"/>
      <c r="DZ966" s="221"/>
      <c r="EA966" s="388"/>
      <c r="EB966" s="249"/>
      <c r="EC966" s="216"/>
      <c r="ED966" s="1461"/>
      <c r="EE966" s="249"/>
      <c r="EF966" s="216"/>
      <c r="EG966" s="355"/>
      <c r="EH966" s="1425"/>
      <c r="EI966" s="1470"/>
      <c r="EJ966" s="249"/>
      <c r="EK966" s="221"/>
      <c r="EL966" s="313"/>
      <c r="EM966" s="249"/>
      <c r="EN966" s="221"/>
      <c r="EO966" s="313"/>
      <c r="EP966" s="249"/>
      <c r="EQ966" s="216"/>
      <c r="ER966" s="313"/>
      <c r="ES966" s="249"/>
      <c r="ET966" s="216"/>
      <c r="EU966" s="313"/>
      <c r="EV966" s="249"/>
      <c r="EW966" s="216"/>
      <c r="EX966" s="2505"/>
      <c r="EY966" s="249"/>
      <c r="EZ966" s="221"/>
      <c r="FA966" s="313"/>
      <c r="FB966" s="249"/>
      <c r="FC966" s="221"/>
      <c r="FD966" s="313"/>
      <c r="FE966" s="249"/>
      <c r="FF966" s="221"/>
      <c r="FG966" s="313"/>
      <c r="FH966" s="249"/>
      <c r="FI966" s="216"/>
      <c r="FJ966" s="1435"/>
      <c r="FK966" s="216"/>
      <c r="FL966" s="1268"/>
      <c r="FM966" s="1655"/>
      <c r="FN966" s="1268"/>
      <c r="FO966" s="1655"/>
      <c r="FP966" s="1268"/>
      <c r="FQ966" s="1656"/>
      <c r="FR966" s="249"/>
      <c r="FS966" s="216"/>
      <c r="FT966" s="1657"/>
      <c r="FU966" s="1658"/>
      <c r="FV966" s="242"/>
      <c r="FW966" s="343"/>
      <c r="FX966" s="222"/>
      <c r="FY966" s="336"/>
      <c r="FZ966" s="223"/>
      <c r="GA966" s="338"/>
      <c r="GB966" s="204"/>
      <c r="GC966" s="339"/>
      <c r="GD966" s="342"/>
      <c r="GE966" s="199"/>
      <c r="GF966" s="199"/>
      <c r="GG966" s="199"/>
      <c r="GH966" s="199"/>
      <c r="GI966" s="199"/>
      <c r="GJ966" s="199"/>
      <c r="GK966" s="199"/>
      <c r="GO966" s="322"/>
      <c r="GP966" s="1190"/>
      <c r="GQ966" s="1190"/>
      <c r="GS966" s="2879"/>
      <c r="GT966" s="2880"/>
      <c r="GU966" s="2881"/>
    </row>
    <row r="967" spans="1:203" ht="12" customHeight="1">
      <c r="A967" s="1252"/>
      <c r="B967" s="200"/>
      <c r="C967" s="486"/>
      <c r="T967" s="1186"/>
      <c r="U967" s="233"/>
      <c r="W967" s="218"/>
      <c r="X967" s="218"/>
      <c r="Y967" s="216"/>
      <c r="Z967" s="216"/>
      <c r="AA967" s="215"/>
      <c r="AB967" s="216"/>
      <c r="AC967" s="216"/>
      <c r="AD967" s="239"/>
      <c r="AE967" s="216"/>
      <c r="AF967" s="216"/>
      <c r="AG967" s="216"/>
      <c r="AH967" s="216"/>
      <c r="AI967" s="216"/>
      <c r="AJ967" s="216"/>
      <c r="AK967" s="239"/>
      <c r="AL967" s="216"/>
      <c r="AM967" s="216"/>
      <c r="AN967" s="216"/>
      <c r="AO967" s="216"/>
      <c r="AP967" s="216"/>
      <c r="AQ967" s="216"/>
      <c r="AR967" s="216"/>
      <c r="AS967" s="216"/>
      <c r="AT967" s="216"/>
      <c r="AU967" s="216"/>
      <c r="AV967" s="217"/>
      <c r="AW967" s="355"/>
      <c r="AX967" s="217"/>
      <c r="AY967" s="305"/>
      <c r="AZ967" s="249"/>
      <c r="BA967" s="221"/>
      <c r="BB967" s="300"/>
      <c r="BC967" s="217"/>
      <c r="BD967" s="392"/>
      <c r="BE967" s="1244"/>
      <c r="BF967" s="249"/>
      <c r="BG967" s="252"/>
      <c r="BH967" s="1469"/>
      <c r="BI967" s="216"/>
      <c r="BJ967" s="1469"/>
      <c r="BK967" s="1459"/>
      <c r="BL967" s="260"/>
      <c r="BM967" s="214"/>
      <c r="BN967" s="293"/>
      <c r="BO967" s="217"/>
      <c r="BP967" s="355"/>
      <c r="BQ967" s="217"/>
      <c r="BR967" s="1193"/>
      <c r="BS967" s="249"/>
      <c r="BT967" s="216"/>
      <c r="BU967" s="1195"/>
      <c r="BV967" s="249"/>
      <c r="BW967" s="216"/>
      <c r="BX967" s="1195"/>
      <c r="BY967" s="249"/>
      <c r="BZ967" s="216"/>
      <c r="CA967" s="1195"/>
      <c r="CB967" s="249"/>
      <c r="CC967" s="216"/>
      <c r="CD967" s="1195"/>
      <c r="CE967" s="249"/>
      <c r="CF967" s="216"/>
      <c r="CG967" s="1195"/>
      <c r="CH967" s="249"/>
      <c r="CI967" s="216"/>
      <c r="CJ967" s="1195"/>
      <c r="CK967" s="249"/>
      <c r="CL967" s="216"/>
      <c r="CM967" s="1194"/>
      <c r="CN967" s="1524"/>
      <c r="CO967" s="217"/>
      <c r="CP967" s="1193"/>
      <c r="CQ967" s="293"/>
      <c r="CR967" s="217"/>
      <c r="CS967" s="305"/>
      <c r="CT967" s="249"/>
      <c r="CU967" s="216"/>
      <c r="CV967" s="1193"/>
      <c r="CW967" s="249"/>
      <c r="CX967" s="216"/>
      <c r="CY967" s="305"/>
      <c r="CZ967" s="249"/>
      <c r="DA967" s="216"/>
      <c r="DB967" s="307"/>
      <c r="DC967" s="328"/>
      <c r="DD967" s="322"/>
      <c r="DE967" s="305"/>
      <c r="DF967" s="249"/>
      <c r="DG967" s="216"/>
      <c r="DH967" s="305"/>
      <c r="DI967" s="249"/>
      <c r="DJ967" s="216"/>
      <c r="DK967" s="309"/>
      <c r="DL967" s="293"/>
      <c r="DM967" s="326"/>
      <c r="DN967" s="1256"/>
      <c r="DO967" s="214"/>
      <c r="DP967" s="1257"/>
      <c r="DQ967" s="1258"/>
      <c r="DR967" s="305"/>
      <c r="DS967" s="249"/>
      <c r="DT967" s="216"/>
      <c r="DU967" s="305"/>
      <c r="DV967" s="2520"/>
      <c r="DW967" s="2521"/>
      <c r="DX967" s="305"/>
      <c r="DY967" s="249"/>
      <c r="DZ967" s="221"/>
      <c r="EA967" s="388"/>
      <c r="EB967" s="249"/>
      <c r="EC967" s="216"/>
      <c r="ED967" s="1461"/>
      <c r="EE967" s="249"/>
      <c r="EF967" s="216"/>
      <c r="EG967" s="355"/>
      <c r="EH967" s="1425"/>
      <c r="EI967" s="1470"/>
      <c r="EJ967" s="249"/>
      <c r="EK967" s="221"/>
      <c r="EL967" s="313"/>
      <c r="EM967" s="249"/>
      <c r="EN967" s="221"/>
      <c r="EO967" s="313"/>
      <c r="EP967" s="249"/>
      <c r="EQ967" s="216"/>
      <c r="ER967" s="313"/>
      <c r="ES967" s="249"/>
      <c r="ET967" s="216"/>
      <c r="EU967" s="313"/>
      <c r="EV967" s="249"/>
      <c r="EW967" s="216"/>
      <c r="EX967" s="2505"/>
      <c r="EY967" s="249"/>
      <c r="EZ967" s="221"/>
      <c r="FA967" s="313"/>
      <c r="FB967" s="249"/>
      <c r="FC967" s="221"/>
      <c r="FD967" s="313"/>
      <c r="FE967" s="249"/>
      <c r="FF967" s="221"/>
      <c r="FG967" s="313"/>
      <c r="FH967" s="249"/>
      <c r="FI967" s="216"/>
      <c r="FJ967" s="1435"/>
      <c r="FK967" s="216"/>
      <c r="FL967" s="1268"/>
      <c r="FM967" s="1655"/>
      <c r="FN967" s="1268"/>
      <c r="FO967" s="1655"/>
      <c r="FP967" s="1268"/>
      <c r="FQ967" s="1656"/>
      <c r="FR967" s="249"/>
      <c r="FS967" s="216"/>
      <c r="FT967" s="1657"/>
      <c r="FU967" s="1658"/>
      <c r="FV967" s="242"/>
      <c r="FW967" s="343"/>
      <c r="FX967" s="222"/>
      <c r="FY967" s="336"/>
      <c r="FZ967" s="223"/>
      <c r="GA967" s="338"/>
      <c r="GB967" s="204"/>
      <c r="GC967" s="339"/>
      <c r="GD967" s="342"/>
      <c r="GE967" s="199"/>
      <c r="GF967" s="199"/>
      <c r="GG967" s="199"/>
      <c r="GH967" s="199"/>
      <c r="GI967" s="199"/>
      <c r="GJ967" s="199"/>
      <c r="GK967" s="199"/>
      <c r="GO967" s="322"/>
      <c r="GP967" s="1190"/>
      <c r="GQ967" s="1190"/>
      <c r="GS967" s="2879"/>
      <c r="GT967" s="2880"/>
      <c r="GU967" s="2881"/>
    </row>
    <row r="968" spans="1:203" ht="12" customHeight="1">
      <c r="A968" s="1252"/>
      <c r="B968" s="200"/>
      <c r="C968" s="486"/>
      <c r="T968" s="1186"/>
      <c r="U968" s="233"/>
      <c r="W968" s="218"/>
      <c r="X968" s="218"/>
      <c r="Y968" s="216"/>
      <c r="Z968" s="216"/>
      <c r="AA968" s="215"/>
      <c r="AB968" s="216"/>
      <c r="AC968" s="216"/>
      <c r="AD968" s="239"/>
      <c r="AE968" s="216"/>
      <c r="AF968" s="216"/>
      <c r="AG968" s="216"/>
      <c r="AH968" s="216"/>
      <c r="AI968" s="216"/>
      <c r="AJ968" s="216"/>
      <c r="AK968" s="239"/>
      <c r="AL968" s="216"/>
      <c r="AM968" s="216"/>
      <c r="AN968" s="216"/>
      <c r="AO968" s="216"/>
      <c r="AP968" s="216"/>
      <c r="AQ968" s="216"/>
      <c r="AR968" s="216"/>
      <c r="AS968" s="216"/>
      <c r="AT968" s="216"/>
      <c r="AU968" s="216"/>
      <c r="AV968" s="217"/>
      <c r="AW968" s="355"/>
      <c r="AX968" s="217"/>
      <c r="AY968" s="305"/>
      <c r="AZ968" s="249"/>
      <c r="BA968" s="221"/>
      <c r="BB968" s="300"/>
      <c r="BC968" s="217"/>
      <c r="BD968" s="392"/>
      <c r="BE968" s="1244"/>
      <c r="BF968" s="249"/>
      <c r="BG968" s="252"/>
      <c r="BH968" s="1469"/>
      <c r="BI968" s="216"/>
      <c r="BJ968" s="1469"/>
      <c r="BK968" s="1459"/>
      <c r="BL968" s="260"/>
      <c r="BM968" s="214"/>
      <c r="BN968" s="293"/>
      <c r="BO968" s="217"/>
      <c r="BP968" s="355"/>
      <c r="BQ968" s="217"/>
      <c r="BR968" s="1193"/>
      <c r="BS968" s="249"/>
      <c r="BT968" s="216"/>
      <c r="BU968" s="1195"/>
      <c r="BV968" s="249"/>
      <c r="BW968" s="216"/>
      <c r="BX968" s="1195"/>
      <c r="BY968" s="249"/>
      <c r="BZ968" s="216"/>
      <c r="CA968" s="1195"/>
      <c r="CB968" s="249"/>
      <c r="CC968" s="216"/>
      <c r="CD968" s="1195"/>
      <c r="CE968" s="249"/>
      <c r="CF968" s="216"/>
      <c r="CG968" s="1195"/>
      <c r="CH968" s="249"/>
      <c r="CI968" s="216"/>
      <c r="CJ968" s="1195"/>
      <c r="CK968" s="249"/>
      <c r="CL968" s="216"/>
      <c r="CM968" s="1194"/>
      <c r="CN968" s="1524"/>
      <c r="CO968" s="217"/>
      <c r="CP968" s="1193"/>
      <c r="CQ968" s="293"/>
      <c r="CR968" s="217"/>
      <c r="CS968" s="305"/>
      <c r="CT968" s="249"/>
      <c r="CU968" s="216"/>
      <c r="CV968" s="1193"/>
      <c r="CW968" s="249"/>
      <c r="CX968" s="216"/>
      <c r="CY968" s="305"/>
      <c r="CZ968" s="249"/>
      <c r="DA968" s="216"/>
      <c r="DB968" s="307"/>
      <c r="DC968" s="328"/>
      <c r="DD968" s="322"/>
      <c r="DE968" s="305"/>
      <c r="DF968" s="249"/>
      <c r="DG968" s="216"/>
      <c r="DH968" s="305"/>
      <c r="DI968" s="249"/>
      <c r="DJ968" s="216"/>
      <c r="DK968" s="309"/>
      <c r="DL968" s="293"/>
      <c r="DM968" s="326"/>
      <c r="DN968" s="1256"/>
      <c r="DO968" s="214"/>
      <c r="DP968" s="1257"/>
      <c r="DQ968" s="1258"/>
      <c r="DR968" s="305"/>
      <c r="DS968" s="249"/>
      <c r="DT968" s="216"/>
      <c r="DU968" s="305"/>
      <c r="DV968" s="2520"/>
      <c r="DW968" s="2521"/>
      <c r="DX968" s="305"/>
      <c r="DY968" s="249"/>
      <c r="DZ968" s="221"/>
      <c r="EA968" s="388"/>
      <c r="EB968" s="249"/>
      <c r="EC968" s="216"/>
      <c r="ED968" s="1461"/>
      <c r="EE968" s="249"/>
      <c r="EF968" s="216"/>
      <c r="EG968" s="355"/>
      <c r="EH968" s="1425"/>
      <c r="EI968" s="1470"/>
      <c r="EJ968" s="249"/>
      <c r="EK968" s="221"/>
      <c r="EL968" s="313"/>
      <c r="EM968" s="249"/>
      <c r="EN968" s="221"/>
      <c r="EO968" s="313"/>
      <c r="EP968" s="249"/>
      <c r="EQ968" s="216"/>
      <c r="ER968" s="313"/>
      <c r="ES968" s="249"/>
      <c r="ET968" s="216"/>
      <c r="EU968" s="313"/>
      <c r="EV968" s="249"/>
      <c r="EW968" s="216"/>
      <c r="EX968" s="2505"/>
      <c r="EY968" s="249"/>
      <c r="EZ968" s="221"/>
      <c r="FA968" s="313"/>
      <c r="FB968" s="249"/>
      <c r="FC968" s="221"/>
      <c r="FD968" s="313"/>
      <c r="FE968" s="249"/>
      <c r="FF968" s="221"/>
      <c r="FG968" s="313"/>
      <c r="FH968" s="249"/>
      <c r="FI968" s="216"/>
      <c r="FJ968" s="1435"/>
      <c r="FK968" s="216"/>
      <c r="FL968" s="1268"/>
      <c r="FM968" s="1655"/>
      <c r="FN968" s="1268"/>
      <c r="FO968" s="1655"/>
      <c r="FP968" s="1268"/>
      <c r="FQ968" s="1656"/>
      <c r="FR968" s="249"/>
      <c r="FS968" s="216"/>
      <c r="FT968" s="1657"/>
      <c r="FU968" s="1658"/>
      <c r="FV968" s="242"/>
      <c r="FW968" s="343"/>
      <c r="FX968" s="222"/>
      <c r="FY968" s="336"/>
      <c r="FZ968" s="223"/>
      <c r="GA968" s="338"/>
      <c r="GB968" s="204"/>
      <c r="GC968" s="339"/>
      <c r="GD968" s="342"/>
      <c r="GE968" s="199"/>
      <c r="GF968" s="199"/>
      <c r="GG968" s="199"/>
      <c r="GH968" s="199"/>
      <c r="GI968" s="199"/>
      <c r="GJ968" s="199"/>
      <c r="GK968" s="199"/>
      <c r="GO968" s="322"/>
      <c r="GP968" s="1190"/>
      <c r="GQ968" s="1190"/>
      <c r="GS968" s="2879"/>
      <c r="GT968" s="2880"/>
      <c r="GU968" s="2881"/>
    </row>
    <row r="969" spans="1:203" ht="12" customHeight="1">
      <c r="A969" s="1252"/>
      <c r="B969" s="200"/>
      <c r="C969" s="486"/>
      <c r="T969" s="1186"/>
      <c r="U969" s="233"/>
      <c r="W969" s="218"/>
      <c r="X969" s="218"/>
      <c r="Y969" s="216"/>
      <c r="Z969" s="216"/>
      <c r="AA969" s="215"/>
      <c r="AB969" s="216"/>
      <c r="AC969" s="216"/>
      <c r="AD969" s="239"/>
      <c r="AE969" s="216"/>
      <c r="AF969" s="216"/>
      <c r="AG969" s="216"/>
      <c r="AH969" s="216"/>
      <c r="AI969" s="216"/>
      <c r="AJ969" s="216"/>
      <c r="AK969" s="239"/>
      <c r="AL969" s="216"/>
      <c r="AM969" s="216"/>
      <c r="AN969" s="216"/>
      <c r="AO969" s="216"/>
      <c r="AP969" s="216"/>
      <c r="AQ969" s="216"/>
      <c r="AR969" s="216"/>
      <c r="AS969" s="216"/>
      <c r="AT969" s="216"/>
      <c r="AU969" s="216"/>
      <c r="AV969" s="217"/>
      <c r="AW969" s="355"/>
      <c r="AX969" s="217"/>
      <c r="AY969" s="305"/>
      <c r="AZ969" s="249"/>
      <c r="BA969" s="221"/>
      <c r="BB969" s="300"/>
      <c r="BC969" s="217"/>
      <c r="BD969" s="392"/>
      <c r="BE969" s="1244"/>
      <c r="BF969" s="249"/>
      <c r="BG969" s="252"/>
      <c r="BH969" s="1469"/>
      <c r="BI969" s="216"/>
      <c r="BJ969" s="1469"/>
      <c r="BK969" s="1459"/>
      <c r="BL969" s="260"/>
      <c r="BM969" s="214"/>
      <c r="BN969" s="293"/>
      <c r="BO969" s="217"/>
      <c r="BP969" s="355"/>
      <c r="BQ969" s="217"/>
      <c r="BR969" s="1193"/>
      <c r="BS969" s="249"/>
      <c r="BT969" s="216"/>
      <c r="BU969" s="1195"/>
      <c r="BV969" s="249"/>
      <c r="BW969" s="216"/>
      <c r="BX969" s="1195"/>
      <c r="BY969" s="249"/>
      <c r="BZ969" s="216"/>
      <c r="CA969" s="1195"/>
      <c r="CB969" s="249"/>
      <c r="CC969" s="216"/>
      <c r="CD969" s="1195"/>
      <c r="CE969" s="249"/>
      <c r="CF969" s="216"/>
      <c r="CG969" s="1195"/>
      <c r="CH969" s="249"/>
      <c r="CI969" s="216"/>
      <c r="CJ969" s="1195"/>
      <c r="CK969" s="249"/>
      <c r="CL969" s="216"/>
      <c r="CM969" s="1194"/>
      <c r="CN969" s="1524"/>
      <c r="CO969" s="217"/>
      <c r="CP969" s="1193"/>
      <c r="CQ969" s="293"/>
      <c r="CR969" s="217"/>
      <c r="CS969" s="305"/>
      <c r="CT969" s="249"/>
      <c r="CU969" s="216"/>
      <c r="CV969" s="1193"/>
      <c r="CW969" s="249"/>
      <c r="CX969" s="216"/>
      <c r="CY969" s="305"/>
      <c r="CZ969" s="249"/>
      <c r="DA969" s="216"/>
      <c r="DB969" s="307"/>
      <c r="DC969" s="328"/>
      <c r="DD969" s="322"/>
      <c r="DE969" s="305"/>
      <c r="DF969" s="249"/>
      <c r="DG969" s="216"/>
      <c r="DH969" s="305"/>
      <c r="DI969" s="249"/>
      <c r="DJ969" s="216"/>
      <c r="DK969" s="309"/>
      <c r="DL969" s="293"/>
      <c r="DM969" s="326"/>
      <c r="DN969" s="1256"/>
      <c r="DO969" s="214"/>
      <c r="DP969" s="1257"/>
      <c r="DQ969" s="1258"/>
      <c r="DR969" s="305"/>
      <c r="DS969" s="249"/>
      <c r="DT969" s="216"/>
      <c r="DU969" s="305"/>
      <c r="DV969" s="2520"/>
      <c r="DW969" s="2521"/>
      <c r="DX969" s="305"/>
      <c r="DY969" s="249"/>
      <c r="DZ969" s="221"/>
      <c r="EA969" s="388"/>
      <c r="EB969" s="249"/>
      <c r="EC969" s="216"/>
      <c r="ED969" s="1461"/>
      <c r="EE969" s="249"/>
      <c r="EF969" s="216"/>
      <c r="EG969" s="355"/>
      <c r="EH969" s="1425"/>
      <c r="EI969" s="1470"/>
      <c r="EJ969" s="249"/>
      <c r="EK969" s="221"/>
      <c r="EL969" s="313"/>
      <c r="EM969" s="249"/>
      <c r="EN969" s="221"/>
      <c r="EO969" s="313"/>
      <c r="EP969" s="249"/>
      <c r="EQ969" s="216"/>
      <c r="ER969" s="313"/>
      <c r="ES969" s="249"/>
      <c r="ET969" s="216"/>
      <c r="EU969" s="313"/>
      <c r="EV969" s="249"/>
      <c r="EW969" s="216"/>
      <c r="EX969" s="2505"/>
      <c r="EY969" s="249"/>
      <c r="EZ969" s="221"/>
      <c r="FA969" s="313"/>
      <c r="FB969" s="249"/>
      <c r="FC969" s="221"/>
      <c r="FD969" s="313"/>
      <c r="FE969" s="249"/>
      <c r="FF969" s="221"/>
      <c r="FG969" s="313"/>
      <c r="FH969" s="249"/>
      <c r="FI969" s="216"/>
      <c r="FJ969" s="1435"/>
      <c r="FK969" s="216"/>
      <c r="FL969" s="1268"/>
      <c r="FM969" s="1655"/>
      <c r="FN969" s="1268"/>
      <c r="FO969" s="1655"/>
      <c r="FP969" s="1268"/>
      <c r="FQ969" s="1656"/>
      <c r="FR969" s="249"/>
      <c r="FS969" s="216"/>
      <c r="FT969" s="1657"/>
      <c r="FU969" s="1658"/>
      <c r="FV969" s="242"/>
      <c r="FW969" s="343"/>
      <c r="FX969" s="222"/>
      <c r="FY969" s="336"/>
      <c r="FZ969" s="223"/>
      <c r="GA969" s="338"/>
      <c r="GB969" s="204"/>
      <c r="GC969" s="339"/>
      <c r="GD969" s="342"/>
      <c r="GE969" s="199"/>
      <c r="GF969" s="199"/>
      <c r="GG969" s="199"/>
      <c r="GH969" s="199"/>
      <c r="GI969" s="199"/>
      <c r="GJ969" s="199"/>
      <c r="GK969" s="199"/>
      <c r="GO969" s="322"/>
      <c r="GP969" s="1190"/>
      <c r="GQ969" s="1190"/>
      <c r="GS969" s="2879"/>
      <c r="GT969" s="2880"/>
      <c r="GU969" s="2881"/>
    </row>
    <row r="970" spans="1:203" ht="12" customHeight="1">
      <c r="A970" s="1252"/>
      <c r="B970" s="200"/>
      <c r="C970" s="486"/>
      <c r="T970" s="1186"/>
      <c r="U970" s="233"/>
      <c r="W970" s="218"/>
      <c r="X970" s="218"/>
      <c r="Y970" s="216"/>
      <c r="Z970" s="216"/>
      <c r="AA970" s="215"/>
      <c r="AB970" s="216"/>
      <c r="AC970" s="216"/>
      <c r="AD970" s="239"/>
      <c r="AE970" s="216"/>
      <c r="AF970" s="216"/>
      <c r="AG970" s="216"/>
      <c r="AH970" s="216"/>
      <c r="AI970" s="216"/>
      <c r="AJ970" s="216"/>
      <c r="AK970" s="239"/>
      <c r="AL970" s="216"/>
      <c r="AM970" s="216"/>
      <c r="AN970" s="216"/>
      <c r="AO970" s="216"/>
      <c r="AP970" s="216"/>
      <c r="AQ970" s="216"/>
      <c r="AR970" s="216"/>
      <c r="AS970" s="216"/>
      <c r="AT970" s="216"/>
      <c r="AU970" s="216"/>
      <c r="AV970" s="217"/>
      <c r="AW970" s="355"/>
      <c r="AX970" s="217"/>
      <c r="AY970" s="305"/>
      <c r="AZ970" s="249"/>
      <c r="BA970" s="221"/>
      <c r="BB970" s="300"/>
      <c r="BC970" s="217"/>
      <c r="BD970" s="392"/>
      <c r="BE970" s="1244"/>
      <c r="BF970" s="249"/>
      <c r="BG970" s="252"/>
      <c r="BH970" s="1469"/>
      <c r="BI970" s="216"/>
      <c r="BJ970" s="1469"/>
      <c r="BK970" s="1459"/>
      <c r="BL970" s="260"/>
      <c r="BM970" s="214"/>
      <c r="BN970" s="293"/>
      <c r="BO970" s="217"/>
      <c r="BP970" s="355"/>
      <c r="BQ970" s="217"/>
      <c r="BR970" s="1193"/>
      <c r="BS970" s="249"/>
      <c r="BT970" s="216"/>
      <c r="BU970" s="1195"/>
      <c r="BV970" s="249"/>
      <c r="BW970" s="216"/>
      <c r="BX970" s="1195"/>
      <c r="BY970" s="249"/>
      <c r="BZ970" s="216"/>
      <c r="CA970" s="1195"/>
      <c r="CB970" s="249"/>
      <c r="CC970" s="216"/>
      <c r="CD970" s="1195"/>
      <c r="CE970" s="249"/>
      <c r="CF970" s="216"/>
      <c r="CG970" s="1195"/>
      <c r="CH970" s="249"/>
      <c r="CI970" s="216"/>
      <c r="CJ970" s="1195"/>
      <c r="CK970" s="249"/>
      <c r="CL970" s="216"/>
      <c r="CM970" s="1194"/>
      <c r="CN970" s="1524"/>
      <c r="CO970" s="217"/>
      <c r="CP970" s="1193"/>
      <c r="CQ970" s="293"/>
      <c r="CR970" s="217"/>
      <c r="CS970" s="305"/>
      <c r="CT970" s="249"/>
      <c r="CU970" s="216"/>
      <c r="CV970" s="1193"/>
      <c r="CW970" s="249"/>
      <c r="CX970" s="216"/>
      <c r="CY970" s="305"/>
      <c r="CZ970" s="249"/>
      <c r="DA970" s="216"/>
      <c r="DB970" s="307"/>
      <c r="DC970" s="328"/>
      <c r="DD970" s="322"/>
      <c r="DE970" s="305"/>
      <c r="DF970" s="249"/>
      <c r="DG970" s="216"/>
      <c r="DH970" s="305"/>
      <c r="DI970" s="249"/>
      <c r="DJ970" s="216"/>
      <c r="DK970" s="309"/>
      <c r="DL970" s="293"/>
      <c r="DM970" s="326"/>
      <c r="DN970" s="1256"/>
      <c r="DO970" s="214"/>
      <c r="DP970" s="1257"/>
      <c r="DQ970" s="1258"/>
      <c r="DR970" s="305"/>
      <c r="DS970" s="249"/>
      <c r="DT970" s="216"/>
      <c r="DU970" s="305"/>
      <c r="DV970" s="2520"/>
      <c r="DW970" s="2521"/>
      <c r="DX970" s="305"/>
      <c r="DY970" s="249"/>
      <c r="DZ970" s="221"/>
      <c r="EA970" s="388"/>
      <c r="EB970" s="249"/>
      <c r="EC970" s="216"/>
      <c r="ED970" s="1461"/>
      <c r="EE970" s="249"/>
      <c r="EF970" s="216"/>
      <c r="EG970" s="355"/>
      <c r="EH970" s="1425"/>
      <c r="EI970" s="1470"/>
      <c r="EJ970" s="249"/>
      <c r="EK970" s="221"/>
      <c r="EL970" s="313"/>
      <c r="EM970" s="249"/>
      <c r="EN970" s="221"/>
      <c r="EO970" s="313"/>
      <c r="EP970" s="249"/>
      <c r="EQ970" s="216"/>
      <c r="ER970" s="313"/>
      <c r="ES970" s="249"/>
      <c r="ET970" s="216"/>
      <c r="EU970" s="313"/>
      <c r="EV970" s="249"/>
      <c r="EW970" s="216"/>
      <c r="EX970" s="2505"/>
      <c r="EY970" s="249"/>
      <c r="EZ970" s="221"/>
      <c r="FA970" s="313"/>
      <c r="FB970" s="249"/>
      <c r="FC970" s="221"/>
      <c r="FD970" s="313"/>
      <c r="FE970" s="249"/>
      <c r="FF970" s="221"/>
      <c r="FG970" s="313"/>
      <c r="FH970" s="249"/>
      <c r="FI970" s="216"/>
      <c r="FJ970" s="1435"/>
      <c r="FK970" s="216"/>
      <c r="FL970" s="1268"/>
      <c r="FM970" s="1655"/>
      <c r="FN970" s="1268"/>
      <c r="FO970" s="1655"/>
      <c r="FP970" s="1268"/>
      <c r="FQ970" s="1656"/>
      <c r="FR970" s="249"/>
      <c r="FS970" s="216"/>
      <c r="FT970" s="1657"/>
      <c r="FU970" s="1658"/>
      <c r="FV970" s="242"/>
      <c r="FW970" s="343"/>
      <c r="FX970" s="222"/>
      <c r="FY970" s="336"/>
      <c r="FZ970" s="223"/>
      <c r="GA970" s="338"/>
      <c r="GB970" s="204"/>
      <c r="GC970" s="339"/>
      <c r="GD970" s="342"/>
      <c r="GE970" s="199"/>
      <c r="GF970" s="199"/>
      <c r="GG970" s="199"/>
      <c r="GH970" s="199"/>
      <c r="GI970" s="199"/>
      <c r="GJ970" s="199"/>
      <c r="GK970" s="199"/>
      <c r="GO970" s="322"/>
      <c r="GP970" s="1190"/>
      <c r="GQ970" s="1190"/>
      <c r="GS970" s="2879"/>
      <c r="GT970" s="2880"/>
      <c r="GU970" s="2881"/>
    </row>
    <row r="971" spans="1:203" ht="12" customHeight="1">
      <c r="A971" s="1252"/>
      <c r="B971" s="200"/>
      <c r="C971" s="486"/>
      <c r="T971" s="1186"/>
      <c r="U971" s="233"/>
      <c r="W971" s="218"/>
      <c r="X971" s="218"/>
      <c r="Y971" s="216"/>
      <c r="Z971" s="216"/>
      <c r="AA971" s="215"/>
      <c r="AB971" s="216"/>
      <c r="AC971" s="216"/>
      <c r="AD971" s="239"/>
      <c r="AE971" s="216"/>
      <c r="AF971" s="216"/>
      <c r="AG971" s="216"/>
      <c r="AH971" s="216"/>
      <c r="AI971" s="216"/>
      <c r="AJ971" s="216"/>
      <c r="AK971" s="239"/>
      <c r="AL971" s="216"/>
      <c r="AM971" s="216"/>
      <c r="AN971" s="216"/>
      <c r="AO971" s="216"/>
      <c r="AP971" s="216"/>
      <c r="AQ971" s="216"/>
      <c r="AR971" s="216"/>
      <c r="AS971" s="216"/>
      <c r="AT971" s="216"/>
      <c r="AU971" s="216"/>
      <c r="AV971" s="217"/>
      <c r="AW971" s="355"/>
      <c r="AX971" s="217"/>
      <c r="AY971" s="305"/>
      <c r="AZ971" s="249"/>
      <c r="BA971" s="221"/>
      <c r="BB971" s="300"/>
      <c r="BC971" s="217"/>
      <c r="BD971" s="392"/>
      <c r="BE971" s="1244"/>
      <c r="BF971" s="249"/>
      <c r="BG971" s="252"/>
      <c r="BH971" s="1469"/>
      <c r="BI971" s="216"/>
      <c r="BJ971" s="1469"/>
      <c r="BK971" s="1459"/>
      <c r="BL971" s="260"/>
      <c r="BM971" s="214"/>
      <c r="BN971" s="293"/>
      <c r="BO971" s="217"/>
      <c r="BP971" s="355"/>
      <c r="BQ971" s="217"/>
      <c r="BR971" s="1193"/>
      <c r="BS971" s="249"/>
      <c r="BT971" s="216"/>
      <c r="BU971" s="1195"/>
      <c r="BV971" s="249"/>
      <c r="BW971" s="216"/>
      <c r="BX971" s="1195"/>
      <c r="BY971" s="249"/>
      <c r="BZ971" s="216"/>
      <c r="CA971" s="1195"/>
      <c r="CB971" s="249"/>
      <c r="CC971" s="216"/>
      <c r="CD971" s="1195"/>
      <c r="CE971" s="249"/>
      <c r="CF971" s="216"/>
      <c r="CG971" s="1195"/>
      <c r="CH971" s="249"/>
      <c r="CI971" s="216"/>
      <c r="CJ971" s="1195"/>
      <c r="CK971" s="249"/>
      <c r="CL971" s="216"/>
      <c r="CM971" s="1194"/>
      <c r="CN971" s="1524"/>
      <c r="CO971" s="217"/>
      <c r="CP971" s="1193"/>
      <c r="CQ971" s="293"/>
      <c r="CR971" s="217"/>
      <c r="CS971" s="305"/>
      <c r="CT971" s="249"/>
      <c r="CU971" s="216"/>
      <c r="CV971" s="1193"/>
      <c r="CW971" s="249"/>
      <c r="CX971" s="216"/>
      <c r="CY971" s="305"/>
      <c r="CZ971" s="249"/>
      <c r="DA971" s="216"/>
      <c r="DB971" s="307"/>
      <c r="DC971" s="328"/>
      <c r="DD971" s="322"/>
      <c r="DE971" s="305"/>
      <c r="DF971" s="249"/>
      <c r="DG971" s="216"/>
      <c r="DH971" s="305"/>
      <c r="DI971" s="249"/>
      <c r="DJ971" s="216"/>
      <c r="DK971" s="309"/>
      <c r="DL971" s="293"/>
      <c r="DM971" s="326"/>
      <c r="DN971" s="1256"/>
      <c r="DO971" s="214"/>
      <c r="DP971" s="1257"/>
      <c r="DQ971" s="1258"/>
      <c r="DR971" s="305"/>
      <c r="DS971" s="249"/>
      <c r="DT971" s="216"/>
      <c r="DU971" s="305"/>
      <c r="DV971" s="2520"/>
      <c r="DW971" s="2521"/>
      <c r="DX971" s="305"/>
      <c r="DY971" s="249"/>
      <c r="DZ971" s="221"/>
      <c r="EA971" s="388"/>
      <c r="EB971" s="249"/>
      <c r="EC971" s="216"/>
      <c r="ED971" s="1461"/>
      <c r="EE971" s="249"/>
      <c r="EF971" s="216"/>
      <c r="EG971" s="355"/>
      <c r="EH971" s="1425"/>
      <c r="EI971" s="1470"/>
      <c r="EJ971" s="249"/>
      <c r="EK971" s="221"/>
      <c r="EL971" s="313"/>
      <c r="EM971" s="249"/>
      <c r="EN971" s="221"/>
      <c r="EO971" s="313"/>
      <c r="EP971" s="249"/>
      <c r="EQ971" s="216"/>
      <c r="ER971" s="313"/>
      <c r="ES971" s="249"/>
      <c r="ET971" s="216"/>
      <c r="EU971" s="313"/>
      <c r="EV971" s="249"/>
      <c r="EW971" s="216"/>
      <c r="EX971" s="2505"/>
      <c r="EY971" s="249"/>
      <c r="EZ971" s="221"/>
      <c r="FA971" s="313"/>
      <c r="FB971" s="249"/>
      <c r="FC971" s="221"/>
      <c r="FD971" s="313"/>
      <c r="FE971" s="249"/>
      <c r="FF971" s="221"/>
      <c r="FG971" s="313"/>
      <c r="FH971" s="249"/>
      <c r="FI971" s="216"/>
      <c r="FJ971" s="1435"/>
      <c r="FK971" s="216"/>
      <c r="FL971" s="1268"/>
      <c r="FM971" s="1655"/>
      <c r="FN971" s="1268"/>
      <c r="FO971" s="1655"/>
      <c r="FP971" s="1268"/>
      <c r="FQ971" s="1656"/>
      <c r="FR971" s="249"/>
      <c r="FS971" s="216"/>
      <c r="FT971" s="1657"/>
      <c r="FU971" s="1658"/>
      <c r="FV971" s="242"/>
      <c r="FW971" s="343"/>
      <c r="FX971" s="222"/>
      <c r="FY971" s="336"/>
      <c r="FZ971" s="223"/>
      <c r="GA971" s="338"/>
      <c r="GB971" s="204"/>
      <c r="GC971" s="339"/>
      <c r="GD971" s="342"/>
      <c r="GE971" s="199"/>
      <c r="GF971" s="199"/>
      <c r="GG971" s="199"/>
      <c r="GH971" s="199"/>
      <c r="GI971" s="199"/>
      <c r="GJ971" s="199"/>
      <c r="GK971" s="199"/>
      <c r="GO971" s="322"/>
      <c r="GP971" s="1190"/>
      <c r="GQ971" s="1190"/>
      <c r="GS971" s="2879"/>
      <c r="GT971" s="2880"/>
      <c r="GU971" s="2881"/>
    </row>
    <row r="972" spans="1:203" ht="12" customHeight="1">
      <c r="A972" s="1252"/>
      <c r="B972" s="200"/>
      <c r="C972" s="486"/>
      <c r="T972" s="1186"/>
      <c r="U972" s="233"/>
      <c r="W972" s="218"/>
      <c r="X972" s="218"/>
      <c r="Y972" s="216"/>
      <c r="Z972" s="216"/>
      <c r="AA972" s="215"/>
      <c r="AB972" s="216"/>
      <c r="AC972" s="216"/>
      <c r="AD972" s="239"/>
      <c r="AE972" s="216"/>
      <c r="AF972" s="216"/>
      <c r="AG972" s="216"/>
      <c r="AH972" s="216"/>
      <c r="AI972" s="216"/>
      <c r="AJ972" s="216"/>
      <c r="AK972" s="239"/>
      <c r="AL972" s="216"/>
      <c r="AM972" s="216"/>
      <c r="AN972" s="216"/>
      <c r="AO972" s="216"/>
      <c r="AP972" s="216"/>
      <c r="AQ972" s="216"/>
      <c r="AR972" s="216"/>
      <c r="AS972" s="216"/>
      <c r="AT972" s="216"/>
      <c r="AU972" s="216"/>
      <c r="AV972" s="217"/>
      <c r="AW972" s="355"/>
      <c r="AX972" s="217"/>
      <c r="AY972" s="305"/>
      <c r="AZ972" s="249"/>
      <c r="BA972" s="221"/>
      <c r="BB972" s="300"/>
      <c r="BC972" s="217"/>
      <c r="BD972" s="392"/>
      <c r="BE972" s="1244"/>
      <c r="BF972" s="249"/>
      <c r="BG972" s="252"/>
      <c r="BH972" s="1469"/>
      <c r="BI972" s="216"/>
      <c r="BJ972" s="1469"/>
      <c r="BK972" s="1459"/>
      <c r="BL972" s="260"/>
      <c r="BM972" s="214"/>
      <c r="BN972" s="293"/>
      <c r="BO972" s="217"/>
      <c r="BP972" s="355"/>
      <c r="BQ972" s="217"/>
      <c r="BR972" s="1193"/>
      <c r="BS972" s="249"/>
      <c r="BT972" s="216"/>
      <c r="BU972" s="1195"/>
      <c r="BV972" s="249"/>
      <c r="BW972" s="216"/>
      <c r="BX972" s="1195"/>
      <c r="BY972" s="249"/>
      <c r="BZ972" s="216"/>
      <c r="CA972" s="1195"/>
      <c r="CB972" s="249"/>
      <c r="CC972" s="216"/>
      <c r="CD972" s="1195"/>
      <c r="CE972" s="249"/>
      <c r="CF972" s="216"/>
      <c r="CG972" s="1195"/>
      <c r="CH972" s="249"/>
      <c r="CI972" s="216"/>
      <c r="CJ972" s="1195"/>
      <c r="CK972" s="249"/>
      <c r="CL972" s="216"/>
      <c r="CM972" s="1194"/>
      <c r="CN972" s="1524"/>
      <c r="CO972" s="217"/>
      <c r="CP972" s="1193"/>
      <c r="CQ972" s="293"/>
      <c r="CR972" s="217"/>
      <c r="CS972" s="305"/>
      <c r="CT972" s="249"/>
      <c r="CU972" s="216"/>
      <c r="CV972" s="1193"/>
      <c r="CW972" s="249"/>
      <c r="CX972" s="216"/>
      <c r="CY972" s="305"/>
      <c r="CZ972" s="249"/>
      <c r="DA972" s="216"/>
      <c r="DB972" s="307"/>
      <c r="DC972" s="328"/>
      <c r="DD972" s="322"/>
      <c r="DE972" s="305"/>
      <c r="DF972" s="249"/>
      <c r="DG972" s="216"/>
      <c r="DH972" s="305"/>
      <c r="DI972" s="249"/>
      <c r="DJ972" s="216"/>
      <c r="DK972" s="309"/>
      <c r="DL972" s="293"/>
      <c r="DM972" s="326"/>
      <c r="DN972" s="1256"/>
      <c r="DO972" s="214"/>
      <c r="DP972" s="1257"/>
      <c r="DQ972" s="1258"/>
      <c r="DR972" s="305"/>
      <c r="DS972" s="249"/>
      <c r="DT972" s="216"/>
      <c r="DU972" s="305"/>
      <c r="DV972" s="2520"/>
      <c r="DW972" s="2521"/>
      <c r="DX972" s="305"/>
      <c r="DY972" s="249"/>
      <c r="DZ972" s="221"/>
      <c r="EA972" s="388"/>
      <c r="EB972" s="249"/>
      <c r="EC972" s="216"/>
      <c r="ED972" s="1461"/>
      <c r="EE972" s="249"/>
      <c r="EF972" s="216"/>
      <c r="EG972" s="355"/>
      <c r="EH972" s="1425"/>
      <c r="EI972" s="1470"/>
      <c r="EJ972" s="249"/>
      <c r="EK972" s="221"/>
      <c r="EL972" s="313"/>
      <c r="EM972" s="249"/>
      <c r="EN972" s="221"/>
      <c r="EO972" s="313"/>
      <c r="EP972" s="249"/>
      <c r="EQ972" s="216"/>
      <c r="ER972" s="313"/>
      <c r="ES972" s="249"/>
      <c r="ET972" s="216"/>
      <c r="EU972" s="313"/>
      <c r="EV972" s="249"/>
      <c r="EW972" s="216"/>
      <c r="EX972" s="2505"/>
      <c r="EY972" s="249"/>
      <c r="EZ972" s="221"/>
      <c r="FA972" s="313"/>
      <c r="FB972" s="249"/>
      <c r="FC972" s="221"/>
      <c r="FD972" s="313"/>
      <c r="FE972" s="249"/>
      <c r="FF972" s="221"/>
      <c r="FG972" s="313"/>
      <c r="FH972" s="249"/>
      <c r="FI972" s="216"/>
      <c r="FJ972" s="1435"/>
      <c r="FK972" s="216"/>
      <c r="FL972" s="1268"/>
      <c r="FM972" s="1655"/>
      <c r="FN972" s="1268"/>
      <c r="FO972" s="1655"/>
      <c r="FP972" s="1268"/>
      <c r="FQ972" s="1656"/>
      <c r="FR972" s="249"/>
      <c r="FS972" s="216"/>
      <c r="FT972" s="1657"/>
      <c r="FU972" s="1658"/>
      <c r="FV972" s="242"/>
      <c r="FW972" s="343"/>
      <c r="FX972" s="222"/>
      <c r="FY972" s="336"/>
      <c r="FZ972" s="223"/>
      <c r="GA972" s="338"/>
      <c r="GB972" s="204"/>
      <c r="GC972" s="339"/>
      <c r="GD972" s="342"/>
      <c r="GE972" s="199"/>
      <c r="GF972" s="199"/>
      <c r="GG972" s="199"/>
      <c r="GH972" s="199"/>
      <c r="GI972" s="199"/>
      <c r="GJ972" s="199"/>
      <c r="GK972" s="199"/>
      <c r="GO972" s="322"/>
      <c r="GP972" s="1190"/>
      <c r="GQ972" s="1190"/>
      <c r="GS972" s="2879"/>
      <c r="GT972" s="2880"/>
      <c r="GU972" s="2881"/>
    </row>
    <row r="973" spans="1:203" ht="12" customHeight="1">
      <c r="A973" s="1252"/>
      <c r="B973" s="200"/>
      <c r="C973" s="486"/>
      <c r="T973" s="1186"/>
      <c r="U973" s="233"/>
      <c r="W973" s="218"/>
      <c r="X973" s="218"/>
      <c r="Y973" s="216"/>
      <c r="Z973" s="216"/>
      <c r="AA973" s="215"/>
      <c r="AB973" s="216"/>
      <c r="AC973" s="216"/>
      <c r="AD973" s="239"/>
      <c r="AE973" s="216"/>
      <c r="AF973" s="216"/>
      <c r="AG973" s="216"/>
      <c r="AH973" s="216"/>
      <c r="AI973" s="216"/>
      <c r="AJ973" s="216"/>
      <c r="AK973" s="239"/>
      <c r="AL973" s="216"/>
      <c r="AM973" s="216"/>
      <c r="AN973" s="216"/>
      <c r="AO973" s="216"/>
      <c r="AP973" s="216"/>
      <c r="AQ973" s="216"/>
      <c r="AR973" s="216"/>
      <c r="AS973" s="216"/>
      <c r="AT973" s="216"/>
      <c r="AU973" s="216"/>
      <c r="AV973" s="217"/>
      <c r="AW973" s="355"/>
      <c r="AX973" s="217"/>
      <c r="AY973" s="305"/>
      <c r="AZ973" s="249"/>
      <c r="BA973" s="221"/>
      <c r="BB973" s="300"/>
      <c r="BC973" s="217"/>
      <c r="BD973" s="392"/>
      <c r="BE973" s="1244"/>
      <c r="BF973" s="249"/>
      <c r="BG973" s="252"/>
      <c r="BH973" s="1469"/>
      <c r="BI973" s="216"/>
      <c r="BJ973" s="1469"/>
      <c r="BK973" s="1459"/>
      <c r="BL973" s="260"/>
      <c r="BM973" s="214"/>
      <c r="BN973" s="293"/>
      <c r="BO973" s="217"/>
      <c r="BP973" s="355"/>
      <c r="BQ973" s="217"/>
      <c r="BR973" s="1193"/>
      <c r="BS973" s="249"/>
      <c r="BT973" s="216"/>
      <c r="BU973" s="1195"/>
      <c r="BV973" s="249"/>
      <c r="BW973" s="216"/>
      <c r="BX973" s="1195"/>
      <c r="BY973" s="249"/>
      <c r="BZ973" s="216"/>
      <c r="CA973" s="1195"/>
      <c r="CB973" s="249"/>
      <c r="CC973" s="216"/>
      <c r="CD973" s="1195"/>
      <c r="CE973" s="249"/>
      <c r="CF973" s="216"/>
      <c r="CG973" s="1195"/>
      <c r="CH973" s="249"/>
      <c r="CI973" s="216"/>
      <c r="CJ973" s="1195"/>
      <c r="CK973" s="249"/>
      <c r="CL973" s="216"/>
      <c r="CM973" s="1194"/>
      <c r="CN973" s="1524"/>
      <c r="CO973" s="217"/>
      <c r="CP973" s="1193"/>
      <c r="CQ973" s="293"/>
      <c r="CR973" s="217"/>
      <c r="CS973" s="305"/>
      <c r="CT973" s="249"/>
      <c r="CU973" s="216"/>
      <c r="CV973" s="1193"/>
      <c r="CW973" s="249"/>
      <c r="CX973" s="216"/>
      <c r="CY973" s="305"/>
      <c r="CZ973" s="249"/>
      <c r="DA973" s="216"/>
      <c r="DB973" s="307"/>
      <c r="DC973" s="328"/>
      <c r="DD973" s="322"/>
      <c r="DE973" s="305"/>
      <c r="DF973" s="249"/>
      <c r="DG973" s="216"/>
      <c r="DH973" s="305"/>
      <c r="DI973" s="249"/>
      <c r="DJ973" s="216"/>
      <c r="DK973" s="309"/>
      <c r="DL973" s="293"/>
      <c r="DM973" s="326"/>
      <c r="DN973" s="1256"/>
      <c r="DO973" s="214"/>
      <c r="DP973" s="1257"/>
      <c r="DQ973" s="1258"/>
      <c r="DR973" s="305"/>
      <c r="DS973" s="249"/>
      <c r="DT973" s="216"/>
      <c r="DU973" s="305"/>
      <c r="DV973" s="2520"/>
      <c r="DW973" s="2521"/>
      <c r="DX973" s="305"/>
      <c r="DY973" s="249"/>
      <c r="DZ973" s="221"/>
      <c r="EA973" s="388"/>
      <c r="EB973" s="249"/>
      <c r="EC973" s="216"/>
      <c r="ED973" s="1461"/>
      <c r="EE973" s="249"/>
      <c r="EF973" s="216"/>
      <c r="EG973" s="355"/>
      <c r="EH973" s="1425"/>
      <c r="EI973" s="1470"/>
      <c r="EJ973" s="249"/>
      <c r="EK973" s="221"/>
      <c r="EL973" s="313"/>
      <c r="EM973" s="249"/>
      <c r="EN973" s="221"/>
      <c r="EO973" s="313"/>
      <c r="EP973" s="249"/>
      <c r="EQ973" s="216"/>
      <c r="ER973" s="313"/>
      <c r="ES973" s="249"/>
      <c r="ET973" s="216"/>
      <c r="EU973" s="313"/>
      <c r="EV973" s="249"/>
      <c r="EW973" s="216"/>
      <c r="EX973" s="2505"/>
      <c r="EY973" s="249"/>
      <c r="EZ973" s="221"/>
      <c r="FA973" s="313"/>
      <c r="FB973" s="249"/>
      <c r="FC973" s="221"/>
      <c r="FD973" s="313"/>
      <c r="FE973" s="249"/>
      <c r="FF973" s="221"/>
      <c r="FG973" s="313"/>
      <c r="FH973" s="249"/>
      <c r="FI973" s="216"/>
      <c r="FJ973" s="1435"/>
      <c r="FK973" s="216"/>
      <c r="FL973" s="1268"/>
      <c r="FM973" s="1655"/>
      <c r="FN973" s="1268"/>
      <c r="FO973" s="1655"/>
      <c r="FP973" s="1268"/>
      <c r="FQ973" s="1656"/>
      <c r="FR973" s="249"/>
      <c r="FS973" s="216"/>
      <c r="FT973" s="1657"/>
      <c r="FU973" s="1658"/>
      <c r="FV973" s="242"/>
      <c r="FW973" s="343"/>
      <c r="FX973" s="222"/>
      <c r="FY973" s="336"/>
      <c r="FZ973" s="223"/>
      <c r="GA973" s="338"/>
      <c r="GB973" s="204"/>
      <c r="GC973" s="339"/>
      <c r="GD973" s="342"/>
      <c r="GE973" s="199"/>
      <c r="GF973" s="199"/>
      <c r="GG973" s="199"/>
      <c r="GH973" s="199"/>
      <c r="GI973" s="199"/>
      <c r="GJ973" s="199"/>
      <c r="GK973" s="199"/>
      <c r="GO973" s="322"/>
      <c r="GP973" s="1190"/>
      <c r="GQ973" s="1190"/>
      <c r="GS973" s="2879"/>
      <c r="GT973" s="2880"/>
      <c r="GU973" s="2881"/>
    </row>
    <row r="974" spans="1:203" ht="12" customHeight="1">
      <c r="A974" s="1252"/>
      <c r="B974" s="200"/>
      <c r="C974" s="486"/>
      <c r="T974" s="1186"/>
      <c r="U974" s="233"/>
      <c r="W974" s="218"/>
      <c r="X974" s="218"/>
      <c r="Y974" s="216"/>
      <c r="Z974" s="216"/>
      <c r="AA974" s="215"/>
      <c r="AB974" s="216"/>
      <c r="AC974" s="216"/>
      <c r="AD974" s="239"/>
      <c r="AE974" s="216"/>
      <c r="AF974" s="216"/>
      <c r="AG974" s="216"/>
      <c r="AH974" s="216"/>
      <c r="AI974" s="216"/>
      <c r="AJ974" s="216"/>
      <c r="AK974" s="239"/>
      <c r="AL974" s="216"/>
      <c r="AM974" s="216"/>
      <c r="AN974" s="216"/>
      <c r="AO974" s="216"/>
      <c r="AP974" s="216"/>
      <c r="AQ974" s="216"/>
      <c r="AR974" s="216"/>
      <c r="AS974" s="216"/>
      <c r="AT974" s="216"/>
      <c r="AU974" s="216"/>
      <c r="AV974" s="217"/>
      <c r="AW974" s="355"/>
      <c r="AX974" s="217"/>
      <c r="AY974" s="305"/>
      <c r="AZ974" s="249"/>
      <c r="BA974" s="221"/>
      <c r="BB974" s="300"/>
      <c r="BC974" s="217"/>
      <c r="BD974" s="392"/>
      <c r="BE974" s="1244"/>
      <c r="BF974" s="249"/>
      <c r="BG974" s="252"/>
      <c r="BH974" s="1469"/>
      <c r="BI974" s="216"/>
      <c r="BJ974" s="1469"/>
      <c r="BK974" s="1459"/>
      <c r="BL974" s="260"/>
      <c r="BM974" s="214"/>
      <c r="BN974" s="293"/>
      <c r="BO974" s="217"/>
      <c r="BP974" s="355"/>
      <c r="BQ974" s="217"/>
      <c r="BR974" s="1193"/>
      <c r="BS974" s="249"/>
      <c r="BT974" s="216"/>
      <c r="BU974" s="1195"/>
      <c r="BV974" s="249"/>
      <c r="BW974" s="216"/>
      <c r="BX974" s="1195"/>
      <c r="BY974" s="249"/>
      <c r="BZ974" s="216"/>
      <c r="CA974" s="1195"/>
      <c r="CB974" s="249"/>
      <c r="CC974" s="216"/>
      <c r="CD974" s="1195"/>
      <c r="CE974" s="249"/>
      <c r="CF974" s="216"/>
      <c r="CG974" s="1195"/>
      <c r="CH974" s="249"/>
      <c r="CI974" s="216"/>
      <c r="CJ974" s="1195"/>
      <c r="CK974" s="249"/>
      <c r="CL974" s="216"/>
      <c r="CM974" s="1194"/>
      <c r="CN974" s="1524"/>
      <c r="CO974" s="217"/>
      <c r="CP974" s="1193"/>
      <c r="CQ974" s="293"/>
      <c r="CR974" s="217"/>
      <c r="CS974" s="305"/>
      <c r="CT974" s="249"/>
      <c r="CU974" s="216"/>
      <c r="CV974" s="1193"/>
      <c r="CW974" s="249"/>
      <c r="CX974" s="216"/>
      <c r="CY974" s="305"/>
      <c r="CZ974" s="249"/>
      <c r="DA974" s="216"/>
      <c r="DB974" s="307"/>
      <c r="DC974" s="328"/>
      <c r="DD974" s="322"/>
      <c r="DE974" s="305"/>
      <c r="DF974" s="249"/>
      <c r="DG974" s="216"/>
      <c r="DH974" s="305"/>
      <c r="DI974" s="249"/>
      <c r="DJ974" s="216"/>
      <c r="DK974" s="309"/>
      <c r="DL974" s="293"/>
      <c r="DM974" s="326"/>
      <c r="DN974" s="1256"/>
      <c r="DO974" s="214"/>
      <c r="DP974" s="1257"/>
      <c r="DQ974" s="1258"/>
      <c r="DR974" s="305"/>
      <c r="DS974" s="249"/>
      <c r="DT974" s="216"/>
      <c r="DU974" s="305"/>
      <c r="DV974" s="2520"/>
      <c r="DW974" s="2521"/>
      <c r="DX974" s="305"/>
      <c r="DY974" s="249"/>
      <c r="DZ974" s="221"/>
      <c r="EA974" s="388"/>
      <c r="EB974" s="249"/>
      <c r="EC974" s="216"/>
      <c r="ED974" s="1461"/>
      <c r="EE974" s="249"/>
      <c r="EF974" s="216"/>
      <c r="EG974" s="355"/>
      <c r="EH974" s="1425"/>
      <c r="EI974" s="1470"/>
      <c r="EJ974" s="249"/>
      <c r="EK974" s="221"/>
      <c r="EL974" s="313"/>
      <c r="EM974" s="249"/>
      <c r="EN974" s="221"/>
      <c r="EO974" s="313"/>
      <c r="EP974" s="249"/>
      <c r="EQ974" s="216"/>
      <c r="ER974" s="313"/>
      <c r="ES974" s="249"/>
      <c r="ET974" s="216"/>
      <c r="EU974" s="313"/>
      <c r="EV974" s="249"/>
      <c r="EW974" s="216"/>
      <c r="EX974" s="2505"/>
      <c r="EY974" s="249"/>
      <c r="EZ974" s="221"/>
      <c r="FA974" s="313"/>
      <c r="FB974" s="249"/>
      <c r="FC974" s="221"/>
      <c r="FD974" s="313"/>
      <c r="FE974" s="249"/>
      <c r="FF974" s="221"/>
      <c r="FG974" s="313"/>
      <c r="FH974" s="249"/>
      <c r="FI974" s="216"/>
      <c r="FJ974" s="1435"/>
      <c r="FK974" s="216"/>
      <c r="FL974" s="1268"/>
      <c r="FM974" s="1655"/>
      <c r="FN974" s="1268"/>
      <c r="FO974" s="1655"/>
      <c r="FP974" s="1268"/>
      <c r="FQ974" s="1656"/>
      <c r="FR974" s="249"/>
      <c r="FS974" s="216"/>
      <c r="FT974" s="1657"/>
      <c r="FU974" s="1658"/>
      <c r="FV974" s="242"/>
      <c r="FW974" s="343"/>
      <c r="FX974" s="222"/>
      <c r="FY974" s="336"/>
      <c r="FZ974" s="223"/>
      <c r="GA974" s="338"/>
      <c r="GB974" s="204"/>
      <c r="GC974" s="339"/>
      <c r="GD974" s="342"/>
      <c r="GE974" s="199"/>
      <c r="GF974" s="199"/>
      <c r="GG974" s="199"/>
      <c r="GH974" s="199"/>
      <c r="GI974" s="199"/>
      <c r="GJ974" s="199"/>
      <c r="GK974" s="199"/>
      <c r="GO974" s="322"/>
      <c r="GP974" s="1190"/>
      <c r="GQ974" s="1190"/>
      <c r="GS974" s="2879"/>
      <c r="GT974" s="2880"/>
      <c r="GU974" s="2881"/>
    </row>
    <row r="975" spans="1:203" ht="12" customHeight="1">
      <c r="A975" s="1252"/>
      <c r="B975" s="200"/>
      <c r="C975" s="486"/>
      <c r="T975" s="1186"/>
      <c r="U975" s="233"/>
      <c r="W975" s="218"/>
      <c r="X975" s="218"/>
      <c r="Y975" s="216"/>
      <c r="Z975" s="216"/>
      <c r="AA975" s="215"/>
      <c r="AB975" s="216"/>
      <c r="AC975" s="216"/>
      <c r="AD975" s="239"/>
      <c r="AE975" s="216"/>
      <c r="AF975" s="216"/>
      <c r="AG975" s="216"/>
      <c r="AH975" s="216"/>
      <c r="AI975" s="216"/>
      <c r="AJ975" s="216"/>
      <c r="AK975" s="239"/>
      <c r="AL975" s="216"/>
      <c r="AM975" s="216"/>
      <c r="AN975" s="216"/>
      <c r="AO975" s="216"/>
      <c r="AP975" s="216"/>
      <c r="AQ975" s="216"/>
      <c r="AR975" s="216"/>
      <c r="AS975" s="216"/>
      <c r="AT975" s="216"/>
      <c r="AU975" s="216"/>
      <c r="AV975" s="217"/>
      <c r="AW975" s="355"/>
      <c r="AX975" s="217"/>
      <c r="AY975" s="305"/>
      <c r="AZ975" s="249"/>
      <c r="BA975" s="221"/>
      <c r="BB975" s="300"/>
      <c r="BC975" s="217"/>
      <c r="BD975" s="392"/>
      <c r="BE975" s="1244"/>
      <c r="BF975" s="249"/>
      <c r="BG975" s="252"/>
      <c r="BH975" s="1469"/>
      <c r="BI975" s="216"/>
      <c r="BJ975" s="1469"/>
      <c r="BK975" s="1459"/>
      <c r="BL975" s="260"/>
      <c r="BM975" s="214"/>
      <c r="BN975" s="293"/>
      <c r="BO975" s="217"/>
      <c r="BP975" s="355"/>
      <c r="BQ975" s="217"/>
      <c r="BR975" s="1193"/>
      <c r="BS975" s="249"/>
      <c r="BT975" s="216"/>
      <c r="BU975" s="1195"/>
      <c r="BV975" s="249"/>
      <c r="BW975" s="216"/>
      <c r="BX975" s="1195"/>
      <c r="BY975" s="249"/>
      <c r="BZ975" s="216"/>
      <c r="CA975" s="1195"/>
      <c r="CB975" s="249"/>
      <c r="CC975" s="216"/>
      <c r="CD975" s="1195"/>
      <c r="CE975" s="249"/>
      <c r="CF975" s="216"/>
      <c r="CG975" s="1195"/>
      <c r="CH975" s="249"/>
      <c r="CI975" s="216"/>
      <c r="CJ975" s="1195"/>
      <c r="CK975" s="249"/>
      <c r="CL975" s="216"/>
      <c r="CM975" s="1194"/>
      <c r="CN975" s="1524"/>
      <c r="CO975" s="217"/>
      <c r="CP975" s="1193"/>
      <c r="CQ975" s="293"/>
      <c r="CR975" s="217"/>
      <c r="CS975" s="305"/>
      <c r="CT975" s="249"/>
      <c r="CU975" s="216"/>
      <c r="CV975" s="1193"/>
      <c r="CW975" s="249"/>
      <c r="CX975" s="216"/>
      <c r="CY975" s="305"/>
      <c r="CZ975" s="249"/>
      <c r="DA975" s="216"/>
      <c r="DB975" s="307"/>
      <c r="DC975" s="328"/>
      <c r="DD975" s="322"/>
      <c r="DE975" s="305"/>
      <c r="DF975" s="249"/>
      <c r="DG975" s="216"/>
      <c r="DH975" s="305"/>
      <c r="DI975" s="249"/>
      <c r="DJ975" s="216"/>
      <c r="DK975" s="309"/>
      <c r="DL975" s="293"/>
      <c r="DM975" s="326"/>
      <c r="DN975" s="1256"/>
      <c r="DO975" s="214"/>
      <c r="DP975" s="1257"/>
      <c r="DQ975" s="1258"/>
      <c r="DR975" s="305"/>
      <c r="DS975" s="249"/>
      <c r="DT975" s="216"/>
      <c r="DU975" s="305"/>
      <c r="DV975" s="2520"/>
      <c r="DW975" s="2521"/>
      <c r="DX975" s="305"/>
      <c r="DY975" s="249"/>
      <c r="DZ975" s="221"/>
      <c r="EA975" s="388"/>
      <c r="EB975" s="249"/>
      <c r="EC975" s="216"/>
      <c r="ED975" s="1461"/>
      <c r="EE975" s="249"/>
      <c r="EF975" s="216"/>
      <c r="EG975" s="355"/>
      <c r="EH975" s="1425"/>
      <c r="EI975" s="1470"/>
      <c r="EJ975" s="249"/>
      <c r="EK975" s="221"/>
      <c r="EL975" s="313"/>
      <c r="EM975" s="249"/>
      <c r="EN975" s="221"/>
      <c r="EO975" s="313"/>
      <c r="EP975" s="249"/>
      <c r="EQ975" s="216"/>
      <c r="ER975" s="313"/>
      <c r="ES975" s="249"/>
      <c r="ET975" s="216"/>
      <c r="EU975" s="313"/>
      <c r="EV975" s="249"/>
      <c r="EW975" s="216"/>
      <c r="EX975" s="2505"/>
      <c r="EY975" s="249"/>
      <c r="EZ975" s="221"/>
      <c r="FA975" s="313"/>
      <c r="FB975" s="249"/>
      <c r="FC975" s="221"/>
      <c r="FD975" s="313"/>
      <c r="FE975" s="249"/>
      <c r="FF975" s="221"/>
      <c r="FG975" s="313"/>
      <c r="FH975" s="249"/>
      <c r="FI975" s="216"/>
      <c r="FJ975" s="1435"/>
      <c r="FK975" s="216"/>
      <c r="FL975" s="1268"/>
      <c r="FM975" s="1655"/>
      <c r="FN975" s="1268"/>
      <c r="FO975" s="1655"/>
      <c r="FP975" s="1268"/>
      <c r="FQ975" s="1656"/>
      <c r="FR975" s="249"/>
      <c r="FS975" s="216"/>
      <c r="FT975" s="1657"/>
      <c r="FU975" s="1658"/>
      <c r="FV975" s="242"/>
      <c r="FW975" s="343"/>
      <c r="FX975" s="222"/>
      <c r="FY975" s="336"/>
      <c r="FZ975" s="223"/>
      <c r="GA975" s="338"/>
      <c r="GB975" s="204"/>
      <c r="GC975" s="339"/>
      <c r="GD975" s="342"/>
      <c r="GE975" s="199"/>
      <c r="GF975" s="199"/>
      <c r="GG975" s="199"/>
      <c r="GH975" s="199"/>
      <c r="GI975" s="199"/>
      <c r="GJ975" s="199"/>
      <c r="GK975" s="199"/>
      <c r="GO975" s="322"/>
      <c r="GP975" s="1190"/>
      <c r="GQ975" s="1190"/>
      <c r="GS975" s="2879"/>
      <c r="GT975" s="2880"/>
      <c r="GU975" s="2881"/>
    </row>
    <row r="976" spans="1:203" ht="12" customHeight="1">
      <c r="A976" s="1252"/>
      <c r="B976" s="200"/>
      <c r="C976" s="486"/>
      <c r="T976" s="1186"/>
      <c r="U976" s="233"/>
      <c r="W976" s="218"/>
      <c r="X976" s="218"/>
      <c r="Y976" s="216"/>
      <c r="Z976" s="216"/>
      <c r="AA976" s="215"/>
      <c r="AB976" s="216"/>
      <c r="AC976" s="216"/>
      <c r="AD976" s="239"/>
      <c r="AE976" s="216"/>
      <c r="AF976" s="216"/>
      <c r="AG976" s="216"/>
      <c r="AH976" s="216"/>
      <c r="AI976" s="216"/>
      <c r="AJ976" s="216"/>
      <c r="AK976" s="239"/>
      <c r="AL976" s="216"/>
      <c r="AM976" s="216"/>
      <c r="AN976" s="216"/>
      <c r="AO976" s="216"/>
      <c r="AP976" s="216"/>
      <c r="AQ976" s="216"/>
      <c r="AR976" s="216"/>
      <c r="AS976" s="216"/>
      <c r="AT976" s="216"/>
      <c r="AU976" s="216"/>
      <c r="AV976" s="217"/>
      <c r="AW976" s="355"/>
      <c r="AX976" s="217"/>
      <c r="AY976" s="305"/>
      <c r="AZ976" s="249"/>
      <c r="BA976" s="221"/>
      <c r="BB976" s="300"/>
      <c r="BC976" s="217"/>
      <c r="BD976" s="392"/>
      <c r="BE976" s="1244"/>
      <c r="BF976" s="249"/>
      <c r="BG976" s="252"/>
      <c r="BH976" s="1469"/>
      <c r="BI976" s="216"/>
      <c r="BJ976" s="1469"/>
      <c r="BK976" s="1459"/>
      <c r="BL976" s="260"/>
      <c r="BM976" s="214"/>
      <c r="BN976" s="293"/>
      <c r="BO976" s="217"/>
      <c r="BP976" s="355"/>
      <c r="BQ976" s="217"/>
      <c r="BR976" s="1193"/>
      <c r="BS976" s="249"/>
      <c r="BT976" s="216"/>
      <c r="BU976" s="1195"/>
      <c r="BV976" s="249"/>
      <c r="BW976" s="216"/>
      <c r="BX976" s="1195"/>
      <c r="BY976" s="249"/>
      <c r="BZ976" s="216"/>
      <c r="CA976" s="1195"/>
      <c r="CB976" s="249"/>
      <c r="CC976" s="216"/>
      <c r="CD976" s="1195"/>
      <c r="CE976" s="249"/>
      <c r="CF976" s="216"/>
      <c r="CG976" s="1195"/>
      <c r="CH976" s="249"/>
      <c r="CI976" s="216"/>
      <c r="CJ976" s="1195"/>
      <c r="CK976" s="249"/>
      <c r="CL976" s="216"/>
      <c r="CM976" s="1194"/>
      <c r="CN976" s="1524"/>
      <c r="CO976" s="217"/>
      <c r="CP976" s="1193"/>
      <c r="CQ976" s="293"/>
      <c r="CR976" s="217"/>
      <c r="CS976" s="305"/>
      <c r="CT976" s="249"/>
      <c r="CU976" s="216"/>
      <c r="CV976" s="1193"/>
      <c r="CW976" s="249"/>
      <c r="CX976" s="216"/>
      <c r="CY976" s="305"/>
      <c r="CZ976" s="249"/>
      <c r="DA976" s="216"/>
      <c r="DB976" s="307"/>
      <c r="DC976" s="328"/>
      <c r="DD976" s="322"/>
      <c r="DE976" s="305"/>
      <c r="DF976" s="249"/>
      <c r="DG976" s="216"/>
      <c r="DH976" s="305"/>
      <c r="DI976" s="249"/>
      <c r="DJ976" s="216"/>
      <c r="DK976" s="309"/>
      <c r="DL976" s="293"/>
      <c r="DM976" s="326"/>
      <c r="DN976" s="1256"/>
      <c r="DO976" s="214"/>
      <c r="DP976" s="1257"/>
      <c r="DQ976" s="1258"/>
      <c r="DR976" s="305"/>
      <c r="DS976" s="249"/>
      <c r="DT976" s="216"/>
      <c r="DU976" s="305"/>
      <c r="DV976" s="2520"/>
      <c r="DW976" s="2521"/>
      <c r="DX976" s="305"/>
      <c r="DY976" s="249"/>
      <c r="DZ976" s="221"/>
      <c r="EA976" s="388"/>
      <c r="EB976" s="249"/>
      <c r="EC976" s="216"/>
      <c r="ED976" s="1461"/>
      <c r="EE976" s="249"/>
      <c r="EF976" s="216"/>
      <c r="EG976" s="355"/>
      <c r="EH976" s="1425"/>
      <c r="EI976" s="1470"/>
      <c r="EJ976" s="249"/>
      <c r="EK976" s="221"/>
      <c r="EL976" s="313"/>
      <c r="EM976" s="249"/>
      <c r="EN976" s="221"/>
      <c r="EO976" s="313"/>
      <c r="EP976" s="249"/>
      <c r="EQ976" s="216"/>
      <c r="ER976" s="313"/>
      <c r="ES976" s="249"/>
      <c r="ET976" s="216"/>
      <c r="EU976" s="313"/>
      <c r="EV976" s="249"/>
      <c r="EW976" s="216"/>
      <c r="EX976" s="2505"/>
      <c r="EY976" s="249"/>
      <c r="EZ976" s="221"/>
      <c r="FA976" s="313"/>
      <c r="FB976" s="249"/>
      <c r="FC976" s="221"/>
      <c r="FD976" s="313"/>
      <c r="FE976" s="249"/>
      <c r="FF976" s="221"/>
      <c r="FG976" s="313"/>
      <c r="FH976" s="249"/>
      <c r="FI976" s="216"/>
      <c r="FJ976" s="1435"/>
      <c r="FK976" s="216"/>
      <c r="FL976" s="1268"/>
      <c r="FM976" s="1655"/>
      <c r="FN976" s="1268"/>
      <c r="FO976" s="1655"/>
      <c r="FP976" s="1268"/>
      <c r="FQ976" s="1656"/>
      <c r="FR976" s="249"/>
      <c r="FS976" s="216"/>
      <c r="FT976" s="1657"/>
      <c r="FU976" s="1658"/>
      <c r="FV976" s="242"/>
      <c r="FW976" s="343"/>
      <c r="FX976" s="222"/>
      <c r="FY976" s="336"/>
      <c r="FZ976" s="223"/>
      <c r="GA976" s="338"/>
      <c r="GB976" s="204"/>
      <c r="GC976" s="339"/>
      <c r="GD976" s="342"/>
      <c r="GE976" s="199"/>
      <c r="GF976" s="199"/>
      <c r="GG976" s="199"/>
      <c r="GH976" s="199"/>
      <c r="GI976" s="199"/>
      <c r="GJ976" s="199"/>
      <c r="GK976" s="199"/>
      <c r="GO976" s="322"/>
      <c r="GP976" s="1190"/>
      <c r="GQ976" s="1190"/>
      <c r="GS976" s="2879"/>
      <c r="GT976" s="2880"/>
      <c r="GU976" s="2881"/>
    </row>
    <row r="977" spans="1:203" ht="12" customHeight="1">
      <c r="A977" s="1252"/>
      <c r="B977" s="200"/>
      <c r="C977" s="486"/>
      <c r="T977" s="1186"/>
      <c r="U977" s="233"/>
      <c r="W977" s="218"/>
      <c r="X977" s="218"/>
      <c r="Y977" s="216"/>
      <c r="Z977" s="216"/>
      <c r="AA977" s="215"/>
      <c r="AB977" s="216"/>
      <c r="AC977" s="216"/>
      <c r="AD977" s="239"/>
      <c r="AE977" s="216"/>
      <c r="AF977" s="216"/>
      <c r="AG977" s="216"/>
      <c r="AH977" s="216"/>
      <c r="AI977" s="216"/>
      <c r="AJ977" s="216"/>
      <c r="AK977" s="239"/>
      <c r="AL977" s="216"/>
      <c r="AM977" s="216"/>
      <c r="AN977" s="216"/>
      <c r="AO977" s="216"/>
      <c r="AP977" s="216"/>
      <c r="AQ977" s="216"/>
      <c r="AR977" s="216"/>
      <c r="AS977" s="216"/>
      <c r="AT977" s="216"/>
      <c r="AU977" s="216"/>
      <c r="AV977" s="217"/>
      <c r="AW977" s="355"/>
      <c r="AX977" s="217"/>
      <c r="AY977" s="305"/>
      <c r="AZ977" s="249"/>
      <c r="BA977" s="221"/>
      <c r="BB977" s="300"/>
      <c r="BC977" s="217"/>
      <c r="BD977" s="392"/>
      <c r="BE977" s="1244"/>
      <c r="BF977" s="249"/>
      <c r="BG977" s="252"/>
      <c r="BH977" s="1469"/>
      <c r="BI977" s="216"/>
      <c r="BJ977" s="1469"/>
      <c r="BK977" s="1459"/>
      <c r="BL977" s="260"/>
      <c r="BM977" s="214"/>
      <c r="BN977" s="293"/>
      <c r="BO977" s="217"/>
      <c r="BP977" s="355"/>
      <c r="BQ977" s="217"/>
      <c r="BR977" s="1193"/>
      <c r="BS977" s="249"/>
      <c r="BT977" s="216"/>
      <c r="BU977" s="1195"/>
      <c r="BV977" s="249"/>
      <c r="BW977" s="216"/>
      <c r="BX977" s="1195"/>
      <c r="BY977" s="249"/>
      <c r="BZ977" s="216"/>
      <c r="CA977" s="1195"/>
      <c r="CB977" s="249"/>
      <c r="CC977" s="216"/>
      <c r="CD977" s="1195"/>
      <c r="CE977" s="249"/>
      <c r="CF977" s="216"/>
      <c r="CG977" s="1195"/>
      <c r="CH977" s="249"/>
      <c r="CI977" s="216"/>
      <c r="CJ977" s="1195"/>
      <c r="CK977" s="249"/>
      <c r="CL977" s="216"/>
      <c r="CM977" s="1194"/>
      <c r="CN977" s="1524"/>
      <c r="CO977" s="217"/>
      <c r="CP977" s="1193"/>
      <c r="CQ977" s="293"/>
      <c r="CR977" s="217"/>
      <c r="CS977" s="305"/>
      <c r="CT977" s="249"/>
      <c r="CU977" s="216"/>
      <c r="CV977" s="1193"/>
      <c r="CW977" s="249"/>
      <c r="CX977" s="216"/>
      <c r="CY977" s="305"/>
      <c r="CZ977" s="249"/>
      <c r="DA977" s="216"/>
      <c r="DB977" s="307"/>
      <c r="DC977" s="328"/>
      <c r="DD977" s="322"/>
      <c r="DE977" s="305"/>
      <c r="DF977" s="249"/>
      <c r="DG977" s="216"/>
      <c r="DH977" s="305"/>
      <c r="DI977" s="249"/>
      <c r="DJ977" s="216"/>
      <c r="DK977" s="309"/>
      <c r="DL977" s="293"/>
      <c r="DM977" s="326"/>
      <c r="DN977" s="1256"/>
      <c r="DO977" s="214"/>
      <c r="DP977" s="1257"/>
      <c r="DQ977" s="1258"/>
      <c r="DR977" s="305"/>
      <c r="DS977" s="249"/>
      <c r="DT977" s="216"/>
      <c r="DU977" s="305"/>
      <c r="DV977" s="2520"/>
      <c r="DW977" s="2521"/>
      <c r="DX977" s="305"/>
      <c r="DY977" s="249"/>
      <c r="DZ977" s="221"/>
      <c r="EA977" s="388"/>
      <c r="EB977" s="249"/>
      <c r="EC977" s="216"/>
      <c r="ED977" s="1461"/>
      <c r="EE977" s="249"/>
      <c r="EF977" s="216"/>
      <c r="EG977" s="355"/>
      <c r="EH977" s="1425"/>
      <c r="EI977" s="1470"/>
      <c r="EJ977" s="249"/>
      <c r="EK977" s="221"/>
      <c r="EL977" s="313"/>
      <c r="EM977" s="249"/>
      <c r="EN977" s="221"/>
      <c r="EO977" s="313"/>
      <c r="EP977" s="249"/>
      <c r="EQ977" s="216"/>
      <c r="ER977" s="313"/>
      <c r="ES977" s="249"/>
      <c r="ET977" s="216"/>
      <c r="EU977" s="313"/>
      <c r="EV977" s="249"/>
      <c r="EW977" s="216"/>
      <c r="EX977" s="2505"/>
      <c r="EY977" s="249"/>
      <c r="EZ977" s="221"/>
      <c r="FA977" s="313"/>
      <c r="FB977" s="249"/>
      <c r="FC977" s="221"/>
      <c r="FD977" s="313"/>
      <c r="FE977" s="249"/>
      <c r="FF977" s="221"/>
      <c r="FG977" s="313"/>
      <c r="FH977" s="249"/>
      <c r="FI977" s="216"/>
      <c r="FJ977" s="1435"/>
      <c r="FK977" s="216"/>
      <c r="FL977" s="1268"/>
      <c r="FM977" s="1655"/>
      <c r="FN977" s="1268"/>
      <c r="FO977" s="1655"/>
      <c r="FP977" s="1268"/>
      <c r="FQ977" s="1656"/>
      <c r="FR977" s="249"/>
      <c r="FS977" s="216"/>
      <c r="FT977" s="1657"/>
      <c r="FU977" s="1658"/>
      <c r="FV977" s="242"/>
      <c r="FW977" s="343"/>
      <c r="FX977" s="222"/>
      <c r="FY977" s="336"/>
      <c r="FZ977" s="223"/>
      <c r="GA977" s="338"/>
      <c r="GB977" s="204"/>
      <c r="GC977" s="339"/>
      <c r="GD977" s="342"/>
      <c r="GE977" s="199"/>
      <c r="GF977" s="199"/>
      <c r="GG977" s="199"/>
      <c r="GH977" s="199"/>
      <c r="GI977" s="199"/>
      <c r="GJ977" s="199"/>
      <c r="GK977" s="199"/>
      <c r="GO977" s="322"/>
      <c r="GP977" s="1190"/>
      <c r="GQ977" s="1190"/>
      <c r="GS977" s="2879"/>
      <c r="GT977" s="2880"/>
      <c r="GU977" s="2881"/>
    </row>
    <row r="978" spans="1:203" ht="12" customHeight="1">
      <c r="A978" s="1252"/>
      <c r="B978" s="200"/>
      <c r="C978" s="486"/>
      <c r="T978" s="1186"/>
      <c r="U978" s="233"/>
      <c r="W978" s="218"/>
      <c r="X978" s="218"/>
      <c r="Y978" s="216"/>
      <c r="Z978" s="216"/>
      <c r="AA978" s="215"/>
      <c r="AB978" s="216"/>
      <c r="AC978" s="216"/>
      <c r="AD978" s="239"/>
      <c r="AE978" s="216"/>
      <c r="AF978" s="216"/>
      <c r="AG978" s="216"/>
      <c r="AH978" s="216"/>
      <c r="AI978" s="216"/>
      <c r="AJ978" s="216"/>
      <c r="AK978" s="239"/>
      <c r="AL978" s="216"/>
      <c r="AM978" s="216"/>
      <c r="AN978" s="216"/>
      <c r="AO978" s="216"/>
      <c r="AP978" s="216"/>
      <c r="AQ978" s="216"/>
      <c r="AR978" s="216"/>
      <c r="AS978" s="216"/>
      <c r="AT978" s="216"/>
      <c r="AU978" s="216"/>
      <c r="AV978" s="217"/>
      <c r="AW978" s="355"/>
      <c r="AX978" s="217"/>
      <c r="AY978" s="305"/>
      <c r="AZ978" s="249"/>
      <c r="BA978" s="221"/>
      <c r="BB978" s="300"/>
      <c r="BC978" s="217"/>
      <c r="BD978" s="392"/>
      <c r="BE978" s="1244"/>
      <c r="BF978" s="249"/>
      <c r="BG978" s="252"/>
      <c r="BH978" s="1469"/>
      <c r="BI978" s="216"/>
      <c r="BJ978" s="1469"/>
      <c r="BK978" s="1459"/>
      <c r="BL978" s="260"/>
      <c r="BM978" s="214"/>
      <c r="BN978" s="293"/>
      <c r="BO978" s="217"/>
      <c r="BP978" s="355"/>
      <c r="BQ978" s="217"/>
      <c r="BR978" s="1193"/>
      <c r="BS978" s="249"/>
      <c r="BT978" s="216"/>
      <c r="BU978" s="1195"/>
      <c r="BV978" s="249"/>
      <c r="BW978" s="216"/>
      <c r="BX978" s="1195"/>
      <c r="BY978" s="249"/>
      <c r="BZ978" s="216"/>
      <c r="CA978" s="1195"/>
      <c r="CB978" s="249"/>
      <c r="CC978" s="216"/>
      <c r="CD978" s="1195"/>
      <c r="CE978" s="249"/>
      <c r="CF978" s="216"/>
      <c r="CG978" s="1195"/>
      <c r="CH978" s="249"/>
      <c r="CI978" s="216"/>
      <c r="CJ978" s="1195"/>
      <c r="CK978" s="249"/>
      <c r="CL978" s="216"/>
      <c r="CM978" s="1194"/>
      <c r="CN978" s="1524"/>
      <c r="CO978" s="217"/>
      <c r="CP978" s="1193"/>
      <c r="CQ978" s="293"/>
      <c r="CR978" s="217"/>
      <c r="CS978" s="305"/>
      <c r="CT978" s="249"/>
      <c r="CU978" s="216"/>
      <c r="CV978" s="1193"/>
      <c r="CW978" s="249"/>
      <c r="CX978" s="216"/>
      <c r="CY978" s="305"/>
      <c r="CZ978" s="249"/>
      <c r="DA978" s="216"/>
      <c r="DB978" s="307"/>
      <c r="DC978" s="328"/>
      <c r="DD978" s="322"/>
      <c r="DE978" s="305"/>
      <c r="DF978" s="249"/>
      <c r="DG978" s="216"/>
      <c r="DH978" s="305"/>
      <c r="DI978" s="249"/>
      <c r="DJ978" s="216"/>
      <c r="DK978" s="309"/>
      <c r="DL978" s="293"/>
      <c r="DM978" s="326"/>
      <c r="DN978" s="1256"/>
      <c r="DO978" s="214"/>
      <c r="DP978" s="1257"/>
      <c r="DQ978" s="1258"/>
      <c r="DR978" s="305"/>
      <c r="DS978" s="249"/>
      <c r="DT978" s="216"/>
      <c r="DU978" s="305"/>
      <c r="DV978" s="2520"/>
      <c r="DW978" s="2521"/>
      <c r="DX978" s="305"/>
      <c r="DY978" s="249"/>
      <c r="DZ978" s="221"/>
      <c r="EA978" s="388"/>
      <c r="EB978" s="249"/>
      <c r="EC978" s="216"/>
      <c r="ED978" s="1461"/>
      <c r="EE978" s="249"/>
      <c r="EF978" s="216"/>
      <c r="EG978" s="355"/>
      <c r="EH978" s="1425"/>
      <c r="EI978" s="1470"/>
      <c r="EJ978" s="249"/>
      <c r="EK978" s="221"/>
      <c r="EL978" s="313"/>
      <c r="EM978" s="249"/>
      <c r="EN978" s="221"/>
      <c r="EO978" s="313"/>
      <c r="EP978" s="249"/>
      <c r="EQ978" s="216"/>
      <c r="ER978" s="313"/>
      <c r="ES978" s="249"/>
      <c r="ET978" s="216"/>
      <c r="EU978" s="313"/>
      <c r="EV978" s="249"/>
      <c r="EW978" s="216"/>
      <c r="EX978" s="2505"/>
      <c r="EY978" s="249"/>
      <c r="EZ978" s="221"/>
      <c r="FA978" s="313"/>
      <c r="FB978" s="249"/>
      <c r="FC978" s="221"/>
      <c r="FD978" s="313"/>
      <c r="FE978" s="249"/>
      <c r="FF978" s="221"/>
      <c r="FG978" s="313"/>
      <c r="FH978" s="249"/>
      <c r="FI978" s="216"/>
      <c r="FJ978" s="1435"/>
      <c r="FK978" s="216"/>
      <c r="FL978" s="1268"/>
      <c r="FM978" s="1655"/>
      <c r="FN978" s="1268"/>
      <c r="FO978" s="1655"/>
      <c r="FP978" s="1268"/>
      <c r="FQ978" s="1656"/>
      <c r="FR978" s="249"/>
      <c r="FS978" s="216"/>
      <c r="FT978" s="1657"/>
      <c r="FU978" s="1658"/>
      <c r="FV978" s="242"/>
      <c r="FW978" s="343"/>
      <c r="FX978" s="222"/>
      <c r="FY978" s="336"/>
      <c r="FZ978" s="223"/>
      <c r="GA978" s="338"/>
      <c r="GB978" s="204"/>
      <c r="GC978" s="339"/>
      <c r="GD978" s="342"/>
      <c r="GE978" s="199"/>
      <c r="GF978" s="199"/>
      <c r="GG978" s="199"/>
      <c r="GH978" s="199"/>
      <c r="GI978" s="199"/>
      <c r="GJ978" s="199"/>
      <c r="GK978" s="199"/>
      <c r="GO978" s="322"/>
      <c r="GP978" s="1190"/>
      <c r="GQ978" s="1190"/>
      <c r="GS978" s="2879"/>
      <c r="GT978" s="2880"/>
      <c r="GU978" s="2881"/>
    </row>
    <row r="979" spans="1:203" ht="12" customHeight="1">
      <c r="A979" s="1252"/>
      <c r="B979" s="200"/>
      <c r="C979" s="486"/>
      <c r="T979" s="1186"/>
      <c r="U979" s="233"/>
      <c r="W979" s="218"/>
      <c r="X979" s="218"/>
      <c r="Y979" s="216"/>
      <c r="Z979" s="216"/>
      <c r="AA979" s="215"/>
      <c r="AB979" s="216"/>
      <c r="AC979" s="216"/>
      <c r="AD979" s="239"/>
      <c r="AE979" s="216"/>
      <c r="AF979" s="216"/>
      <c r="AG979" s="216"/>
      <c r="AH979" s="216"/>
      <c r="AI979" s="216"/>
      <c r="AJ979" s="216"/>
      <c r="AK979" s="239"/>
      <c r="AL979" s="216"/>
      <c r="AM979" s="216"/>
      <c r="AN979" s="216"/>
      <c r="AO979" s="216"/>
      <c r="AP979" s="216"/>
      <c r="AQ979" s="216"/>
      <c r="AR979" s="216"/>
      <c r="AS979" s="216"/>
      <c r="AT979" s="216"/>
      <c r="AU979" s="216"/>
      <c r="AV979" s="217"/>
      <c r="AW979" s="355"/>
      <c r="AX979" s="217"/>
      <c r="AY979" s="305"/>
      <c r="AZ979" s="249"/>
      <c r="BA979" s="221"/>
      <c r="BB979" s="300"/>
      <c r="BC979" s="217"/>
      <c r="BD979" s="392"/>
      <c r="BE979" s="1244"/>
      <c r="BF979" s="249"/>
      <c r="BG979" s="252"/>
      <c r="BH979" s="1469"/>
      <c r="BI979" s="216"/>
      <c r="BJ979" s="1469"/>
      <c r="BK979" s="1459"/>
      <c r="BL979" s="260"/>
      <c r="BM979" s="214"/>
      <c r="BN979" s="293"/>
      <c r="BO979" s="217"/>
      <c r="BP979" s="355"/>
      <c r="BQ979" s="217"/>
      <c r="BR979" s="1193"/>
      <c r="BS979" s="249"/>
      <c r="BT979" s="216"/>
      <c r="BU979" s="1195"/>
      <c r="BV979" s="249"/>
      <c r="BW979" s="216"/>
      <c r="BX979" s="1195"/>
      <c r="BY979" s="249"/>
      <c r="BZ979" s="216"/>
      <c r="CA979" s="1195"/>
      <c r="CB979" s="249"/>
      <c r="CC979" s="216"/>
      <c r="CD979" s="1195"/>
      <c r="CE979" s="249"/>
      <c r="CF979" s="216"/>
      <c r="CG979" s="1195"/>
      <c r="CH979" s="249"/>
      <c r="CI979" s="216"/>
      <c r="CJ979" s="1195"/>
      <c r="CK979" s="249"/>
      <c r="CL979" s="216"/>
      <c r="CM979" s="1194"/>
      <c r="CN979" s="1524"/>
      <c r="CO979" s="217"/>
      <c r="CP979" s="1193"/>
      <c r="CQ979" s="293"/>
      <c r="CR979" s="217"/>
      <c r="CS979" s="305"/>
      <c r="CT979" s="249"/>
      <c r="CU979" s="216"/>
      <c r="CV979" s="1193"/>
      <c r="CW979" s="249"/>
      <c r="CX979" s="216"/>
      <c r="CY979" s="305"/>
      <c r="CZ979" s="249"/>
      <c r="DA979" s="216"/>
      <c r="DB979" s="307"/>
      <c r="DC979" s="328"/>
      <c r="DD979" s="322"/>
      <c r="DE979" s="305"/>
      <c r="DF979" s="249"/>
      <c r="DG979" s="216"/>
      <c r="DH979" s="305"/>
      <c r="DI979" s="249"/>
      <c r="DJ979" s="216"/>
      <c r="DK979" s="309"/>
      <c r="DL979" s="293"/>
      <c r="DM979" s="326"/>
      <c r="DN979" s="1256"/>
      <c r="DO979" s="214"/>
      <c r="DP979" s="1257"/>
      <c r="DQ979" s="1258"/>
      <c r="DR979" s="305"/>
      <c r="DS979" s="249"/>
      <c r="DT979" s="216"/>
      <c r="DU979" s="305"/>
      <c r="DV979" s="2520"/>
      <c r="DW979" s="2521"/>
      <c r="DX979" s="305"/>
      <c r="DY979" s="249"/>
      <c r="DZ979" s="221"/>
      <c r="EA979" s="388"/>
      <c r="EB979" s="249"/>
      <c r="EC979" s="216"/>
      <c r="ED979" s="1461"/>
      <c r="EE979" s="249"/>
      <c r="EF979" s="216"/>
      <c r="EG979" s="355"/>
      <c r="EH979" s="1425"/>
      <c r="EI979" s="1470"/>
      <c r="EJ979" s="249"/>
      <c r="EK979" s="221"/>
      <c r="EL979" s="313"/>
      <c r="EM979" s="249"/>
      <c r="EN979" s="221"/>
      <c r="EO979" s="313"/>
      <c r="EP979" s="249"/>
      <c r="EQ979" s="216"/>
      <c r="ER979" s="313"/>
      <c r="ES979" s="249"/>
      <c r="ET979" s="216"/>
      <c r="EU979" s="313"/>
      <c r="EV979" s="249"/>
      <c r="EW979" s="216"/>
      <c r="EX979" s="2505"/>
      <c r="EY979" s="249"/>
      <c r="EZ979" s="221"/>
      <c r="FA979" s="313"/>
      <c r="FB979" s="249"/>
      <c r="FC979" s="221"/>
      <c r="FD979" s="313"/>
      <c r="FE979" s="249"/>
      <c r="FF979" s="221"/>
      <c r="FG979" s="313"/>
      <c r="FH979" s="249"/>
      <c r="FI979" s="216"/>
      <c r="FJ979" s="1435"/>
      <c r="FK979" s="216"/>
      <c r="FL979" s="1268"/>
      <c r="FM979" s="1655"/>
      <c r="FN979" s="1268"/>
      <c r="FO979" s="1655"/>
      <c r="FP979" s="1268"/>
      <c r="FQ979" s="1656"/>
      <c r="FR979" s="249"/>
      <c r="FS979" s="216"/>
      <c r="FT979" s="1657"/>
      <c r="FU979" s="1658"/>
      <c r="FV979" s="242"/>
      <c r="FW979" s="343"/>
      <c r="FX979" s="222"/>
      <c r="FY979" s="336"/>
      <c r="FZ979" s="223"/>
      <c r="GA979" s="338"/>
      <c r="GB979" s="204"/>
      <c r="GC979" s="339"/>
      <c r="GD979" s="342"/>
      <c r="GE979" s="199"/>
      <c r="GF979" s="199"/>
      <c r="GG979" s="199"/>
      <c r="GH979" s="199"/>
      <c r="GI979" s="199"/>
      <c r="GJ979" s="199"/>
      <c r="GK979" s="199"/>
      <c r="GO979" s="322"/>
      <c r="GP979" s="1190"/>
      <c r="GQ979" s="1190"/>
      <c r="GS979" s="2879"/>
      <c r="GT979" s="2880"/>
      <c r="GU979" s="2881"/>
    </row>
    <row r="980" spans="1:203" ht="12" customHeight="1">
      <c r="A980" s="1252"/>
      <c r="B980" s="200"/>
      <c r="C980" s="486"/>
      <c r="T980" s="1186"/>
      <c r="U980" s="233"/>
      <c r="W980" s="218"/>
      <c r="X980" s="218"/>
      <c r="Y980" s="216"/>
      <c r="Z980" s="216"/>
      <c r="AA980" s="215"/>
      <c r="AB980" s="216"/>
      <c r="AC980" s="216"/>
      <c r="AD980" s="239"/>
      <c r="AE980" s="216"/>
      <c r="AF980" s="216"/>
      <c r="AG980" s="216"/>
      <c r="AH980" s="216"/>
      <c r="AI980" s="216"/>
      <c r="AJ980" s="216"/>
      <c r="AK980" s="239"/>
      <c r="AL980" s="216"/>
      <c r="AM980" s="216"/>
      <c r="AN980" s="216"/>
      <c r="AO980" s="216"/>
      <c r="AP980" s="216"/>
      <c r="AQ980" s="216"/>
      <c r="AR980" s="216"/>
      <c r="AS980" s="216"/>
      <c r="AT980" s="216"/>
      <c r="AU980" s="216"/>
      <c r="AV980" s="217"/>
      <c r="AW980" s="355"/>
      <c r="AX980" s="217"/>
      <c r="AY980" s="305"/>
      <c r="AZ980" s="249"/>
      <c r="BA980" s="221"/>
      <c r="BB980" s="300"/>
      <c r="BC980" s="217"/>
      <c r="BD980" s="392"/>
      <c r="BE980" s="1244"/>
      <c r="BF980" s="249"/>
      <c r="BG980" s="252"/>
      <c r="BH980" s="1469"/>
      <c r="BI980" s="216"/>
      <c r="BJ980" s="1469"/>
      <c r="BK980" s="1459"/>
      <c r="BL980" s="260"/>
      <c r="BM980" s="214"/>
      <c r="BN980" s="293"/>
      <c r="BO980" s="217"/>
      <c r="BP980" s="355"/>
      <c r="BQ980" s="217"/>
      <c r="BR980" s="1193"/>
      <c r="BS980" s="249"/>
      <c r="BT980" s="216"/>
      <c r="BU980" s="1195"/>
      <c r="BV980" s="249"/>
      <c r="BW980" s="216"/>
      <c r="BX980" s="1195"/>
      <c r="BY980" s="249"/>
      <c r="BZ980" s="216"/>
      <c r="CA980" s="1195"/>
      <c r="CB980" s="249"/>
      <c r="CC980" s="216"/>
      <c r="CD980" s="1195"/>
      <c r="CE980" s="249"/>
      <c r="CF980" s="216"/>
      <c r="CG980" s="1195"/>
      <c r="CH980" s="249"/>
      <c r="CI980" s="216"/>
      <c r="CJ980" s="1195"/>
      <c r="CK980" s="249"/>
      <c r="CL980" s="216"/>
      <c r="CM980" s="1194"/>
      <c r="CN980" s="1524"/>
      <c r="CO980" s="217"/>
      <c r="CP980" s="1193"/>
      <c r="CQ980" s="293"/>
      <c r="CR980" s="217"/>
      <c r="CS980" s="305"/>
      <c r="CT980" s="249"/>
      <c r="CU980" s="216"/>
      <c r="CV980" s="1193"/>
      <c r="CW980" s="249"/>
      <c r="CX980" s="216"/>
      <c r="CY980" s="305"/>
      <c r="CZ980" s="249"/>
      <c r="DA980" s="216"/>
      <c r="DB980" s="307"/>
      <c r="DC980" s="328"/>
      <c r="DD980" s="322"/>
      <c r="DE980" s="305"/>
      <c r="DF980" s="249"/>
      <c r="DG980" s="216"/>
      <c r="DH980" s="305"/>
      <c r="DI980" s="249"/>
      <c r="DJ980" s="216"/>
      <c r="DK980" s="309"/>
      <c r="DL980" s="293"/>
      <c r="DM980" s="326"/>
      <c r="DN980" s="1256"/>
      <c r="DO980" s="214"/>
      <c r="DP980" s="1257"/>
      <c r="DQ980" s="1258"/>
      <c r="DR980" s="305"/>
      <c r="DS980" s="249"/>
      <c r="DT980" s="216"/>
      <c r="DU980" s="305"/>
      <c r="DV980" s="2520"/>
      <c r="DW980" s="2521"/>
      <c r="DX980" s="305"/>
      <c r="DY980" s="249"/>
      <c r="DZ980" s="221"/>
      <c r="EA980" s="388"/>
      <c r="EB980" s="249"/>
      <c r="EC980" s="216"/>
      <c r="ED980" s="1461"/>
      <c r="EE980" s="249"/>
      <c r="EF980" s="216"/>
      <c r="EG980" s="355"/>
      <c r="EH980" s="1425"/>
      <c r="EI980" s="1470"/>
      <c r="EJ980" s="249"/>
      <c r="EK980" s="221"/>
      <c r="EL980" s="313"/>
      <c r="EM980" s="249"/>
      <c r="EN980" s="221"/>
      <c r="EO980" s="313"/>
      <c r="EP980" s="249"/>
      <c r="EQ980" s="216"/>
      <c r="ER980" s="313"/>
      <c r="ES980" s="249"/>
      <c r="ET980" s="216"/>
      <c r="EU980" s="313"/>
      <c r="EV980" s="249"/>
      <c r="EW980" s="216"/>
      <c r="EX980" s="2505"/>
      <c r="EY980" s="249"/>
      <c r="EZ980" s="221"/>
      <c r="FA980" s="313"/>
      <c r="FB980" s="249"/>
      <c r="FC980" s="221"/>
      <c r="FD980" s="313"/>
      <c r="FE980" s="249"/>
      <c r="FF980" s="221"/>
      <c r="FG980" s="313"/>
      <c r="FH980" s="249"/>
      <c r="FI980" s="216"/>
      <c r="FJ980" s="1435"/>
      <c r="FK980" s="216"/>
      <c r="FL980" s="1268"/>
      <c r="FM980" s="1655"/>
      <c r="FN980" s="1268"/>
      <c r="FO980" s="1655"/>
      <c r="FP980" s="1268"/>
      <c r="FQ980" s="1656"/>
      <c r="FR980" s="249"/>
      <c r="FS980" s="216"/>
      <c r="FT980" s="1657"/>
      <c r="FU980" s="1658"/>
      <c r="FV980" s="242"/>
      <c r="FW980" s="343"/>
      <c r="FX980" s="222"/>
      <c r="FY980" s="336"/>
      <c r="FZ980" s="223"/>
      <c r="GA980" s="338"/>
      <c r="GB980" s="204"/>
      <c r="GC980" s="339"/>
      <c r="GD980" s="342"/>
      <c r="GE980" s="199"/>
      <c r="GF980" s="199"/>
      <c r="GG980" s="199"/>
      <c r="GH980" s="199"/>
      <c r="GI980" s="199"/>
      <c r="GJ980" s="199"/>
      <c r="GK980" s="199"/>
      <c r="GO980" s="322"/>
      <c r="GP980" s="1190"/>
      <c r="GQ980" s="1190"/>
      <c r="GS980" s="2879"/>
      <c r="GT980" s="2880"/>
      <c r="GU980" s="2881"/>
    </row>
    <row r="981" spans="1:203" ht="12" customHeight="1">
      <c r="A981" s="1252"/>
      <c r="B981" s="200"/>
      <c r="C981" s="486"/>
      <c r="T981" s="1186"/>
      <c r="U981" s="233"/>
      <c r="W981" s="218"/>
      <c r="X981" s="218"/>
      <c r="Y981" s="216"/>
      <c r="Z981" s="216"/>
      <c r="AA981" s="215"/>
      <c r="AB981" s="216"/>
      <c r="AC981" s="216"/>
      <c r="AD981" s="239"/>
      <c r="AE981" s="216"/>
      <c r="AF981" s="216"/>
      <c r="AG981" s="216"/>
      <c r="AH981" s="216"/>
      <c r="AI981" s="216"/>
      <c r="AJ981" s="216"/>
      <c r="AK981" s="239"/>
      <c r="AL981" s="216"/>
      <c r="AM981" s="216"/>
      <c r="AN981" s="216"/>
      <c r="AO981" s="216"/>
      <c r="AP981" s="216"/>
      <c r="AQ981" s="216"/>
      <c r="AR981" s="216"/>
      <c r="AS981" s="216"/>
      <c r="AT981" s="216"/>
      <c r="AU981" s="216"/>
      <c r="AV981" s="217"/>
      <c r="AW981" s="355"/>
      <c r="AX981" s="217"/>
      <c r="AY981" s="305"/>
      <c r="AZ981" s="249"/>
      <c r="BA981" s="221"/>
      <c r="BB981" s="300"/>
      <c r="BC981" s="217"/>
      <c r="BD981" s="392"/>
      <c r="BE981" s="1244"/>
      <c r="BF981" s="249"/>
      <c r="BG981" s="252"/>
      <c r="BH981" s="1469"/>
      <c r="BI981" s="216"/>
      <c r="BJ981" s="1469"/>
      <c r="BK981" s="1459"/>
      <c r="BL981" s="260"/>
      <c r="BM981" s="214"/>
      <c r="BN981" s="293"/>
      <c r="BO981" s="217"/>
      <c r="BP981" s="355"/>
      <c r="BQ981" s="217"/>
      <c r="BR981" s="1193"/>
      <c r="BS981" s="249"/>
      <c r="BT981" s="216"/>
      <c r="BU981" s="1195"/>
      <c r="BV981" s="249"/>
      <c r="BW981" s="216"/>
      <c r="BX981" s="1195"/>
      <c r="BY981" s="249"/>
      <c r="BZ981" s="216"/>
      <c r="CA981" s="1195"/>
      <c r="CB981" s="249"/>
      <c r="CC981" s="216"/>
      <c r="CD981" s="1195"/>
      <c r="CE981" s="249"/>
      <c r="CF981" s="216"/>
      <c r="CG981" s="1195"/>
      <c r="CH981" s="249"/>
      <c r="CI981" s="216"/>
      <c r="CJ981" s="1195"/>
      <c r="CK981" s="249"/>
      <c r="CL981" s="216"/>
      <c r="CM981" s="1194"/>
      <c r="CN981" s="1524"/>
      <c r="CO981" s="217"/>
      <c r="CP981" s="1193"/>
      <c r="CQ981" s="293"/>
      <c r="CR981" s="217"/>
      <c r="CS981" s="305"/>
      <c r="CT981" s="249"/>
      <c r="CU981" s="216"/>
      <c r="CV981" s="1193"/>
      <c r="CW981" s="249"/>
      <c r="CX981" s="216"/>
      <c r="CY981" s="305"/>
      <c r="CZ981" s="249"/>
      <c r="DA981" s="216"/>
      <c r="DB981" s="307"/>
      <c r="DC981" s="328"/>
      <c r="DD981" s="322"/>
      <c r="DE981" s="305"/>
      <c r="DF981" s="249"/>
      <c r="DG981" s="216"/>
      <c r="DH981" s="305"/>
      <c r="DI981" s="249"/>
      <c r="DJ981" s="216"/>
      <c r="DK981" s="309"/>
      <c r="DL981" s="293"/>
      <c r="DM981" s="326"/>
      <c r="DN981" s="1256"/>
      <c r="DO981" s="214"/>
      <c r="DP981" s="1257"/>
      <c r="DQ981" s="1258"/>
      <c r="DR981" s="305"/>
      <c r="DS981" s="249"/>
      <c r="DT981" s="216"/>
      <c r="DU981" s="305"/>
      <c r="DV981" s="2520"/>
      <c r="DW981" s="2521"/>
      <c r="DX981" s="305"/>
      <c r="DY981" s="249"/>
      <c r="DZ981" s="221"/>
      <c r="EA981" s="388"/>
      <c r="EB981" s="249"/>
      <c r="EC981" s="216"/>
      <c r="ED981" s="1461"/>
      <c r="EE981" s="249"/>
      <c r="EF981" s="216"/>
      <c r="EG981" s="355"/>
      <c r="EH981" s="1425"/>
      <c r="EI981" s="1470"/>
      <c r="EJ981" s="249"/>
      <c r="EK981" s="221"/>
      <c r="EL981" s="313"/>
      <c r="EM981" s="249"/>
      <c r="EN981" s="221"/>
      <c r="EO981" s="313"/>
      <c r="EP981" s="249"/>
      <c r="EQ981" s="216"/>
      <c r="ER981" s="313"/>
      <c r="ES981" s="249"/>
      <c r="ET981" s="216"/>
      <c r="EU981" s="313"/>
      <c r="EV981" s="249"/>
      <c r="EW981" s="216"/>
      <c r="EX981" s="2505"/>
      <c r="EY981" s="249"/>
      <c r="EZ981" s="221"/>
      <c r="FA981" s="313"/>
      <c r="FB981" s="249"/>
      <c r="FC981" s="221"/>
      <c r="FD981" s="313"/>
      <c r="FE981" s="249"/>
      <c r="FF981" s="221"/>
      <c r="FG981" s="313"/>
      <c r="FH981" s="249"/>
      <c r="FI981" s="216"/>
      <c r="FJ981" s="1435"/>
      <c r="FK981" s="216"/>
      <c r="FL981" s="1268"/>
      <c r="FM981" s="1655"/>
      <c r="FN981" s="1268"/>
      <c r="FO981" s="1655"/>
      <c r="FP981" s="1268"/>
      <c r="FQ981" s="1656"/>
      <c r="FR981" s="249"/>
      <c r="FS981" s="216"/>
      <c r="FT981" s="1657"/>
      <c r="FU981" s="1658"/>
      <c r="FV981" s="242"/>
      <c r="FW981" s="343"/>
      <c r="FX981" s="222"/>
      <c r="FY981" s="336"/>
      <c r="FZ981" s="223"/>
      <c r="GA981" s="338"/>
      <c r="GB981" s="204"/>
      <c r="GC981" s="339"/>
      <c r="GD981" s="342"/>
      <c r="GE981" s="199"/>
      <c r="GF981" s="199"/>
      <c r="GG981" s="199"/>
      <c r="GH981" s="199"/>
      <c r="GI981" s="199"/>
      <c r="GJ981" s="199"/>
      <c r="GK981" s="199"/>
      <c r="GO981" s="322"/>
      <c r="GP981" s="1190"/>
      <c r="GQ981" s="1190"/>
      <c r="GS981" s="2879"/>
      <c r="GT981" s="2880"/>
      <c r="GU981" s="2881"/>
    </row>
    <row r="982" spans="1:203" ht="12" customHeight="1">
      <c r="A982" s="1252"/>
      <c r="B982" s="200"/>
      <c r="C982" s="486"/>
      <c r="T982" s="1186"/>
      <c r="U982" s="233"/>
      <c r="W982" s="218"/>
      <c r="X982" s="218"/>
      <c r="Y982" s="216"/>
      <c r="Z982" s="216"/>
      <c r="AA982" s="215"/>
      <c r="AB982" s="216"/>
      <c r="AC982" s="216"/>
      <c r="AD982" s="239"/>
      <c r="AE982" s="216"/>
      <c r="AF982" s="216"/>
      <c r="AG982" s="216"/>
      <c r="AH982" s="216"/>
      <c r="AI982" s="216"/>
      <c r="AJ982" s="216"/>
      <c r="AK982" s="239"/>
      <c r="AL982" s="216"/>
      <c r="AM982" s="216"/>
      <c r="AN982" s="216"/>
      <c r="AO982" s="216"/>
      <c r="AP982" s="216"/>
      <c r="AQ982" s="216"/>
      <c r="AR982" s="216"/>
      <c r="AS982" s="216"/>
      <c r="AT982" s="216"/>
      <c r="AU982" s="216"/>
      <c r="AV982" s="217"/>
      <c r="AW982" s="355"/>
      <c r="AX982" s="217"/>
      <c r="AY982" s="305"/>
      <c r="AZ982" s="249"/>
      <c r="BA982" s="221"/>
      <c r="BB982" s="300"/>
      <c r="BC982" s="217"/>
      <c r="BD982" s="392"/>
      <c r="BE982" s="1244"/>
      <c r="BF982" s="249"/>
      <c r="BG982" s="252"/>
      <c r="BH982" s="1469"/>
      <c r="BI982" s="216"/>
      <c r="BJ982" s="1469"/>
      <c r="BK982" s="1459"/>
      <c r="BL982" s="260"/>
      <c r="BM982" s="214"/>
      <c r="BN982" s="293"/>
      <c r="BO982" s="217"/>
      <c r="BP982" s="355"/>
      <c r="BQ982" s="217"/>
      <c r="BR982" s="1193"/>
      <c r="BS982" s="249"/>
      <c r="BT982" s="216"/>
      <c r="BU982" s="1195"/>
      <c r="BV982" s="249"/>
      <c r="BW982" s="216"/>
      <c r="BX982" s="1195"/>
      <c r="BY982" s="249"/>
      <c r="BZ982" s="216"/>
      <c r="CA982" s="1195"/>
      <c r="CB982" s="249"/>
      <c r="CC982" s="216"/>
      <c r="CD982" s="1195"/>
      <c r="CE982" s="249"/>
      <c r="CF982" s="216"/>
      <c r="CG982" s="1195"/>
      <c r="CH982" s="249"/>
      <c r="CI982" s="216"/>
      <c r="CJ982" s="1195"/>
      <c r="CK982" s="249"/>
      <c r="CL982" s="216"/>
      <c r="CM982" s="1194"/>
      <c r="CN982" s="1524"/>
      <c r="CO982" s="217"/>
      <c r="CP982" s="1193"/>
      <c r="CQ982" s="293"/>
      <c r="CR982" s="217"/>
      <c r="CS982" s="305"/>
      <c r="CT982" s="249"/>
      <c r="CU982" s="216"/>
      <c r="CV982" s="1193"/>
      <c r="CW982" s="249"/>
      <c r="CX982" s="216"/>
      <c r="CY982" s="305"/>
      <c r="CZ982" s="249"/>
      <c r="DA982" s="216"/>
      <c r="DB982" s="307"/>
      <c r="DC982" s="328"/>
      <c r="DD982" s="322"/>
      <c r="DE982" s="305"/>
      <c r="DF982" s="249"/>
      <c r="DG982" s="216"/>
      <c r="DH982" s="305"/>
      <c r="DI982" s="249"/>
      <c r="DJ982" s="216"/>
      <c r="DK982" s="309"/>
      <c r="DL982" s="293"/>
      <c r="DM982" s="326"/>
      <c r="DN982" s="1256"/>
      <c r="DO982" s="214"/>
      <c r="DP982" s="1257"/>
      <c r="DQ982" s="1258"/>
      <c r="DR982" s="305"/>
      <c r="DS982" s="249"/>
      <c r="DT982" s="216"/>
      <c r="DU982" s="305"/>
      <c r="DV982" s="2520"/>
      <c r="DW982" s="2521"/>
      <c r="DX982" s="305"/>
      <c r="DY982" s="249"/>
      <c r="DZ982" s="221"/>
      <c r="EA982" s="388"/>
      <c r="EB982" s="249"/>
      <c r="EC982" s="216"/>
      <c r="ED982" s="1461"/>
      <c r="EE982" s="249"/>
      <c r="EF982" s="216"/>
      <c r="EG982" s="355"/>
      <c r="EH982" s="1425"/>
      <c r="EI982" s="1470"/>
      <c r="EJ982" s="249"/>
      <c r="EK982" s="221"/>
      <c r="EL982" s="313"/>
      <c r="EM982" s="249"/>
      <c r="EN982" s="221"/>
      <c r="EO982" s="313"/>
      <c r="EP982" s="249"/>
      <c r="EQ982" s="216"/>
      <c r="ER982" s="313"/>
      <c r="ES982" s="249"/>
      <c r="ET982" s="216"/>
      <c r="EU982" s="313"/>
      <c r="EV982" s="249"/>
      <c r="EW982" s="216"/>
      <c r="EX982" s="2505"/>
      <c r="EY982" s="249"/>
      <c r="EZ982" s="221"/>
      <c r="FA982" s="313"/>
      <c r="FB982" s="249"/>
      <c r="FC982" s="221"/>
      <c r="FD982" s="313"/>
      <c r="FE982" s="249"/>
      <c r="FF982" s="221"/>
      <c r="FG982" s="313"/>
      <c r="FH982" s="249"/>
      <c r="FI982" s="216"/>
      <c r="FJ982" s="1435"/>
      <c r="FK982" s="216"/>
      <c r="FL982" s="1268"/>
      <c r="FM982" s="1655"/>
      <c r="FN982" s="1268"/>
      <c r="FO982" s="1655"/>
      <c r="FP982" s="1268"/>
      <c r="FQ982" s="1656"/>
      <c r="FR982" s="249"/>
      <c r="FS982" s="216"/>
      <c r="FT982" s="1657"/>
      <c r="FU982" s="1658"/>
      <c r="FV982" s="242"/>
      <c r="FW982" s="343"/>
      <c r="FX982" s="222"/>
      <c r="FY982" s="336"/>
      <c r="FZ982" s="223"/>
      <c r="GA982" s="338"/>
      <c r="GB982" s="204"/>
      <c r="GC982" s="339"/>
      <c r="GD982" s="342"/>
      <c r="GE982" s="199"/>
      <c r="GF982" s="199"/>
      <c r="GG982" s="199"/>
      <c r="GH982" s="199"/>
      <c r="GI982" s="199"/>
      <c r="GJ982" s="199"/>
      <c r="GK982" s="199"/>
      <c r="GO982" s="322"/>
      <c r="GP982" s="1190"/>
      <c r="GQ982" s="1190"/>
      <c r="GS982" s="2879"/>
      <c r="GT982" s="2880"/>
      <c r="GU982" s="2881"/>
    </row>
    <row r="983" spans="1:203" ht="12" customHeight="1">
      <c r="A983" s="1252"/>
      <c r="B983" s="200"/>
      <c r="C983" s="486"/>
      <c r="T983" s="1186"/>
      <c r="U983" s="233"/>
      <c r="W983" s="218"/>
      <c r="X983" s="218"/>
      <c r="Y983" s="216"/>
      <c r="Z983" s="216"/>
      <c r="AA983" s="215"/>
      <c r="AB983" s="216"/>
      <c r="AC983" s="216"/>
      <c r="AD983" s="239"/>
      <c r="AE983" s="216"/>
      <c r="AF983" s="216"/>
      <c r="AG983" s="216"/>
      <c r="AH983" s="216"/>
      <c r="AI983" s="216"/>
      <c r="AJ983" s="216"/>
      <c r="AK983" s="239"/>
      <c r="AL983" s="216"/>
      <c r="AM983" s="216"/>
      <c r="AN983" s="216"/>
      <c r="AO983" s="216"/>
      <c r="AP983" s="216"/>
      <c r="AQ983" s="216"/>
      <c r="AR983" s="216"/>
      <c r="AS983" s="216"/>
      <c r="AT983" s="216"/>
      <c r="AU983" s="216"/>
      <c r="AV983" s="217"/>
      <c r="AW983" s="355"/>
      <c r="AX983" s="217"/>
      <c r="AY983" s="305"/>
      <c r="AZ983" s="249"/>
      <c r="BA983" s="221"/>
      <c r="BB983" s="300"/>
      <c r="BC983" s="217"/>
      <c r="BD983" s="392"/>
      <c r="BE983" s="1244"/>
      <c r="BF983" s="249"/>
      <c r="BG983" s="252"/>
      <c r="BH983" s="1469"/>
      <c r="BI983" s="216"/>
      <c r="BJ983" s="1469"/>
      <c r="BK983" s="1459"/>
      <c r="BL983" s="260"/>
      <c r="BM983" s="214"/>
      <c r="BN983" s="293"/>
      <c r="BO983" s="217"/>
      <c r="BP983" s="355"/>
      <c r="BQ983" s="217"/>
      <c r="BR983" s="1193"/>
      <c r="BS983" s="249"/>
      <c r="BT983" s="216"/>
      <c r="BU983" s="1195"/>
      <c r="BV983" s="249"/>
      <c r="BW983" s="216"/>
      <c r="BX983" s="1195"/>
      <c r="BY983" s="249"/>
      <c r="BZ983" s="216"/>
      <c r="CA983" s="1195"/>
      <c r="CB983" s="249"/>
      <c r="CC983" s="216"/>
      <c r="CD983" s="1195"/>
      <c r="CE983" s="249"/>
      <c r="CF983" s="216"/>
      <c r="CG983" s="1195"/>
      <c r="CH983" s="249"/>
      <c r="CI983" s="216"/>
      <c r="CJ983" s="1195"/>
      <c r="CK983" s="249"/>
      <c r="CL983" s="216"/>
      <c r="CM983" s="1194"/>
      <c r="CN983" s="1524"/>
      <c r="CO983" s="217"/>
      <c r="CP983" s="1193"/>
      <c r="CQ983" s="293"/>
      <c r="CR983" s="217"/>
      <c r="CS983" s="305"/>
      <c r="CT983" s="249"/>
      <c r="CU983" s="216"/>
      <c r="CV983" s="1193"/>
      <c r="CW983" s="249"/>
      <c r="CX983" s="216"/>
      <c r="CY983" s="305"/>
      <c r="CZ983" s="249"/>
      <c r="DA983" s="216"/>
      <c r="DB983" s="307"/>
      <c r="DC983" s="328"/>
      <c r="DD983" s="322"/>
      <c r="DE983" s="305"/>
      <c r="DF983" s="249"/>
      <c r="DG983" s="216"/>
      <c r="DH983" s="305"/>
      <c r="DI983" s="249"/>
      <c r="DJ983" s="216"/>
      <c r="DK983" s="309"/>
      <c r="DL983" s="293"/>
      <c r="DM983" s="326"/>
      <c r="DN983" s="1256"/>
      <c r="DO983" s="214"/>
      <c r="DP983" s="1257"/>
      <c r="DQ983" s="1258"/>
      <c r="DR983" s="305"/>
      <c r="DS983" s="249"/>
      <c r="DT983" s="216"/>
      <c r="DU983" s="305"/>
      <c r="DV983" s="2520"/>
      <c r="DW983" s="2521"/>
      <c r="DX983" s="305"/>
      <c r="DY983" s="249"/>
      <c r="DZ983" s="221"/>
      <c r="EA983" s="388"/>
      <c r="EB983" s="249"/>
      <c r="EC983" s="216"/>
      <c r="ED983" s="1461"/>
      <c r="EE983" s="249"/>
      <c r="EF983" s="216"/>
      <c r="EG983" s="355"/>
      <c r="EH983" s="1425"/>
      <c r="EI983" s="1470"/>
      <c r="EJ983" s="249"/>
      <c r="EK983" s="221"/>
      <c r="EL983" s="313"/>
      <c r="EM983" s="249"/>
      <c r="EN983" s="221"/>
      <c r="EO983" s="313"/>
      <c r="EP983" s="249"/>
      <c r="EQ983" s="216"/>
      <c r="ER983" s="313"/>
      <c r="ES983" s="249"/>
      <c r="ET983" s="216"/>
      <c r="EU983" s="313"/>
      <c r="EV983" s="249"/>
      <c r="EW983" s="216"/>
      <c r="EX983" s="2505"/>
      <c r="EY983" s="249"/>
      <c r="EZ983" s="221"/>
      <c r="FA983" s="313"/>
      <c r="FB983" s="249"/>
      <c r="FC983" s="221"/>
      <c r="FD983" s="313"/>
      <c r="FE983" s="249"/>
      <c r="FF983" s="221"/>
      <c r="FG983" s="313"/>
      <c r="FH983" s="249"/>
      <c r="FI983" s="216"/>
      <c r="FJ983" s="1435"/>
      <c r="FK983" s="216"/>
      <c r="FL983" s="1268"/>
      <c r="FM983" s="1655"/>
      <c r="FN983" s="1268"/>
      <c r="FO983" s="1655"/>
      <c r="FP983" s="1268"/>
      <c r="FQ983" s="1656"/>
      <c r="FR983" s="249"/>
      <c r="FS983" s="216"/>
      <c r="FT983" s="1657"/>
      <c r="FU983" s="1658"/>
      <c r="FV983" s="242"/>
      <c r="FW983" s="343"/>
      <c r="FX983" s="222"/>
      <c r="FY983" s="336"/>
      <c r="FZ983" s="223"/>
      <c r="GA983" s="338"/>
      <c r="GB983" s="204"/>
      <c r="GC983" s="339"/>
      <c r="GD983" s="342"/>
      <c r="GE983" s="199"/>
      <c r="GF983" s="199"/>
      <c r="GG983" s="199"/>
      <c r="GH983" s="199"/>
      <c r="GI983" s="199"/>
      <c r="GJ983" s="199"/>
      <c r="GK983" s="199"/>
      <c r="GO983" s="322"/>
      <c r="GP983" s="1190"/>
      <c r="GQ983" s="1190"/>
      <c r="GS983" s="2879"/>
      <c r="GT983" s="2880"/>
      <c r="GU983" s="2881"/>
    </row>
    <row r="984" spans="1:203" ht="12" customHeight="1">
      <c r="A984" s="1252"/>
      <c r="B984" s="200"/>
      <c r="C984" s="486"/>
      <c r="T984" s="1186"/>
      <c r="U984" s="233"/>
      <c r="W984" s="218"/>
      <c r="X984" s="218"/>
      <c r="Y984" s="216"/>
      <c r="Z984" s="216"/>
      <c r="AA984" s="215"/>
      <c r="AB984" s="216"/>
      <c r="AC984" s="216"/>
      <c r="AD984" s="239"/>
      <c r="AE984" s="216"/>
      <c r="AF984" s="216"/>
      <c r="AG984" s="216"/>
      <c r="AH984" s="216"/>
      <c r="AI984" s="216"/>
      <c r="AJ984" s="216"/>
      <c r="AK984" s="239"/>
      <c r="AL984" s="216"/>
      <c r="AM984" s="216"/>
      <c r="AN984" s="216"/>
      <c r="AO984" s="216"/>
      <c r="AP984" s="216"/>
      <c r="AQ984" s="216"/>
      <c r="AR984" s="216"/>
      <c r="AS984" s="216"/>
      <c r="AT984" s="216"/>
      <c r="AU984" s="216"/>
      <c r="AV984" s="217"/>
      <c r="AW984" s="355"/>
      <c r="AX984" s="217"/>
      <c r="AY984" s="305"/>
      <c r="AZ984" s="249"/>
      <c r="BA984" s="221"/>
      <c r="BB984" s="300"/>
      <c r="BC984" s="217"/>
      <c r="BD984" s="392"/>
      <c r="BE984" s="1244"/>
      <c r="BF984" s="249"/>
      <c r="BG984" s="252"/>
      <c r="BH984" s="1469"/>
      <c r="BI984" s="216"/>
      <c r="BJ984" s="1469"/>
      <c r="BK984" s="1459"/>
      <c r="BL984" s="260"/>
      <c r="BM984" s="214"/>
      <c r="BN984" s="293"/>
      <c r="BO984" s="217"/>
      <c r="BP984" s="355"/>
      <c r="BQ984" s="217"/>
      <c r="BR984" s="1193"/>
      <c r="BS984" s="249"/>
      <c r="BT984" s="216"/>
      <c r="BU984" s="1195"/>
      <c r="BV984" s="249"/>
      <c r="BW984" s="216"/>
      <c r="BX984" s="1195"/>
      <c r="BY984" s="249"/>
      <c r="BZ984" s="216"/>
      <c r="CA984" s="1195"/>
      <c r="CB984" s="249"/>
      <c r="CC984" s="216"/>
      <c r="CD984" s="1195"/>
      <c r="CE984" s="249"/>
      <c r="CF984" s="216"/>
      <c r="CG984" s="1195"/>
      <c r="CH984" s="249"/>
      <c r="CI984" s="216"/>
      <c r="CJ984" s="1195"/>
      <c r="CK984" s="249"/>
      <c r="CL984" s="216"/>
      <c r="CM984" s="1194"/>
      <c r="CN984" s="1524"/>
      <c r="CO984" s="217"/>
      <c r="CP984" s="1193"/>
      <c r="CQ984" s="293"/>
      <c r="CR984" s="217"/>
      <c r="CS984" s="305"/>
      <c r="CT984" s="249"/>
      <c r="CU984" s="216"/>
      <c r="CV984" s="1193"/>
      <c r="CW984" s="249"/>
      <c r="CX984" s="216"/>
      <c r="CY984" s="305"/>
      <c r="CZ984" s="249"/>
      <c r="DA984" s="216"/>
      <c r="DB984" s="307"/>
      <c r="DC984" s="328"/>
      <c r="DD984" s="322"/>
      <c r="DE984" s="305"/>
      <c r="DF984" s="249"/>
      <c r="DG984" s="216"/>
      <c r="DH984" s="305"/>
      <c r="DI984" s="249"/>
      <c r="DJ984" s="216"/>
      <c r="DK984" s="309"/>
      <c r="DL984" s="293"/>
      <c r="DM984" s="326"/>
      <c r="DN984" s="1256"/>
      <c r="DO984" s="214"/>
      <c r="DP984" s="1257"/>
      <c r="DQ984" s="1258"/>
      <c r="DR984" s="305"/>
      <c r="DS984" s="249"/>
      <c r="DT984" s="216"/>
      <c r="DU984" s="305"/>
      <c r="DV984" s="2520"/>
      <c r="DW984" s="2521"/>
      <c r="DX984" s="305"/>
      <c r="DY984" s="249"/>
      <c r="DZ984" s="221"/>
      <c r="EA984" s="388"/>
      <c r="EB984" s="249"/>
      <c r="EC984" s="216"/>
      <c r="ED984" s="1461"/>
      <c r="EE984" s="249"/>
      <c r="EF984" s="216"/>
      <c r="EG984" s="355"/>
      <c r="EH984" s="1425"/>
      <c r="EI984" s="1470"/>
      <c r="EJ984" s="249"/>
      <c r="EK984" s="221"/>
      <c r="EL984" s="313"/>
      <c r="EM984" s="249"/>
      <c r="EN984" s="221"/>
      <c r="EO984" s="313"/>
      <c r="EP984" s="249"/>
      <c r="EQ984" s="216"/>
      <c r="ER984" s="313"/>
      <c r="ES984" s="249"/>
      <c r="ET984" s="216"/>
      <c r="EU984" s="313"/>
      <c r="EV984" s="249"/>
      <c r="EW984" s="216"/>
      <c r="EX984" s="2505"/>
      <c r="EY984" s="249"/>
      <c r="EZ984" s="221"/>
      <c r="FA984" s="313"/>
      <c r="FB984" s="249"/>
      <c r="FC984" s="221"/>
      <c r="FD984" s="313"/>
      <c r="FE984" s="249"/>
      <c r="FF984" s="221"/>
      <c r="FG984" s="313"/>
      <c r="FH984" s="249"/>
      <c r="FI984" s="216"/>
      <c r="FJ984" s="1435"/>
      <c r="FK984" s="216"/>
      <c r="FL984" s="1268"/>
      <c r="FM984" s="1655"/>
      <c r="FN984" s="1268"/>
      <c r="FO984" s="1655"/>
      <c r="FP984" s="1268"/>
      <c r="FQ984" s="1656"/>
      <c r="FR984" s="249"/>
      <c r="FS984" s="216"/>
      <c r="FT984" s="1657"/>
      <c r="FU984" s="1658"/>
      <c r="FV984" s="242"/>
      <c r="FW984" s="343"/>
      <c r="FX984" s="222"/>
      <c r="FY984" s="336"/>
      <c r="FZ984" s="223"/>
      <c r="GA984" s="338"/>
      <c r="GB984" s="204"/>
      <c r="GC984" s="339"/>
      <c r="GD984" s="342"/>
      <c r="GE984" s="199"/>
      <c r="GF984" s="199"/>
      <c r="GG984" s="199"/>
      <c r="GH984" s="199"/>
      <c r="GI984" s="199"/>
      <c r="GJ984" s="199"/>
      <c r="GK984" s="199"/>
      <c r="GO984" s="322"/>
      <c r="GP984" s="1190"/>
      <c r="GQ984" s="1190"/>
      <c r="GS984" s="2879"/>
      <c r="GT984" s="2880"/>
      <c r="GU984" s="2881"/>
    </row>
    <row r="985" spans="1:203" ht="12" customHeight="1">
      <c r="A985" s="1252"/>
      <c r="B985" s="200"/>
      <c r="C985" s="486"/>
      <c r="T985" s="1186"/>
      <c r="U985" s="233"/>
      <c r="W985" s="218"/>
      <c r="X985" s="218"/>
      <c r="Y985" s="216"/>
      <c r="Z985" s="216"/>
      <c r="AA985" s="215"/>
      <c r="AB985" s="216"/>
      <c r="AC985" s="216"/>
      <c r="AD985" s="239"/>
      <c r="AE985" s="216"/>
      <c r="AF985" s="216"/>
      <c r="AG985" s="216"/>
      <c r="AH985" s="216"/>
      <c r="AI985" s="216"/>
      <c r="AJ985" s="216"/>
      <c r="AK985" s="239"/>
      <c r="AL985" s="216"/>
      <c r="AM985" s="216"/>
      <c r="AN985" s="216"/>
      <c r="AO985" s="216"/>
      <c r="AP985" s="216"/>
      <c r="AQ985" s="216"/>
      <c r="AR985" s="216"/>
      <c r="AS985" s="216"/>
      <c r="AT985" s="216"/>
      <c r="AU985" s="216"/>
      <c r="AV985" s="217"/>
      <c r="AW985" s="355"/>
      <c r="AX985" s="217"/>
      <c r="AY985" s="305"/>
      <c r="AZ985" s="249"/>
      <c r="BA985" s="221"/>
      <c r="BB985" s="300"/>
      <c r="BC985" s="217"/>
      <c r="BD985" s="392"/>
      <c r="BE985" s="1244"/>
      <c r="BF985" s="249"/>
      <c r="BG985" s="252"/>
      <c r="BH985" s="1469"/>
      <c r="BI985" s="216"/>
      <c r="BJ985" s="1469"/>
      <c r="BK985" s="1459"/>
      <c r="BL985" s="260"/>
      <c r="BM985" s="214"/>
      <c r="BN985" s="293"/>
      <c r="BO985" s="217"/>
      <c r="BP985" s="355"/>
      <c r="BQ985" s="217"/>
      <c r="BR985" s="1193"/>
      <c r="BS985" s="249"/>
      <c r="BT985" s="216"/>
      <c r="BU985" s="1195"/>
      <c r="BV985" s="249"/>
      <c r="BW985" s="216"/>
      <c r="BX985" s="1195"/>
      <c r="BY985" s="249"/>
      <c r="BZ985" s="216"/>
      <c r="CA985" s="1195"/>
      <c r="CB985" s="249"/>
      <c r="CC985" s="216"/>
      <c r="CD985" s="1195"/>
      <c r="CE985" s="249"/>
      <c r="CF985" s="216"/>
      <c r="CG985" s="1195"/>
      <c r="CH985" s="249"/>
      <c r="CI985" s="216"/>
      <c r="CJ985" s="1195"/>
      <c r="CK985" s="249"/>
      <c r="CL985" s="216"/>
      <c r="CM985" s="1194"/>
      <c r="CN985" s="1524"/>
      <c r="CO985" s="217"/>
      <c r="CP985" s="1193"/>
      <c r="CQ985" s="293"/>
      <c r="CR985" s="217"/>
      <c r="CS985" s="305"/>
      <c r="CT985" s="249"/>
      <c r="CU985" s="216"/>
      <c r="CV985" s="1193"/>
      <c r="CW985" s="249"/>
      <c r="CX985" s="216"/>
      <c r="CY985" s="305"/>
      <c r="CZ985" s="249"/>
      <c r="DA985" s="216"/>
      <c r="DB985" s="307"/>
      <c r="DC985" s="328"/>
      <c r="DD985" s="322"/>
      <c r="DE985" s="305"/>
      <c r="DF985" s="249"/>
      <c r="DG985" s="216"/>
      <c r="DH985" s="305"/>
      <c r="DI985" s="249"/>
      <c r="DJ985" s="216"/>
      <c r="DK985" s="309"/>
      <c r="DL985" s="293"/>
      <c r="DM985" s="326"/>
      <c r="DN985" s="1256"/>
      <c r="DO985" s="214"/>
      <c r="DP985" s="1257"/>
      <c r="DQ985" s="1258"/>
      <c r="DR985" s="305"/>
      <c r="DS985" s="249"/>
      <c r="DT985" s="216"/>
      <c r="DU985" s="305"/>
      <c r="DV985" s="2520"/>
      <c r="DW985" s="2521"/>
      <c r="DX985" s="305"/>
      <c r="DY985" s="249"/>
      <c r="DZ985" s="221"/>
      <c r="EA985" s="388"/>
      <c r="EB985" s="249"/>
      <c r="EC985" s="216"/>
      <c r="ED985" s="1461"/>
      <c r="EE985" s="249"/>
      <c r="EF985" s="216"/>
      <c r="EG985" s="355"/>
      <c r="EH985" s="1425"/>
      <c r="EI985" s="1470"/>
      <c r="EJ985" s="249"/>
      <c r="EK985" s="221"/>
      <c r="EL985" s="313"/>
      <c r="EM985" s="249"/>
      <c r="EN985" s="221"/>
      <c r="EO985" s="313"/>
      <c r="EP985" s="249"/>
      <c r="EQ985" s="216"/>
      <c r="ER985" s="313"/>
      <c r="ES985" s="249"/>
      <c r="ET985" s="216"/>
      <c r="EU985" s="313"/>
      <c r="EV985" s="249"/>
      <c r="EW985" s="216"/>
      <c r="EX985" s="2505"/>
      <c r="EY985" s="249"/>
      <c r="EZ985" s="221"/>
      <c r="FA985" s="313"/>
      <c r="FB985" s="249"/>
      <c r="FC985" s="221"/>
      <c r="FD985" s="313"/>
      <c r="FE985" s="249"/>
      <c r="FF985" s="221"/>
      <c r="FG985" s="313"/>
      <c r="FH985" s="249"/>
      <c r="FI985" s="216"/>
      <c r="FJ985" s="1435"/>
      <c r="FK985" s="216"/>
      <c r="FL985" s="1268"/>
      <c r="FM985" s="1655"/>
      <c r="FN985" s="1268"/>
      <c r="FO985" s="1655"/>
      <c r="FP985" s="1268"/>
      <c r="FQ985" s="1656"/>
      <c r="FR985" s="249"/>
      <c r="FS985" s="216"/>
      <c r="FT985" s="1657"/>
      <c r="FU985" s="1658"/>
      <c r="FV985" s="242"/>
      <c r="FW985" s="343"/>
      <c r="FX985" s="222"/>
      <c r="FY985" s="336"/>
      <c r="FZ985" s="223"/>
      <c r="GA985" s="338"/>
      <c r="GB985" s="204"/>
      <c r="GC985" s="339"/>
      <c r="GD985" s="342"/>
      <c r="GE985" s="199"/>
      <c r="GF985" s="199"/>
      <c r="GG985" s="199"/>
      <c r="GH985" s="199"/>
      <c r="GI985" s="199"/>
      <c r="GJ985" s="199"/>
      <c r="GK985" s="199"/>
      <c r="GO985" s="322"/>
      <c r="GP985" s="1190"/>
      <c r="GQ985" s="1190"/>
      <c r="GS985" s="2879"/>
      <c r="GT985" s="2880"/>
      <c r="GU985" s="2881"/>
    </row>
    <row r="986" spans="1:203" ht="12" customHeight="1">
      <c r="A986" s="1252"/>
      <c r="B986" s="200"/>
      <c r="C986" s="486"/>
      <c r="T986" s="1186"/>
      <c r="U986" s="233"/>
      <c r="W986" s="218"/>
      <c r="X986" s="218"/>
      <c r="Y986" s="216"/>
      <c r="Z986" s="216"/>
      <c r="AA986" s="215"/>
      <c r="AB986" s="216"/>
      <c r="AC986" s="216"/>
      <c r="AD986" s="239"/>
      <c r="AE986" s="216"/>
      <c r="AF986" s="216"/>
      <c r="AG986" s="216"/>
      <c r="AH986" s="216"/>
      <c r="AI986" s="216"/>
      <c r="AJ986" s="216"/>
      <c r="AK986" s="239"/>
      <c r="AL986" s="216"/>
      <c r="AM986" s="216"/>
      <c r="AN986" s="216"/>
      <c r="AO986" s="216"/>
      <c r="AP986" s="216"/>
      <c r="AQ986" s="216"/>
      <c r="AR986" s="216"/>
      <c r="AS986" s="216"/>
      <c r="AT986" s="216"/>
      <c r="AU986" s="216"/>
      <c r="AV986" s="217"/>
      <c r="AW986" s="355"/>
      <c r="AX986" s="217"/>
      <c r="AY986" s="305"/>
      <c r="AZ986" s="249"/>
      <c r="BA986" s="221"/>
      <c r="BB986" s="300"/>
      <c r="BC986" s="217"/>
      <c r="BD986" s="392"/>
      <c r="BE986" s="1244"/>
      <c r="BF986" s="249"/>
      <c r="BG986" s="252"/>
      <c r="BH986" s="1469"/>
      <c r="BI986" s="216"/>
      <c r="BJ986" s="1469"/>
      <c r="BK986" s="1459"/>
      <c r="BL986" s="260"/>
      <c r="BM986" s="214"/>
      <c r="BN986" s="293"/>
      <c r="BO986" s="217"/>
      <c r="BP986" s="355"/>
      <c r="BQ986" s="217"/>
      <c r="BR986" s="1193"/>
      <c r="BS986" s="249"/>
      <c r="BT986" s="216"/>
      <c r="BU986" s="1195"/>
      <c r="BV986" s="249"/>
      <c r="BW986" s="216"/>
      <c r="BX986" s="1195"/>
      <c r="BY986" s="249"/>
      <c r="BZ986" s="216"/>
      <c r="CA986" s="1195"/>
      <c r="CB986" s="249"/>
      <c r="CC986" s="216"/>
      <c r="CD986" s="1195"/>
      <c r="CE986" s="249"/>
      <c r="CF986" s="216"/>
      <c r="CG986" s="1195"/>
      <c r="CH986" s="249"/>
      <c r="CI986" s="216"/>
      <c r="CJ986" s="1195"/>
      <c r="CK986" s="249"/>
      <c r="CL986" s="216"/>
      <c r="CM986" s="1194"/>
      <c r="CN986" s="1524"/>
      <c r="CO986" s="217"/>
      <c r="CP986" s="1193"/>
      <c r="CQ986" s="293"/>
      <c r="CR986" s="217"/>
      <c r="CS986" s="305"/>
      <c r="CT986" s="249"/>
      <c r="CU986" s="216"/>
      <c r="CV986" s="1193"/>
      <c r="CW986" s="249"/>
      <c r="CX986" s="216"/>
      <c r="CY986" s="305"/>
      <c r="CZ986" s="249"/>
      <c r="DA986" s="216"/>
      <c r="DB986" s="307"/>
      <c r="DC986" s="328"/>
      <c r="DD986" s="322"/>
      <c r="DE986" s="305"/>
      <c r="DF986" s="249"/>
      <c r="DG986" s="216"/>
      <c r="DH986" s="305"/>
      <c r="DI986" s="249"/>
      <c r="DJ986" s="216"/>
      <c r="DK986" s="309"/>
      <c r="DL986" s="293"/>
      <c r="DM986" s="326"/>
      <c r="DN986" s="1256"/>
      <c r="DO986" s="214"/>
      <c r="DP986" s="1257"/>
      <c r="DQ986" s="1258"/>
      <c r="DR986" s="305"/>
      <c r="DS986" s="249"/>
      <c r="DT986" s="216"/>
      <c r="DU986" s="305"/>
      <c r="DV986" s="2520"/>
      <c r="DW986" s="2521"/>
      <c r="DX986" s="305"/>
      <c r="DY986" s="249"/>
      <c r="DZ986" s="221"/>
      <c r="EA986" s="388"/>
      <c r="EB986" s="249"/>
      <c r="EC986" s="216"/>
      <c r="ED986" s="1461"/>
      <c r="EE986" s="249"/>
      <c r="EF986" s="216"/>
      <c r="EG986" s="355"/>
      <c r="EH986" s="1425"/>
      <c r="EI986" s="1470"/>
      <c r="EJ986" s="249"/>
      <c r="EK986" s="221"/>
      <c r="EL986" s="313"/>
      <c r="EM986" s="249"/>
      <c r="EN986" s="221"/>
      <c r="EO986" s="313"/>
      <c r="EP986" s="249"/>
      <c r="EQ986" s="216"/>
      <c r="ER986" s="313"/>
      <c r="ES986" s="249"/>
      <c r="ET986" s="216"/>
      <c r="EU986" s="313"/>
      <c r="EV986" s="249"/>
      <c r="EW986" s="216"/>
      <c r="EX986" s="2505"/>
      <c r="EY986" s="249"/>
      <c r="EZ986" s="221"/>
      <c r="FA986" s="313"/>
      <c r="FB986" s="249"/>
      <c r="FC986" s="221"/>
      <c r="FD986" s="313"/>
      <c r="FE986" s="249"/>
      <c r="FF986" s="221"/>
      <c r="FG986" s="313"/>
      <c r="FH986" s="249"/>
      <c r="FI986" s="216"/>
      <c r="FJ986" s="1435"/>
      <c r="FK986" s="216"/>
      <c r="FL986" s="1268"/>
      <c r="FM986" s="1655"/>
      <c r="FN986" s="1268"/>
      <c r="FO986" s="1655"/>
      <c r="FP986" s="1268"/>
      <c r="FQ986" s="1656"/>
      <c r="FR986" s="249"/>
      <c r="FS986" s="216"/>
      <c r="FT986" s="1657"/>
      <c r="FU986" s="1658"/>
      <c r="FV986" s="242"/>
      <c r="FW986" s="343"/>
      <c r="FX986" s="222"/>
      <c r="FY986" s="336"/>
      <c r="FZ986" s="223"/>
      <c r="GA986" s="338"/>
      <c r="GB986" s="204"/>
      <c r="GC986" s="339"/>
      <c r="GD986" s="342"/>
      <c r="GE986" s="199"/>
      <c r="GF986" s="199"/>
      <c r="GG986" s="199"/>
      <c r="GH986" s="199"/>
      <c r="GI986" s="199"/>
      <c r="GJ986" s="199"/>
      <c r="GK986" s="199"/>
      <c r="GO986" s="322"/>
      <c r="GP986" s="1190"/>
      <c r="GQ986" s="1190"/>
      <c r="GS986" s="2879"/>
      <c r="GT986" s="2880"/>
      <c r="GU986" s="2881"/>
    </row>
    <row r="987" spans="1:203" ht="12" customHeight="1">
      <c r="A987" s="1252"/>
      <c r="B987" s="200"/>
      <c r="C987" s="486"/>
      <c r="T987" s="1186"/>
      <c r="U987" s="233"/>
      <c r="W987" s="218"/>
      <c r="X987" s="218"/>
      <c r="Y987" s="216"/>
      <c r="Z987" s="216"/>
      <c r="AA987" s="215"/>
      <c r="AB987" s="216"/>
      <c r="AC987" s="216"/>
      <c r="AD987" s="239"/>
      <c r="AE987" s="216"/>
      <c r="AF987" s="216"/>
      <c r="AG987" s="216"/>
      <c r="AH987" s="216"/>
      <c r="AI987" s="216"/>
      <c r="AJ987" s="216"/>
      <c r="AK987" s="239"/>
      <c r="AL987" s="216"/>
      <c r="AM987" s="216"/>
      <c r="AN987" s="216"/>
      <c r="AO987" s="216"/>
      <c r="AP987" s="216"/>
      <c r="AQ987" s="216"/>
      <c r="AR987" s="216"/>
      <c r="AS987" s="216"/>
      <c r="AT987" s="216"/>
      <c r="AU987" s="216"/>
      <c r="AV987" s="217"/>
      <c r="AW987" s="355"/>
      <c r="AX987" s="217"/>
      <c r="AY987" s="305"/>
      <c r="AZ987" s="249"/>
      <c r="BA987" s="221"/>
      <c r="BB987" s="300"/>
      <c r="BC987" s="217"/>
      <c r="BD987" s="392"/>
      <c r="BE987" s="1244"/>
      <c r="BF987" s="249"/>
      <c r="BG987" s="252"/>
      <c r="BH987" s="1469"/>
      <c r="BI987" s="216"/>
      <c r="BJ987" s="1469"/>
      <c r="BK987" s="1459"/>
      <c r="BL987" s="260"/>
      <c r="BM987" s="214"/>
      <c r="BN987" s="293"/>
      <c r="BO987" s="217"/>
      <c r="BP987" s="355"/>
      <c r="BQ987" s="217"/>
      <c r="BR987" s="1193"/>
      <c r="BS987" s="249"/>
      <c r="BT987" s="216"/>
      <c r="BU987" s="1195"/>
      <c r="BV987" s="249"/>
      <c r="BW987" s="216"/>
      <c r="BX987" s="1195"/>
      <c r="BY987" s="249"/>
      <c r="BZ987" s="216"/>
      <c r="CA987" s="1195"/>
      <c r="CB987" s="249"/>
      <c r="CC987" s="216"/>
      <c r="CD987" s="1195"/>
      <c r="CE987" s="249"/>
      <c r="CF987" s="216"/>
      <c r="CG987" s="1195"/>
      <c r="CH987" s="249"/>
      <c r="CI987" s="216"/>
      <c r="CJ987" s="1195"/>
      <c r="CK987" s="249"/>
      <c r="CL987" s="216"/>
      <c r="CM987" s="1194"/>
      <c r="CN987" s="1524"/>
      <c r="CO987" s="217"/>
      <c r="CP987" s="1193"/>
      <c r="CQ987" s="293"/>
      <c r="CR987" s="217"/>
      <c r="CS987" s="305"/>
      <c r="CT987" s="249"/>
      <c r="CU987" s="216"/>
      <c r="CV987" s="1193"/>
      <c r="CW987" s="249"/>
      <c r="CX987" s="216"/>
      <c r="CY987" s="305"/>
      <c r="CZ987" s="249"/>
      <c r="DA987" s="216"/>
      <c r="DB987" s="307"/>
      <c r="DC987" s="328"/>
      <c r="DD987" s="322"/>
      <c r="DE987" s="305"/>
      <c r="DF987" s="249"/>
      <c r="DG987" s="216"/>
      <c r="DH987" s="305"/>
      <c r="DI987" s="249"/>
      <c r="DJ987" s="216"/>
      <c r="DK987" s="309"/>
      <c r="DL987" s="293"/>
      <c r="DM987" s="326"/>
      <c r="DN987" s="1256"/>
      <c r="DO987" s="214"/>
      <c r="DP987" s="1257"/>
      <c r="DQ987" s="1258"/>
      <c r="DR987" s="305"/>
      <c r="DS987" s="249"/>
      <c r="DT987" s="216"/>
      <c r="DU987" s="305"/>
      <c r="DV987" s="2520"/>
      <c r="DW987" s="2521"/>
      <c r="DX987" s="305"/>
      <c r="DY987" s="249"/>
      <c r="DZ987" s="221"/>
      <c r="EA987" s="388"/>
      <c r="EB987" s="249"/>
      <c r="EC987" s="216"/>
      <c r="ED987" s="1461"/>
      <c r="EE987" s="249"/>
      <c r="EF987" s="216"/>
      <c r="EG987" s="355"/>
      <c r="EH987" s="1425"/>
      <c r="EI987" s="1470"/>
      <c r="EJ987" s="249"/>
      <c r="EK987" s="221"/>
      <c r="EL987" s="313"/>
      <c r="EM987" s="249"/>
      <c r="EN987" s="221"/>
      <c r="EO987" s="313"/>
      <c r="EP987" s="249"/>
      <c r="EQ987" s="216"/>
      <c r="ER987" s="313"/>
      <c r="ES987" s="249"/>
      <c r="ET987" s="216"/>
      <c r="EU987" s="313"/>
      <c r="EV987" s="249"/>
      <c r="EW987" s="216"/>
      <c r="EX987" s="2505"/>
      <c r="EY987" s="249"/>
      <c r="EZ987" s="221"/>
      <c r="FA987" s="313"/>
      <c r="FB987" s="249"/>
      <c r="FC987" s="221"/>
      <c r="FD987" s="313"/>
      <c r="FE987" s="249"/>
      <c r="FF987" s="221"/>
      <c r="FG987" s="313"/>
      <c r="FH987" s="249"/>
      <c r="FI987" s="216"/>
      <c r="FJ987" s="1435"/>
      <c r="FK987" s="216"/>
      <c r="FL987" s="1268"/>
      <c r="FM987" s="1655"/>
      <c r="FN987" s="1268"/>
      <c r="FO987" s="1655"/>
      <c r="FP987" s="1268"/>
      <c r="FQ987" s="1656"/>
      <c r="FR987" s="249"/>
      <c r="FS987" s="216"/>
      <c r="FT987" s="1657"/>
      <c r="FU987" s="1658"/>
      <c r="FV987" s="242"/>
      <c r="FW987" s="343"/>
      <c r="FX987" s="222"/>
      <c r="FY987" s="336"/>
      <c r="FZ987" s="223"/>
      <c r="GA987" s="338"/>
      <c r="GB987" s="204"/>
      <c r="GC987" s="339"/>
      <c r="GD987" s="342"/>
      <c r="GE987" s="199"/>
      <c r="GF987" s="199"/>
      <c r="GG987" s="199"/>
      <c r="GH987" s="199"/>
      <c r="GI987" s="199"/>
      <c r="GJ987" s="199"/>
      <c r="GK987" s="199"/>
      <c r="GO987" s="322"/>
      <c r="GP987" s="1190"/>
      <c r="GQ987" s="1190"/>
      <c r="GS987" s="2879"/>
      <c r="GT987" s="2880"/>
      <c r="GU987" s="2881"/>
    </row>
    <row r="988" spans="1:203" ht="12" customHeight="1">
      <c r="A988" s="1252"/>
      <c r="B988" s="200"/>
      <c r="C988" s="486"/>
      <c r="T988" s="1186"/>
      <c r="U988" s="233"/>
      <c r="W988" s="218"/>
      <c r="X988" s="218"/>
      <c r="Y988" s="216"/>
      <c r="Z988" s="216"/>
      <c r="AA988" s="215"/>
      <c r="AB988" s="216"/>
      <c r="AC988" s="216"/>
      <c r="AD988" s="239"/>
      <c r="AE988" s="216"/>
      <c r="AF988" s="216"/>
      <c r="AG988" s="216"/>
      <c r="AH988" s="216"/>
      <c r="AI988" s="216"/>
      <c r="AJ988" s="216"/>
      <c r="AK988" s="239"/>
      <c r="AL988" s="216"/>
      <c r="AM988" s="216"/>
      <c r="AN988" s="216"/>
      <c r="AO988" s="216"/>
      <c r="AP988" s="216"/>
      <c r="AQ988" s="216"/>
      <c r="AR988" s="216"/>
      <c r="AS988" s="216"/>
      <c r="AT988" s="216"/>
      <c r="AU988" s="216"/>
      <c r="AV988" s="217"/>
      <c r="AW988" s="355"/>
      <c r="AX988" s="217"/>
      <c r="AY988" s="305"/>
      <c r="AZ988" s="249"/>
      <c r="BA988" s="221"/>
      <c r="BB988" s="300"/>
      <c r="BC988" s="217"/>
      <c r="BD988" s="392"/>
      <c r="BE988" s="1244"/>
      <c r="BF988" s="249"/>
      <c r="BG988" s="252"/>
      <c r="BH988" s="1469"/>
      <c r="BI988" s="216"/>
      <c r="BJ988" s="1469"/>
      <c r="BK988" s="1459"/>
      <c r="BL988" s="260"/>
      <c r="BM988" s="214"/>
      <c r="BN988" s="293"/>
      <c r="BO988" s="217"/>
      <c r="BP988" s="355"/>
      <c r="BQ988" s="217"/>
      <c r="BR988" s="1193"/>
      <c r="BS988" s="249"/>
      <c r="BT988" s="216"/>
      <c r="BU988" s="1195"/>
      <c r="BV988" s="249"/>
      <c r="BW988" s="216"/>
      <c r="BX988" s="1195"/>
      <c r="BY988" s="249"/>
      <c r="BZ988" s="216"/>
      <c r="CA988" s="1195"/>
      <c r="CB988" s="249"/>
      <c r="CC988" s="216"/>
      <c r="CD988" s="1195"/>
      <c r="CE988" s="249"/>
      <c r="CF988" s="216"/>
      <c r="CG988" s="1195"/>
      <c r="CH988" s="249"/>
      <c r="CI988" s="216"/>
      <c r="CJ988" s="1195"/>
      <c r="CK988" s="249"/>
      <c r="CL988" s="216"/>
      <c r="CM988" s="1194"/>
      <c r="CN988" s="1524"/>
      <c r="CO988" s="217"/>
      <c r="CP988" s="1193"/>
      <c r="CQ988" s="293"/>
      <c r="CR988" s="217"/>
      <c r="CS988" s="305"/>
      <c r="CT988" s="249"/>
      <c r="CU988" s="216"/>
      <c r="CV988" s="1193"/>
      <c r="CW988" s="249"/>
      <c r="CX988" s="216"/>
      <c r="CY988" s="305"/>
      <c r="CZ988" s="249"/>
      <c r="DA988" s="216"/>
      <c r="DB988" s="307"/>
      <c r="DC988" s="328"/>
      <c r="DD988" s="322"/>
      <c r="DE988" s="305"/>
      <c r="DF988" s="249"/>
      <c r="DG988" s="216"/>
      <c r="DH988" s="305"/>
      <c r="DI988" s="249"/>
      <c r="DJ988" s="216"/>
      <c r="DK988" s="309"/>
      <c r="DL988" s="293"/>
      <c r="DM988" s="326"/>
      <c r="DN988" s="1256"/>
      <c r="DO988" s="214"/>
      <c r="DP988" s="1257"/>
      <c r="DQ988" s="1258"/>
      <c r="DR988" s="305"/>
      <c r="DS988" s="249"/>
      <c r="DT988" s="216"/>
      <c r="DU988" s="305"/>
      <c r="DV988" s="2520"/>
      <c r="DW988" s="2521"/>
      <c r="DX988" s="305"/>
      <c r="DY988" s="249"/>
      <c r="DZ988" s="221"/>
      <c r="EA988" s="388"/>
      <c r="EB988" s="249"/>
      <c r="EC988" s="216"/>
      <c r="ED988" s="1461"/>
      <c r="EE988" s="249"/>
      <c r="EF988" s="216"/>
      <c r="EG988" s="355"/>
      <c r="EH988" s="1425"/>
      <c r="EI988" s="1470"/>
      <c r="EJ988" s="249"/>
      <c r="EK988" s="221"/>
      <c r="EL988" s="313"/>
      <c r="EM988" s="249"/>
      <c r="EN988" s="221"/>
      <c r="EO988" s="313"/>
      <c r="EP988" s="249"/>
      <c r="EQ988" s="216"/>
      <c r="ER988" s="313"/>
      <c r="ES988" s="249"/>
      <c r="ET988" s="216"/>
      <c r="EU988" s="313"/>
      <c r="EV988" s="249"/>
      <c r="EW988" s="216"/>
      <c r="EX988" s="2505"/>
      <c r="EY988" s="249"/>
      <c r="EZ988" s="221"/>
      <c r="FA988" s="313"/>
      <c r="FB988" s="249"/>
      <c r="FC988" s="221"/>
      <c r="FD988" s="313"/>
      <c r="FE988" s="249"/>
      <c r="FF988" s="221"/>
      <c r="FG988" s="313"/>
      <c r="FH988" s="249"/>
      <c r="FI988" s="216"/>
      <c r="FJ988" s="1435"/>
      <c r="FK988" s="216"/>
      <c r="FL988" s="1268"/>
      <c r="FM988" s="1655"/>
      <c r="FN988" s="1268"/>
      <c r="FO988" s="1655"/>
      <c r="FP988" s="1268"/>
      <c r="FQ988" s="1656"/>
      <c r="FR988" s="249"/>
      <c r="FS988" s="216"/>
      <c r="FT988" s="1657"/>
      <c r="FU988" s="1658"/>
      <c r="FV988" s="242"/>
      <c r="FW988" s="343"/>
      <c r="FX988" s="222"/>
      <c r="FY988" s="336"/>
      <c r="FZ988" s="223"/>
      <c r="GA988" s="338"/>
      <c r="GB988" s="204"/>
      <c r="GC988" s="339"/>
      <c r="GD988" s="342"/>
      <c r="GE988" s="199"/>
      <c r="GF988" s="199"/>
      <c r="GG988" s="199"/>
      <c r="GH988" s="199"/>
      <c r="GI988" s="199"/>
      <c r="GJ988" s="199"/>
      <c r="GK988" s="199"/>
      <c r="GO988" s="322"/>
      <c r="GP988" s="1190"/>
      <c r="GQ988" s="1190"/>
      <c r="GS988" s="2879"/>
      <c r="GT988" s="2880"/>
      <c r="GU988" s="2881"/>
    </row>
    <row r="989" spans="1:203" ht="12" customHeight="1">
      <c r="A989" s="1252"/>
      <c r="B989" s="200"/>
      <c r="C989" s="486"/>
      <c r="T989" s="1186"/>
      <c r="U989" s="233"/>
      <c r="W989" s="218"/>
      <c r="X989" s="218"/>
      <c r="Y989" s="216"/>
      <c r="Z989" s="216"/>
      <c r="AA989" s="215"/>
      <c r="AB989" s="216"/>
      <c r="AC989" s="216"/>
      <c r="AD989" s="239"/>
      <c r="AE989" s="216"/>
      <c r="AF989" s="216"/>
      <c r="AG989" s="216"/>
      <c r="AH989" s="216"/>
      <c r="AI989" s="216"/>
      <c r="AJ989" s="216"/>
      <c r="AK989" s="239"/>
      <c r="AL989" s="216"/>
      <c r="AM989" s="216"/>
      <c r="AN989" s="216"/>
      <c r="AO989" s="216"/>
      <c r="AP989" s="216"/>
      <c r="AQ989" s="216"/>
      <c r="AR989" s="216"/>
      <c r="AS989" s="216"/>
      <c r="AT989" s="216"/>
      <c r="AU989" s="216"/>
      <c r="AV989" s="217"/>
      <c r="AW989" s="355"/>
      <c r="AX989" s="217"/>
      <c r="AY989" s="305"/>
      <c r="AZ989" s="249"/>
      <c r="BA989" s="221"/>
      <c r="BB989" s="300"/>
      <c r="BC989" s="217"/>
      <c r="BD989" s="392"/>
      <c r="BE989" s="1244"/>
      <c r="BF989" s="249"/>
      <c r="BG989" s="252"/>
      <c r="BH989" s="1469"/>
      <c r="BI989" s="216"/>
      <c r="BJ989" s="1469"/>
      <c r="BK989" s="1459"/>
      <c r="BL989" s="260"/>
      <c r="BM989" s="214"/>
      <c r="BN989" s="293"/>
      <c r="BO989" s="217"/>
      <c r="BP989" s="355"/>
      <c r="BQ989" s="217"/>
      <c r="BR989" s="1193"/>
      <c r="BS989" s="249"/>
      <c r="BT989" s="216"/>
      <c r="BU989" s="1195"/>
      <c r="BV989" s="249"/>
      <c r="BW989" s="216"/>
      <c r="BX989" s="1195"/>
      <c r="BY989" s="249"/>
      <c r="BZ989" s="216"/>
      <c r="CA989" s="1195"/>
      <c r="CB989" s="249"/>
      <c r="CC989" s="216"/>
      <c r="CD989" s="1195"/>
      <c r="CE989" s="249"/>
      <c r="CF989" s="216"/>
      <c r="CG989" s="1195"/>
      <c r="CH989" s="249"/>
      <c r="CI989" s="216"/>
      <c r="CJ989" s="1195"/>
      <c r="CK989" s="249"/>
      <c r="CL989" s="216"/>
      <c r="CM989" s="1194"/>
      <c r="CN989" s="1524"/>
      <c r="CO989" s="217"/>
      <c r="CP989" s="1193"/>
      <c r="CQ989" s="293"/>
      <c r="CR989" s="217"/>
      <c r="CS989" s="305"/>
      <c r="CT989" s="249"/>
      <c r="CU989" s="216"/>
      <c r="CV989" s="1193"/>
      <c r="CW989" s="249"/>
      <c r="CX989" s="216"/>
      <c r="CY989" s="305"/>
      <c r="CZ989" s="249"/>
      <c r="DA989" s="216"/>
      <c r="DB989" s="307"/>
      <c r="DC989" s="328"/>
      <c r="DD989" s="322"/>
      <c r="DE989" s="305"/>
      <c r="DF989" s="249"/>
      <c r="DG989" s="216"/>
      <c r="DH989" s="305"/>
      <c r="DI989" s="249"/>
      <c r="DJ989" s="216"/>
      <c r="DK989" s="309"/>
      <c r="DL989" s="293"/>
      <c r="DM989" s="326"/>
      <c r="DN989" s="1256"/>
      <c r="DO989" s="214"/>
      <c r="DP989" s="1257"/>
      <c r="DQ989" s="1258"/>
      <c r="DR989" s="305"/>
      <c r="DS989" s="249"/>
      <c r="DT989" s="216"/>
      <c r="DU989" s="305"/>
      <c r="DV989" s="2520"/>
      <c r="DW989" s="2521"/>
      <c r="DX989" s="305"/>
      <c r="DY989" s="249"/>
      <c r="DZ989" s="221"/>
      <c r="EA989" s="388"/>
      <c r="EB989" s="249"/>
      <c r="EC989" s="216"/>
      <c r="ED989" s="1461"/>
      <c r="EE989" s="249"/>
      <c r="EF989" s="216"/>
      <c r="EG989" s="355"/>
      <c r="EH989" s="1425"/>
      <c r="EI989" s="1470"/>
      <c r="EJ989" s="249"/>
      <c r="EK989" s="221"/>
      <c r="EL989" s="313"/>
      <c r="EM989" s="249"/>
      <c r="EN989" s="221"/>
      <c r="EO989" s="313"/>
      <c r="EP989" s="249"/>
      <c r="EQ989" s="216"/>
      <c r="ER989" s="313"/>
      <c r="ES989" s="249"/>
      <c r="ET989" s="216"/>
      <c r="EU989" s="313"/>
      <c r="EV989" s="249"/>
      <c r="EW989" s="216"/>
      <c r="EX989" s="2505"/>
      <c r="EY989" s="249"/>
      <c r="EZ989" s="221"/>
      <c r="FA989" s="313"/>
      <c r="FB989" s="249"/>
      <c r="FC989" s="221"/>
      <c r="FD989" s="313"/>
      <c r="FE989" s="249"/>
      <c r="FF989" s="221"/>
      <c r="FG989" s="313"/>
      <c r="FH989" s="249"/>
      <c r="FI989" s="216"/>
      <c r="FJ989" s="1435"/>
      <c r="FK989" s="216"/>
      <c r="FL989" s="1268"/>
      <c r="FM989" s="1655"/>
      <c r="FN989" s="1268"/>
      <c r="FO989" s="1655"/>
      <c r="FP989" s="1268"/>
      <c r="FQ989" s="1656"/>
      <c r="FR989" s="249"/>
      <c r="FS989" s="216"/>
      <c r="FT989" s="1657"/>
      <c r="FU989" s="1658"/>
      <c r="FV989" s="242"/>
      <c r="FW989" s="343"/>
      <c r="FX989" s="222"/>
      <c r="FY989" s="336"/>
      <c r="FZ989" s="223"/>
      <c r="GA989" s="338"/>
      <c r="GB989" s="204"/>
      <c r="GC989" s="339"/>
      <c r="GD989" s="342"/>
      <c r="GE989" s="199"/>
      <c r="GF989" s="199"/>
      <c r="GG989" s="199"/>
      <c r="GH989" s="199"/>
      <c r="GI989" s="199"/>
      <c r="GJ989" s="199"/>
      <c r="GK989" s="199"/>
      <c r="GO989" s="322"/>
      <c r="GP989" s="1190"/>
      <c r="GQ989" s="1190"/>
      <c r="GS989" s="2879"/>
      <c r="GT989" s="2880"/>
      <c r="GU989" s="2881"/>
    </row>
    <row r="990" spans="1:203" ht="12" customHeight="1">
      <c r="A990" s="1252"/>
      <c r="B990" s="200"/>
      <c r="C990" s="486"/>
      <c r="T990" s="1186"/>
      <c r="U990" s="233"/>
      <c r="W990" s="218"/>
      <c r="X990" s="218"/>
      <c r="Y990" s="216"/>
      <c r="Z990" s="216"/>
      <c r="AA990" s="215"/>
      <c r="AB990" s="216"/>
      <c r="AC990" s="216"/>
      <c r="AD990" s="239"/>
      <c r="AE990" s="216"/>
      <c r="AF990" s="216"/>
      <c r="AG990" s="216"/>
      <c r="AH990" s="216"/>
      <c r="AI990" s="216"/>
      <c r="AJ990" s="216"/>
      <c r="AK990" s="239"/>
      <c r="AL990" s="216"/>
      <c r="AM990" s="216"/>
      <c r="AN990" s="216"/>
      <c r="AO990" s="216"/>
      <c r="AP990" s="216"/>
      <c r="AQ990" s="216"/>
      <c r="AR990" s="216"/>
      <c r="AS990" s="216"/>
      <c r="AT990" s="216"/>
      <c r="AU990" s="216"/>
      <c r="AV990" s="217"/>
      <c r="AW990" s="355"/>
      <c r="AX990" s="217"/>
      <c r="AY990" s="305"/>
      <c r="AZ990" s="249"/>
      <c r="BA990" s="221"/>
      <c r="BB990" s="300"/>
      <c r="BC990" s="217"/>
      <c r="BD990" s="392"/>
      <c r="BE990" s="1244"/>
      <c r="BF990" s="249"/>
      <c r="BG990" s="252"/>
      <c r="BH990" s="1469"/>
      <c r="BI990" s="216"/>
      <c r="BJ990" s="1469"/>
      <c r="BK990" s="1459"/>
      <c r="BL990" s="260"/>
      <c r="BM990" s="214"/>
      <c r="BN990" s="293"/>
      <c r="BO990" s="217"/>
      <c r="BP990" s="355"/>
      <c r="BQ990" s="217"/>
      <c r="BR990" s="1193"/>
      <c r="BS990" s="249"/>
      <c r="BT990" s="216"/>
      <c r="BU990" s="1195"/>
      <c r="BV990" s="249"/>
      <c r="BW990" s="216"/>
      <c r="BX990" s="1195"/>
      <c r="BY990" s="249"/>
      <c r="BZ990" s="216"/>
      <c r="CA990" s="1195"/>
      <c r="CB990" s="249"/>
      <c r="CC990" s="216"/>
      <c r="CD990" s="1195"/>
      <c r="CE990" s="249"/>
      <c r="CF990" s="216"/>
      <c r="CG990" s="1195"/>
      <c r="CH990" s="249"/>
      <c r="CI990" s="216"/>
      <c r="CJ990" s="1195"/>
      <c r="CK990" s="249"/>
      <c r="CL990" s="216"/>
      <c r="CM990" s="1194"/>
      <c r="CN990" s="1524"/>
      <c r="CO990" s="217"/>
      <c r="CP990" s="1193"/>
      <c r="CQ990" s="293"/>
      <c r="CR990" s="217"/>
      <c r="CS990" s="305"/>
      <c r="CT990" s="249"/>
      <c r="CU990" s="216"/>
      <c r="CV990" s="1193"/>
      <c r="CW990" s="249"/>
      <c r="CX990" s="216"/>
      <c r="CY990" s="305"/>
      <c r="CZ990" s="249"/>
      <c r="DA990" s="216"/>
      <c r="DB990" s="307"/>
      <c r="DC990" s="328"/>
      <c r="DD990" s="322"/>
      <c r="DE990" s="305"/>
      <c r="DF990" s="249"/>
      <c r="DG990" s="216"/>
      <c r="DH990" s="305"/>
      <c r="DI990" s="249"/>
      <c r="DJ990" s="216"/>
      <c r="DK990" s="309"/>
      <c r="DL990" s="293"/>
      <c r="DM990" s="326"/>
      <c r="DN990" s="1256"/>
      <c r="DO990" s="214"/>
      <c r="DP990" s="1257"/>
      <c r="DQ990" s="1258"/>
      <c r="DR990" s="305"/>
      <c r="DS990" s="249"/>
      <c r="DT990" s="216"/>
      <c r="DU990" s="305"/>
      <c r="DV990" s="2520"/>
      <c r="DW990" s="2521"/>
      <c r="DX990" s="305"/>
      <c r="DY990" s="249"/>
      <c r="DZ990" s="221"/>
      <c r="EA990" s="388"/>
      <c r="EB990" s="249"/>
      <c r="EC990" s="216"/>
      <c r="ED990" s="1461"/>
      <c r="EE990" s="249"/>
      <c r="EF990" s="216"/>
      <c r="EG990" s="355"/>
      <c r="EH990" s="1425"/>
      <c r="EI990" s="1470"/>
      <c r="EJ990" s="249"/>
      <c r="EK990" s="221"/>
      <c r="EL990" s="313"/>
      <c r="EM990" s="249"/>
      <c r="EN990" s="221"/>
      <c r="EO990" s="313"/>
      <c r="EP990" s="249"/>
      <c r="EQ990" s="216"/>
      <c r="ER990" s="313"/>
      <c r="ES990" s="249"/>
      <c r="ET990" s="216"/>
      <c r="EU990" s="313"/>
      <c r="EV990" s="249"/>
      <c r="EW990" s="216"/>
      <c r="EX990" s="2505"/>
      <c r="EY990" s="249"/>
      <c r="EZ990" s="221"/>
      <c r="FA990" s="313"/>
      <c r="FB990" s="249"/>
      <c r="FC990" s="221"/>
      <c r="FD990" s="313"/>
      <c r="FE990" s="249"/>
      <c r="FF990" s="221"/>
      <c r="FG990" s="313"/>
      <c r="FH990" s="249"/>
      <c r="FI990" s="216"/>
      <c r="FJ990" s="1435"/>
      <c r="FK990" s="216"/>
      <c r="FL990" s="1268"/>
      <c r="FM990" s="1655"/>
      <c r="FN990" s="1268"/>
      <c r="FO990" s="1655"/>
      <c r="FP990" s="1268"/>
      <c r="FQ990" s="1656"/>
      <c r="FR990" s="249"/>
      <c r="FS990" s="216"/>
      <c r="FT990" s="1657"/>
      <c r="FU990" s="1658"/>
      <c r="FV990" s="242"/>
      <c r="FW990" s="343"/>
      <c r="FX990" s="222"/>
      <c r="FY990" s="336"/>
      <c r="FZ990" s="223"/>
      <c r="GA990" s="338"/>
      <c r="GB990" s="204"/>
      <c r="GC990" s="339"/>
      <c r="GD990" s="342"/>
      <c r="GE990" s="199"/>
      <c r="GF990" s="199"/>
      <c r="GG990" s="199"/>
      <c r="GH990" s="199"/>
      <c r="GI990" s="199"/>
      <c r="GJ990" s="199"/>
      <c r="GK990" s="199"/>
      <c r="GO990" s="322"/>
      <c r="GP990" s="1190"/>
      <c r="GQ990" s="1190"/>
      <c r="GS990" s="2879"/>
      <c r="GT990" s="2880"/>
      <c r="GU990" s="2881"/>
    </row>
    <row r="991" spans="1:203" ht="12" customHeight="1">
      <c r="A991" s="1252"/>
      <c r="B991" s="200"/>
      <c r="C991" s="486"/>
      <c r="T991" s="1186"/>
      <c r="U991" s="233"/>
      <c r="W991" s="218"/>
      <c r="X991" s="218"/>
      <c r="Y991" s="216"/>
      <c r="Z991" s="216"/>
      <c r="AA991" s="215"/>
      <c r="AB991" s="216"/>
      <c r="AC991" s="216"/>
      <c r="AD991" s="239"/>
      <c r="AE991" s="216"/>
      <c r="AF991" s="216"/>
      <c r="AG991" s="216"/>
      <c r="AH991" s="216"/>
      <c r="AI991" s="216"/>
      <c r="AJ991" s="216"/>
      <c r="AK991" s="239"/>
      <c r="AL991" s="216"/>
      <c r="AM991" s="216"/>
      <c r="AN991" s="216"/>
      <c r="AO991" s="216"/>
      <c r="AP991" s="216"/>
      <c r="AQ991" s="216"/>
      <c r="AR991" s="216"/>
      <c r="AS991" s="216"/>
      <c r="AT991" s="216"/>
      <c r="AU991" s="216"/>
      <c r="AV991" s="217"/>
      <c r="AW991" s="355"/>
      <c r="AX991" s="217"/>
      <c r="AY991" s="305"/>
      <c r="AZ991" s="249"/>
      <c r="BA991" s="221"/>
      <c r="BB991" s="300"/>
      <c r="BC991" s="217"/>
      <c r="BD991" s="392"/>
      <c r="BE991" s="1244"/>
      <c r="BF991" s="249"/>
      <c r="BG991" s="252"/>
      <c r="BH991" s="1469"/>
      <c r="BI991" s="216"/>
      <c r="BJ991" s="1469"/>
      <c r="BK991" s="1459"/>
      <c r="BL991" s="260"/>
      <c r="BM991" s="214"/>
      <c r="BN991" s="293"/>
      <c r="BO991" s="217"/>
      <c r="BP991" s="355"/>
      <c r="BQ991" s="217"/>
      <c r="BR991" s="1193"/>
      <c r="BS991" s="249"/>
      <c r="BT991" s="216"/>
      <c r="BU991" s="1195"/>
      <c r="BV991" s="249"/>
      <c r="BW991" s="216"/>
      <c r="BX991" s="1195"/>
      <c r="BY991" s="249"/>
      <c r="BZ991" s="216"/>
      <c r="CA991" s="1195"/>
      <c r="CB991" s="249"/>
      <c r="CC991" s="216"/>
      <c r="CD991" s="1195"/>
      <c r="CE991" s="249"/>
      <c r="CF991" s="216"/>
      <c r="CG991" s="1195"/>
      <c r="CH991" s="249"/>
      <c r="CI991" s="216"/>
      <c r="CJ991" s="1195"/>
      <c r="CK991" s="249"/>
      <c r="CL991" s="216"/>
      <c r="CM991" s="1194"/>
      <c r="CN991" s="1524"/>
      <c r="CO991" s="217"/>
      <c r="CP991" s="1193"/>
      <c r="CQ991" s="293"/>
      <c r="CR991" s="217"/>
      <c r="CS991" s="305"/>
      <c r="CT991" s="249"/>
      <c r="CU991" s="216"/>
      <c r="CV991" s="1193"/>
      <c r="CW991" s="249"/>
      <c r="CX991" s="216"/>
      <c r="CY991" s="305"/>
      <c r="CZ991" s="249"/>
      <c r="DA991" s="216"/>
      <c r="DB991" s="307"/>
      <c r="DC991" s="328"/>
      <c r="DD991" s="322"/>
      <c r="DE991" s="305"/>
      <c r="DF991" s="249"/>
      <c r="DG991" s="216"/>
      <c r="DH991" s="305"/>
      <c r="DI991" s="249"/>
      <c r="DJ991" s="216"/>
      <c r="DK991" s="309"/>
      <c r="DL991" s="293"/>
      <c r="DM991" s="326"/>
      <c r="DN991" s="1256"/>
      <c r="DO991" s="214"/>
      <c r="DP991" s="1257"/>
      <c r="DQ991" s="1258"/>
      <c r="DR991" s="305"/>
      <c r="DS991" s="249"/>
      <c r="DT991" s="216"/>
      <c r="DU991" s="305"/>
      <c r="DV991" s="2520"/>
      <c r="DW991" s="2521"/>
      <c r="DX991" s="305"/>
      <c r="DY991" s="249"/>
      <c r="DZ991" s="221"/>
      <c r="EA991" s="388"/>
      <c r="EB991" s="249"/>
      <c r="EC991" s="216"/>
      <c r="ED991" s="1461"/>
      <c r="EE991" s="249"/>
      <c r="EF991" s="216"/>
      <c r="EG991" s="355"/>
      <c r="EH991" s="1425"/>
      <c r="EI991" s="1470"/>
      <c r="EJ991" s="249"/>
      <c r="EK991" s="221"/>
      <c r="EL991" s="313"/>
      <c r="EM991" s="249"/>
      <c r="EN991" s="221"/>
      <c r="EO991" s="313"/>
      <c r="EP991" s="249"/>
      <c r="EQ991" s="216"/>
      <c r="ER991" s="313"/>
      <c r="ES991" s="249"/>
      <c r="ET991" s="216"/>
      <c r="EU991" s="313"/>
      <c r="EV991" s="249"/>
      <c r="EW991" s="216"/>
      <c r="EX991" s="2505"/>
      <c r="EY991" s="249"/>
      <c r="EZ991" s="221"/>
      <c r="FA991" s="313"/>
      <c r="FB991" s="249"/>
      <c r="FC991" s="221"/>
      <c r="FD991" s="313"/>
      <c r="FE991" s="249"/>
      <c r="FF991" s="221"/>
      <c r="FG991" s="313"/>
      <c r="FH991" s="249"/>
      <c r="FI991" s="216"/>
      <c r="FJ991" s="1435"/>
      <c r="FK991" s="216"/>
      <c r="FL991" s="1268"/>
      <c r="FM991" s="1655"/>
      <c r="FN991" s="1268"/>
      <c r="FO991" s="1655"/>
      <c r="FP991" s="1268"/>
      <c r="FQ991" s="1656"/>
      <c r="FR991" s="249"/>
      <c r="FS991" s="216"/>
      <c r="FT991" s="1657"/>
      <c r="FU991" s="1658"/>
      <c r="FV991" s="242"/>
      <c r="FW991" s="343"/>
      <c r="FX991" s="222"/>
      <c r="FY991" s="336"/>
      <c r="FZ991" s="223"/>
      <c r="GA991" s="338"/>
      <c r="GB991" s="204"/>
      <c r="GC991" s="339"/>
      <c r="GD991" s="342"/>
      <c r="GE991" s="199"/>
      <c r="GF991" s="199"/>
      <c r="GG991" s="199"/>
      <c r="GH991" s="199"/>
      <c r="GI991" s="199"/>
      <c r="GJ991" s="199"/>
      <c r="GK991" s="199"/>
      <c r="GO991" s="322"/>
      <c r="GP991" s="1190"/>
      <c r="GQ991" s="1190"/>
      <c r="GS991" s="2879"/>
      <c r="GT991" s="2880"/>
      <c r="GU991" s="2881"/>
    </row>
    <row r="992" spans="1:203" ht="12" customHeight="1">
      <c r="A992" s="1252"/>
      <c r="B992" s="200"/>
      <c r="C992" s="486"/>
      <c r="T992" s="1186"/>
      <c r="U992" s="233"/>
      <c r="W992" s="218"/>
      <c r="X992" s="218"/>
      <c r="Y992" s="216"/>
      <c r="Z992" s="216"/>
      <c r="AA992" s="215"/>
      <c r="AB992" s="216"/>
      <c r="AC992" s="216"/>
      <c r="AD992" s="239"/>
      <c r="AE992" s="216"/>
      <c r="AF992" s="216"/>
      <c r="AG992" s="216"/>
      <c r="AH992" s="216"/>
      <c r="AI992" s="216"/>
      <c r="AJ992" s="216"/>
      <c r="AK992" s="239"/>
      <c r="AL992" s="216"/>
      <c r="AM992" s="216"/>
      <c r="AN992" s="216"/>
      <c r="AO992" s="216"/>
      <c r="AP992" s="216"/>
      <c r="AQ992" s="216"/>
      <c r="AR992" s="216"/>
      <c r="AS992" s="216"/>
      <c r="AT992" s="216"/>
      <c r="AU992" s="216"/>
      <c r="AV992" s="217"/>
      <c r="AW992" s="355"/>
      <c r="AX992" s="217"/>
      <c r="AY992" s="305"/>
      <c r="AZ992" s="249"/>
      <c r="BA992" s="221"/>
      <c r="BB992" s="300"/>
      <c r="BC992" s="217"/>
      <c r="BD992" s="392"/>
      <c r="BE992" s="1244"/>
      <c r="BF992" s="249"/>
      <c r="BG992" s="252"/>
      <c r="BH992" s="1469"/>
      <c r="BI992" s="216"/>
      <c r="BJ992" s="1469"/>
      <c r="BK992" s="1459"/>
      <c r="BL992" s="260"/>
      <c r="BM992" s="214"/>
      <c r="BN992" s="293"/>
      <c r="BO992" s="217"/>
      <c r="BP992" s="355"/>
      <c r="BQ992" s="217"/>
      <c r="BR992" s="1193"/>
      <c r="BS992" s="249"/>
      <c r="BT992" s="216"/>
      <c r="BU992" s="1195"/>
      <c r="BV992" s="249"/>
      <c r="BW992" s="216"/>
      <c r="BX992" s="1195"/>
      <c r="BY992" s="249"/>
      <c r="BZ992" s="216"/>
      <c r="CA992" s="1195"/>
      <c r="CB992" s="249"/>
      <c r="CC992" s="216"/>
      <c r="CD992" s="1195"/>
      <c r="CE992" s="249"/>
      <c r="CF992" s="216"/>
      <c r="CG992" s="1195"/>
      <c r="CH992" s="249"/>
      <c r="CI992" s="216"/>
      <c r="CJ992" s="1195"/>
      <c r="CK992" s="249"/>
      <c r="CL992" s="216"/>
      <c r="CM992" s="1194"/>
      <c r="CN992" s="1524"/>
      <c r="CO992" s="217"/>
      <c r="CP992" s="1193"/>
      <c r="CQ992" s="293"/>
      <c r="CR992" s="217"/>
      <c r="CS992" s="305"/>
      <c r="CT992" s="249"/>
      <c r="CU992" s="216"/>
      <c r="CV992" s="1193"/>
      <c r="CW992" s="249"/>
      <c r="CX992" s="216"/>
      <c r="CY992" s="305"/>
      <c r="CZ992" s="249"/>
      <c r="DA992" s="216"/>
      <c r="DB992" s="307"/>
      <c r="DC992" s="328"/>
      <c r="DD992" s="322"/>
      <c r="DE992" s="305"/>
      <c r="DF992" s="249"/>
      <c r="DG992" s="216"/>
      <c r="DH992" s="305"/>
      <c r="DI992" s="249"/>
      <c r="DJ992" s="216"/>
      <c r="DK992" s="309"/>
      <c r="DL992" s="293"/>
      <c r="DM992" s="326"/>
      <c r="DN992" s="1256"/>
      <c r="DO992" s="214"/>
      <c r="DP992" s="1257"/>
      <c r="DQ992" s="1258"/>
      <c r="DR992" s="305"/>
      <c r="DS992" s="249"/>
      <c r="DT992" s="216"/>
      <c r="DU992" s="305"/>
      <c r="DV992" s="2520"/>
      <c r="DW992" s="2521"/>
      <c r="DX992" s="305"/>
      <c r="DY992" s="249"/>
      <c r="DZ992" s="221"/>
      <c r="EA992" s="388"/>
      <c r="EB992" s="249"/>
      <c r="EC992" s="216"/>
      <c r="ED992" s="1461"/>
      <c r="EE992" s="249"/>
      <c r="EF992" s="216"/>
      <c r="EG992" s="355"/>
      <c r="EH992" s="1425"/>
      <c r="EI992" s="1470"/>
      <c r="EJ992" s="249"/>
      <c r="EK992" s="221"/>
      <c r="EL992" s="313"/>
      <c r="EM992" s="249"/>
      <c r="EN992" s="221"/>
      <c r="EO992" s="313"/>
      <c r="EP992" s="249"/>
      <c r="EQ992" s="216"/>
      <c r="ER992" s="313"/>
      <c r="ES992" s="249"/>
      <c r="ET992" s="216"/>
      <c r="EU992" s="313"/>
      <c r="EV992" s="249"/>
      <c r="EW992" s="216"/>
      <c r="EX992" s="2505"/>
      <c r="EY992" s="249"/>
      <c r="EZ992" s="221"/>
      <c r="FA992" s="313"/>
      <c r="FB992" s="249"/>
      <c r="FC992" s="221"/>
      <c r="FD992" s="313"/>
      <c r="FE992" s="249"/>
      <c r="FF992" s="221"/>
      <c r="FG992" s="313"/>
      <c r="FH992" s="249"/>
      <c r="FI992" s="216"/>
      <c r="FJ992" s="1435"/>
      <c r="FK992" s="216"/>
      <c r="FL992" s="1268"/>
      <c r="FM992" s="1655"/>
      <c r="FN992" s="1268"/>
      <c r="FO992" s="1655"/>
      <c r="FP992" s="1268"/>
      <c r="FQ992" s="1656"/>
      <c r="FR992" s="249"/>
      <c r="FS992" s="216"/>
      <c r="FT992" s="1657"/>
      <c r="FU992" s="1658"/>
      <c r="FV992" s="242"/>
      <c r="FW992" s="343"/>
      <c r="FX992" s="222"/>
      <c r="FY992" s="336"/>
      <c r="FZ992" s="223"/>
      <c r="GA992" s="338"/>
      <c r="GB992" s="204"/>
      <c r="GC992" s="339"/>
      <c r="GD992" s="342"/>
      <c r="GE992" s="199"/>
      <c r="GF992" s="199"/>
      <c r="GG992" s="199"/>
      <c r="GH992" s="199"/>
      <c r="GI992" s="199"/>
      <c r="GJ992" s="199"/>
      <c r="GK992" s="199"/>
      <c r="GO992" s="322"/>
      <c r="GP992" s="1190"/>
      <c r="GQ992" s="1190"/>
      <c r="GS992" s="2879"/>
      <c r="GT992" s="2880"/>
      <c r="GU992" s="2881"/>
    </row>
    <row r="993" spans="1:203" ht="12" customHeight="1">
      <c r="A993" s="1252"/>
      <c r="B993" s="200"/>
      <c r="C993" s="486"/>
      <c r="T993" s="1186"/>
      <c r="U993" s="233"/>
      <c r="W993" s="218"/>
      <c r="X993" s="218"/>
      <c r="Y993" s="216"/>
      <c r="Z993" s="216"/>
      <c r="AA993" s="215"/>
      <c r="AB993" s="216"/>
      <c r="AC993" s="216"/>
      <c r="AD993" s="239"/>
      <c r="AE993" s="216"/>
      <c r="AF993" s="216"/>
      <c r="AG993" s="216"/>
      <c r="AH993" s="216"/>
      <c r="AI993" s="216"/>
      <c r="AJ993" s="216"/>
      <c r="AK993" s="239"/>
      <c r="AL993" s="216"/>
      <c r="AM993" s="216"/>
      <c r="AN993" s="216"/>
      <c r="AO993" s="216"/>
      <c r="AP993" s="216"/>
      <c r="AQ993" s="216"/>
      <c r="AR993" s="216"/>
      <c r="AS993" s="216"/>
      <c r="AT993" s="216"/>
      <c r="AU993" s="216"/>
      <c r="AV993" s="217"/>
      <c r="AW993" s="355"/>
      <c r="AX993" s="217"/>
      <c r="AY993" s="305"/>
      <c r="AZ993" s="249"/>
      <c r="BA993" s="221"/>
      <c r="BB993" s="300"/>
      <c r="BC993" s="217"/>
      <c r="BD993" s="392"/>
      <c r="BE993" s="1244"/>
      <c r="BF993" s="249"/>
      <c r="BG993" s="252"/>
      <c r="BH993" s="1469"/>
      <c r="BI993" s="216"/>
      <c r="BJ993" s="1469"/>
      <c r="BK993" s="1459"/>
      <c r="BL993" s="260"/>
      <c r="BM993" s="214"/>
      <c r="BN993" s="293"/>
      <c r="BO993" s="217"/>
      <c r="BP993" s="355"/>
      <c r="BQ993" s="217"/>
      <c r="BR993" s="1193"/>
      <c r="BS993" s="249"/>
      <c r="BT993" s="216"/>
      <c r="BU993" s="1195"/>
      <c r="BV993" s="249"/>
      <c r="BW993" s="216"/>
      <c r="BX993" s="1195"/>
      <c r="BY993" s="249"/>
      <c r="BZ993" s="216"/>
      <c r="CA993" s="1195"/>
      <c r="CB993" s="249"/>
      <c r="CC993" s="216"/>
      <c r="CD993" s="1195"/>
      <c r="CE993" s="249"/>
      <c r="CF993" s="216"/>
      <c r="CG993" s="1195"/>
      <c r="CH993" s="249"/>
      <c r="CI993" s="216"/>
      <c r="CJ993" s="1195"/>
      <c r="CK993" s="249"/>
      <c r="CL993" s="216"/>
      <c r="CM993" s="1194"/>
      <c r="CN993" s="1524"/>
      <c r="CO993" s="217"/>
      <c r="CP993" s="1193"/>
      <c r="CQ993" s="293"/>
      <c r="CR993" s="217"/>
      <c r="CS993" s="305"/>
      <c r="CT993" s="249"/>
      <c r="CU993" s="216"/>
      <c r="CV993" s="1193"/>
      <c r="CW993" s="249"/>
      <c r="CX993" s="216"/>
      <c r="CY993" s="305"/>
      <c r="CZ993" s="249"/>
      <c r="DA993" s="216"/>
      <c r="DB993" s="307"/>
      <c r="DC993" s="328"/>
      <c r="DD993" s="322"/>
      <c r="DE993" s="305"/>
      <c r="DF993" s="249"/>
      <c r="DG993" s="216"/>
      <c r="DH993" s="305"/>
      <c r="DI993" s="249"/>
      <c r="DJ993" s="216"/>
      <c r="DK993" s="309"/>
      <c r="DL993" s="293"/>
      <c r="DM993" s="326"/>
      <c r="DN993" s="1256"/>
      <c r="DO993" s="214"/>
      <c r="DP993" s="1257"/>
      <c r="DQ993" s="1258"/>
      <c r="DR993" s="305"/>
      <c r="DS993" s="249"/>
      <c r="DT993" s="216"/>
      <c r="DU993" s="305"/>
      <c r="DV993" s="2520"/>
      <c r="DW993" s="2521"/>
      <c r="DX993" s="305"/>
      <c r="DY993" s="249"/>
      <c r="DZ993" s="221"/>
      <c r="EA993" s="388"/>
      <c r="EB993" s="249"/>
      <c r="EC993" s="216"/>
      <c r="ED993" s="1461"/>
      <c r="EE993" s="249"/>
      <c r="EF993" s="216"/>
      <c r="EG993" s="355"/>
      <c r="EH993" s="1425"/>
      <c r="EI993" s="1470"/>
      <c r="EJ993" s="249"/>
      <c r="EK993" s="221"/>
      <c r="EL993" s="313"/>
      <c r="EM993" s="249"/>
      <c r="EN993" s="221"/>
      <c r="EO993" s="313"/>
      <c r="EP993" s="249"/>
      <c r="EQ993" s="216"/>
      <c r="ER993" s="313"/>
      <c r="ES993" s="249"/>
      <c r="ET993" s="216"/>
      <c r="EU993" s="313"/>
      <c r="EV993" s="249"/>
      <c r="EW993" s="216"/>
      <c r="EX993" s="2505"/>
      <c r="EY993" s="249"/>
      <c r="EZ993" s="221"/>
      <c r="FA993" s="313"/>
      <c r="FB993" s="249"/>
      <c r="FC993" s="221"/>
      <c r="FD993" s="313"/>
      <c r="FE993" s="249"/>
      <c r="FF993" s="221"/>
      <c r="FG993" s="313"/>
      <c r="FH993" s="249"/>
      <c r="FI993" s="216"/>
      <c r="FJ993" s="1435"/>
      <c r="FK993" s="216"/>
      <c r="FL993" s="1268"/>
      <c r="FM993" s="1655"/>
      <c r="FN993" s="1268"/>
      <c r="FO993" s="1655"/>
      <c r="FP993" s="1268"/>
      <c r="FQ993" s="1656"/>
      <c r="FR993" s="249"/>
      <c r="FS993" s="216"/>
      <c r="FT993" s="1657"/>
      <c r="FU993" s="1658"/>
      <c r="FV993" s="242"/>
      <c r="FW993" s="343"/>
      <c r="FX993" s="222"/>
      <c r="FY993" s="336"/>
      <c r="FZ993" s="223"/>
      <c r="GA993" s="338"/>
      <c r="GB993" s="204"/>
      <c r="GC993" s="339"/>
      <c r="GD993" s="342"/>
      <c r="GE993" s="199"/>
      <c r="GF993" s="199"/>
      <c r="GG993" s="199"/>
      <c r="GH993" s="199"/>
      <c r="GI993" s="199"/>
      <c r="GJ993" s="199"/>
      <c r="GK993" s="199"/>
      <c r="GO993" s="322"/>
      <c r="GP993" s="1190"/>
      <c r="GQ993" s="1190"/>
      <c r="GS993" s="2879"/>
      <c r="GT993" s="2880"/>
      <c r="GU993" s="2881"/>
    </row>
    <row r="994" spans="1:203" ht="12" customHeight="1">
      <c r="A994" s="1252"/>
      <c r="B994" s="200"/>
      <c r="C994" s="486"/>
      <c r="T994" s="1186"/>
      <c r="U994" s="233"/>
      <c r="W994" s="218"/>
      <c r="X994" s="218"/>
      <c r="Y994" s="216"/>
      <c r="Z994" s="216"/>
      <c r="AA994" s="215"/>
      <c r="AB994" s="216"/>
      <c r="AC994" s="216"/>
      <c r="AD994" s="239"/>
      <c r="AE994" s="216"/>
      <c r="AF994" s="216"/>
      <c r="AG994" s="216"/>
      <c r="AH994" s="216"/>
      <c r="AI994" s="216"/>
      <c r="AJ994" s="216"/>
      <c r="AK994" s="239"/>
      <c r="AL994" s="216"/>
      <c r="AM994" s="216"/>
      <c r="AN994" s="216"/>
      <c r="AO994" s="216"/>
      <c r="AP994" s="216"/>
      <c r="AQ994" s="216"/>
      <c r="AR994" s="216"/>
      <c r="AS994" s="216"/>
      <c r="AT994" s="216"/>
      <c r="AU994" s="216"/>
      <c r="AV994" s="217"/>
      <c r="AW994" s="355"/>
      <c r="AX994" s="217"/>
      <c r="AY994" s="305"/>
      <c r="AZ994" s="249"/>
      <c r="BA994" s="221"/>
      <c r="BB994" s="300"/>
      <c r="BC994" s="217"/>
      <c r="BD994" s="392"/>
      <c r="BE994" s="1244"/>
      <c r="BF994" s="249"/>
      <c r="BG994" s="252"/>
      <c r="BH994" s="1469"/>
      <c r="BI994" s="216"/>
      <c r="BJ994" s="1469"/>
      <c r="BK994" s="1459"/>
      <c r="BL994" s="260"/>
      <c r="BM994" s="214"/>
      <c r="BN994" s="293"/>
      <c r="BO994" s="217"/>
      <c r="BP994" s="355"/>
      <c r="BQ994" s="217"/>
      <c r="BR994" s="1193"/>
      <c r="BS994" s="249"/>
      <c r="BT994" s="216"/>
      <c r="BU994" s="1195"/>
      <c r="BV994" s="249"/>
      <c r="BW994" s="216"/>
      <c r="BX994" s="1195"/>
      <c r="BY994" s="249"/>
      <c r="BZ994" s="216"/>
      <c r="CA994" s="1195"/>
      <c r="CB994" s="249"/>
      <c r="CC994" s="216"/>
      <c r="CD994" s="1195"/>
      <c r="CE994" s="249"/>
      <c r="CF994" s="216"/>
      <c r="CG994" s="1195"/>
      <c r="CH994" s="249"/>
      <c r="CI994" s="216"/>
      <c r="CJ994" s="1195"/>
      <c r="CK994" s="249"/>
      <c r="CL994" s="216"/>
      <c r="CM994" s="1194"/>
      <c r="CN994" s="1524"/>
      <c r="CO994" s="217"/>
      <c r="CP994" s="1193"/>
      <c r="CQ994" s="293"/>
      <c r="CR994" s="217"/>
      <c r="CS994" s="305"/>
      <c r="CT994" s="249"/>
      <c r="CU994" s="216"/>
      <c r="CV994" s="1193"/>
      <c r="CW994" s="249"/>
      <c r="CX994" s="216"/>
      <c r="CY994" s="305"/>
      <c r="CZ994" s="249"/>
      <c r="DA994" s="216"/>
      <c r="DB994" s="307"/>
      <c r="DC994" s="328"/>
      <c r="DD994" s="322"/>
      <c r="DE994" s="305"/>
      <c r="DF994" s="249"/>
      <c r="DG994" s="216"/>
      <c r="DH994" s="305"/>
      <c r="DI994" s="249"/>
      <c r="DJ994" s="216"/>
      <c r="DK994" s="309"/>
      <c r="DL994" s="293"/>
      <c r="DM994" s="326"/>
      <c r="DN994" s="1256"/>
      <c r="DO994" s="214"/>
      <c r="DP994" s="1257"/>
      <c r="DQ994" s="1258"/>
      <c r="DR994" s="305"/>
      <c r="DS994" s="249"/>
      <c r="DT994" s="216"/>
      <c r="DU994" s="305"/>
      <c r="DV994" s="2520"/>
      <c r="DW994" s="2521"/>
      <c r="DX994" s="305"/>
      <c r="DY994" s="249"/>
      <c r="DZ994" s="221"/>
      <c r="EA994" s="388"/>
      <c r="EB994" s="249"/>
      <c r="EC994" s="216"/>
      <c r="ED994" s="1461"/>
      <c r="EE994" s="249"/>
      <c r="EF994" s="216"/>
      <c r="EG994" s="355"/>
      <c r="EH994" s="1425"/>
      <c r="EI994" s="1470"/>
      <c r="EJ994" s="249"/>
      <c r="EK994" s="221"/>
      <c r="EL994" s="313"/>
      <c r="EM994" s="249"/>
      <c r="EN994" s="221"/>
      <c r="EO994" s="313"/>
      <c r="EP994" s="249"/>
      <c r="EQ994" s="216"/>
      <c r="ER994" s="313"/>
      <c r="ES994" s="249"/>
      <c r="ET994" s="216"/>
      <c r="EU994" s="313"/>
      <c r="EV994" s="249"/>
      <c r="EW994" s="216"/>
      <c r="EX994" s="2505"/>
      <c r="EY994" s="249"/>
      <c r="EZ994" s="221"/>
      <c r="FA994" s="313"/>
      <c r="FB994" s="249"/>
      <c r="FC994" s="221"/>
      <c r="FD994" s="313"/>
      <c r="FE994" s="249"/>
      <c r="FF994" s="221"/>
      <c r="FG994" s="313"/>
      <c r="FH994" s="249"/>
      <c r="FI994" s="216"/>
      <c r="FJ994" s="1435"/>
      <c r="FK994" s="216"/>
      <c r="FL994" s="1268"/>
      <c r="FM994" s="1655"/>
      <c r="FN994" s="1268"/>
      <c r="FO994" s="1655"/>
      <c r="FP994" s="1268"/>
      <c r="FQ994" s="1656"/>
      <c r="FR994" s="249"/>
      <c r="FS994" s="216"/>
      <c r="FT994" s="1657"/>
      <c r="FU994" s="1658"/>
      <c r="FV994" s="242"/>
      <c r="FW994" s="343"/>
      <c r="FX994" s="222"/>
      <c r="FY994" s="336"/>
      <c r="FZ994" s="223"/>
      <c r="GA994" s="338"/>
      <c r="GB994" s="204"/>
      <c r="GC994" s="339"/>
      <c r="GD994" s="342"/>
      <c r="GE994" s="199"/>
      <c r="GF994" s="199"/>
      <c r="GG994" s="199"/>
      <c r="GH994" s="199"/>
      <c r="GI994" s="199"/>
      <c r="GJ994" s="199"/>
      <c r="GK994" s="199"/>
      <c r="GO994" s="322"/>
      <c r="GP994" s="1190"/>
      <c r="GQ994" s="1190"/>
      <c r="GS994" s="2879"/>
      <c r="GT994" s="2880"/>
      <c r="GU994" s="2881"/>
    </row>
    <row r="995" spans="1:203" ht="12" customHeight="1">
      <c r="A995" s="1252"/>
      <c r="B995" s="200"/>
      <c r="C995" s="486"/>
      <c r="T995" s="1186"/>
      <c r="U995" s="233"/>
      <c r="W995" s="218"/>
      <c r="X995" s="218"/>
      <c r="Y995" s="216"/>
      <c r="Z995" s="216"/>
      <c r="AA995" s="215"/>
      <c r="AB995" s="216"/>
      <c r="AC995" s="216"/>
      <c r="AD995" s="239"/>
      <c r="AE995" s="216"/>
      <c r="AF995" s="216"/>
      <c r="AG995" s="216"/>
      <c r="AH995" s="216"/>
      <c r="AI995" s="216"/>
      <c r="AJ995" s="216"/>
      <c r="AK995" s="239"/>
      <c r="AL995" s="216"/>
      <c r="AM995" s="216"/>
      <c r="AN995" s="216"/>
      <c r="AO995" s="216"/>
      <c r="AP995" s="216"/>
      <c r="AQ995" s="216"/>
      <c r="AR995" s="216"/>
      <c r="AS995" s="216"/>
      <c r="AT995" s="216"/>
      <c r="AU995" s="216"/>
      <c r="AV995" s="217"/>
      <c r="AW995" s="355"/>
      <c r="AX995" s="217"/>
      <c r="AY995" s="305"/>
      <c r="AZ995" s="249"/>
      <c r="BA995" s="221"/>
      <c r="BB995" s="300"/>
      <c r="BC995" s="217"/>
      <c r="BD995" s="392"/>
      <c r="BE995" s="1244"/>
      <c r="BF995" s="249"/>
      <c r="BG995" s="252"/>
      <c r="BH995" s="1469"/>
      <c r="BI995" s="216"/>
      <c r="BJ995" s="1469"/>
      <c r="BK995" s="1459"/>
      <c r="BL995" s="260"/>
      <c r="BM995" s="214"/>
      <c r="BN995" s="293"/>
      <c r="BO995" s="217"/>
      <c r="BP995" s="355"/>
      <c r="BQ995" s="217"/>
      <c r="BR995" s="1193"/>
      <c r="BS995" s="249"/>
      <c r="BT995" s="216"/>
      <c r="BU995" s="1195"/>
      <c r="BV995" s="249"/>
      <c r="BW995" s="216"/>
      <c r="BX995" s="1195"/>
      <c r="BY995" s="249"/>
      <c r="BZ995" s="216"/>
      <c r="CA995" s="1195"/>
      <c r="CB995" s="249"/>
      <c r="CC995" s="216"/>
      <c r="CD995" s="1195"/>
      <c r="CE995" s="249"/>
      <c r="CF995" s="216"/>
      <c r="CG995" s="1195"/>
      <c r="CH995" s="249"/>
      <c r="CI995" s="216"/>
      <c r="CJ995" s="1195"/>
      <c r="CK995" s="249"/>
      <c r="CL995" s="216"/>
      <c r="CM995" s="1194"/>
      <c r="CN995" s="1524"/>
      <c r="CO995" s="217"/>
      <c r="CP995" s="1193"/>
      <c r="CQ995" s="293"/>
      <c r="CR995" s="217"/>
      <c r="CS995" s="305"/>
      <c r="CT995" s="249"/>
      <c r="CU995" s="216"/>
      <c r="CV995" s="1193"/>
      <c r="CW995" s="249"/>
      <c r="CX995" s="216"/>
      <c r="CY995" s="305"/>
      <c r="CZ995" s="249"/>
      <c r="DA995" s="216"/>
      <c r="DB995" s="307"/>
      <c r="DC995" s="328"/>
      <c r="DD995" s="322"/>
      <c r="DE995" s="305"/>
      <c r="DF995" s="249"/>
      <c r="DG995" s="216"/>
      <c r="DH995" s="305"/>
      <c r="DI995" s="249"/>
      <c r="DJ995" s="216"/>
      <c r="DK995" s="309"/>
      <c r="DL995" s="293"/>
      <c r="DM995" s="326"/>
      <c r="DN995" s="1256"/>
      <c r="DO995" s="214"/>
      <c r="DP995" s="1257"/>
      <c r="DQ995" s="1258"/>
      <c r="DR995" s="305"/>
      <c r="DS995" s="249"/>
      <c r="DT995" s="216"/>
      <c r="DU995" s="305"/>
      <c r="DV995" s="2520"/>
      <c r="DW995" s="2521"/>
      <c r="DX995" s="305"/>
      <c r="DY995" s="249"/>
      <c r="DZ995" s="221"/>
      <c r="EA995" s="388"/>
      <c r="EB995" s="249"/>
      <c r="EC995" s="216"/>
      <c r="ED995" s="1461"/>
      <c r="EE995" s="249"/>
      <c r="EF995" s="216"/>
      <c r="EG995" s="355"/>
      <c r="EH995" s="1425"/>
      <c r="EI995" s="1470"/>
      <c r="EJ995" s="249"/>
      <c r="EK995" s="221"/>
      <c r="EL995" s="313"/>
      <c r="EM995" s="249"/>
      <c r="EN995" s="221"/>
      <c r="EO995" s="313"/>
      <c r="EP995" s="249"/>
      <c r="EQ995" s="216"/>
      <c r="ER995" s="313"/>
      <c r="ES995" s="249"/>
      <c r="ET995" s="216"/>
      <c r="EU995" s="313"/>
      <c r="EV995" s="249"/>
      <c r="EW995" s="216"/>
      <c r="EX995" s="2505"/>
      <c r="EY995" s="249"/>
      <c r="EZ995" s="221"/>
      <c r="FA995" s="313"/>
      <c r="FB995" s="249"/>
      <c r="FC995" s="221"/>
      <c r="FD995" s="313"/>
      <c r="FE995" s="249"/>
      <c r="FF995" s="221"/>
      <c r="FG995" s="313"/>
      <c r="FH995" s="249"/>
      <c r="FI995" s="216"/>
      <c r="FJ995" s="1435"/>
      <c r="FK995" s="216"/>
      <c r="FL995" s="1268"/>
      <c r="FM995" s="1655"/>
      <c r="FN995" s="1268"/>
      <c r="FO995" s="1655"/>
      <c r="FP995" s="1268"/>
      <c r="FQ995" s="1656"/>
      <c r="FR995" s="249"/>
      <c r="FS995" s="216"/>
      <c r="FT995" s="1657"/>
      <c r="FU995" s="1658"/>
      <c r="FV995" s="242"/>
      <c r="FW995" s="343"/>
      <c r="FX995" s="222"/>
      <c r="FY995" s="336"/>
      <c r="FZ995" s="223"/>
      <c r="GA995" s="338"/>
      <c r="GB995" s="204"/>
      <c r="GC995" s="339"/>
      <c r="GD995" s="342"/>
      <c r="GE995" s="199"/>
      <c r="GF995" s="199"/>
      <c r="GG995" s="199"/>
      <c r="GH995" s="199"/>
      <c r="GI995" s="199"/>
      <c r="GJ995" s="199"/>
      <c r="GK995" s="199"/>
      <c r="GO995" s="322"/>
      <c r="GP995" s="1190"/>
      <c r="GQ995" s="1190"/>
      <c r="GS995" s="2879"/>
      <c r="GT995" s="2880"/>
      <c r="GU995" s="2881"/>
    </row>
    <row r="996" spans="1:203" ht="12" customHeight="1">
      <c r="A996" s="1252"/>
      <c r="B996" s="200"/>
      <c r="C996" s="486"/>
      <c r="T996" s="1186"/>
      <c r="U996" s="233"/>
      <c r="W996" s="218"/>
      <c r="X996" s="218"/>
      <c r="Y996" s="216"/>
      <c r="Z996" s="216"/>
      <c r="AA996" s="215"/>
      <c r="AB996" s="216"/>
      <c r="AC996" s="216"/>
      <c r="AD996" s="239"/>
      <c r="AE996" s="216"/>
      <c r="AF996" s="216"/>
      <c r="AG996" s="216"/>
      <c r="AH996" s="216"/>
      <c r="AI996" s="216"/>
      <c r="AJ996" s="216"/>
      <c r="AK996" s="239"/>
      <c r="AL996" s="216"/>
      <c r="AM996" s="216"/>
      <c r="AN996" s="216"/>
      <c r="AO996" s="216"/>
      <c r="AP996" s="216"/>
      <c r="AQ996" s="216"/>
      <c r="AR996" s="216"/>
      <c r="AS996" s="216"/>
      <c r="AT996" s="216"/>
      <c r="AU996" s="216"/>
      <c r="AV996" s="217"/>
      <c r="AW996" s="355"/>
      <c r="AX996" s="217"/>
      <c r="AY996" s="305"/>
      <c r="AZ996" s="249"/>
      <c r="BA996" s="221"/>
      <c r="BB996" s="300"/>
      <c r="BC996" s="217"/>
      <c r="BD996" s="392"/>
      <c r="BE996" s="1244"/>
      <c r="BF996" s="249"/>
      <c r="BG996" s="252"/>
      <c r="BH996" s="1469"/>
      <c r="BI996" s="216"/>
      <c r="BJ996" s="1469"/>
      <c r="BK996" s="1459"/>
      <c r="BL996" s="260"/>
      <c r="BM996" s="214"/>
      <c r="BN996" s="293"/>
      <c r="BO996" s="217"/>
      <c r="BP996" s="355"/>
      <c r="BQ996" s="217"/>
      <c r="BR996" s="1193"/>
      <c r="BS996" s="249"/>
      <c r="BT996" s="216"/>
      <c r="BU996" s="1195"/>
      <c r="BV996" s="249"/>
      <c r="BW996" s="216"/>
      <c r="BX996" s="1195"/>
      <c r="BY996" s="249"/>
      <c r="BZ996" s="216"/>
      <c r="CA996" s="1195"/>
      <c r="CB996" s="249"/>
      <c r="CC996" s="216"/>
      <c r="CD996" s="1195"/>
      <c r="CE996" s="249"/>
      <c r="CF996" s="216"/>
      <c r="CG996" s="1195"/>
      <c r="CH996" s="249"/>
      <c r="CI996" s="216"/>
      <c r="CJ996" s="1195"/>
      <c r="CK996" s="249"/>
      <c r="CL996" s="216"/>
      <c r="CM996" s="1194"/>
      <c r="CN996" s="1524"/>
      <c r="CO996" s="217"/>
      <c r="CP996" s="1193"/>
      <c r="CQ996" s="293"/>
      <c r="CR996" s="217"/>
      <c r="CS996" s="305"/>
      <c r="CT996" s="249"/>
      <c r="CU996" s="216"/>
      <c r="CV996" s="1193"/>
      <c r="CW996" s="249"/>
      <c r="CX996" s="216"/>
      <c r="CY996" s="305"/>
      <c r="CZ996" s="249"/>
      <c r="DA996" s="216"/>
      <c r="DB996" s="307"/>
      <c r="DC996" s="328"/>
      <c r="DD996" s="322"/>
      <c r="DE996" s="305"/>
      <c r="DF996" s="249"/>
      <c r="DG996" s="216"/>
      <c r="DH996" s="305"/>
      <c r="DI996" s="249"/>
      <c r="DJ996" s="216"/>
      <c r="DK996" s="309"/>
      <c r="DL996" s="293"/>
      <c r="DM996" s="326"/>
      <c r="DN996" s="1256"/>
      <c r="DO996" s="214"/>
      <c r="DP996" s="1257"/>
      <c r="DQ996" s="1258"/>
      <c r="DR996" s="305"/>
      <c r="DS996" s="249"/>
      <c r="DT996" s="216"/>
      <c r="DU996" s="305"/>
      <c r="DV996" s="2520"/>
      <c r="DW996" s="2521"/>
      <c r="DX996" s="305"/>
      <c r="DY996" s="249"/>
      <c r="DZ996" s="221"/>
      <c r="EA996" s="388"/>
      <c r="EB996" s="249"/>
      <c r="EC996" s="216"/>
      <c r="ED996" s="1461"/>
      <c r="EE996" s="249"/>
      <c r="EF996" s="216"/>
      <c r="EG996" s="355"/>
      <c r="EH996" s="1425"/>
      <c r="EI996" s="1470"/>
      <c r="EJ996" s="249"/>
      <c r="EK996" s="221"/>
      <c r="EL996" s="313"/>
      <c r="EM996" s="249"/>
      <c r="EN996" s="221"/>
      <c r="EO996" s="313"/>
      <c r="EP996" s="249"/>
      <c r="EQ996" s="216"/>
      <c r="ER996" s="313"/>
      <c r="ES996" s="249"/>
      <c r="ET996" s="216"/>
      <c r="EU996" s="313"/>
      <c r="EV996" s="249"/>
      <c r="EW996" s="216"/>
      <c r="EX996" s="2505"/>
      <c r="EY996" s="249"/>
      <c r="EZ996" s="221"/>
      <c r="FA996" s="313"/>
      <c r="FB996" s="249"/>
      <c r="FC996" s="221"/>
      <c r="FD996" s="313"/>
      <c r="FE996" s="249"/>
      <c r="FF996" s="221"/>
      <c r="FG996" s="313"/>
      <c r="FH996" s="249"/>
      <c r="FI996" s="216"/>
      <c r="FJ996" s="1435"/>
      <c r="FK996" s="216"/>
      <c r="FL996" s="1268"/>
      <c r="FM996" s="1655"/>
      <c r="FN996" s="1268"/>
      <c r="FO996" s="1655"/>
      <c r="FP996" s="1268"/>
      <c r="FQ996" s="1656"/>
      <c r="FR996" s="249"/>
      <c r="FS996" s="216"/>
      <c r="FT996" s="1657"/>
      <c r="FU996" s="1658"/>
      <c r="FV996" s="242"/>
      <c r="FW996" s="343"/>
      <c r="FX996" s="222"/>
      <c r="FY996" s="336"/>
      <c r="FZ996" s="223"/>
      <c r="GA996" s="338"/>
      <c r="GB996" s="204"/>
      <c r="GC996" s="339"/>
      <c r="GD996" s="342"/>
      <c r="GE996" s="199"/>
      <c r="GF996" s="199"/>
      <c r="GG996" s="199"/>
      <c r="GH996" s="199"/>
      <c r="GI996" s="199"/>
      <c r="GJ996" s="199"/>
      <c r="GK996" s="199"/>
      <c r="GO996" s="322"/>
      <c r="GP996" s="1190"/>
      <c r="GQ996" s="1190"/>
      <c r="GS996" s="2879"/>
      <c r="GT996" s="2880"/>
      <c r="GU996" s="2881"/>
    </row>
    <row r="997" spans="1:203" ht="12" customHeight="1">
      <c r="A997" s="1252"/>
      <c r="B997" s="200"/>
      <c r="C997" s="486"/>
      <c r="T997" s="1186"/>
      <c r="U997" s="233"/>
      <c r="W997" s="218"/>
      <c r="X997" s="218"/>
      <c r="Y997" s="216"/>
      <c r="Z997" s="216"/>
      <c r="AA997" s="215"/>
      <c r="AB997" s="216"/>
      <c r="AC997" s="216"/>
      <c r="AD997" s="239"/>
      <c r="AE997" s="216"/>
      <c r="AF997" s="216"/>
      <c r="AG997" s="216"/>
      <c r="AH997" s="216"/>
      <c r="AI997" s="216"/>
      <c r="AJ997" s="216"/>
      <c r="AK997" s="239"/>
      <c r="AL997" s="216"/>
      <c r="AM997" s="216"/>
      <c r="AN997" s="216"/>
      <c r="AO997" s="216"/>
      <c r="AP997" s="216"/>
      <c r="AQ997" s="216"/>
      <c r="AR997" s="216"/>
      <c r="AS997" s="216"/>
      <c r="AT997" s="216"/>
      <c r="AU997" s="216"/>
      <c r="AV997" s="217"/>
      <c r="AW997" s="355"/>
      <c r="AX997" s="217"/>
      <c r="AY997" s="305"/>
      <c r="AZ997" s="249"/>
      <c r="BA997" s="221"/>
      <c r="BB997" s="300"/>
      <c r="BC997" s="217"/>
      <c r="BD997" s="392"/>
      <c r="BE997" s="1244"/>
      <c r="BF997" s="249"/>
      <c r="BG997" s="252"/>
      <c r="BH997" s="1469"/>
      <c r="BI997" s="216"/>
      <c r="BJ997" s="1469"/>
      <c r="BK997" s="1459"/>
      <c r="BL997" s="260"/>
      <c r="BM997" s="214"/>
      <c r="BN997" s="293"/>
      <c r="BO997" s="217"/>
      <c r="BP997" s="355"/>
      <c r="BQ997" s="217"/>
      <c r="BR997" s="1193"/>
      <c r="BS997" s="249"/>
      <c r="BT997" s="216"/>
      <c r="BU997" s="1195"/>
      <c r="BV997" s="249"/>
      <c r="BW997" s="216"/>
      <c r="BX997" s="1195"/>
      <c r="BY997" s="249"/>
      <c r="BZ997" s="216"/>
      <c r="CA997" s="1195"/>
      <c r="CB997" s="249"/>
      <c r="CC997" s="216"/>
      <c r="CD997" s="1195"/>
      <c r="CE997" s="249"/>
      <c r="CF997" s="216"/>
      <c r="CG997" s="1195"/>
      <c r="CH997" s="249"/>
      <c r="CI997" s="216"/>
      <c r="CJ997" s="1195"/>
      <c r="CK997" s="249"/>
      <c r="CL997" s="216"/>
      <c r="CM997" s="1194"/>
      <c r="CN997" s="1524"/>
      <c r="CO997" s="217"/>
      <c r="CP997" s="1193"/>
      <c r="CQ997" s="293"/>
      <c r="CR997" s="217"/>
      <c r="CS997" s="305"/>
      <c r="CT997" s="249"/>
      <c r="CU997" s="216"/>
      <c r="CV997" s="1193"/>
      <c r="CW997" s="249"/>
      <c r="CX997" s="216"/>
      <c r="CY997" s="305"/>
      <c r="CZ997" s="249"/>
      <c r="DA997" s="216"/>
      <c r="DB997" s="307"/>
      <c r="DC997" s="328"/>
      <c r="DD997" s="322"/>
      <c r="DE997" s="305"/>
      <c r="DF997" s="249"/>
      <c r="DG997" s="216"/>
      <c r="DH997" s="305"/>
      <c r="DI997" s="249"/>
      <c r="DJ997" s="216"/>
      <c r="DK997" s="309"/>
      <c r="DL997" s="293"/>
      <c r="DM997" s="326"/>
      <c r="DN997" s="1256"/>
      <c r="DO997" s="214"/>
      <c r="DP997" s="1257"/>
      <c r="DQ997" s="1258"/>
      <c r="DR997" s="305"/>
      <c r="DS997" s="249"/>
      <c r="DT997" s="216"/>
      <c r="DU997" s="305"/>
      <c r="DV997" s="2520"/>
      <c r="DW997" s="2521"/>
      <c r="DX997" s="305"/>
      <c r="DY997" s="249"/>
      <c r="DZ997" s="221"/>
      <c r="EA997" s="388"/>
      <c r="EB997" s="249"/>
      <c r="EC997" s="216"/>
      <c r="ED997" s="1461"/>
      <c r="EE997" s="249"/>
      <c r="EF997" s="216"/>
      <c r="EG997" s="355"/>
      <c r="EH997" s="1425"/>
      <c r="EI997" s="1470"/>
      <c r="EJ997" s="249"/>
      <c r="EK997" s="221"/>
      <c r="EL997" s="313"/>
      <c r="EM997" s="249"/>
      <c r="EN997" s="221"/>
      <c r="EO997" s="313"/>
      <c r="EP997" s="249"/>
      <c r="EQ997" s="216"/>
      <c r="ER997" s="313"/>
      <c r="ES997" s="249"/>
      <c r="ET997" s="216"/>
      <c r="EU997" s="313"/>
      <c r="EV997" s="249"/>
      <c r="EW997" s="216"/>
      <c r="EX997" s="2505"/>
      <c r="EY997" s="249"/>
      <c r="EZ997" s="221"/>
      <c r="FA997" s="313"/>
      <c r="FB997" s="249"/>
      <c r="FC997" s="221"/>
      <c r="FD997" s="313"/>
      <c r="FE997" s="249"/>
      <c r="FF997" s="221"/>
      <c r="FG997" s="313"/>
      <c r="FH997" s="249"/>
      <c r="FI997" s="216"/>
      <c r="FJ997" s="1435"/>
      <c r="FK997" s="216"/>
      <c r="FL997" s="1268"/>
      <c r="FM997" s="1655"/>
      <c r="FN997" s="1268"/>
      <c r="FO997" s="1655"/>
      <c r="FP997" s="1268"/>
      <c r="FQ997" s="1656"/>
      <c r="FR997" s="249"/>
      <c r="FS997" s="216"/>
      <c r="FT997" s="1657"/>
      <c r="FU997" s="1658"/>
      <c r="FV997" s="242"/>
      <c r="FW997" s="343"/>
      <c r="FX997" s="222"/>
      <c r="FY997" s="336"/>
      <c r="FZ997" s="223"/>
      <c r="GA997" s="338"/>
      <c r="GB997" s="204"/>
      <c r="GC997" s="339"/>
      <c r="GD997" s="342"/>
      <c r="GE997" s="199"/>
      <c r="GF997" s="199"/>
      <c r="GG997" s="199"/>
      <c r="GH997" s="199"/>
      <c r="GI997" s="199"/>
      <c r="GJ997" s="199"/>
      <c r="GK997" s="199"/>
      <c r="GO997" s="322"/>
      <c r="GP997" s="1190"/>
      <c r="GQ997" s="1190"/>
      <c r="GS997" s="2879"/>
      <c r="GT997" s="2880"/>
      <c r="GU997" s="2881"/>
    </row>
    <row r="998" spans="1:203" ht="12" customHeight="1">
      <c r="A998" s="1252"/>
      <c r="B998" s="200"/>
      <c r="C998" s="486"/>
      <c r="T998" s="1186"/>
      <c r="U998" s="233"/>
      <c r="W998" s="218"/>
      <c r="X998" s="218"/>
      <c r="Y998" s="216"/>
      <c r="Z998" s="216"/>
      <c r="AA998" s="215"/>
      <c r="AB998" s="216"/>
      <c r="AC998" s="216"/>
      <c r="AD998" s="239"/>
      <c r="AE998" s="216"/>
      <c r="AF998" s="216"/>
      <c r="AG998" s="216"/>
      <c r="AH998" s="216"/>
      <c r="AI998" s="216"/>
      <c r="AJ998" s="216"/>
      <c r="AK998" s="239"/>
      <c r="AL998" s="216"/>
      <c r="AM998" s="216"/>
      <c r="AN998" s="216"/>
      <c r="AO998" s="216"/>
      <c r="AP998" s="216"/>
      <c r="AQ998" s="216"/>
      <c r="AR998" s="216"/>
      <c r="AS998" s="216"/>
      <c r="AT998" s="216"/>
      <c r="AU998" s="216"/>
      <c r="AV998" s="217"/>
      <c r="AW998" s="355"/>
      <c r="AX998" s="217"/>
      <c r="AY998" s="305"/>
      <c r="AZ998" s="249"/>
      <c r="BA998" s="221"/>
      <c r="BB998" s="300"/>
      <c r="BC998" s="217"/>
      <c r="BD998" s="392"/>
      <c r="BE998" s="1244"/>
      <c r="BF998" s="249"/>
      <c r="BG998" s="252"/>
      <c r="BH998" s="1469"/>
      <c r="BI998" s="216"/>
      <c r="BJ998" s="1469"/>
      <c r="BK998" s="1459"/>
      <c r="BL998" s="260"/>
      <c r="BM998" s="214"/>
      <c r="BN998" s="293"/>
      <c r="BO998" s="217"/>
      <c r="BP998" s="355"/>
      <c r="BQ998" s="217"/>
      <c r="BR998" s="1193"/>
      <c r="BS998" s="249"/>
      <c r="BT998" s="216"/>
      <c r="BU998" s="1195"/>
      <c r="BV998" s="249"/>
      <c r="BW998" s="216"/>
      <c r="BX998" s="1195"/>
      <c r="BY998" s="249"/>
      <c r="BZ998" s="216"/>
      <c r="CA998" s="1195"/>
      <c r="CB998" s="249"/>
      <c r="CC998" s="216"/>
      <c r="CD998" s="1195"/>
      <c r="CE998" s="249"/>
      <c r="CF998" s="216"/>
      <c r="CG998" s="1195"/>
      <c r="CH998" s="249"/>
      <c r="CI998" s="216"/>
      <c r="CJ998" s="1195"/>
      <c r="CK998" s="249"/>
      <c r="CL998" s="216"/>
      <c r="CM998" s="1194"/>
      <c r="CN998" s="1524"/>
      <c r="CO998" s="217"/>
      <c r="CP998" s="1193"/>
      <c r="CQ998" s="293"/>
      <c r="CR998" s="217"/>
      <c r="CS998" s="305"/>
      <c r="CT998" s="249"/>
      <c r="CU998" s="216"/>
      <c r="CV998" s="1193"/>
      <c r="CW998" s="249"/>
      <c r="CX998" s="216"/>
      <c r="CY998" s="305"/>
      <c r="CZ998" s="249"/>
      <c r="DA998" s="216"/>
      <c r="DB998" s="307"/>
      <c r="DC998" s="328"/>
      <c r="DD998" s="322"/>
      <c r="DE998" s="305"/>
      <c r="DF998" s="249"/>
      <c r="DG998" s="216"/>
      <c r="DH998" s="305"/>
      <c r="DI998" s="249"/>
      <c r="DJ998" s="216"/>
      <c r="DK998" s="309"/>
      <c r="DL998" s="293"/>
      <c r="DM998" s="326"/>
      <c r="DN998" s="1256"/>
      <c r="DO998" s="214"/>
      <c r="DP998" s="1257"/>
      <c r="DQ998" s="1258"/>
      <c r="DR998" s="305"/>
      <c r="DS998" s="249"/>
      <c r="DT998" s="216"/>
      <c r="DU998" s="305"/>
      <c r="DV998" s="2520"/>
      <c r="DW998" s="2521"/>
      <c r="DX998" s="305"/>
      <c r="DY998" s="249"/>
      <c r="DZ998" s="221"/>
      <c r="EA998" s="388"/>
      <c r="EB998" s="249"/>
      <c r="EC998" s="216"/>
      <c r="ED998" s="1461"/>
      <c r="EE998" s="249"/>
      <c r="EF998" s="216"/>
      <c r="EG998" s="355"/>
      <c r="EH998" s="1425"/>
      <c r="EI998" s="1470"/>
      <c r="EJ998" s="249"/>
      <c r="EK998" s="221"/>
      <c r="EL998" s="313"/>
      <c r="EM998" s="249"/>
      <c r="EN998" s="221"/>
      <c r="EO998" s="313"/>
      <c r="EP998" s="249"/>
      <c r="EQ998" s="216"/>
      <c r="ER998" s="313"/>
      <c r="ES998" s="249"/>
      <c r="ET998" s="216"/>
      <c r="EU998" s="313"/>
      <c r="EV998" s="249"/>
      <c r="EW998" s="216"/>
      <c r="EX998" s="2505"/>
      <c r="EY998" s="249"/>
      <c r="EZ998" s="221"/>
      <c r="FA998" s="313"/>
      <c r="FB998" s="249"/>
      <c r="FC998" s="221"/>
      <c r="FD998" s="313"/>
      <c r="FE998" s="249"/>
      <c r="FF998" s="221"/>
      <c r="FG998" s="313"/>
      <c r="FH998" s="249"/>
      <c r="FI998" s="216"/>
      <c r="FJ998" s="1435"/>
      <c r="FK998" s="216"/>
      <c r="FL998" s="1268"/>
      <c r="FM998" s="1655"/>
      <c r="FN998" s="1268"/>
      <c r="FO998" s="1655"/>
      <c r="FP998" s="1268"/>
      <c r="FQ998" s="1656"/>
      <c r="FR998" s="249"/>
      <c r="FS998" s="216"/>
      <c r="FT998" s="1657"/>
      <c r="FU998" s="1658"/>
      <c r="FV998" s="242"/>
      <c r="FW998" s="343"/>
      <c r="FX998" s="222"/>
      <c r="FY998" s="336"/>
      <c r="FZ998" s="223"/>
      <c r="GA998" s="338"/>
      <c r="GB998" s="204"/>
      <c r="GC998" s="339"/>
      <c r="GD998" s="342"/>
      <c r="GE998" s="199"/>
      <c r="GF998" s="199"/>
      <c r="GG998" s="199"/>
      <c r="GH998" s="199"/>
      <c r="GI998" s="199"/>
      <c r="GJ998" s="199"/>
      <c r="GK998" s="199"/>
      <c r="GO998" s="322"/>
      <c r="GP998" s="1190"/>
      <c r="GQ998" s="1190"/>
      <c r="GS998" s="2879"/>
      <c r="GT998" s="2880"/>
      <c r="GU998" s="2881"/>
    </row>
    <row r="999" spans="1:203" ht="12" customHeight="1">
      <c r="A999" s="1252"/>
      <c r="B999" s="200"/>
      <c r="C999" s="486"/>
      <c r="T999" s="1186"/>
      <c r="U999" s="233"/>
      <c r="W999" s="218"/>
      <c r="X999" s="218"/>
      <c r="Y999" s="216"/>
      <c r="Z999" s="216"/>
      <c r="AA999" s="215"/>
      <c r="AB999" s="216"/>
      <c r="AC999" s="216"/>
      <c r="AD999" s="239"/>
      <c r="AE999" s="216"/>
      <c r="AF999" s="216"/>
      <c r="AG999" s="216"/>
      <c r="AH999" s="216"/>
      <c r="AI999" s="216"/>
      <c r="AJ999" s="216"/>
      <c r="AK999" s="239"/>
      <c r="AL999" s="216"/>
      <c r="AM999" s="216"/>
      <c r="AN999" s="216"/>
      <c r="AO999" s="216"/>
      <c r="AP999" s="216"/>
      <c r="AQ999" s="216"/>
      <c r="AR999" s="216"/>
      <c r="AS999" s="216"/>
      <c r="AT999" s="216"/>
      <c r="AU999" s="216"/>
      <c r="AV999" s="217"/>
      <c r="AW999" s="355"/>
      <c r="AX999" s="217"/>
      <c r="AY999" s="305"/>
      <c r="AZ999" s="249"/>
      <c r="BA999" s="221"/>
      <c r="BB999" s="300"/>
      <c r="BC999" s="217"/>
      <c r="BD999" s="392"/>
      <c r="BE999" s="1244"/>
      <c r="BF999" s="249"/>
      <c r="BG999" s="252"/>
      <c r="BH999" s="1469"/>
      <c r="BI999" s="216"/>
      <c r="BJ999" s="1469"/>
      <c r="BK999" s="1459"/>
      <c r="BL999" s="260"/>
      <c r="BM999" s="214"/>
      <c r="BN999" s="293"/>
      <c r="BO999" s="217"/>
      <c r="BP999" s="355"/>
      <c r="BQ999" s="217"/>
      <c r="BR999" s="1193"/>
      <c r="BS999" s="249"/>
      <c r="BT999" s="216"/>
      <c r="BU999" s="1195"/>
      <c r="BV999" s="249"/>
      <c r="BW999" s="216"/>
      <c r="BX999" s="1195"/>
      <c r="BY999" s="249"/>
      <c r="BZ999" s="216"/>
      <c r="CA999" s="1195"/>
      <c r="CB999" s="249"/>
      <c r="CC999" s="216"/>
      <c r="CD999" s="1195"/>
      <c r="CE999" s="249"/>
      <c r="CF999" s="216"/>
      <c r="CG999" s="1195"/>
      <c r="CH999" s="249"/>
      <c r="CI999" s="216"/>
      <c r="CJ999" s="1195"/>
      <c r="CK999" s="249"/>
      <c r="CL999" s="216"/>
      <c r="CM999" s="1194"/>
      <c r="CN999" s="1524"/>
      <c r="CO999" s="217"/>
      <c r="CP999" s="1193"/>
      <c r="CQ999" s="293"/>
      <c r="CR999" s="217"/>
      <c r="CS999" s="305"/>
      <c r="CT999" s="249"/>
      <c r="CU999" s="216"/>
      <c r="CV999" s="1193"/>
      <c r="CW999" s="249"/>
      <c r="CX999" s="216"/>
      <c r="CY999" s="305"/>
      <c r="CZ999" s="249"/>
      <c r="DA999" s="216"/>
      <c r="DB999" s="307"/>
      <c r="DC999" s="328"/>
      <c r="DD999" s="322"/>
      <c r="DE999" s="305"/>
      <c r="DF999" s="249"/>
      <c r="DG999" s="216"/>
      <c r="DH999" s="305"/>
      <c r="DI999" s="249"/>
      <c r="DJ999" s="216"/>
      <c r="DK999" s="309"/>
      <c r="DL999" s="293"/>
      <c r="DM999" s="326"/>
      <c r="DN999" s="1256"/>
      <c r="DO999" s="214"/>
      <c r="DP999" s="1257"/>
      <c r="DQ999" s="1258"/>
      <c r="DR999" s="305"/>
      <c r="DS999" s="249"/>
      <c r="DT999" s="216"/>
      <c r="DU999" s="305"/>
      <c r="DV999" s="2520"/>
      <c r="DW999" s="2521"/>
      <c r="DX999" s="305"/>
      <c r="DY999" s="249"/>
      <c r="DZ999" s="221"/>
      <c r="EA999" s="388"/>
      <c r="EB999" s="249"/>
      <c r="EC999" s="216"/>
      <c r="ED999" s="1461"/>
      <c r="EE999" s="249"/>
      <c r="EF999" s="216"/>
      <c r="EG999" s="355"/>
      <c r="EH999" s="1425"/>
      <c r="EI999" s="1470"/>
      <c r="EJ999" s="249"/>
      <c r="EK999" s="221"/>
      <c r="EL999" s="313"/>
      <c r="EM999" s="249"/>
      <c r="EN999" s="221"/>
      <c r="EO999" s="313"/>
      <c r="EP999" s="249"/>
      <c r="EQ999" s="216"/>
      <c r="ER999" s="313"/>
      <c r="ES999" s="249"/>
      <c r="ET999" s="216"/>
      <c r="EU999" s="313"/>
      <c r="EV999" s="249"/>
      <c r="EW999" s="216"/>
      <c r="EX999" s="2505"/>
      <c r="EY999" s="249"/>
      <c r="EZ999" s="221"/>
      <c r="FA999" s="313"/>
      <c r="FB999" s="249"/>
      <c r="FC999" s="221"/>
      <c r="FD999" s="313"/>
      <c r="FE999" s="249"/>
      <c r="FF999" s="221"/>
      <c r="FG999" s="313"/>
      <c r="FH999" s="249"/>
      <c r="FI999" s="216"/>
      <c r="FJ999" s="1435"/>
      <c r="FK999" s="216"/>
      <c r="FL999" s="1268"/>
      <c r="FM999" s="1655"/>
      <c r="FN999" s="1268"/>
      <c r="FO999" s="1655"/>
      <c r="FP999" s="1268"/>
      <c r="FQ999" s="1656"/>
      <c r="FR999" s="249"/>
      <c r="FS999" s="216"/>
      <c r="FT999" s="1657"/>
      <c r="FU999" s="1658"/>
      <c r="FV999" s="242"/>
      <c r="FW999" s="343"/>
      <c r="FX999" s="222"/>
      <c r="FY999" s="336"/>
      <c r="FZ999" s="223"/>
      <c r="GA999" s="338"/>
      <c r="GB999" s="204"/>
      <c r="GC999" s="339"/>
      <c r="GD999" s="342"/>
      <c r="GE999" s="199"/>
      <c r="GF999" s="199"/>
      <c r="GG999" s="199"/>
      <c r="GH999" s="199"/>
      <c r="GI999" s="199"/>
      <c r="GJ999" s="199"/>
      <c r="GK999" s="199"/>
      <c r="GO999" s="322"/>
      <c r="GP999" s="1190"/>
      <c r="GQ999" s="1190"/>
      <c r="GS999" s="2879"/>
      <c r="GT999" s="2880"/>
      <c r="GU999" s="2881"/>
    </row>
    <row r="1000" spans="1:203" ht="12" customHeight="1">
      <c r="A1000" s="1252"/>
      <c r="B1000" s="200"/>
      <c r="C1000" s="486"/>
      <c r="T1000" s="1186"/>
      <c r="U1000" s="233"/>
      <c r="W1000" s="218"/>
      <c r="X1000" s="218"/>
      <c r="Y1000" s="216"/>
      <c r="Z1000" s="216"/>
      <c r="AA1000" s="215"/>
      <c r="AB1000" s="216"/>
      <c r="AC1000" s="216"/>
      <c r="AD1000" s="239"/>
      <c r="AE1000" s="216"/>
      <c r="AF1000" s="216"/>
      <c r="AG1000" s="216"/>
      <c r="AH1000" s="216"/>
      <c r="AI1000" s="216"/>
      <c r="AJ1000" s="216"/>
      <c r="AK1000" s="239"/>
      <c r="AL1000" s="216"/>
      <c r="AM1000" s="216"/>
      <c r="AN1000" s="216"/>
      <c r="AO1000" s="216"/>
      <c r="AP1000" s="216"/>
      <c r="AQ1000" s="216"/>
      <c r="AR1000" s="216"/>
      <c r="AS1000" s="216"/>
      <c r="AT1000" s="216"/>
      <c r="AU1000" s="216"/>
      <c r="AV1000" s="217"/>
      <c r="AW1000" s="355"/>
      <c r="AX1000" s="217"/>
      <c r="AY1000" s="305"/>
      <c r="AZ1000" s="249"/>
      <c r="BA1000" s="221"/>
      <c r="BB1000" s="300"/>
      <c r="BC1000" s="217"/>
      <c r="BD1000" s="392"/>
      <c r="BE1000" s="1244"/>
      <c r="BF1000" s="249"/>
      <c r="BG1000" s="252"/>
      <c r="BH1000" s="1469"/>
      <c r="BI1000" s="216"/>
      <c r="BJ1000" s="1469"/>
      <c r="BK1000" s="1459"/>
      <c r="BL1000" s="260"/>
      <c r="BM1000" s="214"/>
      <c r="BN1000" s="293"/>
      <c r="BO1000" s="217"/>
      <c r="BP1000" s="355"/>
      <c r="BQ1000" s="217"/>
      <c r="BR1000" s="1193"/>
      <c r="BS1000" s="249"/>
      <c r="BT1000" s="216"/>
      <c r="BU1000" s="1195"/>
      <c r="BV1000" s="249"/>
      <c r="BW1000" s="216"/>
      <c r="BX1000" s="1195"/>
      <c r="BY1000" s="249"/>
      <c r="BZ1000" s="216"/>
      <c r="CA1000" s="1195"/>
      <c r="CB1000" s="249"/>
      <c r="CC1000" s="216"/>
      <c r="CD1000" s="1195"/>
      <c r="CE1000" s="249"/>
      <c r="CF1000" s="216"/>
      <c r="CG1000" s="1195"/>
      <c r="CH1000" s="249"/>
      <c r="CI1000" s="216"/>
      <c r="CJ1000" s="1195"/>
      <c r="CK1000" s="249"/>
      <c r="CL1000" s="216"/>
      <c r="CM1000" s="1194"/>
      <c r="CN1000" s="1524"/>
      <c r="CO1000" s="217"/>
      <c r="CP1000" s="1193"/>
      <c r="CQ1000" s="293"/>
      <c r="CR1000" s="217"/>
      <c r="CS1000" s="305"/>
      <c r="CT1000" s="249"/>
      <c r="CU1000" s="216"/>
      <c r="CV1000" s="1193"/>
      <c r="CW1000" s="249"/>
      <c r="CX1000" s="216"/>
      <c r="CY1000" s="305"/>
      <c r="CZ1000" s="249"/>
      <c r="DA1000" s="216"/>
      <c r="DB1000" s="307"/>
      <c r="DC1000" s="328"/>
      <c r="DD1000" s="322"/>
      <c r="DE1000" s="305"/>
      <c r="DF1000" s="249"/>
      <c r="DG1000" s="216"/>
      <c r="DH1000" s="305"/>
      <c r="DI1000" s="249"/>
      <c r="DJ1000" s="216"/>
      <c r="DK1000" s="309"/>
      <c r="DL1000" s="293"/>
      <c r="DM1000" s="326"/>
      <c r="DN1000" s="1256"/>
      <c r="DO1000" s="214"/>
      <c r="DP1000" s="1257"/>
      <c r="DQ1000" s="1258"/>
      <c r="DR1000" s="305"/>
      <c r="DS1000" s="249"/>
      <c r="DT1000" s="216"/>
      <c r="DU1000" s="305"/>
      <c r="DV1000" s="2520"/>
      <c r="DW1000" s="2521"/>
      <c r="DX1000" s="305"/>
      <c r="DY1000" s="249"/>
      <c r="DZ1000" s="221"/>
      <c r="EA1000" s="388"/>
      <c r="EB1000" s="249"/>
      <c r="EC1000" s="216"/>
      <c r="ED1000" s="1461"/>
      <c r="EE1000" s="249"/>
      <c r="EF1000" s="216"/>
      <c r="EG1000" s="355"/>
      <c r="EH1000" s="1425"/>
      <c r="EI1000" s="1470"/>
      <c r="EJ1000" s="249"/>
      <c r="EK1000" s="221"/>
      <c r="EL1000" s="313"/>
      <c r="EM1000" s="249"/>
      <c r="EN1000" s="221"/>
      <c r="EO1000" s="313"/>
      <c r="EP1000" s="249"/>
      <c r="EQ1000" s="216"/>
      <c r="ER1000" s="313"/>
      <c r="ES1000" s="249"/>
      <c r="ET1000" s="216"/>
      <c r="EU1000" s="313"/>
      <c r="EV1000" s="249"/>
      <c r="EW1000" s="216"/>
      <c r="EX1000" s="2505"/>
      <c r="EY1000" s="249"/>
      <c r="EZ1000" s="221"/>
      <c r="FA1000" s="313"/>
      <c r="FB1000" s="249"/>
      <c r="FC1000" s="221"/>
      <c r="FD1000" s="313"/>
      <c r="FE1000" s="249"/>
      <c r="FF1000" s="221"/>
      <c r="FG1000" s="313"/>
      <c r="FH1000" s="249"/>
      <c r="FI1000" s="216"/>
      <c r="FJ1000" s="1435"/>
      <c r="FK1000" s="216"/>
      <c r="FL1000" s="1268"/>
      <c r="FM1000" s="1655"/>
      <c r="FN1000" s="1268"/>
      <c r="FO1000" s="1655"/>
      <c r="FP1000" s="1268"/>
      <c r="FQ1000" s="1656"/>
      <c r="FR1000" s="249"/>
      <c r="FS1000" s="216"/>
      <c r="FT1000" s="1657"/>
      <c r="FU1000" s="1658"/>
      <c r="FV1000" s="242"/>
      <c r="FW1000" s="343"/>
      <c r="FX1000" s="222"/>
      <c r="FY1000" s="336"/>
      <c r="FZ1000" s="223"/>
      <c r="GA1000" s="338"/>
      <c r="GB1000" s="204"/>
      <c r="GC1000" s="339"/>
      <c r="GD1000" s="342"/>
      <c r="GE1000" s="199"/>
      <c r="GF1000" s="199"/>
      <c r="GG1000" s="199"/>
      <c r="GH1000" s="199"/>
      <c r="GI1000" s="199"/>
      <c r="GJ1000" s="199"/>
      <c r="GK1000" s="199"/>
      <c r="GO1000" s="322"/>
      <c r="GP1000" s="1190"/>
      <c r="GQ1000" s="1190"/>
      <c r="GS1000" s="2879"/>
      <c r="GT1000" s="2880"/>
      <c r="GU1000" s="2881"/>
    </row>
    <row r="1001" spans="1:203" ht="12" customHeight="1">
      <c r="A1001" s="1252"/>
      <c r="B1001" s="200"/>
      <c r="C1001" s="486"/>
      <c r="T1001" s="1186"/>
      <c r="U1001" s="233"/>
      <c r="W1001" s="218"/>
      <c r="X1001" s="218"/>
      <c r="Y1001" s="216"/>
      <c r="Z1001" s="216"/>
      <c r="AA1001" s="215"/>
      <c r="AB1001" s="216"/>
      <c r="AC1001" s="216"/>
      <c r="AD1001" s="239"/>
      <c r="AE1001" s="216"/>
      <c r="AF1001" s="216"/>
      <c r="AG1001" s="216"/>
      <c r="AH1001" s="216"/>
      <c r="AI1001" s="216"/>
      <c r="AJ1001" s="216"/>
      <c r="AK1001" s="239"/>
      <c r="AL1001" s="216"/>
      <c r="AM1001" s="216"/>
      <c r="AN1001" s="216"/>
      <c r="AO1001" s="216"/>
      <c r="AP1001" s="216"/>
      <c r="AQ1001" s="216"/>
      <c r="AR1001" s="216"/>
      <c r="AS1001" s="216"/>
      <c r="AT1001" s="216"/>
      <c r="AU1001" s="216"/>
      <c r="AV1001" s="217"/>
      <c r="AW1001" s="355"/>
      <c r="AX1001" s="217"/>
      <c r="AY1001" s="305"/>
      <c r="AZ1001" s="249"/>
      <c r="BA1001" s="221"/>
      <c r="BB1001" s="300"/>
      <c r="BC1001" s="217"/>
      <c r="BD1001" s="392"/>
      <c r="BE1001" s="1244"/>
      <c r="BF1001" s="249"/>
      <c r="BG1001" s="252"/>
      <c r="BH1001" s="1469"/>
      <c r="BI1001" s="216"/>
      <c r="BJ1001" s="1469"/>
      <c r="BK1001" s="1459"/>
      <c r="BL1001" s="260"/>
      <c r="BM1001" s="214"/>
      <c r="BN1001" s="293"/>
      <c r="BO1001" s="217"/>
      <c r="BP1001" s="355"/>
      <c r="BQ1001" s="217"/>
      <c r="BR1001" s="1193"/>
      <c r="BS1001" s="249"/>
      <c r="BT1001" s="216"/>
      <c r="BU1001" s="1195"/>
      <c r="BV1001" s="249"/>
      <c r="BW1001" s="216"/>
      <c r="BX1001" s="1195"/>
      <c r="BY1001" s="249"/>
      <c r="BZ1001" s="216"/>
      <c r="CA1001" s="1195"/>
      <c r="CB1001" s="249"/>
      <c r="CC1001" s="216"/>
      <c r="CD1001" s="1195"/>
      <c r="CE1001" s="249"/>
      <c r="CF1001" s="216"/>
      <c r="CG1001" s="1195"/>
      <c r="CH1001" s="249"/>
      <c r="CI1001" s="216"/>
      <c r="CJ1001" s="1195"/>
      <c r="CK1001" s="249"/>
      <c r="CL1001" s="216"/>
      <c r="CM1001" s="1194"/>
      <c r="CN1001" s="1524"/>
      <c r="CO1001" s="217"/>
      <c r="CP1001" s="1193"/>
      <c r="CQ1001" s="293"/>
      <c r="CR1001" s="217"/>
      <c r="CS1001" s="305"/>
      <c r="CT1001" s="249"/>
      <c r="CU1001" s="216"/>
      <c r="CV1001" s="1193"/>
      <c r="CW1001" s="249"/>
      <c r="CX1001" s="216"/>
      <c r="CY1001" s="305"/>
      <c r="CZ1001" s="249"/>
      <c r="DA1001" s="216"/>
      <c r="DB1001" s="307"/>
      <c r="DC1001" s="328"/>
      <c r="DD1001" s="322"/>
      <c r="DE1001" s="305"/>
      <c r="DF1001" s="249"/>
      <c r="DG1001" s="216"/>
      <c r="DH1001" s="305"/>
      <c r="DI1001" s="249"/>
      <c r="DJ1001" s="216"/>
      <c r="DK1001" s="309"/>
      <c r="DL1001" s="293"/>
      <c r="DM1001" s="326"/>
      <c r="DN1001" s="1256"/>
      <c r="DO1001" s="214"/>
      <c r="DP1001" s="1257"/>
      <c r="DQ1001" s="1258"/>
      <c r="DR1001" s="305"/>
      <c r="DS1001" s="249"/>
      <c r="DT1001" s="216"/>
      <c r="DU1001" s="305"/>
      <c r="DV1001" s="2520"/>
      <c r="DW1001" s="2521"/>
      <c r="DX1001" s="305"/>
      <c r="DY1001" s="249"/>
      <c r="DZ1001" s="221"/>
      <c r="EA1001" s="388"/>
      <c r="EB1001" s="249"/>
      <c r="EC1001" s="216"/>
      <c r="ED1001" s="1461"/>
      <c r="EE1001" s="249"/>
      <c r="EF1001" s="216"/>
      <c r="EG1001" s="355"/>
      <c r="EH1001" s="1425"/>
      <c r="EI1001" s="1470"/>
      <c r="EJ1001" s="249"/>
      <c r="EK1001" s="221"/>
      <c r="EL1001" s="313"/>
      <c r="EM1001" s="249"/>
      <c r="EN1001" s="221"/>
      <c r="EO1001" s="313"/>
      <c r="EP1001" s="249"/>
      <c r="EQ1001" s="216"/>
      <c r="ER1001" s="313"/>
      <c r="ES1001" s="249"/>
      <c r="ET1001" s="216"/>
      <c r="EU1001" s="313"/>
      <c r="EV1001" s="249"/>
      <c r="EW1001" s="216"/>
      <c r="EX1001" s="2505"/>
      <c r="EY1001" s="249"/>
      <c r="EZ1001" s="221"/>
      <c r="FA1001" s="313"/>
      <c r="FB1001" s="249"/>
      <c r="FC1001" s="221"/>
      <c r="FD1001" s="313"/>
      <c r="FE1001" s="249"/>
      <c r="FF1001" s="221"/>
      <c r="FG1001" s="313"/>
      <c r="FH1001" s="249"/>
      <c r="FI1001" s="216"/>
      <c r="FJ1001" s="1435"/>
      <c r="FK1001" s="216"/>
      <c r="FL1001" s="1268"/>
      <c r="FM1001" s="1655"/>
      <c r="FN1001" s="1268"/>
      <c r="FO1001" s="1655"/>
      <c r="FP1001" s="1268"/>
      <c r="FQ1001" s="1656"/>
      <c r="FR1001" s="249"/>
      <c r="FS1001" s="216"/>
      <c r="FT1001" s="1657"/>
      <c r="FU1001" s="1658"/>
      <c r="FV1001" s="242"/>
      <c r="FW1001" s="343"/>
      <c r="FX1001" s="222"/>
      <c r="FY1001" s="336"/>
      <c r="FZ1001" s="223"/>
      <c r="GA1001" s="338"/>
      <c r="GB1001" s="204"/>
      <c r="GC1001" s="339"/>
      <c r="GD1001" s="342"/>
      <c r="GE1001" s="199"/>
      <c r="GF1001" s="199"/>
      <c r="GG1001" s="199"/>
      <c r="GH1001" s="199"/>
      <c r="GI1001" s="199"/>
      <c r="GJ1001" s="199"/>
      <c r="GK1001" s="199"/>
      <c r="GO1001" s="322"/>
      <c r="GP1001" s="1190"/>
      <c r="GQ1001" s="1190"/>
      <c r="GS1001" s="2879"/>
      <c r="GT1001" s="2880"/>
      <c r="GU1001" s="2881"/>
    </row>
    <row r="1002" spans="1:203" ht="12" customHeight="1">
      <c r="A1002" s="1252"/>
      <c r="B1002" s="200"/>
      <c r="C1002" s="486"/>
      <c r="T1002" s="1186"/>
      <c r="U1002" s="233"/>
      <c r="W1002" s="218"/>
      <c r="X1002" s="218"/>
      <c r="Y1002" s="216"/>
      <c r="Z1002" s="216"/>
      <c r="AA1002" s="215"/>
      <c r="AB1002" s="216"/>
      <c r="AC1002" s="216"/>
      <c r="AD1002" s="239"/>
      <c r="AE1002" s="216"/>
      <c r="AF1002" s="216"/>
      <c r="AG1002" s="216"/>
      <c r="AH1002" s="216"/>
      <c r="AI1002" s="216"/>
      <c r="AJ1002" s="216"/>
      <c r="AK1002" s="239"/>
      <c r="AL1002" s="216"/>
      <c r="AM1002" s="216"/>
      <c r="AN1002" s="216"/>
      <c r="AO1002" s="216"/>
      <c r="AP1002" s="216"/>
      <c r="AQ1002" s="216"/>
      <c r="AR1002" s="216"/>
      <c r="AS1002" s="216"/>
      <c r="AT1002" s="216"/>
      <c r="AU1002" s="216"/>
      <c r="AV1002" s="217"/>
      <c r="AW1002" s="355"/>
      <c r="AX1002" s="217"/>
      <c r="AY1002" s="305"/>
      <c r="AZ1002" s="249"/>
      <c r="BA1002" s="221"/>
      <c r="BB1002" s="300"/>
      <c r="BC1002" s="217"/>
      <c r="BD1002" s="392"/>
      <c r="BE1002" s="1244"/>
      <c r="BF1002" s="249"/>
      <c r="BG1002" s="252"/>
      <c r="BH1002" s="1469"/>
      <c r="BI1002" s="216"/>
      <c r="BJ1002" s="1469"/>
      <c r="BK1002" s="1459"/>
      <c r="BL1002" s="260"/>
      <c r="BM1002" s="214"/>
      <c r="BN1002" s="293"/>
      <c r="BO1002" s="217"/>
      <c r="BP1002" s="355"/>
      <c r="BQ1002" s="217"/>
      <c r="BR1002" s="1193"/>
      <c r="BS1002" s="249"/>
      <c r="BT1002" s="216"/>
      <c r="BU1002" s="1195"/>
      <c r="BV1002" s="249"/>
      <c r="BW1002" s="216"/>
      <c r="BX1002" s="1195"/>
      <c r="BY1002" s="249"/>
      <c r="BZ1002" s="216"/>
      <c r="CA1002" s="1195"/>
      <c r="CB1002" s="249"/>
      <c r="CC1002" s="216"/>
      <c r="CD1002" s="1195"/>
      <c r="CE1002" s="249"/>
      <c r="CF1002" s="216"/>
      <c r="CG1002" s="1195"/>
      <c r="CH1002" s="249"/>
      <c r="CI1002" s="216"/>
      <c r="CJ1002" s="1195"/>
      <c r="CK1002" s="249"/>
      <c r="CL1002" s="216"/>
      <c r="CM1002" s="1194"/>
      <c r="CN1002" s="1524"/>
      <c r="CO1002" s="217"/>
      <c r="CP1002" s="1193"/>
      <c r="CQ1002" s="293"/>
      <c r="CR1002" s="217"/>
      <c r="CS1002" s="305"/>
      <c r="CT1002" s="249"/>
      <c r="CU1002" s="216"/>
      <c r="CV1002" s="1193"/>
      <c r="CW1002" s="249"/>
      <c r="CX1002" s="216"/>
      <c r="CY1002" s="305"/>
      <c r="CZ1002" s="249"/>
      <c r="DA1002" s="216"/>
      <c r="DB1002" s="307"/>
      <c r="DC1002" s="328"/>
      <c r="DD1002" s="322"/>
      <c r="DE1002" s="305"/>
      <c r="DF1002" s="249"/>
      <c r="DG1002" s="216"/>
      <c r="DH1002" s="305"/>
      <c r="DI1002" s="249"/>
      <c r="DJ1002" s="216"/>
      <c r="DK1002" s="309"/>
      <c r="DL1002" s="293"/>
      <c r="DM1002" s="326"/>
      <c r="DN1002" s="1256"/>
      <c r="DO1002" s="214"/>
      <c r="DP1002" s="1257"/>
      <c r="DQ1002" s="1258"/>
      <c r="DR1002" s="305"/>
      <c r="DS1002" s="249"/>
      <c r="DT1002" s="216"/>
      <c r="DU1002" s="305"/>
      <c r="DV1002" s="2520"/>
      <c r="DW1002" s="2521"/>
      <c r="DX1002" s="305"/>
      <c r="DY1002" s="249"/>
      <c r="DZ1002" s="221"/>
      <c r="EA1002" s="388"/>
      <c r="EB1002" s="249"/>
      <c r="EC1002" s="216"/>
      <c r="ED1002" s="1461"/>
      <c r="EE1002" s="249"/>
      <c r="EF1002" s="216"/>
      <c r="EG1002" s="355"/>
      <c r="EH1002" s="1425"/>
      <c r="EI1002" s="1470"/>
      <c r="EJ1002" s="249"/>
      <c r="EK1002" s="221"/>
      <c r="EL1002" s="313"/>
      <c r="EM1002" s="249"/>
      <c r="EN1002" s="221"/>
      <c r="EO1002" s="313"/>
      <c r="EP1002" s="249"/>
      <c r="EQ1002" s="216"/>
      <c r="ER1002" s="313"/>
      <c r="ES1002" s="249"/>
      <c r="ET1002" s="216"/>
      <c r="EU1002" s="313"/>
      <c r="EV1002" s="249"/>
      <c r="EW1002" s="216"/>
      <c r="EX1002" s="2505"/>
      <c r="EY1002" s="249"/>
      <c r="EZ1002" s="221"/>
      <c r="FA1002" s="313"/>
      <c r="FB1002" s="249"/>
      <c r="FC1002" s="221"/>
      <c r="FD1002" s="313"/>
      <c r="FE1002" s="249"/>
      <c r="FF1002" s="221"/>
      <c r="FG1002" s="313"/>
      <c r="FH1002" s="249"/>
      <c r="FI1002" s="216"/>
      <c r="FJ1002" s="1435"/>
      <c r="FK1002" s="216"/>
      <c r="FL1002" s="1268"/>
      <c r="FM1002" s="1655"/>
      <c r="FN1002" s="1268"/>
      <c r="FO1002" s="1655"/>
      <c r="FP1002" s="1268"/>
      <c r="FQ1002" s="1656"/>
      <c r="FR1002" s="249"/>
      <c r="FS1002" s="216"/>
      <c r="FT1002" s="1657"/>
      <c r="FU1002" s="1658"/>
      <c r="FV1002" s="242"/>
      <c r="FW1002" s="343"/>
      <c r="FX1002" s="222"/>
      <c r="FY1002" s="336"/>
      <c r="FZ1002" s="223"/>
      <c r="GA1002" s="338"/>
      <c r="GB1002" s="204"/>
      <c r="GC1002" s="339"/>
      <c r="GD1002" s="342"/>
      <c r="GE1002" s="199"/>
      <c r="GF1002" s="199"/>
      <c r="GG1002" s="199"/>
      <c r="GH1002" s="199"/>
      <c r="GI1002" s="199"/>
      <c r="GJ1002" s="199"/>
      <c r="GK1002" s="199"/>
      <c r="GO1002" s="322"/>
      <c r="GP1002" s="1190"/>
      <c r="GQ1002" s="1190"/>
      <c r="GS1002" s="2879"/>
      <c r="GT1002" s="2880"/>
      <c r="GU1002" s="2881"/>
    </row>
    <row r="1003" spans="1:203" ht="12" customHeight="1">
      <c r="A1003" s="1252"/>
      <c r="B1003" s="200"/>
      <c r="C1003" s="486"/>
      <c r="T1003" s="1186"/>
      <c r="U1003" s="233"/>
      <c r="W1003" s="218"/>
      <c r="X1003" s="218"/>
      <c r="Y1003" s="216"/>
      <c r="Z1003" s="216"/>
      <c r="AA1003" s="215"/>
      <c r="AB1003" s="216"/>
      <c r="AC1003" s="216"/>
      <c r="AD1003" s="239"/>
      <c r="AE1003" s="216"/>
      <c r="AF1003" s="216"/>
      <c r="AG1003" s="216"/>
      <c r="AH1003" s="216"/>
      <c r="AI1003" s="216"/>
      <c r="AJ1003" s="216"/>
      <c r="AK1003" s="239"/>
      <c r="AL1003" s="216"/>
      <c r="AM1003" s="216"/>
      <c r="AN1003" s="216"/>
      <c r="AO1003" s="216"/>
      <c r="AP1003" s="216"/>
      <c r="AQ1003" s="216"/>
      <c r="AR1003" s="216"/>
      <c r="AS1003" s="216"/>
      <c r="AT1003" s="216"/>
      <c r="AU1003" s="216"/>
      <c r="AV1003" s="217"/>
      <c r="AW1003" s="355"/>
      <c r="AX1003" s="217"/>
      <c r="AY1003" s="305"/>
      <c r="AZ1003" s="249"/>
      <c r="BA1003" s="221"/>
      <c r="BB1003" s="300"/>
      <c r="BC1003" s="217"/>
      <c r="BD1003" s="392"/>
      <c r="BE1003" s="1244"/>
      <c r="BF1003" s="249"/>
      <c r="BG1003" s="252"/>
      <c r="BH1003" s="1469"/>
      <c r="BI1003" s="216"/>
      <c r="BJ1003" s="1469"/>
      <c r="BK1003" s="1459"/>
      <c r="BL1003" s="260"/>
      <c r="BM1003" s="214"/>
      <c r="BN1003" s="293"/>
      <c r="BO1003" s="217"/>
      <c r="BP1003" s="355"/>
      <c r="BQ1003" s="217"/>
      <c r="BR1003" s="1193"/>
      <c r="BS1003" s="249"/>
      <c r="BT1003" s="216"/>
      <c r="BU1003" s="1195"/>
      <c r="BV1003" s="249"/>
      <c r="BW1003" s="216"/>
      <c r="BX1003" s="1195"/>
      <c r="BY1003" s="249"/>
      <c r="BZ1003" s="216"/>
      <c r="CA1003" s="1195"/>
      <c r="CB1003" s="249"/>
      <c r="CC1003" s="216"/>
      <c r="CD1003" s="1195"/>
      <c r="CE1003" s="249"/>
      <c r="CF1003" s="216"/>
      <c r="CG1003" s="1195"/>
      <c r="CH1003" s="249"/>
      <c r="CI1003" s="216"/>
      <c r="CJ1003" s="1195"/>
      <c r="CK1003" s="249"/>
      <c r="CL1003" s="216"/>
      <c r="CM1003" s="1194"/>
      <c r="CN1003" s="1524"/>
      <c r="CO1003" s="217"/>
      <c r="CP1003" s="1193"/>
      <c r="CQ1003" s="293"/>
      <c r="CR1003" s="217"/>
      <c r="CS1003" s="305"/>
      <c r="CT1003" s="249"/>
      <c r="CU1003" s="216"/>
      <c r="CV1003" s="1193"/>
      <c r="CW1003" s="249"/>
      <c r="CX1003" s="216"/>
      <c r="CY1003" s="305"/>
      <c r="CZ1003" s="249"/>
      <c r="DA1003" s="216"/>
      <c r="DB1003" s="307"/>
      <c r="DC1003" s="328"/>
      <c r="DD1003" s="322"/>
      <c r="DE1003" s="305"/>
      <c r="DF1003" s="249"/>
      <c r="DG1003" s="216"/>
      <c r="DH1003" s="305"/>
      <c r="DI1003" s="249"/>
      <c r="DJ1003" s="216"/>
      <c r="DK1003" s="309"/>
      <c r="DL1003" s="293"/>
      <c r="DM1003" s="326"/>
      <c r="DN1003" s="1256"/>
      <c r="DO1003" s="214"/>
      <c r="DP1003" s="1257"/>
      <c r="DQ1003" s="1258"/>
      <c r="DR1003" s="305"/>
      <c r="DS1003" s="249"/>
      <c r="DT1003" s="216"/>
      <c r="DU1003" s="305"/>
      <c r="DV1003" s="2520"/>
      <c r="DW1003" s="2521"/>
      <c r="DX1003" s="305"/>
      <c r="DY1003" s="249"/>
      <c r="DZ1003" s="221"/>
      <c r="EA1003" s="388"/>
      <c r="EB1003" s="249"/>
      <c r="EC1003" s="216"/>
      <c r="ED1003" s="1461"/>
      <c r="EE1003" s="249"/>
      <c r="EF1003" s="216"/>
      <c r="EG1003" s="355"/>
      <c r="EH1003" s="1425"/>
      <c r="EI1003" s="1470"/>
      <c r="EJ1003" s="249"/>
      <c r="EK1003" s="221"/>
      <c r="EL1003" s="313"/>
      <c r="EM1003" s="249"/>
      <c r="EN1003" s="221"/>
      <c r="EO1003" s="313"/>
      <c r="EP1003" s="249"/>
      <c r="EQ1003" s="216"/>
      <c r="ER1003" s="313"/>
      <c r="ES1003" s="249"/>
      <c r="ET1003" s="216"/>
      <c r="EU1003" s="313"/>
      <c r="EV1003" s="249"/>
      <c r="EW1003" s="216"/>
      <c r="EX1003" s="2505"/>
      <c r="EY1003" s="249"/>
      <c r="EZ1003" s="221"/>
      <c r="FA1003" s="313"/>
      <c r="FB1003" s="249"/>
      <c r="FC1003" s="221"/>
      <c r="FD1003" s="313"/>
      <c r="FE1003" s="249"/>
      <c r="FF1003" s="221"/>
      <c r="FG1003" s="313"/>
      <c r="FH1003" s="249"/>
      <c r="FI1003" s="216"/>
      <c r="FJ1003" s="1435"/>
      <c r="FK1003" s="216"/>
      <c r="FL1003" s="1268"/>
      <c r="FM1003" s="1655"/>
      <c r="FN1003" s="1268"/>
      <c r="FO1003" s="1655"/>
      <c r="FP1003" s="1268"/>
      <c r="FQ1003" s="1656"/>
      <c r="FR1003" s="249"/>
      <c r="FS1003" s="216"/>
      <c r="FT1003" s="1657"/>
      <c r="FU1003" s="1658"/>
      <c r="FV1003" s="242"/>
      <c r="FW1003" s="343"/>
      <c r="FX1003" s="222"/>
      <c r="FY1003" s="336"/>
      <c r="FZ1003" s="223"/>
      <c r="GA1003" s="338"/>
      <c r="GB1003" s="204"/>
      <c r="GC1003" s="339"/>
      <c r="GD1003" s="342"/>
      <c r="GE1003" s="199"/>
      <c r="GF1003" s="199"/>
      <c r="GG1003" s="199"/>
      <c r="GH1003" s="199"/>
      <c r="GI1003" s="199"/>
      <c r="GJ1003" s="199"/>
      <c r="GK1003" s="199"/>
      <c r="GO1003" s="322"/>
      <c r="GP1003" s="1190"/>
      <c r="GQ1003" s="1190"/>
      <c r="GS1003" s="2879"/>
      <c r="GT1003" s="2880"/>
      <c r="GU1003" s="2881"/>
    </row>
    <row r="1004" spans="1:203" ht="12" customHeight="1">
      <c r="A1004" s="1252"/>
      <c r="B1004" s="200"/>
      <c r="C1004" s="486"/>
      <c r="T1004" s="1186"/>
      <c r="U1004" s="233"/>
      <c r="W1004" s="218"/>
      <c r="X1004" s="218"/>
      <c r="Y1004" s="216"/>
      <c r="Z1004" s="216"/>
      <c r="AA1004" s="215"/>
      <c r="AB1004" s="216"/>
      <c r="AC1004" s="216"/>
      <c r="AD1004" s="239"/>
      <c r="AE1004" s="216"/>
      <c r="AF1004" s="216"/>
      <c r="AG1004" s="216"/>
      <c r="AH1004" s="216"/>
      <c r="AI1004" s="216"/>
      <c r="AJ1004" s="216"/>
      <c r="AK1004" s="239"/>
      <c r="AL1004" s="216"/>
      <c r="AM1004" s="216"/>
      <c r="AN1004" s="216"/>
      <c r="AO1004" s="216"/>
      <c r="AP1004" s="216"/>
      <c r="AQ1004" s="216"/>
      <c r="AR1004" s="216"/>
      <c r="AS1004" s="216"/>
      <c r="AT1004" s="216"/>
      <c r="AU1004" s="216"/>
      <c r="AV1004" s="217"/>
      <c r="AW1004" s="355"/>
      <c r="AX1004" s="217"/>
      <c r="AY1004" s="305"/>
      <c r="AZ1004" s="249"/>
      <c r="BA1004" s="221"/>
      <c r="BB1004" s="300"/>
      <c r="BC1004" s="217"/>
      <c r="BD1004" s="392"/>
      <c r="BE1004" s="1244"/>
      <c r="BF1004" s="249"/>
      <c r="BG1004" s="252"/>
      <c r="BH1004" s="1469"/>
      <c r="BI1004" s="216"/>
      <c r="BJ1004" s="1469"/>
      <c r="BK1004" s="1459"/>
      <c r="BL1004" s="260"/>
      <c r="BM1004" s="214"/>
      <c r="BN1004" s="293"/>
      <c r="BO1004" s="217"/>
      <c r="BP1004" s="355"/>
      <c r="BQ1004" s="217"/>
      <c r="BR1004" s="1193"/>
      <c r="BS1004" s="249"/>
      <c r="BT1004" s="216"/>
      <c r="BU1004" s="1195"/>
      <c r="BV1004" s="249"/>
      <c r="BW1004" s="216"/>
      <c r="BX1004" s="1195"/>
      <c r="BY1004" s="249"/>
      <c r="BZ1004" s="216"/>
      <c r="CA1004" s="1195"/>
      <c r="CB1004" s="249"/>
      <c r="CC1004" s="216"/>
      <c r="CD1004" s="1195"/>
      <c r="CE1004" s="249"/>
      <c r="CF1004" s="216"/>
      <c r="CG1004" s="1195"/>
      <c r="CH1004" s="249"/>
      <c r="CI1004" s="216"/>
      <c r="CJ1004" s="1195"/>
      <c r="CK1004" s="249"/>
      <c r="CL1004" s="216"/>
      <c r="CM1004" s="1194"/>
      <c r="CN1004" s="1524"/>
      <c r="CO1004" s="217"/>
      <c r="CP1004" s="1193"/>
      <c r="CQ1004" s="293"/>
      <c r="CR1004" s="217"/>
      <c r="CS1004" s="305"/>
      <c r="CT1004" s="249"/>
      <c r="CU1004" s="216"/>
      <c r="CV1004" s="1193"/>
      <c r="CW1004" s="249"/>
      <c r="CX1004" s="216"/>
      <c r="CY1004" s="305"/>
      <c r="CZ1004" s="249"/>
      <c r="DA1004" s="216"/>
      <c r="DB1004" s="307"/>
      <c r="DC1004" s="328"/>
      <c r="DD1004" s="322"/>
      <c r="DE1004" s="305"/>
      <c r="DF1004" s="249"/>
      <c r="DG1004" s="216"/>
      <c r="DH1004" s="305"/>
      <c r="DI1004" s="249"/>
      <c r="DJ1004" s="216"/>
      <c r="DK1004" s="309"/>
      <c r="DL1004" s="293"/>
      <c r="DM1004" s="326"/>
      <c r="DN1004" s="1256"/>
      <c r="DO1004" s="214"/>
      <c r="DP1004" s="1257"/>
      <c r="DQ1004" s="1258"/>
      <c r="DR1004" s="305"/>
      <c r="DS1004" s="249"/>
      <c r="DT1004" s="216"/>
      <c r="DU1004" s="305"/>
      <c r="DV1004" s="2520"/>
      <c r="DW1004" s="2521"/>
      <c r="DX1004" s="305"/>
      <c r="DY1004" s="249"/>
      <c r="DZ1004" s="221"/>
      <c r="EA1004" s="388"/>
      <c r="EB1004" s="249"/>
      <c r="EC1004" s="216"/>
      <c r="ED1004" s="1461"/>
      <c r="EE1004" s="249"/>
      <c r="EF1004" s="216"/>
      <c r="EG1004" s="355"/>
      <c r="EH1004" s="1425"/>
      <c r="EI1004" s="1470"/>
      <c r="EJ1004" s="249"/>
      <c r="EK1004" s="221"/>
      <c r="EL1004" s="313"/>
      <c r="EM1004" s="249"/>
      <c r="EN1004" s="221"/>
      <c r="EO1004" s="313"/>
      <c r="EP1004" s="249"/>
      <c r="EQ1004" s="216"/>
      <c r="ER1004" s="313"/>
      <c r="ES1004" s="249"/>
      <c r="ET1004" s="216"/>
      <c r="EU1004" s="313"/>
      <c r="EV1004" s="249"/>
      <c r="EW1004" s="216"/>
      <c r="EX1004" s="2505"/>
      <c r="EY1004" s="249"/>
      <c r="EZ1004" s="221"/>
      <c r="FA1004" s="313"/>
      <c r="FB1004" s="249"/>
      <c r="FC1004" s="221"/>
      <c r="FD1004" s="313"/>
      <c r="FE1004" s="249"/>
      <c r="FF1004" s="221"/>
      <c r="FG1004" s="313"/>
      <c r="FH1004" s="249"/>
      <c r="FI1004" s="216"/>
      <c r="FJ1004" s="1435"/>
      <c r="FK1004" s="216"/>
      <c r="FL1004" s="1268"/>
      <c r="FM1004" s="1655"/>
      <c r="FN1004" s="1268"/>
      <c r="FO1004" s="1655"/>
      <c r="FP1004" s="1268"/>
      <c r="FQ1004" s="1656"/>
      <c r="FR1004" s="249"/>
      <c r="FS1004" s="216"/>
      <c r="FT1004" s="1657"/>
      <c r="FU1004" s="1658"/>
      <c r="FV1004" s="242"/>
      <c r="FW1004" s="343"/>
      <c r="FX1004" s="222"/>
      <c r="FY1004" s="336"/>
      <c r="FZ1004" s="223"/>
      <c r="GA1004" s="338"/>
      <c r="GB1004" s="204"/>
      <c r="GC1004" s="339"/>
      <c r="GD1004" s="342"/>
      <c r="GE1004" s="199"/>
      <c r="GF1004" s="199"/>
      <c r="GG1004" s="199"/>
      <c r="GH1004" s="199"/>
      <c r="GI1004" s="199"/>
      <c r="GJ1004" s="199"/>
      <c r="GK1004" s="199"/>
      <c r="GO1004" s="322"/>
      <c r="GP1004" s="1190"/>
      <c r="GQ1004" s="1190"/>
      <c r="GS1004" s="2879"/>
      <c r="GT1004" s="2880"/>
      <c r="GU1004" s="2881"/>
    </row>
    <row r="1005" spans="1:203" ht="12" customHeight="1">
      <c r="A1005" s="1252"/>
      <c r="B1005" s="200"/>
      <c r="C1005" s="486"/>
      <c r="T1005" s="1186"/>
      <c r="U1005" s="233"/>
      <c r="W1005" s="218"/>
      <c r="X1005" s="218"/>
      <c r="Y1005" s="216"/>
      <c r="Z1005" s="216"/>
      <c r="AA1005" s="215"/>
      <c r="AB1005" s="216"/>
      <c r="AC1005" s="216"/>
      <c r="AD1005" s="239"/>
      <c r="AE1005" s="216"/>
      <c r="AF1005" s="216"/>
      <c r="AG1005" s="216"/>
      <c r="AH1005" s="216"/>
      <c r="AI1005" s="216"/>
      <c r="AJ1005" s="216"/>
      <c r="AK1005" s="239"/>
      <c r="AL1005" s="216"/>
      <c r="AM1005" s="216"/>
      <c r="AN1005" s="216"/>
      <c r="AO1005" s="216"/>
      <c r="AP1005" s="216"/>
      <c r="AQ1005" s="216"/>
      <c r="AR1005" s="216"/>
      <c r="AS1005" s="216"/>
      <c r="AT1005" s="216"/>
      <c r="AU1005" s="216"/>
      <c r="AV1005" s="217"/>
      <c r="AW1005" s="355"/>
      <c r="AX1005" s="217"/>
      <c r="AY1005" s="305"/>
      <c r="AZ1005" s="249"/>
      <c r="BA1005" s="221"/>
      <c r="BB1005" s="300"/>
      <c r="BC1005" s="217"/>
      <c r="BD1005" s="392"/>
      <c r="BE1005" s="1244"/>
      <c r="BF1005" s="249"/>
      <c r="BG1005" s="252"/>
      <c r="BH1005" s="1469"/>
      <c r="BI1005" s="216"/>
      <c r="BJ1005" s="1469"/>
      <c r="BK1005" s="1459"/>
      <c r="BL1005" s="260"/>
      <c r="BM1005" s="214"/>
      <c r="BN1005" s="293"/>
      <c r="BO1005" s="217"/>
      <c r="BP1005" s="355"/>
      <c r="BQ1005" s="217"/>
      <c r="BR1005" s="1193"/>
      <c r="BS1005" s="249"/>
      <c r="BT1005" s="216"/>
      <c r="BU1005" s="1195"/>
      <c r="BV1005" s="249"/>
      <c r="BW1005" s="216"/>
      <c r="BX1005" s="1195"/>
      <c r="BY1005" s="249"/>
      <c r="BZ1005" s="216"/>
      <c r="CA1005" s="1195"/>
      <c r="CB1005" s="249"/>
      <c r="CC1005" s="216"/>
      <c r="CD1005" s="1195"/>
      <c r="CE1005" s="249"/>
      <c r="CF1005" s="216"/>
      <c r="CG1005" s="1195"/>
      <c r="CH1005" s="249"/>
      <c r="CI1005" s="216"/>
      <c r="CJ1005" s="1195"/>
      <c r="CK1005" s="249"/>
      <c r="CL1005" s="216"/>
      <c r="CM1005" s="1194"/>
      <c r="CN1005" s="1524"/>
      <c r="CO1005" s="217"/>
      <c r="CP1005" s="1193"/>
      <c r="CQ1005" s="293"/>
      <c r="CR1005" s="217"/>
      <c r="CS1005" s="305"/>
      <c r="CT1005" s="249"/>
      <c r="CU1005" s="216"/>
      <c r="CV1005" s="1193"/>
      <c r="CW1005" s="249"/>
      <c r="CX1005" s="216"/>
      <c r="CY1005" s="305"/>
      <c r="CZ1005" s="249"/>
      <c r="DA1005" s="216"/>
      <c r="DB1005" s="307"/>
      <c r="DC1005" s="328"/>
      <c r="DD1005" s="322"/>
      <c r="DE1005" s="305"/>
      <c r="DF1005" s="249"/>
      <c r="DG1005" s="216"/>
      <c r="DH1005" s="305"/>
      <c r="DI1005" s="249"/>
      <c r="DJ1005" s="216"/>
      <c r="DK1005" s="309"/>
      <c r="DL1005" s="293"/>
      <c r="DM1005" s="326"/>
      <c r="DN1005" s="1256"/>
      <c r="DO1005" s="214"/>
      <c r="DP1005" s="1257"/>
      <c r="DQ1005" s="1258"/>
      <c r="DR1005" s="305"/>
      <c r="DS1005" s="249"/>
      <c r="DT1005" s="216"/>
      <c r="DU1005" s="305"/>
      <c r="DV1005" s="2520"/>
      <c r="DW1005" s="2521"/>
      <c r="DX1005" s="305"/>
      <c r="DY1005" s="249"/>
      <c r="DZ1005" s="221"/>
      <c r="EA1005" s="388"/>
      <c r="EB1005" s="249"/>
      <c r="EC1005" s="216"/>
      <c r="ED1005" s="1461"/>
      <c r="EE1005" s="249"/>
      <c r="EF1005" s="216"/>
      <c r="EG1005" s="355"/>
      <c r="EH1005" s="1425"/>
      <c r="EI1005" s="1470"/>
      <c r="EJ1005" s="249"/>
      <c r="EK1005" s="221"/>
      <c r="EL1005" s="313"/>
      <c r="EM1005" s="249"/>
      <c r="EN1005" s="221"/>
      <c r="EO1005" s="313"/>
      <c r="EP1005" s="249"/>
      <c r="EQ1005" s="216"/>
      <c r="ER1005" s="313"/>
      <c r="ES1005" s="249"/>
      <c r="ET1005" s="216"/>
      <c r="EU1005" s="313"/>
      <c r="EV1005" s="249"/>
      <c r="EW1005" s="216"/>
      <c r="EX1005" s="2505"/>
      <c r="EY1005" s="249"/>
      <c r="EZ1005" s="221"/>
      <c r="FA1005" s="313"/>
      <c r="FB1005" s="249"/>
      <c r="FC1005" s="221"/>
      <c r="FD1005" s="313"/>
      <c r="FE1005" s="249"/>
      <c r="FF1005" s="221"/>
      <c r="FG1005" s="313"/>
      <c r="FH1005" s="249"/>
      <c r="FI1005" s="216"/>
      <c r="FJ1005" s="1435"/>
      <c r="FK1005" s="216"/>
      <c r="FL1005" s="1268"/>
      <c r="FM1005" s="1655"/>
      <c r="FN1005" s="1268"/>
      <c r="FO1005" s="1655"/>
      <c r="FP1005" s="1268"/>
      <c r="FQ1005" s="1656"/>
      <c r="FR1005" s="249"/>
      <c r="FS1005" s="216"/>
      <c r="FT1005" s="1657"/>
      <c r="FU1005" s="1658"/>
      <c r="FV1005" s="242"/>
      <c r="FW1005" s="343"/>
      <c r="FX1005" s="222"/>
      <c r="FY1005" s="336"/>
      <c r="FZ1005" s="223"/>
      <c r="GA1005" s="338"/>
      <c r="GB1005" s="204"/>
      <c r="GC1005" s="339"/>
      <c r="GD1005" s="342"/>
      <c r="GE1005" s="199"/>
      <c r="GF1005" s="199"/>
      <c r="GG1005" s="199"/>
      <c r="GH1005" s="199"/>
      <c r="GI1005" s="199"/>
      <c r="GJ1005" s="199"/>
      <c r="GK1005" s="199"/>
      <c r="GO1005" s="322"/>
      <c r="GP1005" s="1190"/>
      <c r="GQ1005" s="1190"/>
      <c r="GS1005" s="2879"/>
      <c r="GT1005" s="2880"/>
      <c r="GU1005" s="2881"/>
    </row>
    <row r="1006" spans="1:203" ht="12" customHeight="1">
      <c r="A1006" s="1252"/>
      <c r="B1006" s="200"/>
      <c r="C1006" s="486"/>
      <c r="T1006" s="1186"/>
      <c r="U1006" s="233"/>
      <c r="W1006" s="218"/>
      <c r="X1006" s="218"/>
      <c r="Y1006" s="216"/>
      <c r="Z1006" s="216"/>
      <c r="AA1006" s="215"/>
      <c r="AB1006" s="216"/>
      <c r="AC1006" s="216"/>
      <c r="AD1006" s="239"/>
      <c r="AE1006" s="216"/>
      <c r="AF1006" s="216"/>
      <c r="AG1006" s="216"/>
      <c r="AH1006" s="216"/>
      <c r="AI1006" s="216"/>
      <c r="AJ1006" s="216"/>
      <c r="AK1006" s="239"/>
      <c r="AL1006" s="216"/>
      <c r="AM1006" s="216"/>
      <c r="AN1006" s="216"/>
      <c r="AO1006" s="216"/>
      <c r="AP1006" s="216"/>
      <c r="AQ1006" s="216"/>
      <c r="AR1006" s="216"/>
      <c r="AS1006" s="216"/>
      <c r="AT1006" s="216"/>
      <c r="AU1006" s="216"/>
      <c r="AV1006" s="217"/>
      <c r="AW1006" s="355"/>
      <c r="AX1006" s="217"/>
      <c r="AY1006" s="305"/>
      <c r="AZ1006" s="249"/>
      <c r="BA1006" s="221"/>
      <c r="BB1006" s="300"/>
      <c r="BC1006" s="217"/>
      <c r="BD1006" s="392"/>
      <c r="BE1006" s="1244"/>
      <c r="BF1006" s="249"/>
      <c r="BG1006" s="252"/>
      <c r="BH1006" s="1469"/>
      <c r="BI1006" s="216"/>
      <c r="BJ1006" s="1469"/>
      <c r="BK1006" s="1459"/>
      <c r="BL1006" s="260"/>
      <c r="BM1006" s="214"/>
      <c r="BN1006" s="293"/>
      <c r="BO1006" s="217"/>
      <c r="BP1006" s="355"/>
      <c r="BQ1006" s="217"/>
      <c r="BR1006" s="1193"/>
      <c r="BS1006" s="249"/>
      <c r="BT1006" s="216"/>
      <c r="BU1006" s="1195"/>
      <c r="BV1006" s="249"/>
      <c r="BW1006" s="216"/>
      <c r="BX1006" s="1195"/>
      <c r="BY1006" s="249"/>
      <c r="BZ1006" s="216"/>
      <c r="CA1006" s="1195"/>
      <c r="CB1006" s="249"/>
      <c r="CC1006" s="216"/>
      <c r="CD1006" s="1195"/>
      <c r="CE1006" s="249"/>
      <c r="CF1006" s="216"/>
      <c r="CG1006" s="1195"/>
      <c r="CH1006" s="249"/>
      <c r="CI1006" s="216"/>
      <c r="CJ1006" s="1195"/>
      <c r="CK1006" s="249"/>
      <c r="CL1006" s="216"/>
      <c r="CM1006" s="1194"/>
      <c r="CN1006" s="1524"/>
      <c r="CO1006" s="217"/>
      <c r="CP1006" s="1193"/>
      <c r="CQ1006" s="293"/>
      <c r="CR1006" s="217"/>
      <c r="CS1006" s="305"/>
      <c r="CT1006" s="249"/>
      <c r="CU1006" s="216"/>
      <c r="CV1006" s="1193"/>
      <c r="CW1006" s="249"/>
      <c r="CX1006" s="216"/>
      <c r="CY1006" s="305"/>
      <c r="CZ1006" s="249"/>
      <c r="DA1006" s="216"/>
      <c r="DB1006" s="307"/>
      <c r="DC1006" s="328"/>
      <c r="DD1006" s="322"/>
      <c r="DE1006" s="305"/>
      <c r="DF1006" s="249"/>
      <c r="DG1006" s="216"/>
      <c r="DH1006" s="305"/>
      <c r="DI1006" s="249"/>
      <c r="DJ1006" s="216"/>
      <c r="DK1006" s="309"/>
      <c r="DL1006" s="293"/>
      <c r="DM1006" s="326"/>
      <c r="DN1006" s="1256"/>
      <c r="DO1006" s="214"/>
      <c r="DP1006" s="1257"/>
      <c r="DQ1006" s="1258"/>
      <c r="DR1006" s="305"/>
      <c r="DS1006" s="249"/>
      <c r="DT1006" s="216"/>
      <c r="DU1006" s="305"/>
      <c r="DV1006" s="2520"/>
      <c r="DW1006" s="2521"/>
      <c r="DX1006" s="305"/>
      <c r="DY1006" s="249"/>
      <c r="DZ1006" s="221"/>
      <c r="EA1006" s="388"/>
      <c r="EB1006" s="249"/>
      <c r="EC1006" s="216"/>
      <c r="ED1006" s="1461"/>
      <c r="EE1006" s="249"/>
      <c r="EF1006" s="216"/>
      <c r="EG1006" s="355"/>
      <c r="EH1006" s="1425"/>
      <c r="EI1006" s="1470"/>
      <c r="EJ1006" s="249"/>
      <c r="EK1006" s="221"/>
      <c r="EL1006" s="313"/>
      <c r="EM1006" s="249"/>
      <c r="EN1006" s="221"/>
      <c r="EO1006" s="313"/>
      <c r="EP1006" s="249"/>
      <c r="EQ1006" s="216"/>
      <c r="ER1006" s="313"/>
      <c r="ES1006" s="249"/>
      <c r="ET1006" s="216"/>
      <c r="EU1006" s="313"/>
      <c r="EV1006" s="249"/>
      <c r="EW1006" s="216"/>
      <c r="EX1006" s="2505"/>
      <c r="EY1006" s="249"/>
      <c r="EZ1006" s="221"/>
      <c r="FA1006" s="313"/>
      <c r="FB1006" s="249"/>
      <c r="FC1006" s="221"/>
      <c r="FD1006" s="313"/>
      <c r="FE1006" s="249"/>
      <c r="FF1006" s="221"/>
      <c r="FG1006" s="313"/>
      <c r="FH1006" s="249"/>
      <c r="FI1006" s="216"/>
      <c r="FJ1006" s="1435"/>
      <c r="FK1006" s="216"/>
      <c r="FL1006" s="1268"/>
      <c r="FM1006" s="1655"/>
      <c r="FN1006" s="1268"/>
      <c r="FO1006" s="1655"/>
      <c r="FP1006" s="1268"/>
      <c r="FQ1006" s="1656"/>
      <c r="FR1006" s="249"/>
      <c r="FS1006" s="216"/>
      <c r="FT1006" s="1657"/>
      <c r="FU1006" s="1658"/>
      <c r="FV1006" s="242"/>
      <c r="FW1006" s="343"/>
      <c r="FX1006" s="222"/>
      <c r="FY1006" s="336"/>
      <c r="FZ1006" s="223"/>
      <c r="GA1006" s="338"/>
      <c r="GB1006" s="204"/>
      <c r="GC1006" s="339"/>
      <c r="GD1006" s="342"/>
      <c r="GE1006" s="199"/>
      <c r="GF1006" s="199"/>
      <c r="GG1006" s="199"/>
      <c r="GH1006" s="199"/>
      <c r="GI1006" s="199"/>
      <c r="GJ1006" s="199"/>
      <c r="GK1006" s="199"/>
      <c r="GO1006" s="322"/>
      <c r="GP1006" s="1190"/>
      <c r="GQ1006" s="1190"/>
      <c r="GS1006" s="2879"/>
      <c r="GT1006" s="2880"/>
      <c r="GU1006" s="2881"/>
    </row>
    <row r="1007" spans="1:203" ht="12" customHeight="1">
      <c r="A1007" s="1252"/>
      <c r="B1007" s="200"/>
      <c r="C1007" s="486"/>
      <c r="T1007" s="1186"/>
      <c r="U1007" s="233"/>
      <c r="W1007" s="218"/>
      <c r="X1007" s="218"/>
      <c r="Y1007" s="216"/>
      <c r="Z1007" s="216"/>
      <c r="AA1007" s="215"/>
      <c r="AB1007" s="216"/>
      <c r="AC1007" s="216"/>
      <c r="AD1007" s="239"/>
      <c r="AE1007" s="216"/>
      <c r="AF1007" s="216"/>
      <c r="AG1007" s="216"/>
      <c r="AH1007" s="216"/>
      <c r="AI1007" s="216"/>
      <c r="AJ1007" s="216"/>
      <c r="AK1007" s="239"/>
      <c r="AL1007" s="216"/>
      <c r="AM1007" s="216"/>
      <c r="AN1007" s="216"/>
      <c r="AO1007" s="216"/>
      <c r="AP1007" s="216"/>
      <c r="AQ1007" s="216"/>
      <c r="AR1007" s="216"/>
      <c r="AS1007" s="216"/>
      <c r="AT1007" s="216"/>
      <c r="AU1007" s="216"/>
      <c r="AV1007" s="217"/>
      <c r="AW1007" s="355"/>
      <c r="AX1007" s="217"/>
      <c r="AY1007" s="305"/>
      <c r="AZ1007" s="249"/>
      <c r="BA1007" s="221"/>
      <c r="BB1007" s="300"/>
      <c r="BC1007" s="217"/>
      <c r="BD1007" s="392"/>
      <c r="BE1007" s="1244"/>
      <c r="BF1007" s="249"/>
      <c r="BG1007" s="252"/>
      <c r="BH1007" s="1469"/>
      <c r="BI1007" s="216"/>
      <c r="BJ1007" s="1469"/>
      <c r="BK1007" s="1459"/>
      <c r="BL1007" s="260"/>
      <c r="BM1007" s="214"/>
      <c r="BN1007" s="293"/>
      <c r="BO1007" s="217"/>
      <c r="BP1007" s="355"/>
      <c r="BQ1007" s="217"/>
      <c r="BR1007" s="1193"/>
      <c r="BS1007" s="249"/>
      <c r="BT1007" s="216"/>
      <c r="BU1007" s="1195"/>
      <c r="BV1007" s="249"/>
      <c r="BW1007" s="216"/>
      <c r="BX1007" s="1195"/>
      <c r="BY1007" s="249"/>
      <c r="BZ1007" s="216"/>
      <c r="CA1007" s="1195"/>
      <c r="CB1007" s="249"/>
      <c r="CC1007" s="216"/>
      <c r="CD1007" s="1195"/>
      <c r="CE1007" s="249"/>
      <c r="CF1007" s="216"/>
      <c r="CG1007" s="1195"/>
      <c r="CH1007" s="249"/>
      <c r="CI1007" s="216"/>
      <c r="CJ1007" s="1195"/>
      <c r="CK1007" s="249"/>
      <c r="CL1007" s="216"/>
      <c r="CM1007" s="1194"/>
      <c r="CN1007" s="1524"/>
      <c r="CO1007" s="217"/>
      <c r="CP1007" s="1193"/>
      <c r="CQ1007" s="293"/>
      <c r="CR1007" s="217"/>
      <c r="CS1007" s="305"/>
      <c r="CT1007" s="249"/>
      <c r="CU1007" s="216"/>
      <c r="CV1007" s="1193"/>
      <c r="CW1007" s="249"/>
      <c r="CX1007" s="216"/>
      <c r="CY1007" s="305"/>
      <c r="CZ1007" s="249"/>
      <c r="DA1007" s="216"/>
      <c r="DB1007" s="307"/>
      <c r="DC1007" s="328"/>
      <c r="DD1007" s="322"/>
      <c r="DE1007" s="305"/>
      <c r="DF1007" s="249"/>
      <c r="DG1007" s="216"/>
      <c r="DH1007" s="305"/>
      <c r="DI1007" s="249"/>
      <c r="DJ1007" s="216"/>
      <c r="DK1007" s="309"/>
      <c r="DL1007" s="293"/>
      <c r="DM1007" s="326"/>
      <c r="DN1007" s="1256"/>
      <c r="DO1007" s="214"/>
      <c r="DP1007" s="1257"/>
      <c r="DQ1007" s="1258"/>
      <c r="DR1007" s="305"/>
      <c r="DS1007" s="249"/>
      <c r="DT1007" s="216"/>
      <c r="DU1007" s="305"/>
      <c r="DV1007" s="2520"/>
      <c r="DW1007" s="2521"/>
      <c r="DX1007" s="305"/>
      <c r="DY1007" s="249"/>
      <c r="DZ1007" s="221"/>
      <c r="EA1007" s="388"/>
      <c r="EB1007" s="249"/>
      <c r="EC1007" s="216"/>
      <c r="ED1007" s="1461"/>
      <c r="EE1007" s="249"/>
      <c r="EF1007" s="216"/>
      <c r="EG1007" s="355"/>
      <c r="EH1007" s="1425"/>
      <c r="EI1007" s="1470"/>
      <c r="EJ1007" s="249"/>
      <c r="EK1007" s="221"/>
      <c r="EL1007" s="313"/>
      <c r="EM1007" s="249"/>
      <c r="EN1007" s="221"/>
      <c r="EO1007" s="313"/>
      <c r="EP1007" s="249"/>
      <c r="EQ1007" s="216"/>
      <c r="ER1007" s="313"/>
      <c r="ES1007" s="249"/>
      <c r="ET1007" s="216"/>
      <c r="EU1007" s="313"/>
      <c r="EV1007" s="249"/>
      <c r="EW1007" s="216"/>
      <c r="EX1007" s="2505"/>
      <c r="EY1007" s="249"/>
      <c r="EZ1007" s="221"/>
      <c r="FA1007" s="313"/>
      <c r="FB1007" s="249"/>
      <c r="FC1007" s="221"/>
      <c r="FD1007" s="313"/>
      <c r="FE1007" s="249"/>
      <c r="FF1007" s="221"/>
      <c r="FG1007" s="313"/>
      <c r="FH1007" s="249"/>
      <c r="FI1007" s="216"/>
      <c r="FJ1007" s="1435"/>
      <c r="FK1007" s="216"/>
      <c r="FL1007" s="1268"/>
      <c r="FM1007" s="1655"/>
      <c r="FN1007" s="1268"/>
      <c r="FO1007" s="1655"/>
      <c r="FP1007" s="1268"/>
      <c r="FQ1007" s="1656"/>
      <c r="FR1007" s="249"/>
      <c r="FS1007" s="216"/>
      <c r="FT1007" s="1657"/>
      <c r="FU1007" s="1658"/>
      <c r="FV1007" s="242"/>
      <c r="FW1007" s="343"/>
      <c r="FX1007" s="222"/>
      <c r="FY1007" s="336"/>
      <c r="FZ1007" s="223"/>
      <c r="GA1007" s="338"/>
      <c r="GB1007" s="204"/>
      <c r="GC1007" s="339"/>
      <c r="GD1007" s="342"/>
      <c r="GE1007" s="199"/>
      <c r="GF1007" s="199"/>
      <c r="GG1007" s="199"/>
      <c r="GH1007" s="199"/>
      <c r="GI1007" s="199"/>
      <c r="GJ1007" s="199"/>
      <c r="GK1007" s="199"/>
      <c r="GO1007" s="322"/>
      <c r="GP1007" s="1190"/>
      <c r="GQ1007" s="1190"/>
      <c r="GS1007" s="2879"/>
      <c r="GT1007" s="2880"/>
      <c r="GU1007" s="2881"/>
    </row>
    <row r="1008" spans="1:203" ht="12" customHeight="1">
      <c r="A1008" s="1252"/>
      <c r="B1008" s="200"/>
      <c r="C1008" s="486"/>
      <c r="T1008" s="1186"/>
      <c r="U1008" s="233"/>
      <c r="W1008" s="218"/>
      <c r="X1008" s="218"/>
      <c r="Y1008" s="216"/>
      <c r="Z1008" s="216"/>
      <c r="AA1008" s="215"/>
      <c r="AB1008" s="216"/>
      <c r="AC1008" s="216"/>
      <c r="AD1008" s="239"/>
      <c r="AE1008" s="216"/>
      <c r="AF1008" s="216"/>
      <c r="AG1008" s="216"/>
      <c r="AH1008" s="216"/>
      <c r="AI1008" s="216"/>
      <c r="AJ1008" s="216"/>
      <c r="AK1008" s="239"/>
      <c r="AL1008" s="216"/>
      <c r="AM1008" s="216"/>
      <c r="AN1008" s="216"/>
      <c r="AO1008" s="216"/>
      <c r="AP1008" s="216"/>
      <c r="AQ1008" s="216"/>
      <c r="AR1008" s="216"/>
      <c r="AS1008" s="216"/>
      <c r="AT1008" s="216"/>
      <c r="AU1008" s="216"/>
      <c r="AV1008" s="217"/>
      <c r="AW1008" s="355"/>
      <c r="AX1008" s="217"/>
      <c r="AY1008" s="305"/>
      <c r="AZ1008" s="249"/>
      <c r="BA1008" s="221"/>
      <c r="BB1008" s="300"/>
      <c r="BC1008" s="217"/>
      <c r="BD1008" s="392"/>
      <c r="BE1008" s="1244"/>
      <c r="BF1008" s="249"/>
      <c r="BG1008" s="252"/>
      <c r="BH1008" s="1469"/>
      <c r="BI1008" s="216"/>
      <c r="BJ1008" s="1469"/>
      <c r="BK1008" s="1459"/>
      <c r="BL1008" s="260"/>
      <c r="BM1008" s="214"/>
      <c r="BN1008" s="293"/>
      <c r="BO1008" s="217"/>
      <c r="BP1008" s="355"/>
      <c r="BQ1008" s="217"/>
      <c r="BR1008" s="1193"/>
      <c r="BS1008" s="249"/>
      <c r="BT1008" s="216"/>
      <c r="BU1008" s="1195"/>
      <c r="BV1008" s="249"/>
      <c r="BW1008" s="216"/>
      <c r="BX1008" s="1195"/>
      <c r="BY1008" s="249"/>
      <c r="BZ1008" s="216"/>
      <c r="CA1008" s="1195"/>
      <c r="CB1008" s="249"/>
      <c r="CC1008" s="216"/>
      <c r="CD1008" s="1195"/>
      <c r="CE1008" s="249"/>
      <c r="CF1008" s="216"/>
      <c r="CG1008" s="1195"/>
      <c r="CH1008" s="249"/>
      <c r="CI1008" s="216"/>
      <c r="CJ1008" s="1195"/>
      <c r="CK1008" s="249"/>
      <c r="CL1008" s="216"/>
      <c r="CM1008" s="1194"/>
      <c r="CN1008" s="1524"/>
      <c r="CO1008" s="217"/>
      <c r="CP1008" s="1193"/>
      <c r="CQ1008" s="293"/>
      <c r="CR1008" s="217"/>
      <c r="CS1008" s="305"/>
      <c r="CT1008" s="249"/>
      <c r="CU1008" s="216"/>
      <c r="CV1008" s="1193"/>
      <c r="CW1008" s="249"/>
      <c r="CX1008" s="216"/>
      <c r="CY1008" s="305"/>
      <c r="CZ1008" s="249"/>
      <c r="DA1008" s="216"/>
      <c r="DB1008" s="307"/>
      <c r="DC1008" s="328"/>
      <c r="DD1008" s="322"/>
      <c r="DE1008" s="305"/>
      <c r="DF1008" s="249"/>
      <c r="DG1008" s="216"/>
      <c r="DH1008" s="305"/>
      <c r="DI1008" s="249"/>
      <c r="DJ1008" s="216"/>
      <c r="DK1008" s="309"/>
      <c r="DL1008" s="293"/>
      <c r="DM1008" s="326"/>
      <c r="DN1008" s="1256"/>
      <c r="DO1008" s="214"/>
      <c r="DP1008" s="1257"/>
      <c r="DQ1008" s="1258"/>
      <c r="DR1008" s="305"/>
      <c r="DS1008" s="249"/>
      <c r="DT1008" s="216"/>
      <c r="DU1008" s="305"/>
      <c r="DV1008" s="2520"/>
      <c r="DW1008" s="2521"/>
      <c r="DX1008" s="305"/>
      <c r="DY1008" s="249"/>
      <c r="DZ1008" s="221"/>
      <c r="EA1008" s="388"/>
      <c r="EB1008" s="249"/>
      <c r="EC1008" s="216"/>
      <c r="ED1008" s="1461"/>
      <c r="EE1008" s="249"/>
      <c r="EF1008" s="216"/>
      <c r="EG1008" s="355"/>
      <c r="EH1008" s="1425"/>
      <c r="EI1008" s="1470"/>
      <c r="EJ1008" s="249"/>
      <c r="EK1008" s="221"/>
      <c r="EL1008" s="313"/>
      <c r="EM1008" s="249"/>
      <c r="EN1008" s="221"/>
      <c r="EO1008" s="313"/>
      <c r="EP1008" s="249"/>
      <c r="EQ1008" s="216"/>
      <c r="ER1008" s="313"/>
      <c r="ES1008" s="249"/>
      <c r="ET1008" s="216"/>
      <c r="EU1008" s="313"/>
      <c r="EV1008" s="249"/>
      <c r="EW1008" s="216"/>
      <c r="EX1008" s="2505"/>
      <c r="EY1008" s="249"/>
      <c r="EZ1008" s="221"/>
      <c r="FA1008" s="313"/>
      <c r="FB1008" s="249"/>
      <c r="FC1008" s="221"/>
      <c r="FD1008" s="313"/>
      <c r="FE1008" s="249"/>
      <c r="FF1008" s="221"/>
      <c r="FG1008" s="313"/>
      <c r="FH1008" s="249"/>
      <c r="FI1008" s="216"/>
      <c r="FJ1008" s="1435"/>
      <c r="FK1008" s="216"/>
      <c r="FL1008" s="1268"/>
      <c r="FM1008" s="1655"/>
      <c r="FN1008" s="1268"/>
      <c r="FO1008" s="1655"/>
      <c r="FP1008" s="1268"/>
      <c r="FQ1008" s="1656"/>
      <c r="FR1008" s="249"/>
      <c r="FS1008" s="216"/>
      <c r="FT1008" s="1657"/>
      <c r="FU1008" s="1658"/>
      <c r="FV1008" s="242"/>
      <c r="FW1008" s="343"/>
      <c r="FX1008" s="222"/>
      <c r="FY1008" s="336"/>
      <c r="FZ1008" s="223"/>
      <c r="GA1008" s="338"/>
      <c r="GB1008" s="204"/>
      <c r="GC1008" s="339"/>
      <c r="GD1008" s="342"/>
      <c r="GE1008" s="199"/>
      <c r="GF1008" s="199"/>
      <c r="GG1008" s="199"/>
      <c r="GH1008" s="199"/>
      <c r="GI1008" s="199"/>
      <c r="GJ1008" s="199"/>
      <c r="GK1008" s="199"/>
      <c r="GO1008" s="322"/>
      <c r="GP1008" s="1190"/>
      <c r="GQ1008" s="1190"/>
      <c r="GS1008" s="2879"/>
      <c r="GT1008" s="2880"/>
      <c r="GU1008" s="2881"/>
    </row>
    <row r="1009" spans="1:203" ht="12" customHeight="1">
      <c r="A1009" s="1252"/>
      <c r="B1009" s="200"/>
      <c r="C1009" s="486"/>
      <c r="T1009" s="1186"/>
      <c r="U1009" s="233"/>
      <c r="W1009" s="218"/>
      <c r="X1009" s="218"/>
      <c r="Y1009" s="216"/>
      <c r="Z1009" s="216"/>
      <c r="AA1009" s="215"/>
      <c r="AB1009" s="216"/>
      <c r="AC1009" s="216"/>
      <c r="AD1009" s="239"/>
      <c r="AE1009" s="216"/>
      <c r="AF1009" s="216"/>
      <c r="AG1009" s="216"/>
      <c r="AH1009" s="216"/>
      <c r="AI1009" s="216"/>
      <c r="AJ1009" s="216"/>
      <c r="AK1009" s="239"/>
      <c r="AL1009" s="216"/>
      <c r="AM1009" s="216"/>
      <c r="AN1009" s="216"/>
      <c r="AO1009" s="216"/>
      <c r="AP1009" s="216"/>
      <c r="AQ1009" s="216"/>
      <c r="AR1009" s="216"/>
      <c r="AS1009" s="216"/>
      <c r="AT1009" s="216"/>
      <c r="AU1009" s="216"/>
      <c r="AV1009" s="217"/>
      <c r="AW1009" s="355"/>
      <c r="AX1009" s="217"/>
      <c r="AY1009" s="305"/>
      <c r="AZ1009" s="249"/>
      <c r="BA1009" s="221"/>
      <c r="BB1009" s="300"/>
      <c r="BC1009" s="217"/>
      <c r="BD1009" s="392"/>
      <c r="BE1009" s="1244"/>
      <c r="BF1009" s="249"/>
      <c r="BG1009" s="252"/>
      <c r="BH1009" s="1469"/>
      <c r="BI1009" s="216"/>
      <c r="BJ1009" s="1469"/>
      <c r="BK1009" s="1459"/>
      <c r="BL1009" s="260"/>
      <c r="BM1009" s="214"/>
      <c r="BN1009" s="293"/>
      <c r="BO1009" s="217"/>
      <c r="BP1009" s="355"/>
      <c r="BQ1009" s="217"/>
      <c r="BR1009" s="1193"/>
      <c r="BS1009" s="249"/>
      <c r="BT1009" s="216"/>
      <c r="BU1009" s="1195"/>
      <c r="BV1009" s="249"/>
      <c r="BW1009" s="216"/>
      <c r="BX1009" s="1195"/>
      <c r="BY1009" s="249"/>
      <c r="BZ1009" s="216"/>
      <c r="CA1009" s="1195"/>
      <c r="CB1009" s="249"/>
      <c r="CC1009" s="216"/>
      <c r="CD1009" s="1195"/>
      <c r="CE1009" s="249"/>
      <c r="CF1009" s="216"/>
      <c r="CG1009" s="1195"/>
      <c r="CH1009" s="249"/>
      <c r="CI1009" s="216"/>
      <c r="CJ1009" s="1195"/>
      <c r="CK1009" s="249"/>
      <c r="CL1009" s="216"/>
      <c r="CM1009" s="1194"/>
      <c r="CN1009" s="1524"/>
      <c r="CO1009" s="217"/>
      <c r="CP1009" s="1193"/>
      <c r="CQ1009" s="293"/>
      <c r="CR1009" s="217"/>
      <c r="CS1009" s="305"/>
      <c r="CT1009" s="249"/>
      <c r="CU1009" s="216"/>
      <c r="CV1009" s="1193"/>
      <c r="CW1009" s="249"/>
      <c r="CX1009" s="216"/>
      <c r="CY1009" s="305"/>
      <c r="CZ1009" s="249"/>
      <c r="DA1009" s="216"/>
      <c r="DB1009" s="307"/>
      <c r="DC1009" s="328"/>
      <c r="DD1009" s="322"/>
      <c r="DE1009" s="305"/>
      <c r="DF1009" s="249"/>
      <c r="DG1009" s="216"/>
      <c r="DH1009" s="305"/>
      <c r="DI1009" s="249"/>
      <c r="DJ1009" s="216"/>
      <c r="DK1009" s="309"/>
      <c r="DL1009" s="293"/>
      <c r="DM1009" s="326"/>
      <c r="DN1009" s="1256"/>
      <c r="DO1009" s="214"/>
      <c r="DP1009" s="1257"/>
      <c r="DQ1009" s="1258"/>
      <c r="DR1009" s="305"/>
      <c r="DS1009" s="249"/>
      <c r="DT1009" s="216"/>
      <c r="DU1009" s="305"/>
      <c r="DV1009" s="2520"/>
      <c r="DW1009" s="2521"/>
      <c r="DX1009" s="305"/>
      <c r="DY1009" s="249"/>
      <c r="DZ1009" s="221"/>
      <c r="EA1009" s="388"/>
      <c r="EB1009" s="249"/>
      <c r="EC1009" s="216"/>
      <c r="ED1009" s="1461"/>
      <c r="EE1009" s="249"/>
      <c r="EF1009" s="216"/>
      <c r="EG1009" s="355"/>
      <c r="EH1009" s="1425"/>
      <c r="EI1009" s="1470"/>
      <c r="EJ1009" s="249"/>
      <c r="EK1009" s="221"/>
      <c r="EL1009" s="313"/>
      <c r="EM1009" s="249"/>
      <c r="EN1009" s="221"/>
      <c r="EO1009" s="313"/>
      <c r="EP1009" s="249"/>
      <c r="EQ1009" s="216"/>
      <c r="ER1009" s="313"/>
      <c r="ES1009" s="249"/>
      <c r="ET1009" s="216"/>
      <c r="EU1009" s="313"/>
      <c r="EV1009" s="249"/>
      <c r="EW1009" s="216"/>
      <c r="EX1009" s="2505"/>
      <c r="EY1009" s="249"/>
      <c r="EZ1009" s="221"/>
      <c r="FA1009" s="313"/>
      <c r="FB1009" s="249"/>
      <c r="FC1009" s="221"/>
      <c r="FD1009" s="313"/>
      <c r="FE1009" s="249"/>
      <c r="FF1009" s="221"/>
      <c r="FG1009" s="313"/>
      <c r="FH1009" s="249"/>
      <c r="FI1009" s="216"/>
      <c r="FJ1009" s="1435"/>
      <c r="FK1009" s="216"/>
      <c r="FL1009" s="1268"/>
      <c r="FM1009" s="1655"/>
      <c r="FN1009" s="1268"/>
      <c r="FO1009" s="1655"/>
      <c r="FP1009" s="1268"/>
      <c r="FQ1009" s="1656"/>
      <c r="FR1009" s="249"/>
      <c r="FS1009" s="216"/>
      <c r="FT1009" s="1657"/>
      <c r="FU1009" s="1658"/>
      <c r="FV1009" s="242"/>
      <c r="FW1009" s="343"/>
      <c r="FX1009" s="222"/>
      <c r="FY1009" s="336"/>
      <c r="FZ1009" s="223"/>
      <c r="GA1009" s="338"/>
      <c r="GB1009" s="204"/>
      <c r="GC1009" s="339"/>
      <c r="GD1009" s="342"/>
      <c r="GE1009" s="199"/>
      <c r="GF1009" s="199"/>
      <c r="GG1009" s="199"/>
      <c r="GH1009" s="199"/>
      <c r="GI1009" s="199"/>
      <c r="GJ1009" s="199"/>
      <c r="GK1009" s="199"/>
      <c r="GO1009" s="322"/>
      <c r="GP1009" s="1190"/>
      <c r="GQ1009" s="1190"/>
      <c r="GS1009" s="2879"/>
      <c r="GT1009" s="2880"/>
      <c r="GU1009" s="2881"/>
    </row>
    <row r="1010" spans="1:203" ht="12" customHeight="1">
      <c r="A1010" s="1252"/>
      <c r="B1010" s="200"/>
      <c r="C1010" s="486"/>
      <c r="T1010" s="1186"/>
      <c r="U1010" s="233"/>
      <c r="W1010" s="218"/>
      <c r="X1010" s="218"/>
      <c r="Y1010" s="216"/>
      <c r="Z1010" s="216"/>
      <c r="AA1010" s="215"/>
      <c r="AB1010" s="216"/>
      <c r="AC1010" s="216"/>
      <c r="AD1010" s="239"/>
      <c r="AE1010" s="216"/>
      <c r="AF1010" s="216"/>
      <c r="AG1010" s="216"/>
      <c r="AH1010" s="216"/>
      <c r="AI1010" s="216"/>
      <c r="AJ1010" s="216"/>
      <c r="AK1010" s="239"/>
      <c r="AL1010" s="216"/>
      <c r="AM1010" s="216"/>
      <c r="AN1010" s="216"/>
      <c r="AO1010" s="216"/>
      <c r="AP1010" s="216"/>
      <c r="AQ1010" s="216"/>
      <c r="AR1010" s="216"/>
      <c r="AS1010" s="216"/>
      <c r="AT1010" s="216"/>
      <c r="AU1010" s="216"/>
      <c r="AV1010" s="217"/>
      <c r="AW1010" s="355"/>
      <c r="AX1010" s="217"/>
      <c r="AY1010" s="305"/>
      <c r="AZ1010" s="249"/>
      <c r="BA1010" s="221"/>
      <c r="BB1010" s="300"/>
      <c r="BC1010" s="217"/>
      <c r="BD1010" s="392"/>
      <c r="BE1010" s="1244"/>
      <c r="BF1010" s="249"/>
      <c r="BG1010" s="252"/>
      <c r="BH1010" s="1469"/>
      <c r="BI1010" s="216"/>
      <c r="BJ1010" s="1469"/>
      <c r="BK1010" s="1459"/>
      <c r="BL1010" s="260"/>
      <c r="BM1010" s="214"/>
      <c r="BN1010" s="293"/>
      <c r="BO1010" s="217"/>
      <c r="BP1010" s="355"/>
      <c r="BQ1010" s="217"/>
      <c r="BR1010" s="1193"/>
      <c r="BS1010" s="249"/>
      <c r="BT1010" s="216"/>
      <c r="BU1010" s="1195"/>
      <c r="BV1010" s="249"/>
      <c r="BW1010" s="216"/>
      <c r="BX1010" s="1195"/>
      <c r="BY1010" s="249"/>
      <c r="BZ1010" s="216"/>
      <c r="CA1010" s="1195"/>
      <c r="CB1010" s="249"/>
      <c r="CC1010" s="216"/>
      <c r="CD1010" s="1195"/>
      <c r="CE1010" s="249"/>
      <c r="CF1010" s="216"/>
      <c r="CG1010" s="1195"/>
      <c r="CH1010" s="249"/>
      <c r="CI1010" s="216"/>
      <c r="CJ1010" s="1195"/>
      <c r="CK1010" s="249"/>
      <c r="CL1010" s="216"/>
      <c r="CM1010" s="1194"/>
      <c r="CN1010" s="1524"/>
      <c r="CO1010" s="217"/>
      <c r="CP1010" s="1193"/>
      <c r="CQ1010" s="293"/>
      <c r="CR1010" s="217"/>
      <c r="CS1010" s="305"/>
      <c r="CT1010" s="249"/>
      <c r="CU1010" s="216"/>
      <c r="CV1010" s="1193"/>
      <c r="CW1010" s="249"/>
      <c r="CX1010" s="216"/>
      <c r="CY1010" s="305"/>
      <c r="CZ1010" s="249"/>
      <c r="DA1010" s="216"/>
      <c r="DB1010" s="307"/>
      <c r="DC1010" s="328"/>
      <c r="DD1010" s="322"/>
      <c r="DE1010" s="305"/>
      <c r="DF1010" s="249"/>
      <c r="DG1010" s="216"/>
      <c r="DH1010" s="305"/>
      <c r="DI1010" s="249"/>
      <c r="DJ1010" s="216"/>
      <c r="DK1010" s="309"/>
      <c r="DL1010" s="293"/>
      <c r="DM1010" s="326"/>
      <c r="DN1010" s="1256"/>
      <c r="DO1010" s="214"/>
      <c r="DP1010" s="1257"/>
      <c r="DQ1010" s="1258"/>
      <c r="DR1010" s="305"/>
      <c r="DS1010" s="249"/>
      <c r="DT1010" s="216"/>
      <c r="DU1010" s="305"/>
      <c r="DV1010" s="2520"/>
      <c r="DW1010" s="2521"/>
      <c r="DX1010" s="305"/>
      <c r="DY1010" s="249"/>
      <c r="DZ1010" s="221"/>
      <c r="EA1010" s="388"/>
      <c r="EB1010" s="249"/>
      <c r="EC1010" s="216"/>
      <c r="ED1010" s="1461"/>
      <c r="EE1010" s="249"/>
      <c r="EF1010" s="216"/>
      <c r="EG1010" s="355"/>
      <c r="EH1010" s="1425"/>
      <c r="EI1010" s="1470"/>
      <c r="EJ1010" s="249"/>
      <c r="EK1010" s="221"/>
      <c r="EL1010" s="313"/>
      <c r="EM1010" s="249"/>
      <c r="EN1010" s="221"/>
      <c r="EO1010" s="313"/>
      <c r="EP1010" s="249"/>
      <c r="EQ1010" s="216"/>
      <c r="ER1010" s="313"/>
      <c r="ES1010" s="249"/>
      <c r="ET1010" s="216"/>
      <c r="EU1010" s="313"/>
      <c r="EV1010" s="249"/>
      <c r="EW1010" s="216"/>
      <c r="EX1010" s="2505"/>
      <c r="EY1010" s="249"/>
      <c r="EZ1010" s="221"/>
      <c r="FA1010" s="313"/>
      <c r="FB1010" s="249"/>
      <c r="FC1010" s="221"/>
      <c r="FD1010" s="313"/>
      <c r="FE1010" s="249"/>
      <c r="FF1010" s="221"/>
      <c r="FG1010" s="313"/>
      <c r="FH1010" s="249"/>
      <c r="FI1010" s="216"/>
      <c r="FJ1010" s="1435"/>
      <c r="FK1010" s="216"/>
      <c r="FL1010" s="1268"/>
      <c r="FM1010" s="1655"/>
      <c r="FN1010" s="1268"/>
      <c r="FO1010" s="1655"/>
      <c r="FP1010" s="1268"/>
      <c r="FQ1010" s="1656"/>
      <c r="FR1010" s="249"/>
      <c r="FS1010" s="216"/>
      <c r="FT1010" s="1657"/>
      <c r="FU1010" s="1658"/>
      <c r="FV1010" s="242"/>
      <c r="FW1010" s="343"/>
      <c r="FX1010" s="222"/>
      <c r="FY1010" s="336"/>
      <c r="FZ1010" s="223"/>
      <c r="GA1010" s="338"/>
      <c r="GB1010" s="204"/>
      <c r="GC1010" s="339"/>
      <c r="GD1010" s="342"/>
      <c r="GE1010" s="199"/>
      <c r="GF1010" s="199"/>
      <c r="GG1010" s="199"/>
      <c r="GH1010" s="199"/>
      <c r="GI1010" s="199"/>
      <c r="GJ1010" s="199"/>
      <c r="GK1010" s="199"/>
      <c r="GO1010" s="322"/>
      <c r="GP1010" s="1190"/>
      <c r="GQ1010" s="1190"/>
      <c r="GS1010" s="2879"/>
      <c r="GT1010" s="2880"/>
      <c r="GU1010" s="2881"/>
    </row>
    <row r="1011" spans="1:203" ht="12" customHeight="1">
      <c r="A1011" s="1252"/>
      <c r="B1011" s="200"/>
      <c r="C1011" s="486"/>
      <c r="T1011" s="1186"/>
      <c r="U1011" s="233"/>
      <c r="W1011" s="218"/>
      <c r="X1011" s="218"/>
      <c r="Y1011" s="216"/>
      <c r="Z1011" s="216"/>
      <c r="AA1011" s="215"/>
      <c r="AB1011" s="216"/>
      <c r="AC1011" s="216"/>
      <c r="AD1011" s="239"/>
      <c r="AE1011" s="216"/>
      <c r="AF1011" s="216"/>
      <c r="AG1011" s="216"/>
      <c r="AH1011" s="216"/>
      <c r="AI1011" s="216"/>
      <c r="AJ1011" s="216"/>
      <c r="AK1011" s="239"/>
      <c r="AL1011" s="216"/>
      <c r="AM1011" s="216"/>
      <c r="AN1011" s="216"/>
      <c r="AO1011" s="216"/>
      <c r="AP1011" s="216"/>
      <c r="AQ1011" s="216"/>
      <c r="AR1011" s="216"/>
      <c r="AS1011" s="216"/>
      <c r="AT1011" s="216"/>
      <c r="AU1011" s="216"/>
      <c r="AV1011" s="217"/>
      <c r="AW1011" s="355"/>
      <c r="AX1011" s="217"/>
      <c r="AY1011" s="305"/>
      <c r="AZ1011" s="249"/>
      <c r="BA1011" s="221"/>
      <c r="BB1011" s="300"/>
      <c r="BC1011" s="217"/>
      <c r="BD1011" s="392"/>
      <c r="BE1011" s="1244"/>
      <c r="BF1011" s="249"/>
      <c r="BG1011" s="252"/>
      <c r="BH1011" s="1469"/>
      <c r="BI1011" s="216"/>
      <c r="BJ1011" s="1469"/>
      <c r="BK1011" s="1459"/>
      <c r="BL1011" s="260"/>
      <c r="BM1011" s="214"/>
      <c r="BN1011" s="293"/>
      <c r="BO1011" s="217"/>
      <c r="BP1011" s="355"/>
      <c r="BQ1011" s="217"/>
      <c r="BR1011" s="1193"/>
      <c r="BS1011" s="249"/>
      <c r="BT1011" s="216"/>
      <c r="BU1011" s="1195"/>
      <c r="BV1011" s="249"/>
      <c r="BW1011" s="216"/>
      <c r="BX1011" s="1195"/>
      <c r="BY1011" s="249"/>
      <c r="BZ1011" s="216"/>
      <c r="CA1011" s="1195"/>
      <c r="CB1011" s="249"/>
      <c r="CC1011" s="216"/>
      <c r="CD1011" s="1195"/>
      <c r="CE1011" s="249"/>
      <c r="CF1011" s="216"/>
      <c r="CG1011" s="1195"/>
      <c r="CH1011" s="249"/>
      <c r="CI1011" s="216"/>
      <c r="CJ1011" s="1195"/>
      <c r="CK1011" s="249"/>
      <c r="CL1011" s="216"/>
      <c r="CM1011" s="1194"/>
      <c r="CN1011" s="1524"/>
      <c r="CO1011" s="217"/>
      <c r="CP1011" s="1193"/>
      <c r="CQ1011" s="293"/>
      <c r="CR1011" s="217"/>
      <c r="CS1011" s="305"/>
      <c r="CT1011" s="249"/>
      <c r="CU1011" s="216"/>
      <c r="CV1011" s="1193"/>
      <c r="CW1011" s="249"/>
      <c r="CX1011" s="216"/>
      <c r="CY1011" s="305"/>
      <c r="CZ1011" s="249"/>
      <c r="DA1011" s="216"/>
      <c r="DB1011" s="307"/>
      <c r="DC1011" s="328"/>
      <c r="DD1011" s="322"/>
      <c r="DE1011" s="305"/>
      <c r="DF1011" s="249"/>
      <c r="DG1011" s="216"/>
      <c r="DH1011" s="305"/>
      <c r="DI1011" s="249"/>
      <c r="DJ1011" s="216"/>
      <c r="DK1011" s="309"/>
      <c r="DL1011" s="293"/>
      <c r="DM1011" s="326"/>
      <c r="DN1011" s="1256"/>
      <c r="DO1011" s="214"/>
      <c r="DP1011" s="1257"/>
      <c r="DQ1011" s="1258"/>
      <c r="DR1011" s="305"/>
      <c r="DS1011" s="249"/>
      <c r="DT1011" s="216"/>
      <c r="DU1011" s="305"/>
      <c r="DV1011" s="2520"/>
      <c r="DW1011" s="2521"/>
      <c r="DX1011" s="305"/>
      <c r="DY1011" s="249"/>
      <c r="DZ1011" s="221"/>
      <c r="EA1011" s="388"/>
      <c r="EB1011" s="249"/>
      <c r="EC1011" s="216"/>
      <c r="ED1011" s="1461"/>
      <c r="EE1011" s="249"/>
      <c r="EF1011" s="216"/>
      <c r="EG1011" s="355"/>
      <c r="EH1011" s="1425"/>
      <c r="EI1011" s="1470"/>
      <c r="EJ1011" s="249"/>
      <c r="EK1011" s="221"/>
      <c r="EL1011" s="313"/>
      <c r="EM1011" s="249"/>
      <c r="EN1011" s="221"/>
      <c r="EO1011" s="313"/>
      <c r="EP1011" s="249"/>
      <c r="EQ1011" s="216"/>
      <c r="ER1011" s="313"/>
      <c r="ES1011" s="249"/>
      <c r="ET1011" s="216"/>
      <c r="EU1011" s="313"/>
      <c r="EV1011" s="249"/>
      <c r="EW1011" s="216"/>
      <c r="EX1011" s="2505"/>
      <c r="EY1011" s="249"/>
      <c r="EZ1011" s="221"/>
      <c r="FA1011" s="313"/>
      <c r="FB1011" s="249"/>
      <c r="FC1011" s="221"/>
      <c r="FD1011" s="313"/>
      <c r="FE1011" s="249"/>
      <c r="FF1011" s="221"/>
      <c r="FG1011" s="313"/>
      <c r="FH1011" s="249"/>
      <c r="FI1011" s="216"/>
      <c r="FJ1011" s="1435"/>
      <c r="FK1011" s="216"/>
      <c r="FL1011" s="1268"/>
      <c r="FM1011" s="1655"/>
      <c r="FN1011" s="1268"/>
      <c r="FO1011" s="1655"/>
      <c r="FP1011" s="1268"/>
      <c r="FQ1011" s="1656"/>
      <c r="FR1011" s="249"/>
      <c r="FS1011" s="216"/>
      <c r="FT1011" s="1657"/>
      <c r="FU1011" s="1658"/>
      <c r="FV1011" s="242"/>
      <c r="FW1011" s="343"/>
      <c r="FX1011" s="222"/>
      <c r="FY1011" s="336"/>
      <c r="FZ1011" s="223"/>
      <c r="GA1011" s="338"/>
      <c r="GB1011" s="204"/>
      <c r="GC1011" s="339"/>
      <c r="GD1011" s="342"/>
      <c r="GE1011" s="199"/>
      <c r="GF1011" s="199"/>
      <c r="GG1011" s="199"/>
      <c r="GH1011" s="199"/>
      <c r="GI1011" s="199"/>
      <c r="GJ1011" s="199"/>
      <c r="GK1011" s="199"/>
      <c r="GO1011" s="322"/>
      <c r="GP1011" s="1190"/>
      <c r="GQ1011" s="1190"/>
      <c r="GS1011" s="2879"/>
      <c r="GT1011" s="2880"/>
      <c r="GU1011" s="2881"/>
    </row>
    <row r="1012" spans="1:203" ht="12" customHeight="1">
      <c r="A1012" s="1252"/>
      <c r="B1012" s="200"/>
      <c r="C1012" s="486"/>
      <c r="T1012" s="1186"/>
      <c r="U1012" s="233"/>
      <c r="W1012" s="218"/>
      <c r="X1012" s="218"/>
      <c r="Y1012" s="216"/>
      <c r="Z1012" s="216"/>
      <c r="AA1012" s="215"/>
      <c r="AB1012" s="216"/>
      <c r="AC1012" s="216"/>
      <c r="AD1012" s="239"/>
      <c r="AE1012" s="216"/>
      <c r="AF1012" s="216"/>
      <c r="AG1012" s="216"/>
      <c r="AH1012" s="216"/>
      <c r="AI1012" s="216"/>
      <c r="AJ1012" s="216"/>
      <c r="AK1012" s="239"/>
      <c r="AL1012" s="216"/>
      <c r="AM1012" s="216"/>
      <c r="AN1012" s="216"/>
      <c r="AO1012" s="216"/>
      <c r="AP1012" s="216"/>
      <c r="AQ1012" s="216"/>
      <c r="AR1012" s="216"/>
      <c r="AS1012" s="216"/>
      <c r="AT1012" s="216"/>
      <c r="AU1012" s="216"/>
      <c r="AV1012" s="217"/>
      <c r="AW1012" s="355"/>
      <c r="AX1012" s="217"/>
      <c r="AY1012" s="305"/>
      <c r="AZ1012" s="249"/>
      <c r="BA1012" s="221"/>
      <c r="BB1012" s="300"/>
      <c r="BC1012" s="217"/>
      <c r="BD1012" s="392"/>
      <c r="BE1012" s="1244"/>
      <c r="BF1012" s="249"/>
      <c r="BG1012" s="252"/>
      <c r="BH1012" s="1469"/>
      <c r="BI1012" s="216"/>
      <c r="BJ1012" s="1469"/>
      <c r="BK1012" s="1459"/>
      <c r="BL1012" s="260"/>
      <c r="BM1012" s="214"/>
      <c r="BN1012" s="293"/>
      <c r="BO1012" s="217"/>
      <c r="BP1012" s="355"/>
      <c r="BQ1012" s="217"/>
      <c r="BR1012" s="1193"/>
      <c r="BS1012" s="249"/>
      <c r="BT1012" s="216"/>
      <c r="BU1012" s="1195"/>
      <c r="BV1012" s="249"/>
      <c r="BW1012" s="216"/>
      <c r="BX1012" s="1195"/>
      <c r="BY1012" s="249"/>
      <c r="BZ1012" s="216"/>
      <c r="CA1012" s="1195"/>
      <c r="CB1012" s="249"/>
      <c r="CC1012" s="216"/>
      <c r="CD1012" s="1195"/>
      <c r="CE1012" s="249"/>
      <c r="CF1012" s="216"/>
      <c r="CG1012" s="1195"/>
      <c r="CH1012" s="249"/>
      <c r="CI1012" s="216"/>
      <c r="CJ1012" s="1195"/>
      <c r="CK1012" s="249"/>
      <c r="CL1012" s="216"/>
      <c r="CM1012" s="1194"/>
      <c r="CN1012" s="1524"/>
      <c r="CO1012" s="217"/>
      <c r="CP1012" s="1193"/>
      <c r="CQ1012" s="293"/>
      <c r="CR1012" s="217"/>
      <c r="CS1012" s="305"/>
      <c r="CT1012" s="249"/>
      <c r="CU1012" s="216"/>
      <c r="CV1012" s="1193"/>
      <c r="CW1012" s="249"/>
      <c r="CX1012" s="216"/>
      <c r="CY1012" s="305"/>
      <c r="CZ1012" s="249"/>
      <c r="DA1012" s="216"/>
      <c r="DB1012" s="307"/>
      <c r="DC1012" s="328"/>
      <c r="DD1012" s="322"/>
      <c r="DE1012" s="305"/>
      <c r="DF1012" s="249"/>
      <c r="DG1012" s="216"/>
      <c r="DH1012" s="305"/>
      <c r="DI1012" s="249"/>
      <c r="DJ1012" s="216"/>
      <c r="DK1012" s="309"/>
      <c r="DL1012" s="293"/>
      <c r="DM1012" s="326"/>
      <c r="DN1012" s="1256"/>
      <c r="DO1012" s="214"/>
      <c r="DP1012" s="1257"/>
      <c r="DQ1012" s="1258"/>
      <c r="DR1012" s="305"/>
      <c r="DS1012" s="249"/>
      <c r="DT1012" s="216"/>
      <c r="DU1012" s="305"/>
      <c r="DV1012" s="2520"/>
      <c r="DW1012" s="2521"/>
      <c r="DX1012" s="305"/>
      <c r="DY1012" s="249"/>
      <c r="DZ1012" s="221"/>
      <c r="EA1012" s="388"/>
      <c r="EB1012" s="249"/>
      <c r="EC1012" s="216"/>
      <c r="ED1012" s="1461"/>
      <c r="EE1012" s="249"/>
      <c r="EF1012" s="216"/>
      <c r="EG1012" s="355"/>
      <c r="EH1012" s="1425"/>
      <c r="EI1012" s="1470"/>
      <c r="EJ1012" s="249"/>
      <c r="EK1012" s="221"/>
      <c r="EL1012" s="313"/>
      <c r="EM1012" s="249"/>
      <c r="EN1012" s="221"/>
      <c r="EO1012" s="313"/>
      <c r="EP1012" s="249"/>
      <c r="EQ1012" s="216"/>
      <c r="ER1012" s="313"/>
      <c r="ES1012" s="249"/>
      <c r="ET1012" s="216"/>
      <c r="EU1012" s="313"/>
      <c r="EV1012" s="249"/>
      <c r="EW1012" s="216"/>
      <c r="EX1012" s="2505"/>
      <c r="EY1012" s="249"/>
      <c r="EZ1012" s="221"/>
      <c r="FA1012" s="313"/>
      <c r="FB1012" s="249"/>
      <c r="FC1012" s="221"/>
      <c r="FD1012" s="313"/>
      <c r="FE1012" s="249"/>
      <c r="FF1012" s="221"/>
      <c r="FG1012" s="313"/>
      <c r="FH1012" s="249"/>
      <c r="FI1012" s="216"/>
      <c r="FJ1012" s="1435"/>
      <c r="FK1012" s="216"/>
      <c r="FL1012" s="1268"/>
      <c r="FM1012" s="1655"/>
      <c r="FN1012" s="1268"/>
      <c r="FO1012" s="1655"/>
      <c r="FP1012" s="1268"/>
      <c r="FQ1012" s="1656"/>
      <c r="FR1012" s="249"/>
      <c r="FS1012" s="216"/>
      <c r="FT1012" s="1657"/>
      <c r="FU1012" s="1658"/>
      <c r="FV1012" s="242"/>
      <c r="FW1012" s="343"/>
      <c r="FX1012" s="222"/>
      <c r="FY1012" s="336"/>
      <c r="FZ1012" s="223"/>
      <c r="GA1012" s="338"/>
      <c r="GB1012" s="204"/>
      <c r="GC1012" s="339"/>
      <c r="GD1012" s="342"/>
      <c r="GE1012" s="199"/>
      <c r="GF1012" s="199"/>
      <c r="GG1012" s="199"/>
      <c r="GH1012" s="199"/>
      <c r="GI1012" s="199"/>
      <c r="GJ1012" s="199"/>
      <c r="GK1012" s="199"/>
      <c r="GO1012" s="322"/>
      <c r="GP1012" s="1190"/>
      <c r="GQ1012" s="1190"/>
      <c r="GS1012" s="2879"/>
      <c r="GT1012" s="2880"/>
      <c r="GU1012" s="2881"/>
    </row>
    <row r="1013" spans="1:203" ht="12" customHeight="1">
      <c r="A1013" s="1252"/>
      <c r="B1013" s="200"/>
      <c r="C1013" s="486"/>
      <c r="T1013" s="1186"/>
      <c r="U1013" s="233"/>
      <c r="W1013" s="218"/>
      <c r="X1013" s="218"/>
      <c r="Y1013" s="216"/>
      <c r="Z1013" s="216"/>
      <c r="AA1013" s="215"/>
      <c r="AB1013" s="216"/>
      <c r="AC1013" s="216"/>
      <c r="AD1013" s="239"/>
      <c r="AE1013" s="216"/>
      <c r="AF1013" s="216"/>
      <c r="AG1013" s="216"/>
      <c r="AH1013" s="216"/>
      <c r="AI1013" s="216"/>
      <c r="AJ1013" s="216"/>
      <c r="AK1013" s="239"/>
      <c r="AL1013" s="216"/>
      <c r="AM1013" s="216"/>
      <c r="AN1013" s="216"/>
      <c r="AO1013" s="216"/>
      <c r="AP1013" s="216"/>
      <c r="AQ1013" s="216"/>
      <c r="AR1013" s="216"/>
      <c r="AS1013" s="216"/>
      <c r="AT1013" s="216"/>
      <c r="AU1013" s="216"/>
      <c r="AV1013" s="217"/>
      <c r="AW1013" s="355"/>
      <c r="AX1013" s="217"/>
      <c r="AY1013" s="305"/>
      <c r="AZ1013" s="249"/>
      <c r="BA1013" s="221"/>
      <c r="BB1013" s="300"/>
      <c r="BC1013" s="217"/>
      <c r="BD1013" s="392"/>
      <c r="BE1013" s="1244"/>
      <c r="BF1013" s="249"/>
      <c r="BG1013" s="252"/>
      <c r="BH1013" s="1469"/>
      <c r="BI1013" s="216"/>
      <c r="BJ1013" s="1469"/>
      <c r="BK1013" s="1459"/>
      <c r="BL1013" s="260"/>
      <c r="BM1013" s="214"/>
      <c r="BN1013" s="293"/>
      <c r="BO1013" s="217"/>
      <c r="BP1013" s="355"/>
      <c r="BQ1013" s="217"/>
      <c r="BR1013" s="1193"/>
      <c r="BS1013" s="249"/>
      <c r="BT1013" s="216"/>
      <c r="BU1013" s="1195"/>
      <c r="BV1013" s="249"/>
      <c r="BW1013" s="216"/>
      <c r="BX1013" s="1195"/>
      <c r="BY1013" s="249"/>
      <c r="BZ1013" s="216"/>
      <c r="CA1013" s="1195"/>
      <c r="CB1013" s="249"/>
      <c r="CC1013" s="216"/>
      <c r="CD1013" s="1195"/>
      <c r="CE1013" s="249"/>
      <c r="CF1013" s="216"/>
      <c r="CG1013" s="1195"/>
      <c r="CH1013" s="249"/>
      <c r="CI1013" s="216"/>
      <c r="CJ1013" s="1195"/>
      <c r="CK1013" s="249"/>
      <c r="CL1013" s="216"/>
      <c r="CM1013" s="1194"/>
      <c r="CN1013" s="1524"/>
      <c r="CO1013" s="217"/>
      <c r="CP1013" s="1193"/>
      <c r="CQ1013" s="293"/>
      <c r="CR1013" s="217"/>
      <c r="CS1013" s="305"/>
      <c r="CT1013" s="249"/>
      <c r="CU1013" s="216"/>
      <c r="CV1013" s="1193"/>
      <c r="CW1013" s="249"/>
      <c r="CX1013" s="216"/>
      <c r="CY1013" s="305"/>
      <c r="CZ1013" s="249"/>
      <c r="DA1013" s="216"/>
      <c r="DB1013" s="307"/>
      <c r="DC1013" s="328"/>
      <c r="DD1013" s="322"/>
      <c r="DE1013" s="305"/>
      <c r="DF1013" s="249"/>
      <c r="DG1013" s="216"/>
      <c r="DH1013" s="305"/>
      <c r="DI1013" s="249"/>
      <c r="DJ1013" s="216"/>
      <c r="DK1013" s="309"/>
      <c r="DL1013" s="293"/>
      <c r="DM1013" s="326"/>
      <c r="DN1013" s="1256"/>
      <c r="DO1013" s="214"/>
      <c r="DP1013" s="1257"/>
      <c r="DQ1013" s="1258"/>
      <c r="DR1013" s="305"/>
      <c r="DS1013" s="249"/>
      <c r="DT1013" s="216"/>
      <c r="DU1013" s="305"/>
      <c r="DV1013" s="2520"/>
      <c r="DW1013" s="2521"/>
      <c r="DX1013" s="305"/>
      <c r="DY1013" s="249"/>
      <c r="DZ1013" s="221"/>
      <c r="EA1013" s="388"/>
      <c r="EB1013" s="249"/>
      <c r="EC1013" s="216"/>
      <c r="ED1013" s="1461"/>
      <c r="EE1013" s="249"/>
      <c r="EF1013" s="216"/>
      <c r="EG1013" s="355"/>
      <c r="EH1013" s="1425"/>
      <c r="EI1013" s="1470"/>
      <c r="EJ1013" s="249"/>
      <c r="EK1013" s="221"/>
      <c r="EL1013" s="313"/>
      <c r="EM1013" s="249"/>
      <c r="EN1013" s="221"/>
      <c r="EO1013" s="313"/>
      <c r="EP1013" s="249"/>
      <c r="EQ1013" s="216"/>
      <c r="ER1013" s="313"/>
      <c r="ES1013" s="249"/>
      <c r="ET1013" s="216"/>
      <c r="EU1013" s="313"/>
      <c r="EV1013" s="249"/>
      <c r="EW1013" s="216"/>
      <c r="EX1013" s="2505"/>
      <c r="EY1013" s="249"/>
      <c r="EZ1013" s="221"/>
      <c r="FA1013" s="313"/>
      <c r="FB1013" s="249"/>
      <c r="FC1013" s="221"/>
      <c r="FD1013" s="313"/>
      <c r="FE1013" s="249"/>
      <c r="FF1013" s="221"/>
      <c r="FG1013" s="313"/>
      <c r="FH1013" s="249"/>
      <c r="FI1013" s="216"/>
      <c r="FJ1013" s="1435"/>
      <c r="FK1013" s="216"/>
      <c r="FL1013" s="1268"/>
      <c r="FM1013" s="1655"/>
      <c r="FN1013" s="1268"/>
      <c r="FO1013" s="1655"/>
      <c r="FP1013" s="1268"/>
      <c r="FQ1013" s="1656"/>
      <c r="FR1013" s="249"/>
      <c r="FS1013" s="216"/>
      <c r="FT1013" s="1657"/>
      <c r="FU1013" s="1658"/>
      <c r="FV1013" s="242"/>
      <c r="FW1013" s="343"/>
      <c r="FX1013" s="222"/>
      <c r="FY1013" s="336"/>
      <c r="FZ1013" s="223"/>
      <c r="GA1013" s="338"/>
      <c r="GB1013" s="204"/>
      <c r="GC1013" s="339"/>
      <c r="GD1013" s="342"/>
      <c r="GE1013" s="199"/>
      <c r="GF1013" s="199"/>
      <c r="GG1013" s="199"/>
      <c r="GH1013" s="199"/>
      <c r="GI1013" s="199"/>
      <c r="GJ1013" s="199"/>
      <c r="GK1013" s="199"/>
      <c r="GO1013" s="322"/>
      <c r="GP1013" s="1190"/>
      <c r="GQ1013" s="1190"/>
      <c r="GS1013" s="2879"/>
      <c r="GT1013" s="2880"/>
      <c r="GU1013" s="2881"/>
    </row>
    <row r="1014" spans="1:203" ht="12" customHeight="1">
      <c r="A1014" s="1252"/>
      <c r="B1014" s="200"/>
      <c r="C1014" s="486"/>
      <c r="T1014" s="1186"/>
      <c r="U1014" s="233"/>
      <c r="W1014" s="218"/>
      <c r="X1014" s="218"/>
      <c r="Y1014" s="216"/>
      <c r="Z1014" s="216"/>
      <c r="AA1014" s="215"/>
      <c r="AB1014" s="216"/>
      <c r="AC1014" s="216"/>
      <c r="AD1014" s="239"/>
      <c r="AE1014" s="216"/>
      <c r="AF1014" s="216"/>
      <c r="AG1014" s="216"/>
      <c r="AH1014" s="216"/>
      <c r="AI1014" s="216"/>
      <c r="AJ1014" s="216"/>
      <c r="AK1014" s="239"/>
      <c r="AL1014" s="216"/>
      <c r="AM1014" s="216"/>
      <c r="AN1014" s="216"/>
      <c r="AO1014" s="216"/>
      <c r="AP1014" s="216"/>
      <c r="AQ1014" s="216"/>
      <c r="AR1014" s="216"/>
      <c r="AS1014" s="216"/>
      <c r="AT1014" s="216"/>
      <c r="AU1014" s="216"/>
      <c r="AV1014" s="217"/>
      <c r="AW1014" s="355"/>
      <c r="AX1014" s="217"/>
      <c r="AY1014" s="305"/>
      <c r="AZ1014" s="249"/>
      <c r="BA1014" s="221"/>
      <c r="BB1014" s="300"/>
      <c r="BC1014" s="217"/>
      <c r="BD1014" s="392"/>
      <c r="BE1014" s="1244"/>
      <c r="BF1014" s="249"/>
      <c r="BG1014" s="252"/>
      <c r="BH1014" s="1469"/>
      <c r="BI1014" s="216"/>
      <c r="BJ1014" s="1469"/>
      <c r="BK1014" s="1459"/>
      <c r="BL1014" s="260"/>
      <c r="BM1014" s="214"/>
      <c r="BN1014" s="293"/>
      <c r="BO1014" s="217"/>
      <c r="BP1014" s="355"/>
      <c r="BQ1014" s="217"/>
      <c r="BR1014" s="1193"/>
      <c r="BS1014" s="249"/>
      <c r="BT1014" s="216"/>
      <c r="BU1014" s="1195"/>
      <c r="BV1014" s="249"/>
      <c r="BW1014" s="216"/>
      <c r="BX1014" s="1195"/>
      <c r="BY1014" s="249"/>
      <c r="BZ1014" s="216"/>
      <c r="CA1014" s="1195"/>
      <c r="CB1014" s="249"/>
      <c r="CC1014" s="216"/>
      <c r="CD1014" s="1195"/>
      <c r="CE1014" s="249"/>
      <c r="CF1014" s="216"/>
      <c r="CG1014" s="1195"/>
      <c r="CH1014" s="249"/>
      <c r="CI1014" s="216"/>
      <c r="CJ1014" s="1195"/>
      <c r="CK1014" s="249"/>
      <c r="CL1014" s="216"/>
      <c r="CM1014" s="1194"/>
      <c r="CN1014" s="1524"/>
      <c r="CO1014" s="217"/>
      <c r="CP1014" s="1193"/>
      <c r="CQ1014" s="293"/>
      <c r="CR1014" s="217"/>
      <c r="CS1014" s="305"/>
      <c r="CT1014" s="249"/>
      <c r="CU1014" s="216"/>
      <c r="CV1014" s="1193"/>
      <c r="CW1014" s="249"/>
      <c r="CX1014" s="216"/>
      <c r="CY1014" s="305"/>
      <c r="CZ1014" s="249"/>
      <c r="DA1014" s="216"/>
      <c r="DB1014" s="307"/>
      <c r="DC1014" s="328"/>
      <c r="DD1014" s="322"/>
      <c r="DE1014" s="305"/>
      <c r="DF1014" s="249"/>
      <c r="DG1014" s="216"/>
      <c r="DH1014" s="305"/>
      <c r="DI1014" s="249"/>
      <c r="DJ1014" s="216"/>
      <c r="DK1014" s="309"/>
      <c r="DL1014" s="293"/>
      <c r="DM1014" s="326"/>
      <c r="DN1014" s="1256"/>
      <c r="DO1014" s="214"/>
      <c r="DP1014" s="1257"/>
      <c r="DQ1014" s="1258"/>
      <c r="DR1014" s="305"/>
      <c r="DS1014" s="249"/>
      <c r="DT1014" s="216"/>
      <c r="DU1014" s="305"/>
      <c r="DV1014" s="2520"/>
      <c r="DW1014" s="2521"/>
      <c r="DX1014" s="305"/>
      <c r="DY1014" s="249"/>
      <c r="DZ1014" s="221"/>
      <c r="EA1014" s="388"/>
      <c r="EB1014" s="249"/>
      <c r="EC1014" s="216"/>
      <c r="ED1014" s="1461"/>
      <c r="EE1014" s="249"/>
      <c r="EF1014" s="216"/>
      <c r="EG1014" s="355"/>
      <c r="EH1014" s="1425"/>
      <c r="EI1014" s="1470"/>
      <c r="EJ1014" s="249"/>
      <c r="EK1014" s="221"/>
      <c r="EL1014" s="313"/>
      <c r="EM1014" s="249"/>
      <c r="EN1014" s="221"/>
      <c r="EO1014" s="313"/>
      <c r="EP1014" s="249"/>
      <c r="EQ1014" s="216"/>
      <c r="ER1014" s="313"/>
      <c r="ES1014" s="249"/>
      <c r="ET1014" s="216"/>
      <c r="EU1014" s="313"/>
      <c r="EV1014" s="249"/>
      <c r="EW1014" s="216"/>
      <c r="EX1014" s="2505"/>
      <c r="EY1014" s="249"/>
      <c r="EZ1014" s="221"/>
      <c r="FA1014" s="313"/>
      <c r="FB1014" s="249"/>
      <c r="FC1014" s="221"/>
      <c r="FD1014" s="313"/>
      <c r="FE1014" s="249"/>
      <c r="FF1014" s="221"/>
      <c r="FG1014" s="313"/>
      <c r="FH1014" s="249"/>
      <c r="FI1014" s="216"/>
      <c r="FJ1014" s="1435"/>
      <c r="FK1014" s="216"/>
      <c r="FL1014" s="1268"/>
      <c r="FM1014" s="1655"/>
      <c r="FN1014" s="1268"/>
      <c r="FO1014" s="1655"/>
      <c r="FP1014" s="1268"/>
      <c r="FQ1014" s="1656"/>
      <c r="FR1014" s="249"/>
      <c r="FS1014" s="216"/>
      <c r="FT1014" s="1657"/>
      <c r="FU1014" s="1658"/>
      <c r="FV1014" s="242"/>
      <c r="FW1014" s="343"/>
      <c r="FX1014" s="222"/>
      <c r="FY1014" s="336"/>
      <c r="FZ1014" s="223"/>
      <c r="GA1014" s="338"/>
      <c r="GB1014" s="204"/>
      <c r="GC1014" s="339"/>
      <c r="GD1014" s="342"/>
      <c r="GE1014" s="199"/>
      <c r="GF1014" s="199"/>
      <c r="GG1014" s="199"/>
      <c r="GH1014" s="199"/>
      <c r="GI1014" s="199"/>
      <c r="GJ1014" s="199"/>
      <c r="GK1014" s="199"/>
      <c r="GO1014" s="322"/>
      <c r="GP1014" s="1190"/>
      <c r="GQ1014" s="1190"/>
      <c r="GS1014" s="2879"/>
      <c r="GT1014" s="2880"/>
      <c r="GU1014" s="2881"/>
    </row>
    <row r="1015" spans="1:203" ht="12" customHeight="1">
      <c r="A1015" s="1252"/>
      <c r="B1015" s="200"/>
      <c r="C1015" s="486"/>
      <c r="T1015" s="1186"/>
      <c r="U1015" s="233"/>
      <c r="W1015" s="218"/>
      <c r="X1015" s="218"/>
      <c r="Y1015" s="216"/>
      <c r="Z1015" s="216"/>
      <c r="AA1015" s="215"/>
      <c r="AB1015" s="216"/>
      <c r="AC1015" s="216"/>
      <c r="AD1015" s="239"/>
      <c r="AE1015" s="216"/>
      <c r="AF1015" s="216"/>
      <c r="AG1015" s="216"/>
      <c r="AH1015" s="216"/>
      <c r="AI1015" s="216"/>
      <c r="AJ1015" s="216"/>
      <c r="AK1015" s="239"/>
      <c r="AL1015" s="216"/>
      <c r="AM1015" s="216"/>
      <c r="AN1015" s="216"/>
      <c r="AO1015" s="216"/>
      <c r="AP1015" s="216"/>
      <c r="AQ1015" s="216"/>
      <c r="AR1015" s="216"/>
      <c r="AS1015" s="216"/>
      <c r="AT1015" s="216"/>
      <c r="AU1015" s="216"/>
      <c r="AV1015" s="217"/>
      <c r="AW1015" s="355"/>
      <c r="AX1015" s="217"/>
      <c r="AY1015" s="305"/>
      <c r="AZ1015" s="249"/>
      <c r="BA1015" s="221"/>
      <c r="BB1015" s="300"/>
      <c r="BC1015" s="217"/>
      <c r="BD1015" s="392"/>
      <c r="BE1015" s="1244"/>
      <c r="BF1015" s="249"/>
      <c r="BG1015" s="252"/>
      <c r="BH1015" s="1469"/>
      <c r="BI1015" s="216"/>
      <c r="BJ1015" s="1469"/>
      <c r="BK1015" s="1459"/>
      <c r="BL1015" s="260"/>
      <c r="BM1015" s="214"/>
      <c r="BN1015" s="293"/>
      <c r="BO1015" s="217"/>
      <c r="BP1015" s="355"/>
      <c r="BQ1015" s="217"/>
      <c r="BR1015" s="1193"/>
      <c r="BS1015" s="249"/>
      <c r="BT1015" s="216"/>
      <c r="BU1015" s="1195"/>
      <c r="BV1015" s="249"/>
      <c r="BW1015" s="216"/>
      <c r="BX1015" s="1195"/>
      <c r="BY1015" s="249"/>
      <c r="BZ1015" s="216"/>
      <c r="CA1015" s="1195"/>
      <c r="CB1015" s="249"/>
      <c r="CC1015" s="216"/>
      <c r="CD1015" s="1195"/>
      <c r="CE1015" s="249"/>
      <c r="CF1015" s="216"/>
      <c r="CG1015" s="1195"/>
      <c r="CH1015" s="249"/>
      <c r="CI1015" s="216"/>
      <c r="CJ1015" s="1195"/>
      <c r="CK1015" s="249"/>
      <c r="CL1015" s="216"/>
      <c r="CM1015" s="1194"/>
      <c r="CN1015" s="1524"/>
      <c r="CO1015" s="217"/>
      <c r="CP1015" s="1193"/>
      <c r="CQ1015" s="293"/>
      <c r="CR1015" s="217"/>
      <c r="CS1015" s="305"/>
      <c r="CT1015" s="249"/>
      <c r="CU1015" s="216"/>
      <c r="CV1015" s="1193"/>
      <c r="CW1015" s="249"/>
      <c r="CX1015" s="216"/>
      <c r="CY1015" s="305"/>
      <c r="CZ1015" s="249"/>
      <c r="DA1015" s="216"/>
      <c r="DB1015" s="307"/>
      <c r="DC1015" s="328"/>
      <c r="DD1015" s="322"/>
      <c r="DE1015" s="305"/>
      <c r="DF1015" s="249"/>
      <c r="DG1015" s="216"/>
      <c r="DH1015" s="305"/>
      <c r="DI1015" s="249"/>
      <c r="DJ1015" s="216"/>
      <c r="DK1015" s="309"/>
      <c r="DL1015" s="293"/>
      <c r="DM1015" s="326"/>
      <c r="DN1015" s="1256"/>
      <c r="DO1015" s="214"/>
      <c r="DP1015" s="1257"/>
      <c r="DQ1015" s="1258"/>
      <c r="DR1015" s="305"/>
      <c r="DS1015" s="249"/>
      <c r="DT1015" s="216"/>
      <c r="DU1015" s="305"/>
      <c r="DV1015" s="2520"/>
      <c r="DW1015" s="2521"/>
      <c r="DX1015" s="305"/>
      <c r="DY1015" s="249"/>
      <c r="DZ1015" s="221"/>
      <c r="EA1015" s="388"/>
      <c r="EB1015" s="249"/>
      <c r="EC1015" s="216"/>
      <c r="ED1015" s="1461"/>
      <c r="EE1015" s="249"/>
      <c r="EF1015" s="216"/>
      <c r="EG1015" s="355"/>
      <c r="EH1015" s="1425"/>
      <c r="EI1015" s="1470"/>
      <c r="EJ1015" s="249"/>
      <c r="EK1015" s="221"/>
      <c r="EL1015" s="313"/>
      <c r="EM1015" s="249"/>
      <c r="EN1015" s="221"/>
      <c r="EO1015" s="313"/>
      <c r="EP1015" s="249"/>
      <c r="EQ1015" s="216"/>
      <c r="ER1015" s="313"/>
      <c r="ES1015" s="249"/>
      <c r="ET1015" s="216"/>
      <c r="EU1015" s="313"/>
      <c r="EV1015" s="249"/>
      <c r="EW1015" s="216"/>
      <c r="EX1015" s="2505"/>
      <c r="EY1015" s="249"/>
      <c r="EZ1015" s="221"/>
      <c r="FA1015" s="313"/>
      <c r="FB1015" s="249"/>
      <c r="FC1015" s="221"/>
      <c r="FD1015" s="313"/>
      <c r="FE1015" s="249"/>
      <c r="FF1015" s="221"/>
      <c r="FG1015" s="313"/>
      <c r="FH1015" s="249"/>
      <c r="FI1015" s="216"/>
      <c r="FJ1015" s="1435"/>
      <c r="FK1015" s="216"/>
      <c r="FL1015" s="1268"/>
      <c r="FM1015" s="1655"/>
      <c r="FN1015" s="1268"/>
      <c r="FO1015" s="1655"/>
      <c r="FP1015" s="1268"/>
      <c r="FQ1015" s="1656"/>
      <c r="FR1015" s="249"/>
      <c r="FS1015" s="216"/>
      <c r="FT1015" s="1657"/>
      <c r="FU1015" s="1658"/>
      <c r="FV1015" s="242"/>
      <c r="FW1015" s="343"/>
      <c r="FX1015" s="222"/>
      <c r="FY1015" s="336"/>
      <c r="FZ1015" s="223"/>
      <c r="GA1015" s="338"/>
      <c r="GB1015" s="204"/>
      <c r="GC1015" s="339"/>
      <c r="GD1015" s="342"/>
      <c r="GE1015" s="199"/>
      <c r="GF1015" s="199"/>
      <c r="GG1015" s="199"/>
      <c r="GH1015" s="199"/>
      <c r="GI1015" s="199"/>
      <c r="GJ1015" s="199"/>
      <c r="GK1015" s="199"/>
      <c r="GO1015" s="322"/>
      <c r="GP1015" s="1190"/>
      <c r="GQ1015" s="1190"/>
      <c r="GS1015" s="2879"/>
      <c r="GT1015" s="2880"/>
      <c r="GU1015" s="2881"/>
    </row>
    <row r="1016" spans="1:203" ht="12" customHeight="1">
      <c r="A1016" s="1252"/>
      <c r="B1016" s="200"/>
      <c r="C1016" s="486"/>
      <c r="T1016" s="1186"/>
      <c r="U1016" s="233"/>
      <c r="W1016" s="218"/>
      <c r="X1016" s="218"/>
      <c r="Y1016" s="216"/>
      <c r="Z1016" s="216"/>
      <c r="AA1016" s="215"/>
      <c r="AB1016" s="216"/>
      <c r="AC1016" s="216"/>
      <c r="AD1016" s="239"/>
      <c r="AE1016" s="216"/>
      <c r="AF1016" s="216"/>
      <c r="AG1016" s="216"/>
      <c r="AH1016" s="216"/>
      <c r="AI1016" s="216"/>
      <c r="AJ1016" s="216"/>
      <c r="AK1016" s="239"/>
      <c r="AL1016" s="216"/>
      <c r="AM1016" s="216"/>
      <c r="AN1016" s="216"/>
      <c r="AO1016" s="216"/>
      <c r="AP1016" s="216"/>
      <c r="AQ1016" s="216"/>
      <c r="AR1016" s="216"/>
      <c r="AS1016" s="216"/>
      <c r="AT1016" s="216"/>
      <c r="AU1016" s="216"/>
      <c r="AV1016" s="217"/>
      <c r="AW1016" s="355"/>
      <c r="AX1016" s="217"/>
      <c r="AY1016" s="305"/>
      <c r="AZ1016" s="249"/>
      <c r="BA1016" s="221"/>
      <c r="BB1016" s="300"/>
      <c r="BC1016" s="217"/>
      <c r="BD1016" s="392"/>
      <c r="BE1016" s="1244"/>
      <c r="BF1016" s="249"/>
      <c r="BG1016" s="252"/>
      <c r="BH1016" s="1469"/>
      <c r="BI1016" s="216"/>
      <c r="BJ1016" s="1469"/>
      <c r="BK1016" s="1459"/>
      <c r="BL1016" s="260"/>
      <c r="BM1016" s="214"/>
      <c r="BN1016" s="293"/>
      <c r="BO1016" s="217"/>
      <c r="BP1016" s="355"/>
      <c r="BQ1016" s="217"/>
      <c r="BR1016" s="1193"/>
      <c r="BS1016" s="249"/>
      <c r="BT1016" s="216"/>
      <c r="BU1016" s="1195"/>
      <c r="BV1016" s="249"/>
      <c r="BW1016" s="216"/>
      <c r="BX1016" s="1195"/>
      <c r="BY1016" s="249"/>
      <c r="BZ1016" s="216"/>
      <c r="CA1016" s="1195"/>
      <c r="CB1016" s="249"/>
      <c r="CC1016" s="216"/>
      <c r="CD1016" s="1195"/>
      <c r="CE1016" s="249"/>
      <c r="CF1016" s="216"/>
      <c r="CG1016" s="1195"/>
      <c r="CH1016" s="249"/>
      <c r="CI1016" s="216"/>
      <c r="CJ1016" s="1195"/>
      <c r="CK1016" s="249"/>
      <c r="CL1016" s="216"/>
      <c r="CM1016" s="1194"/>
      <c r="CN1016" s="1524"/>
      <c r="CO1016" s="217"/>
      <c r="CP1016" s="1193"/>
      <c r="CQ1016" s="293"/>
      <c r="CR1016" s="217"/>
      <c r="CS1016" s="305"/>
      <c r="CT1016" s="249"/>
      <c r="CU1016" s="216"/>
      <c r="CV1016" s="1193"/>
      <c r="CW1016" s="249"/>
      <c r="CX1016" s="216"/>
      <c r="CY1016" s="305"/>
      <c r="CZ1016" s="249"/>
      <c r="DA1016" s="216"/>
      <c r="DB1016" s="307"/>
      <c r="DC1016" s="328"/>
      <c r="DD1016" s="322"/>
      <c r="DE1016" s="305"/>
      <c r="DF1016" s="249"/>
      <c r="DG1016" s="216"/>
      <c r="DH1016" s="305"/>
      <c r="DI1016" s="249"/>
      <c r="DJ1016" s="216"/>
      <c r="DK1016" s="309"/>
      <c r="DL1016" s="293"/>
      <c r="DM1016" s="326"/>
      <c r="DN1016" s="1256"/>
      <c r="DO1016" s="214"/>
      <c r="DP1016" s="1257"/>
      <c r="DQ1016" s="1258"/>
      <c r="DR1016" s="305"/>
      <c r="DS1016" s="249"/>
      <c r="DT1016" s="216"/>
      <c r="DU1016" s="305"/>
      <c r="DV1016" s="2520"/>
      <c r="DW1016" s="2521"/>
      <c r="DX1016" s="305"/>
      <c r="DY1016" s="249"/>
      <c r="DZ1016" s="221"/>
      <c r="EA1016" s="388"/>
      <c r="EB1016" s="249"/>
      <c r="EC1016" s="216"/>
      <c r="ED1016" s="1461"/>
      <c r="EE1016" s="249"/>
      <c r="EF1016" s="216"/>
      <c r="EG1016" s="355"/>
      <c r="EH1016" s="1425"/>
      <c r="EI1016" s="1470"/>
      <c r="EJ1016" s="249"/>
      <c r="EK1016" s="221"/>
      <c r="EL1016" s="313"/>
      <c r="EM1016" s="249"/>
      <c r="EN1016" s="221"/>
      <c r="EO1016" s="313"/>
      <c r="EP1016" s="249"/>
      <c r="EQ1016" s="216"/>
      <c r="ER1016" s="313"/>
      <c r="ES1016" s="249"/>
      <c r="ET1016" s="216"/>
      <c r="EU1016" s="313"/>
      <c r="EV1016" s="249"/>
      <c r="EW1016" s="216"/>
      <c r="EX1016" s="2505"/>
      <c r="EY1016" s="249"/>
      <c r="EZ1016" s="221"/>
      <c r="FA1016" s="313"/>
      <c r="FB1016" s="249"/>
      <c r="FC1016" s="221"/>
      <c r="FD1016" s="313"/>
      <c r="FE1016" s="249"/>
      <c r="FF1016" s="221"/>
      <c r="FG1016" s="313"/>
      <c r="FH1016" s="249"/>
      <c r="FI1016" s="216"/>
      <c r="FJ1016" s="1435"/>
      <c r="FK1016" s="216"/>
      <c r="FL1016" s="1268"/>
      <c r="FM1016" s="1655"/>
      <c r="FN1016" s="1268"/>
      <c r="FO1016" s="1655"/>
      <c r="FP1016" s="1268"/>
      <c r="FQ1016" s="1656"/>
      <c r="FR1016" s="249"/>
      <c r="FS1016" s="216"/>
      <c r="FT1016" s="1657"/>
      <c r="FU1016" s="1658"/>
      <c r="FV1016" s="242"/>
      <c r="FW1016" s="343"/>
      <c r="FX1016" s="222"/>
      <c r="FY1016" s="336"/>
      <c r="FZ1016" s="223"/>
      <c r="GA1016" s="338"/>
      <c r="GB1016" s="204"/>
      <c r="GC1016" s="339"/>
      <c r="GD1016" s="342"/>
      <c r="GE1016" s="199"/>
      <c r="GF1016" s="199"/>
      <c r="GG1016" s="199"/>
      <c r="GH1016" s="199"/>
      <c r="GI1016" s="199"/>
      <c r="GJ1016" s="199"/>
      <c r="GK1016" s="199"/>
      <c r="GO1016" s="322"/>
      <c r="GP1016" s="1190"/>
      <c r="GQ1016" s="1190"/>
      <c r="GS1016" s="2879"/>
      <c r="GT1016" s="2880"/>
      <c r="GU1016" s="2881"/>
    </row>
    <row r="1017" spans="1:203" ht="12" customHeight="1">
      <c r="A1017" s="1252"/>
      <c r="B1017" s="200"/>
      <c r="C1017" s="486"/>
      <c r="T1017" s="1186"/>
      <c r="U1017" s="233"/>
      <c r="W1017" s="218"/>
      <c r="X1017" s="218"/>
      <c r="Y1017" s="216"/>
      <c r="Z1017" s="216"/>
      <c r="AA1017" s="215"/>
      <c r="AB1017" s="216"/>
      <c r="AC1017" s="216"/>
      <c r="AD1017" s="239"/>
      <c r="AE1017" s="216"/>
      <c r="AF1017" s="216"/>
      <c r="AG1017" s="216"/>
      <c r="AH1017" s="216"/>
      <c r="AI1017" s="216"/>
      <c r="AJ1017" s="216"/>
      <c r="AK1017" s="239"/>
      <c r="AL1017" s="216"/>
      <c r="AM1017" s="216"/>
      <c r="AN1017" s="216"/>
      <c r="AO1017" s="216"/>
      <c r="AP1017" s="216"/>
      <c r="AQ1017" s="216"/>
      <c r="AR1017" s="216"/>
      <c r="AS1017" s="216"/>
      <c r="AT1017" s="216"/>
      <c r="AU1017" s="216"/>
      <c r="AV1017" s="217"/>
      <c r="AW1017" s="355"/>
      <c r="AX1017" s="217"/>
      <c r="AY1017" s="305"/>
      <c r="AZ1017" s="249"/>
      <c r="BA1017" s="221"/>
      <c r="BB1017" s="300"/>
      <c r="BC1017" s="217"/>
      <c r="BD1017" s="392"/>
      <c r="BE1017" s="1244"/>
      <c r="BF1017" s="249"/>
      <c r="BG1017" s="252"/>
      <c r="BH1017" s="1469"/>
      <c r="BI1017" s="216"/>
      <c r="BJ1017" s="1469"/>
      <c r="BK1017" s="1459"/>
      <c r="BL1017" s="260"/>
      <c r="BM1017" s="214"/>
      <c r="BN1017" s="293"/>
      <c r="BO1017" s="217"/>
      <c r="BP1017" s="355"/>
      <c r="BQ1017" s="217"/>
      <c r="BR1017" s="1193"/>
      <c r="BS1017" s="249"/>
      <c r="BT1017" s="216"/>
      <c r="BU1017" s="1195"/>
      <c r="BV1017" s="249"/>
      <c r="BW1017" s="216"/>
      <c r="BX1017" s="1195"/>
      <c r="BY1017" s="249"/>
      <c r="BZ1017" s="216"/>
      <c r="CA1017" s="1195"/>
      <c r="CB1017" s="249"/>
      <c r="CC1017" s="216"/>
      <c r="CD1017" s="1195"/>
      <c r="CE1017" s="249"/>
      <c r="CF1017" s="216"/>
      <c r="CG1017" s="1195"/>
      <c r="CH1017" s="249"/>
      <c r="CI1017" s="216"/>
      <c r="CJ1017" s="1195"/>
      <c r="CK1017" s="249"/>
      <c r="CL1017" s="216"/>
      <c r="CM1017" s="1194"/>
      <c r="CN1017" s="1524"/>
      <c r="CO1017" s="217"/>
      <c r="CP1017" s="1193"/>
      <c r="CQ1017" s="293"/>
      <c r="CR1017" s="217"/>
      <c r="CS1017" s="305"/>
      <c r="CT1017" s="249"/>
      <c r="CU1017" s="216"/>
      <c r="CV1017" s="1193"/>
      <c r="CW1017" s="249"/>
      <c r="CX1017" s="216"/>
      <c r="CY1017" s="305"/>
      <c r="CZ1017" s="249"/>
      <c r="DA1017" s="216"/>
      <c r="DB1017" s="307"/>
      <c r="DC1017" s="328"/>
      <c r="DD1017" s="322"/>
      <c r="DE1017" s="305"/>
      <c r="DF1017" s="249"/>
      <c r="DG1017" s="216"/>
      <c r="DH1017" s="305"/>
      <c r="DI1017" s="249"/>
      <c r="DJ1017" s="216"/>
      <c r="DK1017" s="309"/>
      <c r="DL1017" s="293"/>
      <c r="DM1017" s="326"/>
      <c r="DN1017" s="1256"/>
      <c r="DO1017" s="214"/>
      <c r="DP1017" s="1257"/>
      <c r="DQ1017" s="1258"/>
      <c r="DR1017" s="305"/>
      <c r="DS1017" s="249"/>
      <c r="DT1017" s="216"/>
      <c r="DU1017" s="305"/>
      <c r="DV1017" s="2520"/>
      <c r="DW1017" s="2521"/>
      <c r="DX1017" s="305"/>
      <c r="DY1017" s="249"/>
      <c r="DZ1017" s="221"/>
      <c r="EA1017" s="388"/>
      <c r="EB1017" s="249"/>
      <c r="EC1017" s="216"/>
      <c r="ED1017" s="1461"/>
      <c r="EE1017" s="249"/>
      <c r="EF1017" s="216"/>
      <c r="EG1017" s="355"/>
      <c r="EH1017" s="1425"/>
      <c r="EI1017" s="1470"/>
      <c r="EJ1017" s="249"/>
      <c r="EK1017" s="221"/>
      <c r="EL1017" s="313"/>
      <c r="EM1017" s="249"/>
      <c r="EN1017" s="221"/>
      <c r="EO1017" s="313"/>
      <c r="EP1017" s="249"/>
      <c r="EQ1017" s="216"/>
      <c r="ER1017" s="313"/>
      <c r="ES1017" s="249"/>
      <c r="ET1017" s="216"/>
      <c r="EU1017" s="313"/>
      <c r="EV1017" s="249"/>
      <c r="EW1017" s="216"/>
      <c r="EX1017" s="2505"/>
      <c r="EY1017" s="249"/>
      <c r="EZ1017" s="221"/>
      <c r="FA1017" s="313"/>
      <c r="FB1017" s="249"/>
      <c r="FC1017" s="221"/>
      <c r="FD1017" s="313"/>
      <c r="FE1017" s="249"/>
      <c r="FF1017" s="221"/>
      <c r="FG1017" s="313"/>
      <c r="FH1017" s="249"/>
      <c r="FI1017" s="216"/>
      <c r="FJ1017" s="1435"/>
      <c r="FK1017" s="216"/>
      <c r="FL1017" s="1268"/>
      <c r="FM1017" s="1655"/>
      <c r="FN1017" s="1268"/>
      <c r="FO1017" s="1655"/>
      <c r="FP1017" s="1268"/>
      <c r="FQ1017" s="1656"/>
      <c r="FR1017" s="249"/>
      <c r="FS1017" s="216"/>
      <c r="FT1017" s="1657"/>
      <c r="FU1017" s="1658"/>
      <c r="FV1017" s="242"/>
      <c r="FW1017" s="343"/>
      <c r="FX1017" s="222"/>
      <c r="FY1017" s="336"/>
      <c r="FZ1017" s="223"/>
      <c r="GA1017" s="338"/>
      <c r="GB1017" s="204"/>
      <c r="GC1017" s="339"/>
      <c r="GD1017" s="342"/>
      <c r="GE1017" s="199"/>
      <c r="GF1017" s="199"/>
      <c r="GG1017" s="199"/>
      <c r="GH1017" s="199"/>
      <c r="GI1017" s="199"/>
      <c r="GJ1017" s="199"/>
      <c r="GK1017" s="199"/>
      <c r="GO1017" s="322"/>
      <c r="GP1017" s="1190"/>
      <c r="GQ1017" s="1190"/>
      <c r="GS1017" s="2879"/>
      <c r="GT1017" s="2880"/>
      <c r="GU1017" s="2881"/>
    </row>
    <row r="1018" spans="1:203" ht="12" customHeight="1">
      <c r="A1018" s="1252"/>
      <c r="B1018" s="200"/>
      <c r="C1018" s="486"/>
      <c r="T1018" s="1186"/>
      <c r="U1018" s="233"/>
      <c r="W1018" s="218"/>
      <c r="X1018" s="218"/>
      <c r="Y1018" s="216"/>
      <c r="Z1018" s="216"/>
      <c r="AA1018" s="215"/>
      <c r="AB1018" s="216"/>
      <c r="AC1018" s="216"/>
      <c r="AD1018" s="239"/>
      <c r="AE1018" s="216"/>
      <c r="AF1018" s="216"/>
      <c r="AG1018" s="216"/>
      <c r="AH1018" s="216"/>
      <c r="AI1018" s="216"/>
      <c r="AJ1018" s="216"/>
      <c r="AK1018" s="239"/>
      <c r="AL1018" s="216"/>
      <c r="AM1018" s="216"/>
      <c r="AN1018" s="216"/>
      <c r="AO1018" s="216"/>
      <c r="AP1018" s="216"/>
      <c r="AQ1018" s="216"/>
      <c r="AR1018" s="216"/>
      <c r="AS1018" s="216"/>
      <c r="AT1018" s="216"/>
      <c r="AU1018" s="216"/>
      <c r="AV1018" s="217"/>
      <c r="AW1018" s="355"/>
      <c r="AX1018" s="217"/>
      <c r="AY1018" s="305"/>
      <c r="AZ1018" s="249"/>
      <c r="BA1018" s="221"/>
      <c r="BB1018" s="300"/>
      <c r="BC1018" s="217"/>
      <c r="BD1018" s="392"/>
      <c r="BE1018" s="1244"/>
      <c r="BF1018" s="249"/>
      <c r="BG1018" s="252"/>
      <c r="BH1018" s="1469"/>
      <c r="BI1018" s="216"/>
      <c r="BJ1018" s="1469"/>
      <c r="BK1018" s="1459"/>
      <c r="BL1018" s="260"/>
      <c r="BM1018" s="214"/>
      <c r="BN1018" s="293"/>
      <c r="BO1018" s="217"/>
      <c r="BP1018" s="355"/>
      <c r="BQ1018" s="217"/>
      <c r="BR1018" s="1193"/>
      <c r="BS1018" s="249"/>
      <c r="BT1018" s="216"/>
      <c r="BU1018" s="1195"/>
      <c r="BV1018" s="249"/>
      <c r="BW1018" s="216"/>
      <c r="BX1018" s="1195"/>
      <c r="BY1018" s="249"/>
      <c r="BZ1018" s="216"/>
      <c r="CA1018" s="1195"/>
      <c r="CB1018" s="249"/>
      <c r="CC1018" s="216"/>
      <c r="CD1018" s="1195"/>
      <c r="CE1018" s="249"/>
      <c r="CF1018" s="216"/>
      <c r="CG1018" s="1195"/>
      <c r="CH1018" s="249"/>
      <c r="CI1018" s="216"/>
      <c r="CJ1018" s="1195"/>
      <c r="CK1018" s="249"/>
      <c r="CL1018" s="216"/>
      <c r="CM1018" s="1194"/>
      <c r="CN1018" s="1524"/>
      <c r="CO1018" s="217"/>
      <c r="CP1018" s="1193"/>
      <c r="CQ1018" s="293"/>
      <c r="CR1018" s="217"/>
      <c r="CS1018" s="305"/>
      <c r="CT1018" s="249"/>
      <c r="CU1018" s="216"/>
      <c r="CV1018" s="1193"/>
      <c r="CW1018" s="249"/>
      <c r="CX1018" s="216"/>
      <c r="CY1018" s="305"/>
      <c r="CZ1018" s="249"/>
      <c r="DA1018" s="216"/>
      <c r="DB1018" s="307"/>
      <c r="DC1018" s="328"/>
      <c r="DD1018" s="322"/>
      <c r="DE1018" s="305"/>
      <c r="DF1018" s="249"/>
      <c r="DG1018" s="216"/>
      <c r="DH1018" s="305"/>
      <c r="DI1018" s="249"/>
      <c r="DJ1018" s="216"/>
      <c r="DK1018" s="309"/>
      <c r="DL1018" s="293"/>
      <c r="DM1018" s="326"/>
      <c r="DN1018" s="1256"/>
      <c r="DO1018" s="214"/>
      <c r="DP1018" s="1257"/>
      <c r="DQ1018" s="1258"/>
      <c r="DR1018" s="305"/>
      <c r="DS1018" s="249"/>
      <c r="DT1018" s="216"/>
      <c r="DU1018" s="305"/>
      <c r="DV1018" s="2520"/>
      <c r="DW1018" s="2521"/>
      <c r="DX1018" s="305"/>
      <c r="DY1018" s="249"/>
      <c r="DZ1018" s="221"/>
      <c r="EA1018" s="388"/>
      <c r="EB1018" s="249"/>
      <c r="EC1018" s="216"/>
      <c r="ED1018" s="1461"/>
      <c r="EE1018" s="249"/>
      <c r="EF1018" s="216"/>
      <c r="EG1018" s="355"/>
      <c r="EH1018" s="1425"/>
      <c r="EI1018" s="1470"/>
      <c r="EJ1018" s="249"/>
      <c r="EK1018" s="221"/>
      <c r="EL1018" s="313"/>
      <c r="EM1018" s="249"/>
      <c r="EN1018" s="221"/>
      <c r="EO1018" s="313"/>
      <c r="EP1018" s="249"/>
      <c r="EQ1018" s="216"/>
      <c r="ER1018" s="313"/>
      <c r="ES1018" s="249"/>
      <c r="ET1018" s="216"/>
      <c r="EU1018" s="313"/>
      <c r="EV1018" s="249"/>
      <c r="EW1018" s="216"/>
      <c r="EX1018" s="2505"/>
      <c r="EY1018" s="249"/>
      <c r="EZ1018" s="221"/>
      <c r="FA1018" s="313"/>
      <c r="FB1018" s="249"/>
      <c r="FC1018" s="221"/>
      <c r="FD1018" s="313"/>
      <c r="FE1018" s="249"/>
      <c r="FF1018" s="221"/>
      <c r="FG1018" s="313"/>
      <c r="FH1018" s="249"/>
      <c r="FI1018" s="216"/>
      <c r="FJ1018" s="1435"/>
      <c r="FK1018" s="216"/>
      <c r="FL1018" s="1268"/>
      <c r="FM1018" s="1655"/>
      <c r="FN1018" s="1268"/>
      <c r="FO1018" s="1655"/>
      <c r="FP1018" s="1268"/>
      <c r="FQ1018" s="1656"/>
      <c r="FR1018" s="249"/>
      <c r="FS1018" s="216"/>
      <c r="FT1018" s="1657"/>
      <c r="FU1018" s="1658"/>
      <c r="FV1018" s="242"/>
      <c r="FW1018" s="343"/>
      <c r="FX1018" s="222"/>
      <c r="FY1018" s="336"/>
      <c r="FZ1018" s="223"/>
      <c r="GA1018" s="338"/>
      <c r="GB1018" s="204"/>
      <c r="GC1018" s="339"/>
      <c r="GD1018" s="342"/>
      <c r="GE1018" s="199"/>
      <c r="GF1018" s="199"/>
      <c r="GG1018" s="199"/>
      <c r="GH1018" s="199"/>
      <c r="GI1018" s="199"/>
      <c r="GJ1018" s="199"/>
      <c r="GK1018" s="199"/>
      <c r="GO1018" s="322"/>
      <c r="GP1018" s="1190"/>
      <c r="GQ1018" s="1190"/>
      <c r="GS1018" s="2879"/>
      <c r="GT1018" s="2880"/>
      <c r="GU1018" s="2881"/>
    </row>
    <row r="1019" spans="1:203" ht="12" customHeight="1">
      <c r="A1019" s="1252"/>
      <c r="B1019" s="200"/>
      <c r="C1019" s="486"/>
      <c r="T1019" s="1186"/>
      <c r="U1019" s="233"/>
      <c r="W1019" s="218"/>
      <c r="X1019" s="218"/>
      <c r="Y1019" s="216"/>
      <c r="Z1019" s="216"/>
      <c r="AA1019" s="215"/>
      <c r="AB1019" s="216"/>
      <c r="AC1019" s="216"/>
      <c r="AD1019" s="239"/>
      <c r="AE1019" s="216"/>
      <c r="AF1019" s="216"/>
      <c r="AG1019" s="216"/>
      <c r="AH1019" s="216"/>
      <c r="AI1019" s="216"/>
      <c r="AJ1019" s="216"/>
      <c r="AK1019" s="239"/>
      <c r="AL1019" s="216"/>
      <c r="AM1019" s="216"/>
      <c r="AN1019" s="216"/>
      <c r="AO1019" s="216"/>
      <c r="AP1019" s="216"/>
      <c r="AQ1019" s="216"/>
      <c r="AR1019" s="216"/>
      <c r="AS1019" s="216"/>
      <c r="AT1019" s="216"/>
      <c r="AU1019" s="216"/>
      <c r="AV1019" s="217"/>
      <c r="AW1019" s="355"/>
      <c r="AX1019" s="217"/>
      <c r="AY1019" s="305"/>
      <c r="AZ1019" s="249"/>
      <c r="BA1019" s="221"/>
      <c r="BB1019" s="300"/>
      <c r="BC1019" s="217"/>
      <c r="BD1019" s="392"/>
      <c r="BE1019" s="1244"/>
      <c r="BF1019" s="249"/>
      <c r="BG1019" s="252"/>
      <c r="BH1019" s="1469"/>
      <c r="BI1019" s="216"/>
      <c r="BJ1019" s="1469"/>
      <c r="BK1019" s="1459"/>
      <c r="BL1019" s="260"/>
      <c r="BM1019" s="214"/>
      <c r="BN1019" s="293"/>
      <c r="BO1019" s="217"/>
      <c r="BP1019" s="355"/>
      <c r="BQ1019" s="217"/>
      <c r="BR1019" s="1193"/>
      <c r="BS1019" s="249"/>
      <c r="BT1019" s="216"/>
      <c r="BU1019" s="1195"/>
      <c r="BV1019" s="249"/>
      <c r="BW1019" s="216"/>
      <c r="BX1019" s="1195"/>
      <c r="BY1019" s="249"/>
      <c r="BZ1019" s="216"/>
      <c r="CA1019" s="1195"/>
      <c r="CB1019" s="249"/>
      <c r="CC1019" s="216"/>
      <c r="CD1019" s="1195"/>
      <c r="CE1019" s="249"/>
      <c r="CF1019" s="216"/>
      <c r="CG1019" s="1195"/>
      <c r="CH1019" s="249"/>
      <c r="CI1019" s="216"/>
      <c r="CJ1019" s="1195"/>
      <c r="CK1019" s="249"/>
      <c r="CL1019" s="216"/>
      <c r="CM1019" s="1194"/>
      <c r="CN1019" s="1524"/>
      <c r="CO1019" s="217"/>
      <c r="CP1019" s="1193"/>
      <c r="CQ1019" s="293"/>
      <c r="CR1019" s="217"/>
      <c r="CS1019" s="305"/>
      <c r="CT1019" s="249"/>
      <c r="CU1019" s="216"/>
      <c r="CV1019" s="1193"/>
      <c r="CW1019" s="249"/>
      <c r="CX1019" s="216"/>
      <c r="CY1019" s="305"/>
      <c r="CZ1019" s="249"/>
      <c r="DA1019" s="216"/>
      <c r="DB1019" s="307"/>
      <c r="DC1019" s="328"/>
      <c r="DD1019" s="322"/>
      <c r="DE1019" s="305"/>
      <c r="DF1019" s="249"/>
      <c r="DG1019" s="216"/>
      <c r="DH1019" s="305"/>
      <c r="DI1019" s="249"/>
      <c r="DJ1019" s="216"/>
      <c r="DK1019" s="309"/>
      <c r="DL1019" s="293"/>
      <c r="DM1019" s="326"/>
      <c r="DN1019" s="1256"/>
      <c r="DO1019" s="214"/>
      <c r="DP1019" s="1257"/>
      <c r="DQ1019" s="1258"/>
      <c r="DR1019" s="305"/>
      <c r="DS1019" s="249"/>
      <c r="DT1019" s="216"/>
      <c r="DU1019" s="305"/>
      <c r="DV1019" s="2520"/>
      <c r="DW1019" s="2521"/>
      <c r="DX1019" s="305"/>
      <c r="DY1019" s="249"/>
      <c r="DZ1019" s="221"/>
      <c r="EA1019" s="388"/>
      <c r="EB1019" s="249"/>
      <c r="EC1019" s="216"/>
      <c r="ED1019" s="1461"/>
      <c r="EE1019" s="249"/>
      <c r="EF1019" s="216"/>
      <c r="EG1019" s="355"/>
      <c r="EH1019" s="1425"/>
      <c r="EI1019" s="1470"/>
      <c r="EJ1019" s="249"/>
      <c r="EK1019" s="221"/>
      <c r="EL1019" s="313"/>
      <c r="EM1019" s="249"/>
      <c r="EN1019" s="221"/>
      <c r="EO1019" s="313"/>
      <c r="EP1019" s="249"/>
      <c r="EQ1019" s="216"/>
      <c r="ER1019" s="313"/>
      <c r="ES1019" s="249"/>
      <c r="ET1019" s="216"/>
      <c r="EU1019" s="313"/>
      <c r="EV1019" s="249"/>
      <c r="EW1019" s="216"/>
      <c r="EX1019" s="2505"/>
      <c r="EY1019" s="249"/>
      <c r="EZ1019" s="221"/>
      <c r="FA1019" s="313"/>
      <c r="FB1019" s="249"/>
      <c r="FC1019" s="221"/>
      <c r="FD1019" s="313"/>
      <c r="FE1019" s="249"/>
      <c r="FF1019" s="221"/>
      <c r="FG1019" s="313"/>
      <c r="FH1019" s="249"/>
      <c r="FI1019" s="216"/>
      <c r="FJ1019" s="1435"/>
      <c r="FK1019" s="216"/>
      <c r="FL1019" s="1268"/>
      <c r="FM1019" s="1655"/>
      <c r="FN1019" s="1268"/>
      <c r="FO1019" s="1655"/>
      <c r="FP1019" s="1268"/>
      <c r="FQ1019" s="1656"/>
      <c r="FR1019" s="249"/>
      <c r="FS1019" s="216"/>
      <c r="FT1019" s="1657"/>
      <c r="FU1019" s="1658"/>
      <c r="FV1019" s="242"/>
      <c r="FW1019" s="343"/>
      <c r="FX1019" s="222"/>
      <c r="FY1019" s="336"/>
      <c r="FZ1019" s="223"/>
      <c r="GA1019" s="338"/>
      <c r="GB1019" s="204"/>
      <c r="GC1019" s="339"/>
      <c r="GD1019" s="342"/>
      <c r="GE1019" s="199"/>
      <c r="GF1019" s="199"/>
      <c r="GG1019" s="199"/>
      <c r="GH1019" s="199"/>
      <c r="GI1019" s="199"/>
      <c r="GJ1019" s="199"/>
      <c r="GK1019" s="199"/>
      <c r="GO1019" s="322"/>
      <c r="GP1019" s="1190"/>
      <c r="GQ1019" s="1190"/>
      <c r="GS1019" s="2879"/>
      <c r="GT1019" s="2880"/>
      <c r="GU1019" s="2881"/>
    </row>
    <row r="1020" spans="1:203" ht="12" customHeight="1">
      <c r="A1020" s="1252"/>
      <c r="B1020" s="200"/>
      <c r="C1020" s="486"/>
      <c r="T1020" s="1186"/>
      <c r="U1020" s="233"/>
      <c r="W1020" s="218"/>
      <c r="X1020" s="218"/>
      <c r="Y1020" s="216"/>
      <c r="Z1020" s="216"/>
      <c r="AA1020" s="215"/>
      <c r="AB1020" s="216"/>
      <c r="AC1020" s="216"/>
      <c r="AD1020" s="239"/>
      <c r="AE1020" s="216"/>
      <c r="AF1020" s="216"/>
      <c r="AG1020" s="216"/>
      <c r="AH1020" s="216"/>
      <c r="AI1020" s="216"/>
      <c r="AJ1020" s="216"/>
      <c r="AK1020" s="239"/>
      <c r="AL1020" s="216"/>
      <c r="AM1020" s="216"/>
      <c r="AN1020" s="216"/>
      <c r="AO1020" s="216"/>
      <c r="AP1020" s="216"/>
      <c r="AQ1020" s="216"/>
      <c r="AR1020" s="216"/>
      <c r="AS1020" s="216"/>
      <c r="AT1020" s="216"/>
      <c r="AU1020" s="216"/>
      <c r="AV1020" s="217"/>
      <c r="AW1020" s="355"/>
      <c r="AX1020" s="217"/>
      <c r="AY1020" s="305"/>
      <c r="AZ1020" s="249"/>
      <c r="BA1020" s="221"/>
      <c r="BB1020" s="300"/>
      <c r="BC1020" s="217"/>
      <c r="BD1020" s="392"/>
      <c r="BE1020" s="1244"/>
      <c r="BF1020" s="249"/>
      <c r="BG1020" s="252"/>
      <c r="BH1020" s="1469"/>
      <c r="BI1020" s="216"/>
      <c r="BJ1020" s="1469"/>
      <c r="BK1020" s="1459"/>
      <c r="BL1020" s="260"/>
      <c r="BM1020" s="214"/>
      <c r="BN1020" s="293"/>
      <c r="BO1020" s="217"/>
      <c r="BP1020" s="355"/>
      <c r="BQ1020" s="217"/>
      <c r="BR1020" s="1193"/>
      <c r="BS1020" s="249"/>
      <c r="BT1020" s="216"/>
      <c r="BU1020" s="1195"/>
      <c r="BV1020" s="249"/>
      <c r="BW1020" s="216"/>
      <c r="BX1020" s="1195"/>
      <c r="BY1020" s="249"/>
      <c r="BZ1020" s="216"/>
      <c r="CA1020" s="1195"/>
      <c r="CB1020" s="249"/>
      <c r="CC1020" s="216"/>
      <c r="CD1020" s="1195"/>
      <c r="CE1020" s="249"/>
      <c r="CF1020" s="216"/>
      <c r="CG1020" s="1195"/>
      <c r="CH1020" s="249"/>
      <c r="CI1020" s="216"/>
      <c r="CJ1020" s="1195"/>
      <c r="CK1020" s="249"/>
      <c r="CL1020" s="216"/>
      <c r="CM1020" s="1194"/>
      <c r="CN1020" s="1524"/>
      <c r="CO1020" s="217"/>
      <c r="CP1020" s="1193"/>
      <c r="CQ1020" s="293"/>
      <c r="CR1020" s="217"/>
      <c r="CS1020" s="305"/>
      <c r="CT1020" s="249"/>
      <c r="CU1020" s="216"/>
      <c r="CV1020" s="1193"/>
      <c r="CW1020" s="249"/>
      <c r="CX1020" s="216"/>
      <c r="CY1020" s="305"/>
      <c r="CZ1020" s="249"/>
      <c r="DA1020" s="216"/>
      <c r="DB1020" s="307"/>
      <c r="DC1020" s="328"/>
      <c r="DD1020" s="322"/>
      <c r="DE1020" s="305"/>
      <c r="DF1020" s="249"/>
      <c r="DG1020" s="216"/>
      <c r="DH1020" s="305"/>
      <c r="DI1020" s="249"/>
      <c r="DJ1020" s="216"/>
      <c r="DK1020" s="309"/>
      <c r="DL1020" s="293"/>
      <c r="DM1020" s="326"/>
      <c r="DN1020" s="1256"/>
      <c r="DO1020" s="214"/>
      <c r="DP1020" s="1257"/>
      <c r="DQ1020" s="1258"/>
      <c r="DR1020" s="305"/>
      <c r="DS1020" s="249"/>
      <c r="DT1020" s="216"/>
      <c r="DU1020" s="305"/>
      <c r="DV1020" s="2520"/>
      <c r="DW1020" s="2521"/>
      <c r="DX1020" s="305"/>
      <c r="DY1020" s="249"/>
      <c r="DZ1020" s="221"/>
      <c r="EA1020" s="388"/>
      <c r="EB1020" s="249"/>
      <c r="EC1020" s="216"/>
      <c r="ED1020" s="1461"/>
      <c r="EE1020" s="249"/>
      <c r="EF1020" s="216"/>
      <c r="EG1020" s="355"/>
      <c r="EH1020" s="1425"/>
      <c r="EI1020" s="1470"/>
      <c r="EJ1020" s="249"/>
      <c r="EK1020" s="221"/>
      <c r="EL1020" s="313"/>
      <c r="EM1020" s="249"/>
      <c r="EN1020" s="221"/>
      <c r="EO1020" s="313"/>
      <c r="EP1020" s="249"/>
      <c r="EQ1020" s="216"/>
      <c r="ER1020" s="313"/>
      <c r="ES1020" s="249"/>
      <c r="ET1020" s="216"/>
      <c r="EU1020" s="313"/>
      <c r="EV1020" s="249"/>
      <c r="EW1020" s="216"/>
      <c r="EX1020" s="2505"/>
      <c r="EY1020" s="249"/>
      <c r="EZ1020" s="221"/>
      <c r="FA1020" s="313"/>
      <c r="FB1020" s="249"/>
      <c r="FC1020" s="221"/>
      <c r="FD1020" s="313"/>
      <c r="FE1020" s="249"/>
      <c r="FF1020" s="221"/>
      <c r="FG1020" s="313"/>
      <c r="FH1020" s="249"/>
      <c r="FI1020" s="216"/>
      <c r="FJ1020" s="1435"/>
      <c r="FK1020" s="216"/>
      <c r="FL1020" s="1268"/>
      <c r="FM1020" s="1655"/>
      <c r="FN1020" s="1268"/>
      <c r="FO1020" s="1655"/>
      <c r="FP1020" s="1268"/>
      <c r="FQ1020" s="1656"/>
      <c r="FR1020" s="249"/>
      <c r="FS1020" s="216"/>
      <c r="FT1020" s="1657"/>
      <c r="FU1020" s="1658"/>
      <c r="FV1020" s="242"/>
      <c r="FW1020" s="343"/>
      <c r="FX1020" s="222"/>
      <c r="FY1020" s="336"/>
      <c r="FZ1020" s="223"/>
      <c r="GA1020" s="338"/>
      <c r="GB1020" s="204"/>
      <c r="GC1020" s="339"/>
      <c r="GD1020" s="342"/>
      <c r="GE1020" s="199"/>
      <c r="GF1020" s="199"/>
      <c r="GG1020" s="199"/>
      <c r="GH1020" s="199"/>
      <c r="GI1020" s="199"/>
      <c r="GJ1020" s="199"/>
      <c r="GK1020" s="199"/>
      <c r="GO1020" s="322"/>
      <c r="GP1020" s="1190"/>
      <c r="GQ1020" s="1190"/>
      <c r="GS1020" s="2879"/>
      <c r="GT1020" s="2880"/>
      <c r="GU1020" s="2881"/>
    </row>
    <row r="1021" spans="1:203" ht="12" customHeight="1">
      <c r="A1021" s="1252"/>
      <c r="B1021" s="200"/>
      <c r="C1021" s="486"/>
      <c r="T1021" s="1186"/>
      <c r="U1021" s="233"/>
      <c r="W1021" s="218"/>
      <c r="X1021" s="218"/>
      <c r="Y1021" s="216"/>
      <c r="Z1021" s="216"/>
      <c r="AA1021" s="215"/>
      <c r="AB1021" s="216"/>
      <c r="AC1021" s="216"/>
      <c r="AD1021" s="239"/>
      <c r="AE1021" s="216"/>
      <c r="AF1021" s="216"/>
      <c r="AG1021" s="216"/>
      <c r="AH1021" s="216"/>
      <c r="AI1021" s="216"/>
      <c r="AJ1021" s="216"/>
      <c r="AK1021" s="239"/>
      <c r="AL1021" s="216"/>
      <c r="AM1021" s="216"/>
      <c r="AN1021" s="216"/>
      <c r="AO1021" s="216"/>
      <c r="AP1021" s="216"/>
      <c r="AQ1021" s="216"/>
      <c r="AR1021" s="216"/>
      <c r="AS1021" s="216"/>
      <c r="AT1021" s="216"/>
      <c r="AU1021" s="216"/>
      <c r="AV1021" s="217"/>
      <c r="AW1021" s="355"/>
      <c r="AX1021" s="217"/>
      <c r="AY1021" s="305"/>
      <c r="AZ1021" s="249"/>
      <c r="BA1021" s="221"/>
      <c r="BB1021" s="300"/>
      <c r="BC1021" s="217"/>
      <c r="BD1021" s="392"/>
      <c r="BE1021" s="1244"/>
      <c r="BF1021" s="249"/>
      <c r="BG1021" s="252"/>
      <c r="BH1021" s="1469"/>
      <c r="BI1021" s="216"/>
      <c r="BJ1021" s="1469"/>
      <c r="BK1021" s="1459"/>
      <c r="BL1021" s="260"/>
      <c r="BM1021" s="214"/>
      <c r="BN1021" s="293"/>
      <c r="BO1021" s="217"/>
      <c r="BP1021" s="355"/>
      <c r="BQ1021" s="217"/>
      <c r="BR1021" s="1193"/>
      <c r="BS1021" s="249"/>
      <c r="BT1021" s="216"/>
      <c r="BU1021" s="1195"/>
      <c r="BV1021" s="249"/>
      <c r="BW1021" s="216"/>
      <c r="BX1021" s="1195"/>
      <c r="BY1021" s="249"/>
      <c r="BZ1021" s="216"/>
      <c r="CA1021" s="1195"/>
      <c r="CB1021" s="249"/>
      <c r="CC1021" s="216"/>
      <c r="CD1021" s="1195"/>
      <c r="CE1021" s="249"/>
      <c r="CF1021" s="216"/>
      <c r="CG1021" s="1195"/>
      <c r="CH1021" s="249"/>
      <c r="CI1021" s="216"/>
      <c r="CJ1021" s="1195"/>
      <c r="CK1021" s="249"/>
      <c r="CL1021" s="216"/>
      <c r="CM1021" s="1194"/>
      <c r="CN1021" s="1524"/>
      <c r="CO1021" s="217"/>
      <c r="CP1021" s="1193"/>
      <c r="CQ1021" s="293"/>
      <c r="CR1021" s="217"/>
      <c r="CS1021" s="305"/>
      <c r="CT1021" s="249"/>
      <c r="CU1021" s="216"/>
      <c r="CV1021" s="1193"/>
      <c r="CW1021" s="249"/>
      <c r="CX1021" s="216"/>
      <c r="CY1021" s="305"/>
      <c r="CZ1021" s="249"/>
      <c r="DA1021" s="216"/>
      <c r="DB1021" s="307"/>
      <c r="DC1021" s="328"/>
      <c r="DD1021" s="322"/>
      <c r="DE1021" s="305"/>
      <c r="DF1021" s="249"/>
      <c r="DG1021" s="216"/>
      <c r="DH1021" s="305"/>
      <c r="DI1021" s="249"/>
      <c r="DJ1021" s="216"/>
      <c r="DK1021" s="309"/>
      <c r="DL1021" s="293"/>
      <c r="DM1021" s="326"/>
      <c r="DN1021" s="1256"/>
      <c r="DO1021" s="214"/>
      <c r="DP1021" s="1257"/>
      <c r="DQ1021" s="1258"/>
      <c r="DR1021" s="305"/>
      <c r="DS1021" s="249"/>
      <c r="DT1021" s="216"/>
      <c r="DU1021" s="305"/>
      <c r="DV1021" s="2520"/>
      <c r="DW1021" s="2521"/>
      <c r="DX1021" s="305"/>
      <c r="DY1021" s="249"/>
      <c r="DZ1021" s="221"/>
      <c r="EA1021" s="388"/>
      <c r="EB1021" s="249"/>
      <c r="EC1021" s="216"/>
      <c r="ED1021" s="1461"/>
      <c r="EE1021" s="249"/>
      <c r="EF1021" s="216"/>
      <c r="EG1021" s="355"/>
      <c r="EH1021" s="1425"/>
      <c r="EI1021" s="1470"/>
      <c r="EJ1021" s="249"/>
      <c r="EK1021" s="221"/>
      <c r="EL1021" s="313"/>
      <c r="EM1021" s="249"/>
      <c r="EN1021" s="221"/>
      <c r="EO1021" s="313"/>
      <c r="EP1021" s="249"/>
      <c r="EQ1021" s="216"/>
      <c r="ER1021" s="313"/>
      <c r="ES1021" s="249"/>
      <c r="ET1021" s="216"/>
      <c r="EU1021" s="313"/>
      <c r="EV1021" s="249"/>
      <c r="EW1021" s="216"/>
      <c r="EX1021" s="2505"/>
      <c r="EY1021" s="249"/>
      <c r="EZ1021" s="221"/>
      <c r="FA1021" s="313"/>
      <c r="FB1021" s="249"/>
      <c r="FC1021" s="221"/>
      <c r="FD1021" s="313"/>
      <c r="FE1021" s="249"/>
      <c r="FF1021" s="221"/>
      <c r="FG1021" s="313"/>
      <c r="FH1021" s="249"/>
      <c r="FI1021" s="216"/>
      <c r="FJ1021" s="1435"/>
      <c r="FK1021" s="216"/>
      <c r="FL1021" s="1268"/>
      <c r="FM1021" s="1655"/>
      <c r="FN1021" s="1268"/>
      <c r="FO1021" s="1655"/>
      <c r="FP1021" s="1268"/>
      <c r="FQ1021" s="1656"/>
      <c r="FR1021" s="249"/>
      <c r="FS1021" s="216"/>
      <c r="FT1021" s="1657"/>
      <c r="FU1021" s="1658"/>
      <c r="FV1021" s="242"/>
      <c r="FW1021" s="343"/>
      <c r="FX1021" s="222"/>
      <c r="FY1021" s="336"/>
      <c r="FZ1021" s="223"/>
      <c r="GA1021" s="338"/>
      <c r="GB1021" s="204"/>
      <c r="GC1021" s="339"/>
      <c r="GD1021" s="342"/>
      <c r="GE1021" s="199"/>
      <c r="GF1021" s="199"/>
      <c r="GG1021" s="199"/>
      <c r="GH1021" s="199"/>
      <c r="GI1021" s="199"/>
      <c r="GJ1021" s="199"/>
      <c r="GK1021" s="199"/>
      <c r="GO1021" s="322"/>
      <c r="GP1021" s="1190"/>
      <c r="GQ1021" s="1190"/>
      <c r="GS1021" s="2879"/>
      <c r="GT1021" s="2880"/>
      <c r="GU1021" s="2881"/>
    </row>
    <row r="1022" spans="1:203" ht="12" customHeight="1">
      <c r="A1022" s="1252"/>
      <c r="B1022" s="200"/>
      <c r="C1022" s="486"/>
      <c r="T1022" s="1186"/>
      <c r="U1022" s="233"/>
      <c r="W1022" s="218"/>
      <c r="X1022" s="218"/>
      <c r="Y1022" s="216"/>
      <c r="Z1022" s="216"/>
      <c r="AA1022" s="215"/>
      <c r="AB1022" s="216"/>
      <c r="AC1022" s="216"/>
      <c r="AD1022" s="239"/>
      <c r="AE1022" s="216"/>
      <c r="AF1022" s="216"/>
      <c r="AG1022" s="216"/>
      <c r="AH1022" s="216"/>
      <c r="AI1022" s="216"/>
      <c r="AJ1022" s="216"/>
      <c r="AK1022" s="239"/>
      <c r="AL1022" s="216"/>
      <c r="AM1022" s="216"/>
      <c r="AN1022" s="216"/>
      <c r="AO1022" s="216"/>
      <c r="AP1022" s="216"/>
      <c r="AQ1022" s="216"/>
      <c r="AR1022" s="216"/>
      <c r="AS1022" s="216"/>
      <c r="AT1022" s="216"/>
      <c r="AU1022" s="216"/>
      <c r="AV1022" s="217"/>
      <c r="AW1022" s="355"/>
      <c r="AX1022" s="217"/>
      <c r="AY1022" s="305"/>
      <c r="AZ1022" s="249"/>
      <c r="BA1022" s="221"/>
      <c r="BB1022" s="300"/>
      <c r="BC1022" s="217"/>
      <c r="BD1022" s="392"/>
      <c r="BE1022" s="1244"/>
      <c r="BF1022" s="249"/>
      <c r="BG1022" s="252"/>
      <c r="BH1022" s="1469"/>
      <c r="BI1022" s="216"/>
      <c r="BJ1022" s="1469"/>
      <c r="BK1022" s="1459"/>
      <c r="BL1022" s="260"/>
      <c r="BM1022" s="214"/>
      <c r="BN1022" s="293"/>
      <c r="BO1022" s="217"/>
      <c r="BP1022" s="355"/>
      <c r="BQ1022" s="217"/>
      <c r="BR1022" s="1193"/>
      <c r="BS1022" s="249"/>
      <c r="BT1022" s="216"/>
      <c r="BU1022" s="1195"/>
      <c r="BV1022" s="249"/>
      <c r="BW1022" s="216"/>
      <c r="BX1022" s="1195"/>
      <c r="BY1022" s="249"/>
      <c r="BZ1022" s="216"/>
      <c r="CA1022" s="1195"/>
      <c r="CB1022" s="249"/>
      <c r="CC1022" s="216"/>
      <c r="CD1022" s="1195"/>
      <c r="CE1022" s="249"/>
      <c r="CF1022" s="216"/>
      <c r="CG1022" s="1195"/>
      <c r="CH1022" s="249"/>
      <c r="CI1022" s="216"/>
      <c r="CJ1022" s="1195"/>
      <c r="CK1022" s="249"/>
      <c r="CL1022" s="216"/>
      <c r="CM1022" s="1194"/>
      <c r="CN1022" s="1524"/>
      <c r="CO1022" s="217"/>
      <c r="CP1022" s="1193"/>
      <c r="CQ1022" s="293"/>
      <c r="CR1022" s="217"/>
      <c r="CS1022" s="305"/>
      <c r="CT1022" s="249"/>
      <c r="CU1022" s="216"/>
      <c r="CV1022" s="1193"/>
      <c r="CW1022" s="249"/>
      <c r="CX1022" s="216"/>
      <c r="CY1022" s="305"/>
      <c r="CZ1022" s="249"/>
      <c r="DA1022" s="216"/>
      <c r="DB1022" s="307"/>
      <c r="DC1022" s="328"/>
      <c r="DD1022" s="322"/>
      <c r="DE1022" s="305"/>
      <c r="DF1022" s="249"/>
      <c r="DG1022" s="216"/>
      <c r="DH1022" s="305"/>
      <c r="DI1022" s="249"/>
      <c r="DJ1022" s="216"/>
      <c r="DK1022" s="309"/>
      <c r="DL1022" s="293"/>
      <c r="DM1022" s="326"/>
      <c r="DN1022" s="1256"/>
      <c r="DO1022" s="214"/>
      <c r="DP1022" s="1257"/>
      <c r="DQ1022" s="1258"/>
      <c r="DR1022" s="305"/>
      <c r="DS1022" s="249"/>
      <c r="DT1022" s="216"/>
      <c r="DU1022" s="305"/>
      <c r="DV1022" s="2520"/>
      <c r="DW1022" s="2521"/>
      <c r="DX1022" s="305"/>
      <c r="DY1022" s="249"/>
      <c r="DZ1022" s="221"/>
      <c r="EA1022" s="388"/>
      <c r="EB1022" s="249"/>
      <c r="EC1022" s="216"/>
      <c r="ED1022" s="1461"/>
      <c r="EE1022" s="249"/>
      <c r="EF1022" s="216"/>
      <c r="EG1022" s="355"/>
      <c r="EH1022" s="1425"/>
      <c r="EI1022" s="1470"/>
      <c r="EJ1022" s="249"/>
      <c r="EK1022" s="221"/>
      <c r="EL1022" s="313"/>
      <c r="EM1022" s="249"/>
      <c r="EN1022" s="221"/>
      <c r="EO1022" s="313"/>
      <c r="EP1022" s="249"/>
      <c r="EQ1022" s="216"/>
      <c r="ER1022" s="313"/>
      <c r="ES1022" s="249"/>
      <c r="ET1022" s="216"/>
      <c r="EU1022" s="313"/>
      <c r="EV1022" s="249"/>
      <c r="EW1022" s="216"/>
      <c r="EX1022" s="2505"/>
      <c r="EY1022" s="249"/>
      <c r="EZ1022" s="221"/>
      <c r="FA1022" s="313"/>
      <c r="FB1022" s="249"/>
      <c r="FC1022" s="221"/>
      <c r="FD1022" s="313"/>
      <c r="FE1022" s="249"/>
      <c r="FF1022" s="221"/>
      <c r="FG1022" s="313"/>
      <c r="FH1022" s="249"/>
      <c r="FI1022" s="216"/>
      <c r="FJ1022" s="1435"/>
      <c r="FK1022" s="216"/>
      <c r="FL1022" s="1268"/>
      <c r="FM1022" s="1655"/>
      <c r="FN1022" s="1268"/>
      <c r="FO1022" s="1655"/>
      <c r="FP1022" s="1268"/>
      <c r="FQ1022" s="1656"/>
      <c r="FR1022" s="249"/>
      <c r="FS1022" s="216"/>
      <c r="FT1022" s="1657"/>
      <c r="FU1022" s="1658"/>
      <c r="FV1022" s="242"/>
      <c r="FW1022" s="343"/>
      <c r="FX1022" s="222"/>
      <c r="FY1022" s="336"/>
      <c r="FZ1022" s="223"/>
      <c r="GA1022" s="338"/>
      <c r="GB1022" s="204"/>
      <c r="GC1022" s="339"/>
      <c r="GD1022" s="342"/>
      <c r="GE1022" s="199"/>
      <c r="GF1022" s="199"/>
      <c r="GG1022" s="199"/>
      <c r="GH1022" s="199"/>
      <c r="GI1022" s="199"/>
      <c r="GJ1022" s="199"/>
      <c r="GK1022" s="199"/>
      <c r="GO1022" s="322"/>
      <c r="GP1022" s="1190"/>
      <c r="GQ1022" s="1190"/>
      <c r="GS1022" s="2879"/>
      <c r="GT1022" s="2880"/>
      <c r="GU1022" s="2881"/>
    </row>
    <row r="1023" spans="1:203" ht="12" customHeight="1">
      <c r="A1023" s="1252"/>
      <c r="B1023" s="200"/>
      <c r="C1023" s="486"/>
      <c r="T1023" s="1186"/>
      <c r="U1023" s="233"/>
      <c r="W1023" s="218"/>
      <c r="X1023" s="218"/>
      <c r="Y1023" s="216"/>
      <c r="Z1023" s="216"/>
      <c r="AA1023" s="215"/>
      <c r="AB1023" s="216"/>
      <c r="AC1023" s="216"/>
      <c r="AD1023" s="239"/>
      <c r="AE1023" s="216"/>
      <c r="AF1023" s="216"/>
      <c r="AG1023" s="216"/>
      <c r="AH1023" s="216"/>
      <c r="AI1023" s="216"/>
      <c r="AJ1023" s="216"/>
      <c r="AK1023" s="239"/>
      <c r="AL1023" s="216"/>
      <c r="AM1023" s="216"/>
      <c r="AN1023" s="216"/>
      <c r="AO1023" s="216"/>
      <c r="AP1023" s="216"/>
      <c r="AQ1023" s="216"/>
      <c r="AR1023" s="216"/>
      <c r="AS1023" s="216"/>
      <c r="AT1023" s="216"/>
      <c r="AU1023" s="216"/>
      <c r="AV1023" s="217"/>
      <c r="AW1023" s="355"/>
      <c r="AX1023" s="217"/>
      <c r="AY1023" s="305"/>
      <c r="AZ1023" s="249"/>
      <c r="BA1023" s="221"/>
      <c r="BB1023" s="300"/>
      <c r="BC1023" s="217"/>
      <c r="BD1023" s="392"/>
      <c r="BE1023" s="1244"/>
      <c r="BF1023" s="249"/>
      <c r="BG1023" s="252"/>
      <c r="BH1023" s="1469"/>
      <c r="BI1023" s="216"/>
      <c r="BJ1023" s="1469"/>
      <c r="BK1023" s="1459"/>
      <c r="BL1023" s="260"/>
      <c r="BM1023" s="214"/>
      <c r="BN1023" s="293"/>
      <c r="BO1023" s="217"/>
      <c r="BP1023" s="355"/>
      <c r="BQ1023" s="217"/>
      <c r="BR1023" s="1193"/>
      <c r="BS1023" s="249"/>
      <c r="BT1023" s="216"/>
      <c r="BU1023" s="1195"/>
      <c r="BV1023" s="249"/>
      <c r="BW1023" s="216"/>
      <c r="BX1023" s="1195"/>
      <c r="BY1023" s="249"/>
      <c r="BZ1023" s="216"/>
      <c r="CA1023" s="1195"/>
      <c r="CB1023" s="249"/>
      <c r="CC1023" s="216"/>
      <c r="CD1023" s="1195"/>
      <c r="CE1023" s="249"/>
      <c r="CF1023" s="216"/>
      <c r="CG1023" s="1195"/>
      <c r="CH1023" s="249"/>
      <c r="CI1023" s="216"/>
      <c r="CJ1023" s="1195"/>
      <c r="CK1023" s="249"/>
      <c r="CL1023" s="216"/>
      <c r="CM1023" s="1194"/>
      <c r="CN1023" s="1524"/>
      <c r="CO1023" s="217"/>
      <c r="CP1023" s="1193"/>
      <c r="CQ1023" s="293"/>
      <c r="CR1023" s="217"/>
      <c r="CS1023" s="305"/>
      <c r="CT1023" s="249"/>
      <c r="CU1023" s="216"/>
      <c r="CV1023" s="1193"/>
      <c r="CW1023" s="249"/>
      <c r="CX1023" s="216"/>
      <c r="CY1023" s="305"/>
      <c r="CZ1023" s="249"/>
      <c r="DA1023" s="216"/>
      <c r="DB1023" s="307"/>
      <c r="DC1023" s="328"/>
      <c r="DD1023" s="322"/>
      <c r="DE1023" s="305"/>
      <c r="DF1023" s="249"/>
      <c r="DG1023" s="216"/>
      <c r="DH1023" s="305"/>
      <c r="DI1023" s="249"/>
      <c r="DJ1023" s="216"/>
      <c r="DK1023" s="309"/>
      <c r="DL1023" s="293"/>
      <c r="DM1023" s="326"/>
      <c r="DN1023" s="1256"/>
      <c r="DO1023" s="214"/>
      <c r="DP1023" s="1257"/>
      <c r="DQ1023" s="1258"/>
      <c r="DR1023" s="305"/>
      <c r="DS1023" s="249"/>
      <c r="DT1023" s="216"/>
      <c r="DU1023" s="305"/>
      <c r="DV1023" s="2520"/>
      <c r="DW1023" s="2521"/>
      <c r="DX1023" s="305"/>
      <c r="DY1023" s="249"/>
      <c r="DZ1023" s="221"/>
      <c r="EA1023" s="388"/>
      <c r="EB1023" s="249"/>
      <c r="EC1023" s="216"/>
      <c r="ED1023" s="1461"/>
      <c r="EE1023" s="249"/>
      <c r="EF1023" s="216"/>
      <c r="EG1023" s="355"/>
      <c r="EH1023" s="1425"/>
      <c r="EI1023" s="1470"/>
      <c r="EJ1023" s="249"/>
      <c r="EK1023" s="221"/>
      <c r="EL1023" s="313"/>
      <c r="EM1023" s="249"/>
      <c r="EN1023" s="221"/>
      <c r="EO1023" s="313"/>
      <c r="EP1023" s="249"/>
      <c r="EQ1023" s="216"/>
      <c r="ER1023" s="313"/>
      <c r="ES1023" s="249"/>
      <c r="ET1023" s="216"/>
      <c r="EU1023" s="313"/>
      <c r="EV1023" s="249"/>
      <c r="EW1023" s="216"/>
      <c r="EX1023" s="2505"/>
      <c r="EY1023" s="249"/>
      <c r="EZ1023" s="221"/>
      <c r="FA1023" s="313"/>
      <c r="FB1023" s="249"/>
      <c r="FC1023" s="221"/>
      <c r="FD1023" s="313"/>
      <c r="FE1023" s="249"/>
      <c r="FF1023" s="221"/>
      <c r="FG1023" s="313"/>
      <c r="FH1023" s="249"/>
      <c r="FI1023" s="216"/>
      <c r="FJ1023" s="1435"/>
      <c r="FK1023" s="216"/>
      <c r="FL1023" s="1268"/>
      <c r="FM1023" s="1655"/>
      <c r="FN1023" s="1268"/>
      <c r="FO1023" s="1655"/>
      <c r="FP1023" s="1268"/>
      <c r="FQ1023" s="1656"/>
      <c r="FR1023" s="249"/>
      <c r="FS1023" s="216"/>
      <c r="FT1023" s="1657"/>
      <c r="FU1023" s="1658"/>
      <c r="FV1023" s="242"/>
      <c r="FW1023" s="343"/>
      <c r="FX1023" s="222"/>
      <c r="FY1023" s="336"/>
      <c r="FZ1023" s="223"/>
      <c r="GA1023" s="338"/>
      <c r="GB1023" s="204"/>
      <c r="GC1023" s="339"/>
      <c r="GD1023" s="342"/>
      <c r="GE1023" s="199"/>
      <c r="GF1023" s="199"/>
      <c r="GG1023" s="199"/>
      <c r="GH1023" s="199"/>
      <c r="GI1023" s="199"/>
      <c r="GJ1023" s="199"/>
      <c r="GK1023" s="199"/>
      <c r="GO1023" s="322"/>
      <c r="GP1023" s="1190"/>
      <c r="GQ1023" s="1190"/>
      <c r="GS1023" s="2879"/>
      <c r="GT1023" s="2880"/>
      <c r="GU1023" s="2881"/>
    </row>
    <row r="1024" spans="1:203" ht="12" customHeight="1">
      <c r="A1024" s="1252"/>
      <c r="B1024" s="200"/>
      <c r="C1024" s="486"/>
      <c r="T1024" s="1186"/>
      <c r="U1024" s="233"/>
      <c r="W1024" s="218"/>
      <c r="X1024" s="218"/>
      <c r="Y1024" s="216"/>
      <c r="Z1024" s="216"/>
      <c r="AA1024" s="215"/>
      <c r="AB1024" s="216"/>
      <c r="AC1024" s="216"/>
      <c r="AD1024" s="239"/>
      <c r="AE1024" s="216"/>
      <c r="AF1024" s="216"/>
      <c r="AG1024" s="216"/>
      <c r="AH1024" s="216"/>
      <c r="AI1024" s="216"/>
      <c r="AJ1024" s="216"/>
      <c r="AK1024" s="239"/>
      <c r="AL1024" s="216"/>
      <c r="AM1024" s="216"/>
      <c r="AN1024" s="216"/>
      <c r="AO1024" s="216"/>
      <c r="AP1024" s="216"/>
      <c r="AQ1024" s="216"/>
      <c r="AR1024" s="216"/>
      <c r="AS1024" s="216"/>
      <c r="AT1024" s="216"/>
      <c r="AU1024" s="216"/>
      <c r="AV1024" s="217"/>
      <c r="AW1024" s="355"/>
      <c r="AX1024" s="217"/>
      <c r="AY1024" s="305"/>
      <c r="AZ1024" s="249"/>
      <c r="BA1024" s="221"/>
      <c r="BB1024" s="300"/>
      <c r="BC1024" s="217"/>
      <c r="BD1024" s="392"/>
      <c r="BE1024" s="1244"/>
      <c r="BF1024" s="249"/>
      <c r="BG1024" s="252"/>
      <c r="BH1024" s="1469"/>
      <c r="BI1024" s="216"/>
      <c r="BJ1024" s="1469"/>
      <c r="BK1024" s="1459"/>
      <c r="BL1024" s="260"/>
      <c r="BM1024" s="214"/>
      <c r="BN1024" s="293"/>
      <c r="BO1024" s="217"/>
      <c r="BP1024" s="355"/>
      <c r="BQ1024" s="217"/>
      <c r="BR1024" s="1193"/>
      <c r="BS1024" s="249"/>
      <c r="BT1024" s="216"/>
      <c r="BU1024" s="1195"/>
      <c r="BV1024" s="249"/>
      <c r="BW1024" s="216"/>
      <c r="BX1024" s="1195"/>
      <c r="BY1024" s="249"/>
      <c r="BZ1024" s="216"/>
      <c r="CA1024" s="1195"/>
      <c r="CB1024" s="249"/>
      <c r="CC1024" s="216"/>
      <c r="CD1024" s="1195"/>
      <c r="CE1024" s="249"/>
      <c r="CF1024" s="216"/>
      <c r="CG1024" s="1195"/>
      <c r="CH1024" s="249"/>
      <c r="CI1024" s="216"/>
      <c r="CJ1024" s="1195"/>
      <c r="CK1024" s="249"/>
      <c r="CL1024" s="216"/>
      <c r="CM1024" s="1194"/>
      <c r="CN1024" s="1524"/>
      <c r="CO1024" s="217"/>
      <c r="CP1024" s="1193"/>
      <c r="CQ1024" s="293"/>
      <c r="CR1024" s="217"/>
      <c r="CS1024" s="305"/>
      <c r="CT1024" s="249"/>
      <c r="CU1024" s="216"/>
      <c r="CV1024" s="1193"/>
      <c r="CW1024" s="249"/>
      <c r="CX1024" s="216"/>
      <c r="CY1024" s="305"/>
      <c r="CZ1024" s="249"/>
      <c r="DA1024" s="216"/>
      <c r="DB1024" s="307"/>
      <c r="DC1024" s="328"/>
      <c r="DD1024" s="322"/>
      <c r="DE1024" s="305"/>
      <c r="DF1024" s="249"/>
      <c r="DG1024" s="216"/>
      <c r="DH1024" s="305"/>
      <c r="DI1024" s="249"/>
      <c r="DJ1024" s="216"/>
      <c r="DK1024" s="309"/>
      <c r="DL1024" s="293"/>
      <c r="DM1024" s="326"/>
      <c r="DN1024" s="1256"/>
      <c r="DO1024" s="214"/>
      <c r="DP1024" s="1257"/>
      <c r="DQ1024" s="1258"/>
      <c r="DR1024" s="305"/>
      <c r="DS1024" s="249"/>
      <c r="DT1024" s="216"/>
      <c r="DU1024" s="305"/>
      <c r="DV1024" s="2520"/>
      <c r="DW1024" s="2521"/>
      <c r="DX1024" s="305"/>
      <c r="DY1024" s="249"/>
      <c r="DZ1024" s="221"/>
      <c r="EA1024" s="388"/>
      <c r="EB1024" s="249"/>
      <c r="EC1024" s="216"/>
      <c r="ED1024" s="1461"/>
      <c r="EE1024" s="249"/>
      <c r="EF1024" s="216"/>
      <c r="EG1024" s="355"/>
      <c r="EH1024" s="1425"/>
      <c r="EI1024" s="1470"/>
      <c r="EJ1024" s="249"/>
      <c r="EK1024" s="221"/>
      <c r="EL1024" s="313"/>
      <c r="EM1024" s="249"/>
      <c r="EN1024" s="221"/>
      <c r="EO1024" s="313"/>
      <c r="EP1024" s="249"/>
      <c r="EQ1024" s="216"/>
      <c r="ER1024" s="313"/>
      <c r="ES1024" s="249"/>
      <c r="ET1024" s="216"/>
      <c r="EU1024" s="313"/>
      <c r="EV1024" s="249"/>
      <c r="EW1024" s="216"/>
      <c r="EX1024" s="2505"/>
      <c r="EY1024" s="249"/>
      <c r="EZ1024" s="221"/>
      <c r="FA1024" s="313"/>
      <c r="FB1024" s="249"/>
      <c r="FC1024" s="221"/>
      <c r="FD1024" s="313"/>
      <c r="FE1024" s="249"/>
      <c r="FF1024" s="221"/>
      <c r="FG1024" s="313"/>
      <c r="FH1024" s="249"/>
      <c r="FI1024" s="216"/>
      <c r="FJ1024" s="1435"/>
      <c r="FK1024" s="216"/>
      <c r="FL1024" s="1268"/>
      <c r="FM1024" s="1655"/>
      <c r="FN1024" s="1268"/>
      <c r="FO1024" s="1655"/>
      <c r="FP1024" s="1268"/>
      <c r="FQ1024" s="1656"/>
      <c r="FR1024" s="249"/>
      <c r="FS1024" s="216"/>
      <c r="FT1024" s="1657"/>
      <c r="FU1024" s="1658"/>
      <c r="FV1024" s="242"/>
      <c r="FW1024" s="343"/>
      <c r="FX1024" s="222"/>
      <c r="FY1024" s="336"/>
      <c r="FZ1024" s="223"/>
      <c r="GA1024" s="338"/>
      <c r="GB1024" s="204"/>
      <c r="GC1024" s="339"/>
      <c r="GD1024" s="342"/>
      <c r="GE1024" s="199"/>
      <c r="GF1024" s="199"/>
      <c r="GG1024" s="199"/>
      <c r="GH1024" s="199"/>
      <c r="GI1024" s="199"/>
      <c r="GJ1024" s="199"/>
      <c r="GK1024" s="199"/>
      <c r="GO1024" s="322"/>
      <c r="GP1024" s="1190"/>
      <c r="GQ1024" s="1190"/>
      <c r="GS1024" s="2879"/>
      <c r="GT1024" s="2880"/>
      <c r="GU1024" s="2881"/>
    </row>
    <row r="1025" spans="1:203" ht="12" customHeight="1">
      <c r="A1025" s="1252"/>
      <c r="B1025" s="200"/>
      <c r="C1025" s="486"/>
      <c r="T1025" s="1186"/>
      <c r="U1025" s="233"/>
      <c r="W1025" s="218"/>
      <c r="X1025" s="218"/>
      <c r="Y1025" s="216"/>
      <c r="Z1025" s="216"/>
      <c r="AA1025" s="215"/>
      <c r="AB1025" s="216"/>
      <c r="AC1025" s="216"/>
      <c r="AD1025" s="239"/>
      <c r="AE1025" s="216"/>
      <c r="AF1025" s="216"/>
      <c r="AG1025" s="216"/>
      <c r="AH1025" s="216"/>
      <c r="AI1025" s="216"/>
      <c r="AJ1025" s="216"/>
      <c r="AK1025" s="239"/>
      <c r="AL1025" s="216"/>
      <c r="AM1025" s="216"/>
      <c r="AN1025" s="216"/>
      <c r="AO1025" s="216"/>
      <c r="AP1025" s="216"/>
      <c r="AQ1025" s="216"/>
      <c r="AR1025" s="216"/>
      <c r="AS1025" s="216"/>
      <c r="AT1025" s="216"/>
      <c r="AU1025" s="216"/>
      <c r="AV1025" s="217"/>
      <c r="AW1025" s="355"/>
      <c r="AX1025" s="217"/>
      <c r="AY1025" s="305"/>
      <c r="AZ1025" s="249"/>
      <c r="BA1025" s="221"/>
      <c r="BB1025" s="300"/>
      <c r="BC1025" s="217"/>
      <c r="BD1025" s="392"/>
      <c r="BE1025" s="1244"/>
      <c r="BF1025" s="249"/>
      <c r="BG1025" s="252"/>
      <c r="BH1025" s="1469"/>
      <c r="BI1025" s="216"/>
      <c r="BJ1025" s="1469"/>
      <c r="BK1025" s="1459"/>
      <c r="BL1025" s="260"/>
      <c r="BM1025" s="214"/>
      <c r="BN1025" s="293"/>
      <c r="BO1025" s="217"/>
      <c r="BP1025" s="355"/>
      <c r="BQ1025" s="217"/>
      <c r="BR1025" s="1193"/>
      <c r="BS1025" s="249"/>
      <c r="BT1025" s="216"/>
      <c r="BU1025" s="1195"/>
      <c r="BV1025" s="249"/>
      <c r="BW1025" s="216"/>
      <c r="BX1025" s="1195"/>
      <c r="BY1025" s="249"/>
      <c r="BZ1025" s="216"/>
      <c r="CA1025" s="1195"/>
      <c r="CB1025" s="249"/>
      <c r="CC1025" s="216"/>
      <c r="CD1025" s="1195"/>
      <c r="CE1025" s="249"/>
      <c r="CF1025" s="216"/>
      <c r="CG1025" s="1195"/>
      <c r="CH1025" s="249"/>
      <c r="CI1025" s="216"/>
      <c r="CJ1025" s="1195"/>
      <c r="CK1025" s="249"/>
      <c r="CL1025" s="216"/>
      <c r="CM1025" s="1194"/>
      <c r="CN1025" s="1524"/>
      <c r="CO1025" s="217"/>
      <c r="CP1025" s="1193"/>
      <c r="CQ1025" s="293"/>
      <c r="CR1025" s="217"/>
      <c r="CS1025" s="305"/>
      <c r="CT1025" s="249"/>
      <c r="CU1025" s="216"/>
      <c r="CV1025" s="1193"/>
      <c r="CW1025" s="249"/>
      <c r="CX1025" s="216"/>
      <c r="CY1025" s="305"/>
      <c r="CZ1025" s="249"/>
      <c r="DA1025" s="216"/>
      <c r="DB1025" s="307"/>
      <c r="DC1025" s="328"/>
      <c r="DD1025" s="322"/>
      <c r="DE1025" s="305"/>
      <c r="DF1025" s="249"/>
      <c r="DG1025" s="216"/>
      <c r="DH1025" s="305"/>
      <c r="DI1025" s="249"/>
      <c r="DJ1025" s="216"/>
      <c r="DK1025" s="309"/>
      <c r="DL1025" s="293"/>
      <c r="DM1025" s="326"/>
      <c r="DN1025" s="1256"/>
      <c r="DO1025" s="214"/>
      <c r="DP1025" s="1257"/>
      <c r="DQ1025" s="1258"/>
      <c r="DR1025" s="305"/>
      <c r="DS1025" s="249"/>
      <c r="DT1025" s="216"/>
      <c r="DU1025" s="305"/>
      <c r="DV1025" s="2520"/>
      <c r="DW1025" s="2521"/>
      <c r="DX1025" s="305"/>
      <c r="DY1025" s="249"/>
      <c r="DZ1025" s="221"/>
      <c r="EA1025" s="388"/>
      <c r="EB1025" s="249"/>
      <c r="EC1025" s="216"/>
      <c r="ED1025" s="1461"/>
      <c r="EE1025" s="249"/>
      <c r="EF1025" s="216"/>
      <c r="EG1025" s="355"/>
      <c r="EH1025" s="1425"/>
      <c r="EI1025" s="1470"/>
      <c r="EJ1025" s="249"/>
      <c r="EK1025" s="221"/>
      <c r="EL1025" s="313"/>
      <c r="EM1025" s="249"/>
      <c r="EN1025" s="221"/>
      <c r="EO1025" s="313"/>
      <c r="EP1025" s="249"/>
      <c r="EQ1025" s="216"/>
      <c r="ER1025" s="313"/>
      <c r="ES1025" s="249"/>
      <c r="ET1025" s="216"/>
      <c r="EU1025" s="313"/>
      <c r="EV1025" s="249"/>
      <c r="EW1025" s="216"/>
      <c r="EX1025" s="2505"/>
      <c r="EY1025" s="249"/>
      <c r="EZ1025" s="221"/>
      <c r="FA1025" s="313"/>
      <c r="FB1025" s="249"/>
      <c r="FC1025" s="221"/>
      <c r="FD1025" s="313"/>
      <c r="FE1025" s="249"/>
      <c r="FF1025" s="221"/>
      <c r="FG1025" s="313"/>
      <c r="FH1025" s="249"/>
      <c r="FI1025" s="216"/>
      <c r="FJ1025" s="1435"/>
      <c r="FK1025" s="216"/>
      <c r="FL1025" s="1268"/>
      <c r="FM1025" s="1655"/>
      <c r="FN1025" s="1268"/>
      <c r="FO1025" s="1655"/>
      <c r="FP1025" s="1268"/>
      <c r="FQ1025" s="1656"/>
      <c r="FR1025" s="249"/>
      <c r="FS1025" s="216"/>
      <c r="FT1025" s="1657"/>
      <c r="FU1025" s="1658"/>
      <c r="FV1025" s="242"/>
      <c r="FW1025" s="343"/>
      <c r="FX1025" s="222"/>
      <c r="FY1025" s="336"/>
      <c r="FZ1025" s="223"/>
      <c r="GA1025" s="338"/>
      <c r="GB1025" s="204"/>
      <c r="GC1025" s="339"/>
      <c r="GD1025" s="342"/>
      <c r="GE1025" s="199"/>
      <c r="GF1025" s="199"/>
      <c r="GG1025" s="199"/>
      <c r="GH1025" s="199"/>
      <c r="GI1025" s="199"/>
      <c r="GJ1025" s="199"/>
      <c r="GK1025" s="199"/>
      <c r="GO1025" s="322"/>
      <c r="GP1025" s="1190"/>
      <c r="GQ1025" s="1190"/>
      <c r="GS1025" s="2879"/>
      <c r="GT1025" s="2880"/>
      <c r="GU1025" s="2881"/>
    </row>
    <row r="1026" spans="1:203" ht="12" customHeight="1">
      <c r="A1026" s="1252"/>
      <c r="B1026" s="200"/>
      <c r="C1026" s="486"/>
      <c r="T1026" s="1186"/>
      <c r="U1026" s="233"/>
      <c r="W1026" s="218"/>
      <c r="X1026" s="218"/>
      <c r="Y1026" s="216"/>
      <c r="Z1026" s="216"/>
      <c r="AA1026" s="215"/>
      <c r="AB1026" s="216"/>
      <c r="AC1026" s="216"/>
      <c r="AD1026" s="239"/>
      <c r="AE1026" s="216"/>
      <c r="AF1026" s="216"/>
      <c r="AG1026" s="216"/>
      <c r="AH1026" s="216"/>
      <c r="AI1026" s="216"/>
      <c r="AJ1026" s="216"/>
      <c r="AK1026" s="239"/>
      <c r="AL1026" s="216"/>
      <c r="AM1026" s="216"/>
      <c r="AN1026" s="216"/>
      <c r="AO1026" s="216"/>
      <c r="AP1026" s="216"/>
      <c r="AQ1026" s="216"/>
      <c r="AR1026" s="216"/>
      <c r="AS1026" s="216"/>
      <c r="AT1026" s="216"/>
      <c r="AU1026" s="216"/>
      <c r="AV1026" s="217"/>
      <c r="AW1026" s="355"/>
      <c r="AX1026" s="217"/>
      <c r="AY1026" s="305"/>
      <c r="AZ1026" s="249"/>
      <c r="BA1026" s="221"/>
      <c r="BB1026" s="300"/>
      <c r="BC1026" s="217"/>
      <c r="BD1026" s="392"/>
      <c r="BE1026" s="1244"/>
      <c r="BF1026" s="249"/>
      <c r="BG1026" s="252"/>
      <c r="BH1026" s="1469"/>
      <c r="BI1026" s="216"/>
      <c r="BJ1026" s="1469"/>
      <c r="BK1026" s="1459"/>
      <c r="BL1026" s="260"/>
      <c r="BM1026" s="214"/>
      <c r="BN1026" s="293"/>
      <c r="BO1026" s="217"/>
      <c r="BP1026" s="355"/>
      <c r="BQ1026" s="217"/>
      <c r="BR1026" s="1193"/>
      <c r="BS1026" s="249"/>
      <c r="BT1026" s="216"/>
      <c r="BU1026" s="1195"/>
      <c r="BV1026" s="249"/>
      <c r="BW1026" s="216"/>
      <c r="BX1026" s="1195"/>
      <c r="BY1026" s="249"/>
      <c r="BZ1026" s="216"/>
      <c r="CA1026" s="1195"/>
      <c r="CB1026" s="249"/>
      <c r="CC1026" s="216"/>
      <c r="CD1026" s="1195"/>
      <c r="CE1026" s="249"/>
      <c r="CF1026" s="216"/>
      <c r="CG1026" s="1195"/>
      <c r="CH1026" s="249"/>
      <c r="CI1026" s="216"/>
      <c r="CJ1026" s="1195"/>
      <c r="CK1026" s="249"/>
      <c r="CL1026" s="216"/>
      <c r="CM1026" s="1194"/>
      <c r="CN1026" s="1524"/>
      <c r="CO1026" s="217"/>
      <c r="CP1026" s="1193"/>
      <c r="CQ1026" s="293"/>
      <c r="CR1026" s="217"/>
      <c r="CS1026" s="305"/>
      <c r="CT1026" s="249"/>
      <c r="CU1026" s="216"/>
      <c r="CV1026" s="1193"/>
      <c r="CW1026" s="249"/>
      <c r="CX1026" s="216"/>
      <c r="CY1026" s="305"/>
      <c r="CZ1026" s="249"/>
      <c r="DA1026" s="216"/>
      <c r="DB1026" s="307"/>
      <c r="DC1026" s="328"/>
      <c r="DD1026" s="322"/>
      <c r="DE1026" s="305"/>
      <c r="DF1026" s="249"/>
      <c r="DG1026" s="216"/>
      <c r="DH1026" s="305"/>
      <c r="DI1026" s="249"/>
      <c r="DJ1026" s="216"/>
      <c r="DK1026" s="309"/>
      <c r="DL1026" s="293"/>
      <c r="DM1026" s="326"/>
      <c r="DN1026" s="1256"/>
      <c r="DO1026" s="214"/>
      <c r="DP1026" s="1257"/>
      <c r="DQ1026" s="1258"/>
      <c r="DR1026" s="305"/>
      <c r="DS1026" s="249"/>
      <c r="DT1026" s="216"/>
      <c r="DU1026" s="305"/>
      <c r="DV1026" s="2520"/>
      <c r="DW1026" s="2521"/>
      <c r="DX1026" s="305"/>
      <c r="DY1026" s="249"/>
      <c r="DZ1026" s="221"/>
      <c r="EA1026" s="388"/>
      <c r="EB1026" s="249"/>
      <c r="EC1026" s="216"/>
      <c r="ED1026" s="1461"/>
      <c r="EE1026" s="249"/>
      <c r="EF1026" s="216"/>
      <c r="EG1026" s="355"/>
      <c r="EH1026" s="1425"/>
      <c r="EI1026" s="1470"/>
      <c r="EJ1026" s="249"/>
      <c r="EK1026" s="221"/>
      <c r="EL1026" s="313"/>
      <c r="EM1026" s="249"/>
      <c r="EN1026" s="221"/>
      <c r="EO1026" s="313"/>
      <c r="EP1026" s="249"/>
      <c r="EQ1026" s="216"/>
      <c r="ER1026" s="313"/>
      <c r="ES1026" s="249"/>
      <c r="ET1026" s="216"/>
      <c r="EU1026" s="313"/>
      <c r="EV1026" s="249"/>
      <c r="EW1026" s="216"/>
      <c r="EX1026" s="2505"/>
      <c r="EY1026" s="249"/>
      <c r="EZ1026" s="221"/>
      <c r="FA1026" s="313"/>
      <c r="FB1026" s="249"/>
      <c r="FC1026" s="221"/>
      <c r="FD1026" s="313"/>
      <c r="FE1026" s="249"/>
      <c r="FF1026" s="221"/>
      <c r="FG1026" s="313"/>
      <c r="FH1026" s="249"/>
      <c r="FI1026" s="216"/>
      <c r="FJ1026" s="1435"/>
      <c r="FK1026" s="216"/>
      <c r="FL1026" s="1268"/>
      <c r="FM1026" s="1655"/>
      <c r="FN1026" s="1268"/>
      <c r="FO1026" s="1655"/>
      <c r="FP1026" s="1268"/>
      <c r="FQ1026" s="1656"/>
      <c r="FR1026" s="249"/>
      <c r="FS1026" s="216"/>
      <c r="FT1026" s="1657"/>
      <c r="FU1026" s="1658"/>
      <c r="FV1026" s="242"/>
      <c r="FW1026" s="343"/>
      <c r="FX1026" s="222"/>
      <c r="FY1026" s="336"/>
      <c r="FZ1026" s="223"/>
      <c r="GA1026" s="338"/>
      <c r="GB1026" s="204"/>
      <c r="GC1026" s="339"/>
      <c r="GD1026" s="342"/>
      <c r="GE1026" s="199"/>
      <c r="GF1026" s="199"/>
      <c r="GG1026" s="199"/>
      <c r="GH1026" s="199"/>
      <c r="GI1026" s="199"/>
      <c r="GJ1026" s="199"/>
      <c r="GK1026" s="199"/>
      <c r="GO1026" s="322"/>
      <c r="GP1026" s="1190"/>
      <c r="GQ1026" s="1190"/>
      <c r="GS1026" s="2879"/>
      <c r="GT1026" s="2880"/>
      <c r="GU1026" s="2881"/>
    </row>
    <row r="1027" spans="1:203" ht="12" customHeight="1">
      <c r="A1027" s="1252"/>
      <c r="B1027" s="200"/>
      <c r="C1027" s="486"/>
      <c r="T1027" s="1186"/>
      <c r="U1027" s="233"/>
      <c r="W1027" s="218"/>
      <c r="X1027" s="218"/>
      <c r="Y1027" s="216"/>
      <c r="Z1027" s="216"/>
      <c r="AA1027" s="215"/>
      <c r="AB1027" s="216"/>
      <c r="AC1027" s="216"/>
      <c r="AD1027" s="239"/>
      <c r="AE1027" s="216"/>
      <c r="AF1027" s="216"/>
      <c r="AG1027" s="216"/>
      <c r="AH1027" s="216"/>
      <c r="AI1027" s="216"/>
      <c r="AJ1027" s="216"/>
      <c r="AK1027" s="239"/>
      <c r="AL1027" s="216"/>
      <c r="AM1027" s="216"/>
      <c r="AN1027" s="216"/>
      <c r="AO1027" s="216"/>
      <c r="AP1027" s="216"/>
      <c r="AQ1027" s="216"/>
      <c r="AR1027" s="216"/>
      <c r="AS1027" s="216"/>
      <c r="AT1027" s="216"/>
      <c r="AU1027" s="216"/>
      <c r="AV1027" s="217"/>
      <c r="AW1027" s="355"/>
      <c r="AX1027" s="217"/>
      <c r="AY1027" s="305"/>
      <c r="AZ1027" s="249"/>
      <c r="BA1027" s="221"/>
      <c r="BB1027" s="300"/>
      <c r="BC1027" s="217"/>
      <c r="BD1027" s="392"/>
      <c r="BE1027" s="1244"/>
      <c r="BF1027" s="249"/>
      <c r="BG1027" s="252"/>
      <c r="BH1027" s="1469"/>
      <c r="BI1027" s="216"/>
      <c r="BJ1027" s="1469"/>
      <c r="BK1027" s="1459"/>
      <c r="BL1027" s="260"/>
      <c r="BM1027" s="214"/>
      <c r="BN1027" s="293"/>
      <c r="BO1027" s="217"/>
      <c r="BP1027" s="355"/>
      <c r="BQ1027" s="217"/>
      <c r="BR1027" s="1193"/>
      <c r="BS1027" s="249"/>
      <c r="BT1027" s="216"/>
      <c r="BU1027" s="1195"/>
      <c r="BV1027" s="249"/>
      <c r="BW1027" s="216"/>
      <c r="BX1027" s="1195"/>
      <c r="BY1027" s="249"/>
      <c r="BZ1027" s="216"/>
      <c r="CA1027" s="1195"/>
      <c r="CB1027" s="249"/>
      <c r="CC1027" s="216"/>
      <c r="CD1027" s="1195"/>
      <c r="CE1027" s="249"/>
      <c r="CF1027" s="216"/>
      <c r="CG1027" s="1195"/>
      <c r="CH1027" s="249"/>
      <c r="CI1027" s="216"/>
      <c r="CJ1027" s="1195"/>
      <c r="CK1027" s="249"/>
      <c r="CL1027" s="216"/>
      <c r="CM1027" s="1194"/>
      <c r="CN1027" s="1524"/>
      <c r="CO1027" s="217"/>
      <c r="CP1027" s="1193"/>
      <c r="CQ1027" s="293"/>
      <c r="CR1027" s="217"/>
      <c r="CS1027" s="305"/>
      <c r="CT1027" s="249"/>
      <c r="CU1027" s="216"/>
      <c r="CV1027" s="1193"/>
      <c r="CW1027" s="249"/>
      <c r="CX1027" s="216"/>
      <c r="CY1027" s="305"/>
      <c r="CZ1027" s="249"/>
      <c r="DA1027" s="216"/>
      <c r="DB1027" s="307"/>
      <c r="DC1027" s="328"/>
      <c r="DD1027" s="322"/>
      <c r="DE1027" s="305"/>
      <c r="DF1027" s="249"/>
      <c r="DG1027" s="216"/>
      <c r="DH1027" s="305"/>
      <c r="DI1027" s="249"/>
      <c r="DJ1027" s="216"/>
      <c r="DK1027" s="309"/>
      <c r="DL1027" s="293"/>
      <c r="DM1027" s="326"/>
      <c r="DN1027" s="1256"/>
      <c r="DO1027" s="214"/>
      <c r="DP1027" s="1257"/>
      <c r="DQ1027" s="1258"/>
      <c r="DR1027" s="305"/>
      <c r="DS1027" s="249"/>
      <c r="DT1027" s="216"/>
      <c r="DU1027" s="305"/>
      <c r="DV1027" s="2520"/>
      <c r="DW1027" s="2521"/>
      <c r="DX1027" s="305"/>
      <c r="DY1027" s="249"/>
      <c r="DZ1027" s="221"/>
      <c r="EA1027" s="388"/>
      <c r="EB1027" s="249"/>
      <c r="EC1027" s="216"/>
      <c r="ED1027" s="1461"/>
      <c r="EE1027" s="249"/>
      <c r="EF1027" s="216"/>
      <c r="EG1027" s="355"/>
      <c r="EH1027" s="1425"/>
      <c r="EI1027" s="1470"/>
      <c r="EJ1027" s="249"/>
      <c r="EK1027" s="221"/>
      <c r="EL1027" s="313"/>
      <c r="EM1027" s="249"/>
      <c r="EN1027" s="221"/>
      <c r="EO1027" s="313"/>
      <c r="EP1027" s="249"/>
      <c r="EQ1027" s="216"/>
      <c r="ER1027" s="313"/>
      <c r="ES1027" s="249"/>
      <c r="ET1027" s="216"/>
      <c r="EU1027" s="313"/>
      <c r="EV1027" s="249"/>
      <c r="EW1027" s="216"/>
      <c r="EX1027" s="2505"/>
      <c r="EY1027" s="249"/>
      <c r="EZ1027" s="221"/>
      <c r="FA1027" s="313"/>
      <c r="FB1027" s="249"/>
      <c r="FC1027" s="221"/>
      <c r="FD1027" s="313"/>
      <c r="FE1027" s="249"/>
      <c r="FF1027" s="221"/>
      <c r="FG1027" s="313"/>
      <c r="FH1027" s="249"/>
      <c r="FI1027" s="216"/>
      <c r="FJ1027" s="1435"/>
      <c r="FK1027" s="216"/>
      <c r="FL1027" s="1268"/>
      <c r="FM1027" s="1655"/>
      <c r="FN1027" s="1268"/>
      <c r="FO1027" s="1655"/>
      <c r="FP1027" s="1268"/>
      <c r="FQ1027" s="1656"/>
      <c r="FR1027" s="249"/>
      <c r="FS1027" s="216"/>
      <c r="FT1027" s="1657"/>
      <c r="FU1027" s="1658"/>
      <c r="FV1027" s="242"/>
      <c r="FW1027" s="343"/>
      <c r="FX1027" s="222"/>
      <c r="FY1027" s="336"/>
      <c r="FZ1027" s="223"/>
      <c r="GA1027" s="338"/>
      <c r="GB1027" s="204"/>
      <c r="GC1027" s="339"/>
      <c r="GD1027" s="342"/>
      <c r="GE1027" s="199"/>
      <c r="GF1027" s="199"/>
      <c r="GG1027" s="199"/>
      <c r="GH1027" s="199"/>
      <c r="GI1027" s="199"/>
      <c r="GJ1027" s="199"/>
      <c r="GK1027" s="199"/>
      <c r="GO1027" s="322"/>
      <c r="GP1027" s="1190"/>
      <c r="GQ1027" s="1190"/>
      <c r="GS1027" s="2879"/>
      <c r="GT1027" s="2880"/>
      <c r="GU1027" s="2881"/>
    </row>
    <row r="1028" spans="1:203" ht="12" customHeight="1">
      <c r="A1028" s="1252"/>
      <c r="B1028" s="200"/>
      <c r="C1028" s="486"/>
      <c r="T1028" s="1186"/>
      <c r="U1028" s="233"/>
      <c r="W1028" s="218"/>
      <c r="X1028" s="218"/>
      <c r="Y1028" s="216"/>
      <c r="Z1028" s="216"/>
      <c r="AA1028" s="215"/>
      <c r="AB1028" s="216"/>
      <c r="AC1028" s="216"/>
      <c r="AD1028" s="239"/>
      <c r="AE1028" s="216"/>
      <c r="AF1028" s="216"/>
      <c r="AG1028" s="216"/>
      <c r="AH1028" s="216"/>
      <c r="AI1028" s="216"/>
      <c r="AJ1028" s="216"/>
      <c r="AK1028" s="239"/>
      <c r="AL1028" s="216"/>
      <c r="AM1028" s="216"/>
      <c r="AN1028" s="216"/>
      <c r="AO1028" s="216"/>
      <c r="AP1028" s="216"/>
      <c r="AQ1028" s="216"/>
      <c r="AR1028" s="216"/>
      <c r="AS1028" s="216"/>
      <c r="AT1028" s="216"/>
      <c r="AU1028" s="216"/>
      <c r="AV1028" s="217"/>
      <c r="AW1028" s="355"/>
      <c r="AX1028" s="217"/>
      <c r="AY1028" s="305"/>
      <c r="AZ1028" s="249"/>
      <c r="BA1028" s="221"/>
      <c r="BB1028" s="300"/>
      <c r="BC1028" s="217"/>
      <c r="BD1028" s="392"/>
      <c r="BE1028" s="1244"/>
      <c r="BF1028" s="249"/>
      <c r="BG1028" s="252"/>
      <c r="BH1028" s="1469"/>
      <c r="BI1028" s="216"/>
      <c r="BJ1028" s="1469"/>
      <c r="BK1028" s="1459"/>
      <c r="BL1028" s="260"/>
      <c r="BM1028" s="214"/>
      <c r="BN1028" s="293"/>
      <c r="BO1028" s="217"/>
      <c r="BP1028" s="355"/>
      <c r="BQ1028" s="217"/>
      <c r="BR1028" s="1193"/>
      <c r="BS1028" s="249"/>
      <c r="BT1028" s="216"/>
      <c r="BU1028" s="1195"/>
      <c r="BV1028" s="249"/>
      <c r="BW1028" s="216"/>
      <c r="BX1028" s="1195"/>
      <c r="BY1028" s="249"/>
      <c r="BZ1028" s="216"/>
      <c r="CA1028" s="1195"/>
      <c r="CB1028" s="249"/>
      <c r="CC1028" s="216"/>
      <c r="CD1028" s="1195"/>
      <c r="CE1028" s="249"/>
      <c r="CF1028" s="216"/>
      <c r="CG1028" s="1195"/>
      <c r="CH1028" s="249"/>
      <c r="CI1028" s="216"/>
      <c r="CJ1028" s="1195"/>
      <c r="CK1028" s="249"/>
      <c r="CL1028" s="216"/>
      <c r="CM1028" s="1194"/>
      <c r="CN1028" s="1524"/>
      <c r="CO1028" s="217"/>
      <c r="CP1028" s="1193"/>
      <c r="CQ1028" s="293"/>
      <c r="CR1028" s="217"/>
      <c r="CS1028" s="305"/>
      <c r="CT1028" s="249"/>
      <c r="CU1028" s="216"/>
      <c r="CV1028" s="1193"/>
      <c r="CW1028" s="249"/>
      <c r="CX1028" s="216"/>
      <c r="CY1028" s="305"/>
      <c r="CZ1028" s="249"/>
      <c r="DA1028" s="216"/>
      <c r="DB1028" s="307"/>
      <c r="DC1028" s="328"/>
      <c r="DD1028" s="322"/>
      <c r="DE1028" s="305"/>
      <c r="DF1028" s="249"/>
      <c r="DG1028" s="216"/>
      <c r="DH1028" s="305"/>
      <c r="DI1028" s="249"/>
      <c r="DJ1028" s="216"/>
      <c r="DK1028" s="309"/>
      <c r="DL1028" s="293"/>
      <c r="DM1028" s="326"/>
      <c r="DN1028" s="1256"/>
      <c r="DO1028" s="214"/>
      <c r="DP1028" s="1257"/>
      <c r="DQ1028" s="1258"/>
      <c r="DR1028" s="305"/>
      <c r="DS1028" s="249"/>
      <c r="DT1028" s="216"/>
      <c r="DU1028" s="305"/>
      <c r="DV1028" s="2520"/>
      <c r="DW1028" s="2521"/>
      <c r="DX1028" s="305"/>
      <c r="DY1028" s="249"/>
      <c r="DZ1028" s="221"/>
      <c r="EA1028" s="388"/>
      <c r="EB1028" s="249"/>
      <c r="EC1028" s="216"/>
      <c r="ED1028" s="1461"/>
      <c r="EE1028" s="249"/>
      <c r="EF1028" s="216"/>
      <c r="EG1028" s="355"/>
      <c r="EH1028" s="1425"/>
      <c r="EI1028" s="1470"/>
      <c r="EJ1028" s="249"/>
      <c r="EK1028" s="221"/>
      <c r="EL1028" s="313"/>
      <c r="EM1028" s="249"/>
      <c r="EN1028" s="221"/>
      <c r="EO1028" s="313"/>
      <c r="EP1028" s="249"/>
      <c r="EQ1028" s="216"/>
      <c r="ER1028" s="313"/>
      <c r="ES1028" s="249"/>
      <c r="ET1028" s="216"/>
      <c r="EU1028" s="313"/>
      <c r="EV1028" s="249"/>
      <c r="EW1028" s="216"/>
      <c r="EX1028" s="2505"/>
      <c r="EY1028" s="249"/>
      <c r="EZ1028" s="221"/>
      <c r="FA1028" s="313"/>
      <c r="FB1028" s="249"/>
      <c r="FC1028" s="221"/>
      <c r="FD1028" s="313"/>
      <c r="FE1028" s="249"/>
      <c r="FF1028" s="221"/>
      <c r="FG1028" s="313"/>
      <c r="FH1028" s="249"/>
      <c r="FI1028" s="216"/>
      <c r="FJ1028" s="1435"/>
      <c r="FK1028" s="216"/>
      <c r="FL1028" s="1268"/>
      <c r="FM1028" s="1655"/>
      <c r="FN1028" s="1268"/>
      <c r="FO1028" s="1655"/>
      <c r="FP1028" s="1268"/>
      <c r="FQ1028" s="1656"/>
      <c r="FR1028" s="249"/>
      <c r="FS1028" s="216"/>
      <c r="FT1028" s="1657"/>
      <c r="FU1028" s="1658"/>
      <c r="FV1028" s="242"/>
      <c r="FW1028" s="343"/>
      <c r="FX1028" s="222"/>
      <c r="FY1028" s="336"/>
      <c r="FZ1028" s="223"/>
      <c r="GA1028" s="338"/>
      <c r="GB1028" s="204"/>
      <c r="GC1028" s="339"/>
      <c r="GD1028" s="342"/>
      <c r="GE1028" s="199"/>
      <c r="GF1028" s="199"/>
      <c r="GG1028" s="199"/>
      <c r="GH1028" s="199"/>
      <c r="GI1028" s="199"/>
      <c r="GJ1028" s="199"/>
      <c r="GK1028" s="199"/>
      <c r="GO1028" s="322"/>
      <c r="GP1028" s="1190"/>
      <c r="GQ1028" s="1190"/>
      <c r="GS1028" s="2879"/>
      <c r="GT1028" s="2880"/>
      <c r="GU1028" s="2881"/>
    </row>
    <row r="1029" spans="1:203" ht="12" customHeight="1">
      <c r="A1029" s="1252"/>
      <c r="B1029" s="200"/>
      <c r="C1029" s="486"/>
      <c r="T1029" s="1186"/>
      <c r="U1029" s="233"/>
      <c r="W1029" s="218"/>
      <c r="X1029" s="218"/>
      <c r="Y1029" s="216"/>
      <c r="Z1029" s="216"/>
      <c r="AA1029" s="215"/>
      <c r="AB1029" s="216"/>
      <c r="AC1029" s="216"/>
      <c r="AD1029" s="239"/>
      <c r="AE1029" s="216"/>
      <c r="AF1029" s="216"/>
      <c r="AG1029" s="216"/>
      <c r="AH1029" s="216"/>
      <c r="AI1029" s="216"/>
      <c r="AJ1029" s="216"/>
      <c r="AK1029" s="239"/>
      <c r="AL1029" s="216"/>
      <c r="AM1029" s="216"/>
      <c r="AN1029" s="216"/>
      <c r="AO1029" s="216"/>
      <c r="AP1029" s="216"/>
      <c r="AQ1029" s="216"/>
      <c r="AR1029" s="216"/>
      <c r="AS1029" s="216"/>
      <c r="AT1029" s="216"/>
      <c r="AU1029" s="216"/>
      <c r="AV1029" s="217"/>
      <c r="AW1029" s="355"/>
      <c r="AX1029" s="217"/>
      <c r="AY1029" s="305"/>
      <c r="AZ1029" s="249"/>
      <c r="BA1029" s="221"/>
      <c r="BB1029" s="300"/>
      <c r="BC1029" s="217"/>
      <c r="BD1029" s="392"/>
      <c r="BE1029" s="1244"/>
      <c r="BF1029" s="249"/>
      <c r="BG1029" s="252"/>
      <c r="BH1029" s="1469"/>
      <c r="BI1029" s="216"/>
      <c r="BJ1029" s="1469"/>
      <c r="BK1029" s="1459"/>
      <c r="BL1029" s="260"/>
      <c r="BM1029" s="214"/>
      <c r="BN1029" s="293"/>
      <c r="BO1029" s="217"/>
      <c r="BP1029" s="355"/>
      <c r="BQ1029" s="217"/>
      <c r="BR1029" s="1193"/>
      <c r="BS1029" s="249"/>
      <c r="BT1029" s="216"/>
      <c r="BU1029" s="1195"/>
      <c r="BV1029" s="249"/>
      <c r="BW1029" s="216"/>
      <c r="BX1029" s="1195"/>
      <c r="BY1029" s="249"/>
      <c r="BZ1029" s="216"/>
      <c r="CA1029" s="1195"/>
      <c r="CB1029" s="249"/>
      <c r="CC1029" s="216"/>
      <c r="CD1029" s="1195"/>
      <c r="CE1029" s="249"/>
      <c r="CF1029" s="216"/>
      <c r="CG1029" s="1195"/>
      <c r="CH1029" s="249"/>
      <c r="CI1029" s="216"/>
      <c r="CJ1029" s="1195"/>
      <c r="CK1029" s="249"/>
      <c r="CL1029" s="216"/>
      <c r="CM1029" s="1194"/>
      <c r="CN1029" s="1524"/>
      <c r="CO1029" s="217"/>
      <c r="CP1029" s="1193"/>
      <c r="CQ1029" s="293"/>
      <c r="CR1029" s="217"/>
      <c r="CS1029" s="305"/>
      <c r="CT1029" s="249"/>
      <c r="CU1029" s="216"/>
      <c r="CV1029" s="1193"/>
      <c r="CW1029" s="249"/>
      <c r="CX1029" s="216"/>
      <c r="CY1029" s="305"/>
      <c r="CZ1029" s="249"/>
      <c r="DA1029" s="216"/>
      <c r="DB1029" s="307"/>
      <c r="DC1029" s="328"/>
      <c r="DD1029" s="322"/>
      <c r="DE1029" s="305"/>
      <c r="DF1029" s="249"/>
      <c r="DG1029" s="216"/>
      <c r="DH1029" s="305"/>
      <c r="DI1029" s="249"/>
      <c r="DJ1029" s="216"/>
      <c r="DK1029" s="309"/>
      <c r="DL1029" s="293"/>
      <c r="DM1029" s="326"/>
      <c r="DN1029" s="1256"/>
      <c r="DO1029" s="214"/>
      <c r="DP1029" s="1257"/>
      <c r="DQ1029" s="1258"/>
      <c r="DR1029" s="305"/>
      <c r="DS1029" s="249"/>
      <c r="DT1029" s="216"/>
      <c r="DU1029" s="305"/>
      <c r="DV1029" s="2520"/>
      <c r="DW1029" s="2521"/>
      <c r="DX1029" s="305"/>
      <c r="DY1029" s="249"/>
      <c r="DZ1029" s="221"/>
      <c r="EA1029" s="388"/>
      <c r="EB1029" s="249"/>
      <c r="EC1029" s="216"/>
      <c r="ED1029" s="1461"/>
      <c r="EE1029" s="249"/>
      <c r="EF1029" s="216"/>
      <c r="EG1029" s="355"/>
      <c r="EH1029" s="1425"/>
      <c r="EI1029" s="1470"/>
      <c r="EJ1029" s="249"/>
      <c r="EK1029" s="221"/>
      <c r="EL1029" s="313"/>
      <c r="EM1029" s="249"/>
      <c r="EN1029" s="221"/>
      <c r="EO1029" s="313"/>
      <c r="EP1029" s="249"/>
      <c r="EQ1029" s="216"/>
      <c r="ER1029" s="313"/>
      <c r="ES1029" s="249"/>
      <c r="ET1029" s="216"/>
      <c r="EU1029" s="313"/>
      <c r="EV1029" s="249"/>
      <c r="EW1029" s="216"/>
      <c r="EX1029" s="2505"/>
      <c r="EY1029" s="249"/>
      <c r="EZ1029" s="221"/>
      <c r="FA1029" s="313"/>
      <c r="FB1029" s="249"/>
      <c r="FC1029" s="221"/>
      <c r="FD1029" s="313"/>
      <c r="FE1029" s="249"/>
      <c r="FF1029" s="221"/>
      <c r="FG1029" s="313"/>
      <c r="FH1029" s="249"/>
      <c r="FI1029" s="216"/>
      <c r="FJ1029" s="1435"/>
      <c r="FK1029" s="216"/>
      <c r="FL1029" s="1268"/>
      <c r="FM1029" s="1655"/>
      <c r="FN1029" s="1268"/>
      <c r="FO1029" s="1655"/>
      <c r="FP1029" s="1268"/>
      <c r="FQ1029" s="1656"/>
      <c r="FR1029" s="249"/>
      <c r="FS1029" s="216"/>
      <c r="FT1029" s="1657"/>
      <c r="FU1029" s="1658"/>
      <c r="FV1029" s="242"/>
      <c r="FW1029" s="343"/>
      <c r="FX1029" s="222"/>
      <c r="FY1029" s="336"/>
      <c r="FZ1029" s="223"/>
      <c r="GA1029" s="338"/>
      <c r="GB1029" s="204"/>
      <c r="GC1029" s="339"/>
      <c r="GD1029" s="342"/>
      <c r="GE1029" s="199"/>
      <c r="GF1029" s="199"/>
      <c r="GG1029" s="199"/>
      <c r="GH1029" s="199"/>
      <c r="GI1029" s="199"/>
      <c r="GJ1029" s="199"/>
      <c r="GK1029" s="199"/>
      <c r="GO1029" s="322"/>
      <c r="GP1029" s="1190"/>
      <c r="GQ1029" s="1190"/>
      <c r="GS1029" s="2879"/>
      <c r="GT1029" s="2880"/>
      <c r="GU1029" s="2881"/>
    </row>
    <row r="1030" spans="1:203" ht="12" customHeight="1">
      <c r="A1030" s="1252"/>
      <c r="B1030" s="200"/>
      <c r="C1030" s="486"/>
      <c r="T1030" s="1186"/>
      <c r="U1030" s="233"/>
      <c r="W1030" s="218"/>
      <c r="X1030" s="218"/>
      <c r="Y1030" s="216"/>
      <c r="Z1030" s="216"/>
      <c r="AA1030" s="215"/>
      <c r="AB1030" s="216"/>
      <c r="AC1030" s="216"/>
      <c r="AD1030" s="239"/>
      <c r="AE1030" s="216"/>
      <c r="AF1030" s="216"/>
      <c r="AG1030" s="216"/>
      <c r="AH1030" s="216"/>
      <c r="AI1030" s="216"/>
      <c r="AJ1030" s="216"/>
      <c r="AK1030" s="239"/>
      <c r="AL1030" s="216"/>
      <c r="AM1030" s="216"/>
      <c r="AN1030" s="216"/>
      <c r="AO1030" s="216"/>
      <c r="AP1030" s="216"/>
      <c r="AQ1030" s="216"/>
      <c r="AR1030" s="216"/>
      <c r="AS1030" s="216"/>
      <c r="AT1030" s="216"/>
      <c r="AU1030" s="216"/>
      <c r="AV1030" s="217"/>
      <c r="AW1030" s="355"/>
      <c r="AX1030" s="217"/>
      <c r="AY1030" s="305"/>
      <c r="AZ1030" s="249"/>
      <c r="BA1030" s="221"/>
      <c r="BB1030" s="300"/>
      <c r="BC1030" s="217"/>
      <c r="BD1030" s="392"/>
      <c r="BE1030" s="1244"/>
      <c r="BF1030" s="249"/>
      <c r="BG1030" s="252"/>
      <c r="BH1030" s="1469"/>
      <c r="BI1030" s="216"/>
      <c r="BJ1030" s="1469"/>
      <c r="BK1030" s="1459"/>
      <c r="BL1030" s="260"/>
      <c r="BM1030" s="214"/>
      <c r="BN1030" s="293"/>
      <c r="BO1030" s="217"/>
      <c r="BP1030" s="355"/>
      <c r="BQ1030" s="217"/>
      <c r="BR1030" s="1193"/>
      <c r="BS1030" s="249"/>
      <c r="BT1030" s="216"/>
      <c r="BU1030" s="1195"/>
      <c r="BV1030" s="249"/>
      <c r="BW1030" s="216"/>
      <c r="BX1030" s="1195"/>
      <c r="BY1030" s="249"/>
      <c r="BZ1030" s="216"/>
      <c r="CA1030" s="1195"/>
      <c r="CB1030" s="249"/>
      <c r="CC1030" s="216"/>
      <c r="CD1030" s="1195"/>
      <c r="CE1030" s="249"/>
      <c r="CF1030" s="216"/>
      <c r="CG1030" s="1195"/>
      <c r="CH1030" s="249"/>
      <c r="CI1030" s="216"/>
      <c r="CJ1030" s="1195"/>
      <c r="CK1030" s="249"/>
      <c r="CL1030" s="216"/>
      <c r="CM1030" s="1194"/>
      <c r="CN1030" s="1524"/>
      <c r="CO1030" s="217"/>
      <c r="CP1030" s="1193"/>
      <c r="CQ1030" s="293"/>
      <c r="CR1030" s="217"/>
      <c r="CS1030" s="305"/>
      <c r="CT1030" s="249"/>
      <c r="CU1030" s="216"/>
      <c r="CV1030" s="1193"/>
      <c r="CW1030" s="249"/>
      <c r="CX1030" s="216"/>
      <c r="CY1030" s="305"/>
      <c r="CZ1030" s="249"/>
      <c r="DA1030" s="216"/>
      <c r="DB1030" s="307"/>
      <c r="DC1030" s="328"/>
      <c r="DD1030" s="322"/>
      <c r="DE1030" s="305"/>
      <c r="DF1030" s="249"/>
      <c r="DG1030" s="216"/>
      <c r="DH1030" s="305"/>
      <c r="DI1030" s="249"/>
      <c r="DJ1030" s="216"/>
      <c r="DK1030" s="309"/>
      <c r="DL1030" s="293"/>
      <c r="DM1030" s="326"/>
      <c r="DN1030" s="1256"/>
      <c r="DO1030" s="214"/>
      <c r="DP1030" s="1257"/>
      <c r="DQ1030" s="1258"/>
      <c r="DR1030" s="305"/>
      <c r="DS1030" s="249"/>
      <c r="DT1030" s="216"/>
      <c r="DU1030" s="305"/>
      <c r="DV1030" s="2520"/>
      <c r="DW1030" s="2521"/>
      <c r="DX1030" s="305"/>
      <c r="DY1030" s="249"/>
      <c r="DZ1030" s="221"/>
      <c r="EA1030" s="388"/>
      <c r="EB1030" s="249"/>
      <c r="EC1030" s="216"/>
      <c r="ED1030" s="1461"/>
      <c r="EE1030" s="249"/>
      <c r="EF1030" s="216"/>
      <c r="EG1030" s="355"/>
      <c r="EH1030" s="1425"/>
      <c r="EI1030" s="1470"/>
      <c r="EJ1030" s="249"/>
      <c r="EK1030" s="221"/>
      <c r="EL1030" s="313"/>
      <c r="EM1030" s="249"/>
      <c r="EN1030" s="221"/>
      <c r="EO1030" s="313"/>
      <c r="EP1030" s="249"/>
      <c r="EQ1030" s="216"/>
      <c r="ER1030" s="313"/>
      <c r="ES1030" s="249"/>
      <c r="ET1030" s="216"/>
      <c r="EU1030" s="313"/>
      <c r="EV1030" s="249"/>
      <c r="EW1030" s="216"/>
      <c r="EX1030" s="2505"/>
      <c r="EY1030" s="249"/>
      <c r="EZ1030" s="221"/>
      <c r="FA1030" s="313"/>
      <c r="FB1030" s="249"/>
      <c r="FC1030" s="221"/>
      <c r="FD1030" s="313"/>
      <c r="FE1030" s="249"/>
      <c r="FF1030" s="221"/>
      <c r="FG1030" s="313"/>
      <c r="FH1030" s="249"/>
      <c r="FI1030" s="216"/>
      <c r="FJ1030" s="1435"/>
      <c r="FK1030" s="216"/>
      <c r="FL1030" s="1268"/>
      <c r="FM1030" s="1655"/>
      <c r="FN1030" s="1268"/>
      <c r="FO1030" s="1655"/>
      <c r="FP1030" s="1268"/>
      <c r="FQ1030" s="1656"/>
      <c r="FR1030" s="249"/>
      <c r="FS1030" s="216"/>
      <c r="FT1030" s="1657"/>
      <c r="FU1030" s="1658"/>
      <c r="FV1030" s="242"/>
      <c r="FW1030" s="343"/>
      <c r="FX1030" s="222"/>
      <c r="FY1030" s="336"/>
      <c r="FZ1030" s="223"/>
      <c r="GA1030" s="338"/>
      <c r="GB1030" s="204"/>
      <c r="GC1030" s="339"/>
      <c r="GD1030" s="342"/>
      <c r="GE1030" s="199"/>
      <c r="GF1030" s="199"/>
      <c r="GG1030" s="199"/>
      <c r="GH1030" s="199"/>
      <c r="GI1030" s="199"/>
      <c r="GJ1030" s="199"/>
      <c r="GK1030" s="199"/>
      <c r="GO1030" s="322"/>
      <c r="GP1030" s="1190"/>
      <c r="GQ1030" s="1190"/>
      <c r="GS1030" s="2879"/>
      <c r="GT1030" s="2880"/>
      <c r="GU1030" s="2881"/>
    </row>
    <row r="1031" spans="1:203" ht="12" customHeight="1">
      <c r="A1031" s="1252"/>
      <c r="B1031" s="200"/>
      <c r="C1031" s="486"/>
      <c r="T1031" s="1186"/>
      <c r="U1031" s="233"/>
      <c r="W1031" s="218"/>
      <c r="X1031" s="218"/>
      <c r="Y1031" s="216"/>
      <c r="Z1031" s="216"/>
      <c r="AA1031" s="215"/>
      <c r="AB1031" s="216"/>
      <c r="AC1031" s="216"/>
      <c r="AD1031" s="239"/>
      <c r="AE1031" s="216"/>
      <c r="AF1031" s="216"/>
      <c r="AG1031" s="216"/>
      <c r="AH1031" s="216"/>
      <c r="AI1031" s="216"/>
      <c r="AJ1031" s="216"/>
      <c r="AK1031" s="239"/>
      <c r="AL1031" s="216"/>
      <c r="AM1031" s="216"/>
      <c r="AN1031" s="216"/>
      <c r="AO1031" s="216"/>
      <c r="AP1031" s="216"/>
      <c r="AQ1031" s="216"/>
      <c r="AR1031" s="216"/>
      <c r="AS1031" s="216"/>
      <c r="AT1031" s="216"/>
      <c r="AU1031" s="216"/>
      <c r="AV1031" s="217"/>
      <c r="AW1031" s="355"/>
      <c r="AX1031" s="217"/>
      <c r="AY1031" s="305"/>
      <c r="AZ1031" s="249"/>
      <c r="BA1031" s="221"/>
      <c r="BB1031" s="300"/>
      <c r="BC1031" s="217"/>
      <c r="BD1031" s="392"/>
      <c r="BE1031" s="1244"/>
      <c r="BF1031" s="249"/>
      <c r="BG1031" s="252"/>
      <c r="BH1031" s="1469"/>
      <c r="BI1031" s="216"/>
      <c r="BJ1031" s="1469"/>
      <c r="BK1031" s="1459"/>
      <c r="BL1031" s="260"/>
      <c r="BM1031" s="214"/>
      <c r="BN1031" s="293"/>
      <c r="BO1031" s="217"/>
      <c r="BP1031" s="355"/>
      <c r="BQ1031" s="217"/>
      <c r="BR1031" s="1193"/>
      <c r="BS1031" s="249"/>
      <c r="BT1031" s="216"/>
      <c r="BU1031" s="1195"/>
      <c r="BV1031" s="249"/>
      <c r="BW1031" s="216"/>
      <c r="BX1031" s="1195"/>
      <c r="BY1031" s="249"/>
      <c r="BZ1031" s="216"/>
      <c r="CA1031" s="1195"/>
      <c r="CB1031" s="249"/>
      <c r="CC1031" s="216"/>
      <c r="CD1031" s="1195"/>
      <c r="CE1031" s="249"/>
      <c r="CF1031" s="216"/>
      <c r="CG1031" s="1195"/>
      <c r="CH1031" s="249"/>
      <c r="CI1031" s="216"/>
      <c r="CJ1031" s="1195"/>
      <c r="CK1031" s="249"/>
      <c r="CL1031" s="216"/>
      <c r="CM1031" s="1194"/>
      <c r="CN1031" s="1524"/>
      <c r="CO1031" s="217"/>
      <c r="CP1031" s="1193"/>
      <c r="CQ1031" s="293"/>
      <c r="CR1031" s="217"/>
      <c r="CS1031" s="305"/>
      <c r="CT1031" s="249"/>
      <c r="CU1031" s="216"/>
      <c r="CV1031" s="1193"/>
      <c r="CW1031" s="249"/>
      <c r="CX1031" s="216"/>
      <c r="CY1031" s="305"/>
      <c r="CZ1031" s="249"/>
      <c r="DA1031" s="216"/>
      <c r="DB1031" s="307"/>
      <c r="DC1031" s="328"/>
      <c r="DD1031" s="322"/>
      <c r="DE1031" s="305"/>
      <c r="DF1031" s="249"/>
      <c r="DG1031" s="216"/>
      <c r="DH1031" s="305"/>
      <c r="DI1031" s="249"/>
      <c r="DJ1031" s="216"/>
      <c r="DK1031" s="309"/>
      <c r="DL1031" s="293"/>
      <c r="DM1031" s="326"/>
      <c r="DN1031" s="1256"/>
      <c r="DO1031" s="214"/>
      <c r="DP1031" s="1257"/>
      <c r="DQ1031" s="1258"/>
      <c r="DR1031" s="305"/>
      <c r="DS1031" s="249"/>
      <c r="DT1031" s="216"/>
      <c r="DU1031" s="305"/>
      <c r="DV1031" s="2520"/>
      <c r="DW1031" s="2521"/>
      <c r="DX1031" s="305"/>
      <c r="DY1031" s="249"/>
      <c r="DZ1031" s="221"/>
      <c r="EA1031" s="388"/>
      <c r="EB1031" s="249"/>
      <c r="EC1031" s="216"/>
      <c r="ED1031" s="1461"/>
      <c r="EE1031" s="249"/>
      <c r="EF1031" s="216"/>
      <c r="EG1031" s="355"/>
      <c r="EH1031" s="1425"/>
      <c r="EI1031" s="1470"/>
      <c r="EJ1031" s="249"/>
      <c r="EK1031" s="221"/>
      <c r="EL1031" s="313"/>
      <c r="EM1031" s="249"/>
      <c r="EN1031" s="221"/>
      <c r="EO1031" s="313"/>
      <c r="EP1031" s="249"/>
      <c r="EQ1031" s="216"/>
      <c r="ER1031" s="313"/>
      <c r="ES1031" s="249"/>
      <c r="ET1031" s="216"/>
      <c r="EU1031" s="313"/>
      <c r="EV1031" s="249"/>
      <c r="EW1031" s="216"/>
      <c r="EX1031" s="2505"/>
      <c r="EY1031" s="249"/>
      <c r="EZ1031" s="221"/>
      <c r="FA1031" s="313"/>
      <c r="FB1031" s="249"/>
      <c r="FC1031" s="221"/>
      <c r="FD1031" s="313"/>
      <c r="FE1031" s="249"/>
      <c r="FF1031" s="221"/>
      <c r="FG1031" s="313"/>
      <c r="FH1031" s="249"/>
      <c r="FI1031" s="216"/>
      <c r="FJ1031" s="1435"/>
      <c r="FK1031" s="216"/>
      <c r="FL1031" s="1268"/>
      <c r="FM1031" s="1655"/>
      <c r="FN1031" s="1268"/>
      <c r="FO1031" s="1655"/>
      <c r="FP1031" s="1268"/>
      <c r="FQ1031" s="1656"/>
      <c r="FR1031" s="249"/>
      <c r="FS1031" s="216"/>
      <c r="FT1031" s="1657"/>
      <c r="FU1031" s="1658"/>
      <c r="FV1031" s="242"/>
      <c r="FW1031" s="343"/>
      <c r="FX1031" s="222"/>
      <c r="FY1031" s="336"/>
      <c r="FZ1031" s="223"/>
      <c r="GA1031" s="338"/>
      <c r="GB1031" s="204"/>
      <c r="GC1031" s="339"/>
      <c r="GD1031" s="342"/>
      <c r="GE1031" s="199"/>
      <c r="GF1031" s="199"/>
      <c r="GG1031" s="199"/>
      <c r="GH1031" s="199"/>
      <c r="GI1031" s="199"/>
      <c r="GJ1031" s="199"/>
      <c r="GK1031" s="199"/>
      <c r="GO1031" s="322"/>
      <c r="GP1031" s="1190"/>
      <c r="GQ1031" s="1190"/>
      <c r="GS1031" s="2879"/>
      <c r="GT1031" s="2880"/>
      <c r="GU1031" s="2881"/>
    </row>
    <row r="1032" spans="1:203" ht="12" customHeight="1">
      <c r="A1032" s="1252"/>
      <c r="B1032" s="200"/>
      <c r="C1032" s="486"/>
      <c r="T1032" s="1186"/>
      <c r="U1032" s="233"/>
      <c r="W1032" s="218"/>
      <c r="X1032" s="218"/>
      <c r="Y1032" s="216"/>
      <c r="Z1032" s="216"/>
      <c r="AA1032" s="215"/>
      <c r="AB1032" s="216"/>
      <c r="AC1032" s="216"/>
      <c r="AD1032" s="239"/>
      <c r="AE1032" s="216"/>
      <c r="AF1032" s="216"/>
      <c r="AG1032" s="216"/>
      <c r="AH1032" s="216"/>
      <c r="AI1032" s="216"/>
      <c r="AJ1032" s="216"/>
      <c r="AK1032" s="239"/>
      <c r="AL1032" s="216"/>
      <c r="AM1032" s="216"/>
      <c r="AN1032" s="216"/>
      <c r="AO1032" s="216"/>
      <c r="AP1032" s="216"/>
      <c r="AQ1032" s="216"/>
      <c r="AR1032" s="216"/>
      <c r="AS1032" s="216"/>
      <c r="AT1032" s="216"/>
      <c r="AU1032" s="216"/>
      <c r="AV1032" s="217"/>
      <c r="AW1032" s="355"/>
      <c r="AX1032" s="217"/>
      <c r="AY1032" s="305"/>
      <c r="AZ1032" s="249"/>
      <c r="BA1032" s="221"/>
      <c r="BB1032" s="300"/>
      <c r="BC1032" s="217"/>
      <c r="BD1032" s="392"/>
      <c r="BE1032" s="1244"/>
      <c r="BF1032" s="249"/>
      <c r="BG1032" s="252"/>
      <c r="BH1032" s="1469"/>
      <c r="BI1032" s="216"/>
      <c r="BJ1032" s="1469"/>
      <c r="BK1032" s="1459"/>
      <c r="BL1032" s="260"/>
      <c r="BM1032" s="214"/>
      <c r="BN1032" s="293"/>
      <c r="BO1032" s="217"/>
      <c r="BP1032" s="355"/>
      <c r="BQ1032" s="217"/>
      <c r="BR1032" s="1193"/>
      <c r="BS1032" s="249"/>
      <c r="BT1032" s="216"/>
      <c r="BU1032" s="1195"/>
      <c r="BV1032" s="249"/>
      <c r="BW1032" s="216"/>
      <c r="BX1032" s="1195"/>
      <c r="BY1032" s="249"/>
      <c r="BZ1032" s="216"/>
      <c r="CA1032" s="1195"/>
      <c r="CB1032" s="249"/>
      <c r="CC1032" s="216"/>
      <c r="CD1032" s="1195"/>
      <c r="CE1032" s="249"/>
      <c r="CF1032" s="216"/>
      <c r="CG1032" s="1195"/>
      <c r="CH1032" s="249"/>
      <c r="CI1032" s="216"/>
      <c r="CJ1032" s="1195"/>
      <c r="CK1032" s="249"/>
      <c r="CL1032" s="216"/>
      <c r="CM1032" s="1194"/>
      <c r="CN1032" s="1524"/>
      <c r="CO1032" s="217"/>
      <c r="CP1032" s="1193"/>
      <c r="CQ1032" s="293"/>
      <c r="CR1032" s="217"/>
      <c r="CS1032" s="305"/>
      <c r="CT1032" s="249"/>
      <c r="CU1032" s="216"/>
      <c r="CV1032" s="1193"/>
      <c r="CW1032" s="249"/>
      <c r="CX1032" s="216"/>
      <c r="CY1032" s="305"/>
      <c r="CZ1032" s="249"/>
      <c r="DA1032" s="216"/>
      <c r="DB1032" s="307"/>
      <c r="DC1032" s="328"/>
      <c r="DD1032" s="322"/>
      <c r="DE1032" s="305"/>
      <c r="DF1032" s="249"/>
      <c r="DG1032" s="216"/>
      <c r="DH1032" s="305"/>
      <c r="DI1032" s="249"/>
      <c r="DJ1032" s="216"/>
      <c r="DK1032" s="309"/>
      <c r="DL1032" s="293"/>
      <c r="DM1032" s="326"/>
      <c r="DN1032" s="1256"/>
      <c r="DO1032" s="214"/>
      <c r="DP1032" s="1257"/>
      <c r="DQ1032" s="1258"/>
      <c r="DR1032" s="305"/>
      <c r="DS1032" s="249"/>
      <c r="DT1032" s="216"/>
      <c r="DU1032" s="305"/>
      <c r="DV1032" s="2520"/>
      <c r="DW1032" s="2521"/>
      <c r="DX1032" s="305"/>
      <c r="DY1032" s="249"/>
      <c r="DZ1032" s="221"/>
      <c r="EA1032" s="388"/>
      <c r="EB1032" s="249"/>
      <c r="EC1032" s="216"/>
      <c r="ED1032" s="1461"/>
      <c r="EE1032" s="249"/>
      <c r="EF1032" s="216"/>
      <c r="EG1032" s="355"/>
      <c r="EH1032" s="1425"/>
      <c r="EI1032" s="1470"/>
      <c r="EJ1032" s="249"/>
      <c r="EK1032" s="221"/>
      <c r="EL1032" s="313"/>
      <c r="EM1032" s="249"/>
      <c r="EN1032" s="221"/>
      <c r="EO1032" s="313"/>
      <c r="EP1032" s="249"/>
      <c r="EQ1032" s="216"/>
      <c r="ER1032" s="313"/>
      <c r="ES1032" s="249"/>
      <c r="ET1032" s="216"/>
      <c r="EU1032" s="313"/>
      <c r="EV1032" s="249"/>
      <c r="EW1032" s="216"/>
      <c r="EX1032" s="2505"/>
      <c r="EY1032" s="249"/>
      <c r="EZ1032" s="221"/>
      <c r="FA1032" s="313"/>
      <c r="FB1032" s="249"/>
      <c r="FC1032" s="221"/>
      <c r="FD1032" s="313"/>
      <c r="FE1032" s="249"/>
      <c r="FF1032" s="221"/>
      <c r="FG1032" s="313"/>
      <c r="FH1032" s="249"/>
      <c r="FI1032" s="216"/>
      <c r="FJ1032" s="1435"/>
      <c r="FK1032" s="216"/>
      <c r="FL1032" s="1268"/>
      <c r="FM1032" s="1655"/>
      <c r="FN1032" s="1268"/>
      <c r="FO1032" s="1655"/>
      <c r="FP1032" s="1268"/>
      <c r="FQ1032" s="1656"/>
      <c r="FR1032" s="249"/>
      <c r="FS1032" s="216"/>
      <c r="FT1032" s="1657"/>
      <c r="FU1032" s="1658"/>
      <c r="FV1032" s="242"/>
      <c r="FW1032" s="343"/>
      <c r="FX1032" s="222"/>
      <c r="FY1032" s="336"/>
      <c r="FZ1032" s="223"/>
      <c r="GA1032" s="338"/>
      <c r="GB1032" s="204"/>
      <c r="GC1032" s="339"/>
      <c r="GD1032" s="342"/>
      <c r="GE1032" s="199"/>
      <c r="GF1032" s="199"/>
      <c r="GG1032" s="199"/>
      <c r="GH1032" s="199"/>
      <c r="GI1032" s="199"/>
      <c r="GJ1032" s="199"/>
      <c r="GK1032" s="199"/>
      <c r="GO1032" s="322"/>
      <c r="GP1032" s="1190"/>
      <c r="GQ1032" s="1190"/>
      <c r="GS1032" s="2879"/>
      <c r="GT1032" s="2880"/>
      <c r="GU1032" s="2881"/>
    </row>
    <row r="1033" spans="1:203" ht="12" customHeight="1">
      <c r="A1033" s="1252"/>
      <c r="B1033" s="200"/>
      <c r="C1033" s="486"/>
      <c r="T1033" s="1186"/>
      <c r="U1033" s="233"/>
      <c r="W1033" s="218"/>
      <c r="X1033" s="218"/>
      <c r="Y1033" s="216"/>
      <c r="Z1033" s="216"/>
      <c r="AA1033" s="215"/>
      <c r="AB1033" s="216"/>
      <c r="AC1033" s="216"/>
      <c r="AD1033" s="239"/>
      <c r="AE1033" s="216"/>
      <c r="AF1033" s="216"/>
      <c r="AG1033" s="216"/>
      <c r="AH1033" s="216"/>
      <c r="AI1033" s="216"/>
      <c r="AJ1033" s="216"/>
      <c r="AK1033" s="239"/>
      <c r="AL1033" s="216"/>
      <c r="AM1033" s="216"/>
      <c r="AN1033" s="216"/>
      <c r="AO1033" s="216"/>
      <c r="AP1033" s="216"/>
      <c r="AQ1033" s="216"/>
      <c r="AR1033" s="216"/>
      <c r="AS1033" s="216"/>
      <c r="AT1033" s="216"/>
      <c r="AU1033" s="216"/>
      <c r="AV1033" s="217"/>
      <c r="AW1033" s="355"/>
      <c r="AX1033" s="217"/>
      <c r="AY1033" s="305"/>
      <c r="AZ1033" s="249"/>
      <c r="BA1033" s="221"/>
      <c r="BB1033" s="300"/>
      <c r="BC1033" s="217"/>
      <c r="BD1033" s="392"/>
      <c r="BE1033" s="1244"/>
      <c r="BF1033" s="249"/>
      <c r="BG1033" s="252"/>
      <c r="BH1033" s="1469"/>
      <c r="BI1033" s="216"/>
      <c r="BJ1033" s="1469"/>
      <c r="BK1033" s="1459"/>
      <c r="BL1033" s="260"/>
      <c r="BM1033" s="214"/>
      <c r="BN1033" s="293"/>
      <c r="BO1033" s="217"/>
      <c r="BP1033" s="355"/>
      <c r="BQ1033" s="217"/>
      <c r="BR1033" s="1193"/>
      <c r="BS1033" s="249"/>
      <c r="BT1033" s="216"/>
      <c r="BU1033" s="1195"/>
      <c r="BV1033" s="249"/>
      <c r="BW1033" s="216"/>
      <c r="BX1033" s="1195"/>
      <c r="BY1033" s="249"/>
      <c r="BZ1033" s="216"/>
      <c r="CA1033" s="1195"/>
      <c r="CB1033" s="249"/>
      <c r="CC1033" s="216"/>
      <c r="CD1033" s="1195"/>
      <c r="CE1033" s="249"/>
      <c r="CF1033" s="216"/>
      <c r="CG1033" s="1195"/>
      <c r="CH1033" s="249"/>
      <c r="CI1033" s="216"/>
      <c r="CJ1033" s="1195"/>
      <c r="CK1033" s="249"/>
      <c r="CL1033" s="216"/>
      <c r="CM1033" s="1194"/>
      <c r="CN1033" s="1524"/>
      <c r="CO1033" s="217"/>
      <c r="CP1033" s="1193"/>
      <c r="CQ1033" s="293"/>
      <c r="CR1033" s="217"/>
      <c r="CS1033" s="305"/>
      <c r="CT1033" s="249"/>
      <c r="CU1033" s="216"/>
      <c r="CV1033" s="1193"/>
      <c r="CW1033" s="249"/>
      <c r="CX1033" s="216"/>
      <c r="CY1033" s="305"/>
      <c r="CZ1033" s="249"/>
      <c r="DA1033" s="216"/>
      <c r="DB1033" s="307"/>
      <c r="DC1033" s="328"/>
      <c r="DD1033" s="322"/>
      <c r="DE1033" s="305"/>
      <c r="DF1033" s="249"/>
      <c r="DG1033" s="216"/>
      <c r="DH1033" s="305"/>
      <c r="DI1033" s="249"/>
      <c r="DJ1033" s="216"/>
      <c r="DK1033" s="309"/>
      <c r="DL1033" s="293"/>
      <c r="DM1033" s="326"/>
      <c r="DN1033" s="1256"/>
      <c r="DO1033" s="214"/>
      <c r="DP1033" s="1257"/>
      <c r="DQ1033" s="1258"/>
      <c r="DR1033" s="305"/>
      <c r="DS1033" s="249"/>
      <c r="DT1033" s="216"/>
      <c r="DU1033" s="305"/>
      <c r="DV1033" s="2520"/>
      <c r="DW1033" s="2521"/>
      <c r="DX1033" s="305"/>
      <c r="DY1033" s="249"/>
      <c r="DZ1033" s="221"/>
      <c r="EA1033" s="388"/>
      <c r="EB1033" s="249"/>
      <c r="EC1033" s="216"/>
      <c r="ED1033" s="1461"/>
      <c r="EE1033" s="249"/>
      <c r="EF1033" s="216"/>
      <c r="EG1033" s="355"/>
      <c r="EH1033" s="1425"/>
      <c r="EI1033" s="1470"/>
      <c r="EJ1033" s="249"/>
      <c r="EK1033" s="221"/>
      <c r="EL1033" s="313"/>
      <c r="EM1033" s="249"/>
      <c r="EN1033" s="221"/>
      <c r="EO1033" s="313"/>
      <c r="EP1033" s="249"/>
      <c r="EQ1033" s="216"/>
      <c r="ER1033" s="313"/>
      <c r="ES1033" s="249"/>
      <c r="ET1033" s="216"/>
      <c r="EU1033" s="313"/>
      <c r="EV1033" s="249"/>
      <c r="EW1033" s="216"/>
      <c r="EX1033" s="2505"/>
      <c r="EY1033" s="249"/>
      <c r="EZ1033" s="221"/>
      <c r="FA1033" s="313"/>
      <c r="FB1033" s="249"/>
      <c r="FC1033" s="221"/>
      <c r="FD1033" s="313"/>
      <c r="FE1033" s="249"/>
      <c r="FF1033" s="221"/>
      <c r="FG1033" s="313"/>
      <c r="FH1033" s="249"/>
      <c r="FI1033" s="216"/>
      <c r="FJ1033" s="1435"/>
      <c r="FK1033" s="216"/>
      <c r="FL1033" s="1268"/>
      <c r="FM1033" s="1655"/>
      <c r="FN1033" s="1268"/>
      <c r="FO1033" s="1655"/>
      <c r="FP1033" s="1268"/>
      <c r="FQ1033" s="1656"/>
      <c r="FR1033" s="249"/>
      <c r="FS1033" s="216"/>
      <c r="FT1033" s="1657"/>
      <c r="FU1033" s="1658"/>
      <c r="FV1033" s="242"/>
      <c r="FW1033" s="343"/>
      <c r="FX1033" s="222"/>
      <c r="FY1033" s="336"/>
      <c r="FZ1033" s="223"/>
      <c r="GA1033" s="338"/>
      <c r="GB1033" s="204"/>
      <c r="GC1033" s="339"/>
      <c r="GD1033" s="342"/>
      <c r="GE1033" s="199"/>
      <c r="GF1033" s="199"/>
      <c r="GG1033" s="199"/>
      <c r="GH1033" s="199"/>
      <c r="GI1033" s="199"/>
      <c r="GJ1033" s="199"/>
      <c r="GK1033" s="199"/>
      <c r="GO1033" s="322"/>
      <c r="GP1033" s="1190"/>
      <c r="GQ1033" s="1190"/>
      <c r="GS1033" s="2879"/>
      <c r="GT1033" s="2880"/>
      <c r="GU1033" s="2881"/>
    </row>
    <row r="1034" spans="1:203" ht="12" customHeight="1">
      <c r="A1034" s="1252"/>
      <c r="B1034" s="200"/>
      <c r="C1034" s="486"/>
      <c r="T1034" s="1186"/>
      <c r="U1034" s="233"/>
      <c r="W1034" s="218"/>
      <c r="X1034" s="218"/>
      <c r="Y1034" s="216"/>
      <c r="Z1034" s="216"/>
      <c r="AA1034" s="215"/>
      <c r="AB1034" s="216"/>
      <c r="AC1034" s="216"/>
      <c r="AD1034" s="239"/>
      <c r="AE1034" s="216"/>
      <c r="AF1034" s="216"/>
      <c r="AG1034" s="216"/>
      <c r="AH1034" s="216"/>
      <c r="AI1034" s="216"/>
      <c r="AJ1034" s="216"/>
      <c r="AK1034" s="239"/>
      <c r="AL1034" s="216"/>
      <c r="AM1034" s="216"/>
      <c r="AN1034" s="216"/>
      <c r="AO1034" s="216"/>
      <c r="AP1034" s="216"/>
      <c r="AQ1034" s="216"/>
      <c r="AR1034" s="216"/>
      <c r="AS1034" s="216"/>
      <c r="AT1034" s="216"/>
      <c r="AU1034" s="216"/>
      <c r="AV1034" s="217"/>
      <c r="AW1034" s="355"/>
      <c r="AX1034" s="217"/>
      <c r="AY1034" s="305"/>
      <c r="AZ1034" s="249"/>
      <c r="BA1034" s="221"/>
      <c r="BB1034" s="300"/>
      <c r="BC1034" s="217"/>
      <c r="BD1034" s="392"/>
      <c r="BE1034" s="1244"/>
      <c r="BF1034" s="249"/>
      <c r="BG1034" s="252"/>
      <c r="BH1034" s="1469"/>
      <c r="BI1034" s="216"/>
      <c r="BJ1034" s="1469"/>
      <c r="BK1034" s="1459"/>
      <c r="BL1034" s="260"/>
      <c r="BM1034" s="214"/>
      <c r="BN1034" s="293"/>
      <c r="BO1034" s="217"/>
      <c r="BP1034" s="355"/>
      <c r="BQ1034" s="217"/>
      <c r="BR1034" s="1193"/>
      <c r="BS1034" s="249"/>
      <c r="BT1034" s="216"/>
      <c r="BU1034" s="1195"/>
      <c r="BV1034" s="249"/>
      <c r="BW1034" s="216"/>
      <c r="BX1034" s="1195"/>
      <c r="BY1034" s="249"/>
      <c r="BZ1034" s="216"/>
      <c r="CA1034" s="1195"/>
      <c r="CB1034" s="249"/>
      <c r="CC1034" s="216"/>
      <c r="CD1034" s="1195"/>
      <c r="CE1034" s="249"/>
      <c r="CF1034" s="216"/>
      <c r="CG1034" s="1195"/>
      <c r="CH1034" s="249"/>
      <c r="CI1034" s="216"/>
      <c r="CJ1034" s="1195"/>
      <c r="CK1034" s="249"/>
      <c r="CL1034" s="216"/>
      <c r="CM1034" s="1194"/>
      <c r="CN1034" s="1524"/>
      <c r="CO1034" s="217"/>
      <c r="CP1034" s="1193"/>
      <c r="CQ1034" s="293"/>
      <c r="CR1034" s="217"/>
      <c r="CS1034" s="305"/>
      <c r="CT1034" s="249"/>
      <c r="CU1034" s="216"/>
      <c r="CV1034" s="1193"/>
      <c r="CW1034" s="249"/>
      <c r="CX1034" s="216"/>
      <c r="CY1034" s="305"/>
      <c r="CZ1034" s="249"/>
      <c r="DA1034" s="216"/>
      <c r="DB1034" s="307"/>
      <c r="DC1034" s="328"/>
      <c r="DD1034" s="322"/>
      <c r="DE1034" s="305"/>
      <c r="DF1034" s="249"/>
      <c r="DG1034" s="216"/>
      <c r="DH1034" s="305"/>
      <c r="DI1034" s="249"/>
      <c r="DJ1034" s="216"/>
      <c r="DK1034" s="309"/>
      <c r="DL1034" s="293"/>
      <c r="DM1034" s="326"/>
      <c r="DN1034" s="1256"/>
      <c r="DO1034" s="214"/>
      <c r="DP1034" s="1257"/>
      <c r="DQ1034" s="1258"/>
      <c r="DR1034" s="305"/>
      <c r="DS1034" s="249"/>
      <c r="DT1034" s="216"/>
      <c r="DU1034" s="305"/>
      <c r="DV1034" s="2520"/>
      <c r="DW1034" s="2521"/>
      <c r="DX1034" s="305"/>
      <c r="DY1034" s="249"/>
      <c r="DZ1034" s="221"/>
      <c r="EA1034" s="388"/>
      <c r="EB1034" s="249"/>
      <c r="EC1034" s="216"/>
      <c r="ED1034" s="1461"/>
      <c r="EE1034" s="249"/>
      <c r="EF1034" s="216"/>
      <c r="EG1034" s="355"/>
      <c r="EH1034" s="1425"/>
      <c r="EI1034" s="1470"/>
      <c r="EJ1034" s="249"/>
      <c r="EK1034" s="221"/>
      <c r="EL1034" s="313"/>
      <c r="EM1034" s="249"/>
      <c r="EN1034" s="221"/>
      <c r="EO1034" s="313"/>
      <c r="EP1034" s="249"/>
      <c r="EQ1034" s="216"/>
      <c r="ER1034" s="313"/>
      <c r="ES1034" s="249"/>
      <c r="ET1034" s="216"/>
      <c r="EU1034" s="313"/>
      <c r="EV1034" s="249"/>
      <c r="EW1034" s="216"/>
      <c r="EX1034" s="2505"/>
      <c r="EY1034" s="249"/>
      <c r="EZ1034" s="221"/>
      <c r="FA1034" s="313"/>
      <c r="FB1034" s="249"/>
      <c r="FC1034" s="221"/>
      <c r="FD1034" s="313"/>
      <c r="FE1034" s="249"/>
      <c r="FF1034" s="221"/>
      <c r="FG1034" s="313"/>
      <c r="FH1034" s="249"/>
      <c r="FI1034" s="216"/>
      <c r="FJ1034" s="1435"/>
      <c r="FK1034" s="216"/>
      <c r="FL1034" s="1268"/>
      <c r="FM1034" s="1655"/>
      <c r="FN1034" s="1268"/>
      <c r="FO1034" s="1655"/>
      <c r="FP1034" s="1268"/>
      <c r="FQ1034" s="1656"/>
      <c r="FR1034" s="249"/>
      <c r="FS1034" s="216"/>
      <c r="FT1034" s="1657"/>
      <c r="FU1034" s="1658"/>
      <c r="FV1034" s="242"/>
      <c r="FW1034" s="343"/>
      <c r="FX1034" s="222"/>
      <c r="FY1034" s="336"/>
      <c r="FZ1034" s="223"/>
      <c r="GA1034" s="338"/>
      <c r="GB1034" s="204"/>
      <c r="GC1034" s="339"/>
      <c r="GD1034" s="342"/>
      <c r="GE1034" s="199"/>
      <c r="GF1034" s="199"/>
      <c r="GG1034" s="199"/>
      <c r="GH1034" s="199"/>
      <c r="GI1034" s="199"/>
      <c r="GJ1034" s="199"/>
      <c r="GK1034" s="199"/>
      <c r="GO1034" s="322"/>
      <c r="GP1034" s="1190"/>
      <c r="GQ1034" s="1190"/>
      <c r="GS1034" s="2879"/>
      <c r="GT1034" s="2880"/>
      <c r="GU1034" s="2881"/>
    </row>
    <row r="1035" spans="1:203" ht="12" customHeight="1">
      <c r="A1035" s="1252"/>
      <c r="B1035" s="200"/>
      <c r="C1035" s="486"/>
      <c r="T1035" s="1186"/>
      <c r="U1035" s="233"/>
      <c r="W1035" s="218"/>
      <c r="X1035" s="218"/>
      <c r="Y1035" s="216"/>
      <c r="Z1035" s="216"/>
      <c r="AA1035" s="215"/>
      <c r="AB1035" s="216"/>
      <c r="AC1035" s="216"/>
      <c r="AD1035" s="239"/>
      <c r="AE1035" s="216"/>
      <c r="AF1035" s="216"/>
      <c r="AG1035" s="216"/>
      <c r="AH1035" s="216"/>
      <c r="AI1035" s="216"/>
      <c r="AJ1035" s="216"/>
      <c r="AK1035" s="239"/>
      <c r="AL1035" s="216"/>
      <c r="AM1035" s="216"/>
      <c r="AN1035" s="216"/>
      <c r="AO1035" s="216"/>
      <c r="AP1035" s="216"/>
      <c r="AQ1035" s="216"/>
      <c r="AR1035" s="216"/>
      <c r="AS1035" s="216"/>
      <c r="AT1035" s="216"/>
      <c r="AU1035" s="216"/>
      <c r="AV1035" s="217"/>
      <c r="AW1035" s="355"/>
      <c r="AX1035" s="217"/>
      <c r="AY1035" s="305"/>
      <c r="AZ1035" s="249"/>
      <c r="BA1035" s="221"/>
      <c r="BB1035" s="300"/>
      <c r="BC1035" s="217"/>
      <c r="BD1035" s="392"/>
      <c r="BE1035" s="1244"/>
      <c r="BF1035" s="249"/>
      <c r="BG1035" s="252"/>
      <c r="BH1035" s="1469"/>
      <c r="BI1035" s="216"/>
      <c r="BJ1035" s="1469"/>
      <c r="BK1035" s="1459"/>
      <c r="BL1035" s="260"/>
      <c r="BM1035" s="214"/>
      <c r="BN1035" s="293"/>
      <c r="BO1035" s="217"/>
      <c r="BP1035" s="355"/>
      <c r="BQ1035" s="217"/>
      <c r="BR1035" s="1193"/>
      <c r="BS1035" s="249"/>
      <c r="BT1035" s="216"/>
      <c r="BU1035" s="1195"/>
      <c r="BV1035" s="249"/>
      <c r="BW1035" s="216"/>
      <c r="BX1035" s="1195"/>
      <c r="BY1035" s="249"/>
      <c r="BZ1035" s="216"/>
      <c r="CA1035" s="1195"/>
      <c r="CB1035" s="249"/>
      <c r="CC1035" s="216"/>
      <c r="CD1035" s="1195"/>
      <c r="CE1035" s="249"/>
      <c r="CF1035" s="216"/>
      <c r="CG1035" s="1195"/>
      <c r="CH1035" s="249"/>
      <c r="CI1035" s="216"/>
      <c r="CJ1035" s="1195"/>
      <c r="CK1035" s="249"/>
      <c r="CL1035" s="216"/>
      <c r="CM1035" s="1194"/>
      <c r="CN1035" s="1524"/>
      <c r="CO1035" s="217"/>
      <c r="CP1035" s="1193"/>
      <c r="CQ1035" s="293"/>
      <c r="CR1035" s="217"/>
      <c r="CS1035" s="305"/>
      <c r="CT1035" s="249"/>
      <c r="CU1035" s="216"/>
      <c r="CV1035" s="1193"/>
      <c r="CW1035" s="249"/>
      <c r="CX1035" s="216"/>
      <c r="CY1035" s="305"/>
      <c r="CZ1035" s="249"/>
      <c r="DA1035" s="216"/>
      <c r="DB1035" s="307"/>
      <c r="DC1035" s="328"/>
      <c r="DD1035" s="322"/>
      <c r="DE1035" s="305"/>
      <c r="DF1035" s="249"/>
      <c r="DG1035" s="216"/>
      <c r="DH1035" s="305"/>
      <c r="DI1035" s="249"/>
      <c r="DJ1035" s="216"/>
      <c r="DK1035" s="309"/>
      <c r="DL1035" s="293"/>
      <c r="DM1035" s="326"/>
      <c r="DN1035" s="1256"/>
      <c r="DO1035" s="214"/>
      <c r="DP1035" s="1257"/>
      <c r="DQ1035" s="1258"/>
      <c r="DR1035" s="305"/>
      <c r="DS1035" s="249"/>
      <c r="DT1035" s="216"/>
      <c r="DU1035" s="305"/>
      <c r="DV1035" s="2520"/>
      <c r="DW1035" s="2521"/>
      <c r="DX1035" s="305"/>
      <c r="DY1035" s="249"/>
      <c r="DZ1035" s="221"/>
      <c r="EA1035" s="388"/>
      <c r="EB1035" s="249"/>
      <c r="EC1035" s="216"/>
      <c r="ED1035" s="1461"/>
      <c r="EE1035" s="249"/>
      <c r="EF1035" s="216"/>
      <c r="EG1035" s="355"/>
      <c r="EH1035" s="1425"/>
      <c r="EI1035" s="1470"/>
      <c r="EJ1035" s="249"/>
      <c r="EK1035" s="221"/>
      <c r="EL1035" s="313"/>
      <c r="EM1035" s="249"/>
      <c r="EN1035" s="221"/>
      <c r="EO1035" s="313"/>
      <c r="EP1035" s="249"/>
      <c r="EQ1035" s="216"/>
      <c r="ER1035" s="313"/>
      <c r="ES1035" s="249"/>
      <c r="ET1035" s="216"/>
      <c r="EU1035" s="313"/>
      <c r="EV1035" s="249"/>
      <c r="EW1035" s="216"/>
      <c r="EX1035" s="2505"/>
      <c r="EY1035" s="249"/>
      <c r="EZ1035" s="221"/>
      <c r="FA1035" s="313"/>
      <c r="FB1035" s="249"/>
      <c r="FC1035" s="221"/>
      <c r="FD1035" s="313"/>
      <c r="FE1035" s="249"/>
      <c r="FF1035" s="221"/>
      <c r="FG1035" s="313"/>
      <c r="FH1035" s="249"/>
      <c r="FI1035" s="216"/>
      <c r="FJ1035" s="1435"/>
      <c r="FK1035" s="216"/>
      <c r="FL1035" s="1268"/>
      <c r="FM1035" s="1655"/>
      <c r="FN1035" s="1268"/>
      <c r="FO1035" s="1655"/>
      <c r="FP1035" s="1268"/>
      <c r="FQ1035" s="1656"/>
      <c r="FR1035" s="249"/>
      <c r="FS1035" s="216"/>
      <c r="FT1035" s="1657"/>
      <c r="FU1035" s="1658"/>
      <c r="FV1035" s="242"/>
      <c r="FW1035" s="343"/>
      <c r="FX1035" s="222"/>
      <c r="FY1035" s="336"/>
      <c r="FZ1035" s="223"/>
      <c r="GA1035" s="338"/>
      <c r="GB1035" s="204"/>
      <c r="GC1035" s="339"/>
      <c r="GD1035" s="342"/>
      <c r="GE1035" s="199"/>
      <c r="GF1035" s="199"/>
      <c r="GG1035" s="199"/>
      <c r="GH1035" s="199"/>
      <c r="GI1035" s="199"/>
      <c r="GJ1035" s="199"/>
      <c r="GK1035" s="199"/>
      <c r="GO1035" s="322"/>
      <c r="GP1035" s="1190"/>
      <c r="GQ1035" s="1190"/>
      <c r="GS1035" s="2879"/>
      <c r="GT1035" s="2880"/>
      <c r="GU1035" s="2881"/>
    </row>
    <row r="1036" spans="1:203" ht="12" customHeight="1">
      <c r="A1036" s="1252"/>
      <c r="B1036" s="200"/>
      <c r="C1036" s="486"/>
      <c r="T1036" s="1186"/>
      <c r="U1036" s="233"/>
      <c r="W1036" s="218"/>
      <c r="X1036" s="218"/>
      <c r="Y1036" s="216"/>
      <c r="Z1036" s="216"/>
      <c r="AA1036" s="215"/>
      <c r="AB1036" s="216"/>
      <c r="AC1036" s="216"/>
      <c r="AD1036" s="239"/>
      <c r="AE1036" s="216"/>
      <c r="AF1036" s="216"/>
      <c r="AG1036" s="216"/>
      <c r="AH1036" s="216"/>
      <c r="AI1036" s="216"/>
      <c r="AJ1036" s="216"/>
      <c r="AK1036" s="239"/>
      <c r="AL1036" s="216"/>
      <c r="AM1036" s="216"/>
      <c r="AN1036" s="216"/>
      <c r="AO1036" s="216"/>
      <c r="AP1036" s="216"/>
      <c r="AQ1036" s="216"/>
      <c r="AR1036" s="216"/>
      <c r="AS1036" s="216"/>
      <c r="AT1036" s="216"/>
      <c r="AU1036" s="216"/>
      <c r="AV1036" s="217"/>
      <c r="AW1036" s="355"/>
      <c r="AX1036" s="217"/>
      <c r="AY1036" s="305"/>
      <c r="AZ1036" s="249"/>
      <c r="BA1036" s="221"/>
      <c r="BB1036" s="300"/>
      <c r="BC1036" s="217"/>
      <c r="BD1036" s="392"/>
      <c r="BE1036" s="1244"/>
      <c r="BF1036" s="249"/>
      <c r="BG1036" s="252"/>
      <c r="BH1036" s="1469"/>
      <c r="BI1036" s="216"/>
      <c r="BJ1036" s="1469"/>
      <c r="BK1036" s="1459"/>
      <c r="BL1036" s="260"/>
      <c r="BM1036" s="214"/>
      <c r="BN1036" s="293"/>
      <c r="BO1036" s="217"/>
      <c r="BP1036" s="355"/>
      <c r="BQ1036" s="217"/>
      <c r="BR1036" s="1193"/>
      <c r="BS1036" s="249"/>
      <c r="BT1036" s="216"/>
      <c r="BU1036" s="1195"/>
      <c r="BV1036" s="249"/>
      <c r="BW1036" s="216"/>
      <c r="BX1036" s="1195"/>
      <c r="BY1036" s="249"/>
      <c r="BZ1036" s="216"/>
      <c r="CA1036" s="1195"/>
      <c r="CB1036" s="249"/>
      <c r="CC1036" s="216"/>
      <c r="CD1036" s="1195"/>
      <c r="CE1036" s="249"/>
      <c r="CF1036" s="216"/>
      <c r="CG1036" s="1195"/>
      <c r="CH1036" s="249"/>
      <c r="CI1036" s="216"/>
      <c r="CJ1036" s="1195"/>
      <c r="CK1036" s="249"/>
      <c r="CL1036" s="216"/>
      <c r="CM1036" s="1194"/>
      <c r="CN1036" s="1524"/>
      <c r="CO1036" s="217"/>
      <c r="CP1036" s="1193"/>
      <c r="CQ1036" s="293"/>
      <c r="CR1036" s="217"/>
      <c r="CS1036" s="305"/>
      <c r="CT1036" s="249"/>
      <c r="CU1036" s="216"/>
      <c r="CV1036" s="1193"/>
      <c r="CW1036" s="249"/>
      <c r="CX1036" s="216"/>
      <c r="CY1036" s="305"/>
      <c r="CZ1036" s="249"/>
      <c r="DA1036" s="216"/>
      <c r="DB1036" s="307"/>
      <c r="DC1036" s="328"/>
      <c r="DD1036" s="322"/>
      <c r="DE1036" s="305"/>
      <c r="DF1036" s="249"/>
      <c r="DG1036" s="216"/>
      <c r="DH1036" s="305"/>
      <c r="DI1036" s="249"/>
      <c r="DJ1036" s="216"/>
      <c r="DK1036" s="309"/>
      <c r="DL1036" s="293"/>
      <c r="DM1036" s="326"/>
      <c r="DN1036" s="1256"/>
      <c r="DO1036" s="214"/>
      <c r="DP1036" s="1257"/>
      <c r="DQ1036" s="1258"/>
      <c r="DR1036" s="305"/>
      <c r="DS1036" s="249"/>
      <c r="DT1036" s="216"/>
      <c r="DU1036" s="305"/>
      <c r="DV1036" s="2520"/>
      <c r="DW1036" s="2521"/>
      <c r="DX1036" s="305"/>
      <c r="DY1036" s="249"/>
      <c r="DZ1036" s="221"/>
      <c r="EA1036" s="388"/>
      <c r="EB1036" s="249"/>
      <c r="EC1036" s="216"/>
      <c r="ED1036" s="1461"/>
      <c r="EE1036" s="249"/>
      <c r="EF1036" s="216"/>
      <c r="EG1036" s="355"/>
      <c r="EH1036" s="1425"/>
      <c r="EI1036" s="1470"/>
      <c r="EJ1036" s="249"/>
      <c r="EK1036" s="221"/>
      <c r="EL1036" s="313"/>
      <c r="EM1036" s="249"/>
      <c r="EN1036" s="221"/>
      <c r="EO1036" s="313"/>
      <c r="EP1036" s="249"/>
      <c r="EQ1036" s="216"/>
      <c r="ER1036" s="313"/>
      <c r="ES1036" s="249"/>
      <c r="ET1036" s="216"/>
      <c r="EU1036" s="313"/>
      <c r="EV1036" s="249"/>
      <c r="EW1036" s="216"/>
      <c r="EX1036" s="2505"/>
      <c r="EY1036" s="249"/>
      <c r="EZ1036" s="221"/>
      <c r="FA1036" s="313"/>
      <c r="FB1036" s="249"/>
      <c r="FC1036" s="221"/>
      <c r="FD1036" s="313"/>
      <c r="FE1036" s="249"/>
      <c r="FF1036" s="221"/>
      <c r="FG1036" s="313"/>
      <c r="FH1036" s="249"/>
      <c r="FI1036" s="216"/>
      <c r="FJ1036" s="1435"/>
      <c r="FK1036" s="216"/>
      <c r="FL1036" s="1268"/>
      <c r="FM1036" s="1655"/>
      <c r="FN1036" s="1268"/>
      <c r="FO1036" s="1655"/>
      <c r="FP1036" s="1268"/>
      <c r="FQ1036" s="1656"/>
      <c r="FR1036" s="249"/>
      <c r="FS1036" s="216"/>
      <c r="FT1036" s="1657"/>
      <c r="FU1036" s="1658"/>
      <c r="FV1036" s="242"/>
      <c r="FW1036" s="343"/>
      <c r="FX1036" s="222"/>
      <c r="FY1036" s="336"/>
      <c r="FZ1036" s="223"/>
      <c r="GA1036" s="338"/>
      <c r="GB1036" s="204"/>
      <c r="GC1036" s="339"/>
      <c r="GD1036" s="342"/>
      <c r="GE1036" s="199"/>
      <c r="GF1036" s="199"/>
      <c r="GG1036" s="199"/>
      <c r="GH1036" s="199"/>
      <c r="GI1036" s="199"/>
      <c r="GJ1036" s="199"/>
      <c r="GK1036" s="199"/>
      <c r="GO1036" s="322"/>
      <c r="GP1036" s="1190"/>
      <c r="GQ1036" s="1190"/>
      <c r="GS1036" s="2879"/>
      <c r="GT1036" s="2880"/>
      <c r="GU1036" s="2881"/>
    </row>
    <row r="1037" spans="1:203" ht="12" customHeight="1">
      <c r="A1037" s="1252"/>
      <c r="B1037" s="200"/>
      <c r="C1037" s="486"/>
      <c r="T1037" s="1186"/>
      <c r="U1037" s="233"/>
      <c r="W1037" s="218"/>
      <c r="X1037" s="218"/>
      <c r="Y1037" s="216"/>
      <c r="Z1037" s="216"/>
      <c r="AA1037" s="215"/>
      <c r="AB1037" s="216"/>
      <c r="AC1037" s="216"/>
      <c r="AD1037" s="239"/>
      <c r="AE1037" s="216"/>
      <c r="AF1037" s="216"/>
      <c r="AG1037" s="216"/>
      <c r="AH1037" s="216"/>
      <c r="AI1037" s="216"/>
      <c r="AJ1037" s="216"/>
      <c r="AK1037" s="239"/>
      <c r="AL1037" s="216"/>
      <c r="AM1037" s="216"/>
      <c r="AN1037" s="216"/>
      <c r="AO1037" s="216"/>
      <c r="AP1037" s="216"/>
      <c r="AQ1037" s="216"/>
      <c r="AR1037" s="216"/>
      <c r="AS1037" s="216"/>
      <c r="AT1037" s="216"/>
      <c r="AU1037" s="216"/>
      <c r="AV1037" s="217"/>
      <c r="AW1037" s="355"/>
      <c r="AX1037" s="217"/>
      <c r="AY1037" s="305"/>
      <c r="AZ1037" s="249"/>
      <c r="BA1037" s="221"/>
      <c r="BB1037" s="300"/>
      <c r="BC1037" s="217"/>
      <c r="BD1037" s="392"/>
      <c r="BE1037" s="1244"/>
      <c r="BF1037" s="249"/>
      <c r="BG1037" s="252"/>
      <c r="BH1037" s="1469"/>
      <c r="BI1037" s="216"/>
      <c r="BJ1037" s="1469"/>
      <c r="BK1037" s="1459"/>
      <c r="BL1037" s="260"/>
      <c r="BM1037" s="214"/>
      <c r="BN1037" s="293"/>
      <c r="BO1037" s="217"/>
      <c r="BP1037" s="355"/>
      <c r="BQ1037" s="217"/>
      <c r="BR1037" s="1193"/>
      <c r="BS1037" s="249"/>
      <c r="BT1037" s="216"/>
      <c r="BU1037" s="1195"/>
      <c r="BV1037" s="249"/>
      <c r="BW1037" s="216"/>
      <c r="BX1037" s="1195"/>
      <c r="BY1037" s="249"/>
      <c r="BZ1037" s="216"/>
      <c r="CA1037" s="1195"/>
      <c r="CB1037" s="249"/>
      <c r="CC1037" s="216"/>
      <c r="CD1037" s="1195"/>
      <c r="CE1037" s="249"/>
      <c r="CF1037" s="216"/>
      <c r="CG1037" s="1195"/>
      <c r="CH1037" s="249"/>
      <c r="CI1037" s="216"/>
      <c r="CJ1037" s="1195"/>
      <c r="CK1037" s="249"/>
      <c r="CL1037" s="216"/>
      <c r="CM1037" s="1194"/>
      <c r="CN1037" s="1524"/>
      <c r="CO1037" s="217"/>
      <c r="CP1037" s="1193"/>
      <c r="CQ1037" s="293"/>
      <c r="CR1037" s="217"/>
      <c r="CS1037" s="305"/>
      <c r="CT1037" s="249"/>
      <c r="CU1037" s="216"/>
      <c r="CV1037" s="1193"/>
      <c r="CW1037" s="249"/>
      <c r="CX1037" s="216"/>
      <c r="CY1037" s="305"/>
      <c r="CZ1037" s="249"/>
      <c r="DA1037" s="216"/>
      <c r="DB1037" s="307"/>
      <c r="DC1037" s="328"/>
      <c r="DD1037" s="322"/>
      <c r="DE1037" s="305"/>
      <c r="DF1037" s="249"/>
      <c r="DG1037" s="216"/>
      <c r="DH1037" s="305"/>
      <c r="DI1037" s="249"/>
      <c r="DJ1037" s="216"/>
      <c r="DK1037" s="309"/>
      <c r="DL1037" s="293"/>
      <c r="DM1037" s="326"/>
      <c r="DN1037" s="1256"/>
      <c r="DO1037" s="214"/>
      <c r="DP1037" s="1257"/>
      <c r="DQ1037" s="1258"/>
      <c r="DR1037" s="305"/>
      <c r="DS1037" s="249"/>
      <c r="DT1037" s="216"/>
      <c r="DU1037" s="305"/>
      <c r="DV1037" s="2520"/>
      <c r="DW1037" s="2521"/>
      <c r="DX1037" s="305"/>
      <c r="DY1037" s="249"/>
      <c r="DZ1037" s="221"/>
      <c r="EA1037" s="388"/>
      <c r="EB1037" s="249"/>
      <c r="EC1037" s="216"/>
      <c r="ED1037" s="1461"/>
      <c r="EE1037" s="249"/>
      <c r="EF1037" s="216"/>
      <c r="EG1037" s="355"/>
      <c r="EH1037" s="1425"/>
      <c r="EI1037" s="1470"/>
      <c r="EJ1037" s="249"/>
      <c r="EK1037" s="221"/>
      <c r="EL1037" s="313"/>
      <c r="EM1037" s="249"/>
      <c r="EN1037" s="221"/>
      <c r="EO1037" s="313"/>
      <c r="EP1037" s="249"/>
      <c r="EQ1037" s="216"/>
      <c r="ER1037" s="313"/>
      <c r="ES1037" s="249"/>
      <c r="ET1037" s="216"/>
      <c r="EU1037" s="313"/>
      <c r="EV1037" s="249"/>
      <c r="EW1037" s="216"/>
      <c r="EX1037" s="2505"/>
      <c r="EY1037" s="249"/>
      <c r="EZ1037" s="221"/>
      <c r="FA1037" s="313"/>
      <c r="FB1037" s="249"/>
      <c r="FC1037" s="221"/>
      <c r="FD1037" s="313"/>
      <c r="FE1037" s="249"/>
      <c r="FF1037" s="221"/>
      <c r="FG1037" s="313"/>
      <c r="FH1037" s="249"/>
      <c r="FI1037" s="216"/>
      <c r="FJ1037" s="1435"/>
      <c r="FK1037" s="216"/>
      <c r="FL1037" s="1268"/>
      <c r="FM1037" s="1655"/>
      <c r="FN1037" s="1268"/>
      <c r="FO1037" s="1655"/>
      <c r="FP1037" s="1268"/>
      <c r="FQ1037" s="1656"/>
      <c r="FR1037" s="249"/>
      <c r="FS1037" s="216"/>
      <c r="FT1037" s="1657"/>
      <c r="FU1037" s="1658"/>
      <c r="FV1037" s="242"/>
      <c r="FW1037" s="343"/>
      <c r="FX1037" s="222"/>
      <c r="FY1037" s="336"/>
      <c r="FZ1037" s="223"/>
      <c r="GA1037" s="338"/>
      <c r="GB1037" s="204"/>
      <c r="GC1037" s="339"/>
      <c r="GD1037" s="342"/>
      <c r="GE1037" s="199"/>
      <c r="GF1037" s="199"/>
      <c r="GG1037" s="199"/>
      <c r="GH1037" s="199"/>
      <c r="GI1037" s="199"/>
      <c r="GJ1037" s="199"/>
      <c r="GK1037" s="199"/>
      <c r="GO1037" s="322"/>
      <c r="GP1037" s="1190"/>
      <c r="GQ1037" s="1190"/>
      <c r="GS1037" s="2879"/>
      <c r="GT1037" s="2880"/>
      <c r="GU1037" s="2881"/>
    </row>
    <row r="1038" spans="1:203" ht="12" customHeight="1">
      <c r="A1038" s="1252"/>
      <c r="B1038" s="200"/>
      <c r="C1038" s="486"/>
      <c r="T1038" s="1186"/>
      <c r="U1038" s="233"/>
      <c r="W1038" s="218"/>
      <c r="X1038" s="218"/>
      <c r="Y1038" s="216"/>
      <c r="Z1038" s="216"/>
      <c r="AA1038" s="215"/>
      <c r="AB1038" s="216"/>
      <c r="AC1038" s="216"/>
      <c r="AD1038" s="239"/>
      <c r="AE1038" s="216"/>
      <c r="AF1038" s="216"/>
      <c r="AG1038" s="216"/>
      <c r="AH1038" s="216"/>
      <c r="AI1038" s="216"/>
      <c r="AJ1038" s="216"/>
      <c r="AK1038" s="239"/>
      <c r="AL1038" s="216"/>
      <c r="AM1038" s="216"/>
      <c r="AN1038" s="216"/>
      <c r="AO1038" s="216"/>
      <c r="AP1038" s="216"/>
      <c r="AQ1038" s="216"/>
      <c r="AR1038" s="216"/>
      <c r="AS1038" s="216"/>
      <c r="AT1038" s="216"/>
      <c r="AU1038" s="216"/>
      <c r="AV1038" s="217"/>
      <c r="AW1038" s="355"/>
      <c r="AX1038" s="217"/>
      <c r="AY1038" s="305"/>
      <c r="AZ1038" s="249"/>
      <c r="BA1038" s="221"/>
      <c r="BB1038" s="300"/>
      <c r="BC1038" s="217"/>
      <c r="BD1038" s="392"/>
      <c r="BE1038" s="1244"/>
      <c r="BF1038" s="249"/>
      <c r="BG1038" s="252"/>
      <c r="BH1038" s="1469"/>
      <c r="BI1038" s="216"/>
      <c r="BJ1038" s="1469"/>
      <c r="BK1038" s="1459"/>
      <c r="BL1038" s="260"/>
      <c r="BM1038" s="214"/>
      <c r="BN1038" s="293"/>
      <c r="BO1038" s="217"/>
      <c r="BP1038" s="355"/>
      <c r="BQ1038" s="217"/>
      <c r="BR1038" s="1193"/>
      <c r="BS1038" s="249"/>
      <c r="BT1038" s="216"/>
      <c r="BU1038" s="1195"/>
      <c r="BV1038" s="249"/>
      <c r="BW1038" s="216"/>
      <c r="BX1038" s="1195"/>
      <c r="BY1038" s="249"/>
      <c r="BZ1038" s="216"/>
      <c r="CA1038" s="1195"/>
      <c r="CB1038" s="249"/>
      <c r="CC1038" s="216"/>
      <c r="CD1038" s="1195"/>
      <c r="CE1038" s="249"/>
      <c r="CF1038" s="216"/>
      <c r="CG1038" s="1195"/>
      <c r="CH1038" s="249"/>
      <c r="CI1038" s="216"/>
      <c r="CJ1038" s="1195"/>
      <c r="CK1038" s="249"/>
      <c r="CL1038" s="216"/>
      <c r="CM1038" s="1194"/>
      <c r="CN1038" s="1524"/>
      <c r="CO1038" s="217"/>
      <c r="CP1038" s="1193"/>
      <c r="CQ1038" s="293"/>
      <c r="CR1038" s="217"/>
      <c r="CS1038" s="305"/>
      <c r="CT1038" s="249"/>
      <c r="CU1038" s="216"/>
      <c r="CV1038" s="1193"/>
      <c r="CW1038" s="249"/>
      <c r="CX1038" s="216"/>
      <c r="CY1038" s="305"/>
      <c r="CZ1038" s="249"/>
      <c r="DA1038" s="216"/>
      <c r="DB1038" s="307"/>
      <c r="DC1038" s="328"/>
      <c r="DD1038" s="322"/>
      <c r="DE1038" s="305"/>
      <c r="DF1038" s="249"/>
      <c r="DG1038" s="216"/>
      <c r="DH1038" s="305"/>
      <c r="DI1038" s="249"/>
      <c r="DJ1038" s="216"/>
      <c r="DK1038" s="309"/>
      <c r="DL1038" s="293"/>
      <c r="DM1038" s="326"/>
      <c r="DN1038" s="1256"/>
      <c r="DO1038" s="214"/>
      <c r="DP1038" s="1257"/>
      <c r="DQ1038" s="1258"/>
      <c r="DR1038" s="305"/>
      <c r="DS1038" s="249"/>
      <c r="DT1038" s="216"/>
      <c r="DU1038" s="305"/>
      <c r="DV1038" s="2520"/>
      <c r="DW1038" s="2521"/>
      <c r="DX1038" s="305"/>
      <c r="DY1038" s="249"/>
      <c r="DZ1038" s="221"/>
      <c r="EA1038" s="388"/>
      <c r="EB1038" s="249"/>
      <c r="EC1038" s="216"/>
      <c r="ED1038" s="1461"/>
      <c r="EE1038" s="249"/>
      <c r="EF1038" s="216"/>
      <c r="EG1038" s="355"/>
      <c r="EH1038" s="1425"/>
      <c r="EI1038" s="1470"/>
      <c r="EJ1038" s="249"/>
      <c r="EK1038" s="221"/>
      <c r="EL1038" s="313"/>
      <c r="EM1038" s="249"/>
      <c r="EN1038" s="221"/>
      <c r="EO1038" s="313"/>
      <c r="EP1038" s="249"/>
      <c r="EQ1038" s="216"/>
      <c r="ER1038" s="313"/>
      <c r="ES1038" s="249"/>
      <c r="ET1038" s="216"/>
      <c r="EU1038" s="313"/>
      <c r="EV1038" s="249"/>
      <c r="EW1038" s="216"/>
      <c r="EX1038" s="2505"/>
      <c r="EY1038" s="249"/>
      <c r="EZ1038" s="221"/>
      <c r="FA1038" s="313"/>
      <c r="FB1038" s="249"/>
      <c r="FC1038" s="221"/>
      <c r="FD1038" s="313"/>
      <c r="FE1038" s="249"/>
      <c r="FF1038" s="221"/>
      <c r="FG1038" s="313"/>
      <c r="FH1038" s="249"/>
      <c r="FI1038" s="216"/>
      <c r="FJ1038" s="1435"/>
      <c r="FK1038" s="216"/>
      <c r="FL1038" s="1268"/>
      <c r="FM1038" s="1655"/>
      <c r="FN1038" s="1268"/>
      <c r="FO1038" s="1655"/>
      <c r="FP1038" s="1268"/>
      <c r="FQ1038" s="1656"/>
      <c r="FR1038" s="249"/>
      <c r="FS1038" s="216"/>
      <c r="FT1038" s="1657"/>
      <c r="FU1038" s="1658"/>
      <c r="FV1038" s="242"/>
      <c r="FW1038" s="343"/>
      <c r="FX1038" s="222"/>
      <c r="FY1038" s="336"/>
      <c r="FZ1038" s="223"/>
      <c r="GA1038" s="338"/>
      <c r="GB1038" s="204"/>
      <c r="GC1038" s="339"/>
      <c r="GD1038" s="342"/>
      <c r="GE1038" s="199"/>
      <c r="GF1038" s="199"/>
      <c r="GG1038" s="199"/>
      <c r="GH1038" s="199"/>
      <c r="GI1038" s="199"/>
      <c r="GJ1038" s="199"/>
      <c r="GK1038" s="199"/>
      <c r="GO1038" s="322"/>
      <c r="GP1038" s="1190"/>
      <c r="GQ1038" s="1190"/>
      <c r="GS1038" s="2879"/>
      <c r="GT1038" s="2880"/>
      <c r="GU1038" s="2881"/>
    </row>
    <row r="1039" spans="1:203" ht="12" customHeight="1">
      <c r="A1039" s="1252"/>
      <c r="B1039" s="200"/>
      <c r="C1039" s="486"/>
      <c r="T1039" s="1186"/>
      <c r="U1039" s="233"/>
      <c r="W1039" s="218"/>
      <c r="X1039" s="218"/>
      <c r="Y1039" s="216"/>
      <c r="Z1039" s="216"/>
      <c r="AA1039" s="215"/>
      <c r="AB1039" s="216"/>
      <c r="AC1039" s="216"/>
      <c r="AD1039" s="239"/>
      <c r="AE1039" s="216"/>
      <c r="AF1039" s="216"/>
      <c r="AG1039" s="216"/>
      <c r="AH1039" s="216"/>
      <c r="AI1039" s="216"/>
      <c r="AJ1039" s="216"/>
      <c r="AK1039" s="239"/>
      <c r="AL1039" s="216"/>
      <c r="AM1039" s="216"/>
      <c r="AN1039" s="216"/>
      <c r="AO1039" s="216"/>
      <c r="AP1039" s="216"/>
      <c r="AQ1039" s="216"/>
      <c r="AR1039" s="216"/>
      <c r="AS1039" s="216"/>
      <c r="AT1039" s="216"/>
      <c r="AU1039" s="216"/>
      <c r="AV1039" s="217"/>
      <c r="AW1039" s="355"/>
      <c r="AX1039" s="217"/>
      <c r="AY1039" s="305"/>
      <c r="AZ1039" s="249"/>
      <c r="BA1039" s="221"/>
      <c r="BB1039" s="300"/>
      <c r="BC1039" s="217"/>
      <c r="BD1039" s="392"/>
      <c r="BE1039" s="1244"/>
      <c r="BF1039" s="249"/>
      <c r="BG1039" s="252"/>
      <c r="BH1039" s="1469"/>
      <c r="BI1039" s="216"/>
      <c r="BJ1039" s="1469"/>
      <c r="BK1039" s="1459"/>
      <c r="BL1039" s="260"/>
      <c r="BM1039" s="214"/>
      <c r="BN1039" s="293"/>
      <c r="BO1039" s="217"/>
      <c r="BP1039" s="355"/>
      <c r="BQ1039" s="217"/>
      <c r="BR1039" s="1193"/>
      <c r="BS1039" s="249"/>
      <c r="BT1039" s="216"/>
      <c r="BU1039" s="1195"/>
      <c r="BV1039" s="249"/>
      <c r="BW1039" s="216"/>
      <c r="BX1039" s="1195"/>
      <c r="BY1039" s="249"/>
      <c r="BZ1039" s="216"/>
      <c r="CA1039" s="1195"/>
      <c r="CB1039" s="249"/>
      <c r="CC1039" s="216"/>
      <c r="CD1039" s="1195"/>
      <c r="CE1039" s="249"/>
      <c r="CF1039" s="216"/>
      <c r="CG1039" s="1195"/>
      <c r="CH1039" s="249"/>
      <c r="CI1039" s="216"/>
      <c r="CJ1039" s="1195"/>
      <c r="CK1039" s="249"/>
      <c r="CL1039" s="216"/>
      <c r="CM1039" s="1194"/>
      <c r="CN1039" s="1524"/>
      <c r="CO1039" s="217"/>
      <c r="CP1039" s="1193"/>
      <c r="CQ1039" s="293"/>
      <c r="CR1039" s="217"/>
      <c r="CS1039" s="305"/>
      <c r="CT1039" s="249"/>
      <c r="CU1039" s="216"/>
      <c r="CV1039" s="1193"/>
      <c r="CW1039" s="249"/>
      <c r="CX1039" s="216"/>
      <c r="CY1039" s="305"/>
      <c r="CZ1039" s="249"/>
      <c r="DA1039" s="216"/>
      <c r="DB1039" s="307"/>
      <c r="DC1039" s="328"/>
      <c r="DD1039" s="322"/>
      <c r="DE1039" s="305"/>
      <c r="DF1039" s="249"/>
      <c r="DG1039" s="216"/>
      <c r="DH1039" s="305"/>
      <c r="DI1039" s="249"/>
      <c r="DJ1039" s="216"/>
      <c r="DK1039" s="309"/>
      <c r="DL1039" s="293"/>
      <c r="DM1039" s="326"/>
      <c r="DN1039" s="1256"/>
      <c r="DO1039" s="214"/>
      <c r="DP1039" s="1257"/>
      <c r="DQ1039" s="1258"/>
      <c r="DR1039" s="305"/>
      <c r="DS1039" s="249"/>
      <c r="DT1039" s="216"/>
      <c r="DU1039" s="305"/>
      <c r="DV1039" s="2520"/>
      <c r="DW1039" s="2521"/>
      <c r="DX1039" s="305"/>
      <c r="DY1039" s="249"/>
      <c r="DZ1039" s="221"/>
      <c r="EA1039" s="388"/>
      <c r="EB1039" s="249"/>
      <c r="EC1039" s="216"/>
      <c r="ED1039" s="1461"/>
      <c r="EE1039" s="249"/>
      <c r="EF1039" s="216"/>
      <c r="EG1039" s="355"/>
      <c r="EH1039" s="1425"/>
      <c r="EI1039" s="1470"/>
      <c r="EJ1039" s="249"/>
      <c r="EK1039" s="221"/>
      <c r="EL1039" s="313"/>
      <c r="EM1039" s="249"/>
      <c r="EN1039" s="221"/>
      <c r="EO1039" s="313"/>
      <c r="EP1039" s="249"/>
      <c r="EQ1039" s="216"/>
      <c r="ER1039" s="313"/>
      <c r="ES1039" s="249"/>
      <c r="ET1039" s="216"/>
      <c r="EU1039" s="313"/>
      <c r="EV1039" s="249"/>
      <c r="EW1039" s="216"/>
      <c r="EX1039" s="2505"/>
      <c r="EY1039" s="249"/>
      <c r="EZ1039" s="221"/>
      <c r="FA1039" s="313"/>
      <c r="FB1039" s="249"/>
      <c r="FC1039" s="221"/>
      <c r="FD1039" s="313"/>
      <c r="FE1039" s="249"/>
      <c r="FF1039" s="221"/>
      <c r="FG1039" s="313"/>
      <c r="FH1039" s="249"/>
      <c r="FI1039" s="216"/>
      <c r="FJ1039" s="1435"/>
      <c r="FK1039" s="216"/>
      <c r="FL1039" s="1268"/>
      <c r="FM1039" s="1655"/>
      <c r="FN1039" s="1268"/>
      <c r="FO1039" s="1655"/>
      <c r="FP1039" s="1268"/>
      <c r="FQ1039" s="1656"/>
      <c r="FR1039" s="249"/>
      <c r="FS1039" s="216"/>
      <c r="FT1039" s="1657"/>
      <c r="FU1039" s="1658"/>
      <c r="FV1039" s="242"/>
      <c r="FW1039" s="343"/>
      <c r="FX1039" s="222"/>
      <c r="FY1039" s="336"/>
      <c r="FZ1039" s="223"/>
      <c r="GA1039" s="338"/>
      <c r="GB1039" s="204"/>
      <c r="GC1039" s="339"/>
      <c r="GD1039" s="342"/>
      <c r="GE1039" s="199"/>
      <c r="GF1039" s="199"/>
      <c r="GG1039" s="199"/>
      <c r="GH1039" s="199"/>
      <c r="GI1039" s="199"/>
      <c r="GJ1039" s="199"/>
      <c r="GK1039" s="199"/>
      <c r="GO1039" s="322"/>
      <c r="GP1039" s="1190"/>
      <c r="GQ1039" s="1190"/>
      <c r="GS1039" s="2879"/>
      <c r="GT1039" s="2880"/>
      <c r="GU1039" s="2881"/>
    </row>
    <row r="1040" spans="1:203" ht="12" customHeight="1">
      <c r="A1040" s="1252"/>
      <c r="B1040" s="200"/>
      <c r="C1040" s="486"/>
      <c r="T1040" s="1186"/>
      <c r="U1040" s="233"/>
      <c r="W1040" s="218"/>
      <c r="X1040" s="218"/>
      <c r="Y1040" s="216"/>
      <c r="Z1040" s="216"/>
      <c r="AA1040" s="215"/>
      <c r="AB1040" s="216"/>
      <c r="AC1040" s="216"/>
      <c r="AD1040" s="239"/>
      <c r="AE1040" s="216"/>
      <c r="AF1040" s="216"/>
      <c r="AG1040" s="216"/>
      <c r="AH1040" s="216"/>
      <c r="AI1040" s="216"/>
      <c r="AJ1040" s="216"/>
      <c r="AK1040" s="239"/>
      <c r="AL1040" s="216"/>
      <c r="AM1040" s="216"/>
      <c r="AN1040" s="216"/>
      <c r="AO1040" s="216"/>
      <c r="AP1040" s="216"/>
      <c r="AQ1040" s="216"/>
      <c r="AR1040" s="216"/>
      <c r="AS1040" s="216"/>
      <c r="AT1040" s="216"/>
      <c r="AU1040" s="216"/>
      <c r="AV1040" s="217"/>
      <c r="AW1040" s="355"/>
      <c r="AX1040" s="217"/>
      <c r="AY1040" s="305"/>
      <c r="AZ1040" s="249"/>
      <c r="BA1040" s="221"/>
      <c r="BB1040" s="300"/>
      <c r="BC1040" s="217"/>
      <c r="BD1040" s="392"/>
      <c r="BE1040" s="1244"/>
      <c r="BF1040" s="249"/>
      <c r="BG1040" s="252"/>
      <c r="BH1040" s="1469"/>
      <c r="BI1040" s="216"/>
      <c r="BJ1040" s="1469"/>
      <c r="BK1040" s="1459"/>
      <c r="BL1040" s="260"/>
      <c r="BM1040" s="214"/>
      <c r="BN1040" s="293"/>
      <c r="BO1040" s="217"/>
      <c r="BP1040" s="355"/>
      <c r="BQ1040" s="217"/>
      <c r="BR1040" s="1193"/>
      <c r="BS1040" s="249"/>
      <c r="BT1040" s="216"/>
      <c r="BU1040" s="1195"/>
      <c r="BV1040" s="249"/>
      <c r="BW1040" s="216"/>
      <c r="BX1040" s="1195"/>
      <c r="BY1040" s="249"/>
      <c r="BZ1040" s="216"/>
      <c r="CA1040" s="1195"/>
      <c r="CB1040" s="249"/>
      <c r="CC1040" s="216"/>
      <c r="CD1040" s="1195"/>
      <c r="CE1040" s="249"/>
      <c r="CF1040" s="216"/>
      <c r="CG1040" s="1195"/>
      <c r="CH1040" s="249"/>
      <c r="CI1040" s="216"/>
      <c r="CJ1040" s="1195"/>
      <c r="CK1040" s="249"/>
      <c r="CL1040" s="216"/>
      <c r="CM1040" s="1194"/>
      <c r="CN1040" s="1524"/>
      <c r="CO1040" s="217"/>
      <c r="CP1040" s="1193"/>
      <c r="CQ1040" s="293"/>
      <c r="CR1040" s="217"/>
      <c r="CS1040" s="305"/>
      <c r="CT1040" s="249"/>
      <c r="CU1040" s="216"/>
      <c r="CV1040" s="1193"/>
      <c r="CW1040" s="249"/>
      <c r="CX1040" s="216"/>
      <c r="CY1040" s="305"/>
      <c r="CZ1040" s="249"/>
      <c r="DA1040" s="216"/>
      <c r="DB1040" s="307"/>
      <c r="DC1040" s="328"/>
      <c r="DD1040" s="322"/>
      <c r="DE1040" s="305"/>
      <c r="DF1040" s="249"/>
      <c r="DG1040" s="216"/>
      <c r="DH1040" s="305"/>
      <c r="DI1040" s="249"/>
      <c r="DJ1040" s="216"/>
      <c r="DK1040" s="309"/>
      <c r="DL1040" s="293"/>
      <c r="DM1040" s="326"/>
      <c r="DN1040" s="1256"/>
      <c r="DO1040" s="214"/>
      <c r="DP1040" s="1257"/>
      <c r="DQ1040" s="1258"/>
      <c r="DR1040" s="305"/>
      <c r="DS1040" s="249"/>
      <c r="DT1040" s="216"/>
      <c r="DU1040" s="305"/>
      <c r="DV1040" s="2520"/>
      <c r="DW1040" s="2521"/>
      <c r="DX1040" s="305"/>
      <c r="DY1040" s="249"/>
      <c r="DZ1040" s="221"/>
      <c r="EA1040" s="388"/>
      <c r="EB1040" s="249"/>
      <c r="EC1040" s="216"/>
      <c r="ED1040" s="1461"/>
      <c r="EE1040" s="249"/>
      <c r="EF1040" s="216"/>
      <c r="EG1040" s="355"/>
      <c r="EH1040" s="1425"/>
      <c r="EI1040" s="1470"/>
      <c r="EJ1040" s="249"/>
      <c r="EK1040" s="221"/>
      <c r="EL1040" s="313"/>
      <c r="EM1040" s="249"/>
      <c r="EN1040" s="221"/>
      <c r="EO1040" s="313"/>
      <c r="EP1040" s="249"/>
      <c r="EQ1040" s="216"/>
      <c r="ER1040" s="313"/>
      <c r="ES1040" s="249"/>
      <c r="ET1040" s="216"/>
      <c r="EU1040" s="313"/>
      <c r="EV1040" s="249"/>
      <c r="EW1040" s="216"/>
      <c r="EX1040" s="2505"/>
      <c r="EY1040" s="249"/>
      <c r="EZ1040" s="221"/>
      <c r="FA1040" s="313"/>
      <c r="FB1040" s="249"/>
      <c r="FC1040" s="221"/>
      <c r="FD1040" s="313"/>
      <c r="FE1040" s="249"/>
      <c r="FF1040" s="221"/>
      <c r="FG1040" s="313"/>
      <c r="FH1040" s="249"/>
      <c r="FI1040" s="216"/>
      <c r="FJ1040" s="1435"/>
      <c r="FK1040" s="216"/>
      <c r="FL1040" s="1268"/>
      <c r="FM1040" s="1655"/>
      <c r="FN1040" s="1268"/>
      <c r="FO1040" s="1655"/>
      <c r="FP1040" s="1268"/>
      <c r="FQ1040" s="1656"/>
      <c r="FR1040" s="249"/>
      <c r="FS1040" s="216"/>
      <c r="FT1040" s="1657"/>
      <c r="FU1040" s="1658"/>
      <c r="FV1040" s="242"/>
      <c r="FW1040" s="343"/>
      <c r="FX1040" s="222"/>
      <c r="FY1040" s="336"/>
      <c r="FZ1040" s="223"/>
      <c r="GA1040" s="338"/>
      <c r="GB1040" s="204"/>
      <c r="GC1040" s="339"/>
      <c r="GD1040" s="342"/>
      <c r="GE1040" s="199"/>
      <c r="GF1040" s="199"/>
      <c r="GG1040" s="199"/>
      <c r="GH1040" s="199"/>
      <c r="GI1040" s="199"/>
      <c r="GJ1040" s="199"/>
      <c r="GK1040" s="199"/>
      <c r="GO1040" s="322"/>
      <c r="GP1040" s="1190"/>
      <c r="GQ1040" s="1190"/>
      <c r="GS1040" s="2879"/>
      <c r="GT1040" s="2880"/>
      <c r="GU1040" s="2881"/>
    </row>
    <row r="1041" spans="1:203" ht="12" customHeight="1">
      <c r="A1041" s="1252"/>
      <c r="B1041" s="200"/>
      <c r="C1041" s="486"/>
      <c r="T1041" s="1186"/>
      <c r="U1041" s="233"/>
      <c r="W1041" s="218"/>
      <c r="X1041" s="218"/>
      <c r="Y1041" s="216"/>
      <c r="Z1041" s="216"/>
      <c r="AA1041" s="215"/>
      <c r="AB1041" s="216"/>
      <c r="AC1041" s="216"/>
      <c r="AD1041" s="239"/>
      <c r="AE1041" s="216"/>
      <c r="AF1041" s="216"/>
      <c r="AG1041" s="216"/>
      <c r="AH1041" s="216"/>
      <c r="AI1041" s="216"/>
      <c r="AJ1041" s="216"/>
      <c r="AK1041" s="239"/>
      <c r="AL1041" s="216"/>
      <c r="AM1041" s="216"/>
      <c r="AN1041" s="216"/>
      <c r="AO1041" s="216"/>
      <c r="AP1041" s="216"/>
      <c r="AQ1041" s="216"/>
      <c r="AR1041" s="216"/>
      <c r="AS1041" s="216"/>
      <c r="AT1041" s="216"/>
      <c r="AU1041" s="216"/>
      <c r="AV1041" s="217"/>
      <c r="AW1041" s="355"/>
      <c r="AX1041" s="217"/>
      <c r="AY1041" s="305"/>
      <c r="AZ1041" s="249"/>
      <c r="BA1041" s="221"/>
      <c r="BB1041" s="300"/>
      <c r="BC1041" s="217"/>
      <c r="BD1041" s="392"/>
      <c r="BE1041" s="1244"/>
      <c r="BF1041" s="249"/>
      <c r="BG1041" s="252"/>
      <c r="BH1041" s="1469"/>
      <c r="BI1041" s="216"/>
      <c r="BJ1041" s="1469"/>
      <c r="BK1041" s="1459"/>
      <c r="BL1041" s="260"/>
      <c r="BM1041" s="214"/>
      <c r="BN1041" s="293"/>
      <c r="BO1041" s="217"/>
      <c r="BP1041" s="355"/>
      <c r="BQ1041" s="217"/>
      <c r="BR1041" s="1193"/>
      <c r="BS1041" s="249"/>
      <c r="BT1041" s="216"/>
      <c r="BU1041" s="1195"/>
      <c r="BV1041" s="249"/>
      <c r="BW1041" s="216"/>
      <c r="BX1041" s="1195"/>
      <c r="BY1041" s="249"/>
      <c r="BZ1041" s="216"/>
      <c r="CA1041" s="1195"/>
      <c r="CB1041" s="249"/>
      <c r="CC1041" s="216"/>
      <c r="CD1041" s="1195"/>
      <c r="CE1041" s="249"/>
      <c r="CF1041" s="216"/>
      <c r="CG1041" s="1195"/>
      <c r="CH1041" s="249"/>
      <c r="CI1041" s="216"/>
      <c r="CJ1041" s="1195"/>
      <c r="CK1041" s="249"/>
      <c r="CL1041" s="216"/>
      <c r="CM1041" s="1194"/>
      <c r="CN1041" s="1524"/>
      <c r="CO1041" s="217"/>
      <c r="CP1041" s="1193"/>
      <c r="CQ1041" s="293"/>
      <c r="CR1041" s="217"/>
      <c r="CS1041" s="305"/>
      <c r="CT1041" s="249"/>
      <c r="CU1041" s="216"/>
      <c r="CV1041" s="1193"/>
      <c r="CW1041" s="249"/>
      <c r="CX1041" s="216"/>
      <c r="CY1041" s="305"/>
      <c r="CZ1041" s="249"/>
      <c r="DA1041" s="216"/>
      <c r="DB1041" s="307"/>
      <c r="DC1041" s="328"/>
      <c r="DD1041" s="322"/>
      <c r="DE1041" s="305"/>
      <c r="DF1041" s="249"/>
      <c r="DG1041" s="216"/>
      <c r="DH1041" s="305"/>
      <c r="DI1041" s="249"/>
      <c r="DJ1041" s="216"/>
      <c r="DK1041" s="309"/>
      <c r="DL1041" s="293"/>
      <c r="DM1041" s="326"/>
      <c r="DN1041" s="1256"/>
      <c r="DO1041" s="214"/>
      <c r="DP1041" s="1257"/>
      <c r="DQ1041" s="1258"/>
      <c r="DR1041" s="305"/>
      <c r="DS1041" s="249"/>
      <c r="DT1041" s="216"/>
      <c r="DU1041" s="305"/>
      <c r="DV1041" s="2520"/>
      <c r="DW1041" s="2521"/>
      <c r="DX1041" s="305"/>
      <c r="DY1041" s="249"/>
      <c r="DZ1041" s="221"/>
      <c r="EA1041" s="388"/>
      <c r="EB1041" s="249"/>
      <c r="EC1041" s="216"/>
      <c r="ED1041" s="1461"/>
      <c r="EE1041" s="249"/>
      <c r="EF1041" s="216"/>
      <c r="EG1041" s="355"/>
      <c r="EH1041" s="1425"/>
      <c r="EI1041" s="1470"/>
      <c r="EJ1041" s="249"/>
      <c r="EK1041" s="221"/>
      <c r="EL1041" s="313"/>
      <c r="EM1041" s="249"/>
      <c r="EN1041" s="221"/>
      <c r="EO1041" s="313"/>
      <c r="EP1041" s="249"/>
      <c r="EQ1041" s="216"/>
      <c r="ER1041" s="313"/>
      <c r="ES1041" s="249"/>
      <c r="ET1041" s="216"/>
      <c r="EU1041" s="313"/>
      <c r="EV1041" s="249"/>
      <c r="EW1041" s="216"/>
      <c r="EX1041" s="2505"/>
      <c r="EY1041" s="249"/>
      <c r="EZ1041" s="221"/>
      <c r="FA1041" s="313"/>
      <c r="FB1041" s="249"/>
      <c r="FC1041" s="221"/>
      <c r="FD1041" s="313"/>
      <c r="FE1041" s="249"/>
      <c r="FF1041" s="221"/>
      <c r="FG1041" s="313"/>
      <c r="FH1041" s="249"/>
      <c r="FI1041" s="216"/>
      <c r="FJ1041" s="1435"/>
      <c r="FK1041" s="216"/>
      <c r="FL1041" s="1268"/>
      <c r="FM1041" s="1655"/>
      <c r="FN1041" s="1268"/>
      <c r="FO1041" s="1655"/>
      <c r="FP1041" s="1268"/>
      <c r="FQ1041" s="1656"/>
      <c r="FR1041" s="249"/>
      <c r="FS1041" s="216"/>
      <c r="FT1041" s="1657"/>
      <c r="FU1041" s="1658"/>
      <c r="FV1041" s="242"/>
      <c r="FW1041" s="343"/>
      <c r="FX1041" s="222"/>
      <c r="FY1041" s="336"/>
      <c r="FZ1041" s="223"/>
      <c r="GA1041" s="338"/>
      <c r="GB1041" s="204"/>
      <c r="GC1041" s="339"/>
      <c r="GD1041" s="342"/>
      <c r="GE1041" s="199"/>
      <c r="GF1041" s="199"/>
      <c r="GG1041" s="199"/>
      <c r="GH1041" s="199"/>
      <c r="GI1041" s="199"/>
      <c r="GJ1041" s="199"/>
      <c r="GK1041" s="199"/>
      <c r="GO1041" s="322"/>
      <c r="GP1041" s="1190"/>
      <c r="GQ1041" s="1190"/>
      <c r="GS1041" s="2879"/>
      <c r="GT1041" s="2880"/>
      <c r="GU1041" s="2881"/>
    </row>
    <row r="1042" spans="1:203" ht="12" customHeight="1">
      <c r="A1042" s="1252"/>
      <c r="B1042" s="200"/>
      <c r="C1042" s="486"/>
      <c r="T1042" s="1186"/>
      <c r="U1042" s="233"/>
      <c r="W1042" s="218"/>
      <c r="X1042" s="218"/>
      <c r="Y1042" s="216"/>
      <c r="Z1042" s="216"/>
      <c r="AA1042" s="215"/>
      <c r="AB1042" s="216"/>
      <c r="AC1042" s="216"/>
      <c r="AD1042" s="239"/>
      <c r="AE1042" s="216"/>
      <c r="AF1042" s="216"/>
      <c r="AG1042" s="216"/>
      <c r="AH1042" s="216"/>
      <c r="AI1042" s="216"/>
      <c r="AJ1042" s="216"/>
      <c r="AK1042" s="239"/>
      <c r="AL1042" s="216"/>
      <c r="AM1042" s="216"/>
      <c r="AN1042" s="216"/>
      <c r="AO1042" s="216"/>
      <c r="AP1042" s="216"/>
      <c r="AQ1042" s="216"/>
      <c r="AR1042" s="216"/>
      <c r="AS1042" s="216"/>
      <c r="AT1042" s="216"/>
      <c r="AU1042" s="216"/>
      <c r="AV1042" s="217"/>
      <c r="AW1042" s="355"/>
      <c r="AX1042" s="217"/>
      <c r="AY1042" s="305"/>
      <c r="AZ1042" s="249"/>
      <c r="BA1042" s="221"/>
      <c r="BB1042" s="300"/>
      <c r="BC1042" s="217"/>
      <c r="BD1042" s="392"/>
      <c r="BE1042" s="1244"/>
      <c r="BF1042" s="249"/>
      <c r="BG1042" s="252"/>
      <c r="BH1042" s="1469"/>
      <c r="BI1042" s="216"/>
      <c r="BJ1042" s="1469"/>
      <c r="BK1042" s="1459"/>
      <c r="BL1042" s="260"/>
      <c r="BM1042" s="214"/>
      <c r="BN1042" s="293"/>
      <c r="BO1042" s="217"/>
      <c r="BP1042" s="355"/>
      <c r="BQ1042" s="217"/>
      <c r="BR1042" s="1193"/>
      <c r="BS1042" s="249"/>
      <c r="BT1042" s="216"/>
      <c r="BU1042" s="1195"/>
      <c r="BV1042" s="249"/>
      <c r="BW1042" s="216"/>
      <c r="BX1042" s="1195"/>
      <c r="BY1042" s="249"/>
      <c r="BZ1042" s="216"/>
      <c r="CA1042" s="1195"/>
      <c r="CB1042" s="249"/>
      <c r="CC1042" s="216"/>
      <c r="CD1042" s="1195"/>
      <c r="CE1042" s="249"/>
      <c r="CF1042" s="216"/>
      <c r="CG1042" s="1195"/>
      <c r="CH1042" s="249"/>
      <c r="CI1042" s="216"/>
      <c r="CJ1042" s="1195"/>
      <c r="CK1042" s="249"/>
      <c r="CL1042" s="216"/>
      <c r="CM1042" s="1194"/>
      <c r="CN1042" s="1524"/>
      <c r="CO1042" s="217"/>
      <c r="CP1042" s="1193"/>
      <c r="CQ1042" s="293"/>
      <c r="CR1042" s="217"/>
      <c r="CS1042" s="305"/>
      <c r="CT1042" s="249"/>
      <c r="CU1042" s="216"/>
      <c r="CV1042" s="1193"/>
      <c r="CW1042" s="249"/>
      <c r="CX1042" s="216"/>
      <c r="CY1042" s="305"/>
      <c r="CZ1042" s="249"/>
      <c r="DA1042" s="216"/>
      <c r="DB1042" s="307"/>
      <c r="DC1042" s="328"/>
      <c r="DD1042" s="322"/>
      <c r="DE1042" s="305"/>
      <c r="DF1042" s="249"/>
      <c r="DG1042" s="216"/>
      <c r="DH1042" s="305"/>
      <c r="DI1042" s="249"/>
      <c r="DJ1042" s="216"/>
      <c r="DK1042" s="309"/>
      <c r="DL1042" s="293"/>
      <c r="DM1042" s="326"/>
      <c r="DN1042" s="1256"/>
      <c r="DO1042" s="214"/>
      <c r="DP1042" s="1257"/>
      <c r="DQ1042" s="1258"/>
      <c r="DR1042" s="305"/>
      <c r="DS1042" s="249"/>
      <c r="DT1042" s="216"/>
      <c r="DU1042" s="305"/>
      <c r="DV1042" s="2520"/>
      <c r="DW1042" s="2521"/>
      <c r="DX1042" s="305"/>
      <c r="DY1042" s="249"/>
      <c r="DZ1042" s="221"/>
      <c r="EA1042" s="388"/>
      <c r="EB1042" s="249"/>
      <c r="EC1042" s="216"/>
      <c r="ED1042" s="1461"/>
      <c r="EE1042" s="249"/>
      <c r="EF1042" s="216"/>
      <c r="EG1042" s="355"/>
      <c r="EH1042" s="1425"/>
      <c r="EI1042" s="1470"/>
      <c r="EJ1042" s="249"/>
      <c r="EK1042" s="221"/>
      <c r="EL1042" s="313"/>
      <c r="EM1042" s="249"/>
      <c r="EN1042" s="221"/>
      <c r="EO1042" s="313"/>
      <c r="EP1042" s="249"/>
      <c r="EQ1042" s="216"/>
      <c r="ER1042" s="313"/>
      <c r="ES1042" s="249"/>
      <c r="ET1042" s="216"/>
      <c r="EU1042" s="313"/>
      <c r="EV1042" s="249"/>
      <c r="EW1042" s="216"/>
      <c r="EX1042" s="2505"/>
      <c r="EY1042" s="249"/>
      <c r="EZ1042" s="221"/>
      <c r="FA1042" s="313"/>
      <c r="FB1042" s="249"/>
      <c r="FC1042" s="221"/>
      <c r="FD1042" s="313"/>
      <c r="FE1042" s="249"/>
      <c r="FF1042" s="221"/>
      <c r="FG1042" s="313"/>
      <c r="FH1042" s="249"/>
      <c r="FI1042" s="216"/>
      <c r="FJ1042" s="1435"/>
      <c r="FK1042" s="216"/>
      <c r="FL1042" s="1268"/>
      <c r="FM1042" s="1655"/>
      <c r="FN1042" s="1268"/>
      <c r="FO1042" s="1655"/>
      <c r="FP1042" s="1268"/>
      <c r="FQ1042" s="1656"/>
      <c r="FR1042" s="249"/>
      <c r="FS1042" s="216"/>
      <c r="FT1042" s="1657"/>
      <c r="FU1042" s="1658"/>
      <c r="FV1042" s="242"/>
      <c r="FW1042" s="343"/>
      <c r="FX1042" s="222"/>
      <c r="FY1042" s="336"/>
      <c r="FZ1042" s="223"/>
      <c r="GA1042" s="338"/>
      <c r="GB1042" s="204"/>
      <c r="GC1042" s="339"/>
      <c r="GD1042" s="342"/>
      <c r="GE1042" s="199"/>
      <c r="GF1042" s="199"/>
      <c r="GG1042" s="199"/>
      <c r="GH1042" s="199"/>
      <c r="GI1042" s="199"/>
      <c r="GJ1042" s="199"/>
      <c r="GK1042" s="199"/>
      <c r="GO1042" s="322"/>
      <c r="GP1042" s="1190"/>
      <c r="GQ1042" s="1190"/>
      <c r="GS1042" s="2879"/>
      <c r="GT1042" s="2880"/>
      <c r="GU1042" s="2881"/>
    </row>
    <row r="1043" spans="1:203" ht="12" customHeight="1">
      <c r="A1043" s="1252"/>
      <c r="B1043" s="200"/>
      <c r="C1043" s="486"/>
      <c r="T1043" s="1186"/>
      <c r="U1043" s="233"/>
      <c r="W1043" s="218"/>
      <c r="X1043" s="218"/>
      <c r="Y1043" s="216"/>
      <c r="Z1043" s="216"/>
      <c r="AA1043" s="215"/>
      <c r="AB1043" s="216"/>
      <c r="AC1043" s="216"/>
      <c r="AD1043" s="239"/>
      <c r="AE1043" s="216"/>
      <c r="AF1043" s="216"/>
      <c r="AG1043" s="216"/>
      <c r="AH1043" s="216"/>
      <c r="AI1043" s="216"/>
      <c r="AJ1043" s="216"/>
      <c r="AK1043" s="239"/>
      <c r="AL1043" s="216"/>
      <c r="AM1043" s="216"/>
      <c r="AN1043" s="216"/>
      <c r="AO1043" s="216"/>
      <c r="AP1043" s="216"/>
      <c r="AQ1043" s="216"/>
      <c r="AR1043" s="216"/>
      <c r="AS1043" s="216"/>
      <c r="AT1043" s="216"/>
      <c r="AU1043" s="216"/>
      <c r="AV1043" s="217"/>
      <c r="AW1043" s="355"/>
      <c r="AX1043" s="217"/>
      <c r="AY1043" s="305"/>
      <c r="AZ1043" s="249"/>
      <c r="BA1043" s="221"/>
      <c r="BB1043" s="300"/>
      <c r="BC1043" s="217"/>
      <c r="BD1043" s="392"/>
      <c r="BE1043" s="1244"/>
      <c r="BF1043" s="249"/>
      <c r="BG1043" s="252"/>
      <c r="BH1043" s="1469"/>
      <c r="BI1043" s="216"/>
      <c r="BJ1043" s="1469"/>
      <c r="BK1043" s="1459"/>
      <c r="BL1043" s="260"/>
      <c r="BM1043" s="214"/>
      <c r="BN1043" s="293"/>
      <c r="BO1043" s="217"/>
      <c r="BP1043" s="355"/>
      <c r="BQ1043" s="217"/>
      <c r="BR1043" s="1193"/>
      <c r="BS1043" s="249"/>
      <c r="BT1043" s="216"/>
      <c r="BU1043" s="1195"/>
      <c r="BV1043" s="249"/>
      <c r="BW1043" s="216"/>
      <c r="BX1043" s="1195"/>
      <c r="BY1043" s="249"/>
      <c r="BZ1043" s="216"/>
      <c r="CA1043" s="1195"/>
      <c r="CB1043" s="249"/>
      <c r="CC1043" s="216"/>
      <c r="CD1043" s="1195"/>
      <c r="CE1043" s="249"/>
      <c r="CF1043" s="216"/>
      <c r="CG1043" s="1195"/>
      <c r="CH1043" s="249"/>
      <c r="CI1043" s="216"/>
      <c r="CJ1043" s="1195"/>
      <c r="CK1043" s="249"/>
      <c r="CL1043" s="216"/>
      <c r="CM1043" s="1194"/>
      <c r="CN1043" s="1524"/>
      <c r="CO1043" s="217"/>
      <c r="CP1043" s="1193"/>
      <c r="CQ1043" s="293"/>
      <c r="CR1043" s="217"/>
      <c r="CS1043" s="305"/>
      <c r="CT1043" s="249"/>
      <c r="CU1043" s="216"/>
      <c r="CV1043" s="1193"/>
      <c r="CW1043" s="249"/>
      <c r="CX1043" s="216"/>
      <c r="CY1043" s="305"/>
      <c r="CZ1043" s="249"/>
      <c r="DA1043" s="216"/>
      <c r="DB1043" s="307"/>
      <c r="DC1043" s="328"/>
      <c r="DD1043" s="322"/>
      <c r="DE1043" s="305"/>
      <c r="DF1043" s="249"/>
      <c r="DG1043" s="216"/>
      <c r="DH1043" s="305"/>
      <c r="DI1043" s="249"/>
      <c r="DJ1043" s="216"/>
      <c r="DK1043" s="309"/>
      <c r="DL1043" s="293"/>
      <c r="DM1043" s="326"/>
      <c r="DN1043" s="1256"/>
      <c r="DO1043" s="214"/>
      <c r="DP1043" s="1257"/>
      <c r="DQ1043" s="1258"/>
      <c r="DR1043" s="305"/>
      <c r="DS1043" s="249"/>
      <c r="DT1043" s="216"/>
      <c r="DU1043" s="305"/>
      <c r="DV1043" s="2520"/>
      <c r="DW1043" s="2521"/>
      <c r="DX1043" s="305"/>
      <c r="DY1043" s="249"/>
      <c r="DZ1043" s="221"/>
      <c r="EA1043" s="388"/>
      <c r="EB1043" s="249"/>
      <c r="EC1043" s="216"/>
      <c r="ED1043" s="1461"/>
      <c r="EE1043" s="249"/>
      <c r="EF1043" s="216"/>
      <c r="EG1043" s="355"/>
      <c r="EH1043" s="1425"/>
      <c r="EI1043" s="1470"/>
      <c r="EJ1043" s="249"/>
      <c r="EK1043" s="221"/>
      <c r="EL1043" s="313"/>
      <c r="EM1043" s="249"/>
      <c r="EN1043" s="221"/>
      <c r="EO1043" s="313"/>
      <c r="EP1043" s="249"/>
      <c r="EQ1043" s="216"/>
      <c r="ER1043" s="313"/>
      <c r="ES1043" s="249"/>
      <c r="ET1043" s="216"/>
      <c r="EU1043" s="313"/>
      <c r="EV1043" s="249"/>
      <c r="EW1043" s="216"/>
      <c r="EX1043" s="2505"/>
      <c r="EY1043" s="249"/>
      <c r="EZ1043" s="221"/>
      <c r="FA1043" s="313"/>
      <c r="FB1043" s="249"/>
      <c r="FC1043" s="221"/>
      <c r="FD1043" s="313"/>
      <c r="FE1043" s="249"/>
      <c r="FF1043" s="221"/>
      <c r="FG1043" s="313"/>
      <c r="FH1043" s="249"/>
      <c r="FI1043" s="216"/>
      <c r="FJ1043" s="1435"/>
      <c r="FK1043" s="216"/>
      <c r="FL1043" s="1268"/>
      <c r="FM1043" s="1655"/>
      <c r="FN1043" s="1268"/>
      <c r="FO1043" s="1655"/>
      <c r="FP1043" s="1268"/>
      <c r="FQ1043" s="1656"/>
      <c r="FR1043" s="249"/>
      <c r="FS1043" s="216"/>
      <c r="FT1043" s="1657"/>
      <c r="FU1043" s="1658"/>
      <c r="FV1043" s="242"/>
      <c r="FW1043" s="343"/>
      <c r="FX1043" s="222"/>
      <c r="FY1043" s="336"/>
      <c r="FZ1043" s="223"/>
      <c r="GA1043" s="338"/>
      <c r="GB1043" s="204"/>
      <c r="GC1043" s="339"/>
      <c r="GD1043" s="342"/>
      <c r="GE1043" s="199"/>
      <c r="GF1043" s="199"/>
      <c r="GG1043" s="199"/>
      <c r="GH1043" s="199"/>
      <c r="GI1043" s="199"/>
      <c r="GJ1043" s="199"/>
      <c r="GK1043" s="199"/>
      <c r="GO1043" s="322"/>
      <c r="GP1043" s="1190"/>
      <c r="GQ1043" s="1190"/>
      <c r="GS1043" s="2879"/>
      <c r="GT1043" s="2880"/>
      <c r="GU1043" s="2881"/>
    </row>
    <row r="1044" spans="1:203" ht="12" customHeight="1">
      <c r="A1044" s="1252"/>
      <c r="B1044" s="200"/>
      <c r="C1044" s="486"/>
      <c r="T1044" s="1186"/>
      <c r="U1044" s="233"/>
      <c r="W1044" s="218"/>
      <c r="X1044" s="218"/>
      <c r="Y1044" s="216"/>
      <c r="Z1044" s="216"/>
      <c r="AA1044" s="215"/>
      <c r="AB1044" s="216"/>
      <c r="AC1044" s="216"/>
      <c r="AD1044" s="239"/>
      <c r="AE1044" s="216"/>
      <c r="AF1044" s="216"/>
      <c r="AG1044" s="216"/>
      <c r="AH1044" s="216"/>
      <c r="AI1044" s="216"/>
      <c r="AJ1044" s="216"/>
      <c r="AK1044" s="239"/>
      <c r="AL1044" s="216"/>
      <c r="AM1044" s="216"/>
      <c r="AN1044" s="216"/>
      <c r="AO1044" s="216"/>
      <c r="AP1044" s="216"/>
      <c r="AQ1044" s="216"/>
      <c r="AR1044" s="216"/>
      <c r="AS1044" s="216"/>
      <c r="AT1044" s="216"/>
      <c r="AU1044" s="216"/>
      <c r="AV1044" s="217"/>
      <c r="AW1044" s="355"/>
      <c r="AX1044" s="217"/>
      <c r="AY1044" s="305"/>
      <c r="AZ1044" s="249"/>
      <c r="BA1044" s="221"/>
      <c r="BB1044" s="300"/>
      <c r="BC1044" s="217"/>
      <c r="BD1044" s="392"/>
      <c r="BE1044" s="1244"/>
      <c r="BF1044" s="249"/>
      <c r="BG1044" s="252"/>
      <c r="BH1044" s="1469"/>
      <c r="BI1044" s="216"/>
      <c r="BJ1044" s="1469"/>
      <c r="BK1044" s="1459"/>
      <c r="BL1044" s="260"/>
      <c r="BM1044" s="214"/>
      <c r="BN1044" s="293"/>
      <c r="BO1044" s="217"/>
      <c r="BP1044" s="355"/>
      <c r="BQ1044" s="217"/>
      <c r="BR1044" s="1193"/>
      <c r="BS1044" s="249"/>
      <c r="BT1044" s="216"/>
      <c r="BU1044" s="1195"/>
      <c r="BV1044" s="249"/>
      <c r="BW1044" s="216"/>
      <c r="BX1044" s="1195"/>
      <c r="BY1044" s="249"/>
      <c r="BZ1044" s="216"/>
      <c r="CA1044" s="1195"/>
      <c r="CB1044" s="249"/>
      <c r="CC1044" s="216"/>
      <c r="CD1044" s="1195"/>
      <c r="CE1044" s="249"/>
      <c r="CF1044" s="216"/>
      <c r="CG1044" s="1195"/>
      <c r="CH1044" s="249"/>
      <c r="CI1044" s="216"/>
      <c r="CJ1044" s="1195"/>
      <c r="CK1044" s="249"/>
      <c r="CL1044" s="216"/>
      <c r="CM1044" s="1194"/>
      <c r="CN1044" s="1524"/>
      <c r="CO1044" s="217"/>
      <c r="CP1044" s="1193"/>
      <c r="CQ1044" s="293"/>
      <c r="CR1044" s="217"/>
      <c r="CS1044" s="305"/>
      <c r="CT1044" s="249"/>
      <c r="CU1044" s="216"/>
      <c r="CV1044" s="1193"/>
      <c r="CW1044" s="249"/>
      <c r="CX1044" s="216"/>
      <c r="CY1044" s="305"/>
      <c r="CZ1044" s="249"/>
      <c r="DA1044" s="216"/>
      <c r="DB1044" s="307"/>
      <c r="DC1044" s="328"/>
      <c r="DD1044" s="322"/>
      <c r="DE1044" s="305"/>
      <c r="DF1044" s="249"/>
      <c r="DG1044" s="216"/>
      <c r="DH1044" s="305"/>
      <c r="DI1044" s="249"/>
      <c r="DJ1044" s="216"/>
      <c r="DK1044" s="309"/>
      <c r="DL1044" s="293"/>
      <c r="DM1044" s="326"/>
      <c r="DN1044" s="1256"/>
      <c r="DO1044" s="214"/>
      <c r="DP1044" s="1257"/>
      <c r="DQ1044" s="1258"/>
      <c r="DR1044" s="305"/>
      <c r="DS1044" s="249"/>
      <c r="DT1044" s="216"/>
      <c r="DU1044" s="305"/>
      <c r="DV1044" s="2520"/>
      <c r="DW1044" s="2521"/>
      <c r="DX1044" s="305"/>
      <c r="DY1044" s="249"/>
      <c r="DZ1044" s="221"/>
      <c r="EA1044" s="388"/>
      <c r="EB1044" s="249"/>
      <c r="EC1044" s="216"/>
      <c r="ED1044" s="1461"/>
      <c r="EE1044" s="249"/>
      <c r="EF1044" s="216"/>
      <c r="EG1044" s="355"/>
      <c r="EH1044" s="1425"/>
      <c r="EI1044" s="1470"/>
      <c r="EJ1044" s="249"/>
      <c r="EK1044" s="221"/>
      <c r="EL1044" s="313"/>
      <c r="EM1044" s="249"/>
      <c r="EN1044" s="221"/>
      <c r="EO1044" s="313"/>
      <c r="EP1044" s="249"/>
      <c r="EQ1044" s="216"/>
      <c r="ER1044" s="313"/>
      <c r="ES1044" s="249"/>
      <c r="ET1044" s="216"/>
      <c r="EU1044" s="313"/>
      <c r="EV1044" s="249"/>
      <c r="EW1044" s="216"/>
      <c r="EX1044" s="2505"/>
      <c r="EY1044" s="249"/>
      <c r="EZ1044" s="221"/>
      <c r="FA1044" s="313"/>
      <c r="FB1044" s="249"/>
      <c r="FC1044" s="221"/>
      <c r="FD1044" s="313"/>
      <c r="FE1044" s="249"/>
      <c r="FF1044" s="221"/>
      <c r="FG1044" s="313"/>
      <c r="FH1044" s="249"/>
      <c r="FI1044" s="216"/>
      <c r="FJ1044" s="1435"/>
      <c r="FK1044" s="216"/>
      <c r="FL1044" s="1268"/>
      <c r="FM1044" s="1655"/>
      <c r="FN1044" s="1268"/>
      <c r="FO1044" s="1655"/>
      <c r="FP1044" s="1268"/>
      <c r="FQ1044" s="1656"/>
      <c r="FR1044" s="249"/>
      <c r="FS1044" s="216"/>
      <c r="FT1044" s="1657"/>
      <c r="FU1044" s="1658"/>
      <c r="FV1044" s="242"/>
      <c r="FW1044" s="343"/>
      <c r="FX1044" s="222"/>
      <c r="FY1044" s="336"/>
      <c r="FZ1044" s="223"/>
      <c r="GA1044" s="338"/>
      <c r="GB1044" s="204"/>
      <c r="GC1044" s="339"/>
      <c r="GD1044" s="342"/>
      <c r="GE1044" s="199"/>
      <c r="GF1044" s="199"/>
      <c r="GG1044" s="199"/>
      <c r="GH1044" s="199"/>
      <c r="GI1044" s="199"/>
      <c r="GJ1044" s="199"/>
      <c r="GK1044" s="199"/>
      <c r="GO1044" s="322"/>
      <c r="GP1044" s="1190"/>
      <c r="GQ1044" s="1190"/>
      <c r="GS1044" s="2879"/>
      <c r="GT1044" s="2880"/>
      <c r="GU1044" s="2881"/>
    </row>
    <row r="1045" spans="1:203" ht="12" customHeight="1">
      <c r="A1045" s="1252"/>
      <c r="B1045" s="200"/>
      <c r="C1045" s="486"/>
      <c r="T1045" s="1186"/>
      <c r="U1045" s="233"/>
      <c r="W1045" s="218"/>
      <c r="X1045" s="218"/>
      <c r="Y1045" s="216"/>
      <c r="Z1045" s="216"/>
      <c r="AA1045" s="215"/>
      <c r="AB1045" s="216"/>
      <c r="AC1045" s="216"/>
      <c r="AD1045" s="239"/>
      <c r="AE1045" s="216"/>
      <c r="AF1045" s="216"/>
      <c r="AG1045" s="216"/>
      <c r="AH1045" s="216"/>
      <c r="AI1045" s="216"/>
      <c r="AJ1045" s="216"/>
      <c r="AK1045" s="239"/>
      <c r="AL1045" s="216"/>
      <c r="AM1045" s="216"/>
      <c r="AN1045" s="216"/>
      <c r="AO1045" s="216"/>
      <c r="AP1045" s="216"/>
      <c r="AQ1045" s="216"/>
      <c r="AR1045" s="216"/>
      <c r="AS1045" s="216"/>
      <c r="AT1045" s="216"/>
      <c r="AU1045" s="216"/>
      <c r="AV1045" s="217"/>
      <c r="AW1045" s="355"/>
      <c r="AX1045" s="217"/>
      <c r="AY1045" s="305"/>
      <c r="AZ1045" s="249"/>
      <c r="BA1045" s="221"/>
      <c r="BB1045" s="300"/>
      <c r="BC1045" s="217"/>
      <c r="BD1045" s="392"/>
      <c r="BE1045" s="1244"/>
      <c r="BF1045" s="249"/>
      <c r="BG1045" s="252"/>
      <c r="BH1045" s="1469"/>
      <c r="BI1045" s="216"/>
      <c r="BJ1045" s="1469"/>
      <c r="BK1045" s="1459"/>
      <c r="BL1045" s="260"/>
      <c r="BM1045" s="214"/>
      <c r="BN1045" s="293"/>
      <c r="BO1045" s="217"/>
      <c r="BP1045" s="355"/>
      <c r="BQ1045" s="217"/>
      <c r="BR1045" s="1193"/>
      <c r="BS1045" s="249"/>
      <c r="BT1045" s="216"/>
      <c r="BU1045" s="1195"/>
      <c r="BV1045" s="249"/>
      <c r="BW1045" s="216"/>
      <c r="BX1045" s="1195"/>
      <c r="BY1045" s="249"/>
      <c r="BZ1045" s="216"/>
      <c r="CA1045" s="1195"/>
      <c r="CB1045" s="249"/>
      <c r="CC1045" s="216"/>
      <c r="CD1045" s="1195"/>
      <c r="CE1045" s="249"/>
      <c r="CF1045" s="216"/>
      <c r="CG1045" s="1195"/>
      <c r="CH1045" s="249"/>
      <c r="CI1045" s="216"/>
      <c r="CJ1045" s="1195"/>
      <c r="CK1045" s="249"/>
      <c r="CL1045" s="216"/>
      <c r="CM1045" s="1194"/>
      <c r="CN1045" s="1524"/>
      <c r="CO1045" s="217"/>
      <c r="CP1045" s="1193"/>
      <c r="CQ1045" s="293"/>
      <c r="CR1045" s="217"/>
      <c r="CS1045" s="305"/>
      <c r="CT1045" s="249"/>
      <c r="CU1045" s="216"/>
      <c r="CV1045" s="1193"/>
      <c r="CW1045" s="249"/>
      <c r="CX1045" s="216"/>
      <c r="CY1045" s="305"/>
      <c r="CZ1045" s="249"/>
      <c r="DA1045" s="216"/>
      <c r="DB1045" s="307"/>
      <c r="DC1045" s="328"/>
      <c r="DD1045" s="322"/>
      <c r="DE1045" s="305"/>
      <c r="DF1045" s="249"/>
      <c r="DG1045" s="216"/>
      <c r="DH1045" s="305"/>
      <c r="DI1045" s="249"/>
      <c r="DJ1045" s="216"/>
      <c r="DK1045" s="309"/>
      <c r="DL1045" s="293"/>
      <c r="DM1045" s="326"/>
      <c r="DN1045" s="1256"/>
      <c r="DO1045" s="214"/>
      <c r="DP1045" s="1257"/>
      <c r="DQ1045" s="1258"/>
      <c r="DR1045" s="305"/>
      <c r="DS1045" s="249"/>
      <c r="DT1045" s="216"/>
      <c r="DU1045" s="305"/>
      <c r="DV1045" s="2520"/>
      <c r="DW1045" s="2521"/>
      <c r="DX1045" s="305"/>
      <c r="DY1045" s="249"/>
      <c r="DZ1045" s="221"/>
      <c r="EA1045" s="388"/>
      <c r="EB1045" s="249"/>
      <c r="EC1045" s="216"/>
      <c r="ED1045" s="1461"/>
      <c r="EE1045" s="249"/>
      <c r="EF1045" s="216"/>
      <c r="EG1045" s="355"/>
      <c r="EH1045" s="1425"/>
      <c r="EI1045" s="1470"/>
      <c r="EJ1045" s="249"/>
      <c r="EK1045" s="221"/>
      <c r="EL1045" s="313"/>
      <c r="EM1045" s="249"/>
      <c r="EN1045" s="221"/>
      <c r="EO1045" s="313"/>
      <c r="EP1045" s="249"/>
      <c r="EQ1045" s="216"/>
      <c r="ER1045" s="313"/>
      <c r="ES1045" s="249"/>
      <c r="ET1045" s="216"/>
      <c r="EU1045" s="313"/>
      <c r="EV1045" s="249"/>
      <c r="EW1045" s="216"/>
      <c r="EX1045" s="2505"/>
      <c r="EY1045" s="249"/>
      <c r="EZ1045" s="221"/>
      <c r="FA1045" s="313"/>
      <c r="FB1045" s="249"/>
      <c r="FC1045" s="221"/>
      <c r="FD1045" s="313"/>
      <c r="FE1045" s="249"/>
      <c r="FF1045" s="221"/>
      <c r="FG1045" s="313"/>
      <c r="FH1045" s="249"/>
      <c r="FI1045" s="216"/>
      <c r="FJ1045" s="1435"/>
      <c r="FK1045" s="216"/>
      <c r="FL1045" s="1268"/>
      <c r="FM1045" s="1655"/>
      <c r="FN1045" s="1268"/>
      <c r="FO1045" s="1655"/>
      <c r="FP1045" s="1268"/>
      <c r="FQ1045" s="1656"/>
      <c r="FR1045" s="249"/>
      <c r="FS1045" s="216"/>
      <c r="FT1045" s="1657"/>
      <c r="FU1045" s="1658"/>
      <c r="FV1045" s="242"/>
      <c r="FW1045" s="343"/>
      <c r="FX1045" s="222"/>
      <c r="FY1045" s="336"/>
      <c r="FZ1045" s="223"/>
      <c r="GA1045" s="338"/>
      <c r="GB1045" s="204"/>
      <c r="GC1045" s="339"/>
      <c r="GD1045" s="342"/>
      <c r="GE1045" s="199"/>
      <c r="GF1045" s="199"/>
      <c r="GG1045" s="199"/>
      <c r="GH1045" s="199"/>
      <c r="GI1045" s="199"/>
      <c r="GJ1045" s="199"/>
      <c r="GK1045" s="199"/>
      <c r="GO1045" s="322"/>
      <c r="GP1045" s="1190"/>
      <c r="GQ1045" s="1190"/>
      <c r="GS1045" s="2879"/>
      <c r="GT1045" s="2880"/>
      <c r="GU1045" s="2881"/>
    </row>
    <row r="1046" spans="1:203" ht="12" customHeight="1">
      <c r="A1046" s="1252"/>
      <c r="B1046" s="200"/>
      <c r="C1046" s="486"/>
      <c r="T1046" s="1186"/>
      <c r="U1046" s="233"/>
      <c r="W1046" s="218"/>
      <c r="X1046" s="218"/>
      <c r="Y1046" s="216"/>
      <c r="Z1046" s="216"/>
      <c r="AA1046" s="215"/>
      <c r="AB1046" s="216"/>
      <c r="AC1046" s="216"/>
      <c r="AD1046" s="239"/>
      <c r="AE1046" s="216"/>
      <c r="AF1046" s="216"/>
      <c r="AG1046" s="216"/>
      <c r="AH1046" s="216"/>
      <c r="AI1046" s="216"/>
      <c r="AJ1046" s="216"/>
      <c r="AK1046" s="239"/>
      <c r="AL1046" s="216"/>
      <c r="AM1046" s="216"/>
      <c r="AN1046" s="216"/>
      <c r="AO1046" s="216"/>
      <c r="AP1046" s="216"/>
      <c r="AQ1046" s="216"/>
      <c r="AR1046" s="216"/>
      <c r="AS1046" s="216"/>
      <c r="AT1046" s="216"/>
      <c r="AU1046" s="216"/>
      <c r="AV1046" s="217"/>
      <c r="AW1046" s="355"/>
      <c r="AX1046" s="217"/>
      <c r="AY1046" s="305"/>
      <c r="AZ1046" s="249"/>
      <c r="BA1046" s="221"/>
      <c r="BB1046" s="300"/>
      <c r="BC1046" s="217"/>
      <c r="BD1046" s="392"/>
      <c r="BE1046" s="1244"/>
      <c r="BF1046" s="249"/>
      <c r="BG1046" s="252"/>
      <c r="BH1046" s="1469"/>
      <c r="BI1046" s="216"/>
      <c r="BJ1046" s="1469"/>
      <c r="BK1046" s="1459"/>
      <c r="BL1046" s="260"/>
      <c r="BM1046" s="214"/>
      <c r="BN1046" s="293"/>
      <c r="BO1046" s="217"/>
      <c r="BP1046" s="355"/>
      <c r="BQ1046" s="217"/>
      <c r="BR1046" s="1193"/>
      <c r="BS1046" s="249"/>
      <c r="BT1046" s="216"/>
      <c r="BU1046" s="1195"/>
      <c r="BV1046" s="249"/>
      <c r="BW1046" s="216"/>
      <c r="BX1046" s="1195"/>
      <c r="BY1046" s="249"/>
      <c r="BZ1046" s="216"/>
      <c r="CA1046" s="1195"/>
      <c r="CB1046" s="249"/>
      <c r="CC1046" s="216"/>
      <c r="CD1046" s="1195"/>
      <c r="CE1046" s="249"/>
      <c r="CF1046" s="216"/>
      <c r="CG1046" s="1195"/>
      <c r="CH1046" s="249"/>
      <c r="CI1046" s="216"/>
      <c r="CJ1046" s="1195"/>
      <c r="CK1046" s="249"/>
      <c r="CL1046" s="216"/>
      <c r="CM1046" s="1194"/>
      <c r="CN1046" s="1524"/>
      <c r="CO1046" s="217"/>
      <c r="CP1046" s="1193"/>
      <c r="CQ1046" s="293"/>
      <c r="CR1046" s="217"/>
      <c r="CS1046" s="305"/>
      <c r="CT1046" s="249"/>
      <c r="CU1046" s="216"/>
      <c r="CV1046" s="1193"/>
      <c r="CW1046" s="249"/>
      <c r="CX1046" s="216"/>
      <c r="CY1046" s="305"/>
      <c r="CZ1046" s="249"/>
      <c r="DA1046" s="216"/>
      <c r="DB1046" s="307"/>
      <c r="DC1046" s="328"/>
      <c r="DD1046" s="322"/>
      <c r="DE1046" s="305"/>
      <c r="DF1046" s="249"/>
      <c r="DG1046" s="216"/>
      <c r="DH1046" s="305"/>
      <c r="DI1046" s="249"/>
      <c r="DJ1046" s="216"/>
      <c r="DK1046" s="309"/>
      <c r="DL1046" s="293"/>
      <c r="DM1046" s="326"/>
      <c r="DN1046" s="1256"/>
      <c r="DO1046" s="214"/>
      <c r="DP1046" s="1257"/>
      <c r="DQ1046" s="1258"/>
      <c r="DR1046" s="305"/>
      <c r="DS1046" s="249"/>
      <c r="DT1046" s="216"/>
      <c r="DU1046" s="305"/>
      <c r="DV1046" s="2520"/>
      <c r="DW1046" s="2521"/>
      <c r="DX1046" s="305"/>
      <c r="DY1046" s="249"/>
      <c r="DZ1046" s="221"/>
      <c r="EA1046" s="388"/>
      <c r="EB1046" s="249"/>
      <c r="EC1046" s="216"/>
      <c r="ED1046" s="1461"/>
      <c r="EE1046" s="249"/>
      <c r="EF1046" s="216"/>
      <c r="EG1046" s="355"/>
      <c r="EH1046" s="1425"/>
      <c r="EI1046" s="1470"/>
      <c r="EJ1046" s="249"/>
      <c r="EK1046" s="221"/>
      <c r="EL1046" s="313"/>
      <c r="EM1046" s="249"/>
      <c r="EN1046" s="221"/>
      <c r="EO1046" s="313"/>
      <c r="EP1046" s="249"/>
      <c r="EQ1046" s="216"/>
      <c r="ER1046" s="313"/>
      <c r="ES1046" s="249"/>
      <c r="ET1046" s="216"/>
      <c r="EU1046" s="313"/>
      <c r="EV1046" s="249"/>
      <c r="EW1046" s="216"/>
      <c r="EX1046" s="2505"/>
      <c r="EY1046" s="249"/>
      <c r="EZ1046" s="221"/>
      <c r="FA1046" s="313"/>
      <c r="FB1046" s="249"/>
      <c r="FC1046" s="221"/>
      <c r="FD1046" s="313"/>
      <c r="FE1046" s="249"/>
      <c r="FF1046" s="221"/>
      <c r="FG1046" s="313"/>
      <c r="FH1046" s="249"/>
      <c r="FI1046" s="216"/>
      <c r="FJ1046" s="1435"/>
      <c r="FK1046" s="216"/>
      <c r="FL1046" s="1268"/>
      <c r="FM1046" s="1655"/>
      <c r="FN1046" s="1268"/>
      <c r="FO1046" s="1655"/>
      <c r="FP1046" s="1268"/>
      <c r="FQ1046" s="1656"/>
      <c r="FR1046" s="249"/>
      <c r="FS1046" s="216"/>
      <c r="FT1046" s="1657"/>
      <c r="FU1046" s="1658"/>
      <c r="FV1046" s="242"/>
      <c r="FW1046" s="343"/>
      <c r="FX1046" s="222"/>
      <c r="FY1046" s="336"/>
      <c r="FZ1046" s="223"/>
      <c r="GA1046" s="338"/>
      <c r="GB1046" s="204"/>
      <c r="GC1046" s="339"/>
      <c r="GD1046" s="342"/>
      <c r="GE1046" s="199"/>
      <c r="GF1046" s="199"/>
      <c r="GG1046" s="199"/>
      <c r="GH1046" s="199"/>
      <c r="GI1046" s="199"/>
      <c r="GJ1046" s="199"/>
      <c r="GK1046" s="199"/>
      <c r="GO1046" s="322"/>
      <c r="GP1046" s="1190"/>
      <c r="GQ1046" s="1190"/>
      <c r="GS1046" s="2879"/>
      <c r="GT1046" s="2880"/>
      <c r="GU1046" s="2881"/>
    </row>
    <row r="1047" spans="1:203" ht="12" customHeight="1">
      <c r="A1047" s="1252"/>
      <c r="B1047" s="200"/>
      <c r="C1047" s="486"/>
      <c r="T1047" s="1186"/>
      <c r="U1047" s="233"/>
      <c r="W1047" s="218"/>
      <c r="X1047" s="218"/>
      <c r="Y1047" s="216"/>
      <c r="Z1047" s="216"/>
      <c r="AA1047" s="215"/>
      <c r="AB1047" s="216"/>
      <c r="AC1047" s="216"/>
      <c r="AD1047" s="239"/>
      <c r="AE1047" s="216"/>
      <c r="AF1047" s="216"/>
      <c r="AG1047" s="216"/>
      <c r="AH1047" s="216"/>
      <c r="AI1047" s="216"/>
      <c r="AJ1047" s="216"/>
      <c r="AK1047" s="239"/>
      <c r="AL1047" s="216"/>
      <c r="AM1047" s="216"/>
      <c r="AN1047" s="216"/>
      <c r="AO1047" s="216"/>
      <c r="AP1047" s="216"/>
      <c r="AQ1047" s="216"/>
      <c r="AR1047" s="216"/>
      <c r="AS1047" s="216"/>
      <c r="AT1047" s="216"/>
      <c r="AU1047" s="216"/>
      <c r="AV1047" s="217"/>
      <c r="AW1047" s="355"/>
      <c r="AX1047" s="217"/>
      <c r="AY1047" s="305"/>
      <c r="AZ1047" s="249"/>
      <c r="BA1047" s="221"/>
      <c r="BB1047" s="300"/>
      <c r="BC1047" s="217"/>
      <c r="BD1047" s="392"/>
      <c r="BE1047" s="1244"/>
      <c r="BF1047" s="249"/>
      <c r="BG1047" s="252"/>
      <c r="BH1047" s="1469"/>
      <c r="BI1047" s="216"/>
      <c r="BJ1047" s="1469"/>
      <c r="BK1047" s="1459"/>
      <c r="BL1047" s="260"/>
      <c r="BM1047" s="214"/>
      <c r="BN1047" s="293"/>
      <c r="BO1047" s="217"/>
      <c r="BP1047" s="355"/>
      <c r="BQ1047" s="217"/>
      <c r="BR1047" s="1193"/>
      <c r="BS1047" s="249"/>
      <c r="BT1047" s="216"/>
      <c r="BU1047" s="1195"/>
      <c r="BV1047" s="249"/>
      <c r="BW1047" s="216"/>
      <c r="BX1047" s="1195"/>
      <c r="BY1047" s="249"/>
      <c r="BZ1047" s="216"/>
      <c r="CA1047" s="1195"/>
      <c r="CB1047" s="249"/>
      <c r="CC1047" s="216"/>
      <c r="CD1047" s="1195"/>
      <c r="CE1047" s="249"/>
      <c r="CF1047" s="216"/>
      <c r="CG1047" s="1195"/>
      <c r="CH1047" s="249"/>
      <c r="CI1047" s="216"/>
      <c r="CJ1047" s="1195"/>
      <c r="CK1047" s="249"/>
      <c r="CL1047" s="216"/>
      <c r="CM1047" s="1194"/>
      <c r="CN1047" s="1524"/>
      <c r="CO1047" s="217"/>
      <c r="CP1047" s="1193"/>
      <c r="CQ1047" s="293"/>
      <c r="CR1047" s="217"/>
      <c r="CS1047" s="305"/>
      <c r="CT1047" s="249"/>
      <c r="CU1047" s="216"/>
      <c r="CV1047" s="1193"/>
      <c r="CW1047" s="249"/>
      <c r="CX1047" s="216"/>
      <c r="CY1047" s="305"/>
      <c r="CZ1047" s="249"/>
      <c r="DA1047" s="216"/>
      <c r="DB1047" s="307"/>
      <c r="DC1047" s="328"/>
      <c r="DD1047" s="322"/>
      <c r="DE1047" s="305"/>
      <c r="DF1047" s="249"/>
      <c r="DG1047" s="216"/>
      <c r="DH1047" s="305"/>
      <c r="DI1047" s="249"/>
      <c r="DJ1047" s="216"/>
      <c r="DK1047" s="309"/>
      <c r="DL1047" s="293"/>
      <c r="DM1047" s="326"/>
      <c r="DN1047" s="1256"/>
      <c r="DO1047" s="214"/>
      <c r="DP1047" s="1257"/>
      <c r="DQ1047" s="1258"/>
      <c r="DR1047" s="305"/>
      <c r="DS1047" s="249"/>
      <c r="DT1047" s="216"/>
      <c r="DU1047" s="305"/>
      <c r="DV1047" s="2520"/>
      <c r="DW1047" s="2521"/>
      <c r="DX1047" s="305"/>
      <c r="DY1047" s="249"/>
      <c r="DZ1047" s="221"/>
      <c r="EA1047" s="388"/>
      <c r="EB1047" s="249"/>
      <c r="EC1047" s="216"/>
      <c r="ED1047" s="1461"/>
      <c r="EE1047" s="249"/>
      <c r="EF1047" s="216"/>
      <c r="EG1047" s="355"/>
      <c r="EH1047" s="1425"/>
      <c r="EI1047" s="1470"/>
      <c r="EJ1047" s="249"/>
      <c r="EK1047" s="221"/>
      <c r="EL1047" s="313"/>
      <c r="EM1047" s="249"/>
      <c r="EN1047" s="221"/>
      <c r="EO1047" s="313"/>
      <c r="EP1047" s="249"/>
      <c r="EQ1047" s="216"/>
      <c r="ER1047" s="313"/>
      <c r="ES1047" s="249"/>
      <c r="ET1047" s="216"/>
      <c r="EU1047" s="313"/>
      <c r="EV1047" s="249"/>
      <c r="EW1047" s="216"/>
      <c r="EX1047" s="2505"/>
      <c r="EY1047" s="249"/>
      <c r="EZ1047" s="221"/>
      <c r="FA1047" s="313"/>
      <c r="FB1047" s="249"/>
      <c r="FC1047" s="221"/>
      <c r="FD1047" s="313"/>
      <c r="FE1047" s="249"/>
      <c r="FF1047" s="221"/>
      <c r="FG1047" s="313"/>
      <c r="FH1047" s="249"/>
      <c r="FI1047" s="216"/>
      <c r="FJ1047" s="1435"/>
      <c r="FK1047" s="216"/>
      <c r="FL1047" s="1268"/>
      <c r="FM1047" s="1655"/>
      <c r="FN1047" s="1268"/>
      <c r="FO1047" s="1655"/>
      <c r="FP1047" s="1268"/>
      <c r="FQ1047" s="1656"/>
      <c r="FR1047" s="249"/>
      <c r="FS1047" s="216"/>
      <c r="FT1047" s="1657"/>
      <c r="FU1047" s="1658"/>
      <c r="FV1047" s="242"/>
      <c r="FW1047" s="343"/>
      <c r="FX1047" s="222"/>
      <c r="FY1047" s="336"/>
      <c r="FZ1047" s="223"/>
      <c r="GA1047" s="338"/>
      <c r="GB1047" s="204"/>
      <c r="GC1047" s="339"/>
      <c r="GD1047" s="342"/>
      <c r="GE1047" s="199"/>
      <c r="GF1047" s="199"/>
      <c r="GG1047" s="199"/>
      <c r="GH1047" s="199"/>
      <c r="GI1047" s="199"/>
      <c r="GJ1047" s="199"/>
      <c r="GK1047" s="199"/>
      <c r="GO1047" s="322"/>
      <c r="GP1047" s="1190"/>
      <c r="GQ1047" s="1190"/>
      <c r="GS1047" s="2879"/>
      <c r="GT1047" s="2880"/>
      <c r="GU1047" s="2881"/>
    </row>
    <row r="1048" spans="1:203" ht="12" customHeight="1">
      <c r="A1048" s="1252"/>
      <c r="B1048" s="200"/>
      <c r="C1048" s="486"/>
      <c r="T1048" s="1186"/>
      <c r="U1048" s="233"/>
      <c r="W1048" s="218"/>
      <c r="X1048" s="218"/>
      <c r="Y1048" s="216"/>
      <c r="Z1048" s="216"/>
      <c r="AA1048" s="215"/>
      <c r="AB1048" s="216"/>
      <c r="AC1048" s="216"/>
      <c r="AD1048" s="239"/>
      <c r="AE1048" s="216"/>
      <c r="AF1048" s="216"/>
      <c r="AG1048" s="216"/>
      <c r="AH1048" s="216"/>
      <c r="AI1048" s="216"/>
      <c r="AJ1048" s="216"/>
      <c r="AK1048" s="239"/>
      <c r="AL1048" s="216"/>
      <c r="AM1048" s="216"/>
      <c r="AN1048" s="216"/>
      <c r="AO1048" s="216"/>
      <c r="AP1048" s="216"/>
      <c r="AQ1048" s="216"/>
      <c r="AR1048" s="216"/>
      <c r="AS1048" s="216"/>
      <c r="AT1048" s="216"/>
      <c r="AU1048" s="216"/>
      <c r="AV1048" s="217"/>
      <c r="AW1048" s="355"/>
      <c r="AX1048" s="217"/>
      <c r="AY1048" s="305"/>
      <c r="AZ1048" s="249"/>
      <c r="BA1048" s="221"/>
      <c r="BB1048" s="300"/>
      <c r="BC1048" s="217"/>
      <c r="BD1048" s="392"/>
      <c r="BE1048" s="1244"/>
      <c r="BF1048" s="249"/>
      <c r="BG1048" s="252"/>
      <c r="BH1048" s="1469"/>
      <c r="BI1048" s="216"/>
      <c r="BJ1048" s="1469"/>
      <c r="BK1048" s="1459"/>
      <c r="BL1048" s="260"/>
      <c r="BM1048" s="214"/>
      <c r="BN1048" s="293"/>
      <c r="BO1048" s="217"/>
      <c r="BP1048" s="355"/>
      <c r="BQ1048" s="217"/>
      <c r="BR1048" s="1193"/>
      <c r="BS1048" s="249"/>
      <c r="BT1048" s="216"/>
      <c r="BU1048" s="1195"/>
      <c r="BV1048" s="249"/>
      <c r="BW1048" s="216"/>
      <c r="BX1048" s="1195"/>
      <c r="BY1048" s="249"/>
      <c r="BZ1048" s="216"/>
      <c r="CA1048" s="1195"/>
      <c r="CB1048" s="249"/>
      <c r="CC1048" s="216"/>
      <c r="CD1048" s="1195"/>
      <c r="CE1048" s="249"/>
      <c r="CF1048" s="216"/>
      <c r="CG1048" s="1195"/>
      <c r="CH1048" s="249"/>
      <c r="CI1048" s="216"/>
      <c r="CJ1048" s="1195"/>
      <c r="CK1048" s="249"/>
      <c r="CL1048" s="216"/>
      <c r="CM1048" s="1194"/>
      <c r="CN1048" s="1524"/>
      <c r="CO1048" s="217"/>
      <c r="CP1048" s="1193"/>
      <c r="CQ1048" s="293"/>
      <c r="CR1048" s="217"/>
      <c r="CS1048" s="305"/>
      <c r="CT1048" s="249"/>
      <c r="CU1048" s="216"/>
      <c r="CV1048" s="1193"/>
      <c r="CW1048" s="249"/>
      <c r="CX1048" s="216"/>
      <c r="CY1048" s="305"/>
      <c r="CZ1048" s="249"/>
      <c r="DA1048" s="216"/>
      <c r="DB1048" s="307"/>
      <c r="DC1048" s="328"/>
      <c r="DD1048" s="322"/>
      <c r="DE1048" s="305"/>
      <c r="DF1048" s="249"/>
      <c r="DG1048" s="216"/>
      <c r="DH1048" s="305"/>
      <c r="DI1048" s="249"/>
      <c r="DJ1048" s="216"/>
      <c r="DK1048" s="309"/>
      <c r="DL1048" s="293"/>
      <c r="DM1048" s="326"/>
      <c r="DN1048" s="1256"/>
      <c r="DO1048" s="214"/>
      <c r="DP1048" s="1257"/>
      <c r="DQ1048" s="1258"/>
      <c r="DR1048" s="305"/>
      <c r="DS1048" s="249"/>
      <c r="DT1048" s="216"/>
      <c r="DU1048" s="305"/>
      <c r="DV1048" s="2520"/>
      <c r="DW1048" s="2521"/>
      <c r="DX1048" s="305"/>
      <c r="DY1048" s="249"/>
      <c r="DZ1048" s="221"/>
      <c r="EA1048" s="388"/>
      <c r="EB1048" s="249"/>
      <c r="EC1048" s="216"/>
      <c r="ED1048" s="1461"/>
      <c r="EE1048" s="249"/>
      <c r="EF1048" s="216"/>
      <c r="EG1048" s="355"/>
      <c r="EH1048" s="1425"/>
      <c r="EI1048" s="1470"/>
      <c r="EJ1048" s="249"/>
      <c r="EK1048" s="221"/>
      <c r="EL1048" s="313"/>
      <c r="EM1048" s="249"/>
      <c r="EN1048" s="221"/>
      <c r="EO1048" s="313"/>
      <c r="EP1048" s="249"/>
      <c r="EQ1048" s="216"/>
      <c r="ER1048" s="313"/>
      <c r="ES1048" s="249"/>
      <c r="ET1048" s="216"/>
      <c r="EU1048" s="313"/>
      <c r="EV1048" s="249"/>
      <c r="EW1048" s="216"/>
      <c r="EX1048" s="2505"/>
      <c r="EY1048" s="249"/>
      <c r="EZ1048" s="221"/>
      <c r="FA1048" s="313"/>
      <c r="FB1048" s="249"/>
      <c r="FC1048" s="221"/>
      <c r="FD1048" s="313"/>
      <c r="FE1048" s="249"/>
      <c r="FF1048" s="221"/>
      <c r="FG1048" s="313"/>
      <c r="FH1048" s="249"/>
      <c r="FI1048" s="216"/>
      <c r="FJ1048" s="1435"/>
      <c r="FK1048" s="216"/>
      <c r="FL1048" s="1268"/>
      <c r="FM1048" s="1655"/>
      <c r="FN1048" s="1268"/>
      <c r="FO1048" s="1655"/>
      <c r="FP1048" s="1268"/>
      <c r="FQ1048" s="1656"/>
      <c r="FR1048" s="249"/>
      <c r="FS1048" s="216"/>
      <c r="FT1048" s="1657"/>
      <c r="FU1048" s="1658"/>
      <c r="FV1048" s="242"/>
      <c r="FW1048" s="343"/>
      <c r="FX1048" s="222"/>
      <c r="FY1048" s="336"/>
      <c r="FZ1048" s="223"/>
      <c r="GA1048" s="338"/>
      <c r="GB1048" s="204"/>
      <c r="GC1048" s="339"/>
      <c r="GD1048" s="342"/>
      <c r="GE1048" s="199"/>
      <c r="GF1048" s="199"/>
      <c r="GG1048" s="199"/>
      <c r="GH1048" s="199"/>
      <c r="GI1048" s="199"/>
      <c r="GJ1048" s="199"/>
      <c r="GK1048" s="199"/>
      <c r="GO1048" s="322"/>
      <c r="GP1048" s="1190"/>
      <c r="GQ1048" s="1190"/>
      <c r="GS1048" s="2879"/>
      <c r="GT1048" s="2880"/>
      <c r="GU1048" s="2881"/>
    </row>
    <row r="1049" spans="1:203" ht="12" customHeight="1">
      <c r="A1049" s="1252"/>
      <c r="B1049" s="200"/>
      <c r="C1049" s="486"/>
      <c r="T1049" s="1186"/>
      <c r="U1049" s="233"/>
      <c r="W1049" s="218"/>
      <c r="X1049" s="218"/>
      <c r="Y1049" s="216"/>
      <c r="Z1049" s="216"/>
      <c r="AA1049" s="215"/>
      <c r="AB1049" s="216"/>
      <c r="AC1049" s="216"/>
      <c r="AD1049" s="239"/>
      <c r="AE1049" s="216"/>
      <c r="AF1049" s="216"/>
      <c r="AG1049" s="216"/>
      <c r="AH1049" s="216"/>
      <c r="AI1049" s="216"/>
      <c r="AJ1049" s="216"/>
      <c r="AK1049" s="239"/>
      <c r="AL1049" s="216"/>
      <c r="AM1049" s="216"/>
      <c r="AN1049" s="216"/>
      <c r="AO1049" s="216"/>
      <c r="AP1049" s="216"/>
      <c r="AQ1049" s="216"/>
      <c r="AR1049" s="216"/>
      <c r="AS1049" s="216"/>
      <c r="AT1049" s="216"/>
      <c r="AU1049" s="216"/>
      <c r="AV1049" s="217"/>
      <c r="AW1049" s="355"/>
      <c r="AX1049" s="217"/>
      <c r="AY1049" s="305"/>
      <c r="AZ1049" s="249"/>
      <c r="BA1049" s="221"/>
      <c r="BB1049" s="300"/>
      <c r="BC1049" s="217"/>
      <c r="BD1049" s="392"/>
      <c r="BE1049" s="1244"/>
      <c r="BF1049" s="249"/>
      <c r="BG1049" s="252"/>
      <c r="BH1049" s="1469"/>
      <c r="BI1049" s="216"/>
      <c r="BJ1049" s="1469"/>
      <c r="BK1049" s="1459"/>
      <c r="BL1049" s="260"/>
      <c r="BM1049" s="214"/>
      <c r="BN1049" s="293"/>
      <c r="BO1049" s="217"/>
      <c r="BP1049" s="355"/>
      <c r="BQ1049" s="217"/>
      <c r="BR1049" s="1193"/>
      <c r="BS1049" s="249"/>
      <c r="BT1049" s="216"/>
      <c r="BU1049" s="1195"/>
      <c r="BV1049" s="249"/>
      <c r="BW1049" s="216"/>
      <c r="BX1049" s="1195"/>
      <c r="BY1049" s="249"/>
      <c r="BZ1049" s="216"/>
      <c r="CA1049" s="1195"/>
      <c r="CB1049" s="249"/>
      <c r="CC1049" s="216"/>
      <c r="CD1049" s="1195"/>
      <c r="CE1049" s="249"/>
      <c r="CF1049" s="216"/>
      <c r="CG1049" s="1195"/>
      <c r="CH1049" s="249"/>
      <c r="CI1049" s="216"/>
      <c r="CJ1049" s="1195"/>
      <c r="CK1049" s="249"/>
      <c r="CL1049" s="216"/>
      <c r="CM1049" s="1194"/>
      <c r="CN1049" s="1524"/>
      <c r="CO1049" s="217"/>
      <c r="CP1049" s="1193"/>
      <c r="CQ1049" s="293"/>
      <c r="CR1049" s="217"/>
      <c r="CS1049" s="305"/>
      <c r="CT1049" s="249"/>
      <c r="CU1049" s="216"/>
      <c r="CV1049" s="1193"/>
      <c r="CW1049" s="249"/>
      <c r="CX1049" s="216"/>
      <c r="CY1049" s="305"/>
      <c r="CZ1049" s="249"/>
      <c r="DA1049" s="216"/>
      <c r="DB1049" s="307"/>
      <c r="DC1049" s="328"/>
      <c r="DD1049" s="322"/>
      <c r="DE1049" s="305"/>
      <c r="DF1049" s="249"/>
      <c r="DG1049" s="216"/>
      <c r="DH1049" s="305"/>
      <c r="DI1049" s="249"/>
      <c r="DJ1049" s="216"/>
      <c r="DK1049" s="309"/>
      <c r="DL1049" s="293"/>
      <c r="DM1049" s="326"/>
      <c r="DN1049" s="1256"/>
      <c r="DO1049" s="214"/>
      <c r="DP1049" s="1257"/>
      <c r="DQ1049" s="1258"/>
      <c r="DR1049" s="305"/>
      <c r="DS1049" s="249"/>
      <c r="DT1049" s="216"/>
      <c r="DU1049" s="305"/>
      <c r="DV1049" s="2520"/>
      <c r="DW1049" s="2521"/>
      <c r="DX1049" s="305"/>
      <c r="DY1049" s="249"/>
      <c r="DZ1049" s="221"/>
      <c r="EA1049" s="388"/>
      <c r="EB1049" s="249"/>
      <c r="EC1049" s="216"/>
      <c r="ED1049" s="1461"/>
      <c r="EE1049" s="249"/>
      <c r="EF1049" s="216"/>
      <c r="EG1049" s="355"/>
      <c r="EH1049" s="1425"/>
      <c r="EI1049" s="1470"/>
      <c r="EJ1049" s="249"/>
      <c r="EK1049" s="221"/>
      <c r="EL1049" s="313"/>
      <c r="EM1049" s="249"/>
      <c r="EN1049" s="221"/>
      <c r="EO1049" s="313"/>
      <c r="EP1049" s="249"/>
      <c r="EQ1049" s="216"/>
      <c r="ER1049" s="313"/>
      <c r="ES1049" s="249"/>
      <c r="ET1049" s="216"/>
      <c r="EU1049" s="313"/>
      <c r="EV1049" s="249"/>
      <c r="EW1049" s="216"/>
      <c r="EX1049" s="2505"/>
      <c r="EY1049" s="249"/>
      <c r="EZ1049" s="221"/>
      <c r="FA1049" s="313"/>
      <c r="FB1049" s="249"/>
      <c r="FC1049" s="221"/>
      <c r="FD1049" s="313"/>
      <c r="FE1049" s="249"/>
      <c r="FF1049" s="221"/>
      <c r="FG1049" s="313"/>
      <c r="FH1049" s="249"/>
      <c r="FI1049" s="216"/>
      <c r="FJ1049" s="1435"/>
      <c r="FK1049" s="216"/>
      <c r="FL1049" s="1268"/>
      <c r="FM1049" s="1655"/>
      <c r="FN1049" s="1268"/>
      <c r="FO1049" s="1655"/>
      <c r="FP1049" s="1268"/>
      <c r="FQ1049" s="1656"/>
      <c r="FR1049" s="249"/>
      <c r="FS1049" s="216"/>
      <c r="FT1049" s="1657"/>
      <c r="FU1049" s="1658"/>
      <c r="FV1049" s="242"/>
      <c r="FW1049" s="343"/>
      <c r="FX1049" s="222"/>
      <c r="FY1049" s="336"/>
      <c r="FZ1049" s="223"/>
      <c r="GA1049" s="338"/>
      <c r="GB1049" s="204"/>
      <c r="GC1049" s="339"/>
      <c r="GD1049" s="342"/>
      <c r="GE1049" s="199"/>
      <c r="GF1049" s="199"/>
      <c r="GG1049" s="199"/>
      <c r="GH1049" s="199"/>
      <c r="GI1049" s="199"/>
      <c r="GJ1049" s="199"/>
      <c r="GK1049" s="199"/>
      <c r="GO1049" s="322"/>
      <c r="GP1049" s="1190"/>
      <c r="GQ1049" s="1190"/>
      <c r="GS1049" s="2879"/>
      <c r="GT1049" s="2880"/>
      <c r="GU1049" s="2881"/>
    </row>
    <row r="1050" spans="1:203" ht="12" customHeight="1">
      <c r="A1050" s="1252"/>
      <c r="B1050" s="200"/>
      <c r="C1050" s="486"/>
      <c r="T1050" s="1186"/>
      <c r="U1050" s="233"/>
      <c r="W1050" s="218"/>
      <c r="X1050" s="218"/>
      <c r="Y1050" s="216"/>
      <c r="Z1050" s="216"/>
      <c r="AA1050" s="215"/>
      <c r="AB1050" s="216"/>
      <c r="AC1050" s="216"/>
      <c r="AD1050" s="239"/>
      <c r="AE1050" s="216"/>
      <c r="AF1050" s="216"/>
      <c r="AG1050" s="216"/>
      <c r="AH1050" s="216"/>
      <c r="AI1050" s="216"/>
      <c r="AJ1050" s="216"/>
      <c r="AK1050" s="239"/>
      <c r="AL1050" s="216"/>
      <c r="AM1050" s="216"/>
      <c r="AN1050" s="216"/>
      <c r="AO1050" s="216"/>
      <c r="AP1050" s="216"/>
      <c r="AQ1050" s="216"/>
      <c r="AR1050" s="216"/>
      <c r="AS1050" s="216"/>
      <c r="AT1050" s="216"/>
      <c r="AU1050" s="216"/>
      <c r="AV1050" s="217"/>
      <c r="AW1050" s="355"/>
      <c r="AX1050" s="217"/>
      <c r="AY1050" s="305"/>
      <c r="AZ1050" s="249"/>
      <c r="BA1050" s="221"/>
      <c r="BB1050" s="300"/>
      <c r="BC1050" s="217"/>
      <c r="BD1050" s="392"/>
      <c r="BE1050" s="1244"/>
      <c r="BF1050" s="249"/>
      <c r="BG1050" s="252"/>
      <c r="BH1050" s="1469"/>
      <c r="BI1050" s="216"/>
      <c r="BJ1050" s="1469"/>
      <c r="BK1050" s="1459"/>
      <c r="BL1050" s="260"/>
      <c r="BM1050" s="214"/>
      <c r="BN1050" s="293"/>
      <c r="BO1050" s="217"/>
      <c r="BP1050" s="355"/>
      <c r="BQ1050" s="217"/>
      <c r="BR1050" s="1193"/>
      <c r="BS1050" s="249"/>
      <c r="BT1050" s="216"/>
      <c r="BU1050" s="1195"/>
      <c r="BV1050" s="249"/>
      <c r="BW1050" s="216"/>
      <c r="BX1050" s="1195"/>
      <c r="BY1050" s="249"/>
      <c r="BZ1050" s="216"/>
      <c r="CA1050" s="1195"/>
      <c r="CB1050" s="249"/>
      <c r="CC1050" s="216"/>
      <c r="CD1050" s="1195"/>
      <c r="CE1050" s="249"/>
      <c r="CF1050" s="216"/>
      <c r="CG1050" s="1195"/>
      <c r="CH1050" s="249"/>
      <c r="CI1050" s="216"/>
      <c r="CJ1050" s="1195"/>
      <c r="CK1050" s="249"/>
      <c r="CL1050" s="216"/>
      <c r="CM1050" s="1194"/>
      <c r="CN1050" s="1524"/>
      <c r="CO1050" s="217"/>
      <c r="CP1050" s="1193"/>
      <c r="CQ1050" s="293"/>
      <c r="CR1050" s="217"/>
      <c r="CS1050" s="305"/>
      <c r="CT1050" s="249"/>
      <c r="CU1050" s="216"/>
      <c r="CV1050" s="1193"/>
      <c r="CW1050" s="249"/>
      <c r="CX1050" s="216"/>
      <c r="CY1050" s="305"/>
      <c r="CZ1050" s="249"/>
      <c r="DA1050" s="216"/>
      <c r="DB1050" s="307"/>
      <c r="DC1050" s="328"/>
      <c r="DD1050" s="322"/>
      <c r="DE1050" s="305"/>
      <c r="DF1050" s="249"/>
      <c r="DG1050" s="216"/>
      <c r="DH1050" s="305"/>
      <c r="DI1050" s="249"/>
      <c r="DJ1050" s="216"/>
      <c r="DK1050" s="309"/>
      <c r="DL1050" s="293"/>
      <c r="DM1050" s="326"/>
      <c r="DN1050" s="1256"/>
      <c r="DO1050" s="214"/>
      <c r="DP1050" s="1257"/>
      <c r="DQ1050" s="1258"/>
      <c r="DR1050" s="305"/>
      <c r="DS1050" s="249"/>
      <c r="DT1050" s="216"/>
      <c r="DU1050" s="305"/>
      <c r="DV1050" s="2520"/>
      <c r="DW1050" s="2521"/>
      <c r="DX1050" s="305"/>
      <c r="DY1050" s="249"/>
      <c r="DZ1050" s="221"/>
      <c r="EA1050" s="388"/>
      <c r="EB1050" s="249"/>
      <c r="EC1050" s="216"/>
      <c r="ED1050" s="1461"/>
      <c r="EE1050" s="249"/>
      <c r="EF1050" s="216"/>
      <c r="EG1050" s="355"/>
      <c r="EH1050" s="1425"/>
      <c r="EI1050" s="1470"/>
      <c r="EJ1050" s="249"/>
      <c r="EK1050" s="221"/>
      <c r="EL1050" s="313"/>
      <c r="EM1050" s="249"/>
      <c r="EN1050" s="221"/>
      <c r="EO1050" s="313"/>
      <c r="EP1050" s="249"/>
      <c r="EQ1050" s="216"/>
      <c r="ER1050" s="313"/>
      <c r="ES1050" s="249"/>
      <c r="ET1050" s="216"/>
      <c r="EU1050" s="313"/>
      <c r="EV1050" s="249"/>
      <c r="EW1050" s="216"/>
      <c r="EX1050" s="2505"/>
      <c r="EY1050" s="249"/>
      <c r="EZ1050" s="221"/>
      <c r="FA1050" s="313"/>
      <c r="FB1050" s="249"/>
      <c r="FC1050" s="221"/>
      <c r="FD1050" s="313"/>
      <c r="FE1050" s="249"/>
      <c r="FF1050" s="221"/>
      <c r="FG1050" s="313"/>
      <c r="FH1050" s="249"/>
      <c r="FI1050" s="216"/>
      <c r="FJ1050" s="1435"/>
      <c r="FK1050" s="216"/>
      <c r="FL1050" s="1268"/>
      <c r="FM1050" s="1655"/>
      <c r="FN1050" s="1268"/>
      <c r="FO1050" s="1655"/>
      <c r="FP1050" s="1268"/>
      <c r="FQ1050" s="1656"/>
      <c r="FR1050" s="249"/>
      <c r="FS1050" s="216"/>
      <c r="FT1050" s="1657"/>
      <c r="FU1050" s="1658"/>
      <c r="FV1050" s="242"/>
      <c r="FW1050" s="343"/>
      <c r="FX1050" s="222"/>
      <c r="FY1050" s="336"/>
      <c r="FZ1050" s="223"/>
      <c r="GA1050" s="338"/>
      <c r="GB1050" s="204"/>
      <c r="GC1050" s="339"/>
      <c r="GD1050" s="342"/>
      <c r="GE1050" s="199"/>
      <c r="GF1050" s="199"/>
      <c r="GG1050" s="199"/>
      <c r="GH1050" s="199"/>
      <c r="GI1050" s="199"/>
      <c r="GJ1050" s="199"/>
      <c r="GK1050" s="199"/>
      <c r="GO1050" s="322"/>
      <c r="GP1050" s="1190"/>
      <c r="GQ1050" s="1190"/>
      <c r="GS1050" s="2879"/>
      <c r="GT1050" s="2880"/>
      <c r="GU1050" s="2881"/>
    </row>
    <row r="1051" spans="1:203" ht="12" customHeight="1">
      <c r="A1051" s="1252"/>
      <c r="B1051" s="200"/>
      <c r="C1051" s="486"/>
      <c r="T1051" s="1186"/>
      <c r="U1051" s="233"/>
      <c r="W1051" s="218"/>
      <c r="X1051" s="218"/>
      <c r="Y1051" s="216"/>
      <c r="Z1051" s="216"/>
      <c r="AA1051" s="215"/>
      <c r="AB1051" s="216"/>
      <c r="AC1051" s="216"/>
      <c r="AD1051" s="239"/>
      <c r="AE1051" s="216"/>
      <c r="AF1051" s="216"/>
      <c r="AG1051" s="216"/>
      <c r="AH1051" s="216"/>
      <c r="AI1051" s="216"/>
      <c r="AJ1051" s="216"/>
      <c r="AK1051" s="239"/>
      <c r="AL1051" s="216"/>
      <c r="AM1051" s="216"/>
      <c r="AN1051" s="216"/>
      <c r="AO1051" s="216"/>
      <c r="AP1051" s="216"/>
      <c r="AQ1051" s="216"/>
      <c r="AR1051" s="216"/>
      <c r="AS1051" s="216"/>
      <c r="AT1051" s="216"/>
      <c r="AU1051" s="216"/>
      <c r="AV1051" s="217"/>
      <c r="AW1051" s="355"/>
      <c r="AX1051" s="217"/>
      <c r="AY1051" s="305"/>
      <c r="AZ1051" s="249"/>
      <c r="BA1051" s="221"/>
      <c r="BB1051" s="300"/>
      <c r="BC1051" s="217"/>
      <c r="BD1051" s="392"/>
      <c r="BE1051" s="1244"/>
      <c r="BF1051" s="249"/>
      <c r="BG1051" s="252"/>
      <c r="BH1051" s="1469"/>
      <c r="BI1051" s="216"/>
      <c r="BJ1051" s="1469"/>
      <c r="BK1051" s="1459"/>
      <c r="BL1051" s="260"/>
      <c r="BM1051" s="214"/>
      <c r="BN1051" s="293"/>
      <c r="BO1051" s="217"/>
      <c r="BP1051" s="355"/>
      <c r="BQ1051" s="217"/>
      <c r="BR1051" s="1193"/>
      <c r="BS1051" s="249"/>
      <c r="BT1051" s="216"/>
      <c r="BU1051" s="1195"/>
      <c r="BV1051" s="249"/>
      <c r="BW1051" s="216"/>
      <c r="BX1051" s="1195"/>
      <c r="BY1051" s="249"/>
      <c r="BZ1051" s="216"/>
      <c r="CA1051" s="1195"/>
      <c r="CB1051" s="249"/>
      <c r="CC1051" s="216"/>
      <c r="CD1051" s="1195"/>
      <c r="CE1051" s="249"/>
      <c r="CF1051" s="216"/>
      <c r="CG1051" s="1195"/>
      <c r="CH1051" s="249"/>
      <c r="CI1051" s="216"/>
      <c r="CJ1051" s="1195"/>
      <c r="CK1051" s="249"/>
      <c r="CL1051" s="216"/>
      <c r="CM1051" s="1194"/>
      <c r="CN1051" s="1524"/>
      <c r="CO1051" s="217"/>
      <c r="CP1051" s="1193"/>
      <c r="CQ1051" s="293"/>
      <c r="CR1051" s="217"/>
      <c r="CS1051" s="305"/>
      <c r="CT1051" s="249"/>
      <c r="CU1051" s="216"/>
      <c r="CV1051" s="1193"/>
      <c r="CW1051" s="249"/>
      <c r="CX1051" s="216"/>
      <c r="CY1051" s="305"/>
      <c r="CZ1051" s="249"/>
      <c r="DA1051" s="216"/>
      <c r="DB1051" s="307"/>
      <c r="DC1051" s="328"/>
      <c r="DD1051" s="322"/>
      <c r="DE1051" s="305"/>
      <c r="DF1051" s="249"/>
      <c r="DG1051" s="216"/>
      <c r="DH1051" s="305"/>
      <c r="DI1051" s="249"/>
      <c r="DJ1051" s="216"/>
      <c r="DK1051" s="309"/>
      <c r="DL1051" s="293"/>
      <c r="DM1051" s="326"/>
      <c r="DN1051" s="1256"/>
      <c r="DO1051" s="214"/>
      <c r="DP1051" s="1257"/>
      <c r="DQ1051" s="1258"/>
      <c r="DR1051" s="305"/>
      <c r="DS1051" s="249"/>
      <c r="DT1051" s="216"/>
      <c r="DU1051" s="305"/>
      <c r="DV1051" s="2520"/>
      <c r="DW1051" s="2521"/>
      <c r="DX1051" s="305"/>
      <c r="DY1051" s="249"/>
      <c r="DZ1051" s="221"/>
      <c r="EA1051" s="388"/>
      <c r="EB1051" s="249"/>
      <c r="EC1051" s="216"/>
      <c r="ED1051" s="1461"/>
      <c r="EE1051" s="249"/>
      <c r="EF1051" s="216"/>
      <c r="EG1051" s="355"/>
      <c r="EH1051" s="1425"/>
      <c r="EI1051" s="1470"/>
      <c r="EJ1051" s="249"/>
      <c r="EK1051" s="221"/>
      <c r="EL1051" s="313"/>
      <c r="EM1051" s="249"/>
      <c r="EN1051" s="221"/>
      <c r="EO1051" s="313"/>
      <c r="EP1051" s="249"/>
      <c r="EQ1051" s="216"/>
      <c r="ER1051" s="313"/>
      <c r="ES1051" s="249"/>
      <c r="ET1051" s="216"/>
      <c r="EU1051" s="313"/>
      <c r="EV1051" s="249"/>
      <c r="EW1051" s="216"/>
      <c r="EX1051" s="2505"/>
      <c r="EY1051" s="249"/>
      <c r="EZ1051" s="221"/>
      <c r="FA1051" s="313"/>
      <c r="FB1051" s="249"/>
      <c r="FC1051" s="221"/>
      <c r="FD1051" s="313"/>
      <c r="FE1051" s="249"/>
      <c r="FF1051" s="221"/>
      <c r="FG1051" s="313"/>
      <c r="FH1051" s="249"/>
      <c r="FI1051" s="216"/>
      <c r="FJ1051" s="1435"/>
      <c r="FK1051" s="216"/>
      <c r="FL1051" s="1268"/>
      <c r="FM1051" s="1655"/>
      <c r="FN1051" s="1268"/>
      <c r="FO1051" s="1655"/>
      <c r="FP1051" s="1268"/>
      <c r="FQ1051" s="1656"/>
      <c r="FR1051" s="249"/>
      <c r="FS1051" s="216"/>
      <c r="FT1051" s="1657"/>
      <c r="FU1051" s="1658"/>
      <c r="FV1051" s="242"/>
      <c r="FW1051" s="343"/>
      <c r="FX1051" s="222"/>
      <c r="FY1051" s="336"/>
      <c r="FZ1051" s="223"/>
      <c r="GA1051" s="338"/>
      <c r="GB1051" s="204"/>
      <c r="GC1051" s="339"/>
      <c r="GD1051" s="342"/>
      <c r="GE1051" s="199"/>
      <c r="GF1051" s="199"/>
      <c r="GG1051" s="199"/>
      <c r="GH1051" s="199"/>
      <c r="GI1051" s="199"/>
      <c r="GJ1051" s="199"/>
      <c r="GK1051" s="199"/>
      <c r="GO1051" s="322"/>
      <c r="GP1051" s="1190"/>
      <c r="GQ1051" s="1190"/>
      <c r="GS1051" s="2879"/>
      <c r="GT1051" s="2880"/>
      <c r="GU1051" s="2881"/>
    </row>
    <row r="1052" spans="1:203" ht="12" customHeight="1">
      <c r="A1052" s="1252"/>
      <c r="B1052" s="200"/>
      <c r="C1052" s="486"/>
      <c r="T1052" s="1186"/>
      <c r="U1052" s="233"/>
      <c r="W1052" s="218"/>
      <c r="X1052" s="218"/>
      <c r="Y1052" s="216"/>
      <c r="Z1052" s="216"/>
      <c r="AA1052" s="215"/>
      <c r="AB1052" s="216"/>
      <c r="AC1052" s="216"/>
      <c r="AD1052" s="239"/>
      <c r="AE1052" s="216"/>
      <c r="AF1052" s="216"/>
      <c r="AG1052" s="216"/>
      <c r="AH1052" s="216"/>
      <c r="AI1052" s="216"/>
      <c r="AJ1052" s="216"/>
      <c r="AK1052" s="239"/>
      <c r="AL1052" s="216"/>
      <c r="AM1052" s="216"/>
      <c r="AN1052" s="216"/>
      <c r="AO1052" s="216"/>
      <c r="AP1052" s="216"/>
      <c r="AQ1052" s="216"/>
      <c r="AR1052" s="216"/>
      <c r="AS1052" s="216"/>
      <c r="AT1052" s="216"/>
      <c r="AU1052" s="216"/>
      <c r="AV1052" s="217"/>
      <c r="AW1052" s="355"/>
      <c r="AX1052" s="217"/>
      <c r="AY1052" s="305"/>
      <c r="AZ1052" s="249"/>
      <c r="BA1052" s="221"/>
      <c r="BB1052" s="300"/>
      <c r="BC1052" s="217"/>
      <c r="BD1052" s="392"/>
      <c r="BE1052" s="1244"/>
      <c r="BF1052" s="249"/>
      <c r="BG1052" s="252"/>
      <c r="BH1052" s="1469"/>
      <c r="BI1052" s="216"/>
      <c r="BJ1052" s="1469"/>
      <c r="BK1052" s="1459"/>
      <c r="BL1052" s="260"/>
      <c r="BM1052" s="214"/>
      <c r="BN1052" s="293"/>
      <c r="BO1052" s="217"/>
      <c r="BP1052" s="355"/>
      <c r="BQ1052" s="217"/>
      <c r="BR1052" s="1193"/>
      <c r="BS1052" s="249"/>
      <c r="BT1052" s="216"/>
      <c r="BU1052" s="1195"/>
      <c r="BV1052" s="249"/>
      <c r="BW1052" s="216"/>
      <c r="BX1052" s="1195"/>
      <c r="BY1052" s="249"/>
      <c r="BZ1052" s="216"/>
      <c r="CA1052" s="1195"/>
      <c r="CB1052" s="249"/>
      <c r="CC1052" s="216"/>
      <c r="CD1052" s="1195"/>
      <c r="CE1052" s="249"/>
      <c r="CF1052" s="216"/>
      <c r="CG1052" s="1195"/>
      <c r="CH1052" s="249"/>
      <c r="CI1052" s="216"/>
      <c r="CJ1052" s="1195"/>
      <c r="CK1052" s="249"/>
      <c r="CL1052" s="216"/>
      <c r="CM1052" s="1194"/>
      <c r="CN1052" s="1524"/>
      <c r="CO1052" s="217"/>
      <c r="CP1052" s="1193"/>
      <c r="CQ1052" s="293"/>
      <c r="CR1052" s="217"/>
      <c r="CS1052" s="305"/>
      <c r="CT1052" s="249"/>
      <c r="CU1052" s="216"/>
      <c r="CV1052" s="1193"/>
      <c r="CW1052" s="249"/>
      <c r="CX1052" s="216"/>
      <c r="CY1052" s="305"/>
      <c r="CZ1052" s="249"/>
      <c r="DA1052" s="216"/>
      <c r="DB1052" s="307"/>
      <c r="DC1052" s="328"/>
      <c r="DD1052" s="322"/>
      <c r="DE1052" s="305"/>
      <c r="DF1052" s="249"/>
      <c r="DG1052" s="216"/>
      <c r="DH1052" s="305"/>
      <c r="DI1052" s="249"/>
      <c r="DJ1052" s="216"/>
      <c r="DK1052" s="309"/>
      <c r="DL1052" s="293"/>
      <c r="DM1052" s="326"/>
      <c r="DN1052" s="1256"/>
      <c r="DO1052" s="214"/>
      <c r="DP1052" s="1257"/>
      <c r="DQ1052" s="1258"/>
      <c r="DR1052" s="305"/>
      <c r="DS1052" s="249"/>
      <c r="DT1052" s="216"/>
      <c r="DU1052" s="305"/>
      <c r="DV1052" s="2520"/>
      <c r="DW1052" s="2521"/>
      <c r="DX1052" s="305"/>
      <c r="DY1052" s="249"/>
      <c r="DZ1052" s="221"/>
      <c r="EA1052" s="388"/>
      <c r="EB1052" s="249"/>
      <c r="EC1052" s="216"/>
      <c r="ED1052" s="1461"/>
      <c r="EE1052" s="249"/>
      <c r="EF1052" s="216"/>
      <c r="EG1052" s="355"/>
      <c r="EH1052" s="1425"/>
      <c r="EI1052" s="1470"/>
      <c r="EJ1052" s="249"/>
      <c r="EK1052" s="221"/>
      <c r="EL1052" s="313"/>
      <c r="EM1052" s="249"/>
      <c r="EN1052" s="221"/>
      <c r="EO1052" s="313"/>
      <c r="EP1052" s="249"/>
      <c r="EQ1052" s="216"/>
      <c r="ER1052" s="313"/>
      <c r="ES1052" s="249"/>
      <c r="ET1052" s="216"/>
      <c r="EU1052" s="313"/>
      <c r="EV1052" s="249"/>
      <c r="EW1052" s="216"/>
      <c r="EX1052" s="2505"/>
      <c r="EY1052" s="249"/>
      <c r="EZ1052" s="221"/>
      <c r="FA1052" s="313"/>
      <c r="FB1052" s="249"/>
      <c r="FC1052" s="221"/>
      <c r="FD1052" s="313"/>
      <c r="FE1052" s="249"/>
      <c r="FF1052" s="221"/>
      <c r="FG1052" s="313"/>
      <c r="FH1052" s="249"/>
      <c r="FI1052" s="216"/>
      <c r="FJ1052" s="1435"/>
      <c r="FK1052" s="216"/>
      <c r="FL1052" s="1268"/>
      <c r="FM1052" s="1655"/>
      <c r="FN1052" s="1268"/>
      <c r="FO1052" s="1655"/>
      <c r="FP1052" s="1268"/>
      <c r="FQ1052" s="1656"/>
      <c r="FR1052" s="249"/>
      <c r="FS1052" s="216"/>
      <c r="FT1052" s="1657"/>
      <c r="FU1052" s="1658"/>
      <c r="FV1052" s="242"/>
      <c r="FW1052" s="343"/>
      <c r="FX1052" s="222"/>
      <c r="FY1052" s="336"/>
      <c r="FZ1052" s="223"/>
      <c r="GA1052" s="338"/>
      <c r="GB1052" s="204"/>
      <c r="GC1052" s="339"/>
      <c r="GD1052" s="342"/>
      <c r="GE1052" s="199"/>
      <c r="GF1052" s="199"/>
      <c r="GG1052" s="199"/>
      <c r="GH1052" s="199"/>
      <c r="GI1052" s="199"/>
      <c r="GJ1052" s="199"/>
      <c r="GK1052" s="199"/>
      <c r="GO1052" s="322"/>
      <c r="GP1052" s="1190"/>
      <c r="GQ1052" s="1190"/>
      <c r="GS1052" s="2879"/>
      <c r="GT1052" s="2880"/>
      <c r="GU1052" s="2881"/>
    </row>
    <row r="1053" spans="1:203" ht="12" customHeight="1">
      <c r="A1053" s="1252"/>
      <c r="B1053" s="200"/>
      <c r="C1053" s="486"/>
      <c r="T1053" s="1186"/>
      <c r="U1053" s="233"/>
      <c r="W1053" s="218"/>
      <c r="X1053" s="218"/>
      <c r="Y1053" s="216"/>
      <c r="Z1053" s="216"/>
      <c r="AA1053" s="215"/>
      <c r="AB1053" s="216"/>
      <c r="AC1053" s="216"/>
      <c r="AD1053" s="239"/>
      <c r="AE1053" s="216"/>
      <c r="AF1053" s="216"/>
      <c r="AG1053" s="216"/>
      <c r="AH1053" s="216"/>
      <c r="AI1053" s="216"/>
      <c r="AJ1053" s="216"/>
      <c r="AK1053" s="239"/>
      <c r="AL1053" s="216"/>
      <c r="AM1053" s="216"/>
      <c r="AN1053" s="216"/>
      <c r="AO1053" s="216"/>
      <c r="AP1053" s="216"/>
      <c r="AQ1053" s="216"/>
      <c r="AR1053" s="216"/>
      <c r="AS1053" s="216"/>
      <c r="AT1053" s="216"/>
      <c r="AU1053" s="216"/>
      <c r="AV1053" s="217"/>
      <c r="AW1053" s="355"/>
      <c r="AX1053" s="217"/>
      <c r="AY1053" s="305"/>
      <c r="AZ1053" s="249"/>
      <c r="BA1053" s="221"/>
      <c r="BB1053" s="300"/>
      <c r="BC1053" s="217"/>
      <c r="BD1053" s="392"/>
      <c r="BE1053" s="1244"/>
      <c r="BF1053" s="249"/>
      <c r="BG1053" s="252"/>
      <c r="BH1053" s="1469"/>
      <c r="BI1053" s="216"/>
      <c r="BJ1053" s="1469"/>
      <c r="BK1053" s="1459"/>
      <c r="BL1053" s="260"/>
      <c r="BM1053" s="214"/>
      <c r="BN1053" s="293"/>
      <c r="BO1053" s="217"/>
      <c r="BP1053" s="355"/>
      <c r="BQ1053" s="217"/>
      <c r="BR1053" s="1193"/>
      <c r="BS1053" s="249"/>
      <c r="BT1053" s="216"/>
      <c r="BU1053" s="1195"/>
      <c r="BV1053" s="249"/>
      <c r="BW1053" s="216"/>
      <c r="BX1053" s="1195"/>
      <c r="BY1053" s="249"/>
      <c r="BZ1053" s="216"/>
      <c r="CA1053" s="1195"/>
      <c r="CB1053" s="249"/>
      <c r="CC1053" s="216"/>
      <c r="CD1053" s="1195"/>
      <c r="CE1053" s="249"/>
      <c r="CF1053" s="216"/>
      <c r="CG1053" s="1195"/>
      <c r="CH1053" s="249"/>
      <c r="CI1053" s="216"/>
      <c r="CJ1053" s="1195"/>
      <c r="CK1053" s="249"/>
      <c r="CL1053" s="216"/>
      <c r="CM1053" s="1194"/>
      <c r="CN1053" s="1524"/>
      <c r="CO1053" s="217"/>
      <c r="CP1053" s="1193"/>
      <c r="CQ1053" s="293"/>
      <c r="CR1053" s="217"/>
      <c r="CS1053" s="305"/>
      <c r="CT1053" s="249"/>
      <c r="CU1053" s="216"/>
      <c r="CV1053" s="1193"/>
      <c r="CW1053" s="249"/>
      <c r="CX1053" s="216"/>
      <c r="CY1053" s="305"/>
      <c r="CZ1053" s="249"/>
      <c r="DA1053" s="216"/>
      <c r="DB1053" s="307"/>
      <c r="DC1053" s="328"/>
      <c r="DD1053" s="322"/>
      <c r="DE1053" s="305"/>
      <c r="DF1053" s="249"/>
      <c r="DG1053" s="216"/>
      <c r="DH1053" s="305"/>
      <c r="DI1053" s="249"/>
      <c r="DJ1053" s="216"/>
      <c r="DK1053" s="309"/>
      <c r="DL1053" s="293"/>
      <c r="DM1053" s="326"/>
      <c r="DN1053" s="1256"/>
      <c r="DO1053" s="214"/>
      <c r="DP1053" s="1257"/>
      <c r="DQ1053" s="1258"/>
      <c r="DR1053" s="305"/>
      <c r="DS1053" s="249"/>
      <c r="DT1053" s="216"/>
      <c r="DU1053" s="305"/>
      <c r="DV1053" s="2520"/>
      <c r="DW1053" s="2521"/>
      <c r="DX1053" s="305"/>
      <c r="DY1053" s="249"/>
      <c r="DZ1053" s="221"/>
      <c r="EA1053" s="388"/>
      <c r="EB1053" s="249"/>
      <c r="EC1053" s="216"/>
      <c r="ED1053" s="1461"/>
      <c r="EE1053" s="249"/>
      <c r="EF1053" s="216"/>
      <c r="EG1053" s="355"/>
      <c r="EH1053" s="1425"/>
      <c r="EI1053" s="1470"/>
      <c r="EJ1053" s="249"/>
      <c r="EK1053" s="221"/>
      <c r="EL1053" s="313"/>
      <c r="EM1053" s="249"/>
      <c r="EN1053" s="221"/>
      <c r="EO1053" s="313"/>
      <c r="EP1053" s="249"/>
      <c r="EQ1053" s="216"/>
      <c r="ER1053" s="313"/>
      <c r="ES1053" s="249"/>
      <c r="ET1053" s="216"/>
      <c r="EU1053" s="313"/>
      <c r="EV1053" s="249"/>
      <c r="EW1053" s="216"/>
      <c r="EX1053" s="2505"/>
      <c r="EY1053" s="249"/>
      <c r="EZ1053" s="221"/>
      <c r="FA1053" s="313"/>
      <c r="FB1053" s="249"/>
      <c r="FC1053" s="221"/>
      <c r="FD1053" s="313"/>
      <c r="FE1053" s="249"/>
      <c r="FF1053" s="221"/>
      <c r="FG1053" s="313"/>
      <c r="FH1053" s="249"/>
      <c r="FI1053" s="216"/>
      <c r="FJ1053" s="1435"/>
      <c r="FK1053" s="216"/>
      <c r="FL1053" s="1268"/>
      <c r="FM1053" s="1655"/>
      <c r="FN1053" s="1268"/>
      <c r="FO1053" s="1655"/>
      <c r="FP1053" s="1268"/>
      <c r="FQ1053" s="1656"/>
      <c r="FR1053" s="249"/>
      <c r="FS1053" s="216"/>
      <c r="FT1053" s="1657"/>
      <c r="FU1053" s="1658"/>
      <c r="FV1053" s="242"/>
      <c r="FW1053" s="343"/>
      <c r="FX1053" s="222"/>
      <c r="FY1053" s="336"/>
      <c r="FZ1053" s="223"/>
      <c r="GA1053" s="338"/>
      <c r="GB1053" s="204"/>
      <c r="GC1053" s="339"/>
      <c r="GD1053" s="342"/>
      <c r="GE1053" s="199"/>
      <c r="GF1053" s="199"/>
      <c r="GG1053" s="199"/>
      <c r="GH1053" s="199"/>
      <c r="GI1053" s="199"/>
      <c r="GJ1053" s="199"/>
      <c r="GK1053" s="199"/>
      <c r="GO1053" s="322"/>
      <c r="GP1053" s="1190"/>
      <c r="GQ1053" s="1190"/>
      <c r="GS1053" s="2879"/>
      <c r="GT1053" s="2880"/>
      <c r="GU1053" s="2881"/>
    </row>
    <row r="1054" spans="1:203" ht="12" customHeight="1">
      <c r="A1054" s="1252"/>
      <c r="B1054" s="200"/>
      <c r="C1054" s="486"/>
      <c r="T1054" s="1186"/>
      <c r="U1054" s="233"/>
      <c r="W1054" s="218"/>
      <c r="X1054" s="218"/>
      <c r="Y1054" s="216"/>
      <c r="Z1054" s="216"/>
      <c r="AA1054" s="215"/>
      <c r="AB1054" s="216"/>
      <c r="AC1054" s="216"/>
      <c r="AD1054" s="239"/>
      <c r="AE1054" s="216"/>
      <c r="AF1054" s="216"/>
      <c r="AG1054" s="216"/>
      <c r="AH1054" s="216"/>
      <c r="AI1054" s="216"/>
      <c r="AJ1054" s="216"/>
      <c r="AK1054" s="239"/>
      <c r="AL1054" s="216"/>
      <c r="AM1054" s="216"/>
      <c r="AN1054" s="216"/>
      <c r="AO1054" s="216"/>
      <c r="AP1054" s="216"/>
      <c r="AQ1054" s="216"/>
      <c r="AR1054" s="216"/>
      <c r="AS1054" s="216"/>
      <c r="AT1054" s="216"/>
      <c r="AU1054" s="216"/>
      <c r="AV1054" s="217"/>
      <c r="AW1054" s="355"/>
      <c r="AX1054" s="217"/>
      <c r="AY1054" s="305"/>
      <c r="AZ1054" s="249"/>
      <c r="BA1054" s="221"/>
      <c r="BB1054" s="300"/>
      <c r="BC1054" s="217"/>
      <c r="BD1054" s="392"/>
      <c r="BE1054" s="1244"/>
      <c r="BF1054" s="249"/>
      <c r="BG1054" s="252"/>
      <c r="BH1054" s="1469"/>
      <c r="BI1054" s="216"/>
      <c r="BJ1054" s="1469"/>
      <c r="BK1054" s="1459"/>
      <c r="BL1054" s="260"/>
      <c r="BM1054" s="214"/>
      <c r="BN1054" s="293"/>
      <c r="BO1054" s="217"/>
      <c r="BP1054" s="355"/>
      <c r="BQ1054" s="217"/>
      <c r="BR1054" s="1193"/>
      <c r="BS1054" s="249"/>
      <c r="BT1054" s="216"/>
      <c r="BU1054" s="1195"/>
      <c r="BV1054" s="249"/>
      <c r="BW1054" s="216"/>
      <c r="BX1054" s="1195"/>
      <c r="BY1054" s="249"/>
      <c r="BZ1054" s="216"/>
      <c r="CA1054" s="1195"/>
      <c r="CB1054" s="249"/>
      <c r="CC1054" s="216"/>
      <c r="CD1054" s="1195"/>
      <c r="CE1054" s="249"/>
      <c r="CF1054" s="216"/>
      <c r="CG1054" s="1195"/>
      <c r="CH1054" s="249"/>
      <c r="CI1054" s="216"/>
      <c r="CJ1054" s="1195"/>
      <c r="CK1054" s="249"/>
      <c r="CL1054" s="216"/>
      <c r="CM1054" s="1194"/>
      <c r="CN1054" s="1524"/>
      <c r="CO1054" s="217"/>
      <c r="CP1054" s="1193"/>
      <c r="CQ1054" s="293"/>
      <c r="CR1054" s="217"/>
      <c r="CS1054" s="305"/>
      <c r="CT1054" s="249"/>
      <c r="CU1054" s="216"/>
      <c r="CV1054" s="1193"/>
      <c r="CW1054" s="249"/>
      <c r="CX1054" s="216"/>
      <c r="CY1054" s="305"/>
      <c r="CZ1054" s="249"/>
      <c r="DA1054" s="216"/>
      <c r="DB1054" s="307"/>
      <c r="DC1054" s="328"/>
      <c r="DD1054" s="322"/>
      <c r="DE1054" s="305"/>
      <c r="DF1054" s="249"/>
      <c r="DG1054" s="216"/>
      <c r="DH1054" s="305"/>
      <c r="DI1054" s="249"/>
      <c r="DJ1054" s="216"/>
      <c r="DK1054" s="309"/>
      <c r="DL1054" s="293"/>
      <c r="DM1054" s="326"/>
      <c r="DN1054" s="1256"/>
      <c r="DO1054" s="214"/>
      <c r="DP1054" s="1257"/>
      <c r="DQ1054" s="1258"/>
      <c r="DR1054" s="305"/>
      <c r="DS1054" s="249"/>
      <c r="DT1054" s="216"/>
      <c r="DU1054" s="305"/>
      <c r="DV1054" s="2520"/>
      <c r="DW1054" s="2521"/>
      <c r="DX1054" s="305"/>
      <c r="DY1054" s="249"/>
      <c r="DZ1054" s="221"/>
      <c r="EA1054" s="388"/>
      <c r="EB1054" s="249"/>
      <c r="EC1054" s="216"/>
      <c r="ED1054" s="1461"/>
      <c r="EE1054" s="249"/>
      <c r="EF1054" s="216"/>
      <c r="EG1054" s="355"/>
      <c r="EH1054" s="1425"/>
      <c r="EI1054" s="1470"/>
      <c r="EJ1054" s="249"/>
      <c r="EK1054" s="221"/>
      <c r="EL1054" s="313"/>
      <c r="EM1054" s="249"/>
      <c r="EN1054" s="221"/>
      <c r="EO1054" s="313"/>
      <c r="EP1054" s="249"/>
      <c r="EQ1054" s="216"/>
      <c r="ER1054" s="313"/>
      <c r="ES1054" s="249"/>
      <c r="ET1054" s="216"/>
      <c r="EU1054" s="313"/>
      <c r="EV1054" s="249"/>
      <c r="EW1054" s="216"/>
      <c r="EX1054" s="2505"/>
      <c r="EY1054" s="249"/>
      <c r="EZ1054" s="221"/>
      <c r="FA1054" s="313"/>
      <c r="FB1054" s="249"/>
      <c r="FC1054" s="221"/>
      <c r="FD1054" s="313"/>
      <c r="FE1054" s="249"/>
      <c r="FF1054" s="221"/>
      <c r="FG1054" s="313"/>
      <c r="FH1054" s="249"/>
      <c r="FI1054" s="216"/>
      <c r="FJ1054" s="1435"/>
      <c r="FK1054" s="216"/>
      <c r="FL1054" s="1268"/>
      <c r="FM1054" s="1655"/>
      <c r="FN1054" s="1268"/>
      <c r="FO1054" s="1655"/>
      <c r="FP1054" s="1268"/>
      <c r="FQ1054" s="1656"/>
      <c r="FR1054" s="249"/>
      <c r="FS1054" s="216"/>
      <c r="FT1054" s="1657"/>
      <c r="FU1054" s="1658"/>
      <c r="FV1054" s="242"/>
      <c r="FW1054" s="343"/>
      <c r="FX1054" s="222"/>
      <c r="FY1054" s="336"/>
      <c r="FZ1054" s="223"/>
      <c r="GA1054" s="338"/>
      <c r="GB1054" s="204"/>
      <c r="GC1054" s="339"/>
      <c r="GD1054" s="342"/>
      <c r="GE1054" s="199"/>
      <c r="GF1054" s="199"/>
      <c r="GG1054" s="199"/>
      <c r="GH1054" s="199"/>
      <c r="GI1054" s="199"/>
      <c r="GJ1054" s="199"/>
      <c r="GK1054" s="199"/>
      <c r="GO1054" s="322"/>
      <c r="GP1054" s="1190"/>
      <c r="GQ1054" s="1190"/>
      <c r="GS1054" s="2879"/>
      <c r="GT1054" s="2880"/>
      <c r="GU1054" s="2881"/>
    </row>
    <row r="1055" spans="1:203" ht="12" customHeight="1">
      <c r="A1055" s="1252"/>
      <c r="B1055" s="200"/>
      <c r="C1055" s="486"/>
      <c r="T1055" s="1186"/>
      <c r="U1055" s="233"/>
      <c r="W1055" s="218"/>
      <c r="X1055" s="218"/>
      <c r="Y1055" s="216"/>
      <c r="Z1055" s="216"/>
      <c r="AA1055" s="215"/>
      <c r="AB1055" s="216"/>
      <c r="AC1055" s="216"/>
      <c r="AD1055" s="239"/>
      <c r="AE1055" s="216"/>
      <c r="AF1055" s="216"/>
      <c r="AG1055" s="216"/>
      <c r="AH1055" s="216"/>
      <c r="AI1055" s="216"/>
      <c r="AJ1055" s="216"/>
      <c r="AK1055" s="239"/>
      <c r="AL1055" s="216"/>
      <c r="AM1055" s="216"/>
      <c r="AN1055" s="216"/>
      <c r="AO1055" s="216"/>
      <c r="AP1055" s="216"/>
      <c r="AQ1055" s="216"/>
      <c r="AR1055" s="216"/>
      <c r="AS1055" s="216"/>
      <c r="AT1055" s="216"/>
      <c r="AU1055" s="216"/>
      <c r="AV1055" s="217"/>
      <c r="AW1055" s="355"/>
      <c r="AX1055" s="217"/>
      <c r="AY1055" s="305"/>
      <c r="AZ1055" s="249"/>
      <c r="BA1055" s="221"/>
      <c r="BB1055" s="300"/>
      <c r="BC1055" s="217"/>
      <c r="BD1055" s="392"/>
      <c r="BE1055" s="1244"/>
      <c r="BF1055" s="249"/>
      <c r="BG1055" s="252"/>
      <c r="BH1055" s="1469"/>
      <c r="BI1055" s="216"/>
      <c r="BJ1055" s="1469"/>
      <c r="BK1055" s="1459"/>
      <c r="BL1055" s="260"/>
      <c r="BM1055" s="214"/>
      <c r="BN1055" s="293"/>
      <c r="BO1055" s="217"/>
      <c r="BP1055" s="355"/>
      <c r="BQ1055" s="217"/>
      <c r="BR1055" s="1193"/>
      <c r="BS1055" s="249"/>
      <c r="BT1055" s="216"/>
      <c r="BU1055" s="1195"/>
      <c r="BV1055" s="249"/>
      <c r="BW1055" s="216"/>
      <c r="BX1055" s="1195"/>
      <c r="BY1055" s="249"/>
      <c r="BZ1055" s="216"/>
      <c r="CA1055" s="1195"/>
      <c r="CB1055" s="249"/>
      <c r="CC1055" s="216"/>
      <c r="CD1055" s="1195"/>
      <c r="CE1055" s="249"/>
      <c r="CF1055" s="216"/>
      <c r="CG1055" s="1195"/>
      <c r="CH1055" s="249"/>
      <c r="CI1055" s="216"/>
      <c r="CJ1055" s="1195"/>
      <c r="CK1055" s="249"/>
      <c r="CL1055" s="216"/>
      <c r="CM1055" s="1194"/>
      <c r="CN1055" s="1524"/>
      <c r="CO1055" s="217"/>
      <c r="CP1055" s="1193"/>
      <c r="CQ1055" s="293"/>
      <c r="CR1055" s="217"/>
      <c r="CS1055" s="305"/>
      <c r="CT1055" s="249"/>
      <c r="CU1055" s="216"/>
      <c r="CV1055" s="1193"/>
      <c r="CW1055" s="249"/>
      <c r="CX1055" s="216"/>
      <c r="CY1055" s="305"/>
      <c r="CZ1055" s="249"/>
      <c r="DA1055" s="216"/>
      <c r="DB1055" s="307"/>
      <c r="DC1055" s="328"/>
      <c r="DD1055" s="322"/>
      <c r="DE1055" s="305"/>
      <c r="DF1055" s="249"/>
      <c r="DG1055" s="216"/>
      <c r="DH1055" s="305"/>
      <c r="DI1055" s="249"/>
      <c r="DJ1055" s="216"/>
      <c r="DK1055" s="309"/>
      <c r="DL1055" s="293"/>
      <c r="DM1055" s="326"/>
      <c r="DN1055" s="1256"/>
      <c r="DO1055" s="214"/>
      <c r="DP1055" s="1257"/>
      <c r="DQ1055" s="1258"/>
      <c r="DR1055" s="305"/>
      <c r="DS1055" s="249"/>
      <c r="DT1055" s="216"/>
      <c r="DU1055" s="305"/>
      <c r="DV1055" s="2520"/>
      <c r="DW1055" s="2521"/>
      <c r="DX1055" s="305"/>
      <c r="DY1055" s="249"/>
      <c r="DZ1055" s="221"/>
      <c r="EA1055" s="388"/>
      <c r="EB1055" s="249"/>
      <c r="EC1055" s="216"/>
      <c r="ED1055" s="1461"/>
      <c r="EE1055" s="249"/>
      <c r="EF1055" s="216"/>
      <c r="EG1055" s="355"/>
      <c r="EH1055" s="1425"/>
      <c r="EI1055" s="1470"/>
      <c r="EJ1055" s="249"/>
      <c r="EK1055" s="221"/>
      <c r="EL1055" s="313"/>
      <c r="EM1055" s="249"/>
      <c r="EN1055" s="221"/>
      <c r="EO1055" s="313"/>
      <c r="EP1055" s="249"/>
      <c r="EQ1055" s="216"/>
      <c r="ER1055" s="313"/>
      <c r="ES1055" s="249"/>
      <c r="ET1055" s="216"/>
      <c r="EU1055" s="313"/>
      <c r="EV1055" s="249"/>
      <c r="EW1055" s="216"/>
      <c r="EX1055" s="2505"/>
      <c r="EY1055" s="249"/>
      <c r="EZ1055" s="221"/>
      <c r="FA1055" s="313"/>
      <c r="FB1055" s="249"/>
      <c r="FC1055" s="221"/>
      <c r="FD1055" s="313"/>
      <c r="FE1055" s="249"/>
      <c r="FF1055" s="221"/>
      <c r="FG1055" s="313"/>
      <c r="FH1055" s="249"/>
      <c r="FI1055" s="216"/>
      <c r="FJ1055" s="1435"/>
      <c r="FK1055" s="216"/>
      <c r="FL1055" s="1268"/>
      <c r="FM1055" s="1655"/>
      <c r="FN1055" s="1268"/>
      <c r="FO1055" s="1655"/>
      <c r="FP1055" s="1268"/>
      <c r="FQ1055" s="1656"/>
      <c r="FR1055" s="249"/>
      <c r="FS1055" s="216"/>
      <c r="FT1055" s="1657"/>
      <c r="FU1055" s="1658"/>
      <c r="FV1055" s="242"/>
      <c r="FW1055" s="343"/>
      <c r="FX1055" s="222"/>
      <c r="FY1055" s="336"/>
      <c r="FZ1055" s="223"/>
      <c r="GA1055" s="338"/>
      <c r="GB1055" s="204"/>
      <c r="GC1055" s="339"/>
      <c r="GD1055" s="342"/>
      <c r="GE1055" s="199"/>
      <c r="GF1055" s="199"/>
      <c r="GG1055" s="199"/>
      <c r="GH1055" s="199"/>
      <c r="GI1055" s="199"/>
      <c r="GJ1055" s="199"/>
      <c r="GK1055" s="199"/>
      <c r="GO1055" s="322"/>
      <c r="GP1055" s="1190"/>
      <c r="GQ1055" s="1190"/>
      <c r="GS1055" s="2879"/>
      <c r="GT1055" s="2880"/>
      <c r="GU1055" s="2881"/>
    </row>
    <row r="1056" spans="1:203" ht="12" customHeight="1">
      <c r="A1056" s="1252"/>
      <c r="B1056" s="200"/>
      <c r="C1056" s="486"/>
      <c r="T1056" s="1186"/>
      <c r="U1056" s="233"/>
      <c r="W1056" s="218"/>
      <c r="X1056" s="218"/>
      <c r="Y1056" s="216"/>
      <c r="Z1056" s="216"/>
      <c r="AA1056" s="215"/>
      <c r="AB1056" s="216"/>
      <c r="AC1056" s="216"/>
      <c r="AD1056" s="239"/>
      <c r="AE1056" s="216"/>
      <c r="AF1056" s="216"/>
      <c r="AG1056" s="216"/>
      <c r="AH1056" s="216"/>
      <c r="AI1056" s="216"/>
      <c r="AJ1056" s="216"/>
      <c r="AK1056" s="239"/>
      <c r="AL1056" s="216"/>
      <c r="AM1056" s="216"/>
      <c r="AN1056" s="216"/>
      <c r="AO1056" s="216"/>
      <c r="AP1056" s="216"/>
      <c r="AQ1056" s="216"/>
      <c r="AR1056" s="216"/>
      <c r="AS1056" s="216"/>
      <c r="AT1056" s="216"/>
      <c r="AU1056" s="216"/>
      <c r="AV1056" s="217"/>
      <c r="AW1056" s="355"/>
      <c r="AX1056" s="217"/>
      <c r="AY1056" s="305"/>
      <c r="AZ1056" s="249"/>
      <c r="BA1056" s="221"/>
      <c r="BB1056" s="300"/>
      <c r="BC1056" s="217"/>
      <c r="BD1056" s="392"/>
      <c r="BE1056" s="1244"/>
      <c r="BF1056" s="249"/>
      <c r="BG1056" s="252"/>
      <c r="BH1056" s="1469"/>
      <c r="BI1056" s="216"/>
      <c r="BJ1056" s="1469"/>
      <c r="BK1056" s="1459"/>
      <c r="BL1056" s="260"/>
      <c r="BM1056" s="214"/>
      <c r="BN1056" s="293"/>
      <c r="BO1056" s="217"/>
      <c r="BP1056" s="355"/>
      <c r="BQ1056" s="217"/>
      <c r="BR1056" s="1193"/>
      <c r="BS1056" s="249"/>
      <c r="BT1056" s="216"/>
      <c r="BU1056" s="1195"/>
      <c r="BV1056" s="249"/>
      <c r="BW1056" s="216"/>
      <c r="BX1056" s="1195"/>
      <c r="BY1056" s="249"/>
      <c r="BZ1056" s="216"/>
      <c r="CA1056" s="1195"/>
      <c r="CB1056" s="249"/>
      <c r="CC1056" s="216"/>
      <c r="CD1056" s="1195"/>
      <c r="CE1056" s="249"/>
      <c r="CF1056" s="216"/>
      <c r="CG1056" s="1195"/>
      <c r="CH1056" s="249"/>
      <c r="CI1056" s="216"/>
      <c r="CJ1056" s="1195"/>
      <c r="CK1056" s="249"/>
      <c r="CL1056" s="216"/>
      <c r="CM1056" s="1194"/>
      <c r="CN1056" s="1524"/>
      <c r="CO1056" s="217"/>
      <c r="CP1056" s="1193"/>
      <c r="CQ1056" s="293"/>
      <c r="CR1056" s="217"/>
      <c r="CS1056" s="305"/>
      <c r="CT1056" s="249"/>
      <c r="CU1056" s="216"/>
      <c r="CV1056" s="1193"/>
      <c r="CW1056" s="249"/>
      <c r="CX1056" s="216"/>
      <c r="CY1056" s="305"/>
      <c r="CZ1056" s="249"/>
      <c r="DA1056" s="216"/>
      <c r="DB1056" s="307"/>
      <c r="DC1056" s="328"/>
      <c r="DD1056" s="322"/>
      <c r="DE1056" s="305"/>
      <c r="DF1056" s="249"/>
      <c r="DG1056" s="216"/>
      <c r="DH1056" s="305"/>
      <c r="DI1056" s="249"/>
      <c r="DJ1056" s="216"/>
      <c r="DK1056" s="309"/>
      <c r="DL1056" s="293"/>
      <c r="DM1056" s="326"/>
      <c r="DN1056" s="1256"/>
      <c r="DO1056" s="214"/>
      <c r="DP1056" s="1257"/>
      <c r="DQ1056" s="1258"/>
      <c r="DR1056" s="305"/>
      <c r="DS1056" s="249"/>
      <c r="DT1056" s="216"/>
      <c r="DU1056" s="305"/>
      <c r="DV1056" s="2520"/>
      <c r="DW1056" s="2521"/>
      <c r="DX1056" s="305"/>
      <c r="DY1056" s="249"/>
      <c r="DZ1056" s="221"/>
      <c r="EA1056" s="388"/>
      <c r="EB1056" s="249"/>
      <c r="EC1056" s="216"/>
      <c r="ED1056" s="1461"/>
      <c r="EE1056" s="249"/>
      <c r="EF1056" s="216"/>
      <c r="EG1056" s="355"/>
      <c r="EH1056" s="1425"/>
      <c r="EI1056" s="1470"/>
      <c r="EJ1056" s="249"/>
      <c r="EK1056" s="221"/>
      <c r="EL1056" s="313"/>
      <c r="EM1056" s="249"/>
      <c r="EN1056" s="221"/>
      <c r="EO1056" s="313"/>
      <c r="EP1056" s="249"/>
      <c r="EQ1056" s="216"/>
      <c r="ER1056" s="313"/>
      <c r="ES1056" s="249"/>
      <c r="ET1056" s="216"/>
      <c r="EU1056" s="313"/>
      <c r="EV1056" s="249"/>
      <c r="EW1056" s="216"/>
      <c r="EX1056" s="2505"/>
      <c r="EY1056" s="249"/>
      <c r="EZ1056" s="221"/>
      <c r="FA1056" s="313"/>
      <c r="FB1056" s="249"/>
      <c r="FC1056" s="221"/>
      <c r="FD1056" s="313"/>
      <c r="FE1056" s="249"/>
      <c r="FF1056" s="221"/>
      <c r="FG1056" s="313"/>
      <c r="FH1056" s="249"/>
      <c r="FI1056" s="216"/>
      <c r="FJ1056" s="1435"/>
      <c r="FK1056" s="216"/>
      <c r="FL1056" s="1268"/>
      <c r="FM1056" s="1655"/>
      <c r="FN1056" s="1268"/>
      <c r="FO1056" s="1655"/>
      <c r="FP1056" s="1268"/>
      <c r="FQ1056" s="1656"/>
      <c r="FR1056" s="249"/>
      <c r="FS1056" s="216"/>
      <c r="FT1056" s="1657"/>
      <c r="FU1056" s="1658"/>
      <c r="FV1056" s="242"/>
      <c r="FW1056" s="343"/>
      <c r="FX1056" s="222"/>
      <c r="FY1056" s="336"/>
      <c r="FZ1056" s="223"/>
      <c r="GA1056" s="338"/>
      <c r="GB1056" s="204"/>
      <c r="GC1056" s="339"/>
      <c r="GD1056" s="342"/>
      <c r="GE1056" s="199"/>
      <c r="GF1056" s="199"/>
      <c r="GG1056" s="199"/>
      <c r="GH1056" s="199"/>
      <c r="GI1056" s="199"/>
      <c r="GJ1056" s="199"/>
      <c r="GK1056" s="199"/>
      <c r="GO1056" s="322"/>
      <c r="GP1056" s="1190"/>
      <c r="GQ1056" s="1190"/>
      <c r="GS1056" s="2879"/>
      <c r="GT1056" s="2880"/>
      <c r="GU1056" s="2881"/>
    </row>
    <row r="1057" spans="1:203" ht="12" customHeight="1">
      <c r="A1057" s="1252"/>
      <c r="B1057" s="200"/>
      <c r="C1057" s="486"/>
      <c r="T1057" s="1186"/>
      <c r="U1057" s="233"/>
      <c r="W1057" s="218"/>
      <c r="X1057" s="218"/>
      <c r="Y1057" s="216"/>
      <c r="Z1057" s="216"/>
      <c r="AA1057" s="215"/>
      <c r="AB1057" s="216"/>
      <c r="AC1057" s="216"/>
      <c r="AD1057" s="239"/>
      <c r="AE1057" s="216"/>
      <c r="AF1057" s="216"/>
      <c r="AG1057" s="216"/>
      <c r="AH1057" s="216"/>
      <c r="AI1057" s="216"/>
      <c r="AJ1057" s="216"/>
      <c r="AK1057" s="239"/>
      <c r="AL1057" s="216"/>
      <c r="AM1057" s="216"/>
      <c r="AN1057" s="216"/>
      <c r="AO1057" s="216"/>
      <c r="AP1057" s="216"/>
      <c r="AQ1057" s="216"/>
      <c r="AR1057" s="216"/>
      <c r="AS1057" s="216"/>
      <c r="AT1057" s="216"/>
      <c r="AU1057" s="216"/>
      <c r="AV1057" s="217"/>
      <c r="AW1057" s="355"/>
      <c r="AX1057" s="217"/>
      <c r="AY1057" s="305"/>
      <c r="AZ1057" s="249"/>
      <c r="BA1057" s="221"/>
      <c r="BB1057" s="300"/>
      <c r="BC1057" s="217"/>
      <c r="BD1057" s="392"/>
      <c r="BE1057" s="1244"/>
      <c r="BF1057" s="249"/>
      <c r="BG1057" s="252"/>
      <c r="BH1057" s="1469"/>
      <c r="BI1057" s="216"/>
      <c r="BJ1057" s="1469"/>
      <c r="BK1057" s="1459"/>
      <c r="BL1057" s="260"/>
      <c r="BM1057" s="214"/>
      <c r="BN1057" s="293"/>
      <c r="BO1057" s="217"/>
      <c r="BP1057" s="355"/>
      <c r="BQ1057" s="217"/>
      <c r="BR1057" s="1193"/>
      <c r="BS1057" s="249"/>
      <c r="BT1057" s="216"/>
      <c r="BU1057" s="1195"/>
      <c r="BV1057" s="249"/>
      <c r="BW1057" s="216"/>
      <c r="BX1057" s="1195"/>
      <c r="BY1057" s="249"/>
      <c r="BZ1057" s="216"/>
      <c r="CA1057" s="1195"/>
      <c r="CB1057" s="249"/>
      <c r="CC1057" s="216"/>
      <c r="CD1057" s="1195"/>
      <c r="CE1057" s="249"/>
      <c r="CF1057" s="216"/>
      <c r="CG1057" s="1195"/>
      <c r="CH1057" s="249"/>
      <c r="CI1057" s="216"/>
      <c r="CJ1057" s="1195"/>
      <c r="CK1057" s="249"/>
      <c r="CL1057" s="216"/>
      <c r="CM1057" s="1194"/>
      <c r="CN1057" s="1524"/>
      <c r="CO1057" s="217"/>
      <c r="CP1057" s="1193"/>
      <c r="CQ1057" s="293"/>
      <c r="CR1057" s="217"/>
      <c r="CS1057" s="305"/>
      <c r="CT1057" s="249"/>
      <c r="CU1057" s="216"/>
      <c r="CV1057" s="1193"/>
      <c r="CW1057" s="249"/>
      <c r="CX1057" s="216"/>
      <c r="CY1057" s="305"/>
      <c r="CZ1057" s="249"/>
      <c r="DA1057" s="216"/>
      <c r="DB1057" s="307"/>
      <c r="DC1057" s="328"/>
      <c r="DD1057" s="322"/>
      <c r="DE1057" s="305"/>
      <c r="DF1057" s="249"/>
      <c r="DG1057" s="216"/>
      <c r="DH1057" s="305"/>
      <c r="DI1057" s="249"/>
      <c r="DJ1057" s="216"/>
      <c r="DK1057" s="309"/>
      <c r="DL1057" s="293"/>
      <c r="DM1057" s="326"/>
      <c r="DN1057" s="1256"/>
      <c r="DO1057" s="214"/>
      <c r="DP1057" s="1257"/>
      <c r="DQ1057" s="1258"/>
      <c r="DR1057" s="305"/>
      <c r="DS1057" s="249"/>
      <c r="DT1057" s="216"/>
      <c r="DU1057" s="305"/>
      <c r="DV1057" s="2520"/>
      <c r="DW1057" s="2521"/>
      <c r="DX1057" s="305"/>
      <c r="DY1057" s="249"/>
      <c r="DZ1057" s="221"/>
      <c r="EA1057" s="388"/>
      <c r="EB1057" s="249"/>
      <c r="EC1057" s="216"/>
      <c r="ED1057" s="1461"/>
      <c r="EE1057" s="249"/>
      <c r="EF1057" s="216"/>
      <c r="EG1057" s="355"/>
      <c r="EH1057" s="1425"/>
      <c r="EI1057" s="1470"/>
      <c r="EJ1057" s="249"/>
      <c r="EK1057" s="221"/>
      <c r="EL1057" s="313"/>
      <c r="EM1057" s="249"/>
      <c r="EN1057" s="221"/>
      <c r="EO1057" s="313"/>
      <c r="EP1057" s="249"/>
      <c r="EQ1057" s="216"/>
      <c r="ER1057" s="313"/>
      <c r="ES1057" s="249"/>
      <c r="ET1057" s="216"/>
      <c r="EU1057" s="313"/>
      <c r="EV1057" s="249"/>
      <c r="EW1057" s="216"/>
      <c r="EX1057" s="2505"/>
      <c r="EY1057" s="249"/>
      <c r="EZ1057" s="221"/>
      <c r="FA1057" s="313"/>
      <c r="FB1057" s="249"/>
      <c r="FC1057" s="221"/>
      <c r="FD1057" s="313"/>
      <c r="FE1057" s="249"/>
      <c r="FF1057" s="221"/>
      <c r="FG1057" s="313"/>
      <c r="FH1057" s="249"/>
      <c r="FI1057" s="216"/>
      <c r="FJ1057" s="1435"/>
      <c r="FK1057" s="216"/>
      <c r="FL1057" s="1268"/>
      <c r="FM1057" s="1655"/>
      <c r="FN1057" s="1268"/>
      <c r="FO1057" s="1655"/>
      <c r="FP1057" s="1268"/>
      <c r="FQ1057" s="1656"/>
      <c r="FR1057" s="249"/>
      <c r="FS1057" s="216"/>
      <c r="FT1057" s="1657"/>
      <c r="FU1057" s="1658"/>
      <c r="FV1057" s="242"/>
      <c r="FW1057" s="343"/>
      <c r="FX1057" s="222"/>
      <c r="FY1057" s="336"/>
      <c r="FZ1057" s="223"/>
      <c r="GA1057" s="338"/>
      <c r="GB1057" s="204"/>
      <c r="GC1057" s="339"/>
      <c r="GD1057" s="342"/>
      <c r="GE1057" s="199"/>
      <c r="GF1057" s="199"/>
      <c r="GG1057" s="199"/>
      <c r="GH1057" s="199"/>
      <c r="GI1057" s="199"/>
      <c r="GJ1057" s="199"/>
      <c r="GK1057" s="199"/>
      <c r="GO1057" s="322"/>
      <c r="GP1057" s="1190"/>
      <c r="GQ1057" s="1190"/>
      <c r="GS1057" s="2879"/>
      <c r="GT1057" s="2880"/>
      <c r="GU1057" s="2881"/>
    </row>
    <row r="1058" spans="1:203" ht="12" customHeight="1">
      <c r="A1058" s="1252"/>
      <c r="B1058" s="200"/>
      <c r="C1058" s="486"/>
      <c r="T1058" s="1186"/>
      <c r="U1058" s="233"/>
      <c r="W1058" s="218"/>
      <c r="X1058" s="218"/>
      <c r="Y1058" s="216"/>
      <c r="Z1058" s="216"/>
      <c r="AA1058" s="215"/>
      <c r="AB1058" s="216"/>
      <c r="AC1058" s="216"/>
      <c r="AD1058" s="239"/>
      <c r="AE1058" s="216"/>
      <c r="AF1058" s="216"/>
      <c r="AG1058" s="216"/>
      <c r="AH1058" s="216"/>
      <c r="AI1058" s="216"/>
      <c r="AJ1058" s="216"/>
      <c r="AK1058" s="239"/>
      <c r="AL1058" s="216"/>
      <c r="AM1058" s="216"/>
      <c r="AN1058" s="216"/>
      <c r="AO1058" s="216"/>
      <c r="AP1058" s="216"/>
      <c r="AQ1058" s="216"/>
      <c r="AR1058" s="216"/>
      <c r="AS1058" s="216"/>
      <c r="AT1058" s="216"/>
      <c r="AU1058" s="216"/>
      <c r="AV1058" s="217"/>
      <c r="AW1058" s="355"/>
      <c r="AX1058" s="217"/>
      <c r="AY1058" s="305"/>
      <c r="AZ1058" s="249"/>
      <c r="BA1058" s="221"/>
      <c r="BB1058" s="300"/>
      <c r="BC1058" s="217"/>
      <c r="BD1058" s="392"/>
      <c r="BE1058" s="1244"/>
      <c r="BF1058" s="249"/>
      <c r="BG1058" s="252"/>
      <c r="BH1058" s="1469"/>
      <c r="BI1058" s="216"/>
      <c r="BJ1058" s="1469"/>
      <c r="BK1058" s="1459"/>
      <c r="BL1058" s="260"/>
      <c r="BM1058" s="214"/>
      <c r="BN1058" s="293"/>
      <c r="BO1058" s="217"/>
      <c r="BP1058" s="355"/>
      <c r="BQ1058" s="217"/>
      <c r="BR1058" s="1193"/>
      <c r="BS1058" s="249"/>
      <c r="BT1058" s="216"/>
      <c r="BU1058" s="1195"/>
      <c r="BV1058" s="249"/>
      <c r="BW1058" s="216"/>
      <c r="BX1058" s="1195"/>
      <c r="BY1058" s="249"/>
      <c r="BZ1058" s="216"/>
      <c r="CA1058" s="1195"/>
      <c r="CB1058" s="249"/>
      <c r="CC1058" s="216"/>
      <c r="CD1058" s="1195"/>
      <c r="CE1058" s="249"/>
      <c r="CF1058" s="216"/>
      <c r="CG1058" s="1195"/>
      <c r="CH1058" s="249"/>
      <c r="CI1058" s="216"/>
      <c r="CJ1058" s="1195"/>
      <c r="CK1058" s="249"/>
      <c r="CL1058" s="216"/>
      <c r="CM1058" s="1194"/>
      <c r="CN1058" s="1524"/>
      <c r="CO1058" s="217"/>
      <c r="CP1058" s="1193"/>
      <c r="CQ1058" s="293"/>
      <c r="CR1058" s="217"/>
      <c r="CS1058" s="305"/>
      <c r="CT1058" s="249"/>
      <c r="CU1058" s="216"/>
      <c r="CV1058" s="1193"/>
      <c r="CW1058" s="249"/>
      <c r="CX1058" s="216"/>
      <c r="CY1058" s="305"/>
      <c r="CZ1058" s="249"/>
      <c r="DA1058" s="216"/>
      <c r="DB1058" s="307"/>
      <c r="DC1058" s="328"/>
      <c r="DD1058" s="322"/>
      <c r="DE1058" s="305"/>
      <c r="DF1058" s="249"/>
      <c r="DG1058" s="216"/>
      <c r="DH1058" s="305"/>
      <c r="DI1058" s="249"/>
      <c r="DJ1058" s="216"/>
      <c r="DK1058" s="309"/>
      <c r="DL1058" s="293"/>
      <c r="DM1058" s="326"/>
      <c r="DN1058" s="1256"/>
      <c r="DO1058" s="214"/>
      <c r="DP1058" s="1257"/>
      <c r="DQ1058" s="1258"/>
      <c r="DR1058" s="305"/>
      <c r="DS1058" s="249"/>
      <c r="DT1058" s="216"/>
      <c r="DU1058" s="305"/>
      <c r="DV1058" s="2520"/>
      <c r="DW1058" s="2521"/>
      <c r="DX1058" s="305"/>
      <c r="DY1058" s="249"/>
      <c r="DZ1058" s="221"/>
      <c r="EA1058" s="388"/>
      <c r="EB1058" s="249"/>
      <c r="EC1058" s="216"/>
      <c r="ED1058" s="1461"/>
      <c r="EE1058" s="249"/>
      <c r="EF1058" s="216"/>
      <c r="EG1058" s="355"/>
      <c r="EH1058" s="1425"/>
      <c r="EI1058" s="1470"/>
      <c r="EJ1058" s="249"/>
      <c r="EK1058" s="221"/>
      <c r="EL1058" s="313"/>
      <c r="EM1058" s="249"/>
      <c r="EN1058" s="221"/>
      <c r="EO1058" s="313"/>
      <c r="EP1058" s="249"/>
      <c r="EQ1058" s="216"/>
      <c r="ER1058" s="313"/>
      <c r="ES1058" s="249"/>
      <c r="ET1058" s="216"/>
      <c r="EU1058" s="313"/>
      <c r="EV1058" s="249"/>
      <c r="EW1058" s="216"/>
      <c r="EX1058" s="2505"/>
      <c r="EY1058" s="249"/>
      <c r="EZ1058" s="221"/>
      <c r="FA1058" s="313"/>
      <c r="FB1058" s="249"/>
      <c r="FC1058" s="221"/>
      <c r="FD1058" s="313"/>
      <c r="FE1058" s="249"/>
      <c r="FF1058" s="221"/>
      <c r="FG1058" s="313"/>
      <c r="FH1058" s="249"/>
      <c r="FI1058" s="216"/>
      <c r="FJ1058" s="1435"/>
      <c r="FK1058" s="216"/>
      <c r="FL1058" s="1268"/>
      <c r="FM1058" s="1655"/>
      <c r="FN1058" s="1268"/>
      <c r="FO1058" s="1655"/>
      <c r="FP1058" s="1268"/>
      <c r="FQ1058" s="1656"/>
      <c r="FR1058" s="249"/>
      <c r="FS1058" s="216"/>
      <c r="FT1058" s="1657"/>
      <c r="FU1058" s="1658"/>
      <c r="FV1058" s="242"/>
      <c r="FW1058" s="343"/>
      <c r="FX1058" s="222"/>
      <c r="FY1058" s="336"/>
      <c r="FZ1058" s="223"/>
      <c r="GA1058" s="338"/>
      <c r="GB1058" s="204"/>
      <c r="GC1058" s="339"/>
      <c r="GD1058" s="342"/>
      <c r="GE1058" s="199"/>
      <c r="GF1058" s="199"/>
      <c r="GG1058" s="199"/>
      <c r="GH1058" s="199"/>
      <c r="GI1058" s="199"/>
      <c r="GJ1058" s="199"/>
      <c r="GK1058" s="199"/>
      <c r="GO1058" s="322"/>
      <c r="GP1058" s="1190"/>
      <c r="GQ1058" s="1190"/>
      <c r="GS1058" s="2879"/>
      <c r="GT1058" s="2880"/>
      <c r="GU1058" s="2881"/>
    </row>
    <row r="1059" spans="1:203" ht="12" customHeight="1">
      <c r="A1059" s="1252"/>
      <c r="B1059" s="200"/>
      <c r="C1059" s="486"/>
      <c r="T1059" s="1186"/>
      <c r="U1059" s="233"/>
      <c r="W1059" s="218"/>
      <c r="X1059" s="218"/>
      <c r="Y1059" s="216"/>
      <c r="Z1059" s="216"/>
      <c r="AA1059" s="215"/>
      <c r="AB1059" s="216"/>
      <c r="AC1059" s="216"/>
      <c r="AD1059" s="239"/>
      <c r="AE1059" s="216"/>
      <c r="AF1059" s="216"/>
      <c r="AG1059" s="216"/>
      <c r="AH1059" s="216"/>
      <c r="AI1059" s="216"/>
      <c r="AJ1059" s="216"/>
      <c r="AK1059" s="239"/>
      <c r="AL1059" s="216"/>
      <c r="AM1059" s="216"/>
      <c r="AN1059" s="216"/>
      <c r="AO1059" s="216"/>
      <c r="AP1059" s="216"/>
      <c r="AQ1059" s="216"/>
      <c r="AR1059" s="216"/>
      <c r="AS1059" s="216"/>
      <c r="AT1059" s="216"/>
      <c r="AU1059" s="216"/>
      <c r="AV1059" s="217"/>
      <c r="AW1059" s="355"/>
      <c r="AX1059" s="217"/>
      <c r="AY1059" s="305"/>
      <c r="AZ1059" s="249"/>
      <c r="BA1059" s="221"/>
      <c r="BB1059" s="300"/>
      <c r="BC1059" s="217"/>
      <c r="BD1059" s="392"/>
      <c r="BE1059" s="1244"/>
      <c r="BF1059" s="249"/>
      <c r="BG1059" s="252"/>
      <c r="BH1059" s="1469"/>
      <c r="BI1059" s="216"/>
      <c r="BJ1059" s="1469"/>
      <c r="BK1059" s="1459"/>
      <c r="BL1059" s="260"/>
      <c r="BM1059" s="214"/>
      <c r="BN1059" s="293"/>
      <c r="BO1059" s="217"/>
      <c r="BP1059" s="355"/>
      <c r="BQ1059" s="217"/>
      <c r="BR1059" s="1193"/>
      <c r="BS1059" s="249"/>
      <c r="BT1059" s="216"/>
      <c r="BU1059" s="1195"/>
      <c r="BV1059" s="249"/>
      <c r="BW1059" s="216"/>
      <c r="BX1059" s="1195"/>
      <c r="BY1059" s="249"/>
      <c r="BZ1059" s="216"/>
      <c r="CA1059" s="1195"/>
      <c r="CB1059" s="249"/>
      <c r="CC1059" s="216"/>
      <c r="CD1059" s="1195"/>
      <c r="CE1059" s="249"/>
      <c r="CF1059" s="216"/>
      <c r="CG1059" s="1195"/>
      <c r="CH1059" s="249"/>
      <c r="CI1059" s="216"/>
      <c r="CJ1059" s="1195"/>
      <c r="CK1059" s="249"/>
      <c r="CL1059" s="216"/>
      <c r="CM1059" s="1194"/>
      <c r="CN1059" s="1524"/>
      <c r="CO1059" s="217"/>
      <c r="CP1059" s="1193"/>
      <c r="CQ1059" s="293"/>
      <c r="CR1059" s="217"/>
      <c r="CS1059" s="305"/>
      <c r="CT1059" s="249"/>
      <c r="CU1059" s="216"/>
      <c r="CV1059" s="1193"/>
      <c r="CW1059" s="249"/>
      <c r="CX1059" s="216"/>
      <c r="CY1059" s="305"/>
      <c r="CZ1059" s="249"/>
      <c r="DA1059" s="216"/>
      <c r="DB1059" s="307"/>
      <c r="DC1059" s="328"/>
      <c r="DD1059" s="322"/>
      <c r="DE1059" s="305"/>
      <c r="DF1059" s="249"/>
      <c r="DG1059" s="216"/>
      <c r="DH1059" s="305"/>
      <c r="DI1059" s="249"/>
      <c r="DJ1059" s="216"/>
      <c r="DK1059" s="309"/>
      <c r="DL1059" s="293"/>
      <c r="DM1059" s="326"/>
      <c r="DN1059" s="1256"/>
      <c r="DO1059" s="214"/>
      <c r="DP1059" s="1257"/>
      <c r="DQ1059" s="1258"/>
      <c r="DR1059" s="305"/>
      <c r="DS1059" s="249"/>
      <c r="DT1059" s="216"/>
      <c r="DU1059" s="305"/>
      <c r="DV1059" s="2520"/>
      <c r="DW1059" s="2521"/>
      <c r="DX1059" s="305"/>
      <c r="DY1059" s="249"/>
      <c r="DZ1059" s="221"/>
      <c r="EA1059" s="388"/>
      <c r="EB1059" s="249"/>
      <c r="EC1059" s="216"/>
      <c r="ED1059" s="1461"/>
      <c r="EE1059" s="249"/>
      <c r="EF1059" s="216"/>
      <c r="EG1059" s="355"/>
      <c r="EH1059" s="1425"/>
      <c r="EI1059" s="1470"/>
      <c r="EJ1059" s="249"/>
      <c r="EK1059" s="221"/>
      <c r="EL1059" s="313"/>
      <c r="EM1059" s="249"/>
      <c r="EN1059" s="221"/>
      <c r="EO1059" s="313"/>
      <c r="EP1059" s="249"/>
      <c r="EQ1059" s="216"/>
      <c r="ER1059" s="313"/>
      <c r="ES1059" s="249"/>
      <c r="ET1059" s="216"/>
      <c r="EU1059" s="313"/>
      <c r="EV1059" s="249"/>
      <c r="EW1059" s="216"/>
      <c r="EX1059" s="2505"/>
      <c r="EY1059" s="249"/>
      <c r="EZ1059" s="221"/>
      <c r="FA1059" s="313"/>
      <c r="FB1059" s="249"/>
      <c r="FC1059" s="221"/>
      <c r="FD1059" s="313"/>
      <c r="FE1059" s="249"/>
      <c r="FF1059" s="221"/>
      <c r="FG1059" s="313"/>
      <c r="FH1059" s="249"/>
      <c r="FI1059" s="216"/>
      <c r="FJ1059" s="1435"/>
      <c r="FK1059" s="216"/>
      <c r="FL1059" s="1268"/>
      <c r="FM1059" s="1655"/>
      <c r="FN1059" s="1268"/>
      <c r="FO1059" s="1655"/>
      <c r="FP1059" s="1268"/>
      <c r="FQ1059" s="1656"/>
      <c r="FR1059" s="249"/>
      <c r="FS1059" s="216"/>
      <c r="FT1059" s="1657"/>
      <c r="FU1059" s="1658"/>
      <c r="FV1059" s="242"/>
      <c r="FW1059" s="343"/>
      <c r="FX1059" s="222"/>
      <c r="FY1059" s="336"/>
      <c r="FZ1059" s="223"/>
      <c r="GA1059" s="338"/>
      <c r="GB1059" s="204"/>
      <c r="GC1059" s="339"/>
      <c r="GD1059" s="342"/>
      <c r="GE1059" s="199"/>
      <c r="GF1059" s="199"/>
      <c r="GG1059" s="199"/>
      <c r="GH1059" s="199"/>
      <c r="GI1059" s="199"/>
      <c r="GJ1059" s="199"/>
      <c r="GK1059" s="199"/>
      <c r="GO1059" s="322"/>
      <c r="GP1059" s="1190"/>
      <c r="GQ1059" s="1190"/>
      <c r="GS1059" s="2879"/>
      <c r="GT1059" s="2880"/>
      <c r="GU1059" s="2881"/>
    </row>
    <row r="1060" spans="1:203" ht="12" customHeight="1">
      <c r="A1060" s="1252"/>
      <c r="B1060" s="200"/>
      <c r="C1060" s="486"/>
      <c r="T1060" s="1186"/>
      <c r="U1060" s="233"/>
      <c r="W1060" s="218"/>
      <c r="X1060" s="218"/>
      <c r="Y1060" s="216"/>
      <c r="Z1060" s="216"/>
      <c r="AA1060" s="215"/>
      <c r="AB1060" s="216"/>
      <c r="AC1060" s="216"/>
      <c r="AD1060" s="239"/>
      <c r="AE1060" s="216"/>
      <c r="AF1060" s="216"/>
      <c r="AG1060" s="216"/>
      <c r="AH1060" s="216"/>
      <c r="AI1060" s="216"/>
      <c r="AJ1060" s="216"/>
      <c r="AK1060" s="239"/>
      <c r="AL1060" s="216"/>
      <c r="AM1060" s="216"/>
      <c r="AN1060" s="216"/>
      <c r="AO1060" s="216"/>
      <c r="AP1060" s="216"/>
      <c r="AQ1060" s="216"/>
      <c r="AR1060" s="216"/>
      <c r="AS1060" s="216"/>
      <c r="AT1060" s="216"/>
      <c r="AU1060" s="216"/>
      <c r="AV1060" s="217"/>
      <c r="AW1060" s="355"/>
      <c r="AX1060" s="217"/>
      <c r="AY1060" s="305"/>
      <c r="AZ1060" s="249"/>
      <c r="BA1060" s="221"/>
      <c r="BB1060" s="300"/>
      <c r="BC1060" s="217"/>
      <c r="BD1060" s="392"/>
      <c r="BE1060" s="1244"/>
      <c r="BF1060" s="249"/>
      <c r="BG1060" s="252"/>
      <c r="BH1060" s="1469"/>
      <c r="BI1060" s="216"/>
      <c r="BJ1060" s="1469"/>
      <c r="BK1060" s="1459"/>
      <c r="BL1060" s="260"/>
      <c r="BM1060" s="214"/>
      <c r="BN1060" s="293"/>
      <c r="BO1060" s="217"/>
      <c r="BP1060" s="355"/>
      <c r="BQ1060" s="217"/>
      <c r="BR1060" s="1193"/>
      <c r="BS1060" s="249"/>
      <c r="BT1060" s="216"/>
      <c r="BU1060" s="1195"/>
      <c r="BV1060" s="249"/>
      <c r="BW1060" s="216"/>
      <c r="BX1060" s="1195"/>
      <c r="BY1060" s="249"/>
      <c r="BZ1060" s="216"/>
      <c r="CA1060" s="1195"/>
      <c r="CB1060" s="249"/>
      <c r="CC1060" s="216"/>
      <c r="CD1060" s="1195"/>
      <c r="CE1060" s="249"/>
      <c r="CF1060" s="216"/>
      <c r="CG1060" s="1195"/>
      <c r="CH1060" s="249"/>
      <c r="CI1060" s="216"/>
      <c r="CJ1060" s="1195"/>
      <c r="CK1060" s="249"/>
      <c r="CL1060" s="216"/>
      <c r="CM1060" s="1194"/>
      <c r="CN1060" s="1524"/>
      <c r="CO1060" s="217"/>
      <c r="CP1060" s="1193"/>
      <c r="CQ1060" s="293"/>
      <c r="CR1060" s="217"/>
      <c r="CS1060" s="305"/>
      <c r="CT1060" s="249"/>
      <c r="CU1060" s="216"/>
      <c r="CV1060" s="1193"/>
      <c r="CW1060" s="249"/>
      <c r="CX1060" s="216"/>
      <c r="CY1060" s="305"/>
      <c r="CZ1060" s="249"/>
      <c r="DA1060" s="216"/>
      <c r="DB1060" s="307"/>
      <c r="DC1060" s="328"/>
      <c r="DD1060" s="322"/>
      <c r="DE1060" s="305"/>
      <c r="DF1060" s="249"/>
      <c r="DG1060" s="216"/>
      <c r="DH1060" s="305"/>
      <c r="DI1060" s="249"/>
      <c r="DJ1060" s="216"/>
      <c r="DK1060" s="309"/>
      <c r="DL1060" s="293"/>
      <c r="DM1060" s="326"/>
      <c r="DN1060" s="1256"/>
      <c r="DO1060" s="214"/>
      <c r="DP1060" s="1257"/>
      <c r="DQ1060" s="1258"/>
      <c r="DR1060" s="305"/>
      <c r="DS1060" s="249"/>
      <c r="DT1060" s="216"/>
      <c r="DU1060" s="305"/>
      <c r="DV1060" s="2520"/>
      <c r="DW1060" s="2521"/>
      <c r="DX1060" s="305"/>
      <c r="DY1060" s="249"/>
      <c r="DZ1060" s="221"/>
      <c r="EA1060" s="388"/>
      <c r="EB1060" s="249"/>
      <c r="EC1060" s="216"/>
      <c r="ED1060" s="1461"/>
      <c r="EE1060" s="249"/>
      <c r="EF1060" s="216"/>
      <c r="EG1060" s="355"/>
      <c r="EH1060" s="1425"/>
      <c r="EI1060" s="1470"/>
      <c r="EJ1060" s="249"/>
      <c r="EK1060" s="221"/>
      <c r="EL1060" s="313"/>
      <c r="EM1060" s="249"/>
      <c r="EN1060" s="221"/>
      <c r="EO1060" s="313"/>
      <c r="EP1060" s="249"/>
      <c r="EQ1060" s="216"/>
      <c r="ER1060" s="313"/>
      <c r="ES1060" s="249"/>
      <c r="ET1060" s="216"/>
      <c r="EU1060" s="313"/>
      <c r="EV1060" s="249"/>
      <c r="EW1060" s="216"/>
      <c r="EX1060" s="2505"/>
      <c r="EY1060" s="249"/>
      <c r="EZ1060" s="221"/>
      <c r="FA1060" s="313"/>
      <c r="FB1060" s="249"/>
      <c r="FC1060" s="221"/>
      <c r="FD1060" s="313"/>
      <c r="FE1060" s="249"/>
      <c r="FF1060" s="221"/>
      <c r="FG1060" s="313"/>
      <c r="FH1060" s="249"/>
      <c r="FI1060" s="216"/>
      <c r="FJ1060" s="1435"/>
      <c r="FK1060" s="216"/>
      <c r="FL1060" s="1268"/>
      <c r="FM1060" s="1655"/>
      <c r="FN1060" s="1268"/>
      <c r="FO1060" s="1655"/>
      <c r="FP1060" s="1268"/>
      <c r="FQ1060" s="1656"/>
      <c r="FR1060" s="249"/>
      <c r="FS1060" s="216"/>
      <c r="FT1060" s="1657"/>
      <c r="FU1060" s="1658"/>
      <c r="FV1060" s="242"/>
      <c r="FW1060" s="343"/>
      <c r="FX1060" s="222"/>
      <c r="FY1060" s="336"/>
      <c r="FZ1060" s="223"/>
      <c r="GA1060" s="338"/>
      <c r="GB1060" s="204"/>
      <c r="GC1060" s="339"/>
      <c r="GD1060" s="342"/>
      <c r="GE1060" s="199"/>
      <c r="GF1060" s="199"/>
      <c r="GG1060" s="199"/>
      <c r="GH1060" s="199"/>
      <c r="GI1060" s="199"/>
      <c r="GJ1060" s="199"/>
      <c r="GK1060" s="199"/>
      <c r="GO1060" s="322"/>
      <c r="GP1060" s="1190"/>
      <c r="GQ1060" s="1190"/>
      <c r="GS1060" s="2879"/>
      <c r="GT1060" s="2880"/>
      <c r="GU1060" s="2881"/>
    </row>
    <row r="1061" spans="1:203" ht="12" customHeight="1">
      <c r="A1061" s="1252"/>
      <c r="B1061" s="200"/>
      <c r="C1061" s="486"/>
      <c r="T1061" s="1186"/>
      <c r="U1061" s="233"/>
      <c r="W1061" s="218"/>
      <c r="X1061" s="218"/>
      <c r="Y1061" s="216"/>
      <c r="Z1061" s="216"/>
      <c r="AA1061" s="215"/>
      <c r="AB1061" s="216"/>
      <c r="AC1061" s="216"/>
      <c r="AD1061" s="239"/>
      <c r="AE1061" s="216"/>
      <c r="AF1061" s="216"/>
      <c r="AG1061" s="216"/>
      <c r="AH1061" s="216"/>
      <c r="AI1061" s="216"/>
      <c r="AJ1061" s="216"/>
      <c r="AK1061" s="239"/>
      <c r="AL1061" s="216"/>
      <c r="AM1061" s="216"/>
      <c r="AN1061" s="216"/>
      <c r="AO1061" s="216"/>
      <c r="AP1061" s="216"/>
      <c r="AQ1061" s="216"/>
      <c r="AR1061" s="216"/>
      <c r="AS1061" s="216"/>
      <c r="AT1061" s="216"/>
      <c r="AU1061" s="216"/>
      <c r="AV1061" s="217"/>
      <c r="AW1061" s="355"/>
      <c r="AX1061" s="217"/>
      <c r="AY1061" s="305"/>
      <c r="AZ1061" s="249"/>
      <c r="BA1061" s="221"/>
      <c r="BB1061" s="300"/>
      <c r="BC1061" s="217"/>
      <c r="BD1061" s="392"/>
      <c r="BE1061" s="1244"/>
      <c r="BF1061" s="249"/>
      <c r="BG1061" s="252"/>
      <c r="BH1061" s="1469"/>
      <c r="BI1061" s="216"/>
      <c r="BJ1061" s="1469"/>
      <c r="BK1061" s="1459"/>
      <c r="BL1061" s="260"/>
      <c r="BM1061" s="214"/>
      <c r="BN1061" s="293"/>
      <c r="BO1061" s="217"/>
      <c r="BP1061" s="355"/>
      <c r="BQ1061" s="217"/>
      <c r="BR1061" s="1193"/>
      <c r="BS1061" s="249"/>
      <c r="BT1061" s="216"/>
      <c r="BU1061" s="1195"/>
      <c r="BV1061" s="249"/>
      <c r="BW1061" s="216"/>
      <c r="BX1061" s="1195"/>
      <c r="BY1061" s="249"/>
      <c r="BZ1061" s="216"/>
      <c r="CA1061" s="1195"/>
      <c r="CB1061" s="249"/>
      <c r="CC1061" s="216"/>
      <c r="CD1061" s="1195"/>
      <c r="CE1061" s="249"/>
      <c r="CF1061" s="216"/>
      <c r="CG1061" s="1195"/>
      <c r="CH1061" s="249"/>
      <c r="CI1061" s="216"/>
      <c r="CJ1061" s="1195"/>
      <c r="CK1061" s="249"/>
      <c r="CL1061" s="216"/>
      <c r="CM1061" s="1194"/>
      <c r="CN1061" s="1524"/>
      <c r="CO1061" s="217"/>
      <c r="CP1061" s="1193"/>
      <c r="CQ1061" s="293"/>
      <c r="CR1061" s="217"/>
      <c r="CS1061" s="305"/>
      <c r="CT1061" s="249"/>
      <c r="CU1061" s="216"/>
      <c r="CV1061" s="1193"/>
      <c r="CW1061" s="249"/>
      <c r="CX1061" s="216"/>
      <c r="CY1061" s="305"/>
      <c r="CZ1061" s="249"/>
      <c r="DA1061" s="216"/>
      <c r="DB1061" s="307"/>
      <c r="DC1061" s="328"/>
      <c r="DD1061" s="322"/>
      <c r="DE1061" s="305"/>
      <c r="DF1061" s="249"/>
      <c r="DG1061" s="216"/>
      <c r="DH1061" s="305"/>
      <c r="DI1061" s="249"/>
      <c r="DJ1061" s="216"/>
      <c r="DK1061" s="309"/>
      <c r="DL1061" s="293"/>
      <c r="DM1061" s="326"/>
      <c r="DN1061" s="1256"/>
      <c r="DO1061" s="214"/>
      <c r="DP1061" s="1257"/>
      <c r="DQ1061" s="1258"/>
      <c r="DR1061" s="305"/>
      <c r="DS1061" s="249"/>
      <c r="DT1061" s="216"/>
      <c r="DU1061" s="305"/>
      <c r="DV1061" s="2520"/>
      <c r="DW1061" s="2521"/>
      <c r="DX1061" s="305"/>
      <c r="DY1061" s="249"/>
      <c r="DZ1061" s="221"/>
      <c r="EA1061" s="388"/>
      <c r="EB1061" s="249"/>
      <c r="EC1061" s="216"/>
      <c r="ED1061" s="1461"/>
      <c r="EE1061" s="249"/>
      <c r="EF1061" s="216"/>
      <c r="EG1061" s="355"/>
      <c r="EH1061" s="1425"/>
      <c r="EI1061" s="1470"/>
      <c r="EJ1061" s="249"/>
      <c r="EK1061" s="221"/>
      <c r="EL1061" s="313"/>
      <c r="EM1061" s="249"/>
      <c r="EN1061" s="221"/>
      <c r="EO1061" s="313"/>
      <c r="EP1061" s="249"/>
      <c r="EQ1061" s="216"/>
      <c r="ER1061" s="313"/>
      <c r="ES1061" s="249"/>
      <c r="ET1061" s="216"/>
      <c r="EU1061" s="313"/>
      <c r="EV1061" s="249"/>
      <c r="EW1061" s="216"/>
      <c r="EX1061" s="2505"/>
      <c r="EY1061" s="249"/>
      <c r="EZ1061" s="221"/>
      <c r="FA1061" s="313"/>
      <c r="FB1061" s="249"/>
      <c r="FC1061" s="221"/>
      <c r="FD1061" s="313"/>
      <c r="FE1061" s="249"/>
      <c r="FF1061" s="221"/>
      <c r="FG1061" s="313"/>
      <c r="FH1061" s="249"/>
      <c r="FI1061" s="216"/>
      <c r="FJ1061" s="1435"/>
      <c r="FK1061" s="216"/>
      <c r="FL1061" s="1268"/>
      <c r="FM1061" s="1655"/>
      <c r="FN1061" s="1268"/>
      <c r="FO1061" s="1655"/>
      <c r="FP1061" s="1268"/>
      <c r="FQ1061" s="1656"/>
      <c r="FR1061" s="249"/>
      <c r="FS1061" s="216"/>
      <c r="FT1061" s="1657"/>
      <c r="FU1061" s="1658"/>
      <c r="FV1061" s="242"/>
      <c r="FW1061" s="343"/>
      <c r="FX1061" s="222"/>
      <c r="FY1061" s="336"/>
      <c r="FZ1061" s="223"/>
      <c r="GA1061" s="338"/>
      <c r="GB1061" s="204"/>
      <c r="GC1061" s="339"/>
      <c r="GD1061" s="342"/>
      <c r="GE1061" s="199"/>
      <c r="GF1061" s="199"/>
      <c r="GG1061" s="199"/>
      <c r="GH1061" s="199"/>
      <c r="GI1061" s="199"/>
      <c r="GJ1061" s="199"/>
      <c r="GK1061" s="199"/>
      <c r="GO1061" s="322"/>
      <c r="GP1061" s="1190"/>
      <c r="GQ1061" s="1190"/>
      <c r="GS1061" s="2879"/>
      <c r="GT1061" s="2880"/>
      <c r="GU1061" s="2881"/>
    </row>
    <row r="1062" spans="1:203" ht="12" customHeight="1">
      <c r="A1062" s="1252"/>
      <c r="B1062" s="200"/>
      <c r="C1062" s="486"/>
      <c r="T1062" s="1186"/>
      <c r="U1062" s="233"/>
      <c r="W1062" s="218"/>
      <c r="X1062" s="218"/>
      <c r="Y1062" s="216"/>
      <c r="Z1062" s="216"/>
      <c r="AA1062" s="215"/>
      <c r="AB1062" s="216"/>
      <c r="AC1062" s="216"/>
      <c r="AD1062" s="239"/>
      <c r="AE1062" s="216"/>
      <c r="AF1062" s="216"/>
      <c r="AG1062" s="216"/>
      <c r="AH1062" s="216"/>
      <c r="AI1062" s="216"/>
      <c r="AJ1062" s="216"/>
      <c r="AK1062" s="239"/>
      <c r="AL1062" s="216"/>
      <c r="AM1062" s="216"/>
      <c r="AN1062" s="216"/>
      <c r="AO1062" s="216"/>
      <c r="AP1062" s="216"/>
      <c r="AQ1062" s="216"/>
      <c r="AR1062" s="216"/>
      <c r="AS1062" s="216"/>
      <c r="AT1062" s="216"/>
      <c r="AU1062" s="216"/>
      <c r="AV1062" s="217"/>
      <c r="AW1062" s="355"/>
      <c r="AX1062" s="217"/>
      <c r="AY1062" s="305"/>
      <c r="AZ1062" s="249"/>
      <c r="BA1062" s="221"/>
      <c r="BB1062" s="300"/>
      <c r="BC1062" s="217"/>
      <c r="BD1062" s="392"/>
      <c r="BE1062" s="1244"/>
      <c r="BF1062" s="249"/>
      <c r="BG1062" s="252"/>
      <c r="BH1062" s="1469"/>
      <c r="BI1062" s="216"/>
      <c r="BJ1062" s="1469"/>
      <c r="BK1062" s="1459"/>
      <c r="BL1062" s="260"/>
      <c r="BM1062" s="214"/>
      <c r="BN1062" s="293"/>
      <c r="BO1062" s="217"/>
      <c r="BP1062" s="355"/>
      <c r="BQ1062" s="217"/>
      <c r="BR1062" s="1193"/>
      <c r="BS1062" s="249"/>
      <c r="BT1062" s="216"/>
      <c r="BU1062" s="1195"/>
      <c r="BV1062" s="249"/>
      <c r="BW1062" s="216"/>
      <c r="BX1062" s="1195"/>
      <c r="BY1062" s="249"/>
      <c r="BZ1062" s="216"/>
      <c r="CA1062" s="1195"/>
      <c r="CB1062" s="249"/>
      <c r="CC1062" s="216"/>
      <c r="CD1062" s="1195"/>
      <c r="CE1062" s="249"/>
      <c r="CF1062" s="216"/>
      <c r="CG1062" s="1195"/>
      <c r="CH1062" s="249"/>
      <c r="CI1062" s="216"/>
      <c r="CJ1062" s="1195"/>
      <c r="CK1062" s="249"/>
      <c r="CL1062" s="216"/>
      <c r="CM1062" s="1194"/>
      <c r="CN1062" s="1524"/>
      <c r="CO1062" s="217"/>
      <c r="CP1062" s="1193"/>
      <c r="CQ1062" s="293"/>
      <c r="CR1062" s="217"/>
      <c r="CS1062" s="305"/>
      <c r="CT1062" s="249"/>
      <c r="CU1062" s="216"/>
      <c r="CV1062" s="1193"/>
      <c r="CW1062" s="249"/>
      <c r="CX1062" s="216"/>
      <c r="CY1062" s="305"/>
      <c r="CZ1062" s="249"/>
      <c r="DA1062" s="216"/>
      <c r="DB1062" s="307"/>
      <c r="DC1062" s="328"/>
      <c r="DD1062" s="322"/>
      <c r="DE1062" s="305"/>
      <c r="DF1062" s="249"/>
      <c r="DG1062" s="216"/>
      <c r="DH1062" s="305"/>
      <c r="DI1062" s="249"/>
      <c r="DJ1062" s="216"/>
      <c r="DK1062" s="309"/>
      <c r="DL1062" s="293"/>
      <c r="DM1062" s="326"/>
      <c r="DN1062" s="1256"/>
      <c r="DO1062" s="214"/>
      <c r="DP1062" s="1257"/>
      <c r="DQ1062" s="1258"/>
      <c r="DR1062" s="305"/>
      <c r="DS1062" s="249"/>
      <c r="DT1062" s="216"/>
      <c r="DX1062" s="305"/>
      <c r="DY1062" s="249"/>
      <c r="DZ1062" s="221"/>
      <c r="EA1062" s="388"/>
      <c r="EB1062" s="249"/>
      <c r="EC1062" s="216"/>
      <c r="ED1062" s="1461"/>
      <c r="EE1062" s="249"/>
      <c r="EF1062" s="216"/>
      <c r="EG1062" s="355"/>
      <c r="EH1062" s="1425"/>
      <c r="EI1062" s="1470"/>
      <c r="EJ1062" s="249"/>
      <c r="EK1062" s="221"/>
      <c r="EL1062" s="313"/>
      <c r="EM1062" s="249"/>
      <c r="EN1062" s="221"/>
      <c r="EO1062" s="313"/>
      <c r="EP1062" s="249"/>
      <c r="EQ1062" s="216"/>
      <c r="ER1062" s="313"/>
      <c r="ES1062" s="249"/>
      <c r="ET1062" s="216"/>
      <c r="EU1062" s="313"/>
      <c r="EV1062" s="249"/>
      <c r="EW1062" s="216"/>
      <c r="EX1062" s="2505"/>
      <c r="EY1062" s="249"/>
      <c r="EZ1062" s="221"/>
      <c r="FA1062" s="313"/>
      <c r="FB1062" s="249"/>
      <c r="FC1062" s="221"/>
      <c r="FD1062" s="313"/>
      <c r="FE1062" s="249"/>
      <c r="FF1062" s="221"/>
      <c r="FG1062" s="313"/>
      <c r="FH1062" s="249"/>
      <c r="FI1062" s="216"/>
      <c r="FJ1062" s="1435"/>
      <c r="FK1062" s="216"/>
      <c r="FL1062" s="1268"/>
      <c r="FM1062" s="1655"/>
      <c r="FN1062" s="1268"/>
      <c r="FO1062" s="1655"/>
      <c r="FP1062" s="1268"/>
      <c r="FQ1062" s="1656"/>
      <c r="FR1062" s="249"/>
      <c r="FS1062" s="216"/>
      <c r="FT1062" s="1657"/>
      <c r="FU1062" s="1658"/>
      <c r="FV1062" s="242"/>
      <c r="FW1062" s="343"/>
      <c r="FX1062" s="222"/>
      <c r="FY1062" s="336"/>
      <c r="FZ1062" s="223"/>
      <c r="GA1062" s="338"/>
      <c r="GB1062" s="204"/>
      <c r="GC1062" s="339"/>
      <c r="GD1062" s="342"/>
      <c r="GE1062" s="199"/>
      <c r="GF1062" s="199"/>
      <c r="GG1062" s="199"/>
      <c r="GH1062" s="199"/>
      <c r="GI1062" s="199"/>
      <c r="GJ1062" s="199"/>
      <c r="GK1062" s="199"/>
      <c r="GO1062" s="322"/>
      <c r="GP1062" s="1190"/>
      <c r="GQ1062" s="1190"/>
    </row>
    <row r="1063" spans="1:203" ht="12" customHeight="1">
      <c r="A1063" s="1252"/>
      <c r="B1063" s="200"/>
      <c r="C1063" s="486"/>
      <c r="T1063" s="1186"/>
      <c r="U1063" s="233"/>
      <c r="W1063" s="218"/>
      <c r="X1063" s="218"/>
      <c r="Y1063" s="216"/>
      <c r="Z1063" s="216"/>
      <c r="AA1063" s="215"/>
      <c r="AB1063" s="216"/>
      <c r="AC1063" s="216"/>
      <c r="AD1063" s="239"/>
      <c r="AE1063" s="216"/>
      <c r="AF1063" s="216"/>
      <c r="AG1063" s="216"/>
      <c r="AH1063" s="216"/>
      <c r="AI1063" s="216"/>
      <c r="AJ1063" s="216"/>
      <c r="AK1063" s="239"/>
      <c r="AL1063" s="216"/>
      <c r="AM1063" s="216"/>
      <c r="AN1063" s="216"/>
      <c r="AO1063" s="216"/>
      <c r="AP1063" s="216"/>
      <c r="AQ1063" s="216"/>
      <c r="AR1063" s="216"/>
      <c r="AS1063" s="216"/>
      <c r="AT1063" s="216"/>
      <c r="AU1063" s="216"/>
      <c r="AV1063" s="217"/>
      <c r="AW1063" s="355"/>
      <c r="AX1063" s="217"/>
      <c r="AY1063" s="305"/>
      <c r="AZ1063" s="249"/>
      <c r="BA1063" s="221"/>
      <c r="BB1063" s="300"/>
      <c r="BC1063" s="217"/>
      <c r="BD1063" s="392"/>
      <c r="BE1063" s="1244"/>
      <c r="BF1063" s="249"/>
      <c r="BG1063" s="252"/>
      <c r="BH1063" s="1469"/>
      <c r="BI1063" s="216"/>
      <c r="BJ1063" s="1469"/>
      <c r="BK1063" s="1459"/>
      <c r="BL1063" s="260"/>
      <c r="BM1063" s="214"/>
      <c r="BN1063" s="293"/>
      <c r="BO1063" s="217"/>
      <c r="BP1063" s="355"/>
      <c r="BQ1063" s="217"/>
      <c r="BR1063" s="1193"/>
      <c r="BS1063" s="249"/>
      <c r="BT1063" s="216"/>
      <c r="BU1063" s="1195"/>
      <c r="BV1063" s="249"/>
      <c r="BW1063" s="216"/>
      <c r="BX1063" s="1195"/>
      <c r="BY1063" s="249"/>
      <c r="BZ1063" s="216"/>
      <c r="CA1063" s="1195"/>
      <c r="CB1063" s="249"/>
      <c r="CC1063" s="216"/>
      <c r="CD1063" s="1195"/>
      <c r="CE1063" s="249"/>
      <c r="CF1063" s="216"/>
      <c r="CG1063" s="1195"/>
      <c r="CH1063" s="249"/>
      <c r="CI1063" s="216"/>
      <c r="CJ1063" s="1195"/>
      <c r="CK1063" s="249"/>
      <c r="CL1063" s="216"/>
      <c r="CM1063" s="1194"/>
      <c r="CN1063" s="1524"/>
      <c r="CO1063" s="217"/>
      <c r="CP1063" s="1193"/>
      <c r="CQ1063" s="293"/>
      <c r="CR1063" s="217"/>
      <c r="CS1063" s="305"/>
      <c r="CT1063" s="249"/>
      <c r="CU1063" s="216"/>
      <c r="CV1063" s="1193"/>
      <c r="CW1063" s="249"/>
      <c r="CX1063" s="216"/>
      <c r="CY1063" s="305"/>
      <c r="CZ1063" s="249"/>
      <c r="DA1063" s="216"/>
      <c r="DB1063" s="307"/>
      <c r="DC1063" s="328"/>
      <c r="DD1063" s="322"/>
      <c r="DE1063" s="305"/>
      <c r="DF1063" s="249"/>
      <c r="DG1063" s="216"/>
      <c r="DH1063" s="305"/>
      <c r="DI1063" s="249"/>
      <c r="DJ1063" s="216"/>
      <c r="DK1063" s="309"/>
      <c r="DL1063" s="293"/>
      <c r="DM1063" s="326"/>
      <c r="DN1063" s="1256"/>
      <c r="DO1063" s="214"/>
      <c r="DP1063" s="1257"/>
      <c r="DQ1063" s="1258"/>
      <c r="DR1063" s="305"/>
      <c r="DS1063" s="249"/>
      <c r="DT1063" s="216"/>
      <c r="DX1063" s="305"/>
      <c r="DY1063" s="249"/>
      <c r="DZ1063" s="221"/>
      <c r="EA1063" s="388"/>
      <c r="EB1063" s="249"/>
      <c r="EC1063" s="216"/>
      <c r="ED1063" s="1461"/>
      <c r="EE1063" s="249"/>
      <c r="EF1063" s="216"/>
      <c r="EG1063" s="355"/>
      <c r="EH1063" s="1425"/>
      <c r="EI1063" s="1470"/>
      <c r="EJ1063" s="249"/>
      <c r="EK1063" s="221"/>
      <c r="EL1063" s="313"/>
      <c r="EM1063" s="249"/>
      <c r="EN1063" s="221"/>
      <c r="EO1063" s="313"/>
      <c r="EP1063" s="249"/>
      <c r="EQ1063" s="216"/>
      <c r="ER1063" s="313"/>
      <c r="ES1063" s="249"/>
      <c r="ET1063" s="216"/>
      <c r="EU1063" s="313"/>
      <c r="EV1063" s="249"/>
      <c r="EW1063" s="216"/>
      <c r="EX1063" s="2505"/>
      <c r="EY1063" s="249"/>
      <c r="EZ1063" s="221"/>
      <c r="FA1063" s="313"/>
      <c r="FB1063" s="249"/>
      <c r="FC1063" s="221"/>
      <c r="FD1063" s="313"/>
      <c r="FE1063" s="249"/>
      <c r="FF1063" s="221"/>
      <c r="FG1063" s="313"/>
      <c r="FH1063" s="249"/>
      <c r="FI1063" s="216"/>
      <c r="FJ1063" s="1435"/>
      <c r="FK1063" s="216"/>
      <c r="FL1063" s="1268"/>
      <c r="FM1063" s="1655"/>
      <c r="FN1063" s="1268"/>
      <c r="FO1063" s="1655"/>
      <c r="FP1063" s="1268"/>
      <c r="FQ1063" s="1656"/>
      <c r="FR1063" s="249"/>
      <c r="FS1063" s="216"/>
      <c r="FT1063" s="1657"/>
      <c r="FU1063" s="1658"/>
      <c r="FV1063" s="242"/>
      <c r="FW1063" s="343"/>
      <c r="FX1063" s="222"/>
      <c r="FY1063" s="336"/>
      <c r="FZ1063" s="223"/>
      <c r="GA1063" s="338"/>
      <c r="GB1063" s="204"/>
      <c r="GC1063" s="339"/>
      <c r="GD1063" s="342"/>
      <c r="GE1063" s="199"/>
      <c r="GF1063" s="199"/>
      <c r="GG1063" s="199"/>
      <c r="GH1063" s="199"/>
      <c r="GI1063" s="199"/>
      <c r="GJ1063" s="199"/>
      <c r="GK1063" s="199"/>
      <c r="GO1063" s="322"/>
      <c r="GP1063" s="1190"/>
      <c r="GQ1063" s="1190"/>
    </row>
    <row r="1064" spans="1:203" ht="12" customHeight="1">
      <c r="A1064" s="1252"/>
      <c r="B1064" s="200"/>
      <c r="C1064" s="486"/>
    </row>
  </sheetData>
  <mergeCells count="306">
    <mergeCell ref="A14:A15"/>
    <mergeCell ref="F14:F15"/>
    <mergeCell ref="C14:C15"/>
    <mergeCell ref="L14:L15"/>
    <mergeCell ref="CG14:CI15"/>
    <mergeCell ref="AW14:AX15"/>
    <mergeCell ref="X14:X15"/>
    <mergeCell ref="B14:B15"/>
    <mergeCell ref="FA12:FC12"/>
    <mergeCell ref="EL12:EN12"/>
    <mergeCell ref="EX12:EZ12"/>
    <mergeCell ref="DR12:DT12"/>
    <mergeCell ref="BR14:BR15"/>
    <mergeCell ref="DX14:DZ15"/>
    <mergeCell ref="DK14:DM15"/>
    <mergeCell ref="AI14:AI15"/>
    <mergeCell ref="AH14:AH15"/>
    <mergeCell ref="AP14:AP15"/>
    <mergeCell ref="AO14:AO15"/>
    <mergeCell ref="AG14:AG15"/>
    <mergeCell ref="AE14:AE15"/>
    <mergeCell ref="AN14:AN15"/>
    <mergeCell ref="AS14:AS15"/>
    <mergeCell ref="DB14:DD15"/>
    <mergeCell ref="GC12:GD12"/>
    <mergeCell ref="FL11:FM11"/>
    <mergeCell ref="FP12:FQ12"/>
    <mergeCell ref="EA14:EC15"/>
    <mergeCell ref="EA12:EC12"/>
    <mergeCell ref="FB11:FC11"/>
    <mergeCell ref="EU12:EW12"/>
    <mergeCell ref="ER12:ET12"/>
    <mergeCell ref="EO12:EQ12"/>
    <mergeCell ref="FL12:FM12"/>
    <mergeCell ref="EO14:EQ15"/>
    <mergeCell ref="ED14:EF15"/>
    <mergeCell ref="EJ12:EK12"/>
    <mergeCell ref="FD12:FF12"/>
    <mergeCell ref="FJ12:FK12"/>
    <mergeCell ref="ED12:EF12"/>
    <mergeCell ref="EL14:EN15"/>
    <mergeCell ref="EG14:EK15"/>
    <mergeCell ref="GA12:GB12"/>
    <mergeCell ref="FW12:FX12"/>
    <mergeCell ref="FG14:FI15"/>
    <mergeCell ref="FE11:FF11"/>
    <mergeCell ref="FD14:FF15"/>
    <mergeCell ref="EX14:EZ15"/>
    <mergeCell ref="BI14:BI15"/>
    <mergeCell ref="FR12:FS12"/>
    <mergeCell ref="DE14:DG15"/>
    <mergeCell ref="CP14:CR15"/>
    <mergeCell ref="CY14:DA15"/>
    <mergeCell ref="DK12:DM12"/>
    <mergeCell ref="DB12:DD12"/>
    <mergeCell ref="DU14:DW15"/>
    <mergeCell ref="AJ14:AJ15"/>
    <mergeCell ref="DH14:DJ15"/>
    <mergeCell ref="DO12:DQ12"/>
    <mergeCell ref="AZ12:BA12"/>
    <mergeCell ref="BB12:BC12"/>
    <mergeCell ref="BM12:BO12"/>
    <mergeCell ref="CD14:CD15"/>
    <mergeCell ref="CM14:CO15"/>
    <mergeCell ref="AL14:AL15"/>
    <mergeCell ref="BD14:BD15"/>
    <mergeCell ref="DH12:DJ12"/>
    <mergeCell ref="CD12:CF12"/>
    <mergeCell ref="BJ14:BJ15"/>
    <mergeCell ref="BH14:BH15"/>
    <mergeCell ref="BB14:BC15"/>
    <mergeCell ref="AM14:AM15"/>
    <mergeCell ref="J14:J15"/>
    <mergeCell ref="I14:I15"/>
    <mergeCell ref="AF14:AF15"/>
    <mergeCell ref="O14:O15"/>
    <mergeCell ref="N14:N15"/>
    <mergeCell ref="AA14:AA15"/>
    <mergeCell ref="V14:V15"/>
    <mergeCell ref="Y14:Y15"/>
    <mergeCell ref="P14:P15"/>
    <mergeCell ref="AC14:AC15"/>
    <mergeCell ref="AB14:AB15"/>
    <mergeCell ref="Z14:Z15"/>
    <mergeCell ref="CM9:CO9"/>
    <mergeCell ref="DB9:DD9"/>
    <mergeCell ref="FW9:FY9"/>
    <mergeCell ref="EO10:EO11"/>
    <mergeCell ref="FP11:FQ11"/>
    <mergeCell ref="FB10:FC10"/>
    <mergeCell ref="ES11:ET11"/>
    <mergeCell ref="DI11:DJ11"/>
    <mergeCell ref="FP10:FQ10"/>
    <mergeCell ref="ER10:ER11"/>
    <mergeCell ref="ES10:ET10"/>
    <mergeCell ref="DV10:DW10"/>
    <mergeCell ref="EY9:EZ9"/>
    <mergeCell ref="FH11:FI11"/>
    <mergeCell ref="FJ11:FK11"/>
    <mergeCell ref="FL10:FM10"/>
    <mergeCell ref="FJ10:FK10"/>
    <mergeCell ref="FN10:FO10"/>
    <mergeCell ref="DI10:DJ10"/>
    <mergeCell ref="FW11:FX11"/>
    <mergeCell ref="FY11:FZ11"/>
    <mergeCell ref="FN11:FO11"/>
    <mergeCell ref="FR11:FS11"/>
    <mergeCell ref="EM11:EN11"/>
    <mergeCell ref="CG9:CI9"/>
    <mergeCell ref="BU9:BW9"/>
    <mergeCell ref="AP9:AU9"/>
    <mergeCell ref="AO10:AO11"/>
    <mergeCell ref="BS10:BT10"/>
    <mergeCell ref="BH10:BH11"/>
    <mergeCell ref="BM11:BO11"/>
    <mergeCell ref="CA11:CC11"/>
    <mergeCell ref="AW10:AW11"/>
    <mergeCell ref="BN10:BO10"/>
    <mergeCell ref="AV10:AV11"/>
    <mergeCell ref="CD9:CF9"/>
    <mergeCell ref="AY11:BA11"/>
    <mergeCell ref="BE10:BG10"/>
    <mergeCell ref="BE11:BG11"/>
    <mergeCell ref="BX11:BZ11"/>
    <mergeCell ref="BK11:BL11"/>
    <mergeCell ref="T10:T11"/>
    <mergeCell ref="AJ10:AJ11"/>
    <mergeCell ref="AA9:AH9"/>
    <mergeCell ref="AI9:AO9"/>
    <mergeCell ref="Z10:Z11"/>
    <mergeCell ref="AX10:AX11"/>
    <mergeCell ref="CA9:CC9"/>
    <mergeCell ref="AW9:AX9"/>
    <mergeCell ref="BX9:BZ9"/>
    <mergeCell ref="AN10:AN11"/>
    <mergeCell ref="BR9:BT9"/>
    <mergeCell ref="BJ10:BJ11"/>
    <mergeCell ref="X10:X11"/>
    <mergeCell ref="W10:W11"/>
    <mergeCell ref="AE10:AE11"/>
    <mergeCell ref="AM10:AM11"/>
    <mergeCell ref="AL10:AL11"/>
    <mergeCell ref="AG10:AG11"/>
    <mergeCell ref="AH10:AH11"/>
    <mergeCell ref="AB10:AC10"/>
    <mergeCell ref="BB10:BC10"/>
    <mergeCell ref="BB11:BC11"/>
    <mergeCell ref="BI10:BI11"/>
    <mergeCell ref="BD10:BD11"/>
    <mergeCell ref="A9:A11"/>
    <mergeCell ref="B10:B11"/>
    <mergeCell ref="C10:C11"/>
    <mergeCell ref="D10:D11"/>
    <mergeCell ref="G10:G11"/>
    <mergeCell ref="A8:C8"/>
    <mergeCell ref="F1:F2"/>
    <mergeCell ref="E10:E11"/>
    <mergeCell ref="F10:F11"/>
    <mergeCell ref="A6:C6"/>
    <mergeCell ref="A7:C7"/>
    <mergeCell ref="I2:S2"/>
    <mergeCell ref="CD11:CF11"/>
    <mergeCell ref="R10:R11"/>
    <mergeCell ref="AF10:AF11"/>
    <mergeCell ref="Y10:Y11"/>
    <mergeCell ref="DC10:DD10"/>
    <mergeCell ref="Q10:Q11"/>
    <mergeCell ref="AY10:BA10"/>
    <mergeCell ref="AI10:AI11"/>
    <mergeCell ref="BR11:BT11"/>
    <mergeCell ref="I3:S3"/>
    <mergeCell ref="I4:S4"/>
    <mergeCell ref="I5:S5"/>
    <mergeCell ref="M10:M11"/>
    <mergeCell ref="N10:N11"/>
    <mergeCell ref="J10:J11"/>
    <mergeCell ref="K10:K11"/>
    <mergeCell ref="V10:V11"/>
    <mergeCell ref="P10:P11"/>
    <mergeCell ref="O10:O11"/>
    <mergeCell ref="S10:S11"/>
    <mergeCell ref="CJ9:CL9"/>
    <mergeCell ref="CS9:CU9"/>
    <mergeCell ref="CP9:CR9"/>
    <mergeCell ref="FZ2:GJ2"/>
    <mergeCell ref="FW3:FY3"/>
    <mergeCell ref="FW4:FY4"/>
    <mergeCell ref="FW2:FY2"/>
    <mergeCell ref="FZ3:GJ3"/>
    <mergeCell ref="FZ5:GJ5"/>
    <mergeCell ref="FZ7:GJ7"/>
    <mergeCell ref="FW5:FY5"/>
    <mergeCell ref="EJ9:EK9"/>
    <mergeCell ref="FZ8:GJ10"/>
    <mergeCell ref="FW10:FY10"/>
    <mergeCell ref="EX10:EX11"/>
    <mergeCell ref="EP11:EQ11"/>
    <mergeCell ref="EM9:EN9"/>
    <mergeCell ref="FZ6:GJ6"/>
    <mergeCell ref="GC11:GD11"/>
    <mergeCell ref="GA11:GB11"/>
    <mergeCell ref="FZ4:GJ4"/>
    <mergeCell ref="EV10:EW10"/>
    <mergeCell ref="CV9:CX9"/>
    <mergeCell ref="CV11:CX11"/>
    <mergeCell ref="EB10:EC10"/>
    <mergeCell ref="EP10:EQ10"/>
    <mergeCell ref="FW6:FY6"/>
    <mergeCell ref="FW7:FY7"/>
    <mergeCell ref="FW8:FY8"/>
    <mergeCell ref="DX10:DZ10"/>
    <mergeCell ref="FR10:FS10"/>
    <mergeCell ref="EG10:EH10"/>
    <mergeCell ref="ED9:EF9"/>
    <mergeCell ref="EA9:EC9"/>
    <mergeCell ref="CZ9:DA9"/>
    <mergeCell ref="DI9:DJ9"/>
    <mergeCell ref="DR9:DT9"/>
    <mergeCell ref="EG9:EH9"/>
    <mergeCell ref="DE9:DG9"/>
    <mergeCell ref="DO9:DQ9"/>
    <mergeCell ref="ED11:EF11"/>
    <mergeCell ref="DO10:DQ10"/>
    <mergeCell ref="DL10:DM10"/>
    <mergeCell ref="CZ10:DA10"/>
    <mergeCell ref="CW10:CX10"/>
    <mergeCell ref="DE11:DG11"/>
    <mergeCell ref="BK16:BL16"/>
    <mergeCell ref="FN12:FO12"/>
    <mergeCell ref="CJ12:CL12"/>
    <mergeCell ref="DO14:DQ15"/>
    <mergeCell ref="DR14:DT15"/>
    <mergeCell ref="BU11:BW11"/>
    <mergeCell ref="FA10:FA11"/>
    <mergeCell ref="FD10:FD11"/>
    <mergeCell ref="DR11:DT11"/>
    <mergeCell ref="DN11:DQ11"/>
    <mergeCell ref="FH12:FI12"/>
    <mergeCell ref="EG12:EH12"/>
    <mergeCell ref="CM12:CO12"/>
    <mergeCell ref="FA14:FC15"/>
    <mergeCell ref="ER14:ET15"/>
    <mergeCell ref="BK14:BL14"/>
    <mergeCell ref="CJ14:CL15"/>
    <mergeCell ref="CV14:CX15"/>
    <mergeCell ref="CS14:CU15"/>
    <mergeCell ref="EM10:EN10"/>
    <mergeCell ref="CT10:CU10"/>
    <mergeCell ref="EL10:EL11"/>
    <mergeCell ref="EE10:EF10"/>
    <mergeCell ref="EG11:EK11"/>
    <mergeCell ref="GP10:GP11"/>
    <mergeCell ref="EV11:EW11"/>
    <mergeCell ref="EU10:EU11"/>
    <mergeCell ref="FG10:FG11"/>
    <mergeCell ref="EY11:EZ11"/>
    <mergeCell ref="FH10:FI10"/>
    <mergeCell ref="FE10:FF10"/>
    <mergeCell ref="EY10:EZ10"/>
    <mergeCell ref="FT11:FU11"/>
    <mergeCell ref="FV10:FV11"/>
    <mergeCell ref="CG12:CI12"/>
    <mergeCell ref="CS11:CU11"/>
    <mergeCell ref="CQ10:CR10"/>
    <mergeCell ref="BR12:BT12"/>
    <mergeCell ref="CG11:CI11"/>
    <mergeCell ref="CJ11:CL11"/>
    <mergeCell ref="EA11:EC11"/>
    <mergeCell ref="CP12:CR12"/>
    <mergeCell ref="CS12:CU12"/>
    <mergeCell ref="DB11:DD11"/>
    <mergeCell ref="CP11:CR11"/>
    <mergeCell ref="CA12:CC12"/>
    <mergeCell ref="CY12:DA12"/>
    <mergeCell ref="DE12:DG12"/>
    <mergeCell ref="DY12:DZ12"/>
    <mergeCell ref="DU11:DW11"/>
    <mergeCell ref="DU12:DW12"/>
    <mergeCell ref="CZ11:DA11"/>
    <mergeCell ref="DX11:DZ11"/>
    <mergeCell ref="CM11:CO11"/>
    <mergeCell ref="CV12:CX12"/>
    <mergeCell ref="GS9:GS11"/>
    <mergeCell ref="GT10:GU10"/>
    <mergeCell ref="GR10:GR11"/>
    <mergeCell ref="DK11:DM11"/>
    <mergeCell ref="M12:M15"/>
    <mergeCell ref="BE12:BG12"/>
    <mergeCell ref="BJ12:BL12"/>
    <mergeCell ref="CA14:CA15"/>
    <mergeCell ref="BK15:BL15"/>
    <mergeCell ref="BX14:BX15"/>
    <mergeCell ref="BP14:BQ15"/>
    <mergeCell ref="BU14:BU15"/>
    <mergeCell ref="BH12:BI12"/>
    <mergeCell ref="BU12:BW12"/>
    <mergeCell ref="BX12:BZ12"/>
    <mergeCell ref="AW12:AX12"/>
    <mergeCell ref="AS12:AV12"/>
    <mergeCell ref="AR14:AR15"/>
    <mergeCell ref="AQ14:AQ15"/>
    <mergeCell ref="AV14:AV15"/>
    <mergeCell ref="AU14:AU15"/>
    <mergeCell ref="AT14:AT15"/>
    <mergeCell ref="AY14:BA15"/>
    <mergeCell ref="DF10:DG10"/>
  </mergeCells>
  <phoneticPr fontId="38" type="noConversion"/>
  <printOptions horizontalCentered="1" verticalCentered="1" headings="1" gridLines="1"/>
  <pageMargins left="0.15748031496062992" right="0.15748031496062992" top="0.39370078740157483" bottom="0.43307086614173229" header="0.15748031496062992" footer="0.15748031496062992"/>
  <pageSetup paperSize="9" scale="83" fitToWidth="6" fitToHeight="77" pageOrder="overThenDown" orientation="landscape" horizontalDpi="4294967293" r:id="rId1"/>
  <headerFooter alignWithMargins="0">
    <oddHeader>&amp;C&amp;F-&amp;A</oddHeader>
    <oddFooter>&amp;L&amp;D-&amp;T&amp;C&amp;P/&amp;N</oddFooter>
  </headerFooter>
  <colBreaks count="8" manualBreakCount="8">
    <brk id="24" max="23" man="1"/>
    <brk id="67" max="23" man="1"/>
    <brk id="81" max="23" man="1"/>
    <brk id="105" max="23" man="1"/>
    <brk id="118" max="23" man="1"/>
    <brk id="130" max="23" man="1"/>
    <brk id="150" max="23" man="1"/>
    <brk id="165" max="23"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Calog"/>
  <dimension ref="A1:IU318"/>
  <sheetViews>
    <sheetView topLeftCell="A10" workbookViewId="0">
      <selection activeCell="D15" sqref="D15"/>
    </sheetView>
  </sheetViews>
  <sheetFormatPr defaultColWidth="11.42578125" defaultRowHeight="11.25"/>
  <cols>
    <col min="1" max="1" width="8.140625" style="49" bestFit="1" customWidth="1"/>
    <col min="2" max="2" width="5.42578125" style="49" customWidth="1"/>
    <col min="3" max="3" width="3.140625" style="49" customWidth="1"/>
    <col min="4" max="4" width="7.5703125" style="49" bestFit="1" customWidth="1"/>
    <col min="5" max="5" width="4.28515625" style="175" customWidth="1"/>
    <col min="6" max="6" width="10.42578125" style="175" bestFit="1" customWidth="1"/>
    <col min="7" max="7" width="10.42578125" style="175" customWidth="1"/>
    <col min="8" max="8" width="33.140625" style="175" customWidth="1"/>
    <col min="9" max="9" width="9.28515625" style="175" customWidth="1"/>
    <col min="10" max="10" width="3.5703125" style="175" customWidth="1"/>
    <col min="11" max="11" width="5.42578125" style="175" customWidth="1"/>
    <col min="12" max="12" width="7.28515625" style="175" bestFit="1" customWidth="1"/>
    <col min="13" max="13" width="7.140625" style="175" customWidth="1"/>
    <col min="14" max="14" width="5" style="175" customWidth="1"/>
    <col min="15" max="15" width="7.85546875" style="175" customWidth="1"/>
    <col min="16" max="16" width="7.140625" style="175" customWidth="1"/>
    <col min="17" max="17" width="4" style="1005" customWidth="1"/>
    <col min="18" max="18" width="13.7109375" style="175" customWidth="1"/>
    <col min="19" max="19" width="5.28515625" style="175" customWidth="1"/>
    <col min="20" max="20" width="7.42578125" style="49" customWidth="1"/>
    <col min="21" max="21" width="11.42578125" style="49" bestFit="1" customWidth="1"/>
    <col min="22" max="24" width="3" style="49" customWidth="1"/>
    <col min="25" max="25" width="11.7109375" style="49" bestFit="1" customWidth="1"/>
    <col min="26" max="26" width="7.85546875" style="49" bestFit="1" customWidth="1"/>
    <col min="27" max="27" width="5.7109375" style="49" hidden="1" customWidth="1"/>
    <col min="28" max="29" width="4.42578125" style="49" hidden="1" customWidth="1"/>
    <col min="30" max="30" width="3.85546875" style="49" hidden="1" customWidth="1"/>
    <col min="31" max="31" width="8.85546875" style="49" hidden="1" customWidth="1"/>
    <col min="32" max="34" width="5.7109375" style="49" hidden="1" customWidth="1"/>
    <col min="35" max="35" width="7.28515625" style="49" hidden="1" customWidth="1"/>
    <col min="36" max="36" width="6.7109375" style="49" hidden="1" customWidth="1"/>
    <col min="37" max="37" width="3.85546875" style="49" hidden="1" customWidth="1"/>
    <col min="38" max="38" width="5.140625" style="49" hidden="1" customWidth="1"/>
    <col min="39" max="39" width="8.140625" style="49" hidden="1" customWidth="1"/>
    <col min="40" max="40" width="8.5703125" style="49" hidden="1" customWidth="1"/>
    <col min="41" max="41" width="8.7109375" style="49" hidden="1" customWidth="1"/>
    <col min="42" max="42" width="5.140625" style="49" hidden="1" customWidth="1"/>
    <col min="43" max="43" width="8.28515625" style="49" hidden="1" customWidth="1"/>
    <col min="44" max="44" width="4" style="49" hidden="1" customWidth="1"/>
    <col min="45" max="45" width="11.28515625" style="49" hidden="1" customWidth="1"/>
    <col min="46" max="46" width="4.7109375" style="49" hidden="1" customWidth="1"/>
    <col min="47" max="47" width="9.28515625" style="449" hidden="1" customWidth="1"/>
    <col min="48" max="48" width="13.140625" style="49" customWidth="1"/>
    <col min="49" max="49" width="12.28515625" style="49" customWidth="1"/>
    <col min="50" max="50" width="11.85546875" style="49" customWidth="1"/>
    <col min="51" max="51" width="8.28515625" style="49" customWidth="1"/>
    <col min="52" max="52" width="10.85546875" style="49" bestFit="1" customWidth="1"/>
    <col min="53" max="53" width="11.140625" style="49" customWidth="1"/>
    <col min="54" max="54" width="11.7109375" style="49" customWidth="1"/>
    <col min="55" max="55" width="10.7109375" style="49" customWidth="1"/>
    <col min="56" max="56" width="11.7109375" style="49" customWidth="1"/>
    <col min="57" max="57" width="4.85546875" style="49" customWidth="1"/>
    <col min="58" max="58" width="10.42578125" style="49" customWidth="1"/>
    <col min="59" max="59" width="9.28515625" style="49" customWidth="1"/>
    <col min="60" max="60" width="9.5703125" style="49" customWidth="1"/>
    <col min="61" max="61" width="12.140625" style="49" customWidth="1"/>
    <col min="62" max="62" width="9.5703125" style="49" customWidth="1"/>
    <col min="63" max="63" width="9.28515625" style="49" bestFit="1" customWidth="1"/>
    <col min="64" max="64" width="9.42578125" style="49" bestFit="1" customWidth="1"/>
    <col min="65" max="66" width="7.85546875" style="49" hidden="1" customWidth="1"/>
    <col min="67" max="67" width="6.85546875" style="49" hidden="1" customWidth="1"/>
    <col min="68" max="69" width="7.85546875" style="49" customWidth="1"/>
    <col min="70" max="70" width="8.85546875" style="49" bestFit="1" customWidth="1"/>
    <col min="71" max="71" width="9.28515625" style="49" bestFit="1" customWidth="1"/>
    <col min="72" max="72" width="7.85546875" style="49" bestFit="1" customWidth="1"/>
    <col min="73" max="73" width="9.28515625" style="49" customWidth="1"/>
    <col min="74" max="74" width="9.85546875" style="49" customWidth="1"/>
    <col min="75" max="75" width="9.28515625" style="49" bestFit="1" customWidth="1"/>
    <col min="76" max="76" width="8" style="49" customWidth="1"/>
    <col min="77" max="78" width="8.28515625" style="49" customWidth="1"/>
    <col min="79" max="79" width="9.28515625" style="49" bestFit="1" customWidth="1"/>
    <col min="80" max="80" width="6.140625" style="49" bestFit="1" customWidth="1"/>
    <col min="81" max="81" width="8.7109375" style="49" bestFit="1" customWidth="1"/>
    <col min="82" max="82" width="9.28515625" style="49" bestFit="1" customWidth="1"/>
    <col min="83" max="83" width="10.85546875" style="49" customWidth="1"/>
    <col min="84" max="84" width="9" style="49" bestFit="1" customWidth="1"/>
    <col min="85" max="85" width="9.28515625" style="49" bestFit="1" customWidth="1"/>
    <col min="86" max="86" width="7.140625" style="49" bestFit="1" customWidth="1"/>
    <col min="87" max="87" width="7" style="49" bestFit="1" customWidth="1"/>
    <col min="88" max="88" width="5.7109375" style="49" customWidth="1"/>
    <col min="89" max="89" width="9.5703125" style="49" bestFit="1" customWidth="1"/>
    <col min="90" max="90" width="10.85546875" style="49" bestFit="1" customWidth="1"/>
    <col min="91" max="91" width="9.28515625" style="49" bestFit="1" customWidth="1"/>
    <col min="92" max="92" width="7" style="49" customWidth="1"/>
    <col min="93" max="93" width="7.85546875" style="49" customWidth="1"/>
    <col min="94" max="94" width="9.28515625" style="49" bestFit="1" customWidth="1"/>
    <col min="95" max="95" width="7" style="49" bestFit="1" customWidth="1"/>
    <col min="96" max="96" width="7.5703125" style="49" bestFit="1" customWidth="1"/>
    <col min="97" max="97" width="9.28515625" style="49" bestFit="1" customWidth="1"/>
    <col min="98" max="98" width="7" style="49" bestFit="1" customWidth="1"/>
    <col min="99" max="99" width="7.5703125" style="49" bestFit="1" customWidth="1"/>
    <col min="100" max="100" width="10" style="49" customWidth="1"/>
    <col min="101" max="102" width="10" style="1000" customWidth="1"/>
    <col min="103" max="103" width="4.7109375" style="49" customWidth="1"/>
    <col min="104" max="104" width="7.140625" style="49" bestFit="1" customWidth="1"/>
    <col min="105" max="105" width="10.28515625" style="49" customWidth="1"/>
    <col min="106" max="106" width="7.5703125" style="49" customWidth="1"/>
    <col min="107" max="107" width="8.28515625" style="49" customWidth="1"/>
    <col min="108" max="108" width="8.42578125" style="49" bestFit="1" customWidth="1"/>
    <col min="109" max="110" width="7" style="49" customWidth="1"/>
    <col min="111" max="111" width="9" style="49" bestFit="1" customWidth="1"/>
    <col min="112" max="112" width="6.85546875" style="49" bestFit="1" customWidth="1"/>
    <col min="113" max="113" width="9" style="49" bestFit="1" customWidth="1"/>
    <col min="114" max="114" width="12.85546875" style="49" customWidth="1"/>
    <col min="115" max="115" width="8.28515625" style="49" customWidth="1"/>
    <col min="116" max="117" width="10.85546875" style="49" bestFit="1" customWidth="1"/>
    <col min="118" max="120" width="7.7109375" style="49" customWidth="1"/>
    <col min="121" max="121" width="4.85546875" style="49" customWidth="1"/>
    <col min="122" max="122" width="7" style="49" bestFit="1" customWidth="1"/>
    <col min="123" max="123" width="8" style="49" customWidth="1"/>
    <col min="124" max="126" width="9.42578125" style="49" customWidth="1"/>
    <col min="127" max="129" width="7.42578125" style="49" customWidth="1"/>
    <col min="130" max="130" width="7" style="49" customWidth="1"/>
    <col min="131" max="132" width="9.28515625" style="49" bestFit="1" customWidth="1"/>
    <col min="133" max="133" width="6.140625" style="49" bestFit="1" customWidth="1"/>
    <col min="134" max="135" width="9.28515625" style="49" bestFit="1" customWidth="1"/>
    <col min="136" max="136" width="6.140625" style="49" bestFit="1" customWidth="1"/>
    <col min="137" max="138" width="9.28515625" style="49" bestFit="1" customWidth="1"/>
    <col min="139" max="139" width="4.85546875" style="49" customWidth="1"/>
    <col min="140" max="140" width="7.140625" style="49" bestFit="1" customWidth="1"/>
    <col min="141" max="141" width="7" style="49" bestFit="1" customWidth="1"/>
    <col min="142" max="142" width="9.28515625" style="49" bestFit="1" customWidth="1"/>
    <col min="143" max="143" width="10.28515625" style="49" customWidth="1"/>
    <col min="144" max="144" width="10.28515625" style="49" bestFit="1" customWidth="1"/>
    <col min="145" max="145" width="10.5703125" style="49" customWidth="1"/>
    <col min="146" max="146" width="10.28515625" style="49" bestFit="1" customWidth="1"/>
    <col min="147" max="147" width="9.28515625" style="49" bestFit="1" customWidth="1"/>
    <col min="148" max="148" width="10.28515625" style="49" bestFit="1" customWidth="1"/>
    <col min="149" max="149" width="9.28515625" style="49" bestFit="1" customWidth="1"/>
    <col min="150" max="150" width="10.28515625" style="49" bestFit="1" customWidth="1"/>
    <col min="151" max="151" width="9.28515625" style="49" bestFit="1" customWidth="1"/>
    <col min="152" max="152" width="10.85546875" style="49" bestFit="1" customWidth="1"/>
    <col min="153" max="153" width="12.28515625" style="49" bestFit="1" customWidth="1"/>
    <col min="154" max="154" width="9.5703125" style="49" bestFit="1" customWidth="1"/>
    <col min="155" max="155" width="8.140625" style="49" bestFit="1" customWidth="1"/>
    <col min="156" max="156" width="12.7109375" style="49" customWidth="1"/>
    <col min="157" max="158" width="11.42578125" style="49" customWidth="1"/>
    <col min="159" max="159" width="10.85546875" style="49" customWidth="1"/>
    <col min="160" max="161" width="11.42578125" style="49" customWidth="1"/>
    <col min="162" max="162" width="10.42578125" style="49" customWidth="1"/>
    <col min="163" max="163" width="9.85546875" style="49" bestFit="1" customWidth="1"/>
    <col min="164" max="172" width="11.42578125" style="49" customWidth="1"/>
    <col min="173" max="174" width="9.7109375" style="49" bestFit="1" customWidth="1"/>
    <col min="175" max="176" width="11.42578125" style="49"/>
    <col min="177" max="177" width="10.140625" style="49" customWidth="1"/>
    <col min="178" max="179" width="11.42578125" style="49"/>
    <col min="180" max="180" width="14.85546875" style="49" customWidth="1"/>
    <col min="181" max="181" width="11.42578125" style="49" hidden="1" customWidth="1"/>
    <col min="182" max="16384" width="11.42578125" style="49"/>
  </cols>
  <sheetData>
    <row r="1" spans="1:255" s="274" customFormat="1" ht="11.25" customHeight="1">
      <c r="A1" s="1812" t="s">
        <v>4569</v>
      </c>
      <c r="B1" s="1813">
        <f>COUNTIF(D15:D200,1)</f>
        <v>0</v>
      </c>
      <c r="C1" s="22"/>
      <c r="D1" s="1137">
        <f>MAX(C15:C$200)</f>
        <v>1</v>
      </c>
      <c r="E1" s="81"/>
      <c r="F1" s="3313">
        <f>'Page d''accueil'!C7</f>
        <v>0</v>
      </c>
      <c r="G1" s="1309" t="s">
        <v>4072</v>
      </c>
      <c r="H1" s="36" t="s">
        <v>1282</v>
      </c>
      <c r="I1" s="104"/>
      <c r="J1" s="83"/>
      <c r="K1" s="83" t="s">
        <v>872</v>
      </c>
      <c r="L1" s="83" t="s">
        <v>872</v>
      </c>
      <c r="M1" s="83"/>
      <c r="N1" s="83" t="s">
        <v>872</v>
      </c>
      <c r="O1" s="83" t="s">
        <v>872</v>
      </c>
      <c r="P1" s="83"/>
      <c r="Q1" s="83"/>
      <c r="R1" s="83"/>
      <c r="S1" s="83"/>
      <c r="T1" s="25"/>
      <c r="U1" s="36" t="s">
        <v>872</v>
      </c>
      <c r="V1" s="129"/>
      <c r="W1" s="129"/>
      <c r="X1" s="129"/>
      <c r="Y1" s="129"/>
      <c r="Z1" s="129"/>
      <c r="AA1" s="39"/>
      <c r="AB1" s="36" t="s">
        <v>872</v>
      </c>
      <c r="AC1" s="36" t="s">
        <v>872</v>
      </c>
      <c r="AD1" s="36"/>
      <c r="AE1" s="36"/>
      <c r="AF1" s="36" t="s">
        <v>872</v>
      </c>
      <c r="AG1" s="36"/>
      <c r="AH1" s="36"/>
      <c r="AI1" s="36" t="s">
        <v>872</v>
      </c>
      <c r="AJ1" s="36" t="s">
        <v>872</v>
      </c>
      <c r="AK1" s="36"/>
      <c r="AL1" s="36"/>
      <c r="AM1" s="36"/>
      <c r="AN1" s="36"/>
      <c r="AO1" s="36" t="s">
        <v>872</v>
      </c>
      <c r="AP1" s="36"/>
      <c r="AQ1" s="36"/>
      <c r="AR1" s="36"/>
      <c r="AS1" s="36"/>
      <c r="AT1" s="36"/>
      <c r="AU1" s="36"/>
      <c r="AV1" s="351" t="e">
        <f>SUM(AV15:AV$200)</f>
        <v>#N/A</v>
      </c>
      <c r="AW1" s="351" t="e">
        <f>SUM(AW15:AW$200)</f>
        <v>#N/A</v>
      </c>
      <c r="AX1" s="190" t="e">
        <f>SUM(AX15:AX$200)</f>
        <v>#N/A</v>
      </c>
      <c r="AY1" s="302"/>
      <c r="AZ1" s="360" t="e">
        <f>SUM(AZ15:AZ$200)</f>
        <v>#N/A</v>
      </c>
      <c r="BA1" s="190" t="e">
        <f>SUM(BA15:BA$200)</f>
        <v>#N/A</v>
      </c>
      <c r="BB1" s="360" t="e">
        <f>SUM(BB15:BB$200)</f>
        <v>#N/A</v>
      </c>
      <c r="BC1" s="185" t="e">
        <f>SUM(BC15:BC$200)</f>
        <v>#N/A</v>
      </c>
      <c r="BD1" s="27" t="e">
        <f>SUM(BD15:BD$200)</f>
        <v>#N/A</v>
      </c>
      <c r="BE1" s="190"/>
      <c r="BF1" s="296" t="e">
        <f>SUM(BF15:BF$200)</f>
        <v>#N/A</v>
      </c>
      <c r="BG1" s="190">
        <f>SUM(BG15:BG$200)</f>
        <v>0</v>
      </c>
      <c r="BH1" s="1567">
        <f>SUM(BH15:BH$200)</f>
        <v>0</v>
      </c>
      <c r="BI1" s="261" t="e">
        <f>SUM(BI15:BI$200)</f>
        <v>#N/A</v>
      </c>
      <c r="BJ1" s="1567">
        <f>SUM(BJ15:BJ$200)</f>
        <v>0</v>
      </c>
      <c r="BK1" s="371" t="e">
        <f>SUM(BK15:BK$200)</f>
        <v>#VALUE!</v>
      </c>
      <c r="BL1" s="261" t="e">
        <f>SUM(BL15:BL$200)</f>
        <v>#N/A</v>
      </c>
      <c r="BM1" s="185"/>
      <c r="BN1" s="27"/>
      <c r="BO1" s="27"/>
      <c r="BP1" s="351" t="e">
        <f>SUM(BP15:BP2497)</f>
        <v>#N/A</v>
      </c>
      <c r="BQ1" s="190" t="e">
        <f>SUM(BQ15:BQ2497)</f>
        <v>#N/A</v>
      </c>
      <c r="BR1" s="302">
        <f>SUM(BR15:BR$200)</f>
        <v>0</v>
      </c>
      <c r="BS1" s="296">
        <f>SUM(BS15:BS$200)</f>
        <v>0</v>
      </c>
      <c r="BT1" s="261">
        <f>SUM(BT15:BT$200)</f>
        <v>0</v>
      </c>
      <c r="BU1" s="302">
        <f>SUM(BU15:BU$200)</f>
        <v>0</v>
      </c>
      <c r="BV1" s="296">
        <f>SUM(BV15:BV$200)</f>
        <v>0</v>
      </c>
      <c r="BW1" s="261">
        <f>SUM(BW15:BW$200)</f>
        <v>0</v>
      </c>
      <c r="BX1" s="302">
        <f>SUM(BX15:BX$200)</f>
        <v>0</v>
      </c>
      <c r="BY1" s="296">
        <f>SUM(BY15:BY$200)</f>
        <v>0</v>
      </c>
      <c r="BZ1" s="261">
        <f>SUM(BZ15:BZ$200)</f>
        <v>0</v>
      </c>
      <c r="CA1" s="302">
        <f>SUM(CA15:CA$200)</f>
        <v>0</v>
      </c>
      <c r="CB1" s="296">
        <f>SUM(CB15:CB$200)</f>
        <v>0</v>
      </c>
      <c r="CC1" s="261">
        <f>SUM(CC15:CC$200)</f>
        <v>0</v>
      </c>
      <c r="CD1" s="302">
        <f>SUM(CD15:CD$200)</f>
        <v>0</v>
      </c>
      <c r="CE1" s="296">
        <f>SUM(CE15:CE$200)</f>
        <v>0</v>
      </c>
      <c r="CF1" s="190">
        <f>SUM(CF15:CF$200)</f>
        <v>0</v>
      </c>
      <c r="CG1" s="302">
        <f>SUM(CG15:CG$200)</f>
        <v>0</v>
      </c>
      <c r="CH1" s="296">
        <f>SUM(CH15:CH$200)</f>
        <v>0</v>
      </c>
      <c r="CI1" s="261">
        <f>SUM(CI15:CI$200)</f>
        <v>0</v>
      </c>
      <c r="CJ1" s="302"/>
      <c r="CK1" s="296" t="e">
        <f>SUM(CK15:CK$200)</f>
        <v>#N/A</v>
      </c>
      <c r="CL1" s="261">
        <f>SUM(CL15:CL$200)</f>
        <v>0</v>
      </c>
      <c r="CM1" s="407">
        <f>SUM(CM15:CM$200)</f>
        <v>0</v>
      </c>
      <c r="CN1" s="296" t="e">
        <f>SUM(CN15:CN$200)</f>
        <v>#N/A</v>
      </c>
      <c r="CO1" s="185">
        <f>SUM(CO15:CO$200)</f>
        <v>0</v>
      </c>
      <c r="CP1" s="302"/>
      <c r="CQ1" s="296" t="e">
        <f>SUM(CQ15:CQ$200)</f>
        <v>#N/A</v>
      </c>
      <c r="CR1" s="185">
        <f>SUM(CR15:CR$200)</f>
        <v>0</v>
      </c>
      <c r="CS1" s="302"/>
      <c r="CT1" s="296" t="e">
        <f>SUM(CT15:CT$200)</f>
        <v>#N/A</v>
      </c>
      <c r="CU1" s="185">
        <f>SUM(CU15:CU$200)</f>
        <v>0</v>
      </c>
      <c r="CV1" s="302"/>
      <c r="CW1" s="296">
        <f>SUM(CW15:CW$200)</f>
        <v>0</v>
      </c>
      <c r="CX1" s="185">
        <f>SUM(CX15:CX$200)</f>
        <v>0</v>
      </c>
      <c r="CY1" s="302"/>
      <c r="CZ1" s="296" t="e">
        <f>SUM(CZ15:CZ$200)</f>
        <v>#N/A</v>
      </c>
      <c r="DA1" s="185" t="e">
        <f>SUM(DA15:DA$200)</f>
        <v>#N/A</v>
      </c>
      <c r="DB1" s="302"/>
      <c r="DC1" s="296" t="e">
        <f>SUM(DC15:DC$200)</f>
        <v>#N/A</v>
      </c>
      <c r="DD1" s="185" t="e">
        <f>SUM(DD15:DD$200)</f>
        <v>#N/A</v>
      </c>
      <c r="DE1" s="302"/>
      <c r="DF1" s="1574">
        <f>SUM(DF15:DF$200)</f>
        <v>0</v>
      </c>
      <c r="DG1" s="185">
        <f>SUM(DG15:DG$200)</f>
        <v>0</v>
      </c>
      <c r="DH1" s="302">
        <f>SUM(DH15:DH$200)</f>
        <v>0</v>
      </c>
      <c r="DI1" s="1574">
        <f>SUM(DI15:DI$200)</f>
        <v>0</v>
      </c>
      <c r="DJ1" s="185" t="e">
        <f>SUM(DJ15:DJ$200)</f>
        <v>#N/A</v>
      </c>
      <c r="DK1" s="302">
        <f>SUM(DK15:DK$200)</f>
        <v>0</v>
      </c>
      <c r="DL1" s="296" t="e">
        <f>SUM(DL15:DL$200)</f>
        <v>#N/A</v>
      </c>
      <c r="DM1" s="185" t="e">
        <f>SUM(DM15:DM$200)</f>
        <v>#N/A</v>
      </c>
      <c r="DN1" s="302">
        <f>SUM(DN15:DN$200)</f>
        <v>0</v>
      </c>
      <c r="DO1" s="296">
        <f>SUM(DO15:DO$200)</f>
        <v>0</v>
      </c>
      <c r="DP1" s="185">
        <f>SUM(DP15:DP$200)</f>
        <v>0</v>
      </c>
      <c r="DQ1" s="302">
        <f>SUM(DQ15:DQ$200)</f>
        <v>0</v>
      </c>
      <c r="DR1" s="296">
        <f>SUM(DR15:DR$200)</f>
        <v>0</v>
      </c>
      <c r="DS1" s="185">
        <f>SUM(DS15:DS$200)</f>
        <v>0</v>
      </c>
      <c r="DT1" s="302">
        <f>SUM(DT15:DT$200)</f>
        <v>0</v>
      </c>
      <c r="DU1" s="296">
        <f>SUM(DU15:DU$200)</f>
        <v>0</v>
      </c>
      <c r="DV1" s="185">
        <f>SUM(DV15:DV$200)</f>
        <v>0</v>
      </c>
      <c r="DW1" s="302">
        <f>SUM(DW15:DW$200)</f>
        <v>0</v>
      </c>
      <c r="DX1" s="296" t="e">
        <f>SUM(DX15:DX$200)</f>
        <v>#N/A</v>
      </c>
      <c r="DY1" s="185">
        <f>SUM(DY15:DY$200)</f>
        <v>0</v>
      </c>
      <c r="DZ1" s="302" t="e">
        <f>SUM(DZ15:DZ$200)</f>
        <v>#N/A</v>
      </c>
      <c r="EA1" s="296" t="e">
        <f>SUM(EA15:EA$200)</f>
        <v>#N/A</v>
      </c>
      <c r="EB1" s="185" t="e">
        <f>SUM(EB15:EB$200)</f>
        <v>#N/A</v>
      </c>
      <c r="EC1" s="302">
        <f>SUM(EC15:EC$200)</f>
        <v>0</v>
      </c>
      <c r="ED1" s="296">
        <f>SUM(ED15:ED$200)</f>
        <v>0</v>
      </c>
      <c r="EE1" s="185">
        <f>SUM(EE15:EE$200)</f>
        <v>0</v>
      </c>
      <c r="EF1" s="302">
        <f>SUM(EF15:EF$200)</f>
        <v>0</v>
      </c>
      <c r="EG1" s="296">
        <f>SUM(EG15:EG$200)</f>
        <v>0</v>
      </c>
      <c r="EH1" s="185">
        <f>SUM(EH15:EH$200)</f>
        <v>0</v>
      </c>
      <c r="EI1" s="302">
        <f>SUM(EI15:EI$200)</f>
        <v>0</v>
      </c>
      <c r="EJ1" s="296">
        <f>SUM(EJ15:EJ$200)</f>
        <v>0</v>
      </c>
      <c r="EK1" s="190">
        <f>SUM(EK15:EK$200)</f>
        <v>0</v>
      </c>
      <c r="EL1" s="1430" t="e">
        <f>SUM(EL15:EL$200)</f>
        <v>#N/A</v>
      </c>
      <c r="EM1" s="1622" t="e">
        <f>SUM(EM15:EM$200)</f>
        <v>#N/A</v>
      </c>
      <c r="EN1" s="1621" t="e">
        <f>SUM(EN15:EN$200)</f>
        <v>#N/A</v>
      </c>
      <c r="EO1" s="1622" t="e">
        <f>SUM(EO15:EO$200)</f>
        <v>#N/A</v>
      </c>
      <c r="EP1" s="1621" t="e">
        <f>SUM(EP15:EP$200)</f>
        <v>#N/A</v>
      </c>
      <c r="EQ1" s="1622" t="e">
        <f>SUM(EQ15:EQ$200)</f>
        <v>#N/A</v>
      </c>
      <c r="ER1" s="1621" t="e">
        <f>SUM(ER15:ER$200)</f>
        <v>#N/A</v>
      </c>
      <c r="ES1" s="1622" t="e">
        <f>SUM(ES15:ES$200)</f>
        <v>#N/A</v>
      </c>
      <c r="ET1" s="1621" t="e">
        <f>SUM(ET15:ET$200)</f>
        <v>#N/A</v>
      </c>
      <c r="EU1" s="1620" t="e">
        <f>SUM(EU15:EU$200)</f>
        <v>#N/A</v>
      </c>
      <c r="EV1" s="1659" t="e">
        <f>SUM(EV15:EV$200)</f>
        <v>#N/A</v>
      </c>
      <c r="EW1" s="1660" t="e">
        <f>SUM(EW15:EW$200)</f>
        <v>#N/A</v>
      </c>
      <c r="EX1" s="1661" t="e">
        <f t="shared" ref="EX1:FF1" si="0">SUM(EX15:EX200)</f>
        <v>#VALUE!</v>
      </c>
      <c r="EY1" s="331" t="e">
        <f t="shared" si="0"/>
        <v>#N/A</v>
      </c>
      <c r="EZ1" s="331" t="e">
        <f t="shared" si="0"/>
        <v>#N/A</v>
      </c>
      <c r="FA1" s="334" t="e">
        <f t="shared" si="0"/>
        <v>#N/A</v>
      </c>
      <c r="FB1" s="331" t="e">
        <f t="shared" si="0"/>
        <v>#N/A</v>
      </c>
      <c r="FC1" s="334">
        <f t="shared" si="0"/>
        <v>0</v>
      </c>
      <c r="FD1" s="331" t="e">
        <f t="shared" si="0"/>
        <v>#N/A</v>
      </c>
      <c r="FE1" s="334" t="e">
        <f t="shared" si="0"/>
        <v>#N/A</v>
      </c>
      <c r="FF1" s="340" t="e">
        <f t="shared" si="0"/>
        <v>#N/A</v>
      </c>
      <c r="FG1" s="419"/>
      <c r="FH1" s="419"/>
      <c r="FI1" s="419"/>
      <c r="FJ1" s="419"/>
      <c r="FK1" s="419"/>
      <c r="FL1" s="419"/>
      <c r="FM1" s="15"/>
      <c r="FN1" s="15"/>
      <c r="FO1" s="423" t="e">
        <f>SUM(FO15:FO$200)</f>
        <v>#N/A</v>
      </c>
      <c r="FP1" s="15"/>
      <c r="FQ1" s="15"/>
      <c r="FR1" s="15"/>
      <c r="FS1" s="15"/>
      <c r="FT1" s="15"/>
      <c r="FU1" s="318">
        <f>SUM(FU15:FU1200)</f>
        <v>1</v>
      </c>
      <c r="FV1" s="296" t="e">
        <f>SUM(FV15:FV1200)</f>
        <v>#VALUE!</v>
      </c>
      <c r="FW1" s="190" t="e">
        <f>SUM(FW15:FW1200)</f>
        <v>#VALUE!</v>
      </c>
      <c r="FX1" s="15"/>
      <c r="FY1" s="15"/>
      <c r="FZ1" s="15"/>
      <c r="GA1" s="15"/>
      <c r="GB1" s="15"/>
      <c r="GC1" s="15"/>
      <c r="GD1" s="15"/>
      <c r="GE1" s="15"/>
      <c r="GF1" s="15"/>
      <c r="GG1" s="15"/>
      <c r="GH1" s="15"/>
      <c r="GI1" s="15"/>
      <c r="GJ1" s="15"/>
      <c r="GK1" s="15"/>
      <c r="GL1" s="15"/>
      <c r="GM1" s="15"/>
      <c r="GN1" s="15"/>
      <c r="GO1" s="15"/>
      <c r="GP1" s="15"/>
      <c r="GQ1" s="15"/>
      <c r="GR1" s="15"/>
      <c r="GS1" s="15"/>
      <c r="GT1" s="15"/>
      <c r="GU1" s="15"/>
      <c r="GV1" s="15"/>
      <c r="GW1" s="15"/>
      <c r="GX1" s="15"/>
      <c r="GY1" s="15"/>
      <c r="GZ1" s="15"/>
      <c r="HA1" s="15"/>
      <c r="HB1" s="15"/>
      <c r="HC1" s="15"/>
      <c r="HD1" s="15"/>
      <c r="HE1" s="15"/>
      <c r="HF1" s="15"/>
      <c r="HG1" s="15"/>
      <c r="HH1" s="15"/>
      <c r="HI1" s="15"/>
      <c r="HJ1" s="15"/>
      <c r="HK1" s="15"/>
      <c r="HL1" s="15"/>
      <c r="HM1" s="15"/>
      <c r="HN1" s="15"/>
      <c r="HO1" s="15"/>
      <c r="HP1" s="15"/>
      <c r="HQ1" s="15"/>
      <c r="HR1" s="15"/>
      <c r="HS1" s="15"/>
      <c r="HT1" s="15"/>
      <c r="HU1" s="15"/>
      <c r="HV1" s="15"/>
      <c r="HW1" s="15"/>
      <c r="HX1" s="15"/>
      <c r="HY1" s="15"/>
      <c r="HZ1" s="15"/>
      <c r="IA1" s="15"/>
      <c r="IB1" s="15"/>
      <c r="IC1" s="15"/>
      <c r="ID1" s="15"/>
      <c r="IE1" s="15"/>
      <c r="IF1" s="15"/>
      <c r="IG1" s="15"/>
      <c r="IH1" s="15"/>
      <c r="II1" s="15"/>
      <c r="IJ1" s="15"/>
      <c r="IK1" s="15"/>
      <c r="IL1" s="15"/>
      <c r="IM1" s="15"/>
      <c r="IN1" s="15"/>
      <c r="IO1" s="15"/>
      <c r="IP1" s="15"/>
      <c r="IQ1" s="15"/>
      <c r="IR1" s="15"/>
      <c r="IS1" s="15"/>
      <c r="IT1" s="15"/>
      <c r="IU1" s="15"/>
    </row>
    <row r="2" spans="1:255" s="277" customFormat="1" ht="12" customHeight="1">
      <c r="A2" s="1814" t="s">
        <v>4570</v>
      </c>
      <c r="B2" s="1815">
        <f>COUNTIF(D15:D200,2)</f>
        <v>0</v>
      </c>
      <c r="C2" s="128"/>
      <c r="D2" s="1137"/>
      <c r="E2" s="82"/>
      <c r="F2" s="3314"/>
      <c r="G2" s="1309">
        <f>MIN(G15:G200)</f>
        <v>0</v>
      </c>
      <c r="H2" s="36" t="s">
        <v>1283</v>
      </c>
      <c r="I2" s="3153" t="s">
        <v>3435</v>
      </c>
      <c r="J2" s="3154"/>
      <c r="K2" s="3154"/>
      <c r="L2" s="3154"/>
      <c r="M2" s="3154"/>
      <c r="N2" s="3154"/>
      <c r="O2" s="3154"/>
      <c r="P2" s="3154"/>
      <c r="Q2" s="3154"/>
      <c r="R2" s="3154"/>
      <c r="S2" s="3155"/>
      <c r="T2" s="41" t="s">
        <v>5344</v>
      </c>
      <c r="U2" s="41">
        <f>COUNTIF(D15:D200,3)</f>
        <v>0</v>
      </c>
      <c r="V2" s="129"/>
      <c r="W2" s="129"/>
      <c r="X2" s="129"/>
      <c r="Y2" s="129"/>
      <c r="Z2" s="129"/>
      <c r="AA2" s="275"/>
      <c r="AB2" s="275"/>
      <c r="AC2" s="275"/>
      <c r="AD2" s="275"/>
      <c r="AE2" s="275"/>
      <c r="AF2" s="275"/>
      <c r="AG2" s="275"/>
      <c r="AH2" s="275"/>
      <c r="AI2" s="275"/>
      <c r="AJ2" s="275"/>
      <c r="AK2" s="275"/>
      <c r="AL2" s="275"/>
      <c r="AM2" s="275"/>
      <c r="AN2" s="275"/>
      <c r="AO2" s="275"/>
      <c r="AP2" s="275"/>
      <c r="AQ2" s="275"/>
      <c r="AR2" s="275"/>
      <c r="AS2" s="275"/>
      <c r="AT2" s="275"/>
      <c r="AU2" s="275"/>
      <c r="AV2" s="352" t="str">
        <f>IF(ISERROR(AVERAGE(AV15:AV$200)),"",AVERAGE(AV15:AV$200))</f>
        <v/>
      </c>
      <c r="AW2" s="352" t="str">
        <f>IF(ISERROR(AVERAGE(AW15:AW$200)),"",AVERAGE(AW15:AW$200))</f>
        <v/>
      </c>
      <c r="AX2" s="191" t="str">
        <f>IF(ISERROR(AVERAGE(AX15:AX$200)),"",AVERAGE(AX15:AX$200))</f>
        <v/>
      </c>
      <c r="AY2" s="344"/>
      <c r="AZ2" s="361" t="str">
        <f>IF(ISERROR(AVERAGE(AZ15:AZ$200)),"",AVERAGE(AZ15:AZ$200))</f>
        <v/>
      </c>
      <c r="BA2" s="191" t="str">
        <f>IF(ISERROR(AVERAGE(BA15:BA$200)),"",AVERAGE(BA15:BA$200))</f>
        <v/>
      </c>
      <c r="BB2" s="361" t="str">
        <f>IF(ISERROR(AVERAGE(BB15:BB$200)),"",AVERAGE(BB15:BB$200))</f>
        <v/>
      </c>
      <c r="BC2" s="186" t="str">
        <f>IF(ISERROR(AVERAGE(BC15:BC$200)),"",AVERAGE(BC15:BC$200))</f>
        <v/>
      </c>
      <c r="BD2" s="1875" t="str">
        <f>IF(ISERROR(AVERAGE(BD15:BD$200)),"",AVERAGE(BD15:BD$200))</f>
        <v/>
      </c>
      <c r="BE2" s="191"/>
      <c r="BF2" s="365" t="str">
        <f>IF(ISERROR(AVERAGE(BF15:BF$200)),"",AVERAGE(BF15:BF$200))</f>
        <v/>
      </c>
      <c r="BG2" s="276" t="str">
        <f>IF(ISERROR(AVERAGE(BG15:BG$200)),"",AVERAGE(BG15:BG$200))</f>
        <v/>
      </c>
      <c r="BH2" s="1568" t="str">
        <f>IF(ISERROR(AVERAGE(BH15:BH$200)),"",AVERAGE(BH15:BH$200))</f>
        <v/>
      </c>
      <c r="BI2" s="262" t="str">
        <f>IF(ISERROR(AVERAGE(BI15:BI$200)),"",AVERAGE(BI15:BI$200))</f>
        <v/>
      </c>
      <c r="BJ2" s="1568" t="str">
        <f>IF(ISERROR(AVERAGE(BJ15:BJ$200)),"",AVERAGE(BJ15:BJ$200))</f>
        <v/>
      </c>
      <c r="BK2" s="372" t="str">
        <f>IF(ISERROR(AVERAGE(BK15:BK$200)),"",AVERAGE(BK15:BK$200))</f>
        <v/>
      </c>
      <c r="BL2" s="323" t="str">
        <f>IF(ISERROR(AVERAGE(BL15:BL$200)),"",AVERAGE(BL15:BL$200))</f>
        <v/>
      </c>
      <c r="BM2" s="276"/>
      <c r="BN2" s="276"/>
      <c r="BO2" s="276"/>
      <c r="BP2" s="352" t="e">
        <f>AVERAGE(BP15:BP2497)</f>
        <v>#N/A</v>
      </c>
      <c r="BQ2" s="191" t="e">
        <f>AVERAGE(BQ15:BQ2497)</f>
        <v>#N/A</v>
      </c>
      <c r="BR2" s="344" t="str">
        <f>IF(ISERROR(AVERAGE(BR15:BR$200)),"",AVERAGE(BR15:BR$200))</f>
        <v/>
      </c>
      <c r="BS2" s="287" t="str">
        <f>IF(ISERROR(AVERAGE(BS15:BS$200)),"",AVERAGE(BS15:BS$200))</f>
        <v/>
      </c>
      <c r="BT2" s="262" t="str">
        <f>IF(ISERROR(AVERAGE(BT15:BT$200)),"",AVERAGE(BT15:BT$200))</f>
        <v/>
      </c>
      <c r="BU2" s="344" t="str">
        <f>IF(ISERROR(AVERAGE(BU15:BU$200)),"",AVERAGE(BU15:BU$200))</f>
        <v/>
      </c>
      <c r="BV2" s="287" t="str">
        <f>IF(ISERROR(AVERAGE(BV15:BV$200)),"",AVERAGE(BV15:BV$200))</f>
        <v/>
      </c>
      <c r="BW2" s="262" t="str">
        <f>IF(ISERROR(AVERAGE(BW15:BW$200)),"",AVERAGE(BW15:BW$200))</f>
        <v/>
      </c>
      <c r="BX2" s="344" t="str">
        <f>IF(ISERROR(AVERAGE(BX15:BX$200)),"",AVERAGE(BX15:BX$200))</f>
        <v/>
      </c>
      <c r="BY2" s="287" t="str">
        <f>IF(ISERROR(AVERAGE(BY15:BY$200)),"",AVERAGE(BY15:BY$200))</f>
        <v/>
      </c>
      <c r="BZ2" s="262" t="str">
        <f>IF(ISERROR(AVERAGE(BZ15:BZ$200)),"",AVERAGE(BZ15:BZ$200))</f>
        <v/>
      </c>
      <c r="CA2" s="344" t="str">
        <f>IF(ISERROR(AVERAGE(CA15:CA$200)),"",AVERAGE(CA15:CA$200))</f>
        <v/>
      </c>
      <c r="CB2" s="287" t="str">
        <f>IF(ISERROR(AVERAGE(CB15:CB$200)),"",AVERAGE(CB15:CB$200))</f>
        <v/>
      </c>
      <c r="CC2" s="262" t="str">
        <f>IF(ISERROR(AVERAGE(CC15:CC$200)),"",AVERAGE(CC15:CC$200))</f>
        <v/>
      </c>
      <c r="CD2" s="344" t="str">
        <f>IF(ISERROR(AVERAGE(CD15:CD$200)),"",AVERAGE(CD15:CD$200))</f>
        <v/>
      </c>
      <c r="CE2" s="287" t="str">
        <f>IF(ISERROR(AVERAGE(CE15:CE$200)),"",AVERAGE(CE15:CE$200))</f>
        <v/>
      </c>
      <c r="CF2" s="262" t="str">
        <f>IF(ISERROR(AVERAGE(CF15:CF$200)),"",AVERAGE(CF15:CF$200))</f>
        <v/>
      </c>
      <c r="CG2" s="344" t="str">
        <f>IF(ISERROR(AVERAGE(CG15:CG$200)),"",AVERAGE(CG15:CG$200))</f>
        <v/>
      </c>
      <c r="CH2" s="287" t="str">
        <f>IF(ISERROR(AVERAGE(CH15:CH$200)),"",AVERAGE(CH15:CH$200))</f>
        <v/>
      </c>
      <c r="CI2" s="262" t="str">
        <f>IF(ISERROR(AVERAGE(CI15:CI$200)),"",AVERAGE(CI15:CI$200))</f>
        <v/>
      </c>
      <c r="CJ2" s="344"/>
      <c r="CK2" s="287" t="str">
        <f>IF(ISERROR(AVERAGE(CK15:CK$200)),"",AVERAGE(CK15:CK$200))</f>
        <v/>
      </c>
      <c r="CL2" s="262" t="str">
        <f>IF(ISERROR(AVERAGE(CL15:CL$200)),"",AVERAGE(CL15:CL$200))</f>
        <v/>
      </c>
      <c r="CM2" s="408" t="str">
        <f>IF(ISERROR(AVERAGE(CM15:CM$200)),"",AVERAGE(CM15:CM$200))</f>
        <v/>
      </c>
      <c r="CN2" s="287" t="str">
        <f>IF(ISERROR(AVERAGE(CN15:CN$200)),"",AVERAGE(CN15:CN$200))</f>
        <v/>
      </c>
      <c r="CO2" s="257" t="str">
        <f>IF(ISERROR(AVERAGE(CO15:CO$200)),"",AVERAGE(CO15:CO$200))</f>
        <v/>
      </c>
      <c r="CP2" s="344"/>
      <c r="CQ2" s="287" t="str">
        <f>IF(ISERROR(AVERAGE(CQ15:CQ$200)),"",AVERAGE(CQ15:CQ$200))</f>
        <v/>
      </c>
      <c r="CR2" s="257" t="str">
        <f>IF(ISERROR(AVERAGE(CR15:CR$200)),"",AVERAGE(CR15:CR$200))</f>
        <v/>
      </c>
      <c r="CS2" s="344"/>
      <c r="CT2" s="287" t="str">
        <f>IF(ISERROR(AVERAGE(CT15:CT$200)),"",AVERAGE(CT15:CT$200))</f>
        <v/>
      </c>
      <c r="CU2" s="257" t="str">
        <f>IF(ISERROR(AVERAGE(CU15:CU$200)),"",AVERAGE(CU15:CU$200))</f>
        <v/>
      </c>
      <c r="CV2" s="344"/>
      <c r="CW2" s="287" t="str">
        <f>IF(ISERROR(AVERAGE(CW15:CW$200)),"",AVERAGE(CW15:CW$200))</f>
        <v/>
      </c>
      <c r="CX2" s="257" t="str">
        <f>IF(ISERROR(AVERAGE(CX15:CX$200)),"",AVERAGE(CX15:CX$200))</f>
        <v/>
      </c>
      <c r="CY2" s="344"/>
      <c r="CZ2" s="287" t="str">
        <f>IF(ISERROR(AVERAGE(CZ15:CZ$200)),"",AVERAGE(CZ15:CZ$200))</f>
        <v/>
      </c>
      <c r="DA2" s="257" t="str">
        <f>IF(ISERROR(AVERAGE(DA15:DA$200)),"",AVERAGE(DA15:DA$200))</f>
        <v/>
      </c>
      <c r="DB2" s="344"/>
      <c r="DC2" s="287" t="str">
        <f>IF(ISERROR(AVERAGE(DC15:DC$200)),"",AVERAGE(DC15:DC$200))</f>
        <v/>
      </c>
      <c r="DD2" s="257" t="str">
        <f>IF(ISERROR(AVERAGE(DD15:DD$200)),"",AVERAGE(DD15:DD$200))</f>
        <v/>
      </c>
      <c r="DE2" s="344"/>
      <c r="DF2" s="1575" t="str">
        <f>IF(ISERROR(AVERAGE(DF15:DF$200)),"",AVERAGE(DF15:DF$200))</f>
        <v/>
      </c>
      <c r="DG2" s="257" t="str">
        <f>IF(ISERROR(AVERAGE(DG15:DG$200)),"",AVERAGE(DG15:DG$200))</f>
        <v/>
      </c>
      <c r="DH2" s="344" t="str">
        <f>IF(ISERROR(AVERAGE(DH15:DH$200)),"",AVERAGE(DH15:DH$200))</f>
        <v/>
      </c>
      <c r="DI2" s="1575" t="str">
        <f>IF(ISERROR(AVERAGE(DI15:DI$200)),"",AVERAGE(DI15:DI$200))</f>
        <v/>
      </c>
      <c r="DJ2" s="257" t="str">
        <f>IF(ISERROR(AVERAGE(DJ15:DJ$200)),"",AVERAGE(DJ15:DJ$200))</f>
        <v/>
      </c>
      <c r="DK2" s="344">
        <f>IF(ISERROR(AVERAGE(DK15:DK$200)),"",AVERAGE(DK15:DK$200))</f>
        <v>0</v>
      </c>
      <c r="DL2" s="287" t="str">
        <f>IF(ISERROR(AVERAGE(DL15:DL$200)),"",AVERAGE(DL15:DL$200))</f>
        <v/>
      </c>
      <c r="DM2" s="257" t="str">
        <f>IF(ISERROR(AVERAGE(DM15:DM$200)),"",AVERAGE(DM15:DM$200))</f>
        <v/>
      </c>
      <c r="DN2" s="344" t="str">
        <f>IF(ISERROR(AVERAGE(DN15:DN$200)),"",AVERAGE(DN15:DN$200))</f>
        <v/>
      </c>
      <c r="DO2" s="287" t="str">
        <f>IF(ISERROR(AVERAGE(DO15:DO$200)),"",AVERAGE(DO15:DO$200))</f>
        <v/>
      </c>
      <c r="DP2" s="257" t="str">
        <f>IF(ISERROR(AVERAGE(DP15:DP$200)),"",AVERAGE(DP15:DP$200))</f>
        <v/>
      </c>
      <c r="DQ2" s="344">
        <f>IF(ISERROR(AVERAGE(DQ15:DQ$200)),"",AVERAGE(DQ15:DQ$200))</f>
        <v>0</v>
      </c>
      <c r="DR2" s="287" t="str">
        <f>IF(ISERROR(AVERAGE(DR15:DR$200)),"",AVERAGE(DR15:DR$200))</f>
        <v/>
      </c>
      <c r="DS2" s="257" t="str">
        <f>IF(ISERROR(AVERAGE(DS15:DS$200)),"",AVERAGE(DS15:DS$200))</f>
        <v/>
      </c>
      <c r="DT2" s="344" t="str">
        <f>IF(ISERROR(AVERAGE(DT15:DT$200)),"",AVERAGE(DT15:DT$200))</f>
        <v/>
      </c>
      <c r="DU2" s="287" t="str">
        <f>IF(ISERROR(AVERAGE(DU15:DU$200)),"",AVERAGE(DU15:DU$200))</f>
        <v/>
      </c>
      <c r="DV2" s="257" t="str">
        <f>IF(ISERROR(AVERAGE(DV15:DV$200)),"",AVERAGE(DV15:DV$200))</f>
        <v/>
      </c>
      <c r="DW2" s="344" t="str">
        <f>IF(ISERROR(AVERAGE(DW15:DW$200)),"",AVERAGE(DW15:DW$200))</f>
        <v/>
      </c>
      <c r="DX2" s="287" t="str">
        <f>IF(ISERROR(AVERAGE(DX15:DX$200)),"",AVERAGE(DX15:DX$200))</f>
        <v/>
      </c>
      <c r="DY2" s="257" t="str">
        <f>IF(ISERROR(AVERAGE(DY15:DY$200)),"",AVERAGE(DY15:DY$200))</f>
        <v/>
      </c>
      <c r="DZ2" s="344" t="str">
        <f>IF(ISERROR(AVERAGE(DZ15:DZ$200)),"",AVERAGE(DZ15:DZ$200))</f>
        <v/>
      </c>
      <c r="EA2" s="287" t="str">
        <f>IF(ISERROR(AVERAGE(EA15:EA$200)),"",AVERAGE(EA15:EA$200))</f>
        <v/>
      </c>
      <c r="EB2" s="257" t="str">
        <f>IF(ISERROR(AVERAGE(EB15:EB$200)),"",AVERAGE(EB15:EB$200))</f>
        <v/>
      </c>
      <c r="EC2" s="344" t="str">
        <f>IF(ISERROR(AVERAGE(EC15:EC$200)),"",AVERAGE(EC15:EC$200))</f>
        <v/>
      </c>
      <c r="ED2" s="287" t="str">
        <f>IF(ISERROR(AVERAGE(ED15:ED$200)),"",AVERAGE(ED15:ED$200))</f>
        <v/>
      </c>
      <c r="EE2" s="257" t="str">
        <f>IF(ISERROR(AVERAGE(EE15:EE$200)),"",AVERAGE(EE15:EE$200))</f>
        <v/>
      </c>
      <c r="EF2" s="344" t="str">
        <f>IF(ISERROR(AVERAGE(EF15:EF$200)),"",AVERAGE(EF15:EF$200))</f>
        <v/>
      </c>
      <c r="EG2" s="287" t="str">
        <f>IF(ISERROR(AVERAGE(EG15:EG$200)),"",AVERAGE(EG15:EG$200))</f>
        <v/>
      </c>
      <c r="EH2" s="257" t="str">
        <f>IF(ISERROR(AVERAGE(EH15:EH$200)),"",AVERAGE(EH15:EH$200))</f>
        <v/>
      </c>
      <c r="EI2" s="344" t="str">
        <f>IF(ISERROR(AVERAGE(EI15:EI$200)),"",AVERAGE(EI15:EI$200))</f>
        <v/>
      </c>
      <c r="EJ2" s="287" t="str">
        <f>IF(ISERROR(AVERAGE(EJ15:EJ$200)),"",AVERAGE(EJ15:EJ$200))</f>
        <v/>
      </c>
      <c r="EK2" s="276" t="str">
        <f>IF(ISERROR(AVERAGE(EK15:EK$200)),"",AVERAGE(EK15:EK$200))</f>
        <v/>
      </c>
      <c r="EL2" s="1614" t="str">
        <f>IF(ISERROR(AVERAGE(EL15:EL$200)),"",AVERAGE(EL15:EL$200))</f>
        <v/>
      </c>
      <c r="EM2" s="403" t="str">
        <f>IF(ISERROR(AVERAGE(EM15:EM$200)),"",AVERAGE(EM15:EM$200))</f>
        <v/>
      </c>
      <c r="EN2" s="1610" t="str">
        <f>IF(ISERROR(AVERAGE(EN15:EN$200)),"",AVERAGE(EN15:EN$200))</f>
        <v/>
      </c>
      <c r="EO2" s="403" t="str">
        <f>IF(ISERROR(AVERAGE(EO15:EO$200)),"",AVERAGE(EO15:EO$200))</f>
        <v/>
      </c>
      <c r="EP2" s="1610" t="str">
        <f>IF(ISERROR(AVERAGE(EP15:EP$200)),"",AVERAGE(EP15:EP$200))</f>
        <v/>
      </c>
      <c r="EQ2" s="403" t="str">
        <f>IF(ISERROR(AVERAGE(EQ15:EQ$200)),"",AVERAGE(EQ15:EQ$200))</f>
        <v/>
      </c>
      <c r="ER2" s="1610" t="str">
        <f>IF(ISERROR(AVERAGE(ER15:ER$200)),"",AVERAGE(ER15:ER$200))</f>
        <v/>
      </c>
      <c r="ES2" s="403" t="str">
        <f>IF(ISERROR(AVERAGE(ES15:ES$200)),"",AVERAGE(ES15:ES$200))</f>
        <v/>
      </c>
      <c r="ET2" s="1610" t="str">
        <f>IF(ISERROR(AVERAGE(ET15:ET$200)),"",AVERAGE(ET15:ET$200))</f>
        <v/>
      </c>
      <c r="EU2" s="276" t="str">
        <f>IF(ISERROR(AVERAGE(EU15:EU$200)),"",AVERAGE(EU15:EU$200))</f>
        <v/>
      </c>
      <c r="EV2" s="1662" t="str">
        <f>IF(ISERROR(AVERAGE(EV15:EV$200)),"",AVERAGE(EV15:EV$200))</f>
        <v/>
      </c>
      <c r="EW2" s="1663" t="str">
        <f>IF(ISERROR(AVERAGE(EW15:EW$200)),"",AVERAGE(EW15:EW$200))</f>
        <v/>
      </c>
      <c r="EX2" s="403" t="str">
        <f>IF(ISERROR(AVERAGE(EX15:EX$200)),"",AVERAGE(EX15:EX$200))</f>
        <v/>
      </c>
      <c r="EY2" s="400"/>
      <c r="EZ2" s="397"/>
      <c r="FA2" s="3368" t="s">
        <v>3256</v>
      </c>
      <c r="FB2" s="3368"/>
      <c r="FC2" s="3368"/>
      <c r="FD2" s="3368"/>
      <c r="FE2" s="3368"/>
      <c r="FF2" s="3368"/>
      <c r="FG2" s="418"/>
      <c r="FH2" s="418"/>
      <c r="FI2" s="418"/>
      <c r="FJ2" s="418"/>
      <c r="FK2" s="418"/>
      <c r="FL2" s="418"/>
      <c r="FM2" s="129"/>
      <c r="FN2" s="129"/>
      <c r="FO2" s="424" t="str">
        <f>IF(ISERROR(AVERAGE(FO15:FO$200)),"",AVERAGE(FO15:FO$200))</f>
        <v/>
      </c>
      <c r="FP2" s="129"/>
      <c r="FQ2" s="129"/>
      <c r="FR2" s="129"/>
      <c r="FS2" s="129"/>
      <c r="FT2" s="129"/>
      <c r="FU2" s="319">
        <f>IF(ISERROR(AVERAGE(FU15:FU1200)),"",AVERAGE(FU15:FU1200))</f>
        <v>1</v>
      </c>
      <c r="FV2" s="287" t="str">
        <f>IF(ISERROR(AVERAGE(FV15:FV1200)),"",AVERAGE(FV15:FV1200))</f>
        <v/>
      </c>
      <c r="FW2" s="191" t="str">
        <f>IF(ISERROR(AVERAGE(FW15:FW1200)),"",AVERAGE(FW15:FW1200))</f>
        <v/>
      </c>
      <c r="FX2" s="129"/>
      <c r="FY2" s="129"/>
      <c r="FZ2" s="129"/>
      <c r="GA2" s="129"/>
      <c r="GB2" s="129"/>
      <c r="GC2" s="129"/>
      <c r="GD2" s="129"/>
      <c r="GE2" s="129"/>
      <c r="GF2" s="129"/>
      <c r="GG2" s="129"/>
      <c r="GH2" s="129"/>
      <c r="GI2" s="129"/>
      <c r="GJ2" s="129"/>
      <c r="GK2" s="129"/>
      <c r="GL2" s="129"/>
      <c r="GM2" s="129"/>
      <c r="GN2" s="129"/>
      <c r="GO2" s="129"/>
      <c r="GP2" s="129"/>
      <c r="GQ2" s="129"/>
      <c r="GR2" s="129"/>
      <c r="GS2" s="129"/>
      <c r="GT2" s="129"/>
      <c r="GU2" s="129"/>
      <c r="GV2" s="129"/>
      <c r="GW2" s="129"/>
      <c r="GX2" s="129"/>
      <c r="GY2" s="129"/>
      <c r="GZ2" s="129"/>
      <c r="HA2" s="129"/>
      <c r="HB2" s="129"/>
      <c r="HC2" s="129"/>
      <c r="HD2" s="129"/>
      <c r="HE2" s="129"/>
      <c r="HF2" s="129"/>
      <c r="HG2" s="129"/>
      <c r="HH2" s="129"/>
      <c r="HI2" s="129"/>
      <c r="HJ2" s="129"/>
      <c r="HK2" s="129"/>
      <c r="HL2" s="129"/>
      <c r="HM2" s="129"/>
      <c r="HN2" s="129"/>
      <c r="HO2" s="129"/>
      <c r="HP2" s="129"/>
      <c r="HQ2" s="129"/>
      <c r="HR2" s="129"/>
      <c r="HS2" s="129"/>
      <c r="HT2" s="129"/>
      <c r="HU2" s="129"/>
      <c r="HV2" s="129"/>
      <c r="HW2" s="129"/>
      <c r="HX2" s="129"/>
      <c r="HY2" s="129"/>
      <c r="HZ2" s="129"/>
      <c r="IA2" s="129"/>
      <c r="IB2" s="129"/>
      <c r="IC2" s="129"/>
      <c r="ID2" s="129"/>
      <c r="IE2" s="129"/>
      <c r="IF2" s="129"/>
      <c r="IG2" s="129"/>
      <c r="IH2" s="129"/>
      <c r="II2" s="129"/>
      <c r="IJ2" s="129"/>
      <c r="IK2" s="129"/>
      <c r="IL2" s="129"/>
      <c r="IM2" s="129"/>
      <c r="IN2" s="129"/>
      <c r="IO2" s="129"/>
      <c r="IP2" s="129"/>
      <c r="IQ2" s="129"/>
      <c r="IR2" s="129"/>
      <c r="IS2" s="129"/>
      <c r="IT2" s="129"/>
      <c r="IU2" s="129"/>
    </row>
    <row r="3" spans="1:255" s="15" customFormat="1" ht="12" customHeight="1">
      <c r="A3" s="1816" t="s">
        <v>4571</v>
      </c>
      <c r="B3" s="1815">
        <f>COUNTIF(D15:D200,3)</f>
        <v>0</v>
      </c>
      <c r="C3" s="270"/>
      <c r="D3" s="1138"/>
      <c r="E3" s="271"/>
      <c r="F3" s="272"/>
      <c r="G3" s="1309">
        <f>MAX(G15:G200)</f>
        <v>0</v>
      </c>
      <c r="H3" s="40" t="s">
        <v>1284</v>
      </c>
      <c r="I3" s="3160" t="s">
        <v>3319</v>
      </c>
      <c r="J3" s="3161"/>
      <c r="K3" s="3161"/>
      <c r="L3" s="3161"/>
      <c r="M3" s="3161"/>
      <c r="N3" s="3161"/>
      <c r="O3" s="3161"/>
      <c r="P3" s="3161"/>
      <c r="Q3" s="3161"/>
      <c r="R3" s="3161"/>
      <c r="S3" s="3162"/>
      <c r="T3" s="273"/>
      <c r="U3" s="273"/>
      <c r="V3" s="129"/>
      <c r="W3" s="129"/>
      <c r="X3" s="129"/>
      <c r="Z3" s="129"/>
      <c r="AA3" s="28"/>
      <c r="AB3" s="28"/>
      <c r="AC3" s="28"/>
      <c r="AD3" s="28"/>
      <c r="AE3" s="28"/>
      <c r="AF3" s="28"/>
      <c r="AG3" s="28"/>
      <c r="AH3" s="28"/>
      <c r="AI3" s="28"/>
      <c r="AJ3" s="28"/>
      <c r="AK3" s="28"/>
      <c r="AL3" s="28"/>
      <c r="AM3" s="28"/>
      <c r="AN3" s="28"/>
      <c r="AO3" s="28"/>
      <c r="AP3" s="28"/>
      <c r="AQ3" s="28"/>
      <c r="AR3" s="28"/>
      <c r="AS3" s="28"/>
      <c r="AT3" s="28"/>
      <c r="AU3" s="28"/>
      <c r="AV3" s="212" t="str">
        <f t="shared" ref="AV3:BD3" si="1">IF(ISERROR(SUBTOTAL(9,AV15:AV200)),"",SUBTOTAL(9,AV15:AV200))</f>
        <v/>
      </c>
      <c r="AW3" s="212" t="str">
        <f t="shared" si="1"/>
        <v/>
      </c>
      <c r="AX3" s="28" t="str">
        <f t="shared" si="1"/>
        <v/>
      </c>
      <c r="AY3" s="206"/>
      <c r="AZ3" s="301" t="str">
        <f>IF(ISERROR(SUBTOTAL(9,AZ15:AZ200)),"",SUBTOTAL(9,AZ15:AZ200))</f>
        <v/>
      </c>
      <c r="BA3" s="28" t="str">
        <f>IF(ISERROR(SUBTOTAL(9,BA15:BA200)),"",SUBTOTAL(9,BA15:BA200))</f>
        <v/>
      </c>
      <c r="BB3" s="301" t="str">
        <f t="shared" si="1"/>
        <v/>
      </c>
      <c r="BC3" s="1858" t="str">
        <f t="shared" si="1"/>
        <v/>
      </c>
      <c r="BD3" s="1876" t="str">
        <f t="shared" si="1"/>
        <v/>
      </c>
      <c r="BE3" s="28"/>
      <c r="BF3" s="288" t="str">
        <f>IF(ISERROR(SUBTOTAL(9,BF15:BF200)),"",SUBTOTAL(9,BF15:BF200))</f>
        <v/>
      </c>
      <c r="BG3" s="28">
        <f>IF(ISERROR(SUBTOTAL(9,BG15:BG200)),"",SUBTOTAL(9,BG15:BG200))</f>
        <v>0</v>
      </c>
      <c r="BH3" s="1569">
        <f>IF(ISERROR(SUBTOTAL(9,BH15:BH$200)),"",SUBTOTAL(9,BH15:BH$200))</f>
        <v>0</v>
      </c>
      <c r="BI3" s="187" t="str">
        <f>IF(ISERROR(SUBTOTAL(9,BI15:BI200)),"",SUBTOTAL(9,BI15:BI200))</f>
        <v/>
      </c>
      <c r="BJ3" s="1569">
        <f>IF(ISERROR(SUBTOTAL(9,BJ15:BJ$200)),"",SUBTOTAL(9,BJ15:BJ$200))</f>
        <v>0</v>
      </c>
      <c r="BK3" s="373" t="str">
        <f>IF(ISERROR(SUBTOTAL(9,BK15:BK200)),"",SUBTOTAL(9,BK15:BK200))</f>
        <v/>
      </c>
      <c r="BL3" s="187" t="str">
        <f>IF(ISERROR(SUBTOTAL(9,BL15:BL200)),"",SUBTOTAL(9,BL15:BL200))</f>
        <v/>
      </c>
      <c r="BM3" s="28"/>
      <c r="BN3" s="28"/>
      <c r="BO3" s="28"/>
      <c r="BP3" s="212" t="e">
        <f>SUBTOTAL(9,BP15:BP2497)</f>
        <v>#N/A</v>
      </c>
      <c r="BQ3" s="28" t="e">
        <f>SUBTOTAL(9,BQ15:BQ2497)</f>
        <v>#N/A</v>
      </c>
      <c r="BR3" s="206">
        <f t="shared" ref="BR3:CI3" si="2">IF(ISERROR(SUBTOTAL(9,BR15:BR200)),"",SUBTOTAL(9,BR15:BR200))</f>
        <v>0</v>
      </c>
      <c r="BS3" s="288">
        <f t="shared" si="2"/>
        <v>0</v>
      </c>
      <c r="BT3" s="187">
        <f t="shared" si="2"/>
        <v>0</v>
      </c>
      <c r="BU3" s="206">
        <f t="shared" si="2"/>
        <v>0</v>
      </c>
      <c r="BV3" s="288">
        <f t="shared" si="2"/>
        <v>0</v>
      </c>
      <c r="BW3" s="187">
        <f t="shared" si="2"/>
        <v>0</v>
      </c>
      <c r="BX3" s="206">
        <f t="shared" si="2"/>
        <v>0</v>
      </c>
      <c r="BY3" s="288">
        <f t="shared" si="2"/>
        <v>0</v>
      </c>
      <c r="BZ3" s="187">
        <f t="shared" si="2"/>
        <v>0</v>
      </c>
      <c r="CA3" s="206">
        <f t="shared" si="2"/>
        <v>0</v>
      </c>
      <c r="CB3" s="288">
        <f t="shared" si="2"/>
        <v>0</v>
      </c>
      <c r="CC3" s="187">
        <f t="shared" si="2"/>
        <v>0</v>
      </c>
      <c r="CD3" s="206">
        <f t="shared" si="2"/>
        <v>0</v>
      </c>
      <c r="CE3" s="288">
        <f t="shared" si="2"/>
        <v>0</v>
      </c>
      <c r="CF3" s="187">
        <f t="shared" si="2"/>
        <v>0</v>
      </c>
      <c r="CG3" s="206">
        <f t="shared" si="2"/>
        <v>0</v>
      </c>
      <c r="CH3" s="288">
        <f t="shared" si="2"/>
        <v>0</v>
      </c>
      <c r="CI3" s="187">
        <f t="shared" si="2"/>
        <v>0</v>
      </c>
      <c r="CJ3" s="206"/>
      <c r="CK3" s="288" t="str">
        <f>IF(ISERROR(SUBTOTAL(9,CK15:CK200)),"",SUBTOTAL(9,CK15:CK200))</f>
        <v/>
      </c>
      <c r="CL3" s="187">
        <f>IF(ISERROR(SUBTOTAL(9,CL15:CL200)),"",SUBTOTAL(9,CL15:CL200))</f>
        <v>0</v>
      </c>
      <c r="CM3" s="409">
        <f>IF(ISERROR(SUBTOTAL(9,CM15:CM200)),"",SUBTOTAL(9,CM15:CM200))</f>
        <v>0</v>
      </c>
      <c r="CN3" s="288" t="str">
        <f>IF(ISERROR(SUBTOTAL(9,CN15:CN200)),"",SUBTOTAL(9,CN15:CN200))</f>
        <v/>
      </c>
      <c r="CO3" s="28">
        <f>IF(ISERROR(SUBTOTAL(9,CO15:CO200)),"",SUBTOTAL(9,CO15:CO200))</f>
        <v>0</v>
      </c>
      <c r="CP3" s="206"/>
      <c r="CQ3" s="288" t="str">
        <f>IF(ISERROR(SUBTOTAL(9,CQ15:CQ200)),"",SUBTOTAL(9,CQ15:CQ200))</f>
        <v/>
      </c>
      <c r="CR3" s="28">
        <f>IF(ISERROR(SUBTOTAL(9,CR15:CR200)),"",SUBTOTAL(9,CR15:CR200))</f>
        <v>0</v>
      </c>
      <c r="CS3" s="206"/>
      <c r="CT3" s="288" t="str">
        <f>IF(ISERROR(SUBTOTAL(9,CT15:CT200)),"",SUBTOTAL(9,CT15:CT200))</f>
        <v/>
      </c>
      <c r="CU3" s="28">
        <f>IF(ISERROR(SUBTOTAL(9,CU15:CU200)),"",SUBTOTAL(9,CU15:CU200))</f>
        <v>0</v>
      </c>
      <c r="CV3" s="206"/>
      <c r="CW3" s="288">
        <f>IF(ISERROR(SUBTOTAL(9,CW15:CW200)),"",SUBTOTAL(9,CW15:CW200))</f>
        <v>0</v>
      </c>
      <c r="CX3" s="28">
        <f>IF(ISERROR(SUBTOTAL(9,CX15:CX200)),"",SUBTOTAL(9,CX15:CX200))</f>
        <v>0</v>
      </c>
      <c r="CY3" s="206"/>
      <c r="CZ3" s="288" t="str">
        <f>IF(ISERROR(SUBTOTAL(9,CZ15:CZ200)),"",SUBTOTAL(9,CZ15:CZ200))</f>
        <v/>
      </c>
      <c r="DA3" s="28" t="str">
        <f>IF(ISERROR(SUBTOTAL(9,DA15:DA200)),"",SUBTOTAL(9,DA15:DA200))</f>
        <v/>
      </c>
      <c r="DB3" s="206"/>
      <c r="DC3" s="288" t="str">
        <f>IF(ISERROR(SUBTOTAL(9,DC15:DC$200)),"",SUBTOTAL(9,DC15:DC$200))</f>
        <v/>
      </c>
      <c r="DD3" s="28" t="str">
        <f>IF(ISERROR(SUBTOTAL(9,DD15:DD$200)),"",SUBTOTAL(9,DD15:DD$200))</f>
        <v/>
      </c>
      <c r="DE3" s="206"/>
      <c r="DF3" s="1576">
        <f>IF(ISERROR(SUBTOTAL(9,DF15:DF$200)),"",SUBTOTAL(9,DF15:DF$200))</f>
        <v>0</v>
      </c>
      <c r="DG3" s="28">
        <f>IF(ISERROR(SUBTOTAL(9,DG15:DG200)),"",SUBTOTAL(9,DG15:DG200))</f>
        <v>0</v>
      </c>
      <c r="DH3" s="206">
        <f>IF(ISERROR(SUBTOTAL(9,DH15:DH$200)),"",SUBTOTAL(9,DH15:DH$200))</f>
        <v>0</v>
      </c>
      <c r="DI3" s="1576">
        <f>IF(ISERROR(SUBTOTAL(9,DI15:DI$200)),"",SUBTOTAL(9,DI15:DI$200))</f>
        <v>0</v>
      </c>
      <c r="DJ3" s="28" t="str">
        <f>IF(ISERROR(SUBTOTAL(9,DJ15:DJ$200)),"",SUBTOTAL(9,DJ15:DJ$200))</f>
        <v/>
      </c>
      <c r="DK3" s="206">
        <f>IF(ISERROR(SUBTOTAL(9,DK15:DK$200)),"",SUBTOTAL(9,DK15:DK$200))</f>
        <v>0</v>
      </c>
      <c r="DL3" s="288" t="str">
        <f>IF(ISERROR(SUBTOTAL(9,DL15:DL$200)),"",SUBTOTAL(9,DL15:DL$200))</f>
        <v/>
      </c>
      <c r="DM3" s="28" t="str">
        <f>IF(ISERROR(SUBTOTAL(9,DM15:DM$200)),"",SUBTOTAL(9,DM15:DM$200))</f>
        <v/>
      </c>
      <c r="DN3" s="206">
        <f t="shared" ref="DN3:EX3" si="3">IF(ISERROR(SUBTOTAL(9,DN15:DN200)),"",SUBTOTAL(9,DN15:DN200))</f>
        <v>0</v>
      </c>
      <c r="DO3" s="288">
        <f t="shared" si="3"/>
        <v>0</v>
      </c>
      <c r="DP3" s="28">
        <f t="shared" si="3"/>
        <v>0</v>
      </c>
      <c r="DQ3" s="206">
        <f t="shared" si="3"/>
        <v>0</v>
      </c>
      <c r="DR3" s="288">
        <f t="shared" si="3"/>
        <v>0</v>
      </c>
      <c r="DS3" s="28">
        <f t="shared" si="3"/>
        <v>0</v>
      </c>
      <c r="DT3" s="206">
        <f t="shared" si="3"/>
        <v>0</v>
      </c>
      <c r="DU3" s="288">
        <f t="shared" si="3"/>
        <v>0</v>
      </c>
      <c r="DV3" s="28">
        <f t="shared" si="3"/>
        <v>0</v>
      </c>
      <c r="DW3" s="206">
        <f t="shared" si="3"/>
        <v>0</v>
      </c>
      <c r="DX3" s="288" t="str">
        <f t="shared" si="3"/>
        <v/>
      </c>
      <c r="DY3" s="28">
        <f t="shared" si="3"/>
        <v>0</v>
      </c>
      <c r="DZ3" s="206" t="str">
        <f t="shared" si="3"/>
        <v/>
      </c>
      <c r="EA3" s="288" t="str">
        <f t="shared" si="3"/>
        <v/>
      </c>
      <c r="EB3" s="28" t="str">
        <f t="shared" si="3"/>
        <v/>
      </c>
      <c r="EC3" s="206">
        <f t="shared" si="3"/>
        <v>0</v>
      </c>
      <c r="ED3" s="288">
        <f t="shared" si="3"/>
        <v>0</v>
      </c>
      <c r="EE3" s="28">
        <f t="shared" si="3"/>
        <v>0</v>
      </c>
      <c r="EF3" s="206">
        <f t="shared" si="3"/>
        <v>0</v>
      </c>
      <c r="EG3" s="288">
        <f t="shared" si="3"/>
        <v>0</v>
      </c>
      <c r="EH3" s="28">
        <f t="shared" si="3"/>
        <v>0</v>
      </c>
      <c r="EI3" s="206">
        <f t="shared" si="3"/>
        <v>0</v>
      </c>
      <c r="EJ3" s="288">
        <f t="shared" si="3"/>
        <v>0</v>
      </c>
      <c r="EK3" s="28">
        <f t="shared" si="3"/>
        <v>0</v>
      </c>
      <c r="EL3" s="1615" t="str">
        <f t="shared" si="3"/>
        <v/>
      </c>
      <c r="EM3" s="404" t="str">
        <f t="shared" si="3"/>
        <v/>
      </c>
      <c r="EN3" s="1611" t="str">
        <f t="shared" si="3"/>
        <v/>
      </c>
      <c r="EO3" s="404" t="str">
        <f t="shared" si="3"/>
        <v/>
      </c>
      <c r="EP3" s="1611" t="str">
        <f t="shared" si="3"/>
        <v/>
      </c>
      <c r="EQ3" s="404" t="str">
        <f t="shared" si="3"/>
        <v/>
      </c>
      <c r="ER3" s="1611" t="str">
        <f t="shared" si="3"/>
        <v/>
      </c>
      <c r="ES3" s="404" t="str">
        <f t="shared" si="3"/>
        <v/>
      </c>
      <c r="ET3" s="1611" t="str">
        <f t="shared" si="3"/>
        <v/>
      </c>
      <c r="EU3" s="28" t="str">
        <f t="shared" si="3"/>
        <v/>
      </c>
      <c r="EV3" s="1664" t="str">
        <f t="shared" si="3"/>
        <v/>
      </c>
      <c r="EW3" s="1665" t="str">
        <f t="shared" si="3"/>
        <v/>
      </c>
      <c r="EX3" s="404" t="str">
        <f t="shared" si="3"/>
        <v/>
      </c>
      <c r="EY3" s="7"/>
      <c r="FA3" s="3144" t="s">
        <v>1365</v>
      </c>
      <c r="FB3" s="3144"/>
      <c r="FC3" s="3144"/>
      <c r="FD3" s="3144"/>
      <c r="FE3" s="3144"/>
      <c r="FF3" s="3144"/>
      <c r="FG3" s="418"/>
      <c r="FN3" s="49"/>
      <c r="FO3" s="425" t="str">
        <f>IF(ISERROR(SUBTOTAL(9,FO15:FO200)),"",SUBTOTAL(9,FO15:FO200))</f>
        <v/>
      </c>
      <c r="FP3" s="49"/>
      <c r="FQ3" s="49"/>
      <c r="FR3" s="49"/>
      <c r="FS3" s="49"/>
      <c r="FT3" s="49"/>
      <c r="FU3" s="320">
        <f>SUBTOTAL(9,FU15:FU1200)</f>
        <v>1</v>
      </c>
      <c r="FV3" s="288" t="str">
        <f>IF(ISERROR(SUBTOTAL(9,FV15:FV1200)),"",SUBTOTAL(9,FV15:FV1200))</f>
        <v/>
      </c>
      <c r="FW3" s="28" t="str">
        <f>IF(ISERROR(SUBTOTAL(9,FW15:FW1200)),"",SUBTOTAL(9,FW15:FW1200))</f>
        <v/>
      </c>
      <c r="FX3" s="49"/>
      <c r="FY3" s="49"/>
      <c r="FZ3" s="49"/>
      <c r="GA3" s="49"/>
      <c r="GB3" s="49"/>
      <c r="GC3" s="49"/>
      <c r="GD3" s="49"/>
      <c r="GE3" s="49"/>
      <c r="GF3" s="49"/>
      <c r="GG3" s="49"/>
      <c r="GH3" s="49"/>
      <c r="GI3" s="49"/>
      <c r="GJ3" s="49"/>
      <c r="GK3" s="49"/>
      <c r="GL3" s="49"/>
      <c r="GM3" s="49"/>
      <c r="GN3" s="49"/>
      <c r="GO3" s="49"/>
      <c r="GP3" s="49"/>
      <c r="GQ3" s="49"/>
      <c r="GR3" s="49"/>
      <c r="GS3" s="49"/>
      <c r="GT3" s="49"/>
      <c r="GU3" s="49"/>
      <c r="GV3" s="49"/>
      <c r="GW3" s="49"/>
      <c r="GX3" s="49"/>
      <c r="GY3" s="49"/>
      <c r="GZ3" s="49"/>
      <c r="HA3" s="49"/>
      <c r="HB3" s="49"/>
      <c r="HC3" s="49"/>
      <c r="HD3" s="49"/>
      <c r="HE3" s="49"/>
      <c r="HF3" s="49"/>
      <c r="HG3" s="49"/>
      <c r="HH3" s="49"/>
      <c r="HI3" s="49"/>
      <c r="HJ3" s="49"/>
      <c r="HK3" s="49"/>
      <c r="HL3" s="49"/>
      <c r="HM3" s="49"/>
      <c r="HN3" s="49"/>
      <c r="HO3" s="49"/>
      <c r="HP3" s="49"/>
      <c r="HQ3" s="49"/>
      <c r="HR3" s="49"/>
      <c r="HS3" s="49"/>
      <c r="HT3" s="49"/>
      <c r="HU3" s="49"/>
      <c r="HV3" s="49"/>
      <c r="HW3" s="49"/>
      <c r="HX3" s="49"/>
      <c r="HY3" s="49"/>
      <c r="HZ3" s="49"/>
      <c r="IA3" s="49"/>
      <c r="IB3" s="49"/>
      <c r="IC3" s="49"/>
      <c r="ID3" s="49"/>
      <c r="IE3" s="49"/>
      <c r="IF3" s="49"/>
      <c r="IG3" s="49"/>
      <c r="IH3" s="49"/>
      <c r="II3" s="49"/>
      <c r="IJ3" s="49"/>
      <c r="IK3" s="49"/>
      <c r="IL3" s="49"/>
      <c r="IM3" s="49"/>
      <c r="IN3" s="49"/>
      <c r="IO3" s="49"/>
      <c r="IP3" s="49"/>
      <c r="IQ3" s="49"/>
      <c r="IR3" s="49"/>
      <c r="IS3" s="49"/>
      <c r="IT3" s="49"/>
      <c r="IU3" s="49"/>
    </row>
    <row r="4" spans="1:255" s="129" customFormat="1" ht="12" customHeight="1" thickBot="1">
      <c r="A4" s="1817" t="s">
        <v>4572</v>
      </c>
      <c r="B4" s="1818">
        <f>COUNTIF(D15:D200,4)</f>
        <v>0</v>
      </c>
      <c r="C4" s="31"/>
      <c r="D4" s="1139"/>
      <c r="E4" s="85"/>
      <c r="F4" s="86"/>
      <c r="G4" s="1309">
        <f>COUNTIF(G15:G200,G2)</f>
        <v>0</v>
      </c>
      <c r="H4" s="1893" t="s">
        <v>2001</v>
      </c>
      <c r="I4" s="3163" t="s">
        <v>998</v>
      </c>
      <c r="J4" s="3164"/>
      <c r="K4" s="3164"/>
      <c r="L4" s="3164"/>
      <c r="M4" s="3164"/>
      <c r="N4" s="3164"/>
      <c r="O4" s="3164"/>
      <c r="P4" s="3164"/>
      <c r="Q4" s="3164"/>
      <c r="R4" s="3164"/>
      <c r="S4" s="3165"/>
      <c r="T4" s="41" t="s">
        <v>5343</v>
      </c>
      <c r="U4" s="232" t="e">
        <f>ROUND(SUM(U15:U200),2)-U2</f>
        <v>#VALUE!</v>
      </c>
      <c r="AA4" s="33"/>
      <c r="AB4" s="33"/>
      <c r="AC4" s="33"/>
      <c r="AD4" s="33"/>
      <c r="AE4" s="33"/>
      <c r="AF4" s="33"/>
      <c r="AG4" s="33"/>
      <c r="AH4" s="33"/>
      <c r="AI4" s="33"/>
      <c r="AJ4" s="33"/>
      <c r="AK4" s="33"/>
      <c r="AL4" s="33"/>
      <c r="AM4" s="33"/>
      <c r="AN4" s="33"/>
      <c r="AO4" s="33"/>
      <c r="AP4" s="33"/>
      <c r="AQ4" s="33"/>
      <c r="AR4" s="33"/>
      <c r="AS4" s="33"/>
      <c r="AT4" s="33"/>
      <c r="AU4" s="33"/>
      <c r="AV4" s="193"/>
      <c r="AW4" s="1862" t="e">
        <f>AW3/$EV$1</f>
        <v>#VALUE!</v>
      </c>
      <c r="AX4" s="1863" t="e">
        <f>AX3/$EW$1</f>
        <v>#VALUE!</v>
      </c>
      <c r="AY4" s="1864" t="e">
        <f>SUM(AZ1:BA1)/SUM($EV$1:$EW$1)</f>
        <v>#N/A</v>
      </c>
      <c r="AZ4" s="1862" t="e">
        <f>AZ3/$EV$1</f>
        <v>#VALUE!</v>
      </c>
      <c r="BA4" s="1865" t="e">
        <f>BA3/$EW$1</f>
        <v>#VALUE!</v>
      </c>
      <c r="BB4" s="1867" t="e">
        <f>BB3/$EV$1</f>
        <v>#VALUE!</v>
      </c>
      <c r="BC4" s="1868" t="e">
        <f>BC3/$EW$1</f>
        <v>#VALUE!</v>
      </c>
      <c r="BD4" s="1877"/>
      <c r="BE4" s="1873"/>
      <c r="BF4" s="1862" t="e">
        <f>BF3/$EV$1</f>
        <v>#VALUE!</v>
      </c>
      <c r="BG4" s="1863" t="e">
        <f>BG3/$EW$1</f>
        <v>#N/A</v>
      </c>
      <c r="BH4" s="1862" t="e">
        <f>BH3/$EV$1</f>
        <v>#N/A</v>
      </c>
      <c r="BI4" s="1863" t="e">
        <f>BI3/$EW$1</f>
        <v>#VALUE!</v>
      </c>
      <c r="BJ4" s="1862" t="e">
        <f>BJ3/$EV$1</f>
        <v>#N/A</v>
      </c>
      <c r="BK4" s="1865" t="e">
        <f>BK3/$EW$1</f>
        <v>#VALUE!</v>
      </c>
      <c r="BL4" s="1866" t="e">
        <f>BL3/$EW$1</f>
        <v>#VALUE!</v>
      </c>
      <c r="BM4" s="33"/>
      <c r="BN4" s="33"/>
      <c r="BO4" s="33"/>
      <c r="BP4" s="1862" t="e">
        <f>BP3/$EV$1</f>
        <v>#N/A</v>
      </c>
      <c r="BQ4" s="1863" t="e">
        <f>BQ3/$EW$1</f>
        <v>#N/A</v>
      </c>
      <c r="BR4" s="1864" t="e">
        <f>SUM(BS3:BT3)/SUM($EV$1:$EW$1)</f>
        <v>#N/A</v>
      </c>
      <c r="BS4" s="1862" t="e">
        <f>BS3/$EV$1</f>
        <v>#N/A</v>
      </c>
      <c r="BT4" s="1863" t="e">
        <f>BT3/$EW$1</f>
        <v>#N/A</v>
      </c>
      <c r="BU4" s="1864" t="e">
        <f>SUM(BV3:BW3)/SUM($EV$1:$EW$1)</f>
        <v>#N/A</v>
      </c>
      <c r="BV4" s="1862" t="e">
        <f>BV3/$EV$1</f>
        <v>#N/A</v>
      </c>
      <c r="BW4" s="1863" t="e">
        <f>BW3/$EW$1</f>
        <v>#N/A</v>
      </c>
      <c r="BX4" s="1864" t="e">
        <f>SUM(BY3:BZ3)/SUM($EV$1:$EW$1)</f>
        <v>#N/A</v>
      </c>
      <c r="BY4" s="1862" t="e">
        <f>BY3/$EV$1</f>
        <v>#N/A</v>
      </c>
      <c r="BZ4" s="1863" t="e">
        <f>BZ3/$EW$1</f>
        <v>#N/A</v>
      </c>
      <c r="CA4" s="1864" t="e">
        <f>SUM(CB3:CC3)/SUM($EV$1:$EW$1)</f>
        <v>#N/A</v>
      </c>
      <c r="CB4" s="1862" t="e">
        <f>CB3/$EV$1</f>
        <v>#N/A</v>
      </c>
      <c r="CC4" s="1863" t="e">
        <f>CC3/$EW$1</f>
        <v>#N/A</v>
      </c>
      <c r="CD4" s="1864" t="e">
        <f>SUM(CE3:CF3)/SUM($EV$1:$EW$1)</f>
        <v>#N/A</v>
      </c>
      <c r="CE4" s="1862" t="e">
        <f>CE3/$EV$1</f>
        <v>#N/A</v>
      </c>
      <c r="CF4" s="1863" t="e">
        <f>CF3/$EW$1</f>
        <v>#N/A</v>
      </c>
      <c r="CG4" s="1864" t="e">
        <f>SUM(CH3:CI3)/SUM($EV$1:$EW$1)</f>
        <v>#N/A</v>
      </c>
      <c r="CH4" s="1862" t="e">
        <f>CH3/$EV$1</f>
        <v>#N/A</v>
      </c>
      <c r="CI4" s="1863" t="e">
        <f>CI3/$EW$1</f>
        <v>#N/A</v>
      </c>
      <c r="CJ4" s="1864" t="e">
        <f>SUM(CK3:CL3)/SUM($EV$1:$EW$1)</f>
        <v>#N/A</v>
      </c>
      <c r="CK4" s="1862" t="e">
        <f>CK3/$EV$1</f>
        <v>#VALUE!</v>
      </c>
      <c r="CL4" s="1863" t="e">
        <f>CL3/$EW$1</f>
        <v>#N/A</v>
      </c>
      <c r="CM4" s="1864" t="e">
        <f>SUM(CN3:CO3)/SUM($EV$1:$EW$1)</f>
        <v>#N/A</v>
      </c>
      <c r="CN4" s="1862" t="e">
        <f>CN3/$EV$1</f>
        <v>#VALUE!</v>
      </c>
      <c r="CO4" s="1863" t="e">
        <f>CO3/$EW$1</f>
        <v>#N/A</v>
      </c>
      <c r="CP4" s="1864" t="e">
        <f>SUM(CQ1:CR1)/SUM($EV$1:$EW$1)</f>
        <v>#N/A</v>
      </c>
      <c r="CQ4" s="1862" t="e">
        <f>CQ3/$EV$1</f>
        <v>#VALUE!</v>
      </c>
      <c r="CR4" s="1863" t="e">
        <f>CR3/$EW$1</f>
        <v>#N/A</v>
      </c>
      <c r="CS4" s="1864" t="e">
        <f>SUM(CT3:CU3)/SUM($EV$1:$EW$1)</f>
        <v>#N/A</v>
      </c>
      <c r="CT4" s="1862" t="e">
        <f>CT3/$EV$1</f>
        <v>#VALUE!</v>
      </c>
      <c r="CU4" s="1863" t="e">
        <f>CU3/$EW$1</f>
        <v>#N/A</v>
      </c>
      <c r="CV4" s="1864" t="e">
        <f>SUM(CW3:CX3)/SUM($EV$1:$EW$1)</f>
        <v>#N/A</v>
      </c>
      <c r="CW4" s="1862" t="e">
        <f>CW3/$EV$1</f>
        <v>#N/A</v>
      </c>
      <c r="CX4" s="1863" t="e">
        <f>CX3/$EW$1</f>
        <v>#N/A</v>
      </c>
      <c r="CY4" s="1864" t="e">
        <f>SUM(CZ3:DA3)/SUM($EV$1:$EW$1)</f>
        <v>#N/A</v>
      </c>
      <c r="CZ4" s="1862" t="e">
        <f>CZ3/$EV$1</f>
        <v>#VALUE!</v>
      </c>
      <c r="DA4" s="1863" t="e">
        <f>DA3/$EW$1</f>
        <v>#VALUE!</v>
      </c>
      <c r="DB4" s="1864" t="e">
        <f>SUM(DC3:DD3)/SUM($EV$1:$EW$1)</f>
        <v>#N/A</v>
      </c>
      <c r="DC4" s="1862" t="e">
        <f>DC3/$EV$1</f>
        <v>#VALUE!</v>
      </c>
      <c r="DD4" s="1863" t="e">
        <f>DD3/$EW$1</f>
        <v>#VALUE!</v>
      </c>
      <c r="DE4" s="1864" t="e">
        <f>SUM(DF3:DG3)/SUM($EV$1:$EW$1)</f>
        <v>#N/A</v>
      </c>
      <c r="DF4" s="1862" t="e">
        <f>DF3/$EV$1</f>
        <v>#N/A</v>
      </c>
      <c r="DG4" s="1863" t="e">
        <f>DG3/$EW$1</f>
        <v>#N/A</v>
      </c>
      <c r="DH4" s="1864" t="e">
        <f>SUM(DI3:DJ3)/SUM($EV$1:$EW$1)</f>
        <v>#N/A</v>
      </c>
      <c r="DI4" s="1862" t="e">
        <f>DI3/$EV$1</f>
        <v>#N/A</v>
      </c>
      <c r="DJ4" s="1863" t="e">
        <f>DJ3/$EW$1</f>
        <v>#VALUE!</v>
      </c>
      <c r="DK4" s="1864" t="e">
        <f>SUM(DL3:DM3)/SUM($EV$1:$EW$1)</f>
        <v>#N/A</v>
      </c>
      <c r="DL4" s="1862" t="e">
        <f>DL3/$EV$1</f>
        <v>#VALUE!</v>
      </c>
      <c r="DM4" s="1863" t="e">
        <f>DM3/$EW$1</f>
        <v>#VALUE!</v>
      </c>
      <c r="DN4" s="1864" t="e">
        <f>SUM(DO3:DP3)/SUM($EV$1:$EW$1)</f>
        <v>#N/A</v>
      </c>
      <c r="DO4" s="1862" t="e">
        <f>DO3/$EV$1</f>
        <v>#N/A</v>
      </c>
      <c r="DP4" s="1863" t="e">
        <f>DP3/$EW$1</f>
        <v>#N/A</v>
      </c>
      <c r="DQ4" s="1864" t="e">
        <f>SUM(DR3:DS3)/SUM($EV$1:$EW$1)</f>
        <v>#N/A</v>
      </c>
      <c r="DR4" s="1862" t="e">
        <f>DR3/$EV$1</f>
        <v>#N/A</v>
      </c>
      <c r="DS4" s="1863" t="e">
        <f>DS3/$EW$1</f>
        <v>#N/A</v>
      </c>
      <c r="DT4" s="1864" t="e">
        <f>SUM(DU3:DV3)/SUM($EV$1:$EW$1)</f>
        <v>#N/A</v>
      </c>
      <c r="DU4" s="1862" t="e">
        <f>DU3/$EV$1</f>
        <v>#N/A</v>
      </c>
      <c r="DV4" s="1863" t="e">
        <f>DV3/$EW$1</f>
        <v>#N/A</v>
      </c>
      <c r="DW4" s="1864" t="e">
        <f>SUM(DX3:DY3)/SUM($EV$1:$EW$1)</f>
        <v>#N/A</v>
      </c>
      <c r="DX4" s="1862" t="e">
        <f>DX3/$EV$1</f>
        <v>#VALUE!</v>
      </c>
      <c r="DY4" s="1863" t="e">
        <f>DY3/$EW$1</f>
        <v>#N/A</v>
      </c>
      <c r="DZ4" s="1864" t="e">
        <f>SUM(EA3:EB3)/SUM($EV$1:$EW$1)</f>
        <v>#N/A</v>
      </c>
      <c r="EA4" s="1862" t="e">
        <f>EA3/$EV$1</f>
        <v>#VALUE!</v>
      </c>
      <c r="EB4" s="1863" t="e">
        <f>EB3/$EW$1</f>
        <v>#VALUE!</v>
      </c>
      <c r="EC4" s="1864" t="e">
        <f>SUM(ED3:EE3)/SUM($EV$1:$EW$1)</f>
        <v>#N/A</v>
      </c>
      <c r="ED4" s="1862" t="e">
        <f>ED3/$EV$1</f>
        <v>#N/A</v>
      </c>
      <c r="EE4" s="1863" t="e">
        <f>EE3/$EW$1</f>
        <v>#N/A</v>
      </c>
      <c r="EF4" s="1864" t="e">
        <f>SUM(EG3:EH3)/SUM($EV$1:$EW$1)</f>
        <v>#N/A</v>
      </c>
      <c r="EG4" s="1862" t="e">
        <f>EG3/$EV$1</f>
        <v>#N/A</v>
      </c>
      <c r="EH4" s="1863" t="e">
        <f>EH3/$EW$1</f>
        <v>#N/A</v>
      </c>
      <c r="EI4" s="1864" t="e">
        <f>SUM(EJ3:EK3)/SUM($EV$1:$EW$1)</f>
        <v>#N/A</v>
      </c>
      <c r="EJ4" s="1862" t="e">
        <f>EJ3/$EV$1</f>
        <v>#N/A</v>
      </c>
      <c r="EK4" s="1863" t="e">
        <f>EK3/$EW$1</f>
        <v>#N/A</v>
      </c>
      <c r="EL4" s="1862" t="e">
        <f>EL3/$EV$1</f>
        <v>#VALUE!</v>
      </c>
      <c r="EM4" s="1863" t="e">
        <f>EM3/$EW$1</f>
        <v>#VALUE!</v>
      </c>
      <c r="EN4" s="1862" t="e">
        <f>EN3/$EV$1</f>
        <v>#VALUE!</v>
      </c>
      <c r="EO4" s="1863" t="e">
        <f>EO3/$EW$1</f>
        <v>#VALUE!</v>
      </c>
      <c r="EP4" s="1862" t="e">
        <f>EP3/$EV$1</f>
        <v>#VALUE!</v>
      </c>
      <c r="EQ4" s="1863" t="e">
        <f>EQ3/$EW$1</f>
        <v>#VALUE!</v>
      </c>
      <c r="ER4" s="1862" t="e">
        <f>ER3/$EV$1</f>
        <v>#VALUE!</v>
      </c>
      <c r="ES4" s="1863" t="e">
        <f>ES3/$EW$1</f>
        <v>#VALUE!</v>
      </c>
      <c r="ET4" s="1862" t="e">
        <f>ET3/$EV$1</f>
        <v>#VALUE!</v>
      </c>
      <c r="EU4" s="1863" t="e">
        <f>EU3/$EW$1</f>
        <v>#VALUE!</v>
      </c>
      <c r="EV4" s="1862" t="e">
        <f>EV3/$EV$1</f>
        <v>#VALUE!</v>
      </c>
      <c r="EW4" s="1863" t="e">
        <f>EW3/$EW$1</f>
        <v>#VALUE!</v>
      </c>
      <c r="EX4" s="405" t="str">
        <f>IF(ISERROR(EX3/#REF!),"",EX3/#REF!)</f>
        <v/>
      </c>
      <c r="EY4" s="7"/>
      <c r="FA4" s="3144" t="s">
        <v>1366</v>
      </c>
      <c r="FB4" s="3144"/>
      <c r="FC4" s="3144"/>
      <c r="FD4" s="3144"/>
      <c r="FE4" s="3144"/>
      <c r="FF4" s="3144"/>
      <c r="FG4" s="418"/>
      <c r="FN4" s="42"/>
      <c r="FO4" s="426" t="str">
        <f>IF(ISERROR(FO3/FO1),"",FO3/FO1)</f>
        <v/>
      </c>
      <c r="FP4" s="42"/>
      <c r="FQ4" s="42"/>
      <c r="FR4" s="42"/>
      <c r="FS4" s="42"/>
      <c r="FT4" s="42"/>
      <c r="FU4" s="2499">
        <f>SUM(FV3:FW3)/SUM($FT$1:$FU$1)</f>
        <v>0</v>
      </c>
      <c r="FV4" s="1888" t="e">
        <f>FV3/$FT$1</f>
        <v>#VALUE!</v>
      </c>
      <c r="FW4" s="1884" t="e">
        <f>FW3/$FU$1</f>
        <v>#VALUE!</v>
      </c>
      <c r="FX4" s="42"/>
      <c r="FY4" s="42"/>
      <c r="FZ4" s="42"/>
      <c r="GA4" s="42"/>
      <c r="GB4" s="42"/>
      <c r="GC4" s="42"/>
      <c r="GD4" s="42"/>
      <c r="GE4" s="42"/>
      <c r="GF4" s="42"/>
      <c r="GG4" s="42"/>
      <c r="GH4" s="42"/>
      <c r="GI4" s="42"/>
      <c r="GJ4" s="42"/>
      <c r="GK4" s="42"/>
      <c r="GL4" s="42"/>
      <c r="GM4" s="42"/>
      <c r="GN4" s="42"/>
      <c r="GO4" s="42"/>
      <c r="GP4" s="42"/>
      <c r="GQ4" s="42"/>
      <c r="GR4" s="42"/>
      <c r="GS4" s="42"/>
      <c r="GT4" s="42"/>
      <c r="GU4" s="42"/>
      <c r="GV4" s="42"/>
      <c r="GW4" s="42"/>
      <c r="GX4" s="42"/>
      <c r="GY4" s="42"/>
      <c r="GZ4" s="42"/>
      <c r="HA4" s="42"/>
      <c r="HB4" s="42"/>
      <c r="HC4" s="42"/>
      <c r="HD4" s="42"/>
      <c r="HE4" s="42"/>
      <c r="HF4" s="42"/>
      <c r="HG4" s="42"/>
      <c r="HH4" s="42"/>
      <c r="HI4" s="42"/>
      <c r="HJ4" s="42"/>
      <c r="HK4" s="42"/>
      <c r="HL4" s="42"/>
      <c r="HM4" s="42"/>
      <c r="HN4" s="42"/>
      <c r="HO4" s="42"/>
      <c r="HP4" s="42"/>
      <c r="HQ4" s="42"/>
      <c r="HR4" s="42"/>
      <c r="HS4" s="42"/>
      <c r="HT4" s="42"/>
      <c r="HU4" s="42"/>
      <c r="HV4" s="42"/>
      <c r="HW4" s="42"/>
      <c r="HX4" s="42"/>
      <c r="HY4" s="42"/>
      <c r="HZ4" s="42"/>
      <c r="IA4" s="42"/>
      <c r="IB4" s="42"/>
      <c r="IC4" s="42"/>
      <c r="ID4" s="42"/>
      <c r="IE4" s="42"/>
      <c r="IF4" s="42"/>
      <c r="IG4" s="42"/>
      <c r="IH4" s="42"/>
      <c r="II4" s="42"/>
      <c r="IJ4" s="42"/>
      <c r="IK4" s="42"/>
      <c r="IL4" s="42"/>
      <c r="IM4" s="42"/>
      <c r="IN4" s="42"/>
      <c r="IO4" s="42"/>
      <c r="IP4" s="42"/>
      <c r="IQ4" s="42"/>
      <c r="IR4" s="42"/>
      <c r="IS4" s="42"/>
      <c r="IT4" s="42"/>
      <c r="IU4" s="42"/>
    </row>
    <row r="5" spans="1:255" s="15" customFormat="1" ht="12" customHeight="1" thickBot="1">
      <c r="A5" s="22"/>
      <c r="B5" s="22"/>
      <c r="C5" s="22"/>
      <c r="D5" s="1137"/>
      <c r="E5" s="81"/>
      <c r="F5" s="84"/>
      <c r="G5" s="1309" t="str">
        <f>IF(G2=G3,"",COUNTIF(G15:G200,G3))</f>
        <v/>
      </c>
      <c r="H5" s="40" t="s">
        <v>1426</v>
      </c>
      <c r="I5" s="3163"/>
      <c r="J5" s="3164"/>
      <c r="K5" s="3164"/>
      <c r="L5" s="3164"/>
      <c r="M5" s="3164"/>
      <c r="N5" s="3164"/>
      <c r="O5" s="3164"/>
      <c r="P5" s="3315"/>
      <c r="Q5" s="3315"/>
      <c r="R5" s="3315"/>
      <c r="S5" s="3316"/>
      <c r="T5" s="1093"/>
      <c r="U5" s="40"/>
      <c r="AA5" s="28"/>
      <c r="AB5" s="28"/>
      <c r="AC5" s="28"/>
      <c r="AD5" s="28"/>
      <c r="AE5" s="28"/>
      <c r="AF5" s="28"/>
      <c r="AG5" s="28"/>
      <c r="AH5" s="28"/>
      <c r="AI5" s="28"/>
      <c r="AJ5" s="28"/>
      <c r="AK5" s="28"/>
      <c r="AL5" s="28"/>
      <c r="AM5" s="28"/>
      <c r="AN5" s="28"/>
      <c r="AO5" s="28"/>
      <c r="AP5" s="28"/>
      <c r="AQ5" s="28"/>
      <c r="AR5" s="28"/>
      <c r="AS5" s="28"/>
      <c r="AT5" s="28"/>
      <c r="AU5" s="28"/>
      <c r="AV5" s="212" t="str">
        <f>IF(ISERROR(SUBTOTAL(1,AV15:AV200)),"",SUBTOTAL(1,AV15:AV200))</f>
        <v/>
      </c>
      <c r="AW5" s="212" t="str">
        <f>IF(ISERROR(SUBTOTAL(1,AW15:AW200)),"",SUBTOTAL(1,AW15:AW200))</f>
        <v/>
      </c>
      <c r="AX5" s="28" t="str">
        <f>IF(ISERROR(SUBTOTAL(1,AX15:AX200)),"",SUBTOTAL(1,AX15:AX200))</f>
        <v/>
      </c>
      <c r="AY5" s="345"/>
      <c r="AZ5" s="301">
        <f>IF(ISERROR(SUBTOTAL(1,AZ15:AZ200)),0,SUBTOTAL(1,AZ15:AZ200))</f>
        <v>0</v>
      </c>
      <c r="BA5" s="28">
        <f>IF(ISERROR(SUBTOTAL(1,BA15:BA200)),0,SUBTOTAL(1,BA15:BA200))</f>
        <v>0</v>
      </c>
      <c r="BB5" s="301">
        <f>IF(ISERROR(SUBTOTAL(1,BB15:BB200)),0,SUBTOTAL(1,BB15:BB200))</f>
        <v>0</v>
      </c>
      <c r="BC5" s="1858">
        <f>IF(ISERROR(SUBTOTAL(1,BC15:BC200)),0,SUBTOTAL(1,BC15:BC200))</f>
        <v>0</v>
      </c>
      <c r="BD5" s="1876">
        <f>IF(ISERROR(SUBTOTAL(1,BD15:BD200)),0,SUBTOTAL(1,BD15:BD200))</f>
        <v>0</v>
      </c>
      <c r="BE5" s="28"/>
      <c r="BF5" s="357" t="str">
        <f>IF(ISERROR(SUBTOTAL(1,BF15:BF200)),"",SUBTOTAL(1,BF15:BF200))</f>
        <v/>
      </c>
      <c r="BG5" s="159" t="str">
        <f>IF(ISERROR(SUBTOTAL(1,BG15:BG200)),"",SUBTOTAL(1,BG15:BG200))</f>
        <v/>
      </c>
      <c r="BH5" s="1570" t="str">
        <f>IF(ISERROR(SUBTOTAL(1,BH15:BH$200)),"",SUBTOTAL(1,BH15:BH$200))</f>
        <v/>
      </c>
      <c r="BI5" s="258" t="str">
        <f>IF(ISERROR(SUBTOTAL(1,BI15:BI200)),"",SUBTOTAL(1,BI15:BI200))</f>
        <v/>
      </c>
      <c r="BJ5" s="1570" t="str">
        <f>IF(ISERROR(SUBTOTAL(1,BJ15:BJ$200)),"",SUBTOTAL(1,BJ15:BJ$200))</f>
        <v/>
      </c>
      <c r="BK5" s="390" t="str">
        <f>IF(ISERROR(SUBTOTAL(1,BK15:BK200)),"",SUBTOTAL(1,BK15:BK200))</f>
        <v/>
      </c>
      <c r="BL5" s="258" t="str">
        <f>IF(ISERROR(SUBTOTAL(1,BL15:BL200)),"",SUBTOTAL(1,BL15:BL200))</f>
        <v/>
      </c>
      <c r="BM5" s="159"/>
      <c r="BN5" s="159"/>
      <c r="BO5" s="159"/>
      <c r="BP5" s="212" t="str">
        <f>IF(ISERROR(SUBTOTAL(1,BP$15:BP$2497)),"",SUBTOTAL(1,BP$15:BP$2497))</f>
        <v/>
      </c>
      <c r="BQ5" s="28" t="str">
        <f>IF(ISERROR(SUBTOTAL(1,BQ$15:BQ$2497)),"",SUBTOTAL(1,BQ$15:BQ$2497))</f>
        <v/>
      </c>
      <c r="BR5" s="345" t="str">
        <f t="shared" ref="BR5:CI5" si="4">IF(ISERROR(SUBTOTAL(1,BR15:BR200)),"",SUBTOTAL(1,BR15:BR200))</f>
        <v/>
      </c>
      <c r="BS5" s="288" t="str">
        <f t="shared" si="4"/>
        <v/>
      </c>
      <c r="BT5" s="258" t="str">
        <f t="shared" si="4"/>
        <v/>
      </c>
      <c r="BU5" s="345" t="str">
        <f t="shared" si="4"/>
        <v/>
      </c>
      <c r="BV5" s="288" t="str">
        <f t="shared" si="4"/>
        <v/>
      </c>
      <c r="BW5" s="258" t="str">
        <f t="shared" si="4"/>
        <v/>
      </c>
      <c r="BX5" s="345" t="str">
        <f t="shared" si="4"/>
        <v/>
      </c>
      <c r="BY5" s="288" t="str">
        <f t="shared" si="4"/>
        <v/>
      </c>
      <c r="BZ5" s="258" t="str">
        <f t="shared" si="4"/>
        <v/>
      </c>
      <c r="CA5" s="345" t="str">
        <f t="shared" si="4"/>
        <v/>
      </c>
      <c r="CB5" s="288" t="str">
        <f t="shared" si="4"/>
        <v/>
      </c>
      <c r="CC5" s="258" t="str">
        <f t="shared" si="4"/>
        <v/>
      </c>
      <c r="CD5" s="345" t="str">
        <f t="shared" si="4"/>
        <v/>
      </c>
      <c r="CE5" s="288" t="str">
        <f t="shared" si="4"/>
        <v/>
      </c>
      <c r="CF5" s="258" t="str">
        <f t="shared" si="4"/>
        <v/>
      </c>
      <c r="CG5" s="345" t="str">
        <f t="shared" si="4"/>
        <v/>
      </c>
      <c r="CH5" s="288" t="str">
        <f t="shared" si="4"/>
        <v/>
      </c>
      <c r="CI5" s="258" t="str">
        <f t="shared" si="4"/>
        <v/>
      </c>
      <c r="CJ5" s="345"/>
      <c r="CK5" s="288" t="str">
        <f>IF(ISERROR(SUBTOTAL(1,CK15:CK200)),"",SUBTOTAL(1,CK15:CK200))</f>
        <v/>
      </c>
      <c r="CL5" s="258" t="str">
        <f>IF(ISERROR(SUBTOTAL(1,CL15:CL200)),"",SUBTOTAL(1,CL15:CL200))</f>
        <v/>
      </c>
      <c r="CM5" s="410" t="str">
        <f>IF(ISERROR(SUBTOTAL(1,CM15:CM200)),"",SUBTOTAL(1,CM15:CM200))</f>
        <v/>
      </c>
      <c r="CN5" s="288" t="str">
        <f>IF(ISERROR(SUBTOTAL(1,CN15:CN200)),"",SUBTOTAL(1,CN15:CN200))</f>
        <v/>
      </c>
      <c r="CO5" s="159" t="str">
        <f>IF(ISERROR(SUBTOTAL(1,CO15:CO200)),"",SUBTOTAL(1,CO15:CO200))</f>
        <v/>
      </c>
      <c r="CP5" s="345"/>
      <c r="CQ5" s="288" t="str">
        <f>IF(ISERROR(SUBTOTAL(1,CQ15:CQ200)),"",SUBTOTAL(1,CQ15:CQ200))</f>
        <v/>
      </c>
      <c r="CR5" s="159" t="str">
        <f>IF(ISERROR(SUBTOTAL(1,CR15:CR200)),"",SUBTOTAL(1,CR15:CR200))</f>
        <v/>
      </c>
      <c r="CS5" s="345"/>
      <c r="CT5" s="288" t="str">
        <f>IF(ISERROR(SUBTOTAL(1,CT15:CT200)),"",SUBTOTAL(1,CT15:CT200))</f>
        <v/>
      </c>
      <c r="CU5" s="159" t="str">
        <f>IF(ISERROR(SUBTOTAL(1,CU15:CU200)),"",SUBTOTAL(1,CU15:CU200))</f>
        <v/>
      </c>
      <c r="CV5" s="345"/>
      <c r="CW5" s="288" t="str">
        <f>IF(ISERROR(SUBTOTAL(1,CW15:CW200)),"",SUBTOTAL(1,CW15:CW200))</f>
        <v/>
      </c>
      <c r="CX5" s="159" t="str">
        <f>IF(ISERROR(SUBTOTAL(1,CX15:CX200)),"",SUBTOTAL(1,CX15:CX200))</f>
        <v/>
      </c>
      <c r="CY5" s="345"/>
      <c r="CZ5" s="288" t="str">
        <f>IF(ISERROR(SUBTOTAL(1,CZ15:CZ200)),"",SUBTOTAL(1,CZ15:CZ200))</f>
        <v/>
      </c>
      <c r="DA5" s="159" t="str">
        <f>IF(ISERROR(SUBTOTAL(1,DA15:DA200)),"",SUBTOTAL(1,DA15:DA200))</f>
        <v/>
      </c>
      <c r="DB5" s="345"/>
      <c r="DC5" s="288" t="str">
        <f>IF(ISERROR(SUBTOTAL(1,DC15:DC$200)),"",SUBTOTAL(1,DC15:DC$200))</f>
        <v/>
      </c>
      <c r="DD5" s="159" t="str">
        <f>IF(ISERROR(SUBTOTAL(1,DD15:DD$200)),"",SUBTOTAL(1,DD15:DD$200))</f>
        <v/>
      </c>
      <c r="DE5" s="345"/>
      <c r="DF5" s="1576" t="str">
        <f>IF(ISERROR(SUBTOTAL(1,DF15:DF$200)),"",SUBTOTAL(1,DF15:DF$200))</f>
        <v/>
      </c>
      <c r="DG5" s="159" t="str">
        <f>IF(ISERROR(SUBTOTAL(1,DG15:DG200)),"",SUBTOTAL(1,DG15:DG200))</f>
        <v/>
      </c>
      <c r="DH5" s="345" t="str">
        <f>IF(ISERROR(SUBTOTAL(1,DH15:DH$200)),"",SUBTOTAL(1,DH15:DH$200))</f>
        <v/>
      </c>
      <c r="DI5" s="1576" t="str">
        <f>IF(ISERROR(SUBTOTAL(1,DI15:DI$200)),"",SUBTOTAL(1,DI15:DI$200))</f>
        <v/>
      </c>
      <c r="DJ5" s="159" t="str">
        <f>IF(ISERROR(SUBTOTAL(1,DJ15:DJ$200)),"",SUBTOTAL(1,DJ15:DJ$200))</f>
        <v/>
      </c>
      <c r="DK5" s="345"/>
      <c r="DL5" s="288" t="e">
        <f>DL3/$AY6</f>
        <v>#VALUE!</v>
      </c>
      <c r="DM5" s="288" t="e">
        <f>DM3/DK6</f>
        <v>#VALUE!</v>
      </c>
      <c r="DN5" s="345" t="str">
        <f t="shared" ref="DN5:EX5" si="5">IF(ISERROR(SUBTOTAL(1,DN15:DN200)),"",SUBTOTAL(1,DN15:DN200))</f>
        <v/>
      </c>
      <c r="DO5" s="288" t="str">
        <f t="shared" si="5"/>
        <v/>
      </c>
      <c r="DP5" s="159" t="str">
        <f t="shared" si="5"/>
        <v/>
      </c>
      <c r="DQ5" s="345">
        <f t="shared" si="5"/>
        <v>0</v>
      </c>
      <c r="DR5" s="288" t="str">
        <f t="shared" si="5"/>
        <v/>
      </c>
      <c r="DS5" s="159" t="str">
        <f t="shared" si="5"/>
        <v/>
      </c>
      <c r="DT5" s="345" t="str">
        <f t="shared" si="5"/>
        <v/>
      </c>
      <c r="DU5" s="288" t="str">
        <f t="shared" si="5"/>
        <v/>
      </c>
      <c r="DV5" s="159" t="str">
        <f t="shared" si="5"/>
        <v/>
      </c>
      <c r="DW5" s="345" t="str">
        <f t="shared" si="5"/>
        <v/>
      </c>
      <c r="DX5" s="288" t="str">
        <f t="shared" si="5"/>
        <v/>
      </c>
      <c r="DY5" s="159" t="str">
        <f t="shared" si="5"/>
        <v/>
      </c>
      <c r="DZ5" s="345" t="str">
        <f t="shared" si="5"/>
        <v/>
      </c>
      <c r="EA5" s="288" t="str">
        <f t="shared" si="5"/>
        <v/>
      </c>
      <c r="EB5" s="159" t="str">
        <f t="shared" si="5"/>
        <v/>
      </c>
      <c r="EC5" s="345" t="str">
        <f t="shared" si="5"/>
        <v/>
      </c>
      <c r="ED5" s="288" t="str">
        <f t="shared" si="5"/>
        <v/>
      </c>
      <c r="EE5" s="159" t="str">
        <f t="shared" si="5"/>
        <v/>
      </c>
      <c r="EF5" s="345" t="str">
        <f t="shared" si="5"/>
        <v/>
      </c>
      <c r="EG5" s="288" t="str">
        <f t="shared" si="5"/>
        <v/>
      </c>
      <c r="EH5" s="159" t="str">
        <f t="shared" si="5"/>
        <v/>
      </c>
      <c r="EI5" s="345" t="str">
        <f t="shared" si="5"/>
        <v/>
      </c>
      <c r="EJ5" s="288" t="str">
        <f t="shared" si="5"/>
        <v/>
      </c>
      <c r="EK5" s="159" t="str">
        <f t="shared" si="5"/>
        <v/>
      </c>
      <c r="EL5" s="1615" t="str">
        <f t="shared" si="5"/>
        <v/>
      </c>
      <c r="EM5" s="406" t="str">
        <f t="shared" si="5"/>
        <v/>
      </c>
      <c r="EN5" s="1611" t="str">
        <f t="shared" si="5"/>
        <v/>
      </c>
      <c r="EO5" s="406" t="str">
        <f t="shared" si="5"/>
        <v/>
      </c>
      <c r="EP5" s="1611" t="str">
        <f t="shared" si="5"/>
        <v/>
      </c>
      <c r="EQ5" s="406" t="str">
        <f t="shared" si="5"/>
        <v/>
      </c>
      <c r="ER5" s="1611" t="str">
        <f t="shared" si="5"/>
        <v/>
      </c>
      <c r="ES5" s="406" t="str">
        <f t="shared" si="5"/>
        <v/>
      </c>
      <c r="ET5" s="1611" t="str">
        <f t="shared" si="5"/>
        <v/>
      </c>
      <c r="EU5" s="159" t="str">
        <f t="shared" si="5"/>
        <v/>
      </c>
      <c r="EV5" s="1664" t="str">
        <f t="shared" si="5"/>
        <v/>
      </c>
      <c r="EW5" s="1667" t="str">
        <f t="shared" si="5"/>
        <v/>
      </c>
      <c r="EX5" s="406" t="str">
        <f t="shared" si="5"/>
        <v/>
      </c>
      <c r="EY5" s="7"/>
      <c r="FA5" s="3144" t="s">
        <v>1367</v>
      </c>
      <c r="FB5" s="3144"/>
      <c r="FC5" s="3144"/>
      <c r="FD5" s="3144"/>
      <c r="FE5" s="3144"/>
      <c r="FF5" s="3144"/>
      <c r="FG5" s="418"/>
      <c r="FN5" s="42"/>
      <c r="FO5" s="427" t="str">
        <f>IF(ISERROR(SUBTOTAL(1,FO15:FO200)),"",SUBTOTAL(1,FO15:FO200))</f>
        <v/>
      </c>
      <c r="FP5" s="42"/>
      <c r="FQ5" s="42"/>
      <c r="FR5" s="42"/>
      <c r="FS5" s="42"/>
      <c r="FT5" s="42"/>
      <c r="FU5" s="320">
        <f>IF(ISERROR(SUBTOTAL(1,FU$15:FU$1200)),"",SUBTOTAL(1,FU$15:FU$1200))</f>
        <v>1</v>
      </c>
      <c r="FV5" s="288" t="str">
        <f>IF(ISERROR(SUBTOTAL(1,FV$15:FV$1200)),"",SUBTOTAL(1,FV$15:FV$1200))</f>
        <v/>
      </c>
      <c r="FW5" s="28" t="str">
        <f>IF(ISERROR(SUBTOTAL(1,FW$15:FW$1200)),"",SUBTOTAL(1,FW$15:FW$1200))</f>
        <v/>
      </c>
      <c r="FX5" s="42"/>
      <c r="FY5" s="42"/>
      <c r="FZ5" s="42"/>
      <c r="GA5" s="42"/>
      <c r="GB5" s="42"/>
      <c r="GC5" s="42"/>
      <c r="GD5" s="42"/>
      <c r="GE5" s="42"/>
      <c r="GF5" s="42"/>
      <c r="GG5" s="42"/>
      <c r="GH5" s="42"/>
      <c r="GI5" s="42"/>
      <c r="GJ5" s="42"/>
      <c r="GK5" s="42"/>
      <c r="GL5" s="42"/>
      <c r="GM5" s="42"/>
      <c r="GN5" s="42"/>
      <c r="GO5" s="42"/>
      <c r="GP5" s="42"/>
      <c r="GQ5" s="42"/>
      <c r="GR5" s="42"/>
      <c r="GS5" s="42"/>
      <c r="GT5" s="42"/>
      <c r="GU5" s="42"/>
      <c r="GV5" s="42"/>
      <c r="GW5" s="42"/>
      <c r="GX5" s="42"/>
      <c r="GY5" s="42"/>
      <c r="GZ5" s="42"/>
      <c r="HA5" s="42"/>
      <c r="HB5" s="42"/>
      <c r="HC5" s="42"/>
      <c r="HD5" s="42"/>
      <c r="HE5" s="42"/>
      <c r="HF5" s="42"/>
      <c r="HG5" s="42"/>
      <c r="HH5" s="42"/>
      <c r="HI5" s="42"/>
      <c r="HJ5" s="42"/>
      <c r="HK5" s="42"/>
      <c r="HL5" s="42"/>
      <c r="HM5" s="42"/>
      <c r="HN5" s="42"/>
      <c r="HO5" s="42"/>
      <c r="HP5" s="42"/>
      <c r="HQ5" s="42"/>
      <c r="HR5" s="42"/>
      <c r="HS5" s="42"/>
      <c r="HT5" s="42"/>
      <c r="HU5" s="42"/>
      <c r="HV5" s="42"/>
      <c r="HW5" s="42"/>
      <c r="HX5" s="42"/>
      <c r="HY5" s="42"/>
      <c r="HZ5" s="42"/>
      <c r="IA5" s="42"/>
      <c r="IB5" s="42"/>
      <c r="IC5" s="42"/>
      <c r="ID5" s="42"/>
      <c r="IE5" s="42"/>
      <c r="IF5" s="42"/>
      <c r="IG5" s="42"/>
      <c r="IH5" s="42"/>
      <c r="II5" s="42"/>
      <c r="IJ5" s="42"/>
      <c r="IK5" s="42"/>
      <c r="IL5" s="42"/>
      <c r="IM5" s="42"/>
      <c r="IN5" s="42"/>
      <c r="IO5" s="42"/>
      <c r="IP5" s="42"/>
      <c r="IQ5" s="42"/>
      <c r="IR5" s="42"/>
      <c r="IS5" s="42"/>
      <c r="IT5" s="42"/>
      <c r="IU5" s="42"/>
    </row>
    <row r="6" spans="1:255" s="15" customFormat="1" ht="12" customHeight="1">
      <c r="A6" s="3187" t="s">
        <v>311</v>
      </c>
      <c r="B6" s="3188"/>
      <c r="C6" s="3189"/>
      <c r="D6" s="1820"/>
      <c r="E6" s="81"/>
      <c r="F6" s="84"/>
      <c r="G6" s="1309">
        <f>D1-SUM(G4:G5)</f>
        <v>1</v>
      </c>
      <c r="H6" s="40" t="s">
        <v>248</v>
      </c>
      <c r="I6" s="87"/>
      <c r="J6" s="87"/>
      <c r="K6" s="88"/>
      <c r="L6" s="87"/>
      <c r="M6" s="89"/>
      <c r="N6" s="88"/>
      <c r="O6" s="1102"/>
      <c r="P6" s="1108"/>
      <c r="Q6" s="1109"/>
      <c r="R6" s="1109"/>
      <c r="S6" s="1110" t="s">
        <v>3402</v>
      </c>
      <c r="T6" s="1111">
        <v>0.1</v>
      </c>
      <c r="U6" s="176">
        <f>COUNTIF(U15:U200,T6)</f>
        <v>0</v>
      </c>
      <c r="AA6" s="28"/>
      <c r="AB6" s="28"/>
      <c r="AC6" s="28"/>
      <c r="AD6" s="28"/>
      <c r="AE6" s="28"/>
      <c r="AF6" s="28"/>
      <c r="AG6" s="28"/>
      <c r="AH6" s="28"/>
      <c r="AI6" s="28"/>
      <c r="AJ6" s="28"/>
      <c r="AK6" s="28"/>
      <c r="AL6" s="28"/>
      <c r="AM6" s="28"/>
      <c r="AN6" s="28"/>
      <c r="AO6" s="28"/>
      <c r="AP6" s="28"/>
      <c r="AQ6" s="28"/>
      <c r="AR6" s="28"/>
      <c r="AS6" s="28"/>
      <c r="AT6" s="28"/>
      <c r="AU6" s="28"/>
      <c r="AV6" s="213">
        <f t="shared" ref="AV6:BD6" si="6">SUBTOTAL(2,AV15:AV200)</f>
        <v>0</v>
      </c>
      <c r="AW6" s="213">
        <f t="shared" si="6"/>
        <v>0</v>
      </c>
      <c r="AX6" s="34">
        <f t="shared" si="6"/>
        <v>0</v>
      </c>
      <c r="AY6" s="207"/>
      <c r="AZ6" s="362">
        <f>SUBTOTAL(2,AZ15:AZ200)</f>
        <v>0</v>
      </c>
      <c r="BA6" s="34">
        <f>SUBTOTAL(2,BA15:BA200)</f>
        <v>0</v>
      </c>
      <c r="BB6" s="362">
        <f t="shared" si="6"/>
        <v>0</v>
      </c>
      <c r="BC6" s="1860">
        <f t="shared" si="6"/>
        <v>0</v>
      </c>
      <c r="BD6" s="1878">
        <f t="shared" si="6"/>
        <v>0</v>
      </c>
      <c r="BE6" s="34"/>
      <c r="BF6" s="289">
        <f>SUBTOTAL(2,BF15:BF200)</f>
        <v>0</v>
      </c>
      <c r="BG6" s="34">
        <f>SUBTOTAL(2,BG15:BG200)</f>
        <v>0</v>
      </c>
      <c r="BH6" s="1571">
        <f>SUBTOTAL(2,BH15:BH$200)</f>
        <v>0</v>
      </c>
      <c r="BI6" s="188">
        <f>SUBTOTAL(2,BI15:BI200)</f>
        <v>0</v>
      </c>
      <c r="BJ6" s="1571">
        <f>SUBTOTAL(2,BJ15:BJ$200)</f>
        <v>0</v>
      </c>
      <c r="BK6" s="374">
        <f>SUBTOTAL(2,BK15:BK200)</f>
        <v>0</v>
      </c>
      <c r="BL6" s="188">
        <f>SUBTOTAL(2,BL15:BL200)</f>
        <v>0</v>
      </c>
      <c r="BM6" s="34"/>
      <c r="BN6" s="34"/>
      <c r="BO6" s="34"/>
      <c r="BP6" s="213"/>
      <c r="BQ6" s="34"/>
      <c r="BR6" s="207">
        <f t="shared" ref="BR6:CI6" si="7">SUBTOTAL(2,BR15:BR200)</f>
        <v>0</v>
      </c>
      <c r="BS6" s="289">
        <f t="shared" si="7"/>
        <v>0</v>
      </c>
      <c r="BT6" s="188">
        <f t="shared" si="7"/>
        <v>0</v>
      </c>
      <c r="BU6" s="207">
        <f t="shared" si="7"/>
        <v>0</v>
      </c>
      <c r="BV6" s="289">
        <f t="shared" si="7"/>
        <v>0</v>
      </c>
      <c r="BW6" s="188">
        <f t="shared" si="7"/>
        <v>0</v>
      </c>
      <c r="BX6" s="207">
        <f t="shared" si="7"/>
        <v>0</v>
      </c>
      <c r="BY6" s="289">
        <f t="shared" si="7"/>
        <v>0</v>
      </c>
      <c r="BZ6" s="188">
        <f t="shared" si="7"/>
        <v>0</v>
      </c>
      <c r="CA6" s="207">
        <f t="shared" si="7"/>
        <v>0</v>
      </c>
      <c r="CB6" s="289">
        <f t="shared" si="7"/>
        <v>0</v>
      </c>
      <c r="CC6" s="188">
        <f t="shared" si="7"/>
        <v>0</v>
      </c>
      <c r="CD6" s="207">
        <f t="shared" si="7"/>
        <v>0</v>
      </c>
      <c r="CE6" s="289">
        <f t="shared" si="7"/>
        <v>0</v>
      </c>
      <c r="CF6" s="188">
        <f t="shared" si="7"/>
        <v>0</v>
      </c>
      <c r="CG6" s="207">
        <f t="shared" si="7"/>
        <v>0</v>
      </c>
      <c r="CH6" s="289">
        <f t="shared" si="7"/>
        <v>0</v>
      </c>
      <c r="CI6" s="188">
        <f t="shared" si="7"/>
        <v>0</v>
      </c>
      <c r="CJ6" s="207"/>
      <c r="CK6" s="289">
        <f>SUBTOTAL(2,CK15:CK200)</f>
        <v>0</v>
      </c>
      <c r="CL6" s="188">
        <f>SUBTOTAL(2,CL15:CL200)</f>
        <v>0</v>
      </c>
      <c r="CM6" s="411">
        <f>SUBTOTAL(2,CM15:CM200)</f>
        <v>0</v>
      </c>
      <c r="CN6" s="289">
        <f>SUBTOTAL(2,CN15:CN200)</f>
        <v>0</v>
      </c>
      <c r="CO6" s="34">
        <f>SUBTOTAL(2,CO15:CO200)</f>
        <v>0</v>
      </c>
      <c r="CP6" s="207"/>
      <c r="CQ6" s="289">
        <f>SUBTOTAL(2,CQ15:CQ200)</f>
        <v>0</v>
      </c>
      <c r="CR6" s="34">
        <f>SUBTOTAL(2,CR15:CR200)</f>
        <v>0</v>
      </c>
      <c r="CS6" s="207"/>
      <c r="CT6" s="289">
        <f>SUBTOTAL(2,CT15:CT200)</f>
        <v>0</v>
      </c>
      <c r="CU6" s="34">
        <f>SUBTOTAL(2,CU15:CU200)</f>
        <v>0</v>
      </c>
      <c r="CV6" s="207"/>
      <c r="CW6" s="289">
        <f>SUBTOTAL(2,CW15:CW200)</f>
        <v>0</v>
      </c>
      <c r="CX6" s="34">
        <f>SUBTOTAL(2,CX15:CX200)</f>
        <v>0</v>
      </c>
      <c r="CY6" s="207"/>
      <c r="CZ6" s="289">
        <f>SUBTOTAL(2,CZ15:CZ200)</f>
        <v>0</v>
      </c>
      <c r="DA6" s="34">
        <f>SUBTOTAL(2,DA15:DA200)</f>
        <v>0</v>
      </c>
      <c r="DB6" s="207"/>
      <c r="DC6" s="289">
        <f>SUBTOTAL(2,DC15:DC$200)</f>
        <v>0</v>
      </c>
      <c r="DD6" s="34">
        <f>SUBTOTAL(2,DD15:DD$200)</f>
        <v>0</v>
      </c>
      <c r="DE6" s="207"/>
      <c r="DF6" s="1577">
        <f>SUBTOTAL(2,DF15:DF$200)</f>
        <v>0</v>
      </c>
      <c r="DG6" s="34">
        <f>SUBTOTAL(2,DG15:DG200)</f>
        <v>0</v>
      </c>
      <c r="DH6" s="207">
        <f>COUNT(DH15:DH$200)-COUNTIF(DH15:DH$200,1)</f>
        <v>0</v>
      </c>
      <c r="DI6" s="1577">
        <f>SUBTOTAL(2,DI15:DI$200)</f>
        <v>0</v>
      </c>
      <c r="DJ6" s="34">
        <f>SUBTOTAL(2,DJ15:DJ$200)</f>
        <v>0</v>
      </c>
      <c r="DK6" s="207">
        <f>COUNT(DK15:DK$200)-COUNTIF(DK15:DK$200,0)</f>
        <v>0</v>
      </c>
      <c r="DL6" s="289"/>
      <c r="DM6" s="34"/>
      <c r="DN6" s="207">
        <f t="shared" ref="DN6:EX6" si="8">SUBTOTAL(2,DN15:DN200)</f>
        <v>0</v>
      </c>
      <c r="DO6" s="289">
        <f t="shared" si="8"/>
        <v>0</v>
      </c>
      <c r="DP6" s="34">
        <f t="shared" si="8"/>
        <v>0</v>
      </c>
      <c r="DQ6" s="207">
        <f t="shared" si="8"/>
        <v>1</v>
      </c>
      <c r="DR6" s="289">
        <f t="shared" si="8"/>
        <v>0</v>
      </c>
      <c r="DS6" s="34">
        <f t="shared" si="8"/>
        <v>0</v>
      </c>
      <c r="DT6" s="207">
        <f t="shared" si="8"/>
        <v>0</v>
      </c>
      <c r="DU6" s="289">
        <f t="shared" si="8"/>
        <v>0</v>
      </c>
      <c r="DV6" s="34">
        <f t="shared" si="8"/>
        <v>0</v>
      </c>
      <c r="DW6" s="207">
        <f t="shared" si="8"/>
        <v>0</v>
      </c>
      <c r="DX6" s="289">
        <f t="shared" si="8"/>
        <v>0</v>
      </c>
      <c r="DY6" s="34">
        <f t="shared" si="8"/>
        <v>0</v>
      </c>
      <c r="DZ6" s="207">
        <f t="shared" si="8"/>
        <v>0</v>
      </c>
      <c r="EA6" s="289">
        <f t="shared" si="8"/>
        <v>0</v>
      </c>
      <c r="EB6" s="34">
        <f t="shared" si="8"/>
        <v>0</v>
      </c>
      <c r="EC6" s="207">
        <f t="shared" si="8"/>
        <v>0</v>
      </c>
      <c r="ED6" s="289">
        <f t="shared" si="8"/>
        <v>0</v>
      </c>
      <c r="EE6" s="34">
        <f t="shared" si="8"/>
        <v>0</v>
      </c>
      <c r="EF6" s="207">
        <f t="shared" si="8"/>
        <v>0</v>
      </c>
      <c r="EG6" s="289">
        <f t="shared" si="8"/>
        <v>0</v>
      </c>
      <c r="EH6" s="34">
        <f t="shared" si="8"/>
        <v>0</v>
      </c>
      <c r="EI6" s="207">
        <f t="shared" si="8"/>
        <v>0</v>
      </c>
      <c r="EJ6" s="289">
        <f t="shared" si="8"/>
        <v>0</v>
      </c>
      <c r="EK6" s="34">
        <f t="shared" si="8"/>
        <v>0</v>
      </c>
      <c r="EL6" s="1431">
        <f t="shared" si="8"/>
        <v>0</v>
      </c>
      <c r="EM6" s="250">
        <f t="shared" si="8"/>
        <v>0</v>
      </c>
      <c r="EN6" s="291">
        <f t="shared" si="8"/>
        <v>0</v>
      </c>
      <c r="EO6" s="250">
        <f t="shared" si="8"/>
        <v>0</v>
      </c>
      <c r="EP6" s="291">
        <f t="shared" si="8"/>
        <v>0</v>
      </c>
      <c r="EQ6" s="250">
        <f t="shared" si="8"/>
        <v>0</v>
      </c>
      <c r="ER6" s="291">
        <f t="shared" si="8"/>
        <v>0</v>
      </c>
      <c r="ES6" s="250">
        <f t="shared" si="8"/>
        <v>0</v>
      </c>
      <c r="ET6" s="291">
        <f t="shared" si="8"/>
        <v>0</v>
      </c>
      <c r="EU6" s="34">
        <f t="shared" si="8"/>
        <v>0</v>
      </c>
      <c r="EV6" s="1668">
        <f t="shared" si="8"/>
        <v>0</v>
      </c>
      <c r="EW6" s="1669">
        <f t="shared" si="8"/>
        <v>0</v>
      </c>
      <c r="EX6" s="250">
        <f t="shared" si="8"/>
        <v>0</v>
      </c>
      <c r="EY6" s="7"/>
      <c r="FG6" s="418"/>
      <c r="FN6" s="42"/>
      <c r="FO6" s="428">
        <f>SUBTOTAL(2,FO15:FO200)</f>
        <v>0</v>
      </c>
      <c r="FP6" s="42"/>
      <c r="FQ6" s="42"/>
      <c r="FR6" s="42"/>
      <c r="FS6" s="42"/>
      <c r="FT6" s="42"/>
      <c r="FU6" s="2500">
        <f>SUBTOTAL(2,FU$15:FU$1200)</f>
        <v>1</v>
      </c>
      <c r="FV6" s="289">
        <f>IF(ISERROR(SUBTOTAL(2,FV$15:FV$1200)),"",SUBTOTAL(2,FV$15:FV$1200))</f>
        <v>0</v>
      </c>
      <c r="FW6" s="34">
        <f>IF(ISERROR(SUBTOTAL(2,FW$15:FW$1200)),"",SUBTOTAL(2,FW$15:FW$1200))</f>
        <v>0</v>
      </c>
      <c r="FX6" s="42"/>
      <c r="FY6" s="42"/>
      <c r="FZ6" s="42"/>
      <c r="GA6" s="42"/>
      <c r="GB6" s="42"/>
      <c r="GC6" s="42"/>
      <c r="GD6" s="42"/>
      <c r="GE6" s="42"/>
      <c r="GF6" s="42"/>
      <c r="GG6" s="42"/>
      <c r="GH6" s="42"/>
      <c r="GI6" s="42"/>
      <c r="GJ6" s="42"/>
      <c r="GK6" s="42"/>
      <c r="GL6" s="42"/>
      <c r="GM6" s="42"/>
      <c r="GN6" s="42"/>
      <c r="GO6" s="42"/>
      <c r="GP6" s="42"/>
      <c r="GQ6" s="42"/>
      <c r="GR6" s="42"/>
      <c r="GS6" s="42"/>
      <c r="GT6" s="42"/>
      <c r="GU6" s="42"/>
      <c r="GV6" s="42"/>
      <c r="GW6" s="42"/>
      <c r="GX6" s="42"/>
      <c r="GY6" s="42"/>
      <c r="GZ6" s="42"/>
      <c r="HA6" s="42"/>
      <c r="HB6" s="42"/>
      <c r="HC6" s="42"/>
      <c r="HD6" s="42"/>
      <c r="HE6" s="42"/>
      <c r="HF6" s="42"/>
      <c r="HG6" s="42"/>
      <c r="HH6" s="42"/>
      <c r="HI6" s="42"/>
      <c r="HJ6" s="42"/>
      <c r="HK6" s="42"/>
      <c r="HL6" s="42"/>
      <c r="HM6" s="42"/>
      <c r="HN6" s="42"/>
      <c r="HO6" s="42"/>
      <c r="HP6" s="42"/>
      <c r="HQ6" s="42"/>
      <c r="HR6" s="42"/>
      <c r="HS6" s="42"/>
      <c r="HT6" s="42"/>
      <c r="HU6" s="42"/>
      <c r="HV6" s="42"/>
      <c r="HW6" s="42"/>
      <c r="HX6" s="42"/>
      <c r="HY6" s="42"/>
      <c r="HZ6" s="42"/>
      <c r="IA6" s="42"/>
      <c r="IB6" s="42"/>
      <c r="IC6" s="42"/>
      <c r="ID6" s="42"/>
      <c r="IE6" s="42"/>
      <c r="IF6" s="42"/>
      <c r="IG6" s="42"/>
      <c r="IH6" s="42"/>
      <c r="II6" s="42"/>
      <c r="IJ6" s="42"/>
      <c r="IK6" s="42"/>
      <c r="IL6" s="42"/>
      <c r="IM6" s="42"/>
      <c r="IN6" s="42"/>
      <c r="IO6" s="42"/>
      <c r="IP6" s="42"/>
      <c r="IQ6" s="42"/>
      <c r="IR6" s="42"/>
      <c r="IS6" s="42"/>
      <c r="IT6" s="42"/>
      <c r="IU6" s="42"/>
    </row>
    <row r="7" spans="1:255" s="129" customFormat="1" ht="12" customHeight="1">
      <c r="A7" s="3190">
        <v>450</v>
      </c>
      <c r="B7" s="3191"/>
      <c r="C7" s="3192"/>
      <c r="D7" s="1821"/>
      <c r="E7" s="90"/>
      <c r="F7" s="1822"/>
      <c r="G7" s="1823"/>
      <c r="H7" s="41" t="s">
        <v>3852</v>
      </c>
      <c r="I7" s="90"/>
      <c r="J7" s="90"/>
      <c r="K7" s="92"/>
      <c r="L7" s="90"/>
      <c r="M7" s="1114"/>
      <c r="N7" s="1105"/>
      <c r="O7" s="1106"/>
      <c r="P7" s="1112"/>
      <c r="Q7" s="1113"/>
      <c r="R7" s="1113"/>
      <c r="S7" s="1110" t="s">
        <v>3402</v>
      </c>
      <c r="T7" s="1111">
        <v>0.8</v>
      </c>
      <c r="U7" s="1115">
        <f>COUNTIF(U15:U200,T7)</f>
        <v>0</v>
      </c>
      <c r="AA7" s="33"/>
      <c r="AB7" s="33"/>
      <c r="AC7" s="33"/>
      <c r="AD7" s="33"/>
      <c r="AE7" s="33"/>
      <c r="AF7" s="33"/>
      <c r="AG7" s="33"/>
      <c r="AH7" s="33"/>
      <c r="AI7" s="33"/>
      <c r="AJ7" s="33"/>
      <c r="AK7" s="33"/>
      <c r="AL7" s="33"/>
      <c r="AM7" s="33"/>
      <c r="AN7" s="33"/>
      <c r="AO7" s="33"/>
      <c r="AP7" s="33"/>
      <c r="AQ7" s="33"/>
      <c r="AR7" s="33"/>
      <c r="AS7" s="33"/>
      <c r="AT7" s="33"/>
      <c r="AU7" s="33"/>
      <c r="AV7" s="353">
        <f t="shared" ref="AV7:BL7" si="9">IF(ISERROR(AV6/$D$1),"",AV6/$D$1)</f>
        <v>0</v>
      </c>
      <c r="AW7" s="353">
        <f t="shared" si="9"/>
        <v>0</v>
      </c>
      <c r="AX7" s="286">
        <f t="shared" si="9"/>
        <v>0</v>
      </c>
      <c r="AY7" s="194"/>
      <c r="AZ7" s="363">
        <f>IF(ISERROR(AZ6/$D$1),"",AZ6/$D$1)</f>
        <v>0</v>
      </c>
      <c r="BA7" s="286">
        <f>IF(ISERROR(BA6/$D$1),"",BA6/$D$1)</f>
        <v>0</v>
      </c>
      <c r="BB7" s="363">
        <f t="shared" si="9"/>
        <v>0</v>
      </c>
      <c r="BC7" s="1869">
        <f t="shared" si="9"/>
        <v>0</v>
      </c>
      <c r="BD7" s="1879">
        <f t="shared" si="9"/>
        <v>0</v>
      </c>
      <c r="BE7" s="1260"/>
      <c r="BF7" s="33">
        <f t="shared" si="9"/>
        <v>0</v>
      </c>
      <c r="BG7" s="33">
        <f t="shared" si="9"/>
        <v>0</v>
      </c>
      <c r="BH7" s="1446">
        <f t="shared" si="9"/>
        <v>0</v>
      </c>
      <c r="BI7" s="189">
        <f t="shared" si="9"/>
        <v>0</v>
      </c>
      <c r="BJ7" s="1446">
        <f t="shared" si="9"/>
        <v>0</v>
      </c>
      <c r="BK7" s="194">
        <f t="shared" si="9"/>
        <v>0</v>
      </c>
      <c r="BL7" s="189">
        <f t="shared" si="9"/>
        <v>0</v>
      </c>
      <c r="BM7" s="33"/>
      <c r="BN7" s="33"/>
      <c r="BO7" s="33"/>
      <c r="BP7" s="353" t="str">
        <f>IF(ISERROR(BP8/BP5),"",BP8/BP5)</f>
        <v/>
      </c>
      <c r="BQ7" s="286" t="str">
        <f>IF(ISERROR(BQ8/BQ5),"",BQ8/BQ5)</f>
        <v/>
      </c>
      <c r="BR7" s="194">
        <f t="shared" ref="BR7:CO7" si="10">IF(ISERROR(BR6/$D$1),"",BR6/$D$1)</f>
        <v>0</v>
      </c>
      <c r="BS7" s="33">
        <f t="shared" si="10"/>
        <v>0</v>
      </c>
      <c r="BT7" s="189">
        <f t="shared" si="10"/>
        <v>0</v>
      </c>
      <c r="BU7" s="194">
        <f t="shared" si="10"/>
        <v>0</v>
      </c>
      <c r="BV7" s="33">
        <f t="shared" si="10"/>
        <v>0</v>
      </c>
      <c r="BW7" s="189">
        <f t="shared" si="10"/>
        <v>0</v>
      </c>
      <c r="BX7" s="194">
        <f t="shared" si="10"/>
        <v>0</v>
      </c>
      <c r="BY7" s="33">
        <f t="shared" si="10"/>
        <v>0</v>
      </c>
      <c r="BZ7" s="189">
        <f t="shared" si="10"/>
        <v>0</v>
      </c>
      <c r="CA7" s="194">
        <f t="shared" si="10"/>
        <v>0</v>
      </c>
      <c r="CB7" s="33">
        <f t="shared" si="10"/>
        <v>0</v>
      </c>
      <c r="CC7" s="189">
        <f t="shared" si="10"/>
        <v>0</v>
      </c>
      <c r="CD7" s="194">
        <f t="shared" si="10"/>
        <v>0</v>
      </c>
      <c r="CE7" s="33">
        <f t="shared" si="10"/>
        <v>0</v>
      </c>
      <c r="CF7" s="189">
        <f t="shared" si="10"/>
        <v>0</v>
      </c>
      <c r="CG7" s="194">
        <f t="shared" si="10"/>
        <v>0</v>
      </c>
      <c r="CH7" s="33">
        <f t="shared" si="10"/>
        <v>0</v>
      </c>
      <c r="CI7" s="189">
        <f t="shared" si="10"/>
        <v>0</v>
      </c>
      <c r="CJ7" s="194"/>
      <c r="CK7" s="33">
        <f>IF(ISERROR(CK6/$D$1),"",CK6/$D$1)</f>
        <v>0</v>
      </c>
      <c r="CL7" s="189">
        <f>IF(ISERROR(CL6/$D$1),"",CL6/$D$1)</f>
        <v>0</v>
      </c>
      <c r="CM7" s="33">
        <f t="shared" si="10"/>
        <v>0</v>
      </c>
      <c r="CN7" s="33">
        <f t="shared" si="10"/>
        <v>0</v>
      </c>
      <c r="CO7" s="33">
        <f t="shared" si="10"/>
        <v>0</v>
      </c>
      <c r="CP7" s="194"/>
      <c r="CQ7" s="33">
        <f>IF(ISERROR(CQ6/$D$1),"",CQ6/$D$1)</f>
        <v>0</v>
      </c>
      <c r="CR7" s="33">
        <f>IF(ISERROR(CR6/$D$1),"",CR6/$D$1)</f>
        <v>0</v>
      </c>
      <c r="CS7" s="194"/>
      <c r="CT7" s="33">
        <f>IF(ISERROR(CT6/$D$1),"",CT6/$D$1)</f>
        <v>0</v>
      </c>
      <c r="CU7" s="33">
        <f>IF(ISERROR(CU6/$D$1),"",CU6/$D$1)</f>
        <v>0</v>
      </c>
      <c r="CV7" s="194"/>
      <c r="CW7" s="33">
        <f>IF(ISERROR(CW6/$D$1),"",CW6/$D$1)</f>
        <v>0</v>
      </c>
      <c r="CX7" s="33">
        <f>IF(ISERROR(CX6/$D$1),"",CX6/$D$1)</f>
        <v>0</v>
      </c>
      <c r="CY7" s="194"/>
      <c r="CZ7" s="33">
        <f>IF(ISERROR(CZ6/$D$1),"",CZ6/$D$1)</f>
        <v>0</v>
      </c>
      <c r="DA7" s="33">
        <f>IF(ISERROR(DA6/$D$1),"",DA6/$D$1)</f>
        <v>0</v>
      </c>
      <c r="DB7" s="194"/>
      <c r="DC7" s="33">
        <f>IF(ISERROR(DC6/$D$1),"",DC6/$D$1)</f>
        <v>0</v>
      </c>
      <c r="DD7" s="33">
        <f>IF(ISERROR(DD6/$D$1),"",DD6/$D$1)</f>
        <v>0</v>
      </c>
      <c r="DE7" s="194"/>
      <c r="DF7" s="1578">
        <f>IF(ISERROR(DF6/$D$1),"",DF6/$D$1)</f>
        <v>0</v>
      </c>
      <c r="DG7" s="33">
        <f>IF(ISERROR(DG6/$D$1),"",DG6/$D$1)</f>
        <v>0</v>
      </c>
      <c r="DH7" s="194">
        <f>IF(ISERROR(DH6/$D$1),"",DH6/$D$1)</f>
        <v>0</v>
      </c>
      <c r="DI7" s="1578">
        <f>IF(ISERROR(DI6/$D$1),"",DI6/$D$1)</f>
        <v>0</v>
      </c>
      <c r="DJ7" s="33">
        <f>IF(ISERROR(DJ6/$D$1),"",DJ6/$D$1)</f>
        <v>0</v>
      </c>
      <c r="DK7" s="194"/>
      <c r="DL7" s="33">
        <f>IF(ISERROR(DL6/$D$1),"",DL6/$D$1)</f>
        <v>0</v>
      </c>
      <c r="DM7" s="33">
        <f>IF(ISERROR(DM6/$D$1),"",DM6/$D$1)</f>
        <v>0</v>
      </c>
      <c r="DN7" s="194">
        <f t="shared" ref="DN7:EX7" si="11">IF(ISERROR(DN6/$D$1),"",DN6/$D$1)</f>
        <v>0</v>
      </c>
      <c r="DO7" s="33">
        <f t="shared" si="11"/>
        <v>0</v>
      </c>
      <c r="DP7" s="33">
        <f t="shared" si="11"/>
        <v>0</v>
      </c>
      <c r="DQ7" s="194">
        <f t="shared" si="11"/>
        <v>1</v>
      </c>
      <c r="DR7" s="33">
        <f t="shared" si="11"/>
        <v>0</v>
      </c>
      <c r="DS7" s="33">
        <f t="shared" si="11"/>
        <v>0</v>
      </c>
      <c r="DT7" s="194">
        <f>IF(ISERROR(DT6/$D$1),"",DT6/$D$1)</f>
        <v>0</v>
      </c>
      <c r="DU7" s="33">
        <f>IF(ISERROR(DU6/$D$1),"",DU6/$D$1)</f>
        <v>0</v>
      </c>
      <c r="DV7" s="33">
        <f>IF(ISERROR(DV6/$D$1),"",DV6/$D$1)</f>
        <v>0</v>
      </c>
      <c r="DW7" s="194">
        <f t="shared" si="11"/>
        <v>0</v>
      </c>
      <c r="DX7" s="33">
        <f t="shared" si="11"/>
        <v>0</v>
      </c>
      <c r="DY7" s="33">
        <f t="shared" si="11"/>
        <v>0</v>
      </c>
      <c r="DZ7" s="194">
        <f t="shared" si="11"/>
        <v>0</v>
      </c>
      <c r="EA7" s="33">
        <f t="shared" si="11"/>
        <v>0</v>
      </c>
      <c r="EB7" s="33">
        <f t="shared" si="11"/>
        <v>0</v>
      </c>
      <c r="EC7" s="194">
        <f t="shared" si="11"/>
        <v>0</v>
      </c>
      <c r="ED7" s="33">
        <f t="shared" si="11"/>
        <v>0</v>
      </c>
      <c r="EE7" s="33">
        <f t="shared" si="11"/>
        <v>0</v>
      </c>
      <c r="EF7" s="194">
        <f>IF(ISERROR(EF6/$D$1),"",EF6/$D$1)</f>
        <v>0</v>
      </c>
      <c r="EG7" s="33">
        <f>IF(ISERROR(EG6/$D$1),"",EG6/$D$1)</f>
        <v>0</v>
      </c>
      <c r="EH7" s="33">
        <f>IF(ISERROR(EH6/$D$1),"",EH6/$D$1)</f>
        <v>0</v>
      </c>
      <c r="EI7" s="194">
        <f t="shared" si="11"/>
        <v>0</v>
      </c>
      <c r="EJ7" s="33">
        <f t="shared" si="11"/>
        <v>0</v>
      </c>
      <c r="EK7" s="33">
        <f t="shared" si="11"/>
        <v>0</v>
      </c>
      <c r="EL7" s="1616">
        <f t="shared" si="11"/>
        <v>0</v>
      </c>
      <c r="EM7" s="405">
        <f t="shared" si="11"/>
        <v>0</v>
      </c>
      <c r="EN7" s="1612">
        <f t="shared" si="11"/>
        <v>0</v>
      </c>
      <c r="EO7" s="405">
        <f t="shared" si="11"/>
        <v>0</v>
      </c>
      <c r="EP7" s="1612">
        <f t="shared" si="11"/>
        <v>0</v>
      </c>
      <c r="EQ7" s="405">
        <f t="shared" si="11"/>
        <v>0</v>
      </c>
      <c r="ER7" s="1612">
        <f>IF(ISERROR(ER6/$D$1),"",ER6/$D$1)</f>
        <v>0</v>
      </c>
      <c r="ES7" s="405">
        <f>IF(ISERROR(ES6/$D$1),"",ES6/$D$1)</f>
        <v>0</v>
      </c>
      <c r="ET7" s="1612">
        <f t="shared" si="11"/>
        <v>0</v>
      </c>
      <c r="EU7" s="33">
        <f t="shared" si="11"/>
        <v>0</v>
      </c>
      <c r="EV7" s="1670">
        <f t="shared" si="11"/>
        <v>0</v>
      </c>
      <c r="EW7" s="1666">
        <f t="shared" si="11"/>
        <v>0</v>
      </c>
      <c r="EX7" s="405">
        <f t="shared" si="11"/>
        <v>0</v>
      </c>
      <c r="EY7" s="7"/>
      <c r="FA7" s="3144" t="s">
        <v>738</v>
      </c>
      <c r="FB7" s="3144"/>
      <c r="FC7" s="3144"/>
      <c r="FD7" s="3144"/>
      <c r="FE7" s="3144"/>
      <c r="FF7" s="3144"/>
      <c r="FG7" s="418"/>
      <c r="FN7" s="42"/>
      <c r="FO7" s="426">
        <f>IF(ISERROR(FO6/$D$1),"",FO6/$D$1)</f>
        <v>0</v>
      </c>
      <c r="FP7" s="42"/>
      <c r="FQ7" s="42"/>
      <c r="FR7" s="42"/>
      <c r="FS7" s="42"/>
      <c r="FT7" s="42"/>
      <c r="FU7" s="2501"/>
      <c r="FV7" s="33">
        <f>IF(ISERROR(FV6/$D$1),"",FV6/$D$1)</f>
        <v>0</v>
      </c>
      <c r="FW7" s="33">
        <f>IF(ISERROR(FW6/$D$1),"",FW6/$D$1)</f>
        <v>0</v>
      </c>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c r="IU7" s="42"/>
    </row>
    <row r="8" spans="1:255" s="43" customFormat="1" ht="12" customHeight="1" thickBot="1">
      <c r="A8" s="3182" t="s">
        <v>314</v>
      </c>
      <c r="B8" s="3183"/>
      <c r="C8" s="3184"/>
      <c r="D8" s="1824">
        <f>SUBTOTAL(2,C$15:C$200)</f>
        <v>1</v>
      </c>
      <c r="E8" s="93"/>
      <c r="F8" s="1819">
        <f>VALUE(A7)</f>
        <v>450</v>
      </c>
      <c r="G8" s="1905">
        <f>IF(Cnt_FiltC=450,(ROUNDUP(D1,-2)+ROUND(D1/10,-1)),Cnt_FiltC)</f>
        <v>100</v>
      </c>
      <c r="H8" s="1093" t="s">
        <v>249</v>
      </c>
      <c r="I8" s="1094"/>
      <c r="J8" s="1094"/>
      <c r="K8" s="1095"/>
      <c r="L8" s="1094"/>
      <c r="M8" s="1103"/>
      <c r="N8" s="1116"/>
      <c r="O8" s="1117"/>
      <c r="P8" s="1117"/>
      <c r="Q8" s="1117"/>
      <c r="R8" s="1117"/>
      <c r="S8" s="1117"/>
      <c r="T8" s="94" t="s">
        <v>1611</v>
      </c>
      <c r="U8" s="1104" t="e">
        <f>AVERAGE(F_CALog2_start:U$200)</f>
        <v>#VALUE!</v>
      </c>
      <c r="W8" s="136"/>
      <c r="X8" s="136"/>
      <c r="Y8" s="136"/>
      <c r="Z8" s="136"/>
      <c r="AA8" s="28"/>
      <c r="AB8" s="28"/>
      <c r="AC8" s="28"/>
      <c r="AD8" s="28"/>
      <c r="AE8" s="28"/>
      <c r="AF8" s="28"/>
      <c r="AG8" s="28"/>
      <c r="AH8" s="28"/>
      <c r="AI8" s="28"/>
      <c r="AJ8" s="28"/>
      <c r="AK8" s="28"/>
      <c r="AL8" s="28"/>
      <c r="AM8" s="28"/>
      <c r="AN8" s="28"/>
      <c r="AO8" s="28"/>
      <c r="AP8" s="28"/>
      <c r="AQ8" s="28"/>
      <c r="AR8" s="28"/>
      <c r="AS8" s="28"/>
      <c r="AT8" s="28"/>
      <c r="AU8" s="28"/>
      <c r="AV8" s="354" t="e">
        <f t="shared" ref="AV8:BD8" si="12">SUBTOTAL(4,AV15:AV200)</f>
        <v>#N/A</v>
      </c>
      <c r="AW8" s="354" t="e">
        <f t="shared" si="12"/>
        <v>#N/A</v>
      </c>
      <c r="AX8" s="283" t="e">
        <f t="shared" si="12"/>
        <v>#N/A</v>
      </c>
      <c r="AY8" s="346"/>
      <c r="AZ8" s="364" t="e">
        <f>SUBTOTAL(4,AZ15:AZ200)</f>
        <v>#N/A</v>
      </c>
      <c r="BA8" s="283" t="e">
        <f>SUBTOTAL(4,BA15:BA200)</f>
        <v>#N/A</v>
      </c>
      <c r="BB8" s="364" t="e">
        <f t="shared" si="12"/>
        <v>#N/A</v>
      </c>
      <c r="BC8" s="1870" t="e">
        <f t="shared" si="12"/>
        <v>#N/A</v>
      </c>
      <c r="BD8" s="1880" t="e">
        <f t="shared" si="12"/>
        <v>#N/A</v>
      </c>
      <c r="BE8" s="279"/>
      <c r="BF8" s="288" t="e">
        <f>SUBTOTAL(4,BF15:BF200)</f>
        <v>#N/A</v>
      </c>
      <c r="BG8" s="28">
        <f>SUBTOTAL(4,BG15:BG200)</f>
        <v>0</v>
      </c>
      <c r="BH8" s="1569">
        <f>SUBTOTAL(4,BH15:BH$200)</f>
        <v>0</v>
      </c>
      <c r="BI8" s="187" t="e">
        <f>SUBTOTAL(4,BI15:BI200)</f>
        <v>#N/A</v>
      </c>
      <c r="BJ8" s="1569">
        <f>SUBTOTAL(4,BJ15:BJ$200)</f>
        <v>0</v>
      </c>
      <c r="BK8" s="192" t="e">
        <f>SUBTOTAL(4,BK15:BK200)</f>
        <v>#VALUE!</v>
      </c>
      <c r="BL8" s="187" t="e">
        <f>SUBTOTAL(4,BL15:BL200)</f>
        <v>#N/A</v>
      </c>
      <c r="BM8" s="28"/>
      <c r="BN8" s="28"/>
      <c r="BO8" s="28"/>
      <c r="BP8" s="354" t="e">
        <f>SUBTOTAL(4,BP$15:BP$2497)</f>
        <v>#N/A</v>
      </c>
      <c r="BQ8" s="283" t="e">
        <f>SUBTOTAL(4,BQ$15:BQ$2497)</f>
        <v>#N/A</v>
      </c>
      <c r="BR8" s="346">
        <f t="shared" ref="BR8:CI8" si="13">SUBTOTAL(4,BR15:BR200)</f>
        <v>0</v>
      </c>
      <c r="BS8" s="288">
        <f t="shared" si="13"/>
        <v>0</v>
      </c>
      <c r="BT8" s="187">
        <f t="shared" si="13"/>
        <v>0</v>
      </c>
      <c r="BU8" s="346">
        <f t="shared" si="13"/>
        <v>0</v>
      </c>
      <c r="BV8" s="288">
        <f t="shared" si="13"/>
        <v>0</v>
      </c>
      <c r="BW8" s="187">
        <f t="shared" si="13"/>
        <v>0</v>
      </c>
      <c r="BX8" s="346">
        <f t="shared" si="13"/>
        <v>0</v>
      </c>
      <c r="BY8" s="288">
        <f t="shared" si="13"/>
        <v>0</v>
      </c>
      <c r="BZ8" s="187">
        <f t="shared" si="13"/>
        <v>0</v>
      </c>
      <c r="CA8" s="346">
        <f t="shared" si="13"/>
        <v>0</v>
      </c>
      <c r="CB8" s="288">
        <f t="shared" si="13"/>
        <v>0</v>
      </c>
      <c r="CC8" s="187">
        <f t="shared" si="13"/>
        <v>0</v>
      </c>
      <c r="CD8" s="346">
        <f t="shared" si="13"/>
        <v>0</v>
      </c>
      <c r="CE8" s="288">
        <f t="shared" si="13"/>
        <v>0</v>
      </c>
      <c r="CF8" s="187">
        <f t="shared" si="13"/>
        <v>0</v>
      </c>
      <c r="CG8" s="346">
        <f t="shared" si="13"/>
        <v>0</v>
      </c>
      <c r="CH8" s="288">
        <f t="shared" si="13"/>
        <v>0</v>
      </c>
      <c r="CI8" s="187">
        <f t="shared" si="13"/>
        <v>0</v>
      </c>
      <c r="CJ8" s="346"/>
      <c r="CK8" s="288" t="e">
        <f>SUBTOTAL(4,CK15:CK200)</f>
        <v>#N/A</v>
      </c>
      <c r="CL8" s="1135">
        <f>SUBTOTAL(4,CL15:CL200)</f>
        <v>0</v>
      </c>
      <c r="CM8" s="412">
        <f>SUBTOTAL(4,CM15:CM200)</f>
        <v>0</v>
      </c>
      <c r="CN8" s="288" t="e">
        <f>SUBTOTAL(4,CN15:CN200)</f>
        <v>#N/A</v>
      </c>
      <c r="CO8" s="28">
        <f>SUBTOTAL(4,CO15:CO200)</f>
        <v>0</v>
      </c>
      <c r="CP8" s="346"/>
      <c r="CQ8" s="288" t="e">
        <f>SUBTOTAL(4,CQ15:CQ200)</f>
        <v>#N/A</v>
      </c>
      <c r="CR8" s="28">
        <f>SUBTOTAL(4,CR15:CR200)</f>
        <v>0</v>
      </c>
      <c r="CS8" s="346"/>
      <c r="CT8" s="288" t="e">
        <f>SUBTOTAL(4,CT15:CT200)</f>
        <v>#N/A</v>
      </c>
      <c r="CU8" s="28">
        <f>SUBTOTAL(4,CU15:CU200)</f>
        <v>0</v>
      </c>
      <c r="CV8" s="346"/>
      <c r="CW8" s="288">
        <f>SUBTOTAL(4,CW15:CW200)</f>
        <v>0</v>
      </c>
      <c r="CX8" s="28">
        <f>SUBTOTAL(4,CX15:CX200)</f>
        <v>0</v>
      </c>
      <c r="CY8" s="346"/>
      <c r="CZ8" s="288" t="e">
        <f>SUBTOTAL(4,CZ15:CZ200)</f>
        <v>#N/A</v>
      </c>
      <c r="DA8" s="28" t="e">
        <f>SUBTOTAL(4,DA15:DA200)</f>
        <v>#N/A</v>
      </c>
      <c r="DB8" s="346"/>
      <c r="DC8" s="288" t="e">
        <f>SUBTOTAL(4,DC15:DC$200)</f>
        <v>#N/A</v>
      </c>
      <c r="DD8" s="28" t="e">
        <f>SUBTOTAL(4,DD15:DD$200)</f>
        <v>#N/A</v>
      </c>
      <c r="DE8" s="346"/>
      <c r="DF8" s="1576">
        <f>SUBTOTAL(4,DF15:DF$200)</f>
        <v>0</v>
      </c>
      <c r="DG8" s="28">
        <f>SUBTOTAL(4,DG15:DG200)</f>
        <v>0</v>
      </c>
      <c r="DH8" s="346">
        <f>SUBTOTAL(4,DH15:DH$200)</f>
        <v>0</v>
      </c>
      <c r="DI8" s="1576">
        <f>SUBTOTAL(4,DI15:DI$200)</f>
        <v>0</v>
      </c>
      <c r="DJ8" s="28" t="e">
        <f>SUBTOTAL(4,DJ15:DJ$200)</f>
        <v>#N/A</v>
      </c>
      <c r="DK8" s="346">
        <f>SUBTOTAL(4,DK15:DK$200)</f>
        <v>0</v>
      </c>
      <c r="DL8" s="288" t="e">
        <f>SUBTOTAL(4,DL15:DL$200)</f>
        <v>#N/A</v>
      </c>
      <c r="DM8" s="28" t="e">
        <f>SUBTOTAL(4,DM15:DM$200)</f>
        <v>#N/A</v>
      </c>
      <c r="DN8" s="346">
        <f t="shared" ref="DN8:EX8" si="14">SUBTOTAL(4,DN15:DN200)</f>
        <v>0</v>
      </c>
      <c r="DO8" s="288">
        <f t="shared" si="14"/>
        <v>0</v>
      </c>
      <c r="DP8" s="28">
        <f t="shared" si="14"/>
        <v>0</v>
      </c>
      <c r="DQ8" s="346">
        <f t="shared" si="14"/>
        <v>0</v>
      </c>
      <c r="DR8" s="288">
        <f t="shared" si="14"/>
        <v>0</v>
      </c>
      <c r="DS8" s="28">
        <f t="shared" si="14"/>
        <v>0</v>
      </c>
      <c r="DT8" s="346">
        <f t="shared" si="14"/>
        <v>0</v>
      </c>
      <c r="DU8" s="288">
        <f t="shared" si="14"/>
        <v>0</v>
      </c>
      <c r="DV8" s="28">
        <f t="shared" si="14"/>
        <v>0</v>
      </c>
      <c r="DW8" s="346">
        <f t="shared" si="14"/>
        <v>0</v>
      </c>
      <c r="DX8" s="288" t="e">
        <f t="shared" si="14"/>
        <v>#N/A</v>
      </c>
      <c r="DY8" s="28">
        <f t="shared" si="14"/>
        <v>0</v>
      </c>
      <c r="DZ8" s="346" t="e">
        <f t="shared" si="14"/>
        <v>#N/A</v>
      </c>
      <c r="EA8" s="288" t="e">
        <f t="shared" si="14"/>
        <v>#N/A</v>
      </c>
      <c r="EB8" s="28" t="e">
        <f t="shared" si="14"/>
        <v>#N/A</v>
      </c>
      <c r="EC8" s="346">
        <f t="shared" si="14"/>
        <v>0</v>
      </c>
      <c r="ED8" s="288">
        <f t="shared" si="14"/>
        <v>0</v>
      </c>
      <c r="EE8" s="28">
        <f t="shared" si="14"/>
        <v>0</v>
      </c>
      <c r="EF8" s="346">
        <f t="shared" si="14"/>
        <v>0</v>
      </c>
      <c r="EG8" s="288">
        <f t="shared" si="14"/>
        <v>0</v>
      </c>
      <c r="EH8" s="28">
        <f t="shared" si="14"/>
        <v>0</v>
      </c>
      <c r="EI8" s="346">
        <f t="shared" si="14"/>
        <v>0</v>
      </c>
      <c r="EJ8" s="288">
        <f t="shared" si="14"/>
        <v>0</v>
      </c>
      <c r="EK8" s="28">
        <f t="shared" si="14"/>
        <v>0</v>
      </c>
      <c r="EL8" s="1615" t="e">
        <f t="shared" si="14"/>
        <v>#N/A</v>
      </c>
      <c r="EM8" s="404" t="e">
        <f t="shared" si="14"/>
        <v>#N/A</v>
      </c>
      <c r="EN8" s="1611" t="e">
        <f t="shared" si="14"/>
        <v>#N/A</v>
      </c>
      <c r="EO8" s="404" t="e">
        <f t="shared" si="14"/>
        <v>#N/A</v>
      </c>
      <c r="EP8" s="1611" t="e">
        <f t="shared" si="14"/>
        <v>#N/A</v>
      </c>
      <c r="EQ8" s="404" t="e">
        <f t="shared" si="14"/>
        <v>#N/A</v>
      </c>
      <c r="ER8" s="1611" t="e">
        <f t="shared" si="14"/>
        <v>#N/A</v>
      </c>
      <c r="ES8" s="404" t="e">
        <f t="shared" si="14"/>
        <v>#N/A</v>
      </c>
      <c r="ET8" s="1611" t="e">
        <f t="shared" si="14"/>
        <v>#N/A</v>
      </c>
      <c r="EU8" s="28" t="e">
        <f t="shared" si="14"/>
        <v>#N/A</v>
      </c>
      <c r="EV8" s="1671" t="e">
        <f t="shared" si="14"/>
        <v>#N/A</v>
      </c>
      <c r="EW8" s="1672" t="e">
        <f t="shared" si="14"/>
        <v>#N/A</v>
      </c>
      <c r="EX8" s="1635" t="e">
        <f t="shared" si="14"/>
        <v>#VALUE!</v>
      </c>
      <c r="EY8" s="398"/>
      <c r="FA8" s="3144" t="s">
        <v>739</v>
      </c>
      <c r="FB8" s="3144"/>
      <c r="FC8" s="3144"/>
      <c r="FD8" s="3144"/>
      <c r="FE8" s="3144"/>
      <c r="FF8" s="3144"/>
      <c r="FG8" s="418"/>
      <c r="FN8" s="42"/>
      <c r="FO8" s="429" t="e">
        <f>SUBTOTAL(4,FO15:FO200)</f>
        <v>#N/A</v>
      </c>
      <c r="FP8" s="42"/>
      <c r="FQ8" s="42"/>
      <c r="FR8" s="42"/>
      <c r="FS8" s="42"/>
      <c r="FT8" s="42"/>
      <c r="FU8" s="393">
        <f>SUBTOTAL(4,FU$15:FU$1200)</f>
        <v>1</v>
      </c>
      <c r="FV8" s="288" t="e">
        <f>SUBTOTAL(4,FV$15:FV$1200)</f>
        <v>#VALUE!</v>
      </c>
      <c r="FW8" s="28" t="e">
        <f>SUBTOTAL(4,FW$15:FW$1200)</f>
        <v>#VALUE!</v>
      </c>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c r="IU8" s="42"/>
    </row>
    <row r="9" spans="1:255" s="136" customFormat="1" ht="12" customHeight="1" thickBot="1">
      <c r="A9" s="2"/>
      <c r="B9" s="2"/>
      <c r="C9" s="35"/>
      <c r="D9" s="1097" t="s">
        <v>3194</v>
      </c>
      <c r="E9" s="1098"/>
      <c r="F9" s="1098"/>
      <c r="G9" s="1098"/>
      <c r="H9" s="1098"/>
      <c r="I9" s="1099"/>
      <c r="J9" s="1098"/>
      <c r="L9" s="1098"/>
      <c r="M9" s="1098"/>
      <c r="N9" s="1098"/>
      <c r="O9" s="1098"/>
      <c r="P9" s="1098"/>
      <c r="Q9" s="1098"/>
      <c r="R9" s="1100"/>
      <c r="S9" s="1100" t="s">
        <v>4552</v>
      </c>
      <c r="T9" s="1107">
        <v>0</v>
      </c>
      <c r="U9" s="2"/>
      <c r="V9" s="23"/>
      <c r="W9" s="23"/>
      <c r="X9" s="23"/>
      <c r="Y9" s="23"/>
      <c r="Z9" s="23"/>
      <c r="AA9" s="3317" t="s">
        <v>1068</v>
      </c>
      <c r="AB9" s="3318"/>
      <c r="AC9" s="3318"/>
      <c r="AD9" s="3318"/>
      <c r="AE9" s="3318"/>
      <c r="AF9" s="3318"/>
      <c r="AG9" s="3318"/>
      <c r="AH9" s="3318"/>
      <c r="AI9" s="3323" t="s">
        <v>1071</v>
      </c>
      <c r="AJ9" s="3323"/>
      <c r="AK9" s="3323"/>
      <c r="AL9" s="3323"/>
      <c r="AM9" s="3323"/>
      <c r="AN9" s="3323"/>
      <c r="AO9" s="3324"/>
      <c r="AP9" s="3219" t="s">
        <v>1072</v>
      </c>
      <c r="AQ9" s="3220"/>
      <c r="AR9" s="3220"/>
      <c r="AS9" s="3220"/>
      <c r="AT9" s="3220"/>
      <c r="AU9" s="3221"/>
      <c r="AV9" s="35"/>
      <c r="AW9" s="183"/>
      <c r="AX9" s="375"/>
      <c r="AY9" s="183"/>
      <c r="AZ9" s="8"/>
      <c r="BA9" s="8"/>
      <c r="BB9" s="35"/>
      <c r="BC9" s="1871"/>
      <c r="BD9" s="2"/>
      <c r="BE9" s="8"/>
      <c r="BF9" s="8"/>
      <c r="BG9" s="8"/>
      <c r="BH9" s="1448"/>
      <c r="BI9" s="377"/>
      <c r="BJ9" s="1448"/>
      <c r="BK9" s="8"/>
      <c r="BL9" s="377"/>
      <c r="BM9" s="375"/>
      <c r="BN9" s="2"/>
      <c r="BO9" s="2"/>
      <c r="BP9" s="183"/>
      <c r="BQ9" s="8"/>
      <c r="BR9" s="3124" t="str">
        <f>ParaN!G4</f>
        <v>XI.III.8</v>
      </c>
      <c r="BS9" s="3125"/>
      <c r="BT9" s="3126"/>
      <c r="BU9" s="3124" t="str">
        <f>ParaN!G1</f>
        <v>XI.III.6</v>
      </c>
      <c r="BV9" s="3125"/>
      <c r="BW9" s="3126"/>
      <c r="BX9" s="3124" t="str">
        <f>ParaN!G2</f>
        <v>XI.III.6</v>
      </c>
      <c r="BY9" s="3125"/>
      <c r="BZ9" s="3126"/>
      <c r="CA9" s="3124" t="str">
        <f>BX9</f>
        <v>XI.III.6</v>
      </c>
      <c r="CB9" s="3125"/>
      <c r="CC9" s="3126"/>
      <c r="CD9" s="3124" t="str">
        <f>ParaN!G5</f>
        <v>XI.III.10</v>
      </c>
      <c r="CE9" s="3125"/>
      <c r="CF9" s="3126"/>
      <c r="CG9" s="3124" t="str">
        <f>ParaN!G101</f>
        <v>XI.III.24</v>
      </c>
      <c r="CH9" s="3125"/>
      <c r="CI9" s="3126"/>
      <c r="CJ9" s="183"/>
      <c r="CK9" s="8"/>
      <c r="CL9" s="375"/>
      <c r="CM9" s="3124" t="str">
        <f>ParaN!G43</f>
        <v>XI.III.28</v>
      </c>
      <c r="CN9" s="3125"/>
      <c r="CO9" s="3126"/>
      <c r="CP9" s="183"/>
      <c r="CQ9" s="3329">
        <f>ParaN!G55</f>
        <v>0</v>
      </c>
      <c r="CR9" s="3330"/>
      <c r="CS9" s="183"/>
      <c r="CT9" s="3329"/>
      <c r="CU9" s="3330"/>
      <c r="CV9" s="183"/>
      <c r="CW9" s="8"/>
      <c r="CX9" s="375"/>
      <c r="CY9" s="183"/>
      <c r="CZ9" s="8"/>
      <c r="DA9" s="375"/>
      <c r="DB9" s="8"/>
      <c r="DC9" s="8"/>
      <c r="DD9" s="8"/>
      <c r="DE9" s="378"/>
      <c r="DF9" s="1579"/>
      <c r="DG9" s="376"/>
      <c r="DH9" s="378"/>
      <c r="DI9" s="1579"/>
      <c r="DJ9" s="379"/>
      <c r="DK9" s="183"/>
      <c r="DL9" s="8"/>
      <c r="DM9" s="375"/>
      <c r="DN9" s="183"/>
      <c r="DO9" s="8"/>
      <c r="DP9" s="375"/>
      <c r="DQ9" s="183"/>
      <c r="DR9" s="8"/>
      <c r="DS9" s="375"/>
      <c r="DT9" s="183"/>
      <c r="DU9" s="8"/>
      <c r="DV9" s="375"/>
      <c r="DW9" s="183"/>
      <c r="DX9" s="8"/>
      <c r="DY9" s="375"/>
      <c r="DZ9" s="183"/>
      <c r="EA9" s="8"/>
      <c r="EB9" s="375"/>
      <c r="EC9" s="183"/>
      <c r="ED9" s="8"/>
      <c r="EE9" s="375"/>
      <c r="EF9" s="183"/>
      <c r="EG9" s="8"/>
      <c r="EH9" s="375"/>
      <c r="EI9" s="183"/>
      <c r="EJ9" s="380"/>
      <c r="EK9" s="380"/>
      <c r="EL9" s="1617"/>
      <c r="EM9" s="1618"/>
      <c r="EN9" s="422"/>
      <c r="EO9" s="1613"/>
      <c r="EP9" s="422"/>
      <c r="EQ9" s="1613"/>
      <c r="ER9" s="422"/>
      <c r="ES9" s="1613"/>
      <c r="ET9" s="422"/>
      <c r="EU9" s="8"/>
      <c r="EV9" s="1673"/>
      <c r="EW9" s="1674"/>
      <c r="EX9" s="1675"/>
      <c r="EY9" s="399"/>
      <c r="FA9" s="3144" t="s">
        <v>740</v>
      </c>
      <c r="FB9" s="3144"/>
      <c r="FC9" s="3144"/>
      <c r="FD9" s="3144"/>
      <c r="FE9" s="3144"/>
      <c r="FF9" s="3144"/>
      <c r="FG9" s="42"/>
      <c r="FU9" s="3037" t="s">
        <v>5362</v>
      </c>
    </row>
    <row r="10" spans="1:255" s="3" customFormat="1" ht="61.5" customHeight="1" thickBot="1">
      <c r="A10" s="3172" t="s">
        <v>3562</v>
      </c>
      <c r="B10" s="3175" t="s">
        <v>3397</v>
      </c>
      <c r="C10" s="3177" t="s">
        <v>3563</v>
      </c>
      <c r="D10" s="3362" t="s">
        <v>2564</v>
      </c>
      <c r="E10" s="3361" t="s">
        <v>3398</v>
      </c>
      <c r="F10" s="3156" t="s">
        <v>55</v>
      </c>
      <c r="G10" s="3156" t="s">
        <v>56</v>
      </c>
      <c r="H10" s="1096" t="str">
        <f>CONCATENATE("FILTER OP :",I3,"
Crit 1: ",I4,"
Crit 2 ",I5)</f>
        <v xml:space="preserve">FILTER OP :Aucun filtre est appliqué
Crit 1: 
Crit 2 </v>
      </c>
      <c r="I10" s="1087" t="s">
        <v>1290</v>
      </c>
      <c r="J10" s="3168" t="s">
        <v>2928</v>
      </c>
      <c r="K10" s="3168" t="s">
        <v>3440</v>
      </c>
      <c r="L10" s="1087" t="s">
        <v>1291</v>
      </c>
      <c r="M10" s="3166" t="s">
        <v>1000</v>
      </c>
      <c r="N10" s="3168" t="s">
        <v>1629</v>
      </c>
      <c r="O10" s="3158" t="s">
        <v>1630</v>
      </c>
      <c r="P10" s="3170" t="s">
        <v>1333</v>
      </c>
      <c r="Q10" s="3156" t="s">
        <v>1331</v>
      </c>
      <c r="R10" s="3156" t="s">
        <v>1332</v>
      </c>
      <c r="S10" s="3168" t="s">
        <v>3441</v>
      </c>
      <c r="T10" s="3193" t="s">
        <v>4475</v>
      </c>
      <c r="U10" s="3" t="s">
        <v>3442</v>
      </c>
      <c r="V10" s="3037" t="s">
        <v>5432</v>
      </c>
      <c r="W10" s="3209" t="s">
        <v>3394</v>
      </c>
      <c r="X10" s="3207" t="s">
        <v>1505</v>
      </c>
      <c r="Y10" s="3083" t="s">
        <v>1013</v>
      </c>
      <c r="Z10" s="3083" t="s">
        <v>1014</v>
      </c>
      <c r="AA10" s="3321"/>
      <c r="AB10" s="37" t="s">
        <v>2091</v>
      </c>
      <c r="AC10" s="38"/>
      <c r="AD10" s="3319" t="s">
        <v>2653</v>
      </c>
      <c r="AE10" s="3158" t="s">
        <v>746</v>
      </c>
      <c r="AF10" s="3158" t="s">
        <v>4536</v>
      </c>
      <c r="AG10" s="3158" t="s">
        <v>1987</v>
      </c>
      <c r="AH10" s="3158" t="s">
        <v>2961</v>
      </c>
      <c r="AI10" s="3158" t="s">
        <v>1069</v>
      </c>
      <c r="AJ10" s="3158" t="s">
        <v>1070</v>
      </c>
      <c r="AK10" s="3319" t="s">
        <v>2653</v>
      </c>
      <c r="AL10" s="3158" t="s">
        <v>3014</v>
      </c>
      <c r="AM10" s="3158" t="s">
        <v>4540</v>
      </c>
      <c r="AN10" s="3158" t="s">
        <v>747</v>
      </c>
      <c r="AO10" s="3158" t="s">
        <v>4539</v>
      </c>
      <c r="AP10" s="18"/>
      <c r="AQ10" s="19"/>
      <c r="AR10" s="18"/>
      <c r="AS10" s="19"/>
      <c r="AT10" s="18"/>
      <c r="AU10" s="19"/>
      <c r="AV10" s="3209" t="s">
        <v>3400</v>
      </c>
      <c r="AW10" s="3224" t="str">
        <f>"Traitement indexée 
'Année clôturée'  : "&amp; ANNEE-1</f>
        <v>Traitement indexée 
'Année clôturée'  : 2026</v>
      </c>
      <c r="AX10" s="3201" t="str">
        <f>"Traitement indexée 
Année à budgetiser  : "&amp; ANNEE</f>
        <v>Traitement indexée 
Année à budgetiser  : 2027</v>
      </c>
      <c r="AY10" s="3128" t="s">
        <v>410</v>
      </c>
      <c r="AZ10" s="3129"/>
      <c r="BA10" s="3129"/>
      <c r="BB10" s="3214" t="s">
        <v>1612</v>
      </c>
      <c r="BC10" s="3213"/>
      <c r="BD10" s="3378" t="s">
        <v>4215</v>
      </c>
      <c r="BE10" s="3129" t="str">
        <f>CONCATENATE(" #  =&gt;",COUNTIF(BE17:BE400,"4/5s")," MP en 4/5s                             #  =&gt;",COUNTIF(BE17:BE400,"50%")," MP départ anticipé 50%")</f>
        <v xml:space="preserve"> #  =&gt;0 MP en 4/5s                             #  =&gt;0 MP départ anticipé 50%</v>
      </c>
      <c r="BF10" s="3129"/>
      <c r="BG10" s="3122"/>
      <c r="BH10" s="3205" t="s">
        <v>3780</v>
      </c>
      <c r="BI10" s="3379" t="str">
        <f>"Pécule de Vacances * [Uxx]
=&gt; 92 % pourcentage du Trt" &amp;
" 32 - lcd     "</f>
        <v xml:space="preserve">Pécule de Vacances * [Uxx]
=&gt; 92 % pourcentage du Trt 32 - lcd     </v>
      </c>
      <c r="BJ10" s="3205" t="s">
        <v>3781</v>
      </c>
      <c r="BK10" s="356" t="s">
        <v>4216</v>
      </c>
      <c r="BL10" s="370" t="s">
        <v>4217</v>
      </c>
      <c r="BM10" s="348"/>
      <c r="BN10" s="240"/>
      <c r="BO10" s="240"/>
      <c r="BP10" s="284" t="s">
        <v>225</v>
      </c>
      <c r="BQ10" s="182" t="s">
        <v>226</v>
      </c>
      <c r="BR10" s="195" t="s">
        <v>523</v>
      </c>
      <c r="BS10" s="3129" t="str">
        <f>IF(BR3/1976&gt;0.8,CONCATENATE("-EQP: ",ROUND(BR3/1976,2)),"")</f>
        <v/>
      </c>
      <c r="BT10" s="3122"/>
      <c r="BU10" s="195" t="s">
        <v>523</v>
      </c>
      <c r="BV10" s="3129" t="s">
        <v>538</v>
      </c>
      <c r="BW10" s="3122" t="s">
        <v>538</v>
      </c>
      <c r="BX10" s="195" t="s">
        <v>523</v>
      </c>
      <c r="BY10" s="3129" t="s">
        <v>538</v>
      </c>
      <c r="BZ10" s="3122" t="s">
        <v>538</v>
      </c>
      <c r="CA10" s="195" t="s">
        <v>523</v>
      </c>
      <c r="CB10" s="3129" t="s">
        <v>538</v>
      </c>
      <c r="CC10" s="3122" t="s">
        <v>538</v>
      </c>
      <c r="CD10" s="195" t="s">
        <v>523</v>
      </c>
      <c r="CE10" s="3129" t="s">
        <v>538</v>
      </c>
      <c r="CF10" s="3122" t="s">
        <v>538</v>
      </c>
      <c r="CG10" s="195" t="s">
        <v>1092</v>
      </c>
      <c r="CH10" s="3129" t="s">
        <v>538</v>
      </c>
      <c r="CI10" s="3122" t="s">
        <v>538</v>
      </c>
      <c r="CJ10" s="1134" t="s">
        <v>3518</v>
      </c>
      <c r="CK10" s="3129" t="s">
        <v>3521</v>
      </c>
      <c r="CL10" s="3122"/>
      <c r="CM10" s="1572" t="s">
        <v>3513</v>
      </c>
      <c r="CN10" s="3138" t="s">
        <v>2483</v>
      </c>
      <c r="CO10" s="3139"/>
      <c r="CP10" s="3306" t="s">
        <v>2026</v>
      </c>
      <c r="CQ10" s="1573" t="e">
        <f>VLOOKUP(ZoneNr,BILGR,6,0)</f>
        <v>#N/A</v>
      </c>
      <c r="CR10" s="1546"/>
      <c r="CS10" s="401" t="s">
        <v>892</v>
      </c>
      <c r="CT10" s="3129" t="s">
        <v>538</v>
      </c>
      <c r="CU10" s="3122" t="s">
        <v>538</v>
      </c>
      <c r="CV10" s="3306" t="s">
        <v>3643</v>
      </c>
      <c r="CW10" s="3352" t="s">
        <v>3994</v>
      </c>
      <c r="CX10" s="3353"/>
      <c r="CY10" s="3306" t="s">
        <v>3643</v>
      </c>
      <c r="CZ10" s="3356" t="s">
        <v>820</v>
      </c>
      <c r="DA10" s="3357"/>
      <c r="DB10" s="3342" t="s">
        <v>5279</v>
      </c>
      <c r="DC10" s="3344" t="s">
        <v>5280</v>
      </c>
      <c r="DD10" s="3345"/>
      <c r="DE10" s="3306" t="s">
        <v>3643</v>
      </c>
      <c r="DF10" s="1715" t="s">
        <v>3598</v>
      </c>
      <c r="DG10" s="1293" t="s">
        <v>815</v>
      </c>
      <c r="DH10" s="3306" t="s">
        <v>816</v>
      </c>
      <c r="DI10" s="1715" t="s">
        <v>3598</v>
      </c>
      <c r="DJ10" s="1293" t="s">
        <v>815</v>
      </c>
      <c r="DK10" s="3040" t="s">
        <v>468</v>
      </c>
      <c r="DL10" s="3041"/>
      <c r="DM10" s="3042"/>
      <c r="DN10" s="3086" t="s">
        <v>2029</v>
      </c>
      <c r="DO10" s="3088" t="s">
        <v>2028</v>
      </c>
      <c r="DP10" s="3089"/>
      <c r="DQ10" s="3086" t="s">
        <v>2026</v>
      </c>
      <c r="DR10" s="3088" t="s">
        <v>2028</v>
      </c>
      <c r="DS10" s="3089"/>
      <c r="DT10" s="3086" t="s">
        <v>2026</v>
      </c>
      <c r="DU10" s="3088" t="s">
        <v>2028</v>
      </c>
      <c r="DV10" s="3089"/>
      <c r="DW10" s="330" t="s">
        <v>4315</v>
      </c>
      <c r="DX10" s="3088" t="s">
        <v>4314</v>
      </c>
      <c r="DY10" s="3122"/>
      <c r="DZ10" s="3086" t="s">
        <v>2027</v>
      </c>
      <c r="EA10" s="3088" t="s">
        <v>2028</v>
      </c>
      <c r="EB10" s="3089"/>
      <c r="EC10" s="3086" t="s">
        <v>2026</v>
      </c>
      <c r="ED10" s="3088" t="s">
        <v>2028</v>
      </c>
      <c r="EE10" s="3089"/>
      <c r="EF10" s="3086" t="s">
        <v>2026</v>
      </c>
      <c r="EG10" s="3088" t="s">
        <v>2028</v>
      </c>
      <c r="EH10" s="3089"/>
      <c r="EI10" s="396"/>
      <c r="EJ10" s="402"/>
      <c r="EK10" s="295"/>
      <c r="EL10" s="3375">
        <v>9500</v>
      </c>
      <c r="EM10" s="3248"/>
      <c r="EN10" s="3247" t="s">
        <v>968</v>
      </c>
      <c r="EO10" s="3248"/>
      <c r="EP10" s="3247">
        <v>9500</v>
      </c>
      <c r="EQ10" s="3248"/>
      <c r="ER10" s="3337" t="str">
        <f xml:space="preserve"> IF(PatrATAO="No","Charges patronales exclus","! Charges patronales incluse !")</f>
        <v>! Charges patronales incluse !</v>
      </c>
      <c r="ES10" s="3338"/>
      <c r="ET10" s="3247">
        <v>9593</v>
      </c>
      <c r="EU10" s="3130"/>
      <c r="EV10" s="3369" t="s">
        <v>891</v>
      </c>
      <c r="EW10" s="3370"/>
      <c r="EX10" s="3335" t="str">
        <f>FormAide!D62 &amp; "C)"</f>
        <v>Partie fixe de l'allocation de fin d'année (AFA)
Base de la charge Patronale &amp; Subvention Sociale IIC)</v>
      </c>
      <c r="EY10" s="3333"/>
      <c r="EZ10" s="3334"/>
      <c r="FA10" s="947"/>
      <c r="FB10" s="947"/>
      <c r="FC10" s="947"/>
      <c r="FD10" s="947"/>
      <c r="FE10" s="947"/>
      <c r="FF10" s="947"/>
      <c r="FG10" s="546"/>
      <c r="FU10" s="3037"/>
      <c r="FV10" s="3038" t="s">
        <v>5359</v>
      </c>
      <c r="FW10" s="3038"/>
    </row>
    <row r="11" spans="1:255" s="19" customFormat="1" ht="120.75" customHeight="1">
      <c r="A11" s="3174"/>
      <c r="B11" s="3176"/>
      <c r="C11" s="3178"/>
      <c r="D11" s="3180"/>
      <c r="E11" s="3178"/>
      <c r="F11" s="3157"/>
      <c r="G11" s="3157"/>
      <c r="H11" s="98" t="s">
        <v>1281</v>
      </c>
      <c r="I11" s="18" t="s">
        <v>3443</v>
      </c>
      <c r="J11" s="3159"/>
      <c r="K11" s="3159"/>
      <c r="L11" s="1101" t="s">
        <v>3517</v>
      </c>
      <c r="M11" s="3167"/>
      <c r="N11" s="3159"/>
      <c r="O11" s="3159"/>
      <c r="P11" s="3171"/>
      <c r="Q11" s="3157"/>
      <c r="R11" s="3157"/>
      <c r="S11" s="3159"/>
      <c r="T11" s="3194"/>
      <c r="U11" s="18" t="s">
        <v>3444</v>
      </c>
      <c r="V11" s="3169"/>
      <c r="W11" s="3169"/>
      <c r="X11" s="3208" t="s">
        <v>1505</v>
      </c>
      <c r="Y11" s="3084"/>
      <c r="Z11" s="3084"/>
      <c r="AA11" s="3322"/>
      <c r="AB11" s="18" t="s">
        <v>3300</v>
      </c>
      <c r="AC11" s="18" t="s">
        <v>2023</v>
      </c>
      <c r="AD11" s="3320"/>
      <c r="AE11" s="3159"/>
      <c r="AF11" s="3159"/>
      <c r="AG11" s="3159"/>
      <c r="AH11" s="3159"/>
      <c r="AI11" s="3159"/>
      <c r="AJ11" s="3159"/>
      <c r="AK11" s="3320"/>
      <c r="AL11" s="3159"/>
      <c r="AM11" s="3159"/>
      <c r="AN11" s="3159"/>
      <c r="AO11" s="3159"/>
      <c r="AP11" s="18" t="s">
        <v>1452</v>
      </c>
      <c r="AQ11" s="18"/>
      <c r="AR11" s="18" t="s">
        <v>6</v>
      </c>
      <c r="AS11" s="18"/>
      <c r="AT11" s="18" t="s">
        <v>2086</v>
      </c>
      <c r="AU11" s="18"/>
      <c r="AV11" s="3169"/>
      <c r="AW11" s="3225"/>
      <c r="AX11" s="3202"/>
      <c r="AY11" s="3365" t="s">
        <v>2480</v>
      </c>
      <c r="AZ11" s="3082"/>
      <c r="BA11" s="3082"/>
      <c r="BB11" s="3214" t="s">
        <v>4214</v>
      </c>
      <c r="BC11" s="3213"/>
      <c r="BD11" s="3218"/>
      <c r="BE11" s="3041" t="s">
        <v>2481</v>
      </c>
      <c r="BF11" s="3041"/>
      <c r="BG11" s="3042"/>
      <c r="BH11" s="3206" t="s">
        <v>3779</v>
      </c>
      <c r="BI11" s="3380"/>
      <c r="BJ11" s="3206" t="s">
        <v>3779</v>
      </c>
      <c r="BK11" s="3234" t="s">
        <v>2243</v>
      </c>
      <c r="BL11" s="3235"/>
      <c r="BM11" s="21"/>
      <c r="BN11" s="21"/>
      <c r="BO11" s="21"/>
      <c r="BP11" s="195" t="s">
        <v>1964</v>
      </c>
      <c r="BQ11" s="21" t="s">
        <v>1964</v>
      </c>
      <c r="BR11" s="3040" t="s">
        <v>2482</v>
      </c>
      <c r="BS11" s="3041"/>
      <c r="BT11" s="3042"/>
      <c r="BU11" s="3040" t="s">
        <v>2624</v>
      </c>
      <c r="BV11" s="3041"/>
      <c r="BW11" s="3042"/>
      <c r="BX11" s="3040" t="s">
        <v>1616</v>
      </c>
      <c r="BY11" s="3041"/>
      <c r="BZ11" s="3042"/>
      <c r="CA11" s="3040" t="s">
        <v>1617</v>
      </c>
      <c r="CB11" s="3041"/>
      <c r="CC11" s="3042"/>
      <c r="CD11" s="3040" t="s">
        <v>3943</v>
      </c>
      <c r="CE11" s="3041"/>
      <c r="CF11" s="3041"/>
      <c r="CG11" s="3040" t="s">
        <v>3817</v>
      </c>
      <c r="CH11" s="3041"/>
      <c r="CI11" s="3042"/>
      <c r="CJ11" s="195" t="s">
        <v>3519</v>
      </c>
      <c r="CK11" s="3074" t="s">
        <v>5303</v>
      </c>
      <c r="CL11" s="3075"/>
      <c r="CM11" s="210" t="s">
        <v>3514</v>
      </c>
      <c r="CN11" s="3041" t="s">
        <v>2354</v>
      </c>
      <c r="CO11" s="3239"/>
      <c r="CP11" s="3307" t="str">
        <f>IF(MAX(CP15:CP199)=4,"4=Bilinguisme 
Connaisance ancien Statut!",IF(bilzon="N","Connaissance Utile","Connaissance requise"))</f>
        <v>Connaissance requise</v>
      </c>
      <c r="CQ11" s="3348" t="str">
        <f>IF(MAX(CO15:CO200)=4,"4=Bilinguisme
-
Bilinguisme requise &amp;
Ancien Statut !!",IF(bilzon="N","Bilinguisme utile","Bilinguisme
requise"))</f>
        <v>Bilinguisme
requise</v>
      </c>
      <c r="CR11" s="3349"/>
      <c r="CS11" s="3358" t="str">
        <f>"Autres langues  "&amp; IF(MAX(CS15:CS200)&gt;6,"
Dans le cas où plus d'une langue est acquis  renseigne le nombre","
Une  formule est écrasée")</f>
        <v>Autres langues  
Une  formule est écrasée</v>
      </c>
      <c r="CT11" s="3359"/>
      <c r="CU11" s="3360"/>
      <c r="CV11" s="3307"/>
      <c r="CW11" s="3354"/>
      <c r="CX11" s="3355"/>
      <c r="CY11" s="3307"/>
      <c r="CZ11" s="3326" t="s">
        <v>5317</v>
      </c>
      <c r="DA11" s="3327"/>
      <c r="DB11" s="3343"/>
      <c r="DC11" s="3346"/>
      <c r="DD11" s="3347"/>
      <c r="DE11" s="3307"/>
      <c r="DF11" s="3350" t="s">
        <v>2484</v>
      </c>
      <c r="DG11" s="3351" t="s">
        <v>818</v>
      </c>
      <c r="DH11" s="3307"/>
      <c r="DI11" s="3350" t="s">
        <v>938</v>
      </c>
      <c r="DJ11" s="3351" t="s">
        <v>817</v>
      </c>
      <c r="DK11" s="3081" t="str">
        <f>FormAide!D41</f>
        <v>Allocation "Fixe"  Montant indexé du moteur salariale</v>
      </c>
      <c r="DL11" s="3082"/>
      <c r="DM11" s="3082"/>
      <c r="DN11" s="3087"/>
      <c r="DO11" s="3041" t="s">
        <v>969</v>
      </c>
      <c r="DP11" s="3041"/>
      <c r="DQ11" s="3087"/>
      <c r="DR11" s="3041" t="s">
        <v>4547</v>
      </c>
      <c r="DS11" s="3041"/>
      <c r="DT11" s="3087"/>
      <c r="DU11" s="3085" t="s">
        <v>4316</v>
      </c>
      <c r="DV11" s="3042"/>
      <c r="DW11" s="3339" t="s">
        <v>2734</v>
      </c>
      <c r="DX11" s="3340"/>
      <c r="DY11" s="3341"/>
      <c r="DZ11" s="3087"/>
      <c r="EA11" s="3041" t="s">
        <v>3294</v>
      </c>
      <c r="EB11" s="3041"/>
      <c r="EC11" s="3087"/>
      <c r="ED11" s="3041" t="s">
        <v>4304</v>
      </c>
      <c r="EE11" s="3041"/>
      <c r="EF11" s="3087"/>
      <c r="EG11" s="3041" t="s">
        <v>4305</v>
      </c>
      <c r="EH11" s="3041"/>
      <c r="EI11" s="3376" t="str">
        <f>FormAide!D55</f>
        <v>Autres Indemnités</v>
      </c>
      <c r="EJ11" s="3377"/>
      <c r="EK11" s="3377"/>
      <c r="EL11" s="3246" t="str">
        <f>FormAide!D56</f>
        <v>Cotisations  Patronales Ordinaires sur Allocations Fixes, Traitement, Mandat, Supplém Sem volontaire4jrs &amp; partie fixe AFA"</v>
      </c>
      <c r="EM11" s="3238"/>
      <c r="EN11" s="3237" t="str">
        <f>FormAide!D57</f>
        <v>Côtisations patronales pensions sur Traitement, Mandat et allocations fixes</v>
      </c>
      <c r="EO11" s="3238" t="s">
        <v>449</v>
      </c>
      <c r="EP11" s="3237" t="str">
        <f>FormAide!D58</f>
        <v>Cotisations patronales ordinaires sur les Allocations Variables</v>
      </c>
      <c r="EQ11" s="3238"/>
      <c r="ER11" s="3237" t="s">
        <v>1364</v>
      </c>
      <c r="ES11" s="3238"/>
      <c r="ET11" s="3237" t="str">
        <f>FormAide!D60</f>
        <v>Cotisations service social :  0,15%</v>
      </c>
      <c r="EU11" s="3041"/>
      <c r="EV11" s="3371" t="s">
        <v>891</v>
      </c>
      <c r="EW11" s="3372"/>
      <c r="EX11" s="3336"/>
      <c r="EY11" s="3332" t="s">
        <v>2065</v>
      </c>
      <c r="EZ11" s="3152"/>
      <c r="FA11" s="3331" t="str">
        <f>"Calcul de la Subvention Sociale  II A+B
&amp; Mandat 
&amp; PatrAFAFixe  " &amp; ANNEE</f>
        <v>Calcul de la Subvention Sociale  II A+B
&amp; Mandat 
&amp; PatrAFAFixe  2027</v>
      </c>
      <c r="FB11" s="3331"/>
      <c r="FC11" s="3152" t="s">
        <v>3403</v>
      </c>
      <c r="FD11" s="3152"/>
      <c r="FE11" s="3151" t="s">
        <v>2070</v>
      </c>
      <c r="FF11" s="3151"/>
      <c r="FG11" s="65" t="s">
        <v>1083</v>
      </c>
      <c r="FH11" s="65" t="s">
        <v>4177</v>
      </c>
      <c r="FI11" s="21" t="s">
        <v>2071</v>
      </c>
      <c r="FJ11" s="21" t="s">
        <v>2072</v>
      </c>
      <c r="FK11" s="21" t="s">
        <v>819</v>
      </c>
      <c r="FL11" s="21" t="s">
        <v>2074</v>
      </c>
      <c r="FM11" s="21" t="s">
        <v>2075</v>
      </c>
      <c r="FN11" s="21" t="s">
        <v>4073</v>
      </c>
      <c r="FO11" s="21" t="s">
        <v>890</v>
      </c>
      <c r="FP11" s="1913" t="s">
        <v>3293</v>
      </c>
      <c r="FQ11" s="182" t="s">
        <v>1561</v>
      </c>
      <c r="FR11" s="182" t="s">
        <v>3396</v>
      </c>
      <c r="FS11" s="182" t="s">
        <v>3395</v>
      </c>
      <c r="FT11" s="182" t="s">
        <v>5244</v>
      </c>
      <c r="FU11" s="3037"/>
      <c r="FV11" s="19">
        <f>MTC_QPP</f>
        <v>1.0900000000000001</v>
      </c>
      <c r="FW11" s="19">
        <f>MTC_Patr</f>
        <v>4.91</v>
      </c>
      <c r="FX11" s="182" t="s">
        <v>5896</v>
      </c>
      <c r="FY11" s="182" t="s">
        <v>5888</v>
      </c>
    </row>
    <row r="12" spans="1:255" s="60" customFormat="1" ht="25.5" customHeight="1">
      <c r="A12" s="61"/>
      <c r="B12" s="61"/>
      <c r="C12" s="61"/>
      <c r="D12" s="61"/>
      <c r="E12" s="105"/>
      <c r="F12" s="106"/>
      <c r="G12" s="107"/>
      <c r="H12" s="107"/>
      <c r="I12" s="105"/>
      <c r="J12" s="105"/>
      <c r="K12" s="61">
        <f>ANNEE-1</f>
        <v>2026</v>
      </c>
      <c r="L12" s="105"/>
      <c r="M12" s="105"/>
      <c r="N12" s="105"/>
      <c r="O12" s="105"/>
      <c r="P12" s="105"/>
      <c r="Q12" s="105"/>
      <c r="R12" s="3366" t="s">
        <v>1289</v>
      </c>
      <c r="S12" s="3367"/>
      <c r="T12" s="3367"/>
      <c r="U12" s="3364"/>
      <c r="V12" s="180"/>
      <c r="W12" s="180"/>
      <c r="X12" s="180"/>
      <c r="Y12" s="62"/>
      <c r="Z12" s="62"/>
      <c r="AA12" s="62"/>
      <c r="AB12" s="62"/>
      <c r="AC12" s="62"/>
      <c r="AD12" s="127"/>
      <c r="AE12" s="62"/>
      <c r="AF12" s="62"/>
      <c r="AG12" s="62"/>
      <c r="AH12" s="62"/>
      <c r="AI12" s="62"/>
      <c r="AJ12" s="62"/>
      <c r="AK12" s="127"/>
      <c r="AL12" s="62"/>
      <c r="AM12" s="62"/>
      <c r="AN12" s="62"/>
      <c r="AO12" s="62"/>
      <c r="AP12" s="62"/>
      <c r="AQ12" s="62"/>
      <c r="AR12" s="62"/>
      <c r="AS12" s="62"/>
      <c r="AT12" s="62"/>
      <c r="AU12" s="62"/>
      <c r="AV12" s="62"/>
      <c r="AW12" s="3363" t="str">
        <f>FormAide!B5</f>
        <v>111-01/00</v>
      </c>
      <c r="AX12" s="3364"/>
      <c r="AY12" s="1271" t="s">
        <v>664</v>
      </c>
      <c r="AZ12" s="3060" t="s">
        <v>3071</v>
      </c>
      <c r="BA12" s="3047"/>
      <c r="BB12" s="3046" t="str">
        <f>FormAide!C9</f>
        <v>111-01/02</v>
      </c>
      <c r="BC12" s="3061"/>
      <c r="BD12" s="179"/>
      <c r="BE12" s="1874"/>
      <c r="BF12" s="3046" t="str">
        <f>FormAide!B10</f>
        <v>111-01/04</v>
      </c>
      <c r="BG12" s="3048"/>
      <c r="BH12" s="3060" t="str">
        <f>FormAide!B11</f>
        <v>112-01</v>
      </c>
      <c r="BI12" s="3048"/>
      <c r="BJ12" s="3060" t="str">
        <f>FormAide!B12&amp;"       
"&amp; FormAide!C13</f>
        <v>111-01/12_F       
111-01/12_V</v>
      </c>
      <c r="BK12" s="3047"/>
      <c r="BL12" s="3048"/>
      <c r="BM12" s="62"/>
      <c r="BN12" s="62"/>
      <c r="BO12" s="62"/>
      <c r="BP12" s="263"/>
      <c r="BQ12" s="13"/>
      <c r="BR12" s="3060" t="str">
        <f>FormAide!B16</f>
        <v>111-08/00</v>
      </c>
      <c r="BS12" s="3047"/>
      <c r="BT12" s="3048"/>
      <c r="BU12" s="3060" t="str">
        <f>FormAide!B17</f>
        <v>111-08/01</v>
      </c>
      <c r="BV12" s="3047"/>
      <c r="BW12" s="3048"/>
      <c r="BX12" s="3060" t="str">
        <f>FormAide!B18</f>
        <v>111-08/20</v>
      </c>
      <c r="BY12" s="3047"/>
      <c r="BZ12" s="3048"/>
      <c r="CA12" s="3060" t="str">
        <f>FormAide!B19</f>
        <v>111-08/21</v>
      </c>
      <c r="CB12" s="3047"/>
      <c r="CC12" s="3048"/>
      <c r="CD12" s="3060" t="str">
        <f>FormAide!C20</f>
        <v>111-08/03</v>
      </c>
      <c r="CE12" s="3047"/>
      <c r="CF12" s="3048"/>
      <c r="CG12" s="3060" t="str">
        <f>FormAide!B24</f>
        <v>111-08/07</v>
      </c>
      <c r="CH12" s="3047"/>
      <c r="CI12" s="3048"/>
      <c r="CJ12" s="3308" t="str">
        <f>FormAide!$C$28</f>
        <v>111-01/07</v>
      </c>
      <c r="CK12" s="3309"/>
      <c r="CL12" s="3310"/>
      <c r="CM12" s="3309" t="str">
        <f>FormAide!B31</f>
        <v>111-01/40</v>
      </c>
      <c r="CN12" s="3309"/>
      <c r="CO12" s="3310"/>
      <c r="CP12" s="3308" t="str">
        <f>FormAide!C33</f>
        <v>111-01/50</v>
      </c>
      <c r="CQ12" s="3309"/>
      <c r="CR12" s="3310"/>
      <c r="CS12" s="3308" t="str">
        <f>FormAide!B34</f>
        <v>111-01/51</v>
      </c>
      <c r="CT12" s="3309"/>
      <c r="CU12" s="3310"/>
      <c r="CV12" s="3308" t="str">
        <f>FormAide!B35</f>
        <v>111-01/78-79-80-81</v>
      </c>
      <c r="CW12" s="3309"/>
      <c r="CX12" s="3310"/>
      <c r="CY12" s="3308" t="str">
        <f>FormAide!B36</f>
        <v>111-01/82</v>
      </c>
      <c r="CZ12" s="3309"/>
      <c r="DA12" s="3310"/>
      <c r="DB12" s="3308" t="s">
        <v>5274</v>
      </c>
      <c r="DC12" s="3309"/>
      <c r="DD12" s="3310"/>
      <c r="DE12" s="3308" t="str">
        <f>FormAide!B39</f>
        <v>111-01/14</v>
      </c>
      <c r="DF12" s="3309"/>
      <c r="DG12" s="3310"/>
      <c r="DH12" s="3060" t="str">
        <f>FormAide!$C$40</f>
        <v>111-08/90</v>
      </c>
      <c r="DI12" s="3047"/>
      <c r="DJ12" s="3047"/>
      <c r="DK12" s="1580" t="s">
        <v>3776</v>
      </c>
      <c r="DL12" s="3060" t="s">
        <v>2622</v>
      </c>
      <c r="DM12" s="3048"/>
      <c r="DN12" s="3110" t="str">
        <f>FormAide!C48</f>
        <v>115-01/10</v>
      </c>
      <c r="DO12" s="3285"/>
      <c r="DP12" s="3286"/>
      <c r="DQ12" s="3110" t="str">
        <f>FormAide!C49</f>
        <v>115-01/11</v>
      </c>
      <c r="DR12" s="3285"/>
      <c r="DS12" s="3286"/>
      <c r="DT12" s="3110" t="str">
        <f>FormAide!C50</f>
        <v>121-01</v>
      </c>
      <c r="DU12" s="3285"/>
      <c r="DV12" s="3286"/>
      <c r="DW12" s="3282" t="str">
        <f>FormAide!C44</f>
        <v>121-48/01</v>
      </c>
      <c r="DX12" s="3283"/>
      <c r="DY12" s="3328"/>
      <c r="DZ12" s="3110" t="str">
        <f>FormAide!C52</f>
        <v>121-48/20</v>
      </c>
      <c r="EA12" s="3285"/>
      <c r="EB12" s="3286"/>
      <c r="EC12" s="3110" t="str">
        <f>FormAide!C53</f>
        <v>121-48/21</v>
      </c>
      <c r="ED12" s="3285"/>
      <c r="EE12" s="3286"/>
      <c r="EF12" s="3110" t="str">
        <f>FormAide!C54</f>
        <v>121-48/22</v>
      </c>
      <c r="EG12" s="3285"/>
      <c r="EH12" s="3286"/>
      <c r="EI12" s="3325" t="str">
        <f>FormAide!C55</f>
        <v>121-48/99</v>
      </c>
      <c r="EJ12" s="3109"/>
      <c r="EK12" s="3109"/>
      <c r="EL12" s="3294" t="str">
        <f>FormAide!C56</f>
        <v>113-01</v>
      </c>
      <c r="EM12" s="3097"/>
      <c r="EN12" s="3096" t="str">
        <f>FormAide!C57</f>
        <v>113-21</v>
      </c>
      <c r="EO12" s="3097"/>
      <c r="EP12" s="3096" t="str">
        <f>FormAide!C58</f>
        <v>113-08</v>
      </c>
      <c r="EQ12" s="3097"/>
      <c r="ER12" s="3096" t="str">
        <f>FormAide!C59</f>
        <v>117-01</v>
      </c>
      <c r="ES12" s="3097"/>
      <c r="ET12" s="3096" t="str">
        <f>FormAide!C60</f>
        <v>118-01</v>
      </c>
      <c r="EU12" s="3047"/>
      <c r="EV12" s="3373"/>
      <c r="EW12" s="3374"/>
      <c r="EX12" s="1676" t="e">
        <f t="shared" ref="EX12:FF12" si="15">SUBTOTAL(9,EX15:EX200)</f>
        <v>#VALUE!</v>
      </c>
      <c r="EY12" s="1839" t="e">
        <f t="shared" si="15"/>
        <v>#N/A</v>
      </c>
      <c r="EZ12" s="1837" t="e">
        <f t="shared" si="15"/>
        <v>#N/A</v>
      </c>
      <c r="FA12" s="1840" t="e">
        <f t="shared" si="15"/>
        <v>#N/A</v>
      </c>
      <c r="FB12" s="1838" t="e">
        <f t="shared" si="15"/>
        <v>#N/A</v>
      </c>
      <c r="FC12" s="1840">
        <f t="shared" si="15"/>
        <v>0</v>
      </c>
      <c r="FD12" s="1838" t="e">
        <f t="shared" si="15"/>
        <v>#N/A</v>
      </c>
      <c r="FE12" s="1841" t="e">
        <f t="shared" si="15"/>
        <v>#N/A</v>
      </c>
      <c r="FF12" s="1838" t="e">
        <f t="shared" si="15"/>
        <v>#N/A</v>
      </c>
      <c r="FG12" s="254" t="s">
        <v>1502</v>
      </c>
      <c r="FH12" s="255"/>
      <c r="FI12" s="255"/>
      <c r="FJ12" s="255"/>
      <c r="FK12" s="19"/>
      <c r="FL12" s="64"/>
      <c r="FM12" s="64"/>
      <c r="FN12" s="64"/>
      <c r="FO12" s="14"/>
      <c r="FP12" s="14"/>
      <c r="FQ12" s="14"/>
      <c r="FR12" s="64"/>
      <c r="FS12" s="64"/>
      <c r="FT12" s="64"/>
      <c r="FU12" s="14" t="s">
        <v>5361</v>
      </c>
      <c r="FV12" s="14" t="s">
        <v>5349</v>
      </c>
      <c r="FW12" s="14" t="s">
        <v>5350</v>
      </c>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row>
    <row r="13" spans="1:255" s="126" customFormat="1" ht="13.5" customHeight="1">
      <c r="A13" s="26">
        <v>1</v>
      </c>
      <c r="B13" s="26">
        <v>2</v>
      </c>
      <c r="C13" s="26">
        <v>3</v>
      </c>
      <c r="D13" s="26">
        <v>4</v>
      </c>
      <c r="E13" s="103">
        <v>5</v>
      </c>
      <c r="F13" s="103">
        <v>6</v>
      </c>
      <c r="G13" s="103">
        <v>7</v>
      </c>
      <c r="H13" s="103">
        <v>8</v>
      </c>
      <c r="I13" s="103">
        <v>9</v>
      </c>
      <c r="J13" s="103">
        <v>10</v>
      </c>
      <c r="K13" s="2853" t="e">
        <v>#VALUE!</v>
      </c>
      <c r="L13" s="103">
        <v>12</v>
      </c>
      <c r="M13" s="103">
        <v>13</v>
      </c>
      <c r="N13" s="103">
        <v>14</v>
      </c>
      <c r="O13" s="103">
        <v>15</v>
      </c>
      <c r="P13" s="103">
        <v>16</v>
      </c>
      <c r="Q13" s="103">
        <v>17</v>
      </c>
      <c r="R13" s="103">
        <v>18</v>
      </c>
      <c r="S13" s="103">
        <v>19</v>
      </c>
      <c r="T13" s="103">
        <v>20</v>
      </c>
      <c r="U13" s="103">
        <v>21</v>
      </c>
      <c r="V13" s="103">
        <v>22</v>
      </c>
      <c r="W13" s="103">
        <v>23</v>
      </c>
      <c r="X13" s="103">
        <v>24</v>
      </c>
      <c r="Y13" s="103">
        <v>25</v>
      </c>
      <c r="Z13" s="103">
        <v>26</v>
      </c>
      <c r="AA13" s="103">
        <v>27</v>
      </c>
      <c r="AB13" s="103">
        <v>28</v>
      </c>
      <c r="AC13" s="103">
        <v>29</v>
      </c>
      <c r="AD13" s="103">
        <v>30</v>
      </c>
      <c r="AE13" s="103">
        <v>31</v>
      </c>
      <c r="AF13" s="103">
        <v>32</v>
      </c>
      <c r="AG13" s="103">
        <v>33</v>
      </c>
      <c r="AH13" s="103">
        <v>34</v>
      </c>
      <c r="AI13" s="103">
        <v>35</v>
      </c>
      <c r="AJ13" s="103">
        <v>36</v>
      </c>
      <c r="AK13" s="103">
        <v>37</v>
      </c>
      <c r="AL13" s="103">
        <v>38</v>
      </c>
      <c r="AM13" s="103">
        <v>39</v>
      </c>
      <c r="AN13" s="103">
        <v>40</v>
      </c>
      <c r="AO13" s="103">
        <v>41</v>
      </c>
      <c r="AP13" s="103">
        <v>42</v>
      </c>
      <c r="AQ13" s="103">
        <v>43</v>
      </c>
      <c r="AR13" s="103">
        <v>44</v>
      </c>
      <c r="AS13" s="103">
        <v>45</v>
      </c>
      <c r="AT13" s="103">
        <v>46</v>
      </c>
      <c r="AU13" s="103">
        <v>47</v>
      </c>
      <c r="AV13" s="184">
        <v>48</v>
      </c>
      <c r="AW13" s="285">
        <v>49</v>
      </c>
      <c r="AX13" s="227">
        <v>50</v>
      </c>
      <c r="AY13" s="1450">
        <v>51</v>
      </c>
      <c r="AZ13" s="227">
        <v>52</v>
      </c>
      <c r="BA13" s="325">
        <v>53</v>
      </c>
      <c r="BB13" s="184">
        <v>54</v>
      </c>
      <c r="BC13" s="227">
        <v>55</v>
      </c>
      <c r="BD13" s="103">
        <v>56</v>
      </c>
      <c r="BE13" s="1521">
        <v>57</v>
      </c>
      <c r="BF13" s="227">
        <v>58</v>
      </c>
      <c r="BG13" s="325">
        <v>59</v>
      </c>
      <c r="BH13" s="227">
        <v>60</v>
      </c>
      <c r="BI13" s="1451">
        <v>61</v>
      </c>
      <c r="BJ13" s="1521">
        <v>62</v>
      </c>
      <c r="BK13" s="227">
        <v>63</v>
      </c>
      <c r="BL13" s="325">
        <v>64</v>
      </c>
      <c r="BM13" s="227">
        <v>65</v>
      </c>
      <c r="BN13" s="227">
        <v>66</v>
      </c>
      <c r="BO13" s="1451">
        <v>67</v>
      </c>
      <c r="BP13" s="285">
        <v>68</v>
      </c>
      <c r="BQ13" s="325">
        <v>69</v>
      </c>
      <c r="BR13" s="1423">
        <v>70</v>
      </c>
      <c r="BS13" s="227">
        <v>71</v>
      </c>
      <c r="BT13" s="325">
        <v>72</v>
      </c>
      <c r="BU13" s="1423">
        <v>73</v>
      </c>
      <c r="BV13" s="227">
        <v>74</v>
      </c>
      <c r="BW13" s="325">
        <v>75</v>
      </c>
      <c r="BX13" s="1423">
        <v>76</v>
      </c>
      <c r="BY13" s="227">
        <v>77</v>
      </c>
      <c r="BZ13" s="325">
        <v>78</v>
      </c>
      <c r="CA13" s="1423">
        <v>79</v>
      </c>
      <c r="CB13" s="227">
        <v>80</v>
      </c>
      <c r="CC13" s="325">
        <v>81</v>
      </c>
      <c r="CD13" s="1423">
        <v>82</v>
      </c>
      <c r="CE13" s="227">
        <v>83</v>
      </c>
      <c r="CF13" s="325">
        <v>84</v>
      </c>
      <c r="CG13" s="1423">
        <v>85</v>
      </c>
      <c r="CH13" s="227">
        <v>86</v>
      </c>
      <c r="CI13" s="325">
        <v>87</v>
      </c>
      <c r="CJ13" s="1423">
        <v>88</v>
      </c>
      <c r="CK13" s="227">
        <v>89</v>
      </c>
      <c r="CL13" s="325">
        <v>90</v>
      </c>
      <c r="CM13" s="1423">
        <v>91</v>
      </c>
      <c r="CN13" s="227">
        <v>92</v>
      </c>
      <c r="CO13" s="325">
        <v>93</v>
      </c>
      <c r="CP13" s="1423">
        <v>94</v>
      </c>
      <c r="CQ13" s="227">
        <v>95</v>
      </c>
      <c r="CR13" s="325">
        <v>96</v>
      </c>
      <c r="CS13" s="1423">
        <v>97</v>
      </c>
      <c r="CT13" s="227">
        <v>98</v>
      </c>
      <c r="CU13" s="325">
        <v>99</v>
      </c>
      <c r="CV13" s="1423">
        <v>100</v>
      </c>
      <c r="CW13" s="227">
        <v>101</v>
      </c>
      <c r="CX13" s="325">
        <v>102</v>
      </c>
      <c r="CY13" s="1423">
        <v>103</v>
      </c>
      <c r="CZ13" s="227">
        <v>104</v>
      </c>
      <c r="DA13" s="325">
        <v>105</v>
      </c>
      <c r="DB13" s="1423">
        <v>106</v>
      </c>
      <c r="DC13" s="227">
        <v>107</v>
      </c>
      <c r="DD13" s="325">
        <v>108</v>
      </c>
      <c r="DE13" s="1423">
        <v>109</v>
      </c>
      <c r="DF13" s="227">
        <v>110</v>
      </c>
      <c r="DG13" s="325">
        <v>111</v>
      </c>
      <c r="DH13" s="1423">
        <v>112</v>
      </c>
      <c r="DI13" s="227">
        <v>113</v>
      </c>
      <c r="DJ13" s="325">
        <v>114</v>
      </c>
      <c r="DK13" s="1423">
        <v>115</v>
      </c>
      <c r="DL13" s="227">
        <v>116</v>
      </c>
      <c r="DM13" s="325">
        <v>117</v>
      </c>
      <c r="DN13" s="1423">
        <v>118</v>
      </c>
      <c r="DO13" s="227">
        <v>119</v>
      </c>
      <c r="DP13" s="325">
        <v>120</v>
      </c>
      <c r="DQ13" s="1423">
        <v>121</v>
      </c>
      <c r="DR13" s="227">
        <v>122</v>
      </c>
      <c r="DS13" s="325">
        <v>123</v>
      </c>
      <c r="DT13" s="1423">
        <v>124</v>
      </c>
      <c r="DU13" s="227">
        <v>125</v>
      </c>
      <c r="DV13" s="325">
        <v>126</v>
      </c>
      <c r="DW13" s="1423">
        <v>127</v>
      </c>
      <c r="DX13" s="227">
        <v>128</v>
      </c>
      <c r="DY13" s="325">
        <v>129</v>
      </c>
      <c r="DZ13" s="1423">
        <v>130</v>
      </c>
      <c r="EA13" s="227">
        <v>131</v>
      </c>
      <c r="EB13" s="325">
        <v>132</v>
      </c>
      <c r="EC13" s="1423">
        <v>133</v>
      </c>
      <c r="ED13" s="227">
        <v>134</v>
      </c>
      <c r="EE13" s="325">
        <v>135</v>
      </c>
      <c r="EF13" s="1423">
        <v>136</v>
      </c>
      <c r="EG13" s="227">
        <v>137</v>
      </c>
      <c r="EH13" s="227">
        <v>138</v>
      </c>
      <c r="EI13" s="1423">
        <v>139</v>
      </c>
      <c r="EJ13" s="227">
        <v>140</v>
      </c>
      <c r="EK13" s="227">
        <v>141</v>
      </c>
      <c r="EL13" s="1433">
        <v>142</v>
      </c>
      <c r="EM13" s="251">
        <v>143</v>
      </c>
      <c r="EN13" s="292">
        <v>144</v>
      </c>
      <c r="EO13" s="251">
        <v>145</v>
      </c>
      <c r="EP13" s="292">
        <v>146</v>
      </c>
      <c r="EQ13" s="251">
        <v>147</v>
      </c>
      <c r="ER13" s="292">
        <v>148</v>
      </c>
      <c r="ES13" s="251">
        <v>149</v>
      </c>
      <c r="ET13" s="292">
        <v>150</v>
      </c>
      <c r="EU13" s="227">
        <v>151</v>
      </c>
      <c r="EV13" s="1677">
        <v>152</v>
      </c>
      <c r="EW13" s="1678">
        <v>153</v>
      </c>
      <c r="EX13" s="251">
        <v>154</v>
      </c>
      <c r="EY13" s="227">
        <v>155</v>
      </c>
      <c r="EZ13" s="227">
        <v>156</v>
      </c>
      <c r="FA13" s="184">
        <v>157</v>
      </c>
      <c r="FB13" s="226">
        <v>158</v>
      </c>
      <c r="FC13" s="184">
        <v>159</v>
      </c>
      <c r="FD13" s="226">
        <v>160</v>
      </c>
      <c r="FE13" s="184">
        <v>161</v>
      </c>
      <c r="FF13" s="226">
        <v>162</v>
      </c>
      <c r="FG13" s="1745">
        <v>163</v>
      </c>
      <c r="FH13" s="1745">
        <v>164</v>
      </c>
      <c r="FI13" s="1745">
        <v>165</v>
      </c>
      <c r="FJ13" s="1745">
        <v>166</v>
      </c>
      <c r="FK13" s="1745">
        <v>167</v>
      </c>
      <c r="FL13" s="1745">
        <v>168</v>
      </c>
      <c r="FM13" s="1745">
        <v>169</v>
      </c>
      <c r="FN13" s="1745">
        <v>170</v>
      </c>
      <c r="FO13" s="1745">
        <v>171</v>
      </c>
      <c r="FP13" s="1745">
        <v>172</v>
      </c>
      <c r="FQ13" s="1745">
        <v>173</v>
      </c>
      <c r="FR13" s="1745">
        <v>174</v>
      </c>
      <c r="FS13" s="1745">
        <v>175</v>
      </c>
      <c r="FT13" s="1746">
        <v>176</v>
      </c>
      <c r="FU13" s="1745">
        <v>177</v>
      </c>
      <c r="FV13" s="1745">
        <v>178</v>
      </c>
      <c r="FW13" s="1745">
        <v>179</v>
      </c>
      <c r="FX13" s="1745">
        <v>180</v>
      </c>
      <c r="FY13" s="1745">
        <v>181</v>
      </c>
      <c r="FZ13" s="64"/>
      <c r="GA13" s="64"/>
      <c r="GB13" s="64"/>
      <c r="GC13" s="64"/>
      <c r="GD13" s="64"/>
      <c r="GE13" s="64"/>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row>
    <row r="14" spans="1:255" s="1022" customFormat="1" ht="12" customHeight="1" thickBot="1">
      <c r="A14" s="265" t="s">
        <v>1795</v>
      </c>
      <c r="B14" s="1009"/>
      <c r="C14" s="1010"/>
      <c r="D14" s="973" t="s">
        <v>1596</v>
      </c>
      <c r="E14" s="973" t="s">
        <v>3694</v>
      </c>
      <c r="F14" s="974" t="s">
        <v>4535</v>
      </c>
      <c r="G14" s="974" t="s">
        <v>3693</v>
      </c>
      <c r="H14" s="974" t="s">
        <v>1281</v>
      </c>
      <c r="I14" s="974" t="s">
        <v>3692</v>
      </c>
      <c r="J14" s="974" t="s">
        <v>4511</v>
      </c>
      <c r="K14" s="974" t="s">
        <v>3440</v>
      </c>
      <c r="L14" s="973" t="s">
        <v>4512</v>
      </c>
      <c r="M14" s="973" t="s">
        <v>3885</v>
      </c>
      <c r="N14" s="973" t="s">
        <v>3886</v>
      </c>
      <c r="O14" s="973" t="s">
        <v>1384</v>
      </c>
      <c r="P14" s="973" t="s">
        <v>3887</v>
      </c>
      <c r="Q14" s="1132" t="s">
        <v>2523</v>
      </c>
      <c r="R14" s="1132" t="s">
        <v>4510</v>
      </c>
      <c r="S14" s="1132" t="s">
        <v>3888</v>
      </c>
      <c r="T14" s="1011" t="s">
        <v>2563</v>
      </c>
      <c r="U14" s="1183">
        <v>100000</v>
      </c>
      <c r="V14" s="1012"/>
      <c r="W14" s="1012"/>
      <c r="X14" s="1013"/>
      <c r="Y14" s="1014"/>
      <c r="Z14" s="1014"/>
      <c r="AA14" s="1015"/>
      <c r="AB14" s="266"/>
      <c r="AC14" s="266"/>
      <c r="AD14" s="267"/>
      <c r="AE14" s="266"/>
      <c r="AF14" s="266"/>
      <c r="AG14" s="266"/>
      <c r="AH14" s="266"/>
      <c r="AI14" s="266"/>
      <c r="AJ14" s="266"/>
      <c r="AK14" s="267"/>
      <c r="AL14" s="266"/>
      <c r="AM14" s="266"/>
      <c r="AN14" s="266"/>
      <c r="AO14" s="266"/>
      <c r="AP14" s="266"/>
      <c r="AQ14" s="266"/>
      <c r="AR14" s="266"/>
      <c r="AS14" s="266"/>
      <c r="AT14" s="266"/>
      <c r="AU14" s="266"/>
      <c r="AV14" s="1016"/>
      <c r="AW14" s="1017">
        <f>ANNEE-1</f>
        <v>2026</v>
      </c>
      <c r="AX14" s="979">
        <f>ANNEE</f>
        <v>2027</v>
      </c>
      <c r="AY14" s="984"/>
      <c r="AZ14" s="980">
        <f>ANNEE-1</f>
        <v>2026</v>
      </c>
      <c r="BA14" s="979">
        <f>ANNEE</f>
        <v>2027</v>
      </c>
      <c r="BB14" s="995">
        <f>ANNEE-1</f>
        <v>2026</v>
      </c>
      <c r="BC14" s="1872">
        <f>ANNEE</f>
        <v>2027</v>
      </c>
      <c r="BD14" s="1018"/>
      <c r="BE14" s="1262"/>
      <c r="BF14" s="980">
        <f>ANNEE-1</f>
        <v>2026</v>
      </c>
      <c r="BG14" s="979">
        <f>ANNEE</f>
        <v>2027</v>
      </c>
      <c r="BH14" s="1541">
        <f>BI14-1</f>
        <v>2026</v>
      </c>
      <c r="BI14" s="1542">
        <f>ANNEE</f>
        <v>2027</v>
      </c>
      <c r="BJ14" s="1541">
        <f>BK14-1</f>
        <v>2026</v>
      </c>
      <c r="BK14" s="3311">
        <f>ANNEE</f>
        <v>2027</v>
      </c>
      <c r="BL14" s="3312"/>
      <c r="BM14" s="994"/>
      <c r="BN14" s="994"/>
      <c r="BO14" s="994"/>
      <c r="BP14" s="978">
        <f>ANNEE-1</f>
        <v>2026</v>
      </c>
      <c r="BQ14" s="979">
        <f>ANNEE</f>
        <v>2027</v>
      </c>
      <c r="BR14" s="984"/>
      <c r="BS14" s="980">
        <f>ANNEE-1</f>
        <v>2026</v>
      </c>
      <c r="BT14" s="985">
        <f>ANNEE</f>
        <v>2027</v>
      </c>
      <c r="BU14" s="984"/>
      <c r="BV14" s="980">
        <f>ANNEE-1</f>
        <v>2026</v>
      </c>
      <c r="BW14" s="985">
        <f>ANNEE</f>
        <v>2027</v>
      </c>
      <c r="BX14" s="984"/>
      <c r="BY14" s="980">
        <f>ANNEE-1</f>
        <v>2026</v>
      </c>
      <c r="BZ14" s="985">
        <f>ANNEE</f>
        <v>2027</v>
      </c>
      <c r="CA14" s="984"/>
      <c r="CB14" s="980">
        <f>ANNEE-1</f>
        <v>2026</v>
      </c>
      <c r="CC14" s="985">
        <f>ANNEE</f>
        <v>2027</v>
      </c>
      <c r="CD14" s="984"/>
      <c r="CE14" s="980">
        <f>ANNEE-1</f>
        <v>2026</v>
      </c>
      <c r="CF14" s="985">
        <f>ANNEE</f>
        <v>2027</v>
      </c>
      <c r="CG14" s="984"/>
      <c r="CH14" s="980">
        <f>ANNEE-1</f>
        <v>2026</v>
      </c>
      <c r="CI14" s="985">
        <f>ANNEE</f>
        <v>2027</v>
      </c>
      <c r="CJ14" s="1294"/>
      <c r="CK14" s="1295">
        <f>ANNEE-1</f>
        <v>2026</v>
      </c>
      <c r="CL14" s="1296">
        <f>ANNEE</f>
        <v>2027</v>
      </c>
      <c r="CM14" s="983"/>
      <c r="CN14" s="980">
        <f>ANNEE-1</f>
        <v>2026</v>
      </c>
      <c r="CO14" s="979">
        <f>ANNEE</f>
        <v>2027</v>
      </c>
      <c r="CP14" s="984"/>
      <c r="CQ14" s="980">
        <f>ANNEE-1</f>
        <v>2026</v>
      </c>
      <c r="CR14" s="979">
        <f>ANNEE</f>
        <v>2027</v>
      </c>
      <c r="CS14" s="984"/>
      <c r="CT14" s="980">
        <f>ANNEE-1</f>
        <v>2026</v>
      </c>
      <c r="CU14" s="979">
        <f>ANNEE</f>
        <v>2027</v>
      </c>
      <c r="CV14" s="984"/>
      <c r="CW14" s="980">
        <f>ANNEE-1</f>
        <v>2026</v>
      </c>
      <c r="CX14" s="979">
        <f>ANNEE</f>
        <v>2027</v>
      </c>
      <c r="CY14" s="984"/>
      <c r="CZ14" s="980">
        <f>ANNEE-1</f>
        <v>2026</v>
      </c>
      <c r="DA14" s="985">
        <f>ANNEE</f>
        <v>2027</v>
      </c>
      <c r="DB14" s="984"/>
      <c r="DC14" s="980">
        <f>ANNEE-1</f>
        <v>2026</v>
      </c>
      <c r="DD14" s="985">
        <f>ANNEE</f>
        <v>2027</v>
      </c>
      <c r="DE14" s="984"/>
      <c r="DF14" s="980">
        <f>+ANNEE-1</f>
        <v>2026</v>
      </c>
      <c r="DG14" s="985">
        <f>ANNEE</f>
        <v>2027</v>
      </c>
      <c r="DH14" s="984"/>
      <c r="DI14" s="980">
        <f>+ANNEE-1</f>
        <v>2026</v>
      </c>
      <c r="DJ14" s="985">
        <f>ANNEE</f>
        <v>2027</v>
      </c>
      <c r="DK14" s="984"/>
      <c r="DL14" s="980">
        <f>ANNEE-1</f>
        <v>2026</v>
      </c>
      <c r="DM14" s="979">
        <f>ANNEE</f>
        <v>2027</v>
      </c>
      <c r="DN14" s="984"/>
      <c r="DO14" s="980">
        <f>ANNEE-1</f>
        <v>2026</v>
      </c>
      <c r="DP14" s="979">
        <f>ANNEE</f>
        <v>2027</v>
      </c>
      <c r="DQ14" s="982"/>
      <c r="DR14" s="980">
        <f>ANNEE-1</f>
        <v>2026</v>
      </c>
      <c r="DS14" s="985">
        <f>ANNEE</f>
        <v>2027</v>
      </c>
      <c r="DT14" s="982"/>
      <c r="DU14" s="980">
        <f>ANNEE-1</f>
        <v>2026</v>
      </c>
      <c r="DV14" s="979">
        <f>ANNEE</f>
        <v>2027</v>
      </c>
      <c r="DW14" s="984"/>
      <c r="DX14" s="980">
        <f>ANNEE-1</f>
        <v>2026</v>
      </c>
      <c r="DY14" s="985">
        <f>ANNEE</f>
        <v>2027</v>
      </c>
      <c r="DZ14" s="979"/>
      <c r="EA14" s="980">
        <f>ANNEE-1</f>
        <v>2026</v>
      </c>
      <c r="EB14" s="979">
        <f>ANNEE</f>
        <v>2027</v>
      </c>
      <c r="EC14" s="982"/>
      <c r="ED14" s="980">
        <f>ANNEE-1</f>
        <v>2026</v>
      </c>
      <c r="EE14" s="979">
        <f>ANNEE</f>
        <v>2027</v>
      </c>
      <c r="EF14" s="982"/>
      <c r="EG14" s="980">
        <f>ANNEE-1</f>
        <v>2026</v>
      </c>
      <c r="EH14" s="979">
        <f>ANNEE</f>
        <v>2027</v>
      </c>
      <c r="EI14" s="982"/>
      <c r="EJ14" s="980">
        <f>ANNEE-1</f>
        <v>2026</v>
      </c>
      <c r="EK14" s="979">
        <f>ANNEE</f>
        <v>2027</v>
      </c>
      <c r="EL14" s="1434">
        <f>ANNEE-1</f>
        <v>2026</v>
      </c>
      <c r="EM14" s="990">
        <f>ANNEE</f>
        <v>2027</v>
      </c>
      <c r="EN14" s="991">
        <f>ANNEE-1</f>
        <v>2026</v>
      </c>
      <c r="EO14" s="990">
        <f>ANNEE</f>
        <v>2027</v>
      </c>
      <c r="EP14" s="991">
        <f>ANNEE-1</f>
        <v>2026</v>
      </c>
      <c r="EQ14" s="990">
        <f>ANNEE</f>
        <v>2027</v>
      </c>
      <c r="ER14" s="991">
        <f>ANNEE-1</f>
        <v>2026</v>
      </c>
      <c r="ES14" s="990">
        <f>ANNEE</f>
        <v>2027</v>
      </c>
      <c r="ET14" s="991">
        <f>ANNEE-1</f>
        <v>2026</v>
      </c>
      <c r="EU14" s="979">
        <f>ANNEE</f>
        <v>2027</v>
      </c>
      <c r="EV14" s="1679">
        <f>ANNEE-1</f>
        <v>2026</v>
      </c>
      <c r="EW14" s="1680">
        <f>ANNEE</f>
        <v>2027</v>
      </c>
      <c r="EX14" s="1681"/>
      <c r="EY14" s="993">
        <f>ANNEE-1</f>
        <v>2026</v>
      </c>
      <c r="EZ14" s="994">
        <f>ANNEE</f>
        <v>2027</v>
      </c>
      <c r="FA14" s="995">
        <f>ANNEE-1</f>
        <v>2026</v>
      </c>
      <c r="FB14" s="979">
        <f>ANNEE</f>
        <v>2027</v>
      </c>
      <c r="FC14" s="995">
        <f>ANNEE-1</f>
        <v>2026</v>
      </c>
      <c r="FD14" s="979">
        <f>ANNEE</f>
        <v>2027</v>
      </c>
      <c r="FE14" s="995"/>
      <c r="FF14" s="989">
        <f>ANNEE</f>
        <v>2027</v>
      </c>
      <c r="FG14" s="1019"/>
      <c r="FH14" s="1019"/>
      <c r="FI14" s="1020" t="str">
        <f>IF(FG14="","",CONCATENATE(IF(VLOOKUP(FG14,Zk_PrestAll,19,0)=0,0,VLOOKUP(FG14,Zk_PrestAll,19,0))+IF(VLOOKUP(FG14,Zk_PrestAll,20,0)=0,0,VLOOKUP(FG14,Zk_PrestAll,20,0))+IF(VLOOKUP(FG14,Zk_PrestAll,21,0)=0,0,VLOOKUP(FG14,Zk_PrestAll,21,0))))</f>
        <v/>
      </c>
      <c r="FJ14" s="268"/>
      <c r="FK14" s="269"/>
      <c r="FL14" s="268"/>
      <c r="FM14" s="268"/>
      <c r="FN14" s="268"/>
      <c r="FO14" s="268"/>
      <c r="FP14" s="268"/>
      <c r="FQ14" s="268"/>
      <c r="FR14" s="268"/>
      <c r="FS14" s="268"/>
      <c r="FT14" s="268"/>
      <c r="FU14" s="64"/>
      <c r="FV14" s="2878">
        <f>ANNEE</f>
        <v>2027</v>
      </c>
      <c r="FW14" s="2878">
        <f>ANNEE</f>
        <v>2027</v>
      </c>
      <c r="FX14" s="2878">
        <v>2027</v>
      </c>
      <c r="FY14" s="2878">
        <f>ANNEE</f>
        <v>2027</v>
      </c>
      <c r="FZ14" s="64"/>
      <c r="GA14" s="64"/>
      <c r="GB14" s="64"/>
      <c r="GC14" s="64"/>
      <c r="GD14" s="64"/>
      <c r="GE14" s="64"/>
      <c r="GF14" s="1021"/>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565" customFormat="1" ht="13.5" customHeight="1" thickTop="1">
      <c r="A15" s="1023" t="e">
        <f>IF(V15=3,"A.P.E.","CALog")</f>
        <v>#N/A</v>
      </c>
      <c r="B15" s="1023"/>
      <c r="C15" s="1023">
        <f>C14+1</f>
        <v>1</v>
      </c>
      <c r="D15" s="1549"/>
      <c r="E15" s="1549"/>
      <c r="F15" s="1549"/>
      <c r="G15" s="1549"/>
      <c r="H15" s="1549"/>
      <c r="I15" s="1549"/>
      <c r="J15" s="1549"/>
      <c r="K15" s="1549"/>
      <c r="L15" s="1549"/>
      <c r="M15" s="1549"/>
      <c r="N15" s="1549"/>
      <c r="O15" s="1549"/>
      <c r="P15" s="1549"/>
      <c r="Q15" s="1550"/>
      <c r="R15" s="1550"/>
      <c r="S15" s="1550"/>
      <c r="T15" s="2801" t="str">
        <f>IF(M15="","",IF(VALUE(LEFT(RIGHT(M15,6),4))=ANNEE,RIGHT(M15,6),""))</f>
        <v/>
      </c>
      <c r="U15" s="233" t="e">
        <f>IF(BE15="",LEFT(R15,6)/$U$14,VLOOKUP(BE15,Prest_supl,6,0))</f>
        <v>#VALUE!</v>
      </c>
      <c r="V15" s="216" t="e">
        <f>VLOOKUP(D15,StCtr,2,0)</f>
        <v>#N/A</v>
      </c>
      <c r="W15" s="218" t="e">
        <f>IF(OR(E15="1",E15=1),1,IF(ARREST="",2,1))</f>
        <v>#N/A</v>
      </c>
      <c r="X15" s="218" t="e">
        <f>HLOOKUP(K15,ZkBarCalog,5,0)</f>
        <v>#N/A</v>
      </c>
      <c r="Y15" s="216" t="str">
        <f>IF(T15="",IF(N15="","",N15),LEFT(M15,SEARCH("-",M15)-2))</f>
        <v/>
      </c>
      <c r="Z15" s="216">
        <f>IF(Y15=N15,O15,RIGHT(L15,6))</f>
        <v>0</v>
      </c>
      <c r="AA15" s="252" t="e">
        <f>VALUE(LEFT(L15,4))</f>
        <v>#VALUE!</v>
      </c>
      <c r="AB15" s="252" t="e">
        <f>IF(YEAR(AnBud)-AA15=-1,0,YEAR(AnBud)-AA15)-IF(MONTH(AnBud)&lt;AC15,1,0)</f>
        <v>#VALUE!</v>
      </c>
      <c r="AC15" s="252" t="e">
        <f>VALUE(RIGHT(L15,2))</f>
        <v>#VALUE!</v>
      </c>
      <c r="AD15" s="253" t="e">
        <f>HLOOKUP(K15,ZkBarCalog,8,0)</f>
        <v>#N/A</v>
      </c>
      <c r="AE15" s="252" t="e">
        <f>VLOOKUP(AB15,TabBarCalog,AD15,0)</f>
        <v>#VALUE!</v>
      </c>
      <c r="AF15" s="252" t="e">
        <f>IF(AND(W15=1,AC15=1),12,AC15-1)</f>
        <v>#N/A</v>
      </c>
      <c r="AG15" s="252" t="e">
        <f>IF(AF15=12,"",VLOOKUP(AB15+1,TabBarCalog,AD15,0))</f>
        <v>#N/A</v>
      </c>
      <c r="AH15" s="252" t="e">
        <f>IF(AND(AG15&lt;AL15,12-AF15=AO15),0,12-AF15)</f>
        <v>#N/A</v>
      </c>
      <c r="AI15" s="252" t="str">
        <f>IF(Y15="","",ANNEE-VALUE(LEFT(Z15,4))-IF(MID(Z15,5,2)="01",IF(W15=2,1,0),1))</f>
        <v/>
      </c>
      <c r="AJ15" s="252" t="str">
        <f>IF(AI15="","",VALUE(RIGHT(Z15,2)))</f>
        <v/>
      </c>
      <c r="AK15" s="253" t="str">
        <f>IF(Y15="","'",HLOOKUP(Y15,ZkBarCalog,8,0))</f>
        <v>'</v>
      </c>
      <c r="AL15" s="252" t="str">
        <f>IF(AND(N15="",T15=""),"",VLOOKUP(AI15,TabBarCalog,AK15))</f>
        <v/>
      </c>
      <c r="AM15" s="252" t="str">
        <f>IF(AI15="","",VLOOKUP(AJ15,E_A,IF(W15=2,1,2)))</f>
        <v/>
      </c>
      <c r="AN15" s="252" t="str">
        <f>IF(OR(AM15=12,AI15="",AND(N15="",T15="")),"",VLOOKUP(AI15+1,TabBarCalog,AK15))</f>
        <v/>
      </c>
      <c r="AO15" s="252" t="str">
        <f>IF(AI15="","",12-AM15)</f>
        <v/>
      </c>
      <c r="AP15" s="252" t="e">
        <f>IF(AND(T15&lt;&gt;"",IF(M15="",0,VALUE(RIGHT(M15,2)))&lt;AF15),AJ15-1,MIN(AF15,AM15))</f>
        <v>#N/A</v>
      </c>
      <c r="AQ15" s="252" t="e">
        <f>MAX(AE15,IF(AND(AJ15&lt;&gt;1,T15&lt;&gt;""),0,AL15))</f>
        <v>#VALUE!</v>
      </c>
      <c r="AR15" s="252" t="e">
        <f>IF(AS15="",0,IF(AND(T15&lt;&gt;"",AF15=AM15),AJ15-1-AF15,MAX(AF15,AM15)-AP15))</f>
        <v>#N/A</v>
      </c>
      <c r="AS15" s="252" t="e">
        <f>IF(AND(AM15&lt;AJ15,T15&lt;&gt;""),IF(AG15="",0,AG15),IF(AF15&gt;AM15,MAX(AN15,AE15),MAX(AG15,AL15)))</f>
        <v>#N/A</v>
      </c>
      <c r="AT15" s="252" t="e">
        <f>12-AP15-AR15</f>
        <v>#N/A</v>
      </c>
      <c r="AU15" s="252" t="e">
        <f>MAX(AG15,IF(AN15="",AL15,AN15))</f>
        <v>#N/A</v>
      </c>
      <c r="AV15" s="1025" t="e">
        <f>ROUND((AP15*AQ15+AR15*IF(AS15="",0,AS15)+AT15*AU15)/12,2)</f>
        <v>#N/A</v>
      </c>
      <c r="AW15" s="355" t="e">
        <f>IF(W15=1,0,ROUND(AQ15/12*IndW_N1*U15,2))+IF(AZ15&lt;0,0,AZ15)</f>
        <v>#N/A</v>
      </c>
      <c r="AX15" s="217" t="e">
        <f>ROUND(FY15*IndW*U15,2)+IF(BA15&lt;0,BA15,0)</f>
        <v>#N/A</v>
      </c>
      <c r="AY15" s="305">
        <f>IF(FG15="",0,IF(ISNA(VLOOKUP(F15,Zk_PrestAll,66,0)),0,VLOOKUP(F15,Zk_PrestAll,66,0)))-IF(ISNA(VLOOKUP(F15,Zk_PrestAll,67,0)),0,VLOOKUP(F15,Zk_PrestAll,67,0))</f>
        <v>0</v>
      </c>
      <c r="AZ15" s="249" t="e">
        <f>IF(OR(AY15="",W15=1),0,ROUND(AY15/12*IndDiffDec,2))</f>
        <v>#N/A</v>
      </c>
      <c r="BA15" s="221" t="e">
        <f>IF(AY15="",0,ROUND(AY15/12*IF(W15=1,12*IndDiff,11*IndDiffNab),2))</f>
        <v>#N/A</v>
      </c>
      <c r="BB15" s="1551" t="e">
        <f>IF(AW15=0,0,ROUND(VLOOKUP(AQ15,HS_FR,IF(OR(S15=1,S15="1"),2,3))*IndW_N1/12,2))</f>
        <v>#N/A</v>
      </c>
      <c r="BC15" s="216" t="e">
        <f>ROUND(VLOOKUP(AV15,HS_FR,IF(OR(S15=1,S15="1"),2,3))*IF(W15=2,IndW_N1/12*11,IndW_N),2)</f>
        <v>#N/A</v>
      </c>
      <c r="BD15" s="1552" t="e">
        <f>ROUND(AV15*U15*IndW,2)</f>
        <v>#N/A</v>
      </c>
      <c r="BE15" s="1263" t="str">
        <f>IF(FG15="","",IF(VLOOKUP(F15,Zk_PrestAll,59,0)&gt;1,"4/5s",IF(VLOOKUP(F15,Zk_PrestAll,60,0)&gt;1,"50%","")))</f>
        <v/>
      </c>
      <c r="BF15" s="249" t="e">
        <f>IF(AND(W15=2,BE15&lt;&gt;""),ROUND(VLOOKUP(BE15,Prest_supl,4,0),2),"")</f>
        <v>#N/A</v>
      </c>
      <c r="BG15" s="252" t="str">
        <f>IF(BE15&lt;&gt;"",ROUND(VLOOKUP(BE15,Prest_supl,IF(W15=2,5,3),0),2),"")</f>
        <v/>
      </c>
      <c r="BH15" s="1543"/>
      <c r="BI15" s="1544" t="e">
        <f>ROUND((BD15+IF(DJ15="",0,DJ15))*0.92/12,2)</f>
        <v>#N/A</v>
      </c>
      <c r="BJ15" s="1543"/>
      <c r="BK15" s="1545" t="e">
        <f>ROUND(EjtAfaFix*U15,2)</f>
        <v>#VALUE!</v>
      </c>
      <c r="BL15" s="260" t="e">
        <f>ROUND((FQ15*PctVarAFA)+(IF(FP15&lt;=EJT_Min,EJT_Min,IF(FP15&gt;=EJT_Max,EJT_Max,FP15))),2)</f>
        <v>#N/A</v>
      </c>
      <c r="BM15" s="216"/>
      <c r="BN15" s="1553"/>
      <c r="BO15" s="1553"/>
      <c r="BP15" s="1554" t="e">
        <f>AV15/1850*IndT_N1</f>
        <v>#N/A</v>
      </c>
      <c r="BQ15" s="216" t="e">
        <f>AV15/1850*IF(W15=1,IndW,IndW_N)</f>
        <v>#N/A</v>
      </c>
      <c r="BR15" s="1026" t="str">
        <f>IF(FG15="","",VLOOKUP(F15,Zk_PrestAll,3,0))</f>
        <v/>
      </c>
      <c r="BS15" s="249" t="str">
        <f>IF(OR(BR15="",BR15=0),"",ROUND(BP15*INT(BR15/6),2))</f>
        <v/>
      </c>
      <c r="BT15" s="260" t="str">
        <f>IF(OR(BR15="",BR15=0),"",ROUND($BQ15*(BR15-INT(BR15/6)),2))</f>
        <v/>
      </c>
      <c r="BU15" s="1026" t="str">
        <f>IF(FG15="","",VLOOKUP(F15,Zk_PrestAll,4,0))</f>
        <v/>
      </c>
      <c r="BV15" s="249" t="str">
        <f>IF(OR(BU15="",BU15=0),"",ROUND(INT(BU15/12)*$BP15,2))</f>
        <v/>
      </c>
      <c r="BW15" s="260" t="str">
        <f>IF(OR(BU15="",BU15=0),"",ROUND($BQ15*(BU15-INT(BU15/12)),2))</f>
        <v/>
      </c>
      <c r="BX15" s="1026" t="str">
        <f>IF(FG15="","",VLOOKUP(F15,Zk_PrestAll,5,0)+VLOOKUP(F15,Zk_PrestAll,6,0))</f>
        <v/>
      </c>
      <c r="BY15" s="249" t="str">
        <f>IF(OR(BX15="",BX15=0),"",ROUND(INT(BX15/12)*$BP15*DA,2))</f>
        <v/>
      </c>
      <c r="BZ15" s="260" t="str">
        <f>IF(OR(BX15="",BX15=0),"",ROUND((BX15-INT(BX15/12))*$BQ15*DA,2))</f>
        <v/>
      </c>
      <c r="CA15" s="1026" t="str">
        <f>IF(FG15="","",VLOOKUP(F15,Zk_PrestAll,7,0))</f>
        <v/>
      </c>
      <c r="CB15" s="249" t="str">
        <f>IF(OR(CA15="",CA15=0),"",ROUND(INT(CA15/12)*$BP15*DB,2))</f>
        <v/>
      </c>
      <c r="CC15" s="260" t="str">
        <f>IF(OR(CA15="",CA15=0),"",ROUND((CA15-INT(CA15/12))*$BQ15*DB,2))</f>
        <v/>
      </c>
      <c r="CD15" s="1026" t="str">
        <f>IF(FG15="","",VLOOKUP(F15,Zk_PrestAll,8,0)+VLOOKUP(F15,Zk_PrestAll,9,0)*15/24)</f>
        <v/>
      </c>
      <c r="CE15" s="1269" t="str">
        <f>IF(OR(CD15=0,CD15=""),"",ROUND(INT(CD15/12)*$BP15/15,2))</f>
        <v/>
      </c>
      <c r="CF15" s="1270" t="str">
        <f>IF(OR(CD15=0,CD15=""),"",ROUND((CD15-INT(CD15/12))*$BQ15/15,2))</f>
        <v/>
      </c>
      <c r="CG15" s="1026" t="str">
        <f>IF(FG15="","",IF(FH15="",IF(FJ15="","",CONCATENATE(FJ15,IF(VALUE(FI15)&lt;10,0,""),FI15)),FH15))</f>
        <v/>
      </c>
      <c r="CH15" s="249" t="str">
        <f>IF(CG15="","",ROUND(IF(LEN(CG15)&gt;2,INT(VALUE(RIGHT(CG15,2))/12)*VLOOKUP(LEFT(CG15,2),Ens_Ond,4,0),INT(CG15/12)*MentDec),2))</f>
        <v/>
      </c>
      <c r="CI15" s="260" t="str">
        <f>IF(CG15="","",ROUND(IF(LEN(CG15)&gt;2,(VALUE(RIGHT(CG15,2))-INT(VALUE(RIGHT(CG15,2))/12))*VLOOKUP(LEFT(CG15,2),Ens_Ond,IF(W15=1,3,5),0),(CG15-INT(CG15/12))*IF(W15=1,MentVoor,MentNab)),2))</f>
        <v/>
      </c>
      <c r="CJ15" s="1027" t="str">
        <f>IF(FG15="","",IF(VLOOKUP(F15,Zk_PrestAll,55,0)=0,"",VLOOKUP(F15,Zk_PrestAll,55,0)))</f>
        <v/>
      </c>
      <c r="CK15" s="249" t="e">
        <f>IF(OR(W15=1,CJ15=""),"",ROUND(VLOOKUP(X15,AnCrimCiv,4,0)*U15,2))</f>
        <v>#N/A</v>
      </c>
      <c r="CL15" s="260" t="str">
        <f>IF(CJ15="","",ROUND(VLOOKUP(X15,AnCrimCiv,IF(W15=1,3,5),0)*U15,2))</f>
        <v/>
      </c>
      <c r="CM15" s="1555" t="str">
        <f>IF(OR(BXL_YN="N",FG15=""),"",VALUE(VLOOKUP(F15,Zk_PrestAll,28,0)))</f>
        <v/>
      </c>
      <c r="CN15" s="249" t="e">
        <f>IF(OR(CM15="",W15=1),"",ROUND(IF(CM15&lt;=6,VLOOKUP(CM15,BxlCiv,4),VLOOKUP(CM15,Bxl_N,3,1))*U15,2))</f>
        <v>#N/A</v>
      </c>
      <c r="CO15" s="216" t="str">
        <f>IF(CM15="","",ROUND(IF(CM15&lt;=6,VLOOKUP(CM15,BxlCiv,IF(W15=1,3,5)),VLOOKUP(CM15,Bxl_N,IF(W15=1,2,4)))*U15,2))</f>
        <v/>
      </c>
      <c r="CP15" s="1029" t="str">
        <f>IF(FG15="","",
IF(VLOOKUP(F15,Zk_PrestAll,30,0)+VLOOKUP(F15,Zk_PrestAll,31,0)+VLOOKUP(F15,Zk_PrestAll,32,0)&gt;0,
"oud",
IF(VLOOKUP(F15,Zk_PrestAll,33,0)&gt;0,"KN1_"&amp; VLOOKUP(F15,Zk_PrestAll,33,0),
IF(VLOOKUP(F15,Zk_PrestAll,34,0)&gt;0,"KN2_"&amp; VLOOKUP(F15,Zk_PrestAll,34,0),""))))</f>
        <v/>
      </c>
      <c r="CQ15" s="249" t="e">
        <f>IF(OR(W15=1,CP15=""),"",ROUND(VLOOKUP(X15,IF(Ctl_Bil="Y",BilCalGR,BilCalKln),4,0)*U15,2))</f>
        <v>#N/A</v>
      </c>
      <c r="CR15" s="216" t="str">
        <f>IF(CP15="","",ROUND(VLOOKUP(X15,IF(Ctl_Bil="Y",BilCalGR,BilCalKln),IF(W15=1,3,5),0)*U15,2))</f>
        <v/>
      </c>
      <c r="CS15" s="1029" t="str">
        <f>IF(ISNA(VLOOKUP(F15,Zk_PrestAll,1,0)),"",VALUE(VLOOKUP(F15,Zk_PrestAll,35,0)))</f>
        <v/>
      </c>
      <c r="CT15" s="249" t="e">
        <f>IF(OR(W15=1,CS15="",CS15=0),"",ROUND(VLOOKUP(X15,IF(Ctl_Bil="Y",BilCalGR,BilCalKln),4,0)*U15,2))</f>
        <v>#N/A</v>
      </c>
      <c r="CU15" s="216" t="str">
        <f>IF(OR(CS15=0,CS15=""),"",ROUND(VLOOKUP(X15,IF(Ctl_Bil="Y",BilCalGR,BilCalKln),IF(W15=1,3,5),0)*U15,2))</f>
        <v/>
      </c>
      <c r="CV15" s="1027" t="str">
        <f>IF(FG15="","",VLOOKUP(F15,Zk_PrestAll,63,0)+VLOOKUP(F15,Zk_PrestAll,69,0)+VLOOKUP(F15,Zk_PrestAll,70,0)+VLOOKUP(F15,Zk_PrestAll,71,0))</f>
        <v/>
      </c>
      <c r="CW15" s="249" t="str">
        <f>IF(CX15="","",IF(W15=1,"",ROUND(CV15/12*IndDiffDec,2)))</f>
        <v/>
      </c>
      <c r="CX15" s="221" t="str">
        <f>IF(OR(CV15="",CV15=0),"",ROUND(CV15/12*IF($W15=1,12*IndDiff,11*IndDiffNab),2))</f>
        <v/>
      </c>
      <c r="CY15" s="1027" t="e">
        <f>IF(OR(DB15&lt;&gt;"",FG15=""),"",IF(VLOOKUP(F15,Zk_PrestAll,62,0)=0,"",VLOOKUP(F15,Zk_PrestAll,62,0)))</f>
        <v>#N/A</v>
      </c>
      <c r="CZ15" s="249" t="e">
        <f>IF(OR(W15=1,CY15=""),"",ROUND(VLOOKUP(X15,Tab_Dir,4,0)*U15,2))</f>
        <v>#N/A</v>
      </c>
      <c r="DA15" s="216" t="e">
        <f>IF(CY15="","",ROUND(VLOOKUP(X15,Tab_Dir,IF(W15=1,3,5),0)*U15,2))</f>
        <v>#N/A</v>
      </c>
      <c r="DB15" s="1027" t="e">
        <f>IF(X15&lt;&gt;"A","",IF(AND(X15="A",VALUE(MID(K15,2,1))&gt;=4),IF(OR(FG15="",VLOOKUP(F15,Zk_PrestAll,62,0)=0),"",VLOOKUP(F15,Zk_PrestAll,62,0)),""))</f>
        <v>#N/A</v>
      </c>
      <c r="DC15" s="249" t="e">
        <f>IF(OR(W15=1,DB15=""),"",ROUND(T_DirDec*$U15,2))</f>
        <v>#N/A</v>
      </c>
      <c r="DD15" t="e">
        <f>IF(DB15="","",ROUND(IF(W15=1,T_DirAnti,T_DirPost)*$U15,2))</f>
        <v>#N/A</v>
      </c>
      <c r="DE15" s="1027" t="str">
        <f>IF(FG15="","",IF(VLOOKUP(F15,Zk_PrestAll,64,0)=0,"",VLOOKUP(F15,Zk_PrestAll,64,0)))</f>
        <v/>
      </c>
      <c r="DF15" s="1556"/>
      <c r="DG15" s="1557" t="str">
        <f>IF(DE15&lt;&gt;"",IF(DJ15="",IF(U15&lt;0.5,IP_D2,IP_D),0),"")</f>
        <v/>
      </c>
      <c r="DH15" s="1027" t="str">
        <f>IF(ISERROR(VLOOKUP(F15,Zk_PrestAll,61,0)),"",VLOOKUP(F15,Zk_PrestAll,61,0))</f>
        <v/>
      </c>
      <c r="DI15" s="1556"/>
      <c r="DJ15" s="1558" t="e">
        <f>IF(OR(DH15=0,DH15="",FK15="n_ok",AND(NeutrNego="",ANNEE=2023)),"",ROUND(VLOOKUP(X15,Tab_CO,3)*U15,2))</f>
        <v>#N/A</v>
      </c>
      <c r="DK15" s="1559">
        <f>IF(FG15="",0,-IF(ISNA(VLOOKUP(F15,Zk_PrestAll,56,0)),0,VLOOKUP(F15,Zk_PrestAll,56,0)))+IF(ISNA(VLOOKUP(F15,Zk_PrestAll,65,0)),0,VLOOKUP(F15,Zk_PrestAll,65,0))</f>
        <v>0</v>
      </c>
      <c r="DL15" s="249" t="e">
        <f>IF(OR(DK15="",W15=1),0,ROUND(DK15/12*IndDiffDec,2))</f>
        <v>#N/A</v>
      </c>
      <c r="DM15" s="221" t="e">
        <f>IF(DK15="",0,ROUND(DK15/12*IF(W15=1,12*IndDiff,11*IndDiffNab),2))</f>
        <v>#N/A</v>
      </c>
      <c r="DN15" s="313" t="str">
        <f>IF(FG15="","",VLOOKUP(F15,Zk_PrestAll,52,0))</f>
        <v/>
      </c>
      <c r="DO15" s="249" t="str">
        <f>IF(OR(DN15=0,DN15=""),"",INT(DN15/12)*IndKmDec)</f>
        <v/>
      </c>
      <c r="DP15" s="216" t="str">
        <f>IF(OR(DN15=0,DN15=""),"",(DN15-INT(DN15/12))*IndKmN)</f>
        <v/>
      </c>
      <c r="DQ15" s="313">
        <f>IF(ISNA(VLOOKUP(FG15,Zk_PrestAll,1,0)),0,VLOOKUP(F15,Zk_PrestAll,53,0))</f>
        <v>0</v>
      </c>
      <c r="DR15" s="249" t="str">
        <f>IF(OR(DQ15="",DQ15=0),"",ROUND(DQ15/12*IndDiffDec,2))</f>
        <v/>
      </c>
      <c r="DS15" s="221" t="str">
        <f>IF(OR(DQ15="",DQ15=0),"",ROUND(DQ15/12*11*IndDiffNab,2))</f>
        <v/>
      </c>
      <c r="DT15" s="313" t="str">
        <f>IF(ISNA(VLOOKUP(FG15,Zk_PrestAll,1,0)),"",VLOOKUP(F15,Zk_PrestAll,50,0))</f>
        <v/>
      </c>
      <c r="DU15" s="249" t="str">
        <f>IF(OR(DT15="",DT15=0),"",ROUND(DT15/12*IndDiffDec,2))</f>
        <v/>
      </c>
      <c r="DV15" s="221" t="str">
        <f>IF(OR(DT15="",DT15=0),"",ROUND(DT15/12*11*IndDiffNab,2))</f>
        <v/>
      </c>
      <c r="DW15" s="1560" t="str">
        <f>IF(ISNA(VLOOKUP(F15,Zk_PrestAll,58,0)),"",VLOOKUP(F15,Zk_PrestAll,58,0))</f>
        <v/>
      </c>
      <c r="DX15" s="1561" t="e">
        <f>IF(OR(W15=1,DW15=0,DW15=""),"",ROUND(TfDec*U15,2))</f>
        <v>#N/A</v>
      </c>
      <c r="DY15" s="1562" t="str">
        <f>IF(DW15="","",IF(VALUE(DW15)=0,"",ROUND(IF(W15=1,TFVoor,TfNab)*U15,2)))</f>
        <v/>
      </c>
      <c r="DZ15" s="350" t="e">
        <f>IF(OR(ISNA(VLOOKUP(FG15,Zk_PrestAll,1,0)),V15=5,FG15=""),"",(IF(AND(NeutrNego="",ANNEE&gt;=2023),0,ROUND(VLOOKUP(F15,Zk_PrestAll,47,0)*IF(NeutrNego="",5/6,1)*IndW,2))))</f>
        <v>#N/A</v>
      </c>
      <c r="EA15" s="249" t="e">
        <f>IF(DZ15="","",ROUND(DZ15/12,2))</f>
        <v>#N/A</v>
      </c>
      <c r="EB15" s="221" t="e">
        <f>IF(DZ15="","",ROUND(DZ15/12*11,2))</f>
        <v>#N/A</v>
      </c>
      <c r="EC15" s="313" t="str">
        <f>IF(ISNA(VLOOKUP(FG15,Zk_PrestAll,1,0)),"",ROUND((VLOOKUP(F15,Zk_PrestAll,48,0)*IF(ANNEE=2022,10/12,0)+VLOOKUP(F15,Zk_PrestAll,49,0)),2))</f>
        <v/>
      </c>
      <c r="ED15" s="249" t="str">
        <f>IF(OR(EC15="",EC15=0),"",ROUND(EC15/12*IndDiffDec,2))</f>
        <v/>
      </c>
      <c r="EE15" s="221" t="str">
        <f>IF(OR(EC15="",EC15=0),"",ROUND(EC15/12*11*IndDiffNab,2))</f>
        <v/>
      </c>
      <c r="EF15" s="313" t="str">
        <f>IF(ISNA(VLOOKUP(FG15,Zk_PrestAll,1,0)),"",ROUND(VLOOKUP(F15,Zk_PrestAll,57,0)*IF(ANNEE=2022,IF(NeutrNego="",5/6,1),0),2))</f>
        <v/>
      </c>
      <c r="EG15" s="249" t="str">
        <f>IF(OR(EF15="",EF15=0),"",ROUND(EF15/12*IndDiffDec,2))</f>
        <v/>
      </c>
      <c r="EH15" s="221" t="str">
        <f>IF(OR(EF15="",EF15=0),"",ROUND(EF15/12*11*IndDiffNab,2))</f>
        <v/>
      </c>
      <c r="EI15" s="313"/>
      <c r="EJ15" s="249"/>
      <c r="EK15" s="216"/>
      <c r="EL15" s="1435" t="e">
        <f>ROUND((AW15+IF(AZ15&gt;0,AZ15,0)+IF(V15&lt;&gt;1,BB15,0)+IF(BF15="",0,BF15)+EY15)*VLOOKUP($V15,ChPatBdr,3),2)</f>
        <v>#N/A</v>
      </c>
      <c r="EM15" s="1619" t="e">
        <f>ROUND((AX15+IF(BA15&gt;0,BA15,0)+IF(V15&lt;&gt;1,BC15,0)+IF(BG15="",0,BG15)+EZ15+EX15)*VLOOKUP($V15,ChPatBdr,3),2)</f>
        <v>#N/A</v>
      </c>
      <c r="EN15" s="1268" t="e">
        <f>ROUND(($AW15+IF(AZ15&lt;0,0,AZ15)+IF(V15&lt;&gt;1,BB15,0)+IF($BF15="",0,$BF15)+DI15)*IF(V15=1,PatPensX_1,0),2)</f>
        <v>#N/A</v>
      </c>
      <c r="EO15" s="1563" t="e">
        <f>ROUND(($AX15+IF(BA15&lt;0,0,BA15)+IF(V15&lt;&gt;1,BC15,0)+IF($BG15="",0,$BG15)+IF($DJ15="",0,$DJ15))*VLOOKUP(V15,ChPatBdr,2),2)</f>
        <v>#N/A</v>
      </c>
      <c r="EP15" s="1268" t="e">
        <f>ROUND(FC15*VLOOKUP(V15,ChPatBdr,3),2)</f>
        <v>#N/A</v>
      </c>
      <c r="EQ15" s="1563" t="e">
        <f>ROUND(FD15*VLOOKUP(V15,ChPatBdr,3),2)</f>
        <v>#N/A</v>
      </c>
      <c r="ER15" s="1268" t="e">
        <f>ROUND((AW15+EY15+FC15+FE15+BB15+IF(BF15="",0,BF15)+IF(PatrATAO="",0,EL15+EN15+EP15))*IF(FL15="Bed",ArbO_Bed,ArbO_Ops),2)</f>
        <v>#N/A</v>
      </c>
      <c r="ES15" s="1563" t="e">
        <f>ROUND((AX15+EZ15+FD15+FF15+SUM(BI15:BL15,BC15)+IF(BG15="",0,BG15)+IF(PatrATAO="",0,EM15+EO15+EQ15))*IF(FL15="Bed",ArbO_Bed,ArbO_Ops),2)</f>
        <v>#N/A</v>
      </c>
      <c r="ET15" s="1268" t="e">
        <f>ROUND((AW15+EY15+FC15)*PctSvSocDst,2)</f>
        <v>#N/A</v>
      </c>
      <c r="EU15" s="1682" t="e">
        <f>ROUND((AX15+EZ15+FD15)*PctSvSocDst,2)</f>
        <v>#N/A</v>
      </c>
      <c r="EV15" s="1683" t="e">
        <f>AW15+BB15+IF(BF15="",0,BF15)+BH15+BJ15+EL15+EN15+EP15+ET15+ER15+EY15+FC15+FE15</f>
        <v>#N/A</v>
      </c>
      <c r="EW15" s="1684" t="e">
        <f>AX15+BC15+IF(BG15="",0,BG15)+BI15+BK15+BL15+EM15+EO15+EQ15+EU15+ES15+EZ15+FD15+FF15</f>
        <v>#N/A</v>
      </c>
      <c r="EX15" s="1685" t="e">
        <f>ROUND(EjtAfaPat*U15,2)</f>
        <v>#VALUE!</v>
      </c>
      <c r="EY15" s="1496" t="e">
        <f>IF(AZ15&gt;0,AZ15,0)+IF(CN15="",0,CN15)+IF(CQ15="",0,CQ15)+IF(CT15="",0,CT15)+IF(CK15="",0,CK15)+IF(CW15="",0,CW15)+IF(CZ15="",0,CZ15)+IF(DC15="",0,DC15)+DF15+IF(DL15="",0,DL15)</f>
        <v>#N/A</v>
      </c>
      <c r="EZ15" s="252" t="e">
        <f>IF(BA15&gt;0,BA15,0)+IF(CO15="",0,CO15)+IF(CR15="",0,CR15)+IF(CU15="",0,CU15)+IF(CL15="",0,CL15)+IF(CX15="",0,CX15)+IF(DA15="",0,DA15)+IF(DD15="",0,DD15)+IF(DG15="",0,DG15)+IF(DM15="",0,DM15)</f>
        <v>#N/A</v>
      </c>
      <c r="FA15" s="395" t="e">
        <f>ROUND((EY15+FC15)*VLOOKUP(V15,ChPatBdr,4),2)</f>
        <v>#N/A</v>
      </c>
      <c r="FB15" s="223" t="e">
        <f>ROUND((EZ15+EX15+FD15)*VLOOKUP($V15,ChPatBdr,4),2)</f>
        <v>#N/A</v>
      </c>
      <c r="FC15" s="1496">
        <f>IF(BS15="",0,BS15)+IF(BV15="",0,BV15)+IF(BY15="",0,BY15)+IF(CB15="",0,CB15)+IF(CE15="",0,CE15)+IF(CH15="",0,CH15)+DI15</f>
        <v>0</v>
      </c>
      <c r="FD15" s="252" t="e">
        <f>IF(BT15="",0,BT15)+IF(BW15="",0,BW15)+IF(BZ15="",0,BZ15)+IF(CC15="",0,CC15)+IF(CF15="",0,CF15)+IF(CI15="",0,CI15)+IF(DJ15="",0,DJ15)</f>
        <v>#N/A</v>
      </c>
      <c r="FE15" s="1564" t="e">
        <f>IF(DO15="",0,DO15)+IF(DR15="",0,DR15)+IF(DU15="",0,DU15)+IF(DX15="",0,DX15)+IF(EA15="",0,EA15)+IF(ED15="",0,ED15)+IF(EG15="",0,EG15)+IF(EJ15="",0,EJ15)</f>
        <v>#N/A</v>
      </c>
      <c r="FF15" s="1565" t="e">
        <f>IF(DP15="",0,DP15)+IF(DS15="",0,DS15)+IF(DV15="",0,DV15)+IF(DY15="",0,DY15)+IF(EB15="",0,EB15)+IF(EE15="",0,EE15)+IF(EH15="",0,EH15)+IF(EK15="",0,EK15)</f>
        <v>#N/A</v>
      </c>
      <c r="FG15" s="256" t="str">
        <f>IF(ISNA(VLOOKUP(F15,Zk_PrestAll,1,0)),"",VLOOKUP(F15,Zk_PrestAll,1,0))</f>
        <v/>
      </c>
      <c r="FH15" s="256" t="str">
        <f>IF(FG15="","",IF(VLOOKUP(FG15,Zk_PrestAll,17,0)=0,"",VLOOKUP(FG15,Zk_PrestAll,17,0)))</f>
        <v/>
      </c>
      <c r="FI15" s="256" t="str">
        <f>IF(FG15="","",CONCATENATE(IF(VLOOKUP(FG15,Zk_PrestAll,19,0)=0,0,VLOOKUP(FG15,Zk_PrestAll,19,0))+IF(VLOOKUP(FG15,Zk_PrestAll,20,0)=0,0,VLOOKUP(FG15,Zk_PrestAll,20,0))+IF(VLOOKUP(FG15,Zk_PrestAll,21,0)=0,0,VLOOKUP(FG15,Zk_PrestAll,21,0))))</f>
        <v/>
      </c>
      <c r="FJ15" s="256" t="str">
        <f>IF(FG15="","",CONCATENATE(IF(VLOOKUP(FG15,Zk_PrestAll,19,0)=0,"","CU"),IF(VLOOKUP(FG15,Zk_PrestAll,20,0)=0,"","CV"),IF(VLOOKUP(FG15,Zk_PrestAll,21,0)=0,"","CW")))</f>
        <v/>
      </c>
      <c r="FK15" s="126" t="e">
        <f>IF(HLOOKUP(IF(T15="",K15,Y15),Compot_ctl4,59,0)="no","n_ok","")</f>
        <v>#N/A</v>
      </c>
      <c r="FL15" s="126" t="str">
        <f>IF(OR(LEFT(K15,1)="D",MID(K15,2,1)="D"),"Arb","Bed")</f>
        <v>Bed</v>
      </c>
      <c r="FM15" s="126" t="str">
        <f>LEFT(F15,9)</f>
        <v/>
      </c>
      <c r="FN15" s="126">
        <f>IF(ISERROR(VALUE(R15)),3,VALUE(R15))</f>
        <v>0</v>
      </c>
      <c r="FO15" s="957" t="e">
        <f>(EV15+EW15-(FC15+FD15+FE15+FF15)+(IF(DX15="",0,DX15)+IF(DY15="",0,DY15)+IF(DJ15="",0,DJ15)))/(38*52)</f>
        <v>#N/A</v>
      </c>
      <c r="FP15" s="49" t="e">
        <f>ROUND(FQ15/12*AFApct2/IndW*IndW_N1,2)</f>
        <v>#N/A</v>
      </c>
      <c r="FQ15" s="1565" t="e">
        <f>SUM(BD15,BB15:BC15,BF15:BG15,DJ15)*U15</f>
        <v>#N/A</v>
      </c>
      <c r="FR15" s="1566" t="e">
        <f>DATE(VALUE(LEFT(I15,4)+VLOOKUP(X15,DatPensCalog,2,0)),VALUE(MID(I15,5,2))+1,1)</f>
        <v>#VALUE!</v>
      </c>
      <c r="FS15" s="1566" t="e">
        <f>DATE(VALUE(LEFT(I15,4)+VLOOKUP(X15,DatPensCalog,3,0)),VALUE(MID(I15,5,2))+1,1)</f>
        <v>#VALUE!</v>
      </c>
      <c r="FT15" s="1566" t="str">
        <f>IF(L15="","",IF(VALUE(LEFT(L15,6))&lt;=DatStop19Toel,1,0))</f>
        <v/>
      </c>
      <c r="FU15" s="2879">
        <f>IF(RIGHT(J15,1)="3",0,1)</f>
        <v>1</v>
      </c>
      <c r="FV15" s="2880" t="e">
        <f>IF(FU15&lt;&gt;1,"",ROUND(MTC_QPP*MC_Nbr*U15,2))</f>
        <v>#VALUE!</v>
      </c>
      <c r="FW15" s="2881" t="e">
        <f>IF(FV15="","",ROUND(MTC_Patr*MC_Nbr*U15,2))</f>
        <v>#VALUE!</v>
      </c>
      <c r="FX15" s="2881" t="e">
        <f>(IF(AV15&gt;22173.97,ROUND(MIN(AV15-22173.97,AV15)/(1.02/0.02),2),0))</f>
        <v>#N/A</v>
      </c>
      <c r="FY15" s="2961" t="e">
        <f>AV15-FX15</f>
        <v>#N/A</v>
      </c>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row>
    <row r="16" spans="1:255" s="1565" customFormat="1" ht="13.5" customHeight="1">
      <c r="A16" s="1023"/>
      <c r="B16" s="1023"/>
      <c r="C16" s="1023"/>
      <c r="D16" s="1549"/>
      <c r="E16" s="1549"/>
      <c r="F16" s="1549"/>
      <c r="G16" s="1549"/>
      <c r="H16" s="1549"/>
      <c r="I16" s="1549"/>
      <c r="J16" s="1549"/>
      <c r="K16" s="1549"/>
      <c r="L16" s="1549"/>
      <c r="M16" s="1549"/>
      <c r="N16" s="1549"/>
      <c r="O16" s="1549"/>
      <c r="P16" s="1549"/>
      <c r="Q16" s="1550"/>
      <c r="R16" s="1550"/>
      <c r="S16" s="1550"/>
      <c r="T16" s="2801" t="str">
        <f>IF(M16="","",IF(VALUE(LEFT(RIGHT(M16,6),4))=ANNEE,RIGHT(M16,6),""))</f>
        <v/>
      </c>
      <c r="U16" s="233"/>
      <c r="V16" s="216"/>
      <c r="W16" s="218"/>
      <c r="X16" s="218"/>
      <c r="Y16" s="216"/>
      <c r="Z16" s="216"/>
      <c r="AA16" s="252"/>
      <c r="AB16" s="252"/>
      <c r="AC16" s="252"/>
      <c r="AD16" s="253"/>
      <c r="AE16" s="252"/>
      <c r="AF16" s="252"/>
      <c r="AG16" s="252"/>
      <c r="AH16" s="252"/>
      <c r="AI16" s="252"/>
      <c r="AJ16" s="252"/>
      <c r="AK16" s="253"/>
      <c r="AL16" s="252"/>
      <c r="AM16" s="252"/>
      <c r="AN16" s="252"/>
      <c r="AO16" s="252"/>
      <c r="AP16" s="252"/>
      <c r="AQ16" s="252"/>
      <c r="AR16" s="252"/>
      <c r="AS16" s="252"/>
      <c r="AT16" s="252"/>
      <c r="AU16" s="252"/>
      <c r="AV16" s="1025"/>
      <c r="AW16" s="355"/>
      <c r="AX16" s="217"/>
      <c r="AY16" s="305"/>
      <c r="AZ16" s="249"/>
      <c r="BA16" s="221"/>
      <c r="BB16" s="1551"/>
      <c r="BC16" s="216"/>
      <c r="BD16" s="1552"/>
      <c r="BE16" s="1263"/>
      <c r="BF16" s="249"/>
      <c r="BG16" s="252"/>
      <c r="BH16" s="1543"/>
      <c r="BI16" s="1544"/>
      <c r="BJ16" s="1543"/>
      <c r="BK16" s="1545"/>
      <c r="BL16" s="260"/>
      <c r="BM16" s="216"/>
      <c r="BN16" s="1553"/>
      <c r="BO16" s="1553"/>
      <c r="BP16" s="1554"/>
      <c r="BQ16" s="216"/>
      <c r="BR16" s="1026"/>
      <c r="BS16" s="249"/>
      <c r="BT16" s="260"/>
      <c r="BU16" s="1026"/>
      <c r="BV16" s="249"/>
      <c r="BW16" s="260"/>
      <c r="BX16" s="1026"/>
      <c r="BY16" s="249"/>
      <c r="BZ16" s="260"/>
      <c r="CA16" s="1026"/>
      <c r="CB16" s="249"/>
      <c r="CC16" s="260"/>
      <c r="CD16" s="1026"/>
      <c r="CE16" s="1269"/>
      <c r="CF16" s="1270"/>
      <c r="CG16" s="1026"/>
      <c r="CH16" s="249"/>
      <c r="CI16" s="260"/>
      <c r="CJ16" s="1027"/>
      <c r="CK16" s="249"/>
      <c r="CL16" s="260"/>
      <c r="CM16" s="1555"/>
      <c r="CN16" s="249"/>
      <c r="CO16" s="216"/>
      <c r="CP16" s="1029"/>
      <c r="CQ16" s="249"/>
      <c r="CR16" s="216"/>
      <c r="CS16" s="1029"/>
      <c r="CT16" s="249"/>
      <c r="CU16" s="216"/>
      <c r="CV16" s="1027"/>
      <c r="CW16" s="249"/>
      <c r="CX16" s="221"/>
      <c r="CY16" s="1027"/>
      <c r="CZ16" s="249"/>
      <c r="DA16" s="216"/>
      <c r="DB16" s="1027"/>
      <c r="DC16" s="249"/>
      <c r="DD16"/>
      <c r="DE16" s="1027"/>
      <c r="DF16" s="1556"/>
      <c r="DG16" s="1557"/>
      <c r="DH16" s="1027"/>
      <c r="DI16" s="1556"/>
      <c r="DJ16" s="1558"/>
      <c r="DK16" s="1559"/>
      <c r="DL16" s="249"/>
      <c r="DM16" s="221"/>
      <c r="DN16" s="313"/>
      <c r="DO16" s="249"/>
      <c r="DP16" s="216"/>
      <c r="DQ16" s="313"/>
      <c r="DR16" s="249"/>
      <c r="DS16" s="221"/>
      <c r="DT16" s="313"/>
      <c r="DU16" s="249"/>
      <c r="DV16" s="221"/>
      <c r="DW16" s="1560"/>
      <c r="DX16" s="1561"/>
      <c r="DY16" s="1562"/>
      <c r="DZ16" s="350"/>
      <c r="EA16" s="249"/>
      <c r="EB16" s="221"/>
      <c r="EC16" s="313"/>
      <c r="ED16" s="249"/>
      <c r="EE16" s="221"/>
      <c r="EF16" s="313"/>
      <c r="EG16" s="249"/>
      <c r="EH16" s="221"/>
      <c r="EI16" s="313"/>
      <c r="EJ16" s="249"/>
      <c r="EK16" s="216"/>
      <c r="EL16" s="1435"/>
      <c r="EM16" s="1619"/>
      <c r="EN16" s="1268"/>
      <c r="EO16" s="1563"/>
      <c r="EP16" s="1268"/>
      <c r="EQ16" s="1563"/>
      <c r="ER16" s="1268"/>
      <c r="ES16" s="1563"/>
      <c r="ET16" s="1268"/>
      <c r="EU16" s="1682"/>
      <c r="EV16" s="1683"/>
      <c r="EW16" s="1684"/>
      <c r="EX16" s="1685"/>
      <c r="EY16" s="1496"/>
      <c r="EZ16" s="252"/>
      <c r="FA16" s="395"/>
      <c r="FB16" s="223"/>
      <c r="FC16" s="1496"/>
      <c r="FD16" s="252"/>
      <c r="FE16" s="1564"/>
      <c r="FG16" s="256"/>
      <c r="FH16" s="256"/>
      <c r="FI16" s="256"/>
      <c r="FJ16" s="256"/>
      <c r="FK16" s="126"/>
      <c r="FL16" s="126"/>
      <c r="FM16" s="126"/>
      <c r="FN16" s="126"/>
      <c r="FO16" s="957"/>
      <c r="FP16" s="49"/>
      <c r="FR16" s="1566"/>
      <c r="FS16" s="1566"/>
      <c r="FT16" s="1566"/>
      <c r="FU16" s="2879"/>
      <c r="FV16" s="2880"/>
      <c r="FW16" s="2881"/>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row>
    <row r="17" spans="1:255" s="1565" customFormat="1" ht="13.5" customHeight="1">
      <c r="A17" s="1023"/>
      <c r="B17" s="1023"/>
      <c r="C17" s="1023"/>
      <c r="D17" s="1549"/>
      <c r="E17" s="1549"/>
      <c r="F17" s="1549"/>
      <c r="G17" s="1549"/>
      <c r="H17" s="1549"/>
      <c r="I17" s="1549"/>
      <c r="J17" s="1549"/>
      <c r="K17" s="1549"/>
      <c r="L17" s="1549"/>
      <c r="M17" s="1549"/>
      <c r="N17" s="1549"/>
      <c r="O17" s="1549"/>
      <c r="P17" s="1549"/>
      <c r="Q17" s="1550"/>
      <c r="R17" s="1550"/>
      <c r="S17" s="1550"/>
      <c r="T17" s="2"/>
      <c r="U17" s="233"/>
      <c r="V17" s="216"/>
      <c r="W17" s="218"/>
      <c r="X17" s="218"/>
      <c r="Y17" s="216"/>
      <c r="Z17" s="216"/>
      <c r="AA17" s="252"/>
      <c r="AB17" s="252"/>
      <c r="AC17" s="252"/>
      <c r="AD17" s="253"/>
      <c r="AE17" s="252"/>
      <c r="AF17" s="252"/>
      <c r="AG17" s="252"/>
      <c r="AH17" s="252"/>
      <c r="AI17" s="252"/>
      <c r="AJ17" s="252"/>
      <c r="AK17" s="253"/>
      <c r="AL17" s="252"/>
      <c r="AM17" s="252"/>
      <c r="AN17" s="252"/>
      <c r="AO17" s="252"/>
      <c r="AP17" s="252"/>
      <c r="AQ17" s="252"/>
      <c r="AR17" s="252"/>
      <c r="AS17" s="252"/>
      <c r="AT17" s="252"/>
      <c r="AU17" s="252"/>
      <c r="AV17" s="1025"/>
      <c r="AW17" s="355"/>
      <c r="AX17" s="217"/>
      <c r="AY17" s="305"/>
      <c r="AZ17" s="249"/>
      <c r="BA17" s="221"/>
      <c r="BB17" s="1551"/>
      <c r="BC17" s="216"/>
      <c r="BD17" s="1552"/>
      <c r="BE17" s="1263"/>
      <c r="BF17" s="249"/>
      <c r="BG17" s="252"/>
      <c r="BH17" s="1543"/>
      <c r="BI17" s="1544"/>
      <c r="BJ17" s="1543"/>
      <c r="BK17" s="1545"/>
      <c r="BL17" s="260"/>
      <c r="BM17" s="216"/>
      <c r="BN17" s="1553"/>
      <c r="BO17" s="1553"/>
      <c r="BP17" s="1554"/>
      <c r="BQ17" s="216"/>
      <c r="BR17" s="1026"/>
      <c r="BS17" s="249"/>
      <c r="BT17" s="260"/>
      <c r="BU17" s="1026"/>
      <c r="BV17" s="249"/>
      <c r="BW17" s="260"/>
      <c r="BX17" s="1026"/>
      <c r="BY17" s="249"/>
      <c r="BZ17" s="260"/>
      <c r="CA17" s="1026"/>
      <c r="CB17" s="249"/>
      <c r="CC17" s="260"/>
      <c r="CD17" s="1026"/>
      <c r="CE17" s="1269"/>
      <c r="CF17" s="1270"/>
      <c r="CG17" s="1026"/>
      <c r="CH17" s="249"/>
      <c r="CI17" s="260"/>
      <c r="CJ17" s="1027"/>
      <c r="CK17" s="249"/>
      <c r="CL17" s="260"/>
      <c r="CM17" s="1555"/>
      <c r="CN17" s="249"/>
      <c r="CO17" s="216"/>
      <c r="CP17" s="1029"/>
      <c r="CQ17" s="249"/>
      <c r="CR17" s="216"/>
      <c r="CS17" s="1029"/>
      <c r="CT17" s="249"/>
      <c r="CU17" s="216"/>
      <c r="CV17" s="1027"/>
      <c r="CW17" s="249"/>
      <c r="CX17" s="221"/>
      <c r="CY17" s="1027"/>
      <c r="CZ17" s="249"/>
      <c r="DA17" s="216"/>
      <c r="DB17" s="1027"/>
      <c r="DC17" s="249"/>
      <c r="DD17"/>
      <c r="DE17" s="1027"/>
      <c r="DF17" s="1556"/>
      <c r="DG17" s="1557"/>
      <c r="DH17" s="1027"/>
      <c r="DI17" s="1556"/>
      <c r="DJ17" s="1558"/>
      <c r="DK17" s="1559"/>
      <c r="DL17" s="249"/>
      <c r="DM17" s="221"/>
      <c r="DN17" s="313"/>
      <c r="DO17" s="249"/>
      <c r="DP17" s="216"/>
      <c r="DQ17" s="313"/>
      <c r="DR17" s="249"/>
      <c r="DS17" s="221"/>
      <c r="DT17" s="313"/>
      <c r="DU17" s="249"/>
      <c r="DV17" s="221"/>
      <c r="DW17" s="1560"/>
      <c r="DX17" s="1561"/>
      <c r="DY17" s="1562"/>
      <c r="DZ17" s="350"/>
      <c r="EA17" s="249"/>
      <c r="EB17" s="221"/>
      <c r="EC17" s="313"/>
      <c r="ED17" s="249"/>
      <c r="EE17" s="221"/>
      <c r="EF17" s="313"/>
      <c r="EG17" s="249"/>
      <c r="EH17" s="221"/>
      <c r="EI17" s="313"/>
      <c r="EJ17" s="249"/>
      <c r="EK17" s="216"/>
      <c r="EL17" s="1435"/>
      <c r="EM17" s="1619"/>
      <c r="EN17" s="1268"/>
      <c r="EO17" s="1563"/>
      <c r="EP17" s="1268"/>
      <c r="EQ17" s="1563"/>
      <c r="ER17" s="1268"/>
      <c r="ES17" s="1563"/>
      <c r="ET17" s="1268"/>
      <c r="EU17" s="1682"/>
      <c r="EV17" s="1683"/>
      <c r="EW17" s="1684"/>
      <c r="EX17" s="1685"/>
      <c r="EY17" s="1496"/>
      <c r="EZ17" s="252"/>
      <c r="FA17" s="395"/>
      <c r="FB17" s="223"/>
      <c r="FC17" s="1496"/>
      <c r="FD17" s="252"/>
      <c r="FE17" s="1564"/>
      <c r="FG17" s="256"/>
      <c r="FH17" s="256"/>
      <c r="FI17" s="256"/>
      <c r="FJ17" s="256"/>
      <c r="FK17" s="126"/>
      <c r="FL17" s="126"/>
      <c r="FM17" s="126"/>
      <c r="FN17" s="126"/>
      <c r="FO17" s="957"/>
      <c r="FP17" s="49"/>
      <c r="FR17" s="1566"/>
      <c r="FS17" s="1566"/>
      <c r="FT17" s="126"/>
      <c r="FU17" s="2879"/>
      <c r="FV17" s="2880"/>
      <c r="FW17" s="2881"/>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row>
    <row r="18" spans="1:255" s="1565" customFormat="1" ht="13.5" customHeight="1">
      <c r="A18" s="1023"/>
      <c r="B18" s="1023"/>
      <c r="C18" s="1023"/>
      <c r="D18" s="1549"/>
      <c r="E18" s="1549"/>
      <c r="F18" s="1549"/>
      <c r="G18" s="1549"/>
      <c r="H18" s="1549"/>
      <c r="I18" s="1549"/>
      <c r="J18" s="1549"/>
      <c r="K18" s="1549"/>
      <c r="L18" s="1549"/>
      <c r="M18" s="1549"/>
      <c r="N18" s="1549"/>
      <c r="O18" s="1549"/>
      <c r="P18" s="1549"/>
      <c r="Q18" s="1550"/>
      <c r="R18" s="1550"/>
      <c r="S18" s="1550"/>
      <c r="T18" s="2"/>
      <c r="U18" s="233"/>
      <c r="V18" s="216"/>
      <c r="W18" s="218"/>
      <c r="X18" s="218"/>
      <c r="Y18" s="216"/>
      <c r="Z18" s="216"/>
      <c r="AA18" s="252"/>
      <c r="AB18" s="252"/>
      <c r="AC18" s="252"/>
      <c r="AD18" s="253"/>
      <c r="AE18" s="252"/>
      <c r="AF18" s="252"/>
      <c r="AG18" s="252"/>
      <c r="AH18" s="252"/>
      <c r="AI18" s="252"/>
      <c r="AJ18" s="252"/>
      <c r="AK18" s="253"/>
      <c r="AL18" s="252"/>
      <c r="AM18" s="252"/>
      <c r="AN18" s="252"/>
      <c r="AO18" s="252"/>
      <c r="AP18" s="252"/>
      <c r="AQ18" s="252"/>
      <c r="AR18" s="252"/>
      <c r="AS18" s="252"/>
      <c r="AT18" s="252"/>
      <c r="AU18" s="252"/>
      <c r="AV18" s="1025"/>
      <c r="AW18" s="355"/>
      <c r="AX18" s="217"/>
      <c r="AY18" s="305"/>
      <c r="AZ18" s="249"/>
      <c r="BA18" s="221"/>
      <c r="BB18" s="1551"/>
      <c r="BC18" s="216"/>
      <c r="BD18" s="1552"/>
      <c r="BE18" s="1263"/>
      <c r="BF18" s="249"/>
      <c r="BG18" s="252"/>
      <c r="BH18" s="1543"/>
      <c r="BI18" s="1544"/>
      <c r="BJ18" s="1543"/>
      <c r="BK18" s="1545"/>
      <c r="BL18" s="260"/>
      <c r="BM18" s="216"/>
      <c r="BN18" s="1553"/>
      <c r="BO18" s="1553"/>
      <c r="BP18" s="1554"/>
      <c r="BQ18" s="216"/>
      <c r="BR18" s="1026"/>
      <c r="BS18" s="249"/>
      <c r="BT18" s="260"/>
      <c r="BU18" s="1026"/>
      <c r="BV18" s="249"/>
      <c r="BW18" s="260"/>
      <c r="BX18" s="1026"/>
      <c r="BY18" s="249"/>
      <c r="BZ18" s="260"/>
      <c r="CA18" s="1026"/>
      <c r="CB18" s="249"/>
      <c r="CC18" s="260"/>
      <c r="CD18" s="1026"/>
      <c r="CE18" s="1269"/>
      <c r="CF18" s="1270"/>
      <c r="CG18" s="1026"/>
      <c r="CH18" s="249"/>
      <c r="CI18" s="260"/>
      <c r="CJ18" s="1027"/>
      <c r="CK18" s="249"/>
      <c r="CL18" s="260"/>
      <c r="CM18" s="1555"/>
      <c r="CN18" s="249"/>
      <c r="CO18" s="216"/>
      <c r="CP18" s="1029"/>
      <c r="CQ18" s="249"/>
      <c r="CR18" s="216"/>
      <c r="CS18" s="1029"/>
      <c r="CT18" s="249"/>
      <c r="CU18" s="216"/>
      <c r="CV18" s="1027"/>
      <c r="CW18" s="249"/>
      <c r="CX18" s="221"/>
      <c r="CY18" s="1027"/>
      <c r="CZ18" s="249"/>
      <c r="DA18" s="216"/>
      <c r="DB18" s="1027"/>
      <c r="DC18" s="249"/>
      <c r="DD18"/>
      <c r="DE18" s="1027"/>
      <c r="DF18" s="1556"/>
      <c r="DG18" s="1557"/>
      <c r="DH18" s="1027"/>
      <c r="DI18" s="1556"/>
      <c r="DJ18" s="1558"/>
      <c r="DK18" s="1559"/>
      <c r="DL18" s="249"/>
      <c r="DM18" s="221"/>
      <c r="DN18" s="313"/>
      <c r="DO18" s="249"/>
      <c r="DP18" s="216"/>
      <c r="DQ18" s="313"/>
      <c r="DR18" s="249"/>
      <c r="DS18" s="221"/>
      <c r="DT18" s="313"/>
      <c r="DU18" s="249"/>
      <c r="DV18" s="221"/>
      <c r="DW18" s="1560"/>
      <c r="DX18" s="1561"/>
      <c r="DY18" s="1562"/>
      <c r="DZ18" s="350"/>
      <c r="EA18" s="249"/>
      <c r="EB18" s="221"/>
      <c r="EC18" s="313"/>
      <c r="ED18" s="249"/>
      <c r="EE18" s="221"/>
      <c r="EF18" s="313"/>
      <c r="EG18" s="249"/>
      <c r="EH18" s="221"/>
      <c r="EI18" s="313"/>
      <c r="EJ18" s="249"/>
      <c r="EK18" s="216"/>
      <c r="EL18" s="1435"/>
      <c r="EM18" s="1619"/>
      <c r="EN18" s="1268"/>
      <c r="EO18" s="1563"/>
      <c r="EP18" s="1268"/>
      <c r="EQ18" s="1563"/>
      <c r="ER18" s="1268"/>
      <c r="ES18" s="1563"/>
      <c r="ET18" s="1268"/>
      <c r="EU18" s="1682"/>
      <c r="EV18" s="1683"/>
      <c r="EW18" s="1684"/>
      <c r="EX18" s="1685"/>
      <c r="EY18" s="1496"/>
      <c r="EZ18" s="252"/>
      <c r="FA18" s="395"/>
      <c r="FB18" s="223"/>
      <c r="FC18" s="1496"/>
      <c r="FD18" s="252"/>
      <c r="FE18" s="1564"/>
      <c r="FG18" s="256"/>
      <c r="FH18" s="256"/>
      <c r="FI18" s="256"/>
      <c r="FJ18" s="256"/>
      <c r="FK18" s="126"/>
      <c r="FL18" s="126"/>
      <c r="FM18" s="126"/>
      <c r="FN18" s="126"/>
      <c r="FO18" s="957"/>
      <c r="FP18" s="49"/>
      <c r="FR18" s="1566"/>
      <c r="FS18" s="1566"/>
      <c r="FT18" s="126"/>
      <c r="FU18" s="2879"/>
      <c r="FV18" s="2880"/>
      <c r="FW18" s="2881"/>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row>
    <row r="19" spans="1:255" s="1565" customFormat="1" ht="13.5" customHeight="1">
      <c r="A19" s="1023"/>
      <c r="B19" s="1023"/>
      <c r="C19" s="1023"/>
      <c r="D19" s="1549"/>
      <c r="E19" s="1549"/>
      <c r="F19" s="1549"/>
      <c r="G19" s="1549"/>
      <c r="H19" s="1549"/>
      <c r="I19" s="1549"/>
      <c r="J19" s="1549"/>
      <c r="K19" s="1549"/>
      <c r="L19" s="1549"/>
      <c r="M19" s="1549"/>
      <c r="N19" s="1549"/>
      <c r="O19" s="1549"/>
      <c r="P19" s="1549"/>
      <c r="Q19" s="1550"/>
      <c r="R19" s="1550"/>
      <c r="S19" s="1550"/>
      <c r="T19" s="2"/>
      <c r="U19" s="233"/>
      <c r="V19" s="216"/>
      <c r="W19" s="218"/>
      <c r="X19" s="218"/>
      <c r="Y19" s="216"/>
      <c r="Z19" s="216"/>
      <c r="AA19" s="252"/>
      <c r="AB19" s="252"/>
      <c r="AC19" s="252"/>
      <c r="AD19" s="253"/>
      <c r="AE19" s="252"/>
      <c r="AF19" s="252"/>
      <c r="AG19" s="252"/>
      <c r="AH19" s="252"/>
      <c r="AI19" s="252"/>
      <c r="AJ19" s="252"/>
      <c r="AK19" s="253"/>
      <c r="AL19" s="252"/>
      <c r="AM19" s="252"/>
      <c r="AN19" s="252"/>
      <c r="AO19" s="252"/>
      <c r="AP19" s="252"/>
      <c r="AQ19" s="252"/>
      <c r="AR19" s="252"/>
      <c r="AS19" s="252"/>
      <c r="AT19" s="252"/>
      <c r="AU19" s="252"/>
      <c r="AV19" s="1025"/>
      <c r="AW19" s="355"/>
      <c r="AX19" s="217"/>
      <c r="AY19" s="305"/>
      <c r="AZ19" s="249"/>
      <c r="BA19" s="221"/>
      <c r="BB19" s="1551"/>
      <c r="BC19" s="216"/>
      <c r="BD19" s="1552"/>
      <c r="BE19" s="1263"/>
      <c r="BF19" s="249"/>
      <c r="BG19" s="252"/>
      <c r="BH19" s="1543"/>
      <c r="BI19" s="1544"/>
      <c r="BJ19" s="1543"/>
      <c r="BK19" s="1545"/>
      <c r="BL19" s="260"/>
      <c r="BM19" s="216"/>
      <c r="BN19" s="1553"/>
      <c r="BO19" s="1553"/>
      <c r="BP19" s="1554"/>
      <c r="BQ19" s="216"/>
      <c r="BR19" s="1026"/>
      <c r="BS19" s="249"/>
      <c r="BT19" s="260"/>
      <c r="BU19" s="1026"/>
      <c r="BV19" s="249"/>
      <c r="BW19" s="260"/>
      <c r="BX19" s="1026"/>
      <c r="BY19" s="249"/>
      <c r="BZ19" s="260"/>
      <c r="CA19" s="1026"/>
      <c r="CB19" s="249"/>
      <c r="CC19" s="260"/>
      <c r="CD19" s="1026"/>
      <c r="CE19" s="1269"/>
      <c r="CF19" s="1270"/>
      <c r="CG19" s="1026"/>
      <c r="CH19" s="249"/>
      <c r="CI19" s="260"/>
      <c r="CJ19" s="1027"/>
      <c r="CK19" s="249"/>
      <c r="CL19" s="260"/>
      <c r="CM19" s="1555"/>
      <c r="CN19" s="249"/>
      <c r="CO19" s="216"/>
      <c r="CP19" s="1029"/>
      <c r="CQ19" s="249"/>
      <c r="CR19" s="216"/>
      <c r="CS19" s="1029"/>
      <c r="CT19" s="249"/>
      <c r="CU19" s="216"/>
      <c r="CV19" s="1027"/>
      <c r="CW19" s="249"/>
      <c r="CX19" s="221"/>
      <c r="CY19" s="1027"/>
      <c r="CZ19" s="249"/>
      <c r="DA19" s="216"/>
      <c r="DB19" s="1027"/>
      <c r="DC19" s="249"/>
      <c r="DD19"/>
      <c r="DE19" s="1027"/>
      <c r="DF19" s="1556"/>
      <c r="DG19" s="1557"/>
      <c r="DH19" s="1027"/>
      <c r="DI19" s="1556"/>
      <c r="DJ19" s="1558"/>
      <c r="DK19" s="1559"/>
      <c r="DL19" s="249"/>
      <c r="DM19" s="221"/>
      <c r="DN19" s="313"/>
      <c r="DO19" s="249"/>
      <c r="DP19" s="216"/>
      <c r="DQ19" s="313"/>
      <c r="DR19" s="249"/>
      <c r="DS19" s="221"/>
      <c r="DT19" s="313"/>
      <c r="DU19" s="249"/>
      <c r="DV19" s="221"/>
      <c r="DW19" s="1560"/>
      <c r="DX19" s="1561"/>
      <c r="DY19" s="1562"/>
      <c r="DZ19" s="350"/>
      <c r="EA19" s="249"/>
      <c r="EB19" s="221"/>
      <c r="EC19" s="313"/>
      <c r="ED19" s="249"/>
      <c r="EE19" s="221"/>
      <c r="EF19" s="313"/>
      <c r="EG19" s="249"/>
      <c r="EH19" s="221"/>
      <c r="EI19" s="313"/>
      <c r="EJ19" s="249"/>
      <c r="EK19" s="216"/>
      <c r="EL19" s="1435"/>
      <c r="EM19" s="1619"/>
      <c r="EN19" s="1268"/>
      <c r="EO19" s="1563"/>
      <c r="EP19" s="1268"/>
      <c r="EQ19" s="1563"/>
      <c r="ER19" s="1268"/>
      <c r="ES19" s="1563"/>
      <c r="ET19" s="1268"/>
      <c r="EU19" s="1682"/>
      <c r="EV19" s="1683"/>
      <c r="EW19" s="1684"/>
      <c r="EX19" s="1685"/>
      <c r="EY19" s="1496"/>
      <c r="EZ19" s="252"/>
      <c r="FA19" s="395"/>
      <c r="FB19" s="223"/>
      <c r="FC19" s="1496"/>
      <c r="FD19" s="252"/>
      <c r="FE19" s="1564"/>
      <c r="FG19" s="256"/>
      <c r="FH19" s="256"/>
      <c r="FI19" s="256"/>
      <c r="FJ19" s="256"/>
      <c r="FK19" s="126"/>
      <c r="FL19" s="126"/>
      <c r="FM19" s="126"/>
      <c r="FN19" s="126"/>
      <c r="FO19" s="957"/>
      <c r="FP19" s="49"/>
      <c r="FR19" s="1566"/>
      <c r="FS19" s="1566"/>
      <c r="FT19" s="126"/>
      <c r="FU19" s="2879"/>
      <c r="FV19" s="2880"/>
      <c r="FW19" s="2881"/>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row>
    <row r="20" spans="1:255" s="1565" customFormat="1" ht="13.5" customHeight="1">
      <c r="A20" s="1023"/>
      <c r="B20" s="1023"/>
      <c r="C20" s="1023"/>
      <c r="D20" s="1549"/>
      <c r="E20" s="1549"/>
      <c r="F20" s="1549"/>
      <c r="G20" s="1549"/>
      <c r="H20" s="1549"/>
      <c r="I20" s="1549"/>
      <c r="J20" s="1549"/>
      <c r="K20" s="1549"/>
      <c r="L20" s="1549"/>
      <c r="M20" s="1549"/>
      <c r="N20" s="1549"/>
      <c r="O20" s="1549"/>
      <c r="P20" s="1549"/>
      <c r="Q20" s="1550"/>
      <c r="R20" s="1550"/>
      <c r="S20" s="1550"/>
      <c r="T20" s="2"/>
      <c r="U20" s="233"/>
      <c r="V20" s="216"/>
      <c r="W20" s="218"/>
      <c r="X20" s="218"/>
      <c r="Y20" s="216"/>
      <c r="Z20" s="216"/>
      <c r="AA20" s="252"/>
      <c r="AB20" s="252"/>
      <c r="AC20" s="252"/>
      <c r="AD20" s="253"/>
      <c r="AE20" s="252"/>
      <c r="AF20" s="252"/>
      <c r="AG20" s="252"/>
      <c r="AH20" s="252"/>
      <c r="AI20" s="252"/>
      <c r="AJ20" s="252"/>
      <c r="AK20" s="253"/>
      <c r="AL20" s="252"/>
      <c r="AM20" s="252"/>
      <c r="AN20" s="252"/>
      <c r="AO20" s="252"/>
      <c r="AP20" s="252"/>
      <c r="AQ20" s="252"/>
      <c r="AR20" s="252"/>
      <c r="AS20" s="252"/>
      <c r="AT20" s="252"/>
      <c r="AU20" s="252"/>
      <c r="AV20" s="1025"/>
      <c r="AW20" s="355"/>
      <c r="AX20" s="217"/>
      <c r="AY20" s="305"/>
      <c r="AZ20" s="249"/>
      <c r="BA20" s="221"/>
      <c r="BB20" s="1551"/>
      <c r="BC20" s="216"/>
      <c r="BD20" s="1552"/>
      <c r="BE20" s="1263"/>
      <c r="BF20" s="249"/>
      <c r="BG20" s="252"/>
      <c r="BH20" s="1543"/>
      <c r="BI20" s="1544"/>
      <c r="BJ20" s="1543"/>
      <c r="BK20" s="1545"/>
      <c r="BL20" s="260"/>
      <c r="BM20" s="216"/>
      <c r="BN20" s="1553"/>
      <c r="BO20" s="1553"/>
      <c r="BP20" s="1554"/>
      <c r="BQ20" s="216"/>
      <c r="BR20" s="1026"/>
      <c r="BS20" s="249"/>
      <c r="BT20" s="260"/>
      <c r="BU20" s="1026"/>
      <c r="BV20" s="249"/>
      <c r="BW20" s="260"/>
      <c r="BX20" s="1026"/>
      <c r="BY20" s="249"/>
      <c r="BZ20" s="260"/>
      <c r="CA20" s="1026"/>
      <c r="CB20" s="249"/>
      <c r="CC20" s="260"/>
      <c r="CD20" s="1026"/>
      <c r="CE20" s="1269"/>
      <c r="CF20" s="1270"/>
      <c r="CG20" s="1026"/>
      <c r="CH20" s="249"/>
      <c r="CI20" s="260"/>
      <c r="CJ20" s="1027"/>
      <c r="CK20" s="249"/>
      <c r="CL20" s="260"/>
      <c r="CM20" s="1555"/>
      <c r="CN20" s="249"/>
      <c r="CO20" s="216"/>
      <c r="CP20" s="1029"/>
      <c r="CQ20" s="249"/>
      <c r="CR20" s="216"/>
      <c r="CS20" s="1029"/>
      <c r="CT20" s="249"/>
      <c r="CU20" s="216"/>
      <c r="CV20" s="1027"/>
      <c r="CW20" s="249"/>
      <c r="CX20" s="221"/>
      <c r="CY20" s="1027"/>
      <c r="CZ20" s="249"/>
      <c r="DA20" s="216"/>
      <c r="DB20" s="1027"/>
      <c r="DC20" s="249"/>
      <c r="DD20"/>
      <c r="DE20" s="1027"/>
      <c r="DF20" s="1556"/>
      <c r="DG20" s="1557"/>
      <c r="DH20" s="1027"/>
      <c r="DI20" s="1556"/>
      <c r="DJ20" s="1558"/>
      <c r="DK20" s="1559"/>
      <c r="DL20" s="249"/>
      <c r="DM20" s="221"/>
      <c r="DN20" s="313"/>
      <c r="DO20" s="249"/>
      <c r="DP20" s="216"/>
      <c r="DQ20" s="313"/>
      <c r="DR20" s="249"/>
      <c r="DS20" s="221"/>
      <c r="DT20" s="313"/>
      <c r="DU20" s="249"/>
      <c r="DV20" s="221"/>
      <c r="DW20" s="1560"/>
      <c r="DX20" s="1561"/>
      <c r="DY20" s="1562"/>
      <c r="DZ20" s="350"/>
      <c r="EA20" s="249"/>
      <c r="EB20" s="221"/>
      <c r="EC20" s="313"/>
      <c r="ED20" s="249"/>
      <c r="EE20" s="221"/>
      <c r="EF20" s="313"/>
      <c r="EG20" s="249"/>
      <c r="EH20" s="221"/>
      <c r="EI20" s="313"/>
      <c r="EJ20" s="249"/>
      <c r="EK20" s="216"/>
      <c r="EL20" s="1435"/>
      <c r="EM20" s="1619"/>
      <c r="EN20" s="1268"/>
      <c r="EO20" s="1563"/>
      <c r="EP20" s="1268"/>
      <c r="EQ20" s="1563"/>
      <c r="ER20" s="1268"/>
      <c r="ES20" s="1563"/>
      <c r="ET20" s="1268"/>
      <c r="EU20" s="1682"/>
      <c r="EV20" s="1683"/>
      <c r="EW20" s="1684"/>
      <c r="EX20" s="1685"/>
      <c r="EY20" s="1496"/>
      <c r="EZ20" s="252"/>
      <c r="FA20" s="395"/>
      <c r="FB20" s="223"/>
      <c r="FC20" s="1496"/>
      <c r="FD20" s="252"/>
      <c r="FE20" s="1564"/>
      <c r="FG20" s="256"/>
      <c r="FH20" s="256"/>
      <c r="FI20" s="256"/>
      <c r="FJ20" s="256"/>
      <c r="FK20" s="126"/>
      <c r="FL20" s="126"/>
      <c r="FM20" s="126"/>
      <c r="FN20" s="126"/>
      <c r="FO20" s="957"/>
      <c r="FP20" s="49"/>
      <c r="FR20" s="1566"/>
      <c r="FS20" s="1566"/>
      <c r="FT20" s="126"/>
      <c r="FU20" s="2879"/>
      <c r="FV20" s="2880"/>
      <c r="FW20" s="2881"/>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row>
    <row r="21" spans="1:255" s="1565" customFormat="1" ht="13.5" customHeight="1">
      <c r="A21" s="1023"/>
      <c r="B21" s="1023"/>
      <c r="C21" s="1023"/>
      <c r="D21" s="1549"/>
      <c r="E21" s="1549"/>
      <c r="F21" s="1549"/>
      <c r="G21" s="1549"/>
      <c r="H21" s="1549"/>
      <c r="I21" s="1549"/>
      <c r="J21" s="1549"/>
      <c r="K21" s="1549"/>
      <c r="L21" s="1549"/>
      <c r="M21" s="1549"/>
      <c r="N21" s="1549"/>
      <c r="O21" s="1549"/>
      <c r="P21" s="1549"/>
      <c r="Q21" s="1550"/>
      <c r="R21" s="1550"/>
      <c r="S21" s="1550"/>
      <c r="T21" s="2"/>
      <c r="U21" s="233"/>
      <c r="V21" s="216"/>
      <c r="W21" s="218"/>
      <c r="X21" s="218"/>
      <c r="Y21" s="216"/>
      <c r="Z21" s="216"/>
      <c r="AA21" s="252"/>
      <c r="AB21" s="252"/>
      <c r="AC21" s="252"/>
      <c r="AD21" s="253"/>
      <c r="AE21" s="252"/>
      <c r="AF21" s="252"/>
      <c r="AG21" s="252"/>
      <c r="AH21" s="252"/>
      <c r="AI21" s="252"/>
      <c r="AJ21" s="252"/>
      <c r="AK21" s="253"/>
      <c r="AL21" s="252"/>
      <c r="AM21" s="252"/>
      <c r="AN21" s="252"/>
      <c r="AO21" s="252"/>
      <c r="AP21" s="252"/>
      <c r="AQ21" s="252"/>
      <c r="AR21" s="252"/>
      <c r="AS21" s="252"/>
      <c r="AT21" s="252"/>
      <c r="AU21" s="252"/>
      <c r="AV21" s="1025"/>
      <c r="AW21" s="355"/>
      <c r="AX21" s="217"/>
      <c r="AY21" s="305"/>
      <c r="AZ21" s="249"/>
      <c r="BA21" s="221"/>
      <c r="BB21" s="1551"/>
      <c r="BC21" s="216"/>
      <c r="BD21" s="1552"/>
      <c r="BE21" s="1263"/>
      <c r="BF21" s="249"/>
      <c r="BG21" s="252"/>
      <c r="BH21" s="1543"/>
      <c r="BI21" s="1544"/>
      <c r="BJ21" s="1543"/>
      <c r="BK21" s="1545"/>
      <c r="BL21" s="260"/>
      <c r="BM21" s="216"/>
      <c r="BN21" s="1553"/>
      <c r="BO21" s="1553"/>
      <c r="BP21" s="1554"/>
      <c r="BQ21" s="216"/>
      <c r="BR21" s="1026"/>
      <c r="BS21" s="249"/>
      <c r="BT21" s="260"/>
      <c r="BU21" s="1026"/>
      <c r="BV21" s="249"/>
      <c r="BW21" s="260"/>
      <c r="BX21" s="1026"/>
      <c r="BY21" s="249"/>
      <c r="BZ21" s="260"/>
      <c r="CA21" s="1026"/>
      <c r="CB21" s="249"/>
      <c r="CC21" s="260"/>
      <c r="CD21" s="1026"/>
      <c r="CE21" s="1269"/>
      <c r="CF21" s="1270"/>
      <c r="CG21" s="1026"/>
      <c r="CH21" s="249"/>
      <c r="CI21" s="260"/>
      <c r="CJ21" s="1027"/>
      <c r="CK21" s="249"/>
      <c r="CL21" s="260"/>
      <c r="CM21" s="1555"/>
      <c r="CN21" s="249"/>
      <c r="CO21" s="216"/>
      <c r="CP21" s="1029"/>
      <c r="CQ21" s="249"/>
      <c r="CR21" s="216"/>
      <c r="CS21" s="1029"/>
      <c r="CT21" s="249"/>
      <c r="CU21" s="216"/>
      <c r="CV21" s="1027"/>
      <c r="CW21" s="249"/>
      <c r="CX21" s="221"/>
      <c r="CY21" s="1027"/>
      <c r="CZ21" s="249"/>
      <c r="DA21" s="216"/>
      <c r="DB21" s="1027"/>
      <c r="DC21" s="249"/>
      <c r="DD21"/>
      <c r="DE21" s="1027"/>
      <c r="DF21" s="1556"/>
      <c r="DG21" s="1557"/>
      <c r="DH21" s="1027"/>
      <c r="DI21" s="1556"/>
      <c r="DJ21" s="1558"/>
      <c r="DK21" s="1559"/>
      <c r="DL21" s="249"/>
      <c r="DM21" s="221"/>
      <c r="DN21" s="313"/>
      <c r="DO21" s="249"/>
      <c r="DP21" s="216"/>
      <c r="DQ21" s="313"/>
      <c r="DR21" s="249"/>
      <c r="DS21" s="221"/>
      <c r="DT21" s="313"/>
      <c r="DU21" s="249"/>
      <c r="DV21" s="221"/>
      <c r="DW21" s="1560"/>
      <c r="DX21" s="1561"/>
      <c r="DY21" s="1562"/>
      <c r="DZ21" s="350"/>
      <c r="EA21" s="249"/>
      <c r="EB21" s="221"/>
      <c r="EC21" s="313"/>
      <c r="ED21" s="249"/>
      <c r="EE21" s="221"/>
      <c r="EF21" s="313"/>
      <c r="EG21" s="249"/>
      <c r="EH21" s="221"/>
      <c r="EI21" s="313"/>
      <c r="EJ21" s="249"/>
      <c r="EK21" s="216"/>
      <c r="EL21" s="1435"/>
      <c r="EM21" s="1619"/>
      <c r="EN21" s="1268"/>
      <c r="EO21" s="1563"/>
      <c r="EP21" s="1268"/>
      <c r="EQ21" s="1563"/>
      <c r="ER21" s="1268"/>
      <c r="ES21" s="1563"/>
      <c r="ET21" s="1268"/>
      <c r="EU21" s="1682"/>
      <c r="EV21" s="1683"/>
      <c r="EW21" s="1684"/>
      <c r="EX21" s="1685"/>
      <c r="EY21" s="1496"/>
      <c r="EZ21" s="252"/>
      <c r="FA21" s="395"/>
      <c r="FB21" s="223"/>
      <c r="FC21" s="1496"/>
      <c r="FD21" s="252"/>
      <c r="FE21" s="1564"/>
      <c r="FG21" s="256"/>
      <c r="FH21" s="256"/>
      <c r="FI21" s="256"/>
      <c r="FJ21" s="256"/>
      <c r="FK21" s="126"/>
      <c r="FL21" s="126"/>
      <c r="FM21" s="126"/>
      <c r="FN21" s="126"/>
      <c r="FO21" s="957"/>
      <c r="FP21" s="49"/>
      <c r="FR21" s="1566"/>
      <c r="FS21" s="1566"/>
      <c r="FT21" s="126"/>
      <c r="FU21" s="2879"/>
      <c r="FV21" s="2880"/>
      <c r="FW21" s="2881"/>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row>
    <row r="22" spans="1:255" s="1565" customFormat="1" ht="13.5" customHeight="1">
      <c r="A22" s="1023"/>
      <c r="B22" s="1023"/>
      <c r="C22" s="1023"/>
      <c r="D22" s="1549"/>
      <c r="E22" s="1549"/>
      <c r="F22" s="1549"/>
      <c r="G22" s="1549"/>
      <c r="H22" s="1549"/>
      <c r="I22" s="1549"/>
      <c r="J22" s="1549"/>
      <c r="K22" s="1549"/>
      <c r="L22" s="1549"/>
      <c r="M22" s="1549"/>
      <c r="N22" s="1549"/>
      <c r="O22" s="1549"/>
      <c r="P22" s="1549"/>
      <c r="Q22" s="1550"/>
      <c r="R22" s="1550"/>
      <c r="S22" s="1550"/>
      <c r="T22" s="2"/>
      <c r="U22" s="233"/>
      <c r="V22" s="216"/>
      <c r="W22" s="218"/>
      <c r="X22" s="218"/>
      <c r="Y22" s="216"/>
      <c r="Z22" s="216"/>
      <c r="AA22" s="252"/>
      <c r="AB22" s="252"/>
      <c r="AC22" s="252"/>
      <c r="AD22" s="253"/>
      <c r="AE22" s="252"/>
      <c r="AF22" s="252"/>
      <c r="AG22" s="252"/>
      <c r="AH22" s="252"/>
      <c r="AI22" s="252"/>
      <c r="AJ22" s="252"/>
      <c r="AK22" s="253"/>
      <c r="AL22" s="252"/>
      <c r="AM22" s="252"/>
      <c r="AN22" s="252"/>
      <c r="AO22" s="252"/>
      <c r="AP22" s="252"/>
      <c r="AQ22" s="252"/>
      <c r="AR22" s="252"/>
      <c r="AS22" s="252"/>
      <c r="AT22" s="252"/>
      <c r="AU22" s="252"/>
      <c r="AV22" s="1025"/>
      <c r="AW22" s="355"/>
      <c r="AX22" s="217"/>
      <c r="AY22" s="305"/>
      <c r="AZ22" s="249"/>
      <c r="BA22" s="221"/>
      <c r="BB22" s="1551"/>
      <c r="BC22" s="216"/>
      <c r="BD22" s="1552"/>
      <c r="BE22" s="1263"/>
      <c r="BF22" s="249"/>
      <c r="BG22" s="252"/>
      <c r="BH22" s="1543"/>
      <c r="BI22" s="1544"/>
      <c r="BJ22" s="1543"/>
      <c r="BK22" s="1545"/>
      <c r="BL22" s="260"/>
      <c r="BM22" s="216"/>
      <c r="BN22" s="1553"/>
      <c r="BO22" s="1553"/>
      <c r="BP22" s="1554"/>
      <c r="BQ22" s="216"/>
      <c r="BR22" s="1026"/>
      <c r="BS22" s="249"/>
      <c r="BT22" s="260"/>
      <c r="BU22" s="1026"/>
      <c r="BV22" s="249"/>
      <c r="BW22" s="260"/>
      <c r="BX22" s="1026"/>
      <c r="BY22" s="249"/>
      <c r="BZ22" s="260"/>
      <c r="CA22" s="1026"/>
      <c r="CB22" s="249"/>
      <c r="CC22" s="260"/>
      <c r="CD22" s="1026"/>
      <c r="CE22" s="1269"/>
      <c r="CF22" s="1270"/>
      <c r="CG22" s="1026"/>
      <c r="CH22" s="249"/>
      <c r="CI22" s="260"/>
      <c r="CJ22" s="1027"/>
      <c r="CK22" s="249"/>
      <c r="CL22" s="260"/>
      <c r="CM22" s="1555"/>
      <c r="CN22" s="249"/>
      <c r="CO22" s="216"/>
      <c r="CP22" s="1029"/>
      <c r="CQ22" s="249"/>
      <c r="CR22" s="216"/>
      <c r="CS22" s="1029"/>
      <c r="CT22" s="249"/>
      <c r="CU22" s="216"/>
      <c r="CV22" s="1027"/>
      <c r="CW22" s="249"/>
      <c r="CX22" s="221"/>
      <c r="CY22" s="1027"/>
      <c r="CZ22" s="249"/>
      <c r="DA22" s="216"/>
      <c r="DB22" s="1027"/>
      <c r="DC22" s="249"/>
      <c r="DD22"/>
      <c r="DE22" s="1027"/>
      <c r="DF22" s="1556"/>
      <c r="DG22" s="1557"/>
      <c r="DH22" s="1027"/>
      <c r="DI22" s="1556"/>
      <c r="DJ22" s="1558"/>
      <c r="DK22" s="1559"/>
      <c r="DL22" s="249"/>
      <c r="DM22" s="221"/>
      <c r="DN22" s="313"/>
      <c r="DO22" s="249"/>
      <c r="DP22" s="216"/>
      <c r="DQ22" s="313"/>
      <c r="DR22" s="249"/>
      <c r="DS22" s="221"/>
      <c r="DT22" s="313"/>
      <c r="DU22" s="249"/>
      <c r="DV22" s="221"/>
      <c r="DW22" s="1560"/>
      <c r="DX22" s="1561"/>
      <c r="DY22" s="1562"/>
      <c r="DZ22" s="350"/>
      <c r="EA22" s="249"/>
      <c r="EB22" s="221"/>
      <c r="EC22" s="313"/>
      <c r="ED22" s="249"/>
      <c r="EE22" s="221"/>
      <c r="EF22" s="313"/>
      <c r="EG22" s="249"/>
      <c r="EH22" s="221"/>
      <c r="EI22" s="313"/>
      <c r="EJ22" s="249"/>
      <c r="EK22" s="216"/>
      <c r="EL22" s="1435"/>
      <c r="EM22" s="1619"/>
      <c r="EN22" s="1268"/>
      <c r="EO22" s="1563"/>
      <c r="EP22" s="1268"/>
      <c r="EQ22" s="1563"/>
      <c r="ER22" s="1268"/>
      <c r="ES22" s="1563"/>
      <c r="ET22" s="1268"/>
      <c r="EU22" s="1682"/>
      <c r="EV22" s="1683"/>
      <c r="EW22" s="1684"/>
      <c r="EX22" s="1685"/>
      <c r="EY22" s="1496"/>
      <c r="EZ22" s="252"/>
      <c r="FA22" s="395"/>
      <c r="FB22" s="223"/>
      <c r="FC22" s="1496"/>
      <c r="FD22" s="252"/>
      <c r="FE22" s="1564"/>
      <c r="FG22" s="256"/>
      <c r="FH22" s="256"/>
      <c r="FI22" s="256"/>
      <c r="FJ22" s="256"/>
      <c r="FK22" s="126"/>
      <c r="FL22" s="126"/>
      <c r="FM22" s="126"/>
      <c r="FN22" s="126"/>
      <c r="FO22" s="957"/>
      <c r="FP22" s="49"/>
      <c r="FR22" s="1566"/>
      <c r="FS22" s="1566"/>
      <c r="FT22" s="126"/>
      <c r="FU22" s="2879"/>
      <c r="FV22" s="2880"/>
      <c r="FW22" s="2881"/>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row>
    <row r="23" spans="1:255" s="1565" customFormat="1" ht="13.5" customHeight="1">
      <c r="A23" s="1023"/>
      <c r="B23" s="1023"/>
      <c r="C23" s="1023"/>
      <c r="D23" s="1549"/>
      <c r="E23" s="1549"/>
      <c r="F23" s="1549"/>
      <c r="G23" s="1549"/>
      <c r="H23" s="1549"/>
      <c r="I23" s="1549"/>
      <c r="J23" s="1549"/>
      <c r="K23" s="1549"/>
      <c r="L23" s="1549"/>
      <c r="M23" s="1549"/>
      <c r="N23" s="1549"/>
      <c r="O23" s="1549"/>
      <c r="P23" s="1549"/>
      <c r="Q23" s="1550"/>
      <c r="R23" s="1550"/>
      <c r="S23" s="1550"/>
      <c r="T23" s="2"/>
      <c r="U23" s="233"/>
      <c r="V23" s="216"/>
      <c r="W23" s="218"/>
      <c r="X23" s="218"/>
      <c r="Y23" s="216"/>
      <c r="Z23" s="216"/>
      <c r="AA23" s="252"/>
      <c r="AB23" s="252"/>
      <c r="AC23" s="252"/>
      <c r="AD23" s="253"/>
      <c r="AE23" s="252"/>
      <c r="AF23" s="252"/>
      <c r="AG23" s="252"/>
      <c r="AH23" s="252"/>
      <c r="AI23" s="252"/>
      <c r="AJ23" s="252"/>
      <c r="AK23" s="253"/>
      <c r="AL23" s="252"/>
      <c r="AM23" s="252"/>
      <c r="AN23" s="252"/>
      <c r="AO23" s="252"/>
      <c r="AP23" s="252"/>
      <c r="AQ23" s="252"/>
      <c r="AR23" s="252"/>
      <c r="AS23" s="252"/>
      <c r="AT23" s="252"/>
      <c r="AU23" s="252"/>
      <c r="AV23" s="1025"/>
      <c r="AW23" s="355"/>
      <c r="AX23" s="217"/>
      <c r="AY23" s="305"/>
      <c r="AZ23" s="249"/>
      <c r="BA23" s="221"/>
      <c r="BB23" s="1551"/>
      <c r="BC23" s="216"/>
      <c r="BD23" s="1552"/>
      <c r="BE23" s="1263"/>
      <c r="BF23" s="249"/>
      <c r="BG23" s="252"/>
      <c r="BH23" s="1543"/>
      <c r="BI23" s="1544"/>
      <c r="BJ23" s="1543"/>
      <c r="BK23" s="1545"/>
      <c r="BL23" s="260"/>
      <c r="BM23" s="216"/>
      <c r="BN23" s="1553"/>
      <c r="BO23" s="1553"/>
      <c r="BP23" s="1554"/>
      <c r="BQ23" s="216"/>
      <c r="BR23" s="1026"/>
      <c r="BS23" s="249"/>
      <c r="BT23" s="260"/>
      <c r="BU23" s="1026"/>
      <c r="BV23" s="249"/>
      <c r="BW23" s="260"/>
      <c r="BX23" s="1026"/>
      <c r="BY23" s="249"/>
      <c r="BZ23" s="260"/>
      <c r="CA23" s="1026"/>
      <c r="CB23" s="249"/>
      <c r="CC23" s="260"/>
      <c r="CD23" s="1026"/>
      <c r="CE23" s="1269"/>
      <c r="CF23" s="1270"/>
      <c r="CG23" s="1026"/>
      <c r="CH23" s="249"/>
      <c r="CI23" s="260"/>
      <c r="CJ23" s="1027"/>
      <c r="CK23" s="249"/>
      <c r="CL23" s="260"/>
      <c r="CM23" s="1555"/>
      <c r="CN23" s="249"/>
      <c r="CO23" s="216"/>
      <c r="CP23" s="1029"/>
      <c r="CQ23" s="249"/>
      <c r="CR23" s="216"/>
      <c r="CS23" s="1029"/>
      <c r="CT23" s="249"/>
      <c r="CU23" s="216"/>
      <c r="CV23" s="1027"/>
      <c r="CW23" s="249"/>
      <c r="CX23" s="221"/>
      <c r="CY23" s="1027"/>
      <c r="CZ23" s="249"/>
      <c r="DA23" s="216"/>
      <c r="DB23" s="1027"/>
      <c r="DC23" s="249"/>
      <c r="DD23"/>
      <c r="DE23" s="1027"/>
      <c r="DF23" s="1556"/>
      <c r="DG23" s="1557"/>
      <c r="DH23" s="1027"/>
      <c r="DI23" s="1556"/>
      <c r="DJ23" s="1558"/>
      <c r="DK23" s="1559"/>
      <c r="DL23" s="249"/>
      <c r="DM23" s="221"/>
      <c r="DN23" s="313"/>
      <c r="DO23" s="249"/>
      <c r="DP23" s="216"/>
      <c r="DQ23" s="313"/>
      <c r="DR23" s="249"/>
      <c r="DS23" s="221"/>
      <c r="DT23" s="313"/>
      <c r="DU23" s="249"/>
      <c r="DV23" s="221"/>
      <c r="DW23" s="1560"/>
      <c r="DX23" s="1561"/>
      <c r="DY23" s="1562"/>
      <c r="DZ23" s="350"/>
      <c r="EA23" s="249"/>
      <c r="EB23" s="221"/>
      <c r="EC23" s="313"/>
      <c r="ED23" s="249"/>
      <c r="EE23" s="221"/>
      <c r="EF23" s="313"/>
      <c r="EG23" s="249"/>
      <c r="EH23" s="221"/>
      <c r="EI23" s="313"/>
      <c r="EJ23" s="249"/>
      <c r="EK23" s="216"/>
      <c r="EL23" s="1435"/>
      <c r="EM23" s="1619"/>
      <c r="EN23" s="1268"/>
      <c r="EO23" s="1563"/>
      <c r="EP23" s="1268"/>
      <c r="EQ23" s="1563"/>
      <c r="ER23" s="1268"/>
      <c r="ES23" s="1563"/>
      <c r="ET23" s="1268"/>
      <c r="EU23" s="1682"/>
      <c r="EV23" s="1683"/>
      <c r="EW23" s="1684"/>
      <c r="EX23" s="1685"/>
      <c r="EY23" s="1496"/>
      <c r="EZ23" s="252"/>
      <c r="FA23" s="395"/>
      <c r="FB23" s="223"/>
      <c r="FC23" s="1496"/>
      <c r="FD23" s="252"/>
      <c r="FE23" s="1564"/>
      <c r="FG23" s="256"/>
      <c r="FH23" s="256"/>
      <c r="FI23" s="256"/>
      <c r="FJ23" s="256"/>
      <c r="FK23" s="126"/>
      <c r="FL23" s="126"/>
      <c r="FM23" s="126"/>
      <c r="FN23" s="126"/>
      <c r="FO23" s="957"/>
      <c r="FP23" s="49"/>
      <c r="FR23" s="1566"/>
      <c r="FS23" s="1566"/>
      <c r="FT23" s="126"/>
      <c r="FU23" s="2879"/>
      <c r="FV23" s="2880"/>
      <c r="FW23" s="2881"/>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row>
    <row r="24" spans="1:255" s="1565" customFormat="1" ht="13.5" customHeight="1">
      <c r="A24" s="1023"/>
      <c r="B24" s="1023"/>
      <c r="C24" s="1023"/>
      <c r="D24" s="1549"/>
      <c r="E24" s="1549"/>
      <c r="F24" s="1549"/>
      <c r="G24" s="1549"/>
      <c r="H24" s="1549"/>
      <c r="I24" s="1549"/>
      <c r="J24" s="1549"/>
      <c r="K24" s="1549"/>
      <c r="L24" s="1549"/>
      <c r="M24" s="1549"/>
      <c r="N24" s="1549"/>
      <c r="O24" s="1549"/>
      <c r="P24" s="1549"/>
      <c r="Q24" s="1550"/>
      <c r="R24" s="1550"/>
      <c r="S24" s="1550"/>
      <c r="T24" s="2"/>
      <c r="U24" s="233"/>
      <c r="V24" s="216"/>
      <c r="W24" s="218"/>
      <c r="X24" s="218"/>
      <c r="Y24" s="216"/>
      <c r="Z24" s="216"/>
      <c r="AA24" s="252"/>
      <c r="AB24" s="252"/>
      <c r="AC24" s="252"/>
      <c r="AD24" s="253"/>
      <c r="AE24" s="252"/>
      <c r="AF24" s="252"/>
      <c r="AG24" s="252"/>
      <c r="AH24" s="252"/>
      <c r="AI24" s="252"/>
      <c r="AJ24" s="252"/>
      <c r="AK24" s="253"/>
      <c r="AL24" s="252"/>
      <c r="AM24" s="252"/>
      <c r="AN24" s="252"/>
      <c r="AO24" s="252"/>
      <c r="AP24" s="252"/>
      <c r="AQ24" s="252"/>
      <c r="AR24" s="252"/>
      <c r="AS24" s="252"/>
      <c r="AT24" s="252"/>
      <c r="AU24" s="252"/>
      <c r="AV24" s="1025"/>
      <c r="AW24" s="355"/>
      <c r="AX24" s="217"/>
      <c r="AY24" s="305"/>
      <c r="AZ24" s="249"/>
      <c r="BA24" s="221"/>
      <c r="BB24" s="1551"/>
      <c r="BC24" s="216"/>
      <c r="BD24" s="1552"/>
      <c r="BE24" s="1263"/>
      <c r="BF24" s="249"/>
      <c r="BG24" s="252"/>
      <c r="BH24" s="1543"/>
      <c r="BI24" s="1544"/>
      <c r="BJ24" s="1543"/>
      <c r="BK24" s="1545"/>
      <c r="BL24" s="260"/>
      <c r="BM24" s="216"/>
      <c r="BN24" s="1553"/>
      <c r="BO24" s="1553"/>
      <c r="BP24" s="1554"/>
      <c r="BQ24" s="216"/>
      <c r="BR24" s="1026"/>
      <c r="BS24" s="249"/>
      <c r="BT24" s="260"/>
      <c r="BU24" s="1026"/>
      <c r="BV24" s="249"/>
      <c r="BW24" s="260"/>
      <c r="BX24" s="1026"/>
      <c r="BY24" s="249"/>
      <c r="BZ24" s="260"/>
      <c r="CA24" s="1026"/>
      <c r="CB24" s="249"/>
      <c r="CC24" s="260"/>
      <c r="CD24" s="1026"/>
      <c r="CE24" s="1269"/>
      <c r="CF24" s="1270"/>
      <c r="CG24" s="1026"/>
      <c r="CH24" s="249"/>
      <c r="CI24" s="260"/>
      <c r="CJ24" s="1027"/>
      <c r="CK24" s="249"/>
      <c r="CL24" s="260"/>
      <c r="CM24" s="1555"/>
      <c r="CN24" s="249"/>
      <c r="CO24" s="216"/>
      <c r="CP24" s="1029"/>
      <c r="CQ24" s="249"/>
      <c r="CR24" s="216"/>
      <c r="CS24" s="1029"/>
      <c r="CT24" s="249"/>
      <c r="CU24" s="216"/>
      <c r="CV24" s="1027"/>
      <c r="CW24" s="249"/>
      <c r="CX24" s="221"/>
      <c r="CY24" s="1027"/>
      <c r="CZ24" s="249"/>
      <c r="DA24" s="216"/>
      <c r="DB24" s="1027"/>
      <c r="DC24" s="249"/>
      <c r="DD24"/>
      <c r="DE24" s="1027"/>
      <c r="DF24" s="1556"/>
      <c r="DG24" s="1557"/>
      <c r="DH24" s="1027"/>
      <c r="DI24" s="1556"/>
      <c r="DJ24" s="1558"/>
      <c r="DK24" s="1559"/>
      <c r="DL24" s="249"/>
      <c r="DM24" s="221"/>
      <c r="DN24" s="313"/>
      <c r="DO24" s="249"/>
      <c r="DP24" s="216"/>
      <c r="DQ24" s="313"/>
      <c r="DR24" s="249"/>
      <c r="DS24" s="221"/>
      <c r="DT24" s="313"/>
      <c r="DU24" s="249"/>
      <c r="DV24" s="221"/>
      <c r="DW24" s="1560"/>
      <c r="DX24" s="1561"/>
      <c r="DY24" s="1562"/>
      <c r="DZ24" s="350"/>
      <c r="EA24" s="249"/>
      <c r="EB24" s="221"/>
      <c r="EC24" s="313"/>
      <c r="ED24" s="249"/>
      <c r="EE24" s="221"/>
      <c r="EF24" s="313"/>
      <c r="EG24" s="249"/>
      <c r="EH24" s="221"/>
      <c r="EI24" s="313"/>
      <c r="EJ24" s="249"/>
      <c r="EK24" s="216"/>
      <c r="EL24" s="1435"/>
      <c r="EM24" s="1619"/>
      <c r="EN24" s="1268"/>
      <c r="EO24" s="1563"/>
      <c r="EP24" s="1268"/>
      <c r="EQ24" s="1563"/>
      <c r="ER24" s="1268"/>
      <c r="ES24" s="1563"/>
      <c r="ET24" s="1268"/>
      <c r="EU24" s="1682"/>
      <c r="EV24" s="1683"/>
      <c r="EW24" s="1684"/>
      <c r="EX24" s="1685"/>
      <c r="EY24" s="1496"/>
      <c r="EZ24" s="252"/>
      <c r="FA24" s="395"/>
      <c r="FB24" s="223"/>
      <c r="FC24" s="1496"/>
      <c r="FD24" s="252"/>
      <c r="FE24" s="1564"/>
      <c r="FG24" s="256"/>
      <c r="FH24" s="256"/>
      <c r="FI24" s="256"/>
      <c r="FJ24" s="256"/>
      <c r="FK24" s="126"/>
      <c r="FL24" s="126"/>
      <c r="FM24" s="126"/>
      <c r="FN24" s="126"/>
      <c r="FO24" s="957"/>
      <c r="FP24" s="49"/>
      <c r="FR24" s="1566"/>
      <c r="FS24" s="1566"/>
      <c r="FT24" s="126"/>
      <c r="FU24" s="2879"/>
      <c r="FV24" s="2880"/>
      <c r="FW24" s="2881"/>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row>
    <row r="25" spans="1:255" s="1565" customFormat="1" ht="13.5" customHeight="1">
      <c r="A25" s="1023"/>
      <c r="B25" s="1023"/>
      <c r="C25" s="1023"/>
      <c r="D25" s="1549"/>
      <c r="E25" s="1549"/>
      <c r="F25" s="1549"/>
      <c r="G25" s="1549"/>
      <c r="H25" s="1549"/>
      <c r="I25" s="1549"/>
      <c r="J25" s="1549"/>
      <c r="K25" s="1549"/>
      <c r="L25" s="1549"/>
      <c r="M25" s="1549"/>
      <c r="N25" s="1549"/>
      <c r="O25" s="1549"/>
      <c r="P25" s="1549"/>
      <c r="Q25" s="1550"/>
      <c r="R25" s="1550"/>
      <c r="S25" s="1550"/>
      <c r="T25" s="2"/>
      <c r="U25" s="233"/>
      <c r="V25" s="216"/>
      <c r="W25" s="218"/>
      <c r="X25" s="218"/>
      <c r="Y25" s="216"/>
      <c r="Z25" s="216"/>
      <c r="AA25" s="252"/>
      <c r="AB25" s="252"/>
      <c r="AC25" s="252"/>
      <c r="AD25" s="253"/>
      <c r="AE25" s="252"/>
      <c r="AF25" s="252"/>
      <c r="AG25" s="252"/>
      <c r="AH25" s="252"/>
      <c r="AI25" s="252"/>
      <c r="AJ25" s="252"/>
      <c r="AK25" s="253"/>
      <c r="AL25" s="252"/>
      <c r="AM25" s="252"/>
      <c r="AN25" s="252"/>
      <c r="AO25" s="252"/>
      <c r="AP25" s="252"/>
      <c r="AQ25" s="252"/>
      <c r="AR25" s="252"/>
      <c r="AS25" s="252"/>
      <c r="AT25" s="252"/>
      <c r="AU25" s="252"/>
      <c r="AV25" s="1025"/>
      <c r="AW25" s="355"/>
      <c r="AX25" s="217"/>
      <c r="AY25" s="305"/>
      <c r="AZ25" s="249"/>
      <c r="BA25" s="221"/>
      <c r="BB25" s="1551"/>
      <c r="BC25" s="216"/>
      <c r="BD25" s="1552"/>
      <c r="BE25" s="1263"/>
      <c r="BF25" s="249"/>
      <c r="BG25" s="252"/>
      <c r="BH25" s="1543"/>
      <c r="BI25" s="1544"/>
      <c r="BJ25" s="1543"/>
      <c r="BK25" s="1545"/>
      <c r="BL25" s="260"/>
      <c r="BM25" s="216"/>
      <c r="BN25" s="1553"/>
      <c r="BO25" s="1553"/>
      <c r="BP25" s="1554"/>
      <c r="BQ25" s="216"/>
      <c r="BR25" s="1026"/>
      <c r="BS25" s="249"/>
      <c r="BT25" s="260"/>
      <c r="BU25" s="1026"/>
      <c r="BV25" s="249"/>
      <c r="BW25" s="260"/>
      <c r="BX25" s="1026"/>
      <c r="BY25" s="249"/>
      <c r="BZ25" s="260"/>
      <c r="CA25" s="1026"/>
      <c r="CB25" s="249"/>
      <c r="CC25" s="260"/>
      <c r="CD25" s="1026"/>
      <c r="CE25" s="1269"/>
      <c r="CF25" s="1270"/>
      <c r="CG25" s="1026"/>
      <c r="CH25" s="249"/>
      <c r="CI25" s="260"/>
      <c r="CJ25" s="1027"/>
      <c r="CK25" s="249"/>
      <c r="CL25" s="260"/>
      <c r="CM25" s="1555"/>
      <c r="CN25" s="249"/>
      <c r="CO25" s="216"/>
      <c r="CP25" s="1029"/>
      <c r="CQ25" s="249"/>
      <c r="CR25" s="216"/>
      <c r="CS25" s="1029"/>
      <c r="CT25" s="249"/>
      <c r="CU25" s="216"/>
      <c r="CV25" s="1027"/>
      <c r="CW25" s="249"/>
      <c r="CX25" s="221"/>
      <c r="CY25" s="1027"/>
      <c r="CZ25" s="249"/>
      <c r="DA25" s="216"/>
      <c r="DB25" s="1027"/>
      <c r="DC25" s="249"/>
      <c r="DD25"/>
      <c r="DE25" s="1027"/>
      <c r="DF25" s="1556"/>
      <c r="DG25" s="1557"/>
      <c r="DH25" s="1027"/>
      <c r="DI25" s="1556"/>
      <c r="DJ25" s="1558"/>
      <c r="DK25" s="1559"/>
      <c r="DL25" s="249"/>
      <c r="DM25" s="221"/>
      <c r="DN25" s="313"/>
      <c r="DO25" s="249"/>
      <c r="DP25" s="216"/>
      <c r="DQ25" s="313"/>
      <c r="DR25" s="249"/>
      <c r="DS25" s="221"/>
      <c r="DT25" s="313"/>
      <c r="DU25" s="249"/>
      <c r="DV25" s="221"/>
      <c r="DW25" s="1560"/>
      <c r="DX25" s="1561"/>
      <c r="DY25" s="1562"/>
      <c r="DZ25" s="350"/>
      <c r="EA25" s="249"/>
      <c r="EB25" s="221"/>
      <c r="EC25" s="313"/>
      <c r="ED25" s="249"/>
      <c r="EE25" s="221"/>
      <c r="EF25" s="313"/>
      <c r="EG25" s="249"/>
      <c r="EH25" s="221"/>
      <c r="EI25" s="313"/>
      <c r="EJ25" s="249"/>
      <c r="EK25" s="216"/>
      <c r="EL25" s="1435"/>
      <c r="EM25" s="1619"/>
      <c r="EN25" s="1268"/>
      <c r="EO25" s="1563"/>
      <c r="EP25" s="1268"/>
      <c r="EQ25" s="1563"/>
      <c r="ER25" s="1268"/>
      <c r="ES25" s="1563"/>
      <c r="ET25" s="1268"/>
      <c r="EU25" s="1682"/>
      <c r="EV25" s="1683"/>
      <c r="EW25" s="1684"/>
      <c r="EX25" s="1685"/>
      <c r="EY25" s="1496"/>
      <c r="EZ25" s="252"/>
      <c r="FA25" s="395"/>
      <c r="FB25" s="223"/>
      <c r="FC25" s="1496"/>
      <c r="FD25" s="252"/>
      <c r="FE25" s="1564"/>
      <c r="FG25" s="256"/>
      <c r="FH25" s="256"/>
      <c r="FI25" s="256"/>
      <c r="FJ25" s="256"/>
      <c r="FK25" s="126"/>
      <c r="FL25" s="126"/>
      <c r="FM25" s="126"/>
      <c r="FN25" s="126"/>
      <c r="FO25" s="957"/>
      <c r="FP25" s="49"/>
      <c r="FR25" s="1566"/>
      <c r="FS25" s="1566"/>
      <c r="FT25" s="126"/>
      <c r="FU25" s="2879"/>
      <c r="FV25" s="2880"/>
      <c r="FW25" s="2881"/>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row>
    <row r="26" spans="1:255" s="1565" customFormat="1" ht="13.5" customHeight="1">
      <c r="A26" s="1023"/>
      <c r="B26" s="1023"/>
      <c r="C26" s="1023"/>
      <c r="D26" s="1549"/>
      <c r="E26" s="1549"/>
      <c r="F26" s="1549"/>
      <c r="G26" s="1549"/>
      <c r="H26" s="1549"/>
      <c r="I26" s="1549"/>
      <c r="J26" s="1549"/>
      <c r="K26" s="1549"/>
      <c r="L26" s="1549"/>
      <c r="M26" s="1549"/>
      <c r="N26" s="1549"/>
      <c r="O26" s="1549"/>
      <c r="P26" s="1549"/>
      <c r="Q26" s="1550"/>
      <c r="R26" s="1550"/>
      <c r="S26" s="1550"/>
      <c r="T26" s="2"/>
      <c r="U26" s="233"/>
      <c r="V26" s="216"/>
      <c r="W26" s="218"/>
      <c r="X26" s="218"/>
      <c r="Y26" s="216"/>
      <c r="Z26" s="216"/>
      <c r="AA26" s="252"/>
      <c r="AB26" s="252"/>
      <c r="AC26" s="252"/>
      <c r="AD26" s="253"/>
      <c r="AE26" s="252"/>
      <c r="AF26" s="252"/>
      <c r="AG26" s="252"/>
      <c r="AH26" s="252"/>
      <c r="AI26" s="252"/>
      <c r="AJ26" s="252"/>
      <c r="AK26" s="253"/>
      <c r="AL26" s="252"/>
      <c r="AM26" s="252"/>
      <c r="AN26" s="252"/>
      <c r="AO26" s="252"/>
      <c r="AP26" s="252"/>
      <c r="AQ26" s="252"/>
      <c r="AR26" s="252"/>
      <c r="AS26" s="252"/>
      <c r="AT26" s="252"/>
      <c r="AU26" s="252"/>
      <c r="AV26" s="1025"/>
      <c r="AW26" s="355"/>
      <c r="AX26" s="217"/>
      <c r="AY26" s="305"/>
      <c r="AZ26" s="249"/>
      <c r="BA26" s="221"/>
      <c r="BB26" s="1551"/>
      <c r="BC26" s="216"/>
      <c r="BD26" s="1552"/>
      <c r="BE26" s="1263"/>
      <c r="BF26" s="249"/>
      <c r="BG26" s="252"/>
      <c r="BH26" s="1543"/>
      <c r="BI26" s="1544"/>
      <c r="BJ26" s="1543"/>
      <c r="BK26" s="1545"/>
      <c r="BL26" s="260"/>
      <c r="BM26" s="216"/>
      <c r="BN26" s="1553"/>
      <c r="BO26" s="1553"/>
      <c r="BP26" s="1554"/>
      <c r="BQ26" s="216"/>
      <c r="BR26" s="1026"/>
      <c r="BS26" s="249"/>
      <c r="BT26" s="260"/>
      <c r="BU26" s="1026"/>
      <c r="BV26" s="249"/>
      <c r="BW26" s="260"/>
      <c r="BX26" s="1026"/>
      <c r="BY26" s="249"/>
      <c r="BZ26" s="260"/>
      <c r="CA26" s="1026"/>
      <c r="CB26" s="249"/>
      <c r="CC26" s="260"/>
      <c r="CD26" s="1026"/>
      <c r="CE26" s="1269"/>
      <c r="CF26" s="1270"/>
      <c r="CG26" s="1026"/>
      <c r="CH26" s="249"/>
      <c r="CI26" s="260"/>
      <c r="CJ26" s="1027"/>
      <c r="CK26" s="249"/>
      <c r="CL26" s="260"/>
      <c r="CM26" s="1555"/>
      <c r="CN26" s="249"/>
      <c r="CO26" s="216"/>
      <c r="CP26" s="1029"/>
      <c r="CQ26" s="249"/>
      <c r="CR26" s="216"/>
      <c r="CS26" s="1029"/>
      <c r="CT26" s="249"/>
      <c r="CU26" s="216"/>
      <c r="CV26" s="1027"/>
      <c r="CW26" s="249"/>
      <c r="CX26" s="221"/>
      <c r="CY26" s="1027"/>
      <c r="CZ26" s="249"/>
      <c r="DA26" s="216"/>
      <c r="DB26" s="1027"/>
      <c r="DC26" s="249"/>
      <c r="DD26"/>
      <c r="DE26" s="1027"/>
      <c r="DF26" s="1556"/>
      <c r="DG26" s="1557"/>
      <c r="DH26" s="1027"/>
      <c r="DI26" s="1556"/>
      <c r="DJ26" s="1558"/>
      <c r="DK26" s="1559"/>
      <c r="DL26" s="249"/>
      <c r="DM26" s="221"/>
      <c r="DN26" s="313"/>
      <c r="DO26" s="249"/>
      <c r="DP26" s="216"/>
      <c r="DQ26" s="313"/>
      <c r="DR26" s="249"/>
      <c r="DS26" s="221"/>
      <c r="DT26" s="313"/>
      <c r="DU26" s="249"/>
      <c r="DV26" s="221"/>
      <c r="DW26" s="1560"/>
      <c r="DX26" s="1561"/>
      <c r="DY26" s="1562"/>
      <c r="DZ26" s="350"/>
      <c r="EA26" s="249"/>
      <c r="EB26" s="221"/>
      <c r="EC26" s="313"/>
      <c r="ED26" s="249"/>
      <c r="EE26" s="221"/>
      <c r="EF26" s="313"/>
      <c r="EG26" s="249"/>
      <c r="EH26" s="221"/>
      <c r="EI26" s="313"/>
      <c r="EJ26" s="249"/>
      <c r="EK26" s="216"/>
      <c r="EL26" s="1435"/>
      <c r="EM26" s="1619"/>
      <c r="EN26" s="1268"/>
      <c r="EO26" s="1563"/>
      <c r="EP26" s="1268"/>
      <c r="EQ26" s="1563"/>
      <c r="ER26" s="1268"/>
      <c r="ES26" s="1563"/>
      <c r="ET26" s="1268"/>
      <c r="EU26" s="1682"/>
      <c r="EV26" s="1683"/>
      <c r="EW26" s="1684"/>
      <c r="EX26" s="1685"/>
      <c r="EY26" s="1496"/>
      <c r="EZ26" s="252"/>
      <c r="FA26" s="395"/>
      <c r="FB26" s="223"/>
      <c r="FC26" s="1496"/>
      <c r="FD26" s="252"/>
      <c r="FE26" s="1564"/>
      <c r="FG26" s="256"/>
      <c r="FH26" s="256"/>
      <c r="FI26" s="256"/>
      <c r="FJ26" s="256"/>
      <c r="FK26" s="126"/>
      <c r="FL26" s="126"/>
      <c r="FM26" s="126"/>
      <c r="FN26" s="126"/>
      <c r="FO26" s="957"/>
      <c r="FP26" s="49"/>
      <c r="FR26" s="1566"/>
      <c r="FS26" s="1566"/>
      <c r="FT26" s="126"/>
      <c r="FU26" s="2879"/>
      <c r="FV26" s="2880"/>
      <c r="FW26" s="2881"/>
      <c r="FX26" s="64"/>
      <c r="FY26" s="64"/>
      <c r="FZ26" s="64"/>
      <c r="GA26" s="64"/>
      <c r="GB26" s="64"/>
      <c r="GC26" s="64"/>
      <c r="GD26" s="64"/>
      <c r="GE26" s="64"/>
      <c r="GF26" s="64"/>
      <c r="GG26" s="64"/>
      <c r="GH26" s="64"/>
      <c r="GI26" s="64"/>
      <c r="GJ26" s="64"/>
      <c r="GK26" s="64"/>
      <c r="GL26" s="64"/>
      <c r="GM26" s="64"/>
      <c r="GN26" s="64"/>
      <c r="GO26" s="64"/>
      <c r="GP26" s="64"/>
      <c r="GQ26" s="64"/>
      <c r="GR26" s="64"/>
      <c r="GS26" s="64"/>
      <c r="GT26" s="64"/>
      <c r="GU26" s="64"/>
      <c r="GV26" s="64"/>
      <c r="GW26" s="64"/>
      <c r="GX26" s="64"/>
      <c r="GY26" s="64"/>
      <c r="GZ26" s="64"/>
      <c r="HA26" s="64"/>
      <c r="HB26" s="64"/>
      <c r="HC26" s="64"/>
      <c r="HD26" s="64"/>
      <c r="HE26" s="64"/>
      <c r="HF26" s="64"/>
      <c r="HG26" s="64"/>
      <c r="HH26" s="64"/>
      <c r="HI26" s="64"/>
      <c r="HJ26" s="64"/>
      <c r="HK26" s="64"/>
      <c r="HL26" s="64"/>
      <c r="HM26" s="64"/>
      <c r="HN26" s="64"/>
      <c r="HO26" s="64"/>
      <c r="HP26" s="64"/>
      <c r="HQ26" s="64"/>
      <c r="HR26" s="64"/>
      <c r="HS26" s="64"/>
      <c r="HT26" s="64"/>
      <c r="HU26" s="64"/>
      <c r="HV26" s="64"/>
      <c r="HW26" s="64"/>
      <c r="HX26" s="64"/>
      <c r="HY26" s="64"/>
      <c r="HZ26" s="64"/>
      <c r="IA26" s="64"/>
      <c r="IB26" s="64"/>
      <c r="IC26" s="64"/>
      <c r="ID26" s="64"/>
      <c r="IE26" s="64"/>
      <c r="IF26" s="64"/>
      <c r="IG26" s="64"/>
      <c r="IH26" s="64"/>
      <c r="II26" s="64"/>
      <c r="IJ26" s="64"/>
      <c r="IK26" s="64"/>
      <c r="IL26" s="64"/>
      <c r="IM26" s="64"/>
      <c r="IN26" s="64"/>
      <c r="IO26" s="64"/>
      <c r="IP26" s="64"/>
      <c r="IQ26" s="64"/>
      <c r="IR26" s="64"/>
      <c r="IS26" s="64"/>
      <c r="IT26" s="64"/>
      <c r="IU26" s="64"/>
    </row>
    <row r="27" spans="1:255" s="1565" customFormat="1" ht="13.5" customHeight="1">
      <c r="A27" s="1023"/>
      <c r="B27" s="1023"/>
      <c r="C27" s="1023"/>
      <c r="D27" s="1549"/>
      <c r="E27" s="1549"/>
      <c r="F27" s="1549"/>
      <c r="G27" s="1549"/>
      <c r="H27" s="1549"/>
      <c r="I27" s="1549"/>
      <c r="J27" s="1549"/>
      <c r="K27" s="1549"/>
      <c r="L27" s="1549"/>
      <c r="M27" s="1549"/>
      <c r="N27" s="1549"/>
      <c r="O27" s="1549"/>
      <c r="P27" s="1549"/>
      <c r="Q27" s="1550"/>
      <c r="R27" s="1550"/>
      <c r="S27" s="1550"/>
      <c r="T27" s="2"/>
      <c r="U27" s="233"/>
      <c r="V27" s="216"/>
      <c r="W27" s="218"/>
      <c r="X27" s="218"/>
      <c r="Y27" s="216"/>
      <c r="Z27" s="216"/>
      <c r="AA27" s="252"/>
      <c r="AB27" s="252"/>
      <c r="AC27" s="252"/>
      <c r="AD27" s="253"/>
      <c r="AE27" s="252"/>
      <c r="AF27" s="252"/>
      <c r="AG27" s="252"/>
      <c r="AH27" s="252"/>
      <c r="AI27" s="252"/>
      <c r="AJ27" s="252"/>
      <c r="AK27" s="253"/>
      <c r="AL27" s="252"/>
      <c r="AM27" s="252"/>
      <c r="AN27" s="252"/>
      <c r="AO27" s="252"/>
      <c r="AP27" s="252"/>
      <c r="AQ27" s="252"/>
      <c r="AR27" s="252"/>
      <c r="AS27" s="252"/>
      <c r="AT27" s="252"/>
      <c r="AU27" s="252"/>
      <c r="AV27" s="1025"/>
      <c r="AW27" s="355"/>
      <c r="AX27" s="217"/>
      <c r="AY27" s="305"/>
      <c r="AZ27" s="249"/>
      <c r="BA27" s="221"/>
      <c r="BB27" s="1551"/>
      <c r="BC27" s="216"/>
      <c r="BD27" s="1552"/>
      <c r="BE27" s="1263"/>
      <c r="BF27" s="249"/>
      <c r="BG27" s="252"/>
      <c r="BH27" s="1543"/>
      <c r="BI27" s="1544"/>
      <c r="BJ27" s="1543"/>
      <c r="BK27" s="1545"/>
      <c r="BL27" s="260"/>
      <c r="BM27" s="216"/>
      <c r="BN27" s="1553"/>
      <c r="BO27" s="1553"/>
      <c r="BP27" s="1554"/>
      <c r="BQ27" s="216"/>
      <c r="BR27" s="1026"/>
      <c r="BS27" s="249"/>
      <c r="BT27" s="260"/>
      <c r="BU27" s="1026"/>
      <c r="BV27" s="249"/>
      <c r="BW27" s="260"/>
      <c r="BX27" s="1026"/>
      <c r="BY27" s="249"/>
      <c r="BZ27" s="260"/>
      <c r="CA27" s="1026"/>
      <c r="CB27" s="249"/>
      <c r="CC27" s="260"/>
      <c r="CD27" s="1026"/>
      <c r="CE27" s="1269"/>
      <c r="CF27" s="1270"/>
      <c r="CG27" s="1026"/>
      <c r="CH27" s="249"/>
      <c r="CI27" s="260"/>
      <c r="CJ27" s="1027"/>
      <c r="CK27" s="249"/>
      <c r="CL27" s="260"/>
      <c r="CM27" s="1555"/>
      <c r="CN27" s="249"/>
      <c r="CO27" s="216"/>
      <c r="CP27" s="1029"/>
      <c r="CQ27" s="249"/>
      <c r="CR27" s="216"/>
      <c r="CS27" s="1029"/>
      <c r="CT27" s="249"/>
      <c r="CU27" s="216"/>
      <c r="CV27" s="1027"/>
      <c r="CW27" s="249"/>
      <c r="CX27" s="221"/>
      <c r="CY27" s="1027"/>
      <c r="CZ27" s="249"/>
      <c r="DA27" s="216"/>
      <c r="DB27" s="1027"/>
      <c r="DC27" s="249"/>
      <c r="DD27"/>
      <c r="DE27" s="1027"/>
      <c r="DF27" s="1556"/>
      <c r="DG27" s="1557"/>
      <c r="DH27" s="1027"/>
      <c r="DI27" s="1556"/>
      <c r="DJ27" s="1558"/>
      <c r="DK27" s="1559"/>
      <c r="DL27" s="249"/>
      <c r="DM27" s="221"/>
      <c r="DN27" s="313"/>
      <c r="DO27" s="249"/>
      <c r="DP27" s="216"/>
      <c r="DQ27" s="313"/>
      <c r="DR27" s="249"/>
      <c r="DS27" s="221"/>
      <c r="DT27" s="313"/>
      <c r="DU27" s="249"/>
      <c r="DV27" s="221"/>
      <c r="DW27" s="1560"/>
      <c r="DX27" s="1561"/>
      <c r="DY27" s="1562"/>
      <c r="DZ27" s="350"/>
      <c r="EA27" s="249"/>
      <c r="EB27" s="221"/>
      <c r="EC27" s="313"/>
      <c r="ED27" s="249"/>
      <c r="EE27" s="221"/>
      <c r="EF27" s="313"/>
      <c r="EG27" s="249"/>
      <c r="EH27" s="221"/>
      <c r="EI27" s="313"/>
      <c r="EJ27" s="249"/>
      <c r="EK27" s="216"/>
      <c r="EL27" s="1435"/>
      <c r="EM27" s="1619"/>
      <c r="EN27" s="1268"/>
      <c r="EO27" s="1563"/>
      <c r="EP27" s="1268"/>
      <c r="EQ27" s="1563"/>
      <c r="ER27" s="1268"/>
      <c r="ES27" s="1563"/>
      <c r="ET27" s="1268"/>
      <c r="EU27" s="1682"/>
      <c r="EV27" s="1683"/>
      <c r="EW27" s="1684"/>
      <c r="EX27" s="1685"/>
      <c r="EY27" s="1496"/>
      <c r="EZ27" s="252"/>
      <c r="FA27" s="395"/>
      <c r="FB27" s="223"/>
      <c r="FC27" s="1496"/>
      <c r="FD27" s="252"/>
      <c r="FE27" s="1564"/>
      <c r="FG27" s="256"/>
      <c r="FH27" s="256"/>
      <c r="FI27" s="256"/>
      <c r="FJ27" s="256"/>
      <c r="FK27" s="126"/>
      <c r="FL27" s="126"/>
      <c r="FM27" s="126"/>
      <c r="FN27" s="126"/>
      <c r="FO27" s="957"/>
      <c r="FP27" s="49"/>
      <c r="FR27" s="1566"/>
      <c r="FS27" s="1566"/>
      <c r="FT27" s="126"/>
      <c r="FU27" s="2879"/>
      <c r="FV27" s="2880"/>
      <c r="FW27" s="2881"/>
      <c r="FX27" s="64"/>
      <c r="FY27" s="64"/>
      <c r="FZ27" s="64"/>
      <c r="GA27" s="64"/>
      <c r="GB27" s="64"/>
      <c r="GC27" s="64"/>
      <c r="GD27" s="64"/>
      <c r="GE27" s="64"/>
      <c r="GF27" s="64"/>
      <c r="GG27" s="64"/>
      <c r="GH27" s="64"/>
      <c r="GI27" s="64"/>
      <c r="GJ27" s="64"/>
      <c r="GK27" s="64"/>
      <c r="GL27" s="64"/>
      <c r="GM27" s="64"/>
      <c r="GN27" s="64"/>
      <c r="GO27" s="64"/>
      <c r="GP27" s="64"/>
      <c r="GQ27" s="64"/>
      <c r="GR27" s="64"/>
      <c r="GS27" s="64"/>
      <c r="GT27" s="64"/>
      <c r="GU27" s="64"/>
      <c r="GV27" s="64"/>
      <c r="GW27" s="64"/>
      <c r="GX27" s="64"/>
      <c r="GY27" s="64"/>
      <c r="GZ27" s="64"/>
      <c r="HA27" s="64"/>
      <c r="HB27" s="64"/>
      <c r="HC27" s="64"/>
      <c r="HD27" s="64"/>
      <c r="HE27" s="64"/>
      <c r="HF27" s="64"/>
      <c r="HG27" s="64"/>
      <c r="HH27" s="64"/>
      <c r="HI27" s="64"/>
      <c r="HJ27" s="64"/>
      <c r="HK27" s="64"/>
      <c r="HL27" s="64"/>
      <c r="HM27" s="64"/>
      <c r="HN27" s="64"/>
      <c r="HO27" s="64"/>
      <c r="HP27" s="64"/>
      <c r="HQ27" s="64"/>
      <c r="HR27" s="64"/>
      <c r="HS27" s="64"/>
      <c r="HT27" s="64"/>
      <c r="HU27" s="64"/>
      <c r="HV27" s="64"/>
      <c r="HW27" s="64"/>
      <c r="HX27" s="64"/>
      <c r="HY27" s="64"/>
      <c r="HZ27" s="64"/>
      <c r="IA27" s="64"/>
      <c r="IB27" s="64"/>
      <c r="IC27" s="64"/>
      <c r="ID27" s="64"/>
      <c r="IE27" s="64"/>
      <c r="IF27" s="64"/>
      <c r="IG27" s="64"/>
      <c r="IH27" s="64"/>
      <c r="II27" s="64"/>
      <c r="IJ27" s="64"/>
      <c r="IK27" s="64"/>
      <c r="IL27" s="64"/>
      <c r="IM27" s="64"/>
      <c r="IN27" s="64"/>
      <c r="IO27" s="64"/>
      <c r="IP27" s="64"/>
      <c r="IQ27" s="64"/>
      <c r="IR27" s="64"/>
      <c r="IS27" s="64"/>
      <c r="IT27" s="64"/>
      <c r="IU27" s="64"/>
    </row>
    <row r="28" spans="1:255" s="1565" customFormat="1" ht="13.5" customHeight="1">
      <c r="A28" s="1023"/>
      <c r="B28" s="1023"/>
      <c r="C28" s="1023"/>
      <c r="D28" s="1549"/>
      <c r="E28" s="1549"/>
      <c r="F28" s="1549"/>
      <c r="G28" s="1549"/>
      <c r="H28" s="1549"/>
      <c r="I28" s="1549"/>
      <c r="J28" s="1549"/>
      <c r="K28" s="1549"/>
      <c r="L28" s="1549"/>
      <c r="M28" s="1549"/>
      <c r="N28" s="1549"/>
      <c r="O28" s="1549"/>
      <c r="P28" s="1549"/>
      <c r="Q28" s="1550"/>
      <c r="R28" s="1550"/>
      <c r="S28" s="1550"/>
      <c r="T28" s="2"/>
      <c r="U28" s="233"/>
      <c r="V28" s="216"/>
      <c r="W28" s="218"/>
      <c r="X28" s="218"/>
      <c r="Y28" s="216"/>
      <c r="Z28" s="216"/>
      <c r="AA28" s="252"/>
      <c r="AB28" s="252"/>
      <c r="AC28" s="252"/>
      <c r="AD28" s="253"/>
      <c r="AE28" s="252"/>
      <c r="AF28" s="252"/>
      <c r="AG28" s="252"/>
      <c r="AH28" s="252"/>
      <c r="AI28" s="252"/>
      <c r="AJ28" s="252"/>
      <c r="AK28" s="253"/>
      <c r="AL28" s="252"/>
      <c r="AM28" s="252"/>
      <c r="AN28" s="252"/>
      <c r="AO28" s="252"/>
      <c r="AP28" s="252"/>
      <c r="AQ28" s="252"/>
      <c r="AR28" s="252"/>
      <c r="AS28" s="252"/>
      <c r="AT28" s="252"/>
      <c r="AU28" s="252"/>
      <c r="AV28" s="1025"/>
      <c r="AW28" s="355"/>
      <c r="AX28" s="217"/>
      <c r="AY28" s="305"/>
      <c r="AZ28" s="249"/>
      <c r="BA28" s="221"/>
      <c r="BB28" s="1551"/>
      <c r="BC28" s="216"/>
      <c r="BD28" s="1552"/>
      <c r="BE28" s="1263"/>
      <c r="BF28" s="249"/>
      <c r="BG28" s="252"/>
      <c r="BH28" s="1543"/>
      <c r="BI28" s="1544"/>
      <c r="BJ28" s="1543"/>
      <c r="BK28" s="1545"/>
      <c r="BL28" s="260"/>
      <c r="BM28" s="216"/>
      <c r="BN28" s="1553"/>
      <c r="BO28" s="1553"/>
      <c r="BP28" s="1554"/>
      <c r="BQ28" s="216"/>
      <c r="BR28" s="1026"/>
      <c r="BS28" s="249"/>
      <c r="BT28" s="260"/>
      <c r="BU28" s="1026"/>
      <c r="BV28" s="249"/>
      <c r="BW28" s="260"/>
      <c r="BX28" s="1026"/>
      <c r="BY28" s="249"/>
      <c r="BZ28" s="260"/>
      <c r="CA28" s="1026"/>
      <c r="CB28" s="249"/>
      <c r="CC28" s="260"/>
      <c r="CD28" s="1026"/>
      <c r="CE28" s="1269"/>
      <c r="CF28" s="1270"/>
      <c r="CG28" s="1026"/>
      <c r="CH28" s="249"/>
      <c r="CI28" s="260"/>
      <c r="CJ28" s="1027"/>
      <c r="CK28" s="249"/>
      <c r="CL28" s="260"/>
      <c r="CM28" s="1555"/>
      <c r="CN28" s="249"/>
      <c r="CO28" s="216"/>
      <c r="CP28" s="1029"/>
      <c r="CQ28" s="249"/>
      <c r="CR28" s="216"/>
      <c r="CS28" s="1029"/>
      <c r="CT28" s="249"/>
      <c r="CU28" s="216"/>
      <c r="CV28" s="1027"/>
      <c r="CW28" s="249"/>
      <c r="CX28" s="221"/>
      <c r="CY28" s="1027"/>
      <c r="CZ28" s="249"/>
      <c r="DA28" s="216"/>
      <c r="DB28" s="1027"/>
      <c r="DC28" s="249"/>
      <c r="DD28"/>
      <c r="DE28" s="1027"/>
      <c r="DF28" s="1556"/>
      <c r="DG28" s="1557"/>
      <c r="DH28" s="1027"/>
      <c r="DI28" s="1556"/>
      <c r="DJ28" s="1558"/>
      <c r="DK28" s="1559"/>
      <c r="DL28" s="249"/>
      <c r="DM28" s="221"/>
      <c r="DN28" s="313"/>
      <c r="DO28" s="249"/>
      <c r="DP28" s="216"/>
      <c r="DQ28" s="313"/>
      <c r="DR28" s="249"/>
      <c r="DS28" s="221"/>
      <c r="DT28" s="313"/>
      <c r="DU28" s="249"/>
      <c r="DV28" s="221"/>
      <c r="DW28" s="1560"/>
      <c r="DX28" s="1561"/>
      <c r="DY28" s="1562"/>
      <c r="DZ28" s="350"/>
      <c r="EA28" s="249"/>
      <c r="EB28" s="221"/>
      <c r="EC28" s="313"/>
      <c r="ED28" s="249"/>
      <c r="EE28" s="221"/>
      <c r="EF28" s="313"/>
      <c r="EG28" s="249"/>
      <c r="EH28" s="221"/>
      <c r="EI28" s="313"/>
      <c r="EJ28" s="249"/>
      <c r="EK28" s="216"/>
      <c r="EL28" s="1435"/>
      <c r="EM28" s="1619"/>
      <c r="EN28" s="1268"/>
      <c r="EO28" s="1563"/>
      <c r="EP28" s="1268"/>
      <c r="EQ28" s="1563"/>
      <c r="ER28" s="1268"/>
      <c r="ES28" s="1563"/>
      <c r="ET28" s="1268"/>
      <c r="EU28" s="1682"/>
      <c r="EV28" s="1683"/>
      <c r="EW28" s="1684"/>
      <c r="EX28" s="1685"/>
      <c r="EY28" s="1496"/>
      <c r="EZ28" s="252"/>
      <c r="FA28" s="395"/>
      <c r="FB28" s="223"/>
      <c r="FC28" s="1496"/>
      <c r="FD28" s="252"/>
      <c r="FE28" s="1564"/>
      <c r="FG28" s="256"/>
      <c r="FH28" s="256"/>
      <c r="FI28" s="256"/>
      <c r="FJ28" s="256"/>
      <c r="FK28" s="126"/>
      <c r="FL28" s="126"/>
      <c r="FM28" s="126"/>
      <c r="FN28" s="126"/>
      <c r="FO28" s="957"/>
      <c r="FP28" s="49"/>
      <c r="FR28" s="1566"/>
      <c r="FS28" s="1566"/>
      <c r="FT28" s="126"/>
      <c r="FU28" s="2879"/>
      <c r="FV28" s="2880"/>
      <c r="FW28" s="2881"/>
      <c r="FX28" s="64"/>
      <c r="FY28" s="64"/>
      <c r="FZ28" s="64"/>
      <c r="GA28" s="64"/>
      <c r="GB28" s="64"/>
      <c r="GC28" s="64"/>
      <c r="GD28" s="64"/>
      <c r="GE28" s="64"/>
      <c r="GF28" s="64"/>
      <c r="GG28" s="64"/>
      <c r="GH28" s="64"/>
      <c r="GI28" s="64"/>
      <c r="GJ28" s="64"/>
      <c r="GK28" s="64"/>
      <c r="GL28" s="64"/>
      <c r="GM28" s="64"/>
      <c r="GN28" s="64"/>
      <c r="GO28" s="64"/>
      <c r="GP28" s="64"/>
      <c r="GQ28" s="64"/>
      <c r="GR28" s="64"/>
      <c r="GS28" s="64"/>
      <c r="GT28" s="64"/>
      <c r="GU28" s="64"/>
      <c r="GV28" s="64"/>
      <c r="GW28" s="64"/>
      <c r="GX28" s="64"/>
      <c r="GY28" s="64"/>
      <c r="GZ28" s="64"/>
      <c r="HA28" s="64"/>
      <c r="HB28" s="64"/>
      <c r="HC28" s="64"/>
      <c r="HD28" s="64"/>
      <c r="HE28" s="64"/>
      <c r="HF28" s="64"/>
      <c r="HG28" s="64"/>
      <c r="HH28" s="64"/>
      <c r="HI28" s="64"/>
      <c r="HJ28" s="64"/>
      <c r="HK28" s="64"/>
      <c r="HL28" s="64"/>
      <c r="HM28" s="64"/>
      <c r="HN28" s="64"/>
      <c r="HO28" s="64"/>
      <c r="HP28" s="64"/>
      <c r="HQ28" s="64"/>
      <c r="HR28" s="64"/>
      <c r="HS28" s="64"/>
      <c r="HT28" s="64"/>
      <c r="HU28" s="64"/>
      <c r="HV28" s="64"/>
      <c r="HW28" s="64"/>
      <c r="HX28" s="64"/>
      <c r="HY28" s="64"/>
      <c r="HZ28" s="64"/>
      <c r="IA28" s="64"/>
      <c r="IB28" s="64"/>
      <c r="IC28" s="64"/>
      <c r="ID28" s="64"/>
      <c r="IE28" s="64"/>
      <c r="IF28" s="64"/>
      <c r="IG28" s="64"/>
      <c r="IH28" s="64"/>
      <c r="II28" s="64"/>
      <c r="IJ28" s="64"/>
      <c r="IK28" s="64"/>
      <c r="IL28" s="64"/>
      <c r="IM28" s="64"/>
      <c r="IN28" s="64"/>
      <c r="IO28" s="64"/>
      <c r="IP28" s="64"/>
      <c r="IQ28" s="64"/>
      <c r="IR28" s="64"/>
      <c r="IS28" s="64"/>
      <c r="IT28" s="64"/>
      <c r="IU28" s="64"/>
    </row>
    <row r="29" spans="1:255" s="1565" customFormat="1" ht="13.5" customHeight="1">
      <c r="A29" s="1023"/>
      <c r="B29" s="1023"/>
      <c r="C29" s="1023"/>
      <c r="D29" s="1549"/>
      <c r="E29" s="1549"/>
      <c r="F29" s="1549"/>
      <c r="G29" s="1549"/>
      <c r="H29" s="1549"/>
      <c r="I29" s="1549"/>
      <c r="J29" s="1549"/>
      <c r="K29" s="1549"/>
      <c r="L29" s="1549"/>
      <c r="M29" s="1549"/>
      <c r="N29" s="1549"/>
      <c r="O29" s="1549"/>
      <c r="P29" s="1549"/>
      <c r="Q29" s="1550"/>
      <c r="R29" s="1550"/>
      <c r="S29" s="1550"/>
      <c r="T29" s="2"/>
      <c r="U29" s="233"/>
      <c r="V29" s="216"/>
      <c r="W29" s="218"/>
      <c r="X29" s="218"/>
      <c r="Y29" s="216"/>
      <c r="Z29" s="216"/>
      <c r="AA29" s="252"/>
      <c r="AB29" s="252"/>
      <c r="AC29" s="252"/>
      <c r="AD29" s="253"/>
      <c r="AE29" s="252"/>
      <c r="AF29" s="252"/>
      <c r="AG29" s="252"/>
      <c r="AH29" s="252"/>
      <c r="AI29" s="252"/>
      <c r="AJ29" s="252"/>
      <c r="AK29" s="253"/>
      <c r="AL29" s="252"/>
      <c r="AM29" s="252"/>
      <c r="AN29" s="252"/>
      <c r="AO29" s="252"/>
      <c r="AP29" s="252"/>
      <c r="AQ29" s="252"/>
      <c r="AR29" s="252"/>
      <c r="AS29" s="252"/>
      <c r="AT29" s="252"/>
      <c r="AU29" s="252"/>
      <c r="AV29" s="1025"/>
      <c r="AW29" s="355"/>
      <c r="AX29" s="217"/>
      <c r="AY29" s="305"/>
      <c r="AZ29" s="249"/>
      <c r="BA29" s="221"/>
      <c r="BB29" s="1551"/>
      <c r="BC29" s="216"/>
      <c r="BD29" s="1552"/>
      <c r="BE29" s="1263"/>
      <c r="BF29" s="249"/>
      <c r="BG29" s="252"/>
      <c r="BH29" s="1543"/>
      <c r="BI29" s="1544"/>
      <c r="BJ29" s="1543"/>
      <c r="BK29" s="1545"/>
      <c r="BL29" s="260"/>
      <c r="BM29" s="216"/>
      <c r="BN29" s="1553"/>
      <c r="BO29" s="1553"/>
      <c r="BP29" s="1554"/>
      <c r="BQ29" s="216"/>
      <c r="BR29" s="1026"/>
      <c r="BS29" s="249"/>
      <c r="BT29" s="260"/>
      <c r="BU29" s="1026"/>
      <c r="BV29" s="249"/>
      <c r="BW29" s="260"/>
      <c r="BX29" s="1026"/>
      <c r="BY29" s="249"/>
      <c r="BZ29" s="260"/>
      <c r="CA29" s="1026"/>
      <c r="CB29" s="249"/>
      <c r="CC29" s="260"/>
      <c r="CD29" s="1026"/>
      <c r="CE29" s="1269"/>
      <c r="CF29" s="1270"/>
      <c r="CG29" s="1026"/>
      <c r="CH29" s="249"/>
      <c r="CI29" s="260"/>
      <c r="CJ29" s="1027"/>
      <c r="CK29" s="249"/>
      <c r="CL29" s="260"/>
      <c r="CM29" s="1555"/>
      <c r="CN29" s="249"/>
      <c r="CO29" s="216"/>
      <c r="CP29" s="1029"/>
      <c r="CQ29" s="249"/>
      <c r="CR29" s="216"/>
      <c r="CS29" s="1029"/>
      <c r="CT29" s="249"/>
      <c r="CU29" s="216"/>
      <c r="CV29" s="1027"/>
      <c r="CW29" s="249"/>
      <c r="CX29" s="221"/>
      <c r="CY29" s="1027"/>
      <c r="CZ29" s="249"/>
      <c r="DA29" s="216"/>
      <c r="DB29" s="1027"/>
      <c r="DC29" s="249"/>
      <c r="DD29"/>
      <c r="DE29" s="1027"/>
      <c r="DF29" s="1556"/>
      <c r="DG29" s="1557"/>
      <c r="DH29" s="1027"/>
      <c r="DI29" s="1556"/>
      <c r="DJ29" s="1558"/>
      <c r="DK29" s="1559"/>
      <c r="DL29" s="249"/>
      <c r="DM29" s="221"/>
      <c r="DN29" s="313"/>
      <c r="DO29" s="249"/>
      <c r="DP29" s="216"/>
      <c r="DQ29" s="313"/>
      <c r="DR29" s="249"/>
      <c r="DS29" s="221"/>
      <c r="DT29" s="313"/>
      <c r="DU29" s="249"/>
      <c r="DV29" s="221"/>
      <c r="DW29" s="1560"/>
      <c r="DX29" s="1561"/>
      <c r="DY29" s="1562"/>
      <c r="DZ29" s="350"/>
      <c r="EA29" s="249"/>
      <c r="EB29" s="221"/>
      <c r="EC29" s="313"/>
      <c r="ED29" s="249"/>
      <c r="EE29" s="221"/>
      <c r="EF29" s="313"/>
      <c r="EG29" s="249"/>
      <c r="EH29" s="221"/>
      <c r="EI29" s="313"/>
      <c r="EJ29" s="249"/>
      <c r="EK29" s="216"/>
      <c r="EL29" s="1435"/>
      <c r="EM29" s="1619"/>
      <c r="EN29" s="1268"/>
      <c r="EO29" s="1563"/>
      <c r="EP29" s="1268"/>
      <c r="EQ29" s="1563"/>
      <c r="ER29" s="1268"/>
      <c r="ES29" s="1563"/>
      <c r="ET29" s="1268"/>
      <c r="EU29" s="1682"/>
      <c r="EV29" s="1683"/>
      <c r="EW29" s="1684"/>
      <c r="EX29" s="1685"/>
      <c r="EY29" s="1496"/>
      <c r="EZ29" s="252"/>
      <c r="FA29" s="395"/>
      <c r="FB29" s="223"/>
      <c r="FC29" s="1496"/>
      <c r="FD29" s="252"/>
      <c r="FE29" s="1564"/>
      <c r="FG29" s="256"/>
      <c r="FH29" s="256"/>
      <c r="FI29" s="256"/>
      <c r="FJ29" s="256"/>
      <c r="FK29" s="126"/>
      <c r="FL29" s="126"/>
      <c r="FM29" s="126"/>
      <c r="FN29" s="126"/>
      <c r="FO29" s="957"/>
      <c r="FP29" s="49"/>
      <c r="FR29" s="1566"/>
      <c r="FS29" s="1566"/>
      <c r="FT29" s="126"/>
      <c r="FU29" s="2879"/>
      <c r="FV29" s="2880"/>
      <c r="FW29" s="2881"/>
      <c r="FX29" s="64"/>
      <c r="FY29" s="64"/>
      <c r="FZ29" s="64"/>
      <c r="GA29" s="64"/>
      <c r="GB29" s="64"/>
      <c r="GC29" s="64"/>
      <c r="GD29" s="64"/>
      <c r="GE29" s="64"/>
      <c r="GF29" s="64"/>
      <c r="GG29" s="64"/>
      <c r="GH29" s="64"/>
      <c r="GI29" s="64"/>
      <c r="GJ29" s="64"/>
      <c r="GK29" s="64"/>
      <c r="GL29" s="64"/>
      <c r="GM29" s="64"/>
      <c r="GN29" s="64"/>
      <c r="GO29" s="64"/>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row>
    <row r="30" spans="1:255" s="1565" customFormat="1" ht="13.5" customHeight="1">
      <c r="A30" s="1023"/>
      <c r="B30" s="1023"/>
      <c r="C30" s="1023"/>
      <c r="D30" s="1549"/>
      <c r="E30" s="1549"/>
      <c r="F30" s="1549"/>
      <c r="G30" s="1549"/>
      <c r="H30" s="1549"/>
      <c r="I30" s="1549"/>
      <c r="J30" s="1549"/>
      <c r="K30" s="1549"/>
      <c r="L30" s="1549"/>
      <c r="M30" s="1549"/>
      <c r="N30" s="1549"/>
      <c r="O30" s="1549"/>
      <c r="P30" s="1549"/>
      <c r="Q30" s="1550"/>
      <c r="R30" s="1550"/>
      <c r="S30" s="1550"/>
      <c r="T30" s="2"/>
      <c r="U30" s="233"/>
      <c r="V30" s="216"/>
      <c r="W30" s="218"/>
      <c r="X30" s="218"/>
      <c r="Y30" s="216"/>
      <c r="Z30" s="216"/>
      <c r="AA30" s="252"/>
      <c r="AB30" s="252"/>
      <c r="AC30" s="252"/>
      <c r="AD30" s="253"/>
      <c r="AE30" s="252"/>
      <c r="AF30" s="252"/>
      <c r="AG30" s="252"/>
      <c r="AH30" s="252"/>
      <c r="AI30" s="252"/>
      <c r="AJ30" s="252"/>
      <c r="AK30" s="253"/>
      <c r="AL30" s="252"/>
      <c r="AM30" s="252"/>
      <c r="AN30" s="252"/>
      <c r="AO30" s="252"/>
      <c r="AP30" s="252"/>
      <c r="AQ30" s="252"/>
      <c r="AR30" s="252"/>
      <c r="AS30" s="252"/>
      <c r="AT30" s="252"/>
      <c r="AU30" s="252"/>
      <c r="AV30" s="1025"/>
      <c r="AW30" s="355"/>
      <c r="AX30" s="217"/>
      <c r="AY30" s="305"/>
      <c r="AZ30" s="249"/>
      <c r="BA30" s="221"/>
      <c r="BB30" s="1551"/>
      <c r="BC30" s="216"/>
      <c r="BD30" s="1552"/>
      <c r="BE30" s="1263"/>
      <c r="BF30" s="249"/>
      <c r="BG30" s="252"/>
      <c r="BH30" s="1543"/>
      <c r="BI30" s="1544"/>
      <c r="BJ30" s="1543"/>
      <c r="BK30" s="1545"/>
      <c r="BL30" s="260"/>
      <c r="BM30" s="216"/>
      <c r="BN30" s="1553"/>
      <c r="BO30" s="1553"/>
      <c r="BP30" s="1554"/>
      <c r="BQ30" s="216"/>
      <c r="BR30" s="1026"/>
      <c r="BS30" s="249"/>
      <c r="BT30" s="260"/>
      <c r="BU30" s="1026"/>
      <c r="BV30" s="249"/>
      <c r="BW30" s="260"/>
      <c r="BX30" s="1026"/>
      <c r="BY30" s="249"/>
      <c r="BZ30" s="260"/>
      <c r="CA30" s="1026"/>
      <c r="CB30" s="249"/>
      <c r="CC30" s="260"/>
      <c r="CD30" s="1026"/>
      <c r="CE30" s="1269"/>
      <c r="CF30" s="1270"/>
      <c r="CG30" s="1026"/>
      <c r="CH30" s="249"/>
      <c r="CI30" s="260"/>
      <c r="CJ30" s="1027"/>
      <c r="CK30" s="249"/>
      <c r="CL30" s="260"/>
      <c r="CM30" s="1555"/>
      <c r="CN30" s="249"/>
      <c r="CO30" s="216"/>
      <c r="CP30" s="1029"/>
      <c r="CQ30" s="249"/>
      <c r="CR30" s="216"/>
      <c r="CS30" s="1029"/>
      <c r="CT30" s="249"/>
      <c r="CU30" s="216"/>
      <c r="CV30" s="1027"/>
      <c r="CW30" s="249"/>
      <c r="CX30" s="221"/>
      <c r="CY30" s="1027"/>
      <c r="CZ30" s="249"/>
      <c r="DA30" s="216"/>
      <c r="DB30" s="1027"/>
      <c r="DC30" s="249"/>
      <c r="DD30"/>
      <c r="DE30" s="1027"/>
      <c r="DF30" s="1556"/>
      <c r="DG30" s="1557"/>
      <c r="DH30" s="1027"/>
      <c r="DI30" s="1556"/>
      <c r="DJ30" s="1558"/>
      <c r="DK30" s="1559"/>
      <c r="DL30" s="249"/>
      <c r="DM30" s="221"/>
      <c r="DN30" s="313"/>
      <c r="DO30" s="249"/>
      <c r="DP30" s="216"/>
      <c r="DQ30" s="313"/>
      <c r="DR30" s="249"/>
      <c r="DS30" s="221"/>
      <c r="DT30" s="313"/>
      <c r="DU30" s="249"/>
      <c r="DV30" s="221"/>
      <c r="DW30" s="1560"/>
      <c r="DX30" s="1561"/>
      <c r="DY30" s="1562"/>
      <c r="DZ30" s="350"/>
      <c r="EA30" s="249"/>
      <c r="EB30" s="221"/>
      <c r="EC30" s="313"/>
      <c r="ED30" s="249"/>
      <c r="EE30" s="221"/>
      <c r="EF30" s="313"/>
      <c r="EG30" s="249"/>
      <c r="EH30" s="221"/>
      <c r="EI30" s="313"/>
      <c r="EJ30" s="249"/>
      <c r="EK30" s="216"/>
      <c r="EL30" s="1435"/>
      <c r="EM30" s="1619"/>
      <c r="EN30" s="1268"/>
      <c r="EO30" s="1563"/>
      <c r="EP30" s="1268"/>
      <c r="EQ30" s="1563"/>
      <c r="ER30" s="1268"/>
      <c r="ES30" s="1563"/>
      <c r="ET30" s="1268"/>
      <c r="EU30" s="1682"/>
      <c r="EV30" s="1683"/>
      <c r="EW30" s="1684"/>
      <c r="EX30" s="1685"/>
      <c r="EY30" s="1496"/>
      <c r="EZ30" s="252"/>
      <c r="FA30" s="395"/>
      <c r="FB30" s="223"/>
      <c r="FC30" s="1496"/>
      <c r="FD30" s="252"/>
      <c r="FE30" s="1564"/>
      <c r="FG30" s="256"/>
      <c r="FH30" s="256"/>
      <c r="FI30" s="256"/>
      <c r="FJ30" s="256"/>
      <c r="FK30" s="126"/>
      <c r="FL30" s="126"/>
      <c r="FM30" s="126"/>
      <c r="FN30" s="126"/>
      <c r="FO30" s="957"/>
      <c r="FP30" s="49"/>
      <c r="FR30" s="1566"/>
      <c r="FS30" s="1566"/>
      <c r="FT30" s="126"/>
      <c r="FU30" s="2879"/>
      <c r="FV30" s="2880"/>
      <c r="FW30" s="2881"/>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row>
    <row r="31" spans="1:255" s="1565" customFormat="1" ht="13.5" customHeight="1">
      <c r="A31" s="1023"/>
      <c r="B31" s="1023"/>
      <c r="C31" s="1023"/>
      <c r="D31" s="1549"/>
      <c r="E31" s="1549"/>
      <c r="F31" s="1549"/>
      <c r="G31" s="1549"/>
      <c r="H31" s="1549"/>
      <c r="I31" s="1549"/>
      <c r="J31" s="1549"/>
      <c r="K31" s="1549"/>
      <c r="L31" s="1549"/>
      <c r="M31" s="1549"/>
      <c r="N31" s="1549"/>
      <c r="O31" s="1549"/>
      <c r="P31" s="1549"/>
      <c r="Q31" s="1550"/>
      <c r="R31" s="1550"/>
      <c r="S31" s="1550"/>
      <c r="T31" s="2"/>
      <c r="U31" s="233"/>
      <c r="V31" s="216"/>
      <c r="W31" s="218"/>
      <c r="X31" s="218"/>
      <c r="Y31" s="216"/>
      <c r="Z31" s="216"/>
      <c r="AA31" s="252"/>
      <c r="AB31" s="252"/>
      <c r="AC31" s="252"/>
      <c r="AD31" s="253"/>
      <c r="AE31" s="252"/>
      <c r="AF31" s="252"/>
      <c r="AG31" s="252"/>
      <c r="AH31" s="252"/>
      <c r="AI31" s="252"/>
      <c r="AJ31" s="252"/>
      <c r="AK31" s="253"/>
      <c r="AL31" s="252"/>
      <c r="AM31" s="252"/>
      <c r="AN31" s="252"/>
      <c r="AO31" s="252"/>
      <c r="AP31" s="252"/>
      <c r="AQ31" s="252"/>
      <c r="AR31" s="252"/>
      <c r="AS31" s="252"/>
      <c r="AT31" s="252"/>
      <c r="AU31" s="252"/>
      <c r="AV31" s="1025"/>
      <c r="AW31" s="355"/>
      <c r="AX31" s="217"/>
      <c r="AY31" s="305"/>
      <c r="AZ31" s="249"/>
      <c r="BA31" s="221"/>
      <c r="BB31" s="1551"/>
      <c r="BC31" s="216"/>
      <c r="BD31" s="1552"/>
      <c r="BE31" s="1263"/>
      <c r="BF31" s="249"/>
      <c r="BG31" s="252"/>
      <c r="BH31" s="1543"/>
      <c r="BI31" s="1544"/>
      <c r="BJ31" s="1543"/>
      <c r="BK31" s="1545"/>
      <c r="BL31" s="260"/>
      <c r="BM31" s="216"/>
      <c r="BN31" s="1553"/>
      <c r="BO31" s="1553"/>
      <c r="BP31" s="1554"/>
      <c r="BQ31" s="216"/>
      <c r="BR31" s="1026"/>
      <c r="BS31" s="249"/>
      <c r="BT31" s="260"/>
      <c r="BU31" s="1026"/>
      <c r="BV31" s="249"/>
      <c r="BW31" s="260"/>
      <c r="BX31" s="1026"/>
      <c r="BY31" s="249"/>
      <c r="BZ31" s="260"/>
      <c r="CA31" s="1026"/>
      <c r="CB31" s="249"/>
      <c r="CC31" s="260"/>
      <c r="CD31" s="1026"/>
      <c r="CE31" s="1269"/>
      <c r="CF31" s="1270"/>
      <c r="CG31" s="1026"/>
      <c r="CH31" s="249"/>
      <c r="CI31" s="260"/>
      <c r="CJ31" s="1027"/>
      <c r="CK31" s="249"/>
      <c r="CL31" s="260"/>
      <c r="CM31" s="1555"/>
      <c r="CN31" s="249"/>
      <c r="CO31" s="216"/>
      <c r="CP31" s="1029"/>
      <c r="CQ31" s="249"/>
      <c r="CR31" s="216"/>
      <c r="CS31" s="1029"/>
      <c r="CT31" s="249"/>
      <c r="CU31" s="216"/>
      <c r="CV31" s="1027"/>
      <c r="CW31" s="249"/>
      <c r="CX31" s="221"/>
      <c r="CY31" s="1027"/>
      <c r="CZ31" s="249"/>
      <c r="DA31" s="216"/>
      <c r="DB31" s="1027"/>
      <c r="DC31" s="249"/>
      <c r="DD31"/>
      <c r="DE31" s="1027"/>
      <c r="DF31" s="1556"/>
      <c r="DG31" s="1557"/>
      <c r="DH31" s="1027"/>
      <c r="DI31" s="1556"/>
      <c r="DJ31" s="1558"/>
      <c r="DK31" s="1559"/>
      <c r="DL31" s="249"/>
      <c r="DM31" s="221"/>
      <c r="DN31" s="313"/>
      <c r="DO31" s="249"/>
      <c r="DP31" s="216"/>
      <c r="DQ31" s="313"/>
      <c r="DR31" s="249"/>
      <c r="DS31" s="221"/>
      <c r="DT31" s="313"/>
      <c r="DU31" s="249"/>
      <c r="DV31" s="221"/>
      <c r="DW31" s="1560"/>
      <c r="DX31" s="1561"/>
      <c r="DY31" s="1562"/>
      <c r="DZ31" s="350"/>
      <c r="EA31" s="249"/>
      <c r="EB31" s="221"/>
      <c r="EC31" s="313"/>
      <c r="ED31" s="249"/>
      <c r="EE31" s="221"/>
      <c r="EF31" s="313"/>
      <c r="EG31" s="249"/>
      <c r="EH31" s="221"/>
      <c r="EI31" s="313"/>
      <c r="EJ31" s="249"/>
      <c r="EK31" s="216"/>
      <c r="EL31" s="1435"/>
      <c r="EM31" s="1619"/>
      <c r="EN31" s="1268"/>
      <c r="EO31" s="1563"/>
      <c r="EP31" s="1268"/>
      <c r="EQ31" s="1563"/>
      <c r="ER31" s="1268"/>
      <c r="ES31" s="1563"/>
      <c r="ET31" s="1268"/>
      <c r="EU31" s="1682"/>
      <c r="EV31" s="1683"/>
      <c r="EW31" s="1684"/>
      <c r="EX31" s="1685"/>
      <c r="EY31" s="1496"/>
      <c r="EZ31" s="252"/>
      <c r="FA31" s="395"/>
      <c r="FB31" s="223"/>
      <c r="FC31" s="1496"/>
      <c r="FD31" s="252"/>
      <c r="FE31" s="1564"/>
      <c r="FG31" s="256"/>
      <c r="FH31" s="256"/>
      <c r="FI31" s="256"/>
      <c r="FJ31" s="256"/>
      <c r="FK31" s="126"/>
      <c r="FL31" s="126"/>
      <c r="FM31" s="126"/>
      <c r="FN31" s="126"/>
      <c r="FO31" s="957"/>
      <c r="FP31" s="49"/>
      <c r="FR31" s="1566"/>
      <c r="FS31" s="1566"/>
      <c r="FT31" s="126"/>
      <c r="FU31" s="2879"/>
      <c r="FV31" s="2880"/>
      <c r="FW31" s="2881"/>
      <c r="FX31" s="64"/>
      <c r="FY31" s="64"/>
      <c r="FZ31" s="64"/>
      <c r="GA31" s="64"/>
      <c r="GB31" s="64"/>
      <c r="GC31" s="64"/>
      <c r="GD31" s="64"/>
      <c r="GE31" s="64"/>
      <c r="GF31" s="64"/>
      <c r="GG31" s="64"/>
      <c r="GH31" s="64"/>
      <c r="GI31" s="64"/>
      <c r="GJ31" s="64"/>
      <c r="GK31" s="64"/>
      <c r="GL31" s="64"/>
      <c r="GM31" s="64"/>
      <c r="GN31" s="64"/>
      <c r="GO31" s="64"/>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row>
    <row r="32" spans="1:255" s="1565" customFormat="1" ht="13.5" customHeight="1">
      <c r="A32" s="1023"/>
      <c r="B32" s="1023"/>
      <c r="C32" s="1023"/>
      <c r="D32" s="1549"/>
      <c r="E32" s="1549"/>
      <c r="F32" s="1549"/>
      <c r="G32" s="1549"/>
      <c r="H32" s="1549"/>
      <c r="I32" s="1549"/>
      <c r="J32" s="1549"/>
      <c r="K32" s="1549"/>
      <c r="L32" s="1549"/>
      <c r="M32" s="1549"/>
      <c r="N32" s="1549"/>
      <c r="O32" s="1549"/>
      <c r="P32" s="1549"/>
      <c r="Q32" s="1550"/>
      <c r="R32" s="1550"/>
      <c r="S32" s="1550"/>
      <c r="T32" s="2"/>
      <c r="U32" s="233"/>
      <c r="V32" s="216"/>
      <c r="W32" s="218"/>
      <c r="X32" s="218"/>
      <c r="Y32" s="216"/>
      <c r="Z32" s="216"/>
      <c r="AA32" s="252"/>
      <c r="AB32" s="252"/>
      <c r="AC32" s="252"/>
      <c r="AD32" s="253"/>
      <c r="AE32" s="252"/>
      <c r="AF32" s="252"/>
      <c r="AG32" s="252"/>
      <c r="AH32" s="252"/>
      <c r="AI32" s="252"/>
      <c r="AJ32" s="252"/>
      <c r="AK32" s="253"/>
      <c r="AL32" s="252"/>
      <c r="AM32" s="252"/>
      <c r="AN32" s="252"/>
      <c r="AO32" s="252"/>
      <c r="AP32" s="252"/>
      <c r="AQ32" s="252"/>
      <c r="AR32" s="252"/>
      <c r="AS32" s="252"/>
      <c r="AT32" s="252"/>
      <c r="AU32" s="252"/>
      <c r="AV32" s="1025"/>
      <c r="AW32" s="355"/>
      <c r="AX32" s="217"/>
      <c r="AY32" s="305"/>
      <c r="AZ32" s="249"/>
      <c r="BA32" s="221"/>
      <c r="BB32" s="1551"/>
      <c r="BC32" s="216"/>
      <c r="BD32" s="1552"/>
      <c r="BE32" s="1263"/>
      <c r="BF32" s="249"/>
      <c r="BG32" s="252"/>
      <c r="BH32" s="1543"/>
      <c r="BI32" s="1544"/>
      <c r="BJ32" s="1543"/>
      <c r="BK32" s="1545"/>
      <c r="BL32" s="260"/>
      <c r="BM32" s="216"/>
      <c r="BN32" s="1553"/>
      <c r="BO32" s="1553"/>
      <c r="BP32" s="1554"/>
      <c r="BQ32" s="216"/>
      <c r="BR32" s="1026"/>
      <c r="BS32" s="249"/>
      <c r="BT32" s="260"/>
      <c r="BU32" s="1026"/>
      <c r="BV32" s="249"/>
      <c r="BW32" s="260"/>
      <c r="BX32" s="1026"/>
      <c r="BY32" s="249"/>
      <c r="BZ32" s="260"/>
      <c r="CA32" s="1026"/>
      <c r="CB32" s="249"/>
      <c r="CC32" s="260"/>
      <c r="CD32" s="1026"/>
      <c r="CE32" s="1269"/>
      <c r="CF32" s="1270"/>
      <c r="CG32" s="1026"/>
      <c r="CH32" s="249"/>
      <c r="CI32" s="260"/>
      <c r="CJ32" s="1027"/>
      <c r="CK32" s="249"/>
      <c r="CL32" s="260"/>
      <c r="CM32" s="1555"/>
      <c r="CN32" s="249"/>
      <c r="CO32" s="216"/>
      <c r="CP32" s="1029"/>
      <c r="CQ32" s="249"/>
      <c r="CR32" s="216"/>
      <c r="CS32" s="1029"/>
      <c r="CT32" s="249"/>
      <c r="CU32" s="216"/>
      <c r="CV32" s="1027"/>
      <c r="CW32" s="249"/>
      <c r="CX32" s="221"/>
      <c r="CY32" s="1027"/>
      <c r="CZ32" s="249"/>
      <c r="DA32" s="216"/>
      <c r="DB32" s="1027"/>
      <c r="DC32" s="249"/>
      <c r="DD32"/>
      <c r="DE32" s="1027"/>
      <c r="DF32" s="1556"/>
      <c r="DG32" s="1557"/>
      <c r="DH32" s="1027"/>
      <c r="DI32" s="1556"/>
      <c r="DJ32" s="1558"/>
      <c r="DK32" s="1559"/>
      <c r="DL32" s="249"/>
      <c r="DM32" s="221"/>
      <c r="DN32" s="313"/>
      <c r="DO32" s="249"/>
      <c r="DP32" s="216"/>
      <c r="DQ32" s="313"/>
      <c r="DR32" s="249"/>
      <c r="DS32" s="221"/>
      <c r="DT32" s="313"/>
      <c r="DU32" s="249"/>
      <c r="DV32" s="221"/>
      <c r="DW32" s="1560"/>
      <c r="DX32" s="1561"/>
      <c r="DY32" s="1562"/>
      <c r="DZ32" s="350"/>
      <c r="EA32" s="249"/>
      <c r="EB32" s="221"/>
      <c r="EC32" s="313"/>
      <c r="ED32" s="249"/>
      <c r="EE32" s="221"/>
      <c r="EF32" s="313"/>
      <c r="EG32" s="249"/>
      <c r="EH32" s="221"/>
      <c r="EI32" s="313"/>
      <c r="EJ32" s="249"/>
      <c r="EK32" s="216"/>
      <c r="EL32" s="1435"/>
      <c r="EM32" s="1619"/>
      <c r="EN32" s="1268"/>
      <c r="EO32" s="1563"/>
      <c r="EP32" s="1268"/>
      <c r="EQ32" s="1563"/>
      <c r="ER32" s="1268"/>
      <c r="ES32" s="1563"/>
      <c r="ET32" s="1268"/>
      <c r="EU32" s="1682"/>
      <c r="EV32" s="1683"/>
      <c r="EW32" s="1684"/>
      <c r="EX32" s="1685"/>
      <c r="EY32" s="1496"/>
      <c r="EZ32" s="252"/>
      <c r="FA32" s="395"/>
      <c r="FB32" s="223"/>
      <c r="FC32" s="1496"/>
      <c r="FD32" s="252"/>
      <c r="FE32" s="1564"/>
      <c r="FG32" s="256"/>
      <c r="FH32" s="256"/>
      <c r="FI32" s="256"/>
      <c r="FJ32" s="256"/>
      <c r="FK32" s="126"/>
      <c r="FL32" s="126"/>
      <c r="FM32" s="126"/>
      <c r="FN32" s="126"/>
      <c r="FO32" s="957"/>
      <c r="FP32" s="49"/>
      <c r="FR32" s="1566"/>
      <c r="FS32" s="1566"/>
      <c r="FT32" s="126"/>
      <c r="FU32" s="2879"/>
      <c r="FV32" s="2880"/>
      <c r="FW32" s="2881"/>
      <c r="FX32" s="64"/>
      <c r="FY32" s="64"/>
      <c r="FZ32" s="64"/>
      <c r="GA32" s="64"/>
      <c r="GB32" s="64"/>
      <c r="GC32" s="64"/>
      <c r="GD32" s="64"/>
      <c r="GE32" s="64"/>
      <c r="GF32" s="64"/>
      <c r="GG32" s="64"/>
      <c r="GH32" s="64"/>
      <c r="GI32" s="64"/>
      <c r="GJ32" s="64"/>
      <c r="GK32" s="64"/>
      <c r="GL32" s="64"/>
      <c r="GM32" s="64"/>
      <c r="GN32" s="64"/>
      <c r="GO32" s="64"/>
      <c r="GP32" s="64"/>
      <c r="GQ32" s="64"/>
      <c r="GR32" s="64"/>
      <c r="GS32" s="64"/>
      <c r="GT32" s="64"/>
      <c r="GU32" s="64"/>
      <c r="GV32" s="64"/>
      <c r="GW32" s="64"/>
      <c r="GX32" s="64"/>
      <c r="GY32" s="64"/>
      <c r="GZ32" s="64"/>
      <c r="HA32" s="64"/>
      <c r="HB32" s="64"/>
      <c r="HC32" s="64"/>
      <c r="HD32" s="64"/>
      <c r="HE32" s="64"/>
      <c r="HF32" s="64"/>
      <c r="HG32" s="64"/>
      <c r="HH32" s="64"/>
      <c r="HI32" s="64"/>
      <c r="HJ32" s="64"/>
      <c r="HK32" s="64"/>
      <c r="HL32" s="64"/>
      <c r="HM32" s="64"/>
      <c r="HN32" s="64"/>
      <c r="HO32" s="64"/>
      <c r="HP32" s="64"/>
      <c r="HQ32" s="64"/>
      <c r="HR32" s="64"/>
      <c r="HS32" s="64"/>
      <c r="HT32" s="64"/>
      <c r="HU32" s="64"/>
      <c r="HV32" s="64"/>
      <c r="HW32" s="64"/>
      <c r="HX32" s="64"/>
      <c r="HY32" s="64"/>
      <c r="HZ32" s="64"/>
      <c r="IA32" s="64"/>
      <c r="IB32" s="64"/>
      <c r="IC32" s="64"/>
      <c r="ID32" s="64"/>
      <c r="IE32" s="64"/>
      <c r="IF32" s="64"/>
      <c r="IG32" s="64"/>
      <c r="IH32" s="64"/>
      <c r="II32" s="64"/>
      <c r="IJ32" s="64"/>
      <c r="IK32" s="64"/>
      <c r="IL32" s="64"/>
      <c r="IM32" s="64"/>
      <c r="IN32" s="64"/>
      <c r="IO32" s="64"/>
      <c r="IP32" s="64"/>
      <c r="IQ32" s="64"/>
      <c r="IR32" s="64"/>
      <c r="IS32" s="64"/>
      <c r="IT32" s="64"/>
      <c r="IU32" s="64"/>
    </row>
    <row r="33" spans="1:255" s="1565" customFormat="1" ht="13.5" customHeight="1">
      <c r="A33" s="1023"/>
      <c r="B33" s="1023"/>
      <c r="C33" s="1023"/>
      <c r="D33" s="1549"/>
      <c r="E33" s="1549"/>
      <c r="F33" s="1549"/>
      <c r="G33" s="1549"/>
      <c r="H33" s="1549"/>
      <c r="I33" s="1549"/>
      <c r="J33" s="1549"/>
      <c r="K33" s="1549"/>
      <c r="L33" s="1549"/>
      <c r="M33" s="1549"/>
      <c r="N33" s="1549"/>
      <c r="O33" s="1549"/>
      <c r="P33" s="1549"/>
      <c r="Q33" s="1550"/>
      <c r="R33" s="1550"/>
      <c r="S33" s="1550"/>
      <c r="T33" s="2"/>
      <c r="U33" s="233"/>
      <c r="V33" s="216"/>
      <c r="W33" s="218"/>
      <c r="X33" s="218"/>
      <c r="Y33" s="216"/>
      <c r="Z33" s="216"/>
      <c r="AA33" s="252"/>
      <c r="AB33" s="252"/>
      <c r="AC33" s="252"/>
      <c r="AD33" s="253"/>
      <c r="AE33" s="252"/>
      <c r="AF33" s="252"/>
      <c r="AG33" s="252"/>
      <c r="AH33" s="252"/>
      <c r="AI33" s="252"/>
      <c r="AJ33" s="252"/>
      <c r="AK33" s="253"/>
      <c r="AL33" s="252"/>
      <c r="AM33" s="252"/>
      <c r="AN33" s="252"/>
      <c r="AO33" s="252"/>
      <c r="AP33" s="252"/>
      <c r="AQ33" s="252"/>
      <c r="AR33" s="252"/>
      <c r="AS33" s="252"/>
      <c r="AT33" s="252"/>
      <c r="AU33" s="252"/>
      <c r="AV33" s="1025"/>
      <c r="AW33" s="355"/>
      <c r="AX33" s="217"/>
      <c r="AY33" s="305"/>
      <c r="AZ33" s="249"/>
      <c r="BA33" s="221"/>
      <c r="BB33" s="1551"/>
      <c r="BC33" s="216"/>
      <c r="BD33" s="1552"/>
      <c r="BE33" s="1263"/>
      <c r="BF33" s="249"/>
      <c r="BG33" s="252"/>
      <c r="BH33" s="1543"/>
      <c r="BI33" s="1544"/>
      <c r="BJ33" s="1543"/>
      <c r="BK33" s="1545"/>
      <c r="BL33" s="260"/>
      <c r="BM33" s="216"/>
      <c r="BN33" s="1553"/>
      <c r="BO33" s="1553"/>
      <c r="BP33" s="1554"/>
      <c r="BQ33" s="216"/>
      <c r="BR33" s="1026"/>
      <c r="BS33" s="249"/>
      <c r="BT33" s="260"/>
      <c r="BU33" s="1026"/>
      <c r="BV33" s="249"/>
      <c r="BW33" s="260"/>
      <c r="BX33" s="1026"/>
      <c r="BY33" s="249"/>
      <c r="BZ33" s="260"/>
      <c r="CA33" s="1026"/>
      <c r="CB33" s="249"/>
      <c r="CC33" s="260"/>
      <c r="CD33" s="1026"/>
      <c r="CE33" s="1269"/>
      <c r="CF33" s="1270"/>
      <c r="CG33" s="1026"/>
      <c r="CH33" s="249"/>
      <c r="CI33" s="260"/>
      <c r="CJ33" s="1027"/>
      <c r="CK33" s="249"/>
      <c r="CL33" s="260"/>
      <c r="CM33" s="1555"/>
      <c r="CN33" s="249"/>
      <c r="CO33" s="216"/>
      <c r="CP33" s="1029"/>
      <c r="CQ33" s="249"/>
      <c r="CR33" s="216"/>
      <c r="CS33" s="1029"/>
      <c r="CT33" s="249"/>
      <c r="CU33" s="216"/>
      <c r="CV33" s="1027"/>
      <c r="CW33" s="249"/>
      <c r="CX33" s="221"/>
      <c r="CY33" s="1027"/>
      <c r="CZ33" s="249"/>
      <c r="DA33" s="216"/>
      <c r="DB33" s="1027"/>
      <c r="DC33" s="249"/>
      <c r="DD33"/>
      <c r="DE33" s="1027"/>
      <c r="DF33" s="1556"/>
      <c r="DG33" s="1557"/>
      <c r="DH33" s="1027"/>
      <c r="DI33" s="1556"/>
      <c r="DJ33" s="1558"/>
      <c r="DK33" s="1559"/>
      <c r="DL33" s="249"/>
      <c r="DM33" s="221"/>
      <c r="DN33" s="313"/>
      <c r="DO33" s="249"/>
      <c r="DP33" s="216"/>
      <c r="DQ33" s="313"/>
      <c r="DR33" s="249"/>
      <c r="DS33" s="221"/>
      <c r="DT33" s="313"/>
      <c r="DU33" s="249"/>
      <c r="DV33" s="221"/>
      <c r="DW33" s="1560"/>
      <c r="DX33" s="1561"/>
      <c r="DY33" s="1562"/>
      <c r="DZ33" s="350"/>
      <c r="EA33" s="249"/>
      <c r="EB33" s="221"/>
      <c r="EC33" s="313"/>
      <c r="ED33" s="249"/>
      <c r="EE33" s="221"/>
      <c r="EF33" s="313"/>
      <c r="EG33" s="249"/>
      <c r="EH33" s="221"/>
      <c r="EI33" s="313"/>
      <c r="EJ33" s="249"/>
      <c r="EK33" s="216"/>
      <c r="EL33" s="1435"/>
      <c r="EM33" s="1619"/>
      <c r="EN33" s="1268"/>
      <c r="EO33" s="1563"/>
      <c r="EP33" s="1268"/>
      <c r="EQ33" s="1563"/>
      <c r="ER33" s="1268"/>
      <c r="ES33" s="1563"/>
      <c r="ET33" s="1268"/>
      <c r="EU33" s="1682"/>
      <c r="EV33" s="1683"/>
      <c r="EW33" s="1684"/>
      <c r="EX33" s="1685"/>
      <c r="EY33" s="1496"/>
      <c r="EZ33" s="252"/>
      <c r="FA33" s="395"/>
      <c r="FB33" s="223"/>
      <c r="FC33" s="1496"/>
      <c r="FD33" s="252"/>
      <c r="FE33" s="1564"/>
      <c r="FG33" s="256"/>
      <c r="FH33" s="256"/>
      <c r="FI33" s="256"/>
      <c r="FJ33" s="256"/>
      <c r="FK33" s="126"/>
      <c r="FL33" s="126"/>
      <c r="FM33" s="126"/>
      <c r="FN33" s="126"/>
      <c r="FO33" s="957"/>
      <c r="FP33" s="49"/>
      <c r="FR33" s="1566"/>
      <c r="FS33" s="1566"/>
      <c r="FT33" s="126"/>
      <c r="FU33" s="2879"/>
      <c r="FV33" s="2880"/>
      <c r="FW33" s="2881"/>
      <c r="FX33" s="64"/>
      <c r="FY33" s="64"/>
      <c r="FZ33" s="64"/>
      <c r="GA33" s="64"/>
      <c r="GB33" s="64"/>
      <c r="GC33" s="64"/>
      <c r="GD33" s="64"/>
      <c r="GE33" s="64"/>
      <c r="GF33" s="64"/>
      <c r="GG33" s="64"/>
      <c r="GH33" s="64"/>
      <c r="GI33" s="64"/>
      <c r="GJ33" s="64"/>
      <c r="GK33" s="64"/>
      <c r="GL33" s="64"/>
      <c r="GM33" s="64"/>
      <c r="GN33" s="64"/>
      <c r="GO33" s="64"/>
      <c r="GP33" s="64"/>
      <c r="GQ33" s="64"/>
      <c r="GR33" s="64"/>
      <c r="GS33" s="64"/>
      <c r="GT33" s="64"/>
      <c r="GU33" s="64"/>
      <c r="GV33" s="64"/>
      <c r="GW33" s="64"/>
      <c r="GX33" s="64"/>
      <c r="GY33" s="64"/>
      <c r="GZ33" s="64"/>
      <c r="HA33" s="64"/>
      <c r="HB33" s="64"/>
      <c r="HC33" s="64"/>
      <c r="HD33" s="64"/>
      <c r="HE33" s="64"/>
      <c r="HF33" s="64"/>
      <c r="HG33" s="64"/>
      <c r="HH33" s="64"/>
      <c r="HI33" s="64"/>
      <c r="HJ33" s="64"/>
      <c r="HK33" s="64"/>
      <c r="HL33" s="64"/>
      <c r="HM33" s="64"/>
      <c r="HN33" s="64"/>
      <c r="HO33" s="64"/>
      <c r="HP33" s="64"/>
      <c r="HQ33" s="64"/>
      <c r="HR33" s="64"/>
      <c r="HS33" s="64"/>
      <c r="HT33" s="64"/>
      <c r="HU33" s="64"/>
      <c r="HV33" s="64"/>
      <c r="HW33" s="64"/>
      <c r="HX33" s="64"/>
      <c r="HY33" s="64"/>
      <c r="HZ33" s="64"/>
      <c r="IA33" s="64"/>
      <c r="IB33" s="64"/>
      <c r="IC33" s="64"/>
      <c r="ID33" s="64"/>
      <c r="IE33" s="64"/>
      <c r="IF33" s="64"/>
      <c r="IG33" s="64"/>
      <c r="IH33" s="64"/>
      <c r="II33" s="64"/>
      <c r="IJ33" s="64"/>
      <c r="IK33" s="64"/>
      <c r="IL33" s="64"/>
      <c r="IM33" s="64"/>
      <c r="IN33" s="64"/>
      <c r="IO33" s="64"/>
      <c r="IP33" s="64"/>
      <c r="IQ33" s="64"/>
      <c r="IR33" s="64"/>
      <c r="IS33" s="64"/>
      <c r="IT33" s="64"/>
      <c r="IU33" s="64"/>
    </row>
    <row r="34" spans="1:255" s="1565" customFormat="1" ht="13.5" customHeight="1">
      <c r="A34" s="1023"/>
      <c r="B34" s="1023"/>
      <c r="C34" s="1023"/>
      <c r="D34" s="1549"/>
      <c r="E34" s="1549"/>
      <c r="F34" s="1549"/>
      <c r="G34" s="1549"/>
      <c r="H34" s="1549"/>
      <c r="I34" s="1549"/>
      <c r="J34" s="1549"/>
      <c r="K34" s="1549"/>
      <c r="L34" s="1549"/>
      <c r="M34" s="1549"/>
      <c r="N34" s="1549"/>
      <c r="O34" s="1549"/>
      <c r="P34" s="1549"/>
      <c r="Q34" s="1550"/>
      <c r="R34" s="1550"/>
      <c r="S34" s="1550"/>
      <c r="T34" s="2"/>
      <c r="U34" s="233"/>
      <c r="V34" s="216"/>
      <c r="W34" s="218"/>
      <c r="X34" s="218"/>
      <c r="Y34" s="216"/>
      <c r="Z34" s="216"/>
      <c r="AA34" s="252"/>
      <c r="AB34" s="252"/>
      <c r="AC34" s="252"/>
      <c r="AD34" s="253"/>
      <c r="AE34" s="252"/>
      <c r="AF34" s="252"/>
      <c r="AG34" s="252"/>
      <c r="AH34" s="252"/>
      <c r="AI34" s="252"/>
      <c r="AJ34" s="252"/>
      <c r="AK34" s="253"/>
      <c r="AL34" s="252"/>
      <c r="AM34" s="252"/>
      <c r="AN34" s="252"/>
      <c r="AO34" s="252"/>
      <c r="AP34" s="252"/>
      <c r="AQ34" s="252"/>
      <c r="AR34" s="252"/>
      <c r="AS34" s="252"/>
      <c r="AT34" s="252"/>
      <c r="AU34" s="252"/>
      <c r="AV34" s="1025"/>
      <c r="AW34" s="355"/>
      <c r="AX34" s="217"/>
      <c r="AY34" s="305"/>
      <c r="AZ34" s="249"/>
      <c r="BA34" s="221"/>
      <c r="BB34" s="1551"/>
      <c r="BC34" s="216"/>
      <c r="BD34" s="1552"/>
      <c r="BE34" s="1263"/>
      <c r="BF34" s="249"/>
      <c r="BG34" s="252"/>
      <c r="BH34" s="1543"/>
      <c r="BI34" s="1544"/>
      <c r="BJ34" s="1543"/>
      <c r="BK34" s="1545"/>
      <c r="BL34" s="260"/>
      <c r="BM34" s="216"/>
      <c r="BN34" s="1553"/>
      <c r="BO34" s="1553"/>
      <c r="BP34" s="1554"/>
      <c r="BQ34" s="216"/>
      <c r="BR34" s="1026"/>
      <c r="BS34" s="249"/>
      <c r="BT34" s="260"/>
      <c r="BU34" s="1026"/>
      <c r="BV34" s="249"/>
      <c r="BW34" s="260"/>
      <c r="BX34" s="1026"/>
      <c r="BY34" s="249"/>
      <c r="BZ34" s="260"/>
      <c r="CA34" s="1026"/>
      <c r="CB34" s="249"/>
      <c r="CC34" s="260"/>
      <c r="CD34" s="1026"/>
      <c r="CE34" s="1269"/>
      <c r="CF34" s="1270"/>
      <c r="CG34" s="1026"/>
      <c r="CH34" s="249"/>
      <c r="CI34" s="260"/>
      <c r="CJ34" s="1027"/>
      <c r="CK34" s="249"/>
      <c r="CL34" s="260"/>
      <c r="CM34" s="1555"/>
      <c r="CN34" s="249"/>
      <c r="CO34" s="216"/>
      <c r="CP34" s="1029"/>
      <c r="CQ34" s="249"/>
      <c r="CR34" s="216"/>
      <c r="CS34" s="1029"/>
      <c r="CT34" s="249"/>
      <c r="CU34" s="216"/>
      <c r="CV34" s="1027"/>
      <c r="CW34" s="249"/>
      <c r="CX34" s="221"/>
      <c r="CY34" s="1027"/>
      <c r="CZ34" s="249"/>
      <c r="DA34" s="216"/>
      <c r="DB34" s="1027"/>
      <c r="DC34" s="249"/>
      <c r="DD34"/>
      <c r="DE34" s="1027"/>
      <c r="DF34" s="1556"/>
      <c r="DG34" s="1557"/>
      <c r="DH34" s="1027"/>
      <c r="DI34" s="1556"/>
      <c r="DJ34" s="1558"/>
      <c r="DK34" s="1559"/>
      <c r="DL34" s="249"/>
      <c r="DM34" s="221"/>
      <c r="DN34" s="313"/>
      <c r="DO34" s="249"/>
      <c r="DP34" s="216"/>
      <c r="DQ34" s="313"/>
      <c r="DR34" s="249"/>
      <c r="DS34" s="221"/>
      <c r="DT34" s="313"/>
      <c r="DU34" s="249"/>
      <c r="DV34" s="221"/>
      <c r="DW34" s="1560"/>
      <c r="DX34" s="1561"/>
      <c r="DY34" s="1562"/>
      <c r="DZ34" s="350"/>
      <c r="EA34" s="249"/>
      <c r="EB34" s="221"/>
      <c r="EC34" s="313"/>
      <c r="ED34" s="249"/>
      <c r="EE34" s="221"/>
      <c r="EF34" s="313"/>
      <c r="EG34" s="249"/>
      <c r="EH34" s="221"/>
      <c r="EI34" s="313"/>
      <c r="EJ34" s="249"/>
      <c r="EK34" s="216"/>
      <c r="EL34" s="1435"/>
      <c r="EM34" s="1619"/>
      <c r="EN34" s="1268"/>
      <c r="EO34" s="1563"/>
      <c r="EP34" s="1268"/>
      <c r="EQ34" s="1563"/>
      <c r="ER34" s="1268"/>
      <c r="ES34" s="1563"/>
      <c r="ET34" s="1268"/>
      <c r="EU34" s="1682"/>
      <c r="EV34" s="1683"/>
      <c r="EW34" s="1684"/>
      <c r="EX34" s="1685"/>
      <c r="EY34" s="1496"/>
      <c r="EZ34" s="252"/>
      <c r="FA34" s="395"/>
      <c r="FB34" s="223"/>
      <c r="FC34" s="1496"/>
      <c r="FD34" s="252"/>
      <c r="FE34" s="1564"/>
      <c r="FG34" s="256"/>
      <c r="FH34" s="256"/>
      <c r="FI34" s="256"/>
      <c r="FJ34" s="256"/>
      <c r="FK34" s="126"/>
      <c r="FL34" s="126"/>
      <c r="FM34" s="126"/>
      <c r="FN34" s="126"/>
      <c r="FO34" s="957"/>
      <c r="FP34" s="49"/>
      <c r="FR34" s="1566"/>
      <c r="FS34" s="1566"/>
      <c r="FT34" s="126"/>
      <c r="FU34" s="2879"/>
      <c r="FV34" s="2880"/>
      <c r="FW34" s="2881"/>
      <c r="FX34" s="64"/>
      <c r="FY34" s="64"/>
      <c r="FZ34" s="64"/>
      <c r="GA34" s="64"/>
      <c r="GB34" s="64"/>
      <c r="GC34" s="64"/>
      <c r="GD34" s="64"/>
      <c r="GE34" s="64"/>
      <c r="GF34" s="64"/>
      <c r="GG34" s="64"/>
      <c r="GH34" s="64"/>
      <c r="GI34" s="64"/>
      <c r="GJ34" s="64"/>
      <c r="GK34" s="64"/>
      <c r="GL34" s="64"/>
      <c r="GM34" s="64"/>
      <c r="GN34" s="64"/>
      <c r="GO34" s="64"/>
      <c r="GP34" s="64"/>
      <c r="GQ34" s="64"/>
      <c r="GR34" s="64"/>
      <c r="GS34" s="64"/>
      <c r="GT34" s="64"/>
      <c r="GU34" s="64"/>
      <c r="GV34" s="64"/>
      <c r="GW34" s="64"/>
      <c r="GX34" s="64"/>
      <c r="GY34" s="64"/>
      <c r="GZ34" s="64"/>
      <c r="HA34" s="64"/>
      <c r="HB34" s="64"/>
      <c r="HC34" s="64"/>
      <c r="HD34" s="64"/>
      <c r="HE34" s="64"/>
      <c r="HF34" s="64"/>
      <c r="HG34" s="64"/>
      <c r="HH34" s="64"/>
      <c r="HI34" s="64"/>
      <c r="HJ34" s="64"/>
      <c r="HK34" s="64"/>
      <c r="HL34" s="64"/>
      <c r="HM34" s="64"/>
      <c r="HN34" s="64"/>
      <c r="HO34" s="64"/>
      <c r="HP34" s="64"/>
      <c r="HQ34" s="64"/>
      <c r="HR34" s="64"/>
      <c r="HS34" s="64"/>
      <c r="HT34" s="64"/>
      <c r="HU34" s="64"/>
      <c r="HV34" s="64"/>
      <c r="HW34" s="64"/>
      <c r="HX34" s="64"/>
      <c r="HY34" s="64"/>
      <c r="HZ34" s="64"/>
      <c r="IA34" s="64"/>
      <c r="IB34" s="64"/>
      <c r="IC34" s="64"/>
      <c r="ID34" s="64"/>
      <c r="IE34" s="64"/>
      <c r="IF34" s="64"/>
      <c r="IG34" s="64"/>
      <c r="IH34" s="64"/>
      <c r="II34" s="64"/>
      <c r="IJ34" s="64"/>
      <c r="IK34" s="64"/>
      <c r="IL34" s="64"/>
      <c r="IM34" s="64"/>
      <c r="IN34" s="64"/>
      <c r="IO34" s="64"/>
      <c r="IP34" s="64"/>
      <c r="IQ34" s="64"/>
      <c r="IR34" s="64"/>
      <c r="IS34" s="64"/>
      <c r="IT34" s="64"/>
      <c r="IU34" s="64"/>
    </row>
    <row r="35" spans="1:255" s="1565" customFormat="1" ht="13.5" customHeight="1">
      <c r="A35" s="1023"/>
      <c r="B35" s="1023"/>
      <c r="C35" s="1023"/>
      <c r="D35" s="1549"/>
      <c r="E35" s="1549"/>
      <c r="F35" s="1549"/>
      <c r="G35" s="1549"/>
      <c r="H35" s="1549"/>
      <c r="I35" s="1549"/>
      <c r="J35" s="1549"/>
      <c r="K35" s="1549"/>
      <c r="L35" s="1549"/>
      <c r="M35" s="1549"/>
      <c r="N35" s="1549"/>
      <c r="O35" s="1549"/>
      <c r="P35" s="1549"/>
      <c r="Q35" s="1550"/>
      <c r="R35" s="1550"/>
      <c r="S35" s="1550"/>
      <c r="T35" s="2"/>
      <c r="U35" s="233"/>
      <c r="V35" s="216"/>
      <c r="W35" s="218"/>
      <c r="X35" s="218"/>
      <c r="Y35" s="216"/>
      <c r="Z35" s="216"/>
      <c r="AA35" s="252"/>
      <c r="AB35" s="252"/>
      <c r="AC35" s="252"/>
      <c r="AD35" s="253"/>
      <c r="AE35" s="252"/>
      <c r="AF35" s="252"/>
      <c r="AG35" s="252"/>
      <c r="AH35" s="252"/>
      <c r="AI35" s="252"/>
      <c r="AJ35" s="252"/>
      <c r="AK35" s="253"/>
      <c r="AL35" s="252"/>
      <c r="AM35" s="252"/>
      <c r="AN35" s="252"/>
      <c r="AO35" s="252"/>
      <c r="AP35" s="252"/>
      <c r="AQ35" s="252"/>
      <c r="AR35" s="252"/>
      <c r="AS35" s="252"/>
      <c r="AT35" s="252"/>
      <c r="AU35" s="252"/>
      <c r="AV35" s="1025"/>
      <c r="AW35" s="355"/>
      <c r="AX35" s="217"/>
      <c r="AY35" s="305"/>
      <c r="AZ35" s="249"/>
      <c r="BA35" s="221"/>
      <c r="BB35" s="1551"/>
      <c r="BC35" s="216"/>
      <c r="BD35" s="1552"/>
      <c r="BE35" s="1263"/>
      <c r="BF35" s="249"/>
      <c r="BG35" s="252"/>
      <c r="BH35" s="1543"/>
      <c r="BI35" s="1544"/>
      <c r="BJ35" s="1543"/>
      <c r="BK35" s="1545"/>
      <c r="BL35" s="260"/>
      <c r="BM35" s="216"/>
      <c r="BN35" s="1553"/>
      <c r="BO35" s="1553"/>
      <c r="BP35" s="1554"/>
      <c r="BQ35" s="216"/>
      <c r="BR35" s="1026"/>
      <c r="BS35" s="249"/>
      <c r="BT35" s="260"/>
      <c r="BU35" s="1026"/>
      <c r="BV35" s="249"/>
      <c r="BW35" s="260"/>
      <c r="BX35" s="1026"/>
      <c r="BY35" s="249"/>
      <c r="BZ35" s="260"/>
      <c r="CA35" s="1026"/>
      <c r="CB35" s="249"/>
      <c r="CC35" s="260"/>
      <c r="CD35" s="1026"/>
      <c r="CE35" s="1269"/>
      <c r="CF35" s="1270"/>
      <c r="CG35" s="1026"/>
      <c r="CH35" s="249"/>
      <c r="CI35" s="260"/>
      <c r="CJ35" s="1027"/>
      <c r="CK35" s="249"/>
      <c r="CL35" s="260"/>
      <c r="CM35" s="1555"/>
      <c r="CN35" s="249"/>
      <c r="CO35" s="216"/>
      <c r="CP35" s="1029"/>
      <c r="CQ35" s="249"/>
      <c r="CR35" s="216"/>
      <c r="CS35" s="1029"/>
      <c r="CT35" s="249"/>
      <c r="CU35" s="216"/>
      <c r="CV35" s="1027"/>
      <c r="CW35" s="249"/>
      <c r="CX35" s="221"/>
      <c r="CY35" s="1027"/>
      <c r="CZ35" s="249"/>
      <c r="DA35" s="216"/>
      <c r="DB35" s="1027"/>
      <c r="DC35" s="249"/>
      <c r="DD35"/>
      <c r="DE35" s="1027"/>
      <c r="DF35" s="1556"/>
      <c r="DG35" s="1557"/>
      <c r="DH35" s="1027"/>
      <c r="DI35" s="1556"/>
      <c r="DJ35" s="1558"/>
      <c r="DK35" s="1559"/>
      <c r="DL35" s="249"/>
      <c r="DM35" s="221"/>
      <c r="DN35" s="313"/>
      <c r="DO35" s="249"/>
      <c r="DP35" s="216"/>
      <c r="DQ35" s="313"/>
      <c r="DR35" s="249"/>
      <c r="DS35" s="221"/>
      <c r="DT35" s="313"/>
      <c r="DU35" s="249"/>
      <c r="DV35" s="221"/>
      <c r="DW35" s="1560"/>
      <c r="DX35" s="1561"/>
      <c r="DY35" s="1562"/>
      <c r="DZ35" s="350"/>
      <c r="EA35" s="249"/>
      <c r="EB35" s="221"/>
      <c r="EC35" s="313"/>
      <c r="ED35" s="249"/>
      <c r="EE35" s="221"/>
      <c r="EF35" s="313"/>
      <c r="EG35" s="249"/>
      <c r="EH35" s="221"/>
      <c r="EI35" s="313"/>
      <c r="EJ35" s="249"/>
      <c r="EK35" s="216"/>
      <c r="EL35" s="1435"/>
      <c r="EM35" s="1619"/>
      <c r="EN35" s="1268"/>
      <c r="EO35" s="1563"/>
      <c r="EP35" s="1268"/>
      <c r="EQ35" s="1563"/>
      <c r="ER35" s="1268"/>
      <c r="ES35" s="1563"/>
      <c r="ET35" s="1268"/>
      <c r="EU35" s="1682"/>
      <c r="EV35" s="1683"/>
      <c r="EW35" s="1684"/>
      <c r="EX35" s="1685"/>
      <c r="EY35" s="1496"/>
      <c r="EZ35" s="252"/>
      <c r="FA35" s="395"/>
      <c r="FB35" s="223"/>
      <c r="FC35" s="1496"/>
      <c r="FD35" s="252"/>
      <c r="FE35" s="1564"/>
      <c r="FG35" s="256"/>
      <c r="FH35" s="256"/>
      <c r="FI35" s="256"/>
      <c r="FJ35" s="256"/>
      <c r="FK35" s="126"/>
      <c r="FL35" s="126"/>
      <c r="FM35" s="126"/>
      <c r="FN35" s="126"/>
      <c r="FO35" s="957"/>
      <c r="FP35" s="49"/>
      <c r="FR35" s="1566"/>
      <c r="FS35" s="1566"/>
      <c r="FT35" s="126"/>
      <c r="FU35" s="2879"/>
      <c r="FV35" s="2880"/>
      <c r="FW35" s="2881"/>
      <c r="FX35" s="64"/>
      <c r="FY35" s="64"/>
      <c r="FZ35" s="64"/>
      <c r="GA35" s="64"/>
      <c r="GB35" s="64"/>
      <c r="GC35" s="64"/>
      <c r="GD35" s="64"/>
      <c r="GE35" s="64"/>
      <c r="GF35" s="64"/>
      <c r="GG35" s="64"/>
      <c r="GH35" s="64"/>
      <c r="GI35" s="64"/>
      <c r="GJ35" s="64"/>
      <c r="GK35" s="64"/>
      <c r="GL35" s="64"/>
      <c r="GM35" s="64"/>
      <c r="GN35" s="64"/>
      <c r="GO35" s="64"/>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row>
    <row r="36" spans="1:255" s="1565" customFormat="1" ht="13.5" customHeight="1">
      <c r="A36" s="1023"/>
      <c r="B36" s="1023"/>
      <c r="C36" s="1023"/>
      <c r="D36" s="1549"/>
      <c r="E36" s="1549"/>
      <c r="F36" s="1549"/>
      <c r="G36" s="1549"/>
      <c r="H36" s="1549"/>
      <c r="I36" s="1549"/>
      <c r="J36" s="1549"/>
      <c r="K36" s="1549"/>
      <c r="L36" s="1549"/>
      <c r="M36" s="1549"/>
      <c r="N36" s="1549"/>
      <c r="O36" s="1549"/>
      <c r="P36" s="1549"/>
      <c r="Q36" s="1550"/>
      <c r="R36" s="1550"/>
      <c r="S36" s="1550"/>
      <c r="T36" s="2"/>
      <c r="U36" s="233"/>
      <c r="V36" s="216"/>
      <c r="W36" s="218"/>
      <c r="X36" s="218"/>
      <c r="Y36" s="216"/>
      <c r="Z36" s="216"/>
      <c r="AA36" s="252"/>
      <c r="AB36" s="252"/>
      <c r="AC36" s="252"/>
      <c r="AD36" s="253"/>
      <c r="AE36" s="252"/>
      <c r="AF36" s="252"/>
      <c r="AG36" s="252"/>
      <c r="AH36" s="252"/>
      <c r="AI36" s="252"/>
      <c r="AJ36" s="252"/>
      <c r="AK36" s="253"/>
      <c r="AL36" s="252"/>
      <c r="AM36" s="252"/>
      <c r="AN36" s="252"/>
      <c r="AO36" s="252"/>
      <c r="AP36" s="252"/>
      <c r="AQ36" s="252"/>
      <c r="AR36" s="252"/>
      <c r="AS36" s="252"/>
      <c r="AT36" s="252"/>
      <c r="AU36" s="252"/>
      <c r="AV36" s="1025"/>
      <c r="AW36" s="355"/>
      <c r="AX36" s="217"/>
      <c r="AY36" s="305"/>
      <c r="AZ36" s="249"/>
      <c r="BA36" s="221"/>
      <c r="BB36" s="1551"/>
      <c r="BC36" s="216"/>
      <c r="BD36" s="1552"/>
      <c r="BE36" s="1263"/>
      <c r="BF36" s="249"/>
      <c r="BG36" s="252"/>
      <c r="BH36" s="1543"/>
      <c r="BI36" s="1544"/>
      <c r="BJ36" s="1543"/>
      <c r="BK36" s="1545"/>
      <c r="BL36" s="260"/>
      <c r="BM36" s="216"/>
      <c r="BN36" s="1553"/>
      <c r="BO36" s="1553"/>
      <c r="BP36" s="1554"/>
      <c r="BQ36" s="216"/>
      <c r="BR36" s="1026"/>
      <c r="BS36" s="249"/>
      <c r="BT36" s="260"/>
      <c r="BU36" s="1026"/>
      <c r="BV36" s="249"/>
      <c r="BW36" s="260"/>
      <c r="BX36" s="1026"/>
      <c r="BY36" s="249"/>
      <c r="BZ36" s="260"/>
      <c r="CA36" s="1026"/>
      <c r="CB36" s="249"/>
      <c r="CC36" s="260"/>
      <c r="CD36" s="1026"/>
      <c r="CE36" s="1269"/>
      <c r="CF36" s="1270"/>
      <c r="CG36" s="1026"/>
      <c r="CH36" s="249"/>
      <c r="CI36" s="260"/>
      <c r="CJ36" s="1027"/>
      <c r="CK36" s="249"/>
      <c r="CL36" s="260"/>
      <c r="CM36" s="1555"/>
      <c r="CN36" s="249"/>
      <c r="CO36" s="216"/>
      <c r="CP36" s="1029"/>
      <c r="CQ36" s="249"/>
      <c r="CR36" s="216"/>
      <c r="CS36" s="1029"/>
      <c r="CT36" s="249"/>
      <c r="CU36" s="216"/>
      <c r="CV36" s="1027"/>
      <c r="CW36" s="249"/>
      <c r="CX36" s="221"/>
      <c r="CY36" s="1027"/>
      <c r="CZ36" s="249"/>
      <c r="DA36" s="216"/>
      <c r="DB36" s="1027"/>
      <c r="DC36" s="249"/>
      <c r="DD36"/>
      <c r="DE36" s="1027"/>
      <c r="DF36" s="1556"/>
      <c r="DG36" s="1557"/>
      <c r="DH36" s="1027"/>
      <c r="DI36" s="1556"/>
      <c r="DJ36" s="1558"/>
      <c r="DK36" s="1559"/>
      <c r="DL36" s="249"/>
      <c r="DM36" s="221"/>
      <c r="DN36" s="313"/>
      <c r="DO36" s="249"/>
      <c r="DP36" s="216"/>
      <c r="DQ36" s="313"/>
      <c r="DR36" s="249"/>
      <c r="DS36" s="221"/>
      <c r="DT36" s="313"/>
      <c r="DU36" s="249"/>
      <c r="DV36" s="221"/>
      <c r="DW36" s="1560"/>
      <c r="DX36" s="1561"/>
      <c r="DY36" s="1562"/>
      <c r="DZ36" s="350"/>
      <c r="EA36" s="249"/>
      <c r="EB36" s="221"/>
      <c r="EC36" s="313"/>
      <c r="ED36" s="249"/>
      <c r="EE36" s="221"/>
      <c r="EF36" s="313"/>
      <c r="EG36" s="249"/>
      <c r="EH36" s="221"/>
      <c r="EI36" s="313"/>
      <c r="EJ36" s="249"/>
      <c r="EK36" s="216"/>
      <c r="EL36" s="1435"/>
      <c r="EM36" s="1619"/>
      <c r="EN36" s="1268"/>
      <c r="EO36" s="1563"/>
      <c r="EP36" s="1268"/>
      <c r="EQ36" s="1563"/>
      <c r="ER36" s="1268"/>
      <c r="ES36" s="1563"/>
      <c r="ET36" s="1268"/>
      <c r="EU36" s="1682"/>
      <c r="EV36" s="1683"/>
      <c r="EW36" s="1684"/>
      <c r="EX36" s="1685"/>
      <c r="EY36" s="1496"/>
      <c r="EZ36" s="252"/>
      <c r="FA36" s="395"/>
      <c r="FB36" s="223"/>
      <c r="FC36" s="1496"/>
      <c r="FD36" s="252"/>
      <c r="FE36" s="1564"/>
      <c r="FG36" s="256"/>
      <c r="FH36" s="256"/>
      <c r="FI36" s="256"/>
      <c r="FJ36" s="256"/>
      <c r="FK36" s="126"/>
      <c r="FL36" s="126"/>
      <c r="FM36" s="126"/>
      <c r="FN36" s="126"/>
      <c r="FO36" s="957"/>
      <c r="FP36" s="49"/>
      <c r="FR36" s="1566"/>
      <c r="FS36" s="1566"/>
      <c r="FT36" s="126"/>
      <c r="FU36" s="2879"/>
      <c r="FV36" s="2880"/>
      <c r="FW36" s="2881"/>
      <c r="FX36" s="64"/>
      <c r="FY36" s="64"/>
      <c r="FZ36" s="64"/>
      <c r="GA36" s="64"/>
      <c r="GB36" s="64"/>
      <c r="GC36" s="64"/>
      <c r="GD36" s="64"/>
      <c r="GE36" s="64"/>
      <c r="GF36" s="64"/>
      <c r="GG36" s="64"/>
      <c r="GH36" s="64"/>
      <c r="GI36" s="64"/>
      <c r="GJ36" s="64"/>
      <c r="GK36" s="64"/>
      <c r="GL36" s="64"/>
      <c r="GM36" s="64"/>
      <c r="GN36" s="64"/>
      <c r="GO36" s="64"/>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row>
    <row r="37" spans="1:255" s="1565" customFormat="1" ht="13.5" customHeight="1">
      <c r="A37" s="1023"/>
      <c r="B37" s="1023"/>
      <c r="C37" s="1023"/>
      <c r="D37" s="1549"/>
      <c r="E37" s="1549"/>
      <c r="F37" s="1549"/>
      <c r="G37" s="1549"/>
      <c r="H37" s="1549"/>
      <c r="I37" s="1549"/>
      <c r="J37" s="1549"/>
      <c r="K37" s="1549"/>
      <c r="L37" s="1549"/>
      <c r="M37" s="1549"/>
      <c r="N37" s="1549"/>
      <c r="O37" s="1549"/>
      <c r="P37" s="1549"/>
      <c r="Q37" s="1550"/>
      <c r="R37" s="1550"/>
      <c r="S37" s="1550"/>
      <c r="T37" s="2"/>
      <c r="U37" s="233"/>
      <c r="V37" s="216"/>
      <c r="W37" s="218"/>
      <c r="X37" s="218"/>
      <c r="Y37" s="216"/>
      <c r="Z37" s="216"/>
      <c r="AA37" s="252"/>
      <c r="AB37" s="252"/>
      <c r="AC37" s="252"/>
      <c r="AD37" s="253"/>
      <c r="AE37" s="252"/>
      <c r="AF37" s="252"/>
      <c r="AG37" s="252"/>
      <c r="AH37" s="252"/>
      <c r="AI37" s="252"/>
      <c r="AJ37" s="252"/>
      <c r="AK37" s="253"/>
      <c r="AL37" s="252"/>
      <c r="AM37" s="252"/>
      <c r="AN37" s="252"/>
      <c r="AO37" s="252"/>
      <c r="AP37" s="252"/>
      <c r="AQ37" s="252"/>
      <c r="AR37" s="252"/>
      <c r="AS37" s="252"/>
      <c r="AT37" s="252"/>
      <c r="AU37" s="252"/>
      <c r="AV37" s="1025"/>
      <c r="AW37" s="355"/>
      <c r="AX37" s="217"/>
      <c r="AY37" s="305"/>
      <c r="AZ37" s="249"/>
      <c r="BA37" s="221"/>
      <c r="BB37" s="1551"/>
      <c r="BC37" s="216"/>
      <c r="BD37" s="1552"/>
      <c r="BE37" s="1263"/>
      <c r="BF37" s="249"/>
      <c r="BG37" s="252"/>
      <c r="BH37" s="1543"/>
      <c r="BI37" s="1544"/>
      <c r="BJ37" s="1543"/>
      <c r="BK37" s="1545"/>
      <c r="BL37" s="260"/>
      <c r="BM37" s="216"/>
      <c r="BN37" s="1553"/>
      <c r="BO37" s="1553"/>
      <c r="BP37" s="1554"/>
      <c r="BQ37" s="216"/>
      <c r="BR37" s="1026"/>
      <c r="BS37" s="249"/>
      <c r="BT37" s="260"/>
      <c r="BU37" s="1026"/>
      <c r="BV37" s="249"/>
      <c r="BW37" s="260"/>
      <c r="BX37" s="1026"/>
      <c r="BY37" s="249"/>
      <c r="BZ37" s="260"/>
      <c r="CA37" s="1026"/>
      <c r="CB37" s="249"/>
      <c r="CC37" s="260"/>
      <c r="CD37" s="1026"/>
      <c r="CE37" s="1269"/>
      <c r="CF37" s="1270"/>
      <c r="CG37" s="1026"/>
      <c r="CH37" s="249"/>
      <c r="CI37" s="260"/>
      <c r="CJ37" s="1027"/>
      <c r="CK37" s="249"/>
      <c r="CL37" s="260"/>
      <c r="CM37" s="1555"/>
      <c r="CN37" s="249"/>
      <c r="CO37" s="216"/>
      <c r="CP37" s="1029"/>
      <c r="CQ37" s="249"/>
      <c r="CR37" s="216"/>
      <c r="CS37" s="1029"/>
      <c r="CT37" s="249"/>
      <c r="CU37" s="216"/>
      <c r="CV37" s="1027"/>
      <c r="CW37" s="249"/>
      <c r="CX37" s="221"/>
      <c r="CY37" s="1027"/>
      <c r="CZ37" s="249"/>
      <c r="DA37" s="216"/>
      <c r="DB37" s="1027"/>
      <c r="DC37" s="249"/>
      <c r="DD37"/>
      <c r="DE37" s="1027"/>
      <c r="DF37" s="1556"/>
      <c r="DG37" s="1557"/>
      <c r="DH37" s="1027"/>
      <c r="DI37" s="1556"/>
      <c r="DJ37" s="1558"/>
      <c r="DK37" s="1559"/>
      <c r="DL37" s="249"/>
      <c r="DM37" s="221"/>
      <c r="DN37" s="313"/>
      <c r="DO37" s="249"/>
      <c r="DP37" s="216"/>
      <c r="DQ37" s="313"/>
      <c r="DR37" s="249"/>
      <c r="DS37" s="221"/>
      <c r="DT37" s="313"/>
      <c r="DU37" s="249"/>
      <c r="DV37" s="221"/>
      <c r="DW37" s="1560"/>
      <c r="DX37" s="1561"/>
      <c r="DY37" s="1562"/>
      <c r="DZ37" s="350"/>
      <c r="EA37" s="249"/>
      <c r="EB37" s="221"/>
      <c r="EC37" s="313"/>
      <c r="ED37" s="249"/>
      <c r="EE37" s="221"/>
      <c r="EF37" s="313"/>
      <c r="EG37" s="249"/>
      <c r="EH37" s="221"/>
      <c r="EI37" s="313"/>
      <c r="EJ37" s="249"/>
      <c r="EK37" s="216"/>
      <c r="EL37" s="1435"/>
      <c r="EM37" s="1619"/>
      <c r="EN37" s="1268"/>
      <c r="EO37" s="1563"/>
      <c r="EP37" s="1268"/>
      <c r="EQ37" s="1563"/>
      <c r="ER37" s="1268"/>
      <c r="ES37" s="1563"/>
      <c r="ET37" s="1268"/>
      <c r="EU37" s="1682"/>
      <c r="EV37" s="1683"/>
      <c r="EW37" s="1684"/>
      <c r="EX37" s="1685"/>
      <c r="EY37" s="1496"/>
      <c r="EZ37" s="252"/>
      <c r="FA37" s="395"/>
      <c r="FB37" s="223"/>
      <c r="FC37" s="1496"/>
      <c r="FD37" s="252"/>
      <c r="FE37" s="1564"/>
      <c r="FG37" s="256"/>
      <c r="FH37" s="256"/>
      <c r="FI37" s="256"/>
      <c r="FJ37" s="256"/>
      <c r="FK37" s="126"/>
      <c r="FL37" s="126"/>
      <c r="FM37" s="126"/>
      <c r="FN37" s="126"/>
      <c r="FO37" s="957"/>
      <c r="FP37" s="49"/>
      <c r="FR37" s="1566"/>
      <c r="FS37" s="1566"/>
      <c r="FT37" s="126"/>
      <c r="FU37" s="2879"/>
      <c r="FV37" s="2880"/>
      <c r="FW37" s="2881"/>
      <c r="FX37" s="64"/>
      <c r="FY37" s="64"/>
      <c r="FZ37" s="64"/>
      <c r="GA37" s="64"/>
      <c r="GB37" s="64"/>
      <c r="GC37" s="64"/>
      <c r="GD37" s="64"/>
      <c r="GE37" s="64"/>
      <c r="GF37" s="64"/>
      <c r="GG37" s="64"/>
      <c r="GH37" s="64"/>
      <c r="GI37" s="64"/>
      <c r="GJ37" s="64"/>
      <c r="GK37" s="64"/>
      <c r="GL37" s="64"/>
      <c r="GM37" s="64"/>
      <c r="GN37" s="64"/>
      <c r="GO37" s="64"/>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row>
    <row r="38" spans="1:255" s="1565" customFormat="1" ht="13.5" customHeight="1">
      <c r="A38" s="1023"/>
      <c r="B38" s="1023"/>
      <c r="C38" s="1023"/>
      <c r="D38" s="1549"/>
      <c r="E38" s="1549"/>
      <c r="F38" s="1549"/>
      <c r="G38" s="1549"/>
      <c r="H38" s="1549"/>
      <c r="I38" s="1549"/>
      <c r="J38" s="1549"/>
      <c r="K38" s="1549"/>
      <c r="L38" s="1549"/>
      <c r="M38" s="1549"/>
      <c r="N38" s="1549"/>
      <c r="O38" s="1549"/>
      <c r="P38" s="1549"/>
      <c r="Q38" s="1550"/>
      <c r="R38" s="1550"/>
      <c r="S38" s="1550"/>
      <c r="T38" s="2"/>
      <c r="U38" s="233"/>
      <c r="V38" s="216"/>
      <c r="W38" s="218"/>
      <c r="X38" s="218"/>
      <c r="Y38" s="216"/>
      <c r="Z38" s="216"/>
      <c r="AA38" s="252"/>
      <c r="AB38" s="252"/>
      <c r="AC38" s="252"/>
      <c r="AD38" s="253"/>
      <c r="AE38" s="252"/>
      <c r="AF38" s="252"/>
      <c r="AG38" s="252"/>
      <c r="AH38" s="252"/>
      <c r="AI38" s="252"/>
      <c r="AJ38" s="252"/>
      <c r="AK38" s="253"/>
      <c r="AL38" s="252"/>
      <c r="AM38" s="252"/>
      <c r="AN38" s="252"/>
      <c r="AO38" s="252"/>
      <c r="AP38" s="252"/>
      <c r="AQ38" s="252"/>
      <c r="AR38" s="252"/>
      <c r="AS38" s="252"/>
      <c r="AT38" s="252"/>
      <c r="AU38" s="252"/>
      <c r="AV38" s="1025"/>
      <c r="AW38" s="355"/>
      <c r="AX38" s="217"/>
      <c r="AY38" s="305"/>
      <c r="AZ38" s="249"/>
      <c r="BA38" s="221"/>
      <c r="BB38" s="1551"/>
      <c r="BC38" s="216"/>
      <c r="BD38" s="1552"/>
      <c r="BE38" s="1263"/>
      <c r="BF38" s="249"/>
      <c r="BG38" s="252"/>
      <c r="BH38" s="1543"/>
      <c r="BI38" s="1544"/>
      <c r="BJ38" s="1543"/>
      <c r="BK38" s="1545"/>
      <c r="BL38" s="260"/>
      <c r="BM38" s="216"/>
      <c r="BN38" s="1553"/>
      <c r="BO38" s="1553"/>
      <c r="BP38" s="1554"/>
      <c r="BQ38" s="216"/>
      <c r="BR38" s="1026"/>
      <c r="BS38" s="249"/>
      <c r="BT38" s="260"/>
      <c r="BU38" s="1026"/>
      <c r="BV38" s="249"/>
      <c r="BW38" s="260"/>
      <c r="BX38" s="1026"/>
      <c r="BY38" s="249"/>
      <c r="BZ38" s="260"/>
      <c r="CA38" s="1026"/>
      <c r="CB38" s="249"/>
      <c r="CC38" s="260"/>
      <c r="CD38" s="1026"/>
      <c r="CE38" s="1269"/>
      <c r="CF38" s="1270"/>
      <c r="CG38" s="1026"/>
      <c r="CH38" s="249"/>
      <c r="CI38" s="260"/>
      <c r="CJ38" s="1027"/>
      <c r="CK38" s="249"/>
      <c r="CL38" s="260"/>
      <c r="CM38" s="1555"/>
      <c r="CN38" s="249"/>
      <c r="CO38" s="216"/>
      <c r="CP38" s="1029"/>
      <c r="CQ38" s="249"/>
      <c r="CR38" s="216"/>
      <c r="CS38" s="1029"/>
      <c r="CT38" s="249"/>
      <c r="CU38" s="216"/>
      <c r="CV38" s="1027"/>
      <c r="CW38" s="249"/>
      <c r="CX38" s="221"/>
      <c r="CY38" s="1027"/>
      <c r="CZ38" s="249"/>
      <c r="DA38" s="216"/>
      <c r="DB38" s="1027"/>
      <c r="DC38" s="249"/>
      <c r="DD38"/>
      <c r="DE38" s="1027"/>
      <c r="DF38" s="1556"/>
      <c r="DG38" s="1557"/>
      <c r="DH38" s="1027"/>
      <c r="DI38" s="1556"/>
      <c r="DJ38" s="1558"/>
      <c r="DK38" s="1559"/>
      <c r="DL38" s="249"/>
      <c r="DM38" s="221"/>
      <c r="DN38" s="313"/>
      <c r="DO38" s="249"/>
      <c r="DP38" s="216"/>
      <c r="DQ38" s="313"/>
      <c r="DR38" s="249"/>
      <c r="DS38" s="221"/>
      <c r="DT38" s="313"/>
      <c r="DU38" s="249"/>
      <c r="DV38" s="221"/>
      <c r="DW38" s="1560"/>
      <c r="DX38" s="1561"/>
      <c r="DY38" s="1562"/>
      <c r="DZ38" s="350"/>
      <c r="EA38" s="249"/>
      <c r="EB38" s="221"/>
      <c r="EC38" s="313"/>
      <c r="ED38" s="249"/>
      <c r="EE38" s="221"/>
      <c r="EF38" s="313"/>
      <c r="EG38" s="249"/>
      <c r="EH38" s="221"/>
      <c r="EI38" s="313"/>
      <c r="EJ38" s="249"/>
      <c r="EK38" s="216"/>
      <c r="EL38" s="1435"/>
      <c r="EM38" s="1619"/>
      <c r="EN38" s="1268"/>
      <c r="EO38" s="1563"/>
      <c r="EP38" s="1268"/>
      <c r="EQ38" s="1563"/>
      <c r="ER38" s="1268"/>
      <c r="ES38" s="1563"/>
      <c r="ET38" s="1268"/>
      <c r="EU38" s="1682"/>
      <c r="EV38" s="1683"/>
      <c r="EW38" s="1684"/>
      <c r="EX38" s="1685"/>
      <c r="EY38" s="1496"/>
      <c r="EZ38" s="252"/>
      <c r="FA38" s="395"/>
      <c r="FB38" s="223"/>
      <c r="FC38" s="1496"/>
      <c r="FD38" s="252"/>
      <c r="FE38" s="1564"/>
      <c r="FG38" s="256"/>
      <c r="FH38" s="256"/>
      <c r="FI38" s="256"/>
      <c r="FJ38" s="256"/>
      <c r="FK38" s="126"/>
      <c r="FL38" s="126"/>
      <c r="FM38" s="126"/>
      <c r="FN38" s="126"/>
      <c r="FO38" s="957"/>
      <c r="FP38" s="49"/>
      <c r="FR38" s="1566"/>
      <c r="FS38" s="1566"/>
      <c r="FT38" s="126"/>
      <c r="FU38" s="2879"/>
      <c r="FV38" s="2880"/>
      <c r="FW38" s="2881"/>
      <c r="FX38" s="64"/>
      <c r="FY38" s="64"/>
      <c r="FZ38" s="64"/>
      <c r="GA38" s="64"/>
      <c r="GB38" s="64"/>
      <c r="GC38" s="64"/>
      <c r="GD38" s="64"/>
      <c r="GE38" s="64"/>
      <c r="GF38" s="64"/>
      <c r="GG38" s="64"/>
      <c r="GH38" s="64"/>
      <c r="GI38" s="64"/>
      <c r="GJ38" s="64"/>
      <c r="GK38" s="64"/>
      <c r="GL38" s="64"/>
      <c r="GM38" s="64"/>
      <c r="GN38" s="64"/>
      <c r="GO38" s="64"/>
      <c r="GP38" s="64"/>
      <c r="GQ38" s="64"/>
      <c r="GR38" s="64"/>
      <c r="GS38" s="64"/>
      <c r="GT38" s="64"/>
      <c r="GU38" s="64"/>
      <c r="GV38" s="64"/>
      <c r="GW38" s="64"/>
      <c r="GX38" s="64"/>
      <c r="GY38" s="64"/>
      <c r="GZ38" s="64"/>
      <c r="HA38" s="64"/>
      <c r="HB38" s="64"/>
      <c r="HC38" s="64"/>
      <c r="HD38" s="64"/>
      <c r="HE38" s="64"/>
      <c r="HF38" s="64"/>
      <c r="HG38" s="64"/>
      <c r="HH38" s="64"/>
      <c r="HI38" s="64"/>
      <c r="HJ38" s="64"/>
      <c r="HK38" s="64"/>
      <c r="HL38" s="64"/>
      <c r="HM38" s="64"/>
      <c r="HN38" s="64"/>
      <c r="HO38" s="64"/>
      <c r="HP38" s="64"/>
      <c r="HQ38" s="64"/>
      <c r="HR38" s="64"/>
      <c r="HS38" s="64"/>
      <c r="HT38" s="64"/>
      <c r="HU38" s="64"/>
      <c r="HV38" s="64"/>
      <c r="HW38" s="64"/>
      <c r="HX38" s="64"/>
      <c r="HY38" s="64"/>
      <c r="HZ38" s="64"/>
      <c r="IA38" s="64"/>
      <c r="IB38" s="64"/>
      <c r="IC38" s="64"/>
      <c r="ID38" s="64"/>
      <c r="IE38" s="64"/>
      <c r="IF38" s="64"/>
      <c r="IG38" s="64"/>
      <c r="IH38" s="64"/>
      <c r="II38" s="64"/>
      <c r="IJ38" s="64"/>
      <c r="IK38" s="64"/>
      <c r="IL38" s="64"/>
      <c r="IM38" s="64"/>
      <c r="IN38" s="64"/>
      <c r="IO38" s="64"/>
      <c r="IP38" s="64"/>
      <c r="IQ38" s="64"/>
      <c r="IR38" s="64"/>
      <c r="IS38" s="64"/>
      <c r="IT38" s="64"/>
      <c r="IU38" s="64"/>
    </row>
    <row r="39" spans="1:255" s="1565" customFormat="1" ht="13.5" customHeight="1">
      <c r="A39" s="1023"/>
      <c r="B39" s="1023"/>
      <c r="C39" s="1023"/>
      <c r="D39" s="1549"/>
      <c r="E39" s="1549"/>
      <c r="F39" s="1549"/>
      <c r="G39" s="1549"/>
      <c r="H39" s="1549"/>
      <c r="I39" s="1549"/>
      <c r="J39" s="1549"/>
      <c r="K39" s="1549"/>
      <c r="L39" s="1549"/>
      <c r="M39" s="1549"/>
      <c r="N39" s="1549"/>
      <c r="O39" s="1549"/>
      <c r="P39" s="1549"/>
      <c r="Q39" s="1550"/>
      <c r="R39" s="1550"/>
      <c r="S39" s="1550"/>
      <c r="T39" s="2"/>
      <c r="U39" s="233"/>
      <c r="V39" s="216"/>
      <c r="W39" s="218"/>
      <c r="X39" s="218"/>
      <c r="Y39" s="216"/>
      <c r="Z39" s="216"/>
      <c r="AA39" s="252"/>
      <c r="AB39" s="252"/>
      <c r="AC39" s="252"/>
      <c r="AD39" s="253"/>
      <c r="AE39" s="252"/>
      <c r="AF39" s="252"/>
      <c r="AG39" s="252"/>
      <c r="AH39" s="252"/>
      <c r="AI39" s="252"/>
      <c r="AJ39" s="252"/>
      <c r="AK39" s="253"/>
      <c r="AL39" s="252"/>
      <c r="AM39" s="252"/>
      <c r="AN39" s="252"/>
      <c r="AO39" s="252"/>
      <c r="AP39" s="252"/>
      <c r="AQ39" s="252"/>
      <c r="AR39" s="252"/>
      <c r="AS39" s="252"/>
      <c r="AT39" s="252"/>
      <c r="AU39" s="252"/>
      <c r="AV39" s="1025"/>
      <c r="AW39" s="355"/>
      <c r="AX39" s="217"/>
      <c r="AY39" s="305"/>
      <c r="AZ39" s="249"/>
      <c r="BA39" s="221"/>
      <c r="BB39" s="1551"/>
      <c r="BC39" s="216"/>
      <c r="BD39" s="1552"/>
      <c r="BE39" s="1263"/>
      <c r="BF39" s="249"/>
      <c r="BG39" s="252"/>
      <c r="BH39" s="1543"/>
      <c r="BI39" s="1544"/>
      <c r="BJ39" s="1543"/>
      <c r="BK39" s="1545"/>
      <c r="BL39" s="260"/>
      <c r="BM39" s="216"/>
      <c r="BN39" s="1553"/>
      <c r="BO39" s="1553"/>
      <c r="BP39" s="1554"/>
      <c r="BQ39" s="216"/>
      <c r="BR39" s="1026"/>
      <c r="BS39" s="249"/>
      <c r="BT39" s="260"/>
      <c r="BU39" s="1026"/>
      <c r="BV39" s="249"/>
      <c r="BW39" s="260"/>
      <c r="BX39" s="1026"/>
      <c r="BY39" s="249"/>
      <c r="BZ39" s="260"/>
      <c r="CA39" s="1026"/>
      <c r="CB39" s="249"/>
      <c r="CC39" s="260"/>
      <c r="CD39" s="1026"/>
      <c r="CE39" s="1269"/>
      <c r="CF39" s="1270"/>
      <c r="CG39" s="1026"/>
      <c r="CH39" s="249"/>
      <c r="CI39" s="260"/>
      <c r="CJ39" s="1027"/>
      <c r="CK39" s="249"/>
      <c r="CL39" s="260"/>
      <c r="CM39" s="1555"/>
      <c r="CN39" s="249"/>
      <c r="CO39" s="216"/>
      <c r="CP39" s="1029"/>
      <c r="CQ39" s="249"/>
      <c r="CR39" s="216"/>
      <c r="CS39" s="1029"/>
      <c r="CT39" s="249"/>
      <c r="CU39" s="216"/>
      <c r="CV39" s="1027"/>
      <c r="CW39" s="249"/>
      <c r="CX39" s="221"/>
      <c r="CY39" s="1027"/>
      <c r="CZ39" s="249"/>
      <c r="DA39" s="216"/>
      <c r="DB39" s="1027"/>
      <c r="DC39" s="249"/>
      <c r="DD39"/>
      <c r="DE39" s="1027"/>
      <c r="DF39" s="1556"/>
      <c r="DG39" s="1557"/>
      <c r="DH39" s="1027"/>
      <c r="DI39" s="1556"/>
      <c r="DJ39" s="1558"/>
      <c r="DK39" s="1559"/>
      <c r="DL39" s="249"/>
      <c r="DM39" s="221"/>
      <c r="DN39" s="313"/>
      <c r="DO39" s="249"/>
      <c r="DP39" s="216"/>
      <c r="DQ39" s="313"/>
      <c r="DR39" s="249"/>
      <c r="DS39" s="221"/>
      <c r="DT39" s="313"/>
      <c r="DU39" s="249"/>
      <c r="DV39" s="221"/>
      <c r="DW39" s="1560"/>
      <c r="DX39" s="1561"/>
      <c r="DY39" s="1562"/>
      <c r="DZ39" s="350"/>
      <c r="EA39" s="249"/>
      <c r="EB39" s="221"/>
      <c r="EC39" s="313"/>
      <c r="ED39" s="249"/>
      <c r="EE39" s="221"/>
      <c r="EF39" s="313"/>
      <c r="EG39" s="249"/>
      <c r="EH39" s="221"/>
      <c r="EI39" s="313"/>
      <c r="EJ39" s="249"/>
      <c r="EK39" s="216"/>
      <c r="EL39" s="1435"/>
      <c r="EM39" s="1619"/>
      <c r="EN39" s="1268"/>
      <c r="EO39" s="1563"/>
      <c r="EP39" s="1268"/>
      <c r="EQ39" s="1563"/>
      <c r="ER39" s="1268"/>
      <c r="ES39" s="1563"/>
      <c r="ET39" s="1268"/>
      <c r="EU39" s="1682"/>
      <c r="EV39" s="1683"/>
      <c r="EW39" s="1684"/>
      <c r="EX39" s="1685"/>
      <c r="EY39" s="1496"/>
      <c r="EZ39" s="252"/>
      <c r="FA39" s="395"/>
      <c r="FB39" s="223"/>
      <c r="FC39" s="1496"/>
      <c r="FD39" s="252"/>
      <c r="FE39" s="1564"/>
      <c r="FG39" s="256"/>
      <c r="FH39" s="256"/>
      <c r="FI39" s="256"/>
      <c r="FJ39" s="256"/>
      <c r="FK39" s="126"/>
      <c r="FL39" s="126"/>
      <c r="FM39" s="126"/>
      <c r="FN39" s="126"/>
      <c r="FO39" s="957"/>
      <c r="FP39" s="49"/>
      <c r="FR39" s="1566"/>
      <c r="FS39" s="1566"/>
      <c r="FT39" s="126"/>
      <c r="FU39" s="2879"/>
      <c r="FV39" s="2880"/>
      <c r="FW39" s="2881"/>
      <c r="FX39" s="64"/>
      <c r="FY39" s="64"/>
      <c r="FZ39" s="64"/>
      <c r="GA39" s="64"/>
      <c r="GB39" s="64"/>
      <c r="GC39" s="64"/>
      <c r="GD39" s="64"/>
      <c r="GE39" s="64"/>
      <c r="GF39" s="64"/>
      <c r="GG39" s="64"/>
      <c r="GH39" s="64"/>
      <c r="GI39" s="64"/>
      <c r="GJ39" s="64"/>
      <c r="GK39" s="64"/>
      <c r="GL39" s="64"/>
      <c r="GM39" s="64"/>
      <c r="GN39" s="64"/>
      <c r="GO39" s="64"/>
      <c r="GP39" s="64"/>
      <c r="GQ39" s="64"/>
      <c r="GR39" s="64"/>
      <c r="GS39" s="64"/>
      <c r="GT39" s="64"/>
      <c r="GU39" s="64"/>
      <c r="GV39" s="64"/>
      <c r="GW39" s="64"/>
      <c r="GX39" s="64"/>
      <c r="GY39" s="64"/>
      <c r="GZ39" s="64"/>
      <c r="HA39" s="64"/>
      <c r="HB39" s="64"/>
      <c r="HC39" s="64"/>
      <c r="HD39" s="64"/>
      <c r="HE39" s="64"/>
      <c r="HF39" s="64"/>
      <c r="HG39" s="64"/>
      <c r="HH39" s="64"/>
      <c r="HI39" s="64"/>
      <c r="HJ39" s="64"/>
      <c r="HK39" s="64"/>
      <c r="HL39" s="64"/>
      <c r="HM39" s="64"/>
      <c r="HN39" s="64"/>
      <c r="HO39" s="64"/>
      <c r="HP39" s="64"/>
      <c r="HQ39" s="64"/>
      <c r="HR39" s="64"/>
      <c r="HS39" s="64"/>
      <c r="HT39" s="64"/>
      <c r="HU39" s="64"/>
      <c r="HV39" s="64"/>
      <c r="HW39" s="64"/>
      <c r="HX39" s="64"/>
      <c r="HY39" s="64"/>
      <c r="HZ39" s="64"/>
      <c r="IA39" s="64"/>
      <c r="IB39" s="64"/>
      <c r="IC39" s="64"/>
      <c r="ID39" s="64"/>
      <c r="IE39" s="64"/>
      <c r="IF39" s="64"/>
      <c r="IG39" s="64"/>
      <c r="IH39" s="64"/>
      <c r="II39" s="64"/>
      <c r="IJ39" s="64"/>
      <c r="IK39" s="64"/>
      <c r="IL39" s="64"/>
      <c r="IM39" s="64"/>
      <c r="IN39" s="64"/>
      <c r="IO39" s="64"/>
      <c r="IP39" s="64"/>
      <c r="IQ39" s="64"/>
      <c r="IR39" s="64"/>
      <c r="IS39" s="64"/>
      <c r="IT39" s="64"/>
      <c r="IU39" s="64"/>
    </row>
    <row r="40" spans="1:255" s="1565" customFormat="1" ht="13.5" customHeight="1">
      <c r="A40" s="1023"/>
      <c r="B40" s="1023"/>
      <c r="C40" s="1023"/>
      <c r="D40" s="1549"/>
      <c r="E40" s="1549"/>
      <c r="F40" s="1549"/>
      <c r="G40" s="1549"/>
      <c r="H40" s="1549"/>
      <c r="I40" s="1549"/>
      <c r="J40" s="1549"/>
      <c r="K40" s="1549"/>
      <c r="L40" s="1549"/>
      <c r="M40" s="1549"/>
      <c r="N40" s="1549"/>
      <c r="O40" s="1549"/>
      <c r="P40" s="1549"/>
      <c r="Q40" s="1550"/>
      <c r="R40" s="1550"/>
      <c r="S40" s="1550"/>
      <c r="T40" s="2"/>
      <c r="U40" s="233"/>
      <c r="V40" s="216"/>
      <c r="W40" s="218"/>
      <c r="X40" s="218"/>
      <c r="Y40" s="216"/>
      <c r="Z40" s="216"/>
      <c r="AA40" s="252"/>
      <c r="AB40" s="252"/>
      <c r="AC40" s="252"/>
      <c r="AD40" s="253"/>
      <c r="AE40" s="252"/>
      <c r="AF40" s="252"/>
      <c r="AG40" s="252"/>
      <c r="AH40" s="252"/>
      <c r="AI40" s="252"/>
      <c r="AJ40" s="252"/>
      <c r="AK40" s="253"/>
      <c r="AL40" s="252"/>
      <c r="AM40" s="252"/>
      <c r="AN40" s="252"/>
      <c r="AO40" s="252"/>
      <c r="AP40" s="252"/>
      <c r="AQ40" s="252"/>
      <c r="AR40" s="252"/>
      <c r="AS40" s="252"/>
      <c r="AT40" s="252"/>
      <c r="AU40" s="252"/>
      <c r="AV40" s="1025"/>
      <c r="AW40" s="355"/>
      <c r="AX40" s="217"/>
      <c r="AY40" s="305"/>
      <c r="AZ40" s="249"/>
      <c r="BA40" s="221"/>
      <c r="BB40" s="1551"/>
      <c r="BC40" s="216"/>
      <c r="BD40" s="1552"/>
      <c r="BE40" s="1263"/>
      <c r="BF40" s="249"/>
      <c r="BG40" s="252"/>
      <c r="BH40" s="1543"/>
      <c r="BI40" s="1544"/>
      <c r="BJ40" s="1543"/>
      <c r="BK40" s="1545"/>
      <c r="BL40" s="260"/>
      <c r="BM40" s="216"/>
      <c r="BN40" s="1553"/>
      <c r="BO40" s="1553"/>
      <c r="BP40" s="1554"/>
      <c r="BQ40" s="216"/>
      <c r="BR40" s="1026"/>
      <c r="BS40" s="249"/>
      <c r="BT40" s="260"/>
      <c r="BU40" s="1026"/>
      <c r="BV40" s="249"/>
      <c r="BW40" s="260"/>
      <c r="BX40" s="1026"/>
      <c r="BY40" s="249"/>
      <c r="BZ40" s="260"/>
      <c r="CA40" s="1026"/>
      <c r="CB40" s="249"/>
      <c r="CC40" s="260"/>
      <c r="CD40" s="1026"/>
      <c r="CE40" s="1269"/>
      <c r="CF40" s="1270"/>
      <c r="CG40" s="1026"/>
      <c r="CH40" s="249"/>
      <c r="CI40" s="260"/>
      <c r="CJ40" s="1027"/>
      <c r="CK40" s="249"/>
      <c r="CL40" s="260"/>
      <c r="CM40" s="1555"/>
      <c r="CN40" s="249"/>
      <c r="CO40" s="216"/>
      <c r="CP40" s="1029"/>
      <c r="CQ40" s="249"/>
      <c r="CR40" s="216"/>
      <c r="CS40" s="1029"/>
      <c r="CT40" s="249"/>
      <c r="CU40" s="216"/>
      <c r="CV40" s="1027"/>
      <c r="CW40" s="249"/>
      <c r="CX40" s="221"/>
      <c r="CY40" s="1027"/>
      <c r="CZ40" s="249"/>
      <c r="DA40" s="216"/>
      <c r="DB40" s="1027"/>
      <c r="DC40" s="249"/>
      <c r="DD40"/>
      <c r="DE40" s="1027"/>
      <c r="DF40" s="1556"/>
      <c r="DG40" s="1557"/>
      <c r="DH40" s="1027"/>
      <c r="DI40" s="1556"/>
      <c r="DJ40" s="1558"/>
      <c r="DK40" s="1559"/>
      <c r="DL40" s="249"/>
      <c r="DM40" s="221"/>
      <c r="DN40" s="313"/>
      <c r="DO40" s="249"/>
      <c r="DP40" s="216"/>
      <c r="DQ40" s="313"/>
      <c r="DR40" s="249"/>
      <c r="DS40" s="221"/>
      <c r="DT40" s="313"/>
      <c r="DU40" s="249"/>
      <c r="DV40" s="221"/>
      <c r="DW40" s="1560"/>
      <c r="DX40" s="1561"/>
      <c r="DY40" s="1562"/>
      <c r="DZ40" s="350"/>
      <c r="EA40" s="249"/>
      <c r="EB40" s="221"/>
      <c r="EC40" s="313"/>
      <c r="ED40" s="249"/>
      <c r="EE40" s="221"/>
      <c r="EF40" s="313"/>
      <c r="EG40" s="249"/>
      <c r="EH40" s="221"/>
      <c r="EI40" s="313"/>
      <c r="EJ40" s="249"/>
      <c r="EK40" s="216"/>
      <c r="EL40" s="1435"/>
      <c r="EM40" s="1619"/>
      <c r="EN40" s="1268"/>
      <c r="EO40" s="1563"/>
      <c r="EP40" s="1268"/>
      <c r="EQ40" s="1563"/>
      <c r="ER40" s="1268"/>
      <c r="ES40" s="1563"/>
      <c r="ET40" s="1268"/>
      <c r="EU40" s="1682"/>
      <c r="EV40" s="1683"/>
      <c r="EW40" s="1684"/>
      <c r="EX40" s="1685"/>
      <c r="EY40" s="1496"/>
      <c r="EZ40" s="252"/>
      <c r="FA40" s="395"/>
      <c r="FB40" s="223"/>
      <c r="FC40" s="1496"/>
      <c r="FD40" s="252"/>
      <c r="FE40" s="1564"/>
      <c r="FG40" s="256"/>
      <c r="FH40" s="256"/>
      <c r="FI40" s="256"/>
      <c r="FJ40" s="256"/>
      <c r="FK40" s="126"/>
      <c r="FL40" s="126"/>
      <c r="FM40" s="126"/>
      <c r="FN40" s="126"/>
      <c r="FO40" s="957"/>
      <c r="FP40" s="49"/>
      <c r="FR40" s="1566"/>
      <c r="FS40" s="1566"/>
      <c r="FT40" s="126"/>
      <c r="FU40" s="2879"/>
      <c r="FV40" s="2880"/>
      <c r="FW40" s="2881"/>
      <c r="FX40" s="64"/>
      <c r="FY40" s="64"/>
      <c r="FZ40" s="64"/>
      <c r="GA40" s="64"/>
      <c r="GB40" s="64"/>
      <c r="GC40" s="64"/>
      <c r="GD40" s="64"/>
      <c r="GE40" s="64"/>
      <c r="GF40" s="64"/>
      <c r="GG40" s="64"/>
      <c r="GH40" s="64"/>
      <c r="GI40" s="64"/>
      <c r="GJ40" s="64"/>
      <c r="GK40" s="64"/>
      <c r="GL40" s="64"/>
      <c r="GM40" s="64"/>
      <c r="GN40" s="64"/>
      <c r="GO40" s="64"/>
      <c r="GP40" s="64"/>
      <c r="GQ40" s="64"/>
      <c r="GR40" s="64"/>
      <c r="GS40" s="64"/>
      <c r="GT40" s="64"/>
      <c r="GU40" s="64"/>
      <c r="GV40" s="64"/>
      <c r="GW40" s="64"/>
      <c r="GX40" s="64"/>
      <c r="GY40" s="64"/>
      <c r="GZ40" s="64"/>
      <c r="HA40" s="64"/>
      <c r="HB40" s="64"/>
      <c r="HC40" s="64"/>
      <c r="HD40" s="64"/>
      <c r="HE40" s="64"/>
      <c r="HF40" s="64"/>
      <c r="HG40" s="64"/>
      <c r="HH40" s="64"/>
      <c r="HI40" s="64"/>
      <c r="HJ40" s="64"/>
      <c r="HK40" s="64"/>
      <c r="HL40" s="64"/>
      <c r="HM40" s="64"/>
      <c r="HN40" s="64"/>
      <c r="HO40" s="64"/>
      <c r="HP40" s="64"/>
      <c r="HQ40" s="64"/>
      <c r="HR40" s="64"/>
      <c r="HS40" s="64"/>
      <c r="HT40" s="64"/>
      <c r="HU40" s="64"/>
      <c r="HV40" s="64"/>
      <c r="HW40" s="64"/>
      <c r="HX40" s="64"/>
      <c r="HY40" s="64"/>
      <c r="HZ40" s="64"/>
      <c r="IA40" s="64"/>
      <c r="IB40" s="64"/>
      <c r="IC40" s="64"/>
      <c r="ID40" s="64"/>
      <c r="IE40" s="64"/>
      <c r="IF40" s="64"/>
      <c r="IG40" s="64"/>
      <c r="IH40" s="64"/>
      <c r="II40" s="64"/>
      <c r="IJ40" s="64"/>
      <c r="IK40" s="64"/>
      <c r="IL40" s="64"/>
      <c r="IM40" s="64"/>
      <c r="IN40" s="64"/>
      <c r="IO40" s="64"/>
      <c r="IP40" s="64"/>
      <c r="IQ40" s="64"/>
      <c r="IR40" s="64"/>
      <c r="IS40" s="64"/>
      <c r="IT40" s="64"/>
      <c r="IU40" s="64"/>
    </row>
    <row r="41" spans="1:255" s="1565" customFormat="1" ht="13.5" customHeight="1">
      <c r="A41" s="1023"/>
      <c r="B41" s="1023"/>
      <c r="C41" s="1023"/>
      <c r="D41" s="1549"/>
      <c r="E41" s="1549"/>
      <c r="F41" s="1549"/>
      <c r="G41" s="1549"/>
      <c r="H41" s="1549"/>
      <c r="I41" s="1549"/>
      <c r="J41" s="1549"/>
      <c r="K41" s="1549"/>
      <c r="L41" s="1549"/>
      <c r="M41" s="1549"/>
      <c r="N41" s="1549"/>
      <c r="O41" s="1549"/>
      <c r="P41" s="1549"/>
      <c r="Q41" s="1550"/>
      <c r="R41" s="1550"/>
      <c r="S41" s="1550"/>
      <c r="T41" s="2"/>
      <c r="U41" s="233"/>
      <c r="V41" s="216"/>
      <c r="W41" s="218"/>
      <c r="X41" s="218"/>
      <c r="Y41" s="216"/>
      <c r="Z41" s="216"/>
      <c r="AA41" s="252"/>
      <c r="AB41" s="252"/>
      <c r="AC41" s="252"/>
      <c r="AD41" s="253"/>
      <c r="AE41" s="252"/>
      <c r="AF41" s="252"/>
      <c r="AG41" s="252"/>
      <c r="AH41" s="252"/>
      <c r="AI41" s="252"/>
      <c r="AJ41" s="252"/>
      <c r="AK41" s="253"/>
      <c r="AL41" s="252"/>
      <c r="AM41" s="252"/>
      <c r="AN41" s="252"/>
      <c r="AO41" s="252"/>
      <c r="AP41" s="252"/>
      <c r="AQ41" s="252"/>
      <c r="AR41" s="252"/>
      <c r="AS41" s="252"/>
      <c r="AT41" s="252"/>
      <c r="AU41" s="252"/>
      <c r="AV41" s="1025"/>
      <c r="AW41" s="355"/>
      <c r="AX41" s="217"/>
      <c r="AY41" s="305"/>
      <c r="AZ41" s="249"/>
      <c r="BA41" s="221"/>
      <c r="BB41" s="1551"/>
      <c r="BC41" s="216"/>
      <c r="BD41" s="1552"/>
      <c r="BE41" s="1263"/>
      <c r="BF41" s="249"/>
      <c r="BG41" s="252"/>
      <c r="BH41" s="1543"/>
      <c r="BI41" s="1544"/>
      <c r="BJ41" s="1543"/>
      <c r="BK41" s="1545"/>
      <c r="BL41" s="260"/>
      <c r="BM41" s="216"/>
      <c r="BN41" s="1553"/>
      <c r="BO41" s="1553"/>
      <c r="BP41" s="1554"/>
      <c r="BQ41" s="216"/>
      <c r="BR41" s="1026"/>
      <c r="BS41" s="249"/>
      <c r="BT41" s="260"/>
      <c r="BU41" s="1026"/>
      <c r="BV41" s="249"/>
      <c r="BW41" s="260"/>
      <c r="BX41" s="1026"/>
      <c r="BY41" s="249"/>
      <c r="BZ41" s="260"/>
      <c r="CA41" s="1026"/>
      <c r="CB41" s="249"/>
      <c r="CC41" s="260"/>
      <c r="CD41" s="1026"/>
      <c r="CE41" s="1269"/>
      <c r="CF41" s="1270"/>
      <c r="CG41" s="1026"/>
      <c r="CH41" s="249"/>
      <c r="CI41" s="260"/>
      <c r="CJ41" s="1027"/>
      <c r="CK41" s="249"/>
      <c r="CL41" s="260"/>
      <c r="CM41" s="1555"/>
      <c r="CN41" s="249"/>
      <c r="CO41" s="216"/>
      <c r="CP41" s="1029"/>
      <c r="CQ41" s="249"/>
      <c r="CR41" s="216"/>
      <c r="CS41" s="1029"/>
      <c r="CT41" s="249"/>
      <c r="CU41" s="216"/>
      <c r="CV41" s="1027"/>
      <c r="CW41" s="249"/>
      <c r="CX41" s="221"/>
      <c r="CY41" s="1027"/>
      <c r="CZ41" s="249"/>
      <c r="DA41" s="216"/>
      <c r="DB41" s="1027"/>
      <c r="DC41" s="249"/>
      <c r="DD41"/>
      <c r="DE41" s="1027"/>
      <c r="DF41" s="1556"/>
      <c r="DG41" s="1557"/>
      <c r="DH41" s="1027"/>
      <c r="DI41" s="1556"/>
      <c r="DJ41" s="1558"/>
      <c r="DK41" s="1559"/>
      <c r="DL41" s="249"/>
      <c r="DM41" s="221"/>
      <c r="DN41" s="313"/>
      <c r="DO41" s="249"/>
      <c r="DP41" s="216"/>
      <c r="DQ41" s="313"/>
      <c r="DR41" s="249"/>
      <c r="DS41" s="221"/>
      <c r="DT41" s="313"/>
      <c r="DU41" s="249"/>
      <c r="DV41" s="221"/>
      <c r="DW41" s="1560"/>
      <c r="DX41" s="1561"/>
      <c r="DY41" s="1562"/>
      <c r="DZ41" s="350"/>
      <c r="EA41" s="249"/>
      <c r="EB41" s="221"/>
      <c r="EC41" s="313"/>
      <c r="ED41" s="249"/>
      <c r="EE41" s="221"/>
      <c r="EF41" s="313"/>
      <c r="EG41" s="249"/>
      <c r="EH41" s="221"/>
      <c r="EI41" s="313"/>
      <c r="EJ41" s="249"/>
      <c r="EK41" s="216"/>
      <c r="EL41" s="1435"/>
      <c r="EM41" s="1619"/>
      <c r="EN41" s="1268"/>
      <c r="EO41" s="1563"/>
      <c r="EP41" s="1268"/>
      <c r="EQ41" s="1563"/>
      <c r="ER41" s="1268"/>
      <c r="ES41" s="1563"/>
      <c r="ET41" s="1268"/>
      <c r="EU41" s="1682"/>
      <c r="EV41" s="1683"/>
      <c r="EW41" s="1684"/>
      <c r="EX41" s="1685"/>
      <c r="EY41" s="1496"/>
      <c r="EZ41" s="252"/>
      <c r="FA41" s="395"/>
      <c r="FB41" s="223"/>
      <c r="FC41" s="1496"/>
      <c r="FD41" s="252"/>
      <c r="FE41" s="1564"/>
      <c r="FG41" s="256"/>
      <c r="FH41" s="256"/>
      <c r="FI41" s="256"/>
      <c r="FJ41" s="256"/>
      <c r="FK41" s="126"/>
      <c r="FL41" s="126"/>
      <c r="FM41" s="126"/>
      <c r="FN41" s="126"/>
      <c r="FO41" s="957"/>
      <c r="FP41" s="49"/>
      <c r="FR41" s="1566"/>
      <c r="FS41" s="1566"/>
      <c r="FT41" s="126"/>
      <c r="FU41" s="2879"/>
      <c r="FV41" s="2880"/>
      <c r="FW41" s="2881"/>
      <c r="FX41" s="64"/>
      <c r="FY41" s="64"/>
      <c r="FZ41" s="64"/>
      <c r="GA41" s="64"/>
      <c r="GB41" s="64"/>
      <c r="GC41" s="64"/>
      <c r="GD41" s="64"/>
      <c r="GE41" s="64"/>
      <c r="GF41" s="64"/>
      <c r="GG41" s="64"/>
      <c r="GH41" s="64"/>
      <c r="GI41" s="64"/>
      <c r="GJ41" s="64"/>
      <c r="GK41" s="64"/>
      <c r="GL41" s="64"/>
      <c r="GM41" s="64"/>
      <c r="GN41" s="64"/>
      <c r="GO41" s="64"/>
      <c r="GP41" s="64"/>
      <c r="GQ41" s="64"/>
      <c r="GR41" s="64"/>
      <c r="GS41" s="64"/>
      <c r="GT41" s="64"/>
      <c r="GU41" s="64"/>
      <c r="GV41" s="64"/>
      <c r="GW41" s="64"/>
      <c r="GX41" s="64"/>
      <c r="GY41" s="64"/>
      <c r="GZ41" s="64"/>
      <c r="HA41" s="64"/>
      <c r="HB41" s="64"/>
      <c r="HC41" s="64"/>
      <c r="HD41" s="64"/>
      <c r="HE41" s="64"/>
      <c r="HF41" s="64"/>
      <c r="HG41" s="64"/>
      <c r="HH41" s="64"/>
      <c r="HI41" s="64"/>
      <c r="HJ41" s="64"/>
      <c r="HK41" s="64"/>
      <c r="HL41" s="64"/>
      <c r="HM41" s="64"/>
      <c r="HN41" s="64"/>
      <c r="HO41" s="64"/>
      <c r="HP41" s="64"/>
      <c r="HQ41" s="64"/>
      <c r="HR41" s="64"/>
      <c r="HS41" s="64"/>
      <c r="HT41" s="64"/>
      <c r="HU41" s="64"/>
      <c r="HV41" s="64"/>
      <c r="HW41" s="64"/>
      <c r="HX41" s="64"/>
      <c r="HY41" s="64"/>
      <c r="HZ41" s="64"/>
      <c r="IA41" s="64"/>
      <c r="IB41" s="64"/>
      <c r="IC41" s="64"/>
      <c r="ID41" s="64"/>
      <c r="IE41" s="64"/>
      <c r="IF41" s="64"/>
      <c r="IG41" s="64"/>
      <c r="IH41" s="64"/>
      <c r="II41" s="64"/>
      <c r="IJ41" s="64"/>
      <c r="IK41" s="64"/>
      <c r="IL41" s="64"/>
      <c r="IM41" s="64"/>
      <c r="IN41" s="64"/>
      <c r="IO41" s="64"/>
      <c r="IP41" s="64"/>
      <c r="IQ41" s="64"/>
      <c r="IR41" s="64"/>
      <c r="IS41" s="64"/>
      <c r="IT41" s="64"/>
      <c r="IU41" s="64"/>
    </row>
    <row r="42" spans="1:255" s="1565" customFormat="1" ht="13.5" customHeight="1">
      <c r="A42" s="1023"/>
      <c r="B42" s="1023"/>
      <c r="C42" s="1023"/>
      <c r="D42" s="1549"/>
      <c r="E42" s="1549"/>
      <c r="F42" s="1549"/>
      <c r="G42" s="1549"/>
      <c r="H42" s="1549"/>
      <c r="I42" s="1549"/>
      <c r="J42" s="1549"/>
      <c r="K42" s="1549"/>
      <c r="L42" s="1549"/>
      <c r="M42" s="1549"/>
      <c r="N42" s="1549"/>
      <c r="O42" s="1549"/>
      <c r="P42" s="1549"/>
      <c r="Q42" s="1550"/>
      <c r="R42" s="1550"/>
      <c r="S42" s="1550"/>
      <c r="T42" s="2"/>
      <c r="U42" s="233"/>
      <c r="V42" s="216"/>
      <c r="W42" s="218"/>
      <c r="X42" s="218"/>
      <c r="Y42" s="216"/>
      <c r="Z42" s="216"/>
      <c r="AA42" s="252"/>
      <c r="AB42" s="252"/>
      <c r="AC42" s="252"/>
      <c r="AD42" s="253"/>
      <c r="AE42" s="252"/>
      <c r="AF42" s="252"/>
      <c r="AG42" s="252"/>
      <c r="AH42" s="252"/>
      <c r="AI42" s="252"/>
      <c r="AJ42" s="252"/>
      <c r="AK42" s="253"/>
      <c r="AL42" s="252"/>
      <c r="AM42" s="252"/>
      <c r="AN42" s="252"/>
      <c r="AO42" s="252"/>
      <c r="AP42" s="252"/>
      <c r="AQ42" s="252"/>
      <c r="AR42" s="252"/>
      <c r="AS42" s="252"/>
      <c r="AT42" s="252"/>
      <c r="AU42" s="252"/>
      <c r="AV42" s="1025"/>
      <c r="AW42" s="355"/>
      <c r="AX42" s="217"/>
      <c r="AY42" s="305"/>
      <c r="AZ42" s="249"/>
      <c r="BA42" s="221"/>
      <c r="BB42" s="1551"/>
      <c r="BC42" s="216"/>
      <c r="BD42" s="1552"/>
      <c r="BE42" s="1263"/>
      <c r="BF42" s="249"/>
      <c r="BG42" s="252"/>
      <c r="BH42" s="1543"/>
      <c r="BI42" s="1544"/>
      <c r="BJ42" s="1543"/>
      <c r="BK42" s="1545"/>
      <c r="BL42" s="260"/>
      <c r="BM42" s="216"/>
      <c r="BN42" s="1553"/>
      <c r="BO42" s="1553"/>
      <c r="BP42" s="1554"/>
      <c r="BQ42" s="216"/>
      <c r="BR42" s="1026"/>
      <c r="BS42" s="249"/>
      <c r="BT42" s="260"/>
      <c r="BU42" s="1026"/>
      <c r="BV42" s="249"/>
      <c r="BW42" s="260"/>
      <c r="BX42" s="1026"/>
      <c r="BY42" s="249"/>
      <c r="BZ42" s="260"/>
      <c r="CA42" s="1026"/>
      <c r="CB42" s="249"/>
      <c r="CC42" s="260"/>
      <c r="CD42" s="1026"/>
      <c r="CE42" s="1269"/>
      <c r="CF42" s="1270"/>
      <c r="CG42" s="1026"/>
      <c r="CH42" s="249"/>
      <c r="CI42" s="260"/>
      <c r="CJ42" s="1027"/>
      <c r="CK42" s="249"/>
      <c r="CL42" s="260"/>
      <c r="CM42" s="1555"/>
      <c r="CN42" s="249"/>
      <c r="CO42" s="216"/>
      <c r="CP42" s="1029"/>
      <c r="CQ42" s="249"/>
      <c r="CR42" s="216"/>
      <c r="CS42" s="1029"/>
      <c r="CT42" s="249"/>
      <c r="CU42" s="216"/>
      <c r="CV42" s="1027"/>
      <c r="CW42" s="249"/>
      <c r="CX42" s="221"/>
      <c r="CY42" s="1027"/>
      <c r="CZ42" s="249"/>
      <c r="DA42" s="216"/>
      <c r="DB42" s="1027"/>
      <c r="DC42" s="249"/>
      <c r="DD42"/>
      <c r="DE42" s="1027"/>
      <c r="DF42" s="1556"/>
      <c r="DG42" s="1557"/>
      <c r="DH42" s="1027"/>
      <c r="DI42" s="1556"/>
      <c r="DJ42" s="1558"/>
      <c r="DK42" s="1559"/>
      <c r="DL42" s="249"/>
      <c r="DM42" s="221"/>
      <c r="DN42" s="313"/>
      <c r="DO42" s="249"/>
      <c r="DP42" s="216"/>
      <c r="DQ42" s="313"/>
      <c r="DR42" s="249"/>
      <c r="DS42" s="221"/>
      <c r="DT42" s="313"/>
      <c r="DU42" s="249"/>
      <c r="DV42" s="221"/>
      <c r="DW42" s="1560"/>
      <c r="DX42" s="1561"/>
      <c r="DY42" s="1562"/>
      <c r="DZ42" s="350"/>
      <c r="EA42" s="249"/>
      <c r="EB42" s="221"/>
      <c r="EC42" s="313"/>
      <c r="ED42" s="249"/>
      <c r="EE42" s="221"/>
      <c r="EF42" s="313"/>
      <c r="EG42" s="249"/>
      <c r="EH42" s="221"/>
      <c r="EI42" s="313"/>
      <c r="EJ42" s="249"/>
      <c r="EK42" s="216"/>
      <c r="EL42" s="1435"/>
      <c r="EM42" s="1619"/>
      <c r="EN42" s="1268"/>
      <c r="EO42" s="1563"/>
      <c r="EP42" s="1268"/>
      <c r="EQ42" s="1563"/>
      <c r="ER42" s="1268"/>
      <c r="ES42" s="1563"/>
      <c r="ET42" s="1268"/>
      <c r="EU42" s="1682"/>
      <c r="EV42" s="1683"/>
      <c r="EW42" s="1684"/>
      <c r="EX42" s="1685"/>
      <c r="EY42" s="1496"/>
      <c r="EZ42" s="252"/>
      <c r="FA42" s="395"/>
      <c r="FB42" s="223"/>
      <c r="FC42" s="1496"/>
      <c r="FD42" s="252"/>
      <c r="FE42" s="1564"/>
      <c r="FG42" s="256"/>
      <c r="FH42" s="256"/>
      <c r="FI42" s="256"/>
      <c r="FJ42" s="256"/>
      <c r="FK42" s="126"/>
      <c r="FL42" s="126"/>
      <c r="FM42" s="126"/>
      <c r="FN42" s="126"/>
      <c r="FO42" s="957"/>
      <c r="FP42" s="49"/>
      <c r="FR42" s="1566"/>
      <c r="FS42" s="1566"/>
      <c r="FT42" s="126"/>
      <c r="FU42" s="2879"/>
      <c r="FV42" s="2880"/>
      <c r="FW42" s="2881"/>
      <c r="FX42" s="64"/>
      <c r="FY42" s="64"/>
      <c r="FZ42" s="64"/>
      <c r="GA42" s="64"/>
      <c r="GB42" s="64"/>
      <c r="GC42" s="64"/>
      <c r="GD42" s="64"/>
      <c r="GE42" s="64"/>
      <c r="GF42" s="64"/>
      <c r="GG42" s="64"/>
      <c r="GH42" s="64"/>
      <c r="GI42" s="64"/>
      <c r="GJ42" s="64"/>
      <c r="GK42" s="64"/>
      <c r="GL42" s="64"/>
      <c r="GM42" s="64"/>
      <c r="GN42" s="64"/>
      <c r="GO42" s="64"/>
      <c r="GP42" s="64"/>
      <c r="GQ42" s="64"/>
      <c r="GR42" s="64"/>
      <c r="GS42" s="64"/>
      <c r="GT42" s="64"/>
      <c r="GU42" s="64"/>
      <c r="GV42" s="64"/>
      <c r="GW42" s="64"/>
      <c r="GX42" s="64"/>
      <c r="GY42" s="64"/>
      <c r="GZ42" s="64"/>
      <c r="HA42" s="64"/>
      <c r="HB42" s="64"/>
      <c r="HC42" s="64"/>
      <c r="HD42" s="64"/>
      <c r="HE42" s="64"/>
      <c r="HF42" s="64"/>
      <c r="HG42" s="64"/>
      <c r="HH42" s="64"/>
      <c r="HI42" s="64"/>
      <c r="HJ42" s="64"/>
      <c r="HK42" s="64"/>
      <c r="HL42" s="64"/>
      <c r="HM42" s="64"/>
      <c r="HN42" s="64"/>
      <c r="HO42" s="64"/>
      <c r="HP42" s="64"/>
      <c r="HQ42" s="64"/>
      <c r="HR42" s="64"/>
      <c r="HS42" s="64"/>
      <c r="HT42" s="64"/>
      <c r="HU42" s="64"/>
      <c r="HV42" s="64"/>
      <c r="HW42" s="64"/>
      <c r="HX42" s="64"/>
      <c r="HY42" s="64"/>
      <c r="HZ42" s="64"/>
      <c r="IA42" s="64"/>
      <c r="IB42" s="64"/>
      <c r="IC42" s="64"/>
      <c r="ID42" s="64"/>
      <c r="IE42" s="64"/>
      <c r="IF42" s="64"/>
      <c r="IG42" s="64"/>
      <c r="IH42" s="64"/>
      <c r="II42" s="64"/>
      <c r="IJ42" s="64"/>
      <c r="IK42" s="64"/>
      <c r="IL42" s="64"/>
      <c r="IM42" s="64"/>
      <c r="IN42" s="64"/>
      <c r="IO42" s="64"/>
      <c r="IP42" s="64"/>
      <c r="IQ42" s="64"/>
      <c r="IR42" s="64"/>
      <c r="IS42" s="64"/>
      <c r="IT42" s="64"/>
      <c r="IU42" s="64"/>
    </row>
    <row r="43" spans="1:255" s="1565" customFormat="1" ht="13.5" customHeight="1">
      <c r="A43" s="1023"/>
      <c r="B43" s="1023"/>
      <c r="C43" s="1023"/>
      <c r="D43" s="1549"/>
      <c r="E43" s="1549"/>
      <c r="F43" s="1549"/>
      <c r="G43" s="1549"/>
      <c r="H43" s="1549"/>
      <c r="I43" s="1549"/>
      <c r="J43" s="1549"/>
      <c r="K43" s="1549"/>
      <c r="L43" s="1549"/>
      <c r="M43" s="1549"/>
      <c r="N43" s="1549"/>
      <c r="O43" s="1549"/>
      <c r="P43" s="1549"/>
      <c r="Q43" s="1550"/>
      <c r="R43" s="1550"/>
      <c r="S43" s="1550"/>
      <c r="T43" s="2"/>
      <c r="U43" s="233"/>
      <c r="V43" s="216"/>
      <c r="W43" s="218"/>
      <c r="X43" s="218"/>
      <c r="Y43" s="216"/>
      <c r="Z43" s="216"/>
      <c r="AA43" s="252"/>
      <c r="AB43" s="252"/>
      <c r="AC43" s="252"/>
      <c r="AD43" s="253"/>
      <c r="AE43" s="252"/>
      <c r="AF43" s="252"/>
      <c r="AG43" s="252"/>
      <c r="AH43" s="252"/>
      <c r="AI43" s="252"/>
      <c r="AJ43" s="252"/>
      <c r="AK43" s="253"/>
      <c r="AL43" s="252"/>
      <c r="AM43" s="252"/>
      <c r="AN43" s="252"/>
      <c r="AO43" s="252"/>
      <c r="AP43" s="252"/>
      <c r="AQ43" s="252"/>
      <c r="AR43" s="252"/>
      <c r="AS43" s="252"/>
      <c r="AT43" s="252"/>
      <c r="AU43" s="252"/>
      <c r="AV43" s="1025"/>
      <c r="AW43" s="355"/>
      <c r="AX43" s="217"/>
      <c r="AY43" s="305"/>
      <c r="AZ43" s="249"/>
      <c r="BA43" s="221"/>
      <c r="BB43" s="1551"/>
      <c r="BC43" s="216"/>
      <c r="BD43" s="1552"/>
      <c r="BE43" s="1263"/>
      <c r="BF43" s="249"/>
      <c r="BG43" s="252"/>
      <c r="BH43" s="1543"/>
      <c r="BI43" s="1544"/>
      <c r="BJ43" s="1543"/>
      <c r="BK43" s="1545"/>
      <c r="BL43" s="260"/>
      <c r="BM43" s="216"/>
      <c r="BN43" s="1553"/>
      <c r="BO43" s="1553"/>
      <c r="BP43" s="1554"/>
      <c r="BQ43" s="216"/>
      <c r="BR43" s="1026"/>
      <c r="BS43" s="249"/>
      <c r="BT43" s="260"/>
      <c r="BU43" s="1026"/>
      <c r="BV43" s="249"/>
      <c r="BW43" s="260"/>
      <c r="BX43" s="1026"/>
      <c r="BY43" s="249"/>
      <c r="BZ43" s="260"/>
      <c r="CA43" s="1026"/>
      <c r="CB43" s="249"/>
      <c r="CC43" s="260"/>
      <c r="CD43" s="1026"/>
      <c r="CE43" s="1269"/>
      <c r="CF43" s="1270"/>
      <c r="CG43" s="1026"/>
      <c r="CH43" s="249"/>
      <c r="CI43" s="260"/>
      <c r="CJ43" s="1027"/>
      <c r="CK43" s="249"/>
      <c r="CL43" s="260"/>
      <c r="CM43" s="1555"/>
      <c r="CN43" s="249"/>
      <c r="CO43" s="216"/>
      <c r="CP43" s="1029"/>
      <c r="CQ43" s="249"/>
      <c r="CR43" s="216"/>
      <c r="CS43" s="1029"/>
      <c r="CT43" s="249"/>
      <c r="CU43" s="216"/>
      <c r="CV43" s="1027"/>
      <c r="CW43" s="249"/>
      <c r="CX43" s="221"/>
      <c r="CY43" s="1027"/>
      <c r="CZ43" s="249"/>
      <c r="DA43" s="216"/>
      <c r="DB43" s="1027"/>
      <c r="DC43" s="249"/>
      <c r="DD43"/>
      <c r="DE43" s="1027"/>
      <c r="DF43" s="1556"/>
      <c r="DG43" s="1557"/>
      <c r="DH43" s="1027"/>
      <c r="DI43" s="1556"/>
      <c r="DJ43" s="1558"/>
      <c r="DK43" s="1559"/>
      <c r="DL43" s="249"/>
      <c r="DM43" s="221"/>
      <c r="DN43" s="313"/>
      <c r="DO43" s="249"/>
      <c r="DP43" s="216"/>
      <c r="DQ43" s="313"/>
      <c r="DR43" s="249"/>
      <c r="DS43" s="221"/>
      <c r="DT43" s="313"/>
      <c r="DU43" s="249"/>
      <c r="DV43" s="221"/>
      <c r="DW43" s="1560"/>
      <c r="DX43" s="1561"/>
      <c r="DY43" s="1562"/>
      <c r="DZ43" s="350"/>
      <c r="EA43" s="249"/>
      <c r="EB43" s="221"/>
      <c r="EC43" s="313"/>
      <c r="ED43" s="249"/>
      <c r="EE43" s="221"/>
      <c r="EF43" s="313"/>
      <c r="EG43" s="249"/>
      <c r="EH43" s="221"/>
      <c r="EI43" s="313"/>
      <c r="EJ43" s="249"/>
      <c r="EK43" s="216"/>
      <c r="EL43" s="1435"/>
      <c r="EM43" s="1619"/>
      <c r="EN43" s="1268"/>
      <c r="EO43" s="1563"/>
      <c r="EP43" s="1268"/>
      <c r="EQ43" s="1563"/>
      <c r="ER43" s="1268"/>
      <c r="ES43" s="1563"/>
      <c r="ET43" s="1268"/>
      <c r="EU43" s="1682"/>
      <c r="EV43" s="1683"/>
      <c r="EW43" s="1684"/>
      <c r="EX43" s="1685"/>
      <c r="EY43" s="1496"/>
      <c r="EZ43" s="252"/>
      <c r="FA43" s="395"/>
      <c r="FB43" s="223"/>
      <c r="FC43" s="1496"/>
      <c r="FD43" s="252"/>
      <c r="FE43" s="1564"/>
      <c r="FG43" s="256"/>
      <c r="FH43" s="256"/>
      <c r="FI43" s="256"/>
      <c r="FJ43" s="256"/>
      <c r="FK43" s="126"/>
      <c r="FL43" s="126"/>
      <c r="FM43" s="126"/>
      <c r="FN43" s="126"/>
      <c r="FO43" s="957"/>
      <c r="FP43" s="49"/>
      <c r="FR43" s="1566"/>
      <c r="FS43" s="1566"/>
      <c r="FT43" s="126"/>
      <c r="FU43" s="2879"/>
      <c r="FV43" s="2880"/>
      <c r="FW43" s="2881"/>
      <c r="FX43" s="64"/>
      <c r="FY43" s="64"/>
      <c r="FZ43" s="64"/>
      <c r="GA43" s="64"/>
      <c r="GB43" s="64"/>
      <c r="GC43" s="64"/>
      <c r="GD43" s="64"/>
      <c r="GE43" s="64"/>
      <c r="GF43" s="64"/>
      <c r="GG43" s="64"/>
      <c r="GH43" s="64"/>
      <c r="GI43" s="64"/>
      <c r="GJ43" s="64"/>
      <c r="GK43" s="64"/>
      <c r="GL43" s="64"/>
      <c r="GM43" s="64"/>
      <c r="GN43" s="64"/>
      <c r="GO43" s="64"/>
      <c r="GP43" s="64"/>
      <c r="GQ43" s="64"/>
      <c r="GR43" s="64"/>
      <c r="GS43" s="64"/>
      <c r="GT43" s="64"/>
      <c r="GU43" s="64"/>
      <c r="GV43" s="64"/>
      <c r="GW43" s="64"/>
      <c r="GX43" s="64"/>
      <c r="GY43" s="64"/>
      <c r="GZ43" s="64"/>
      <c r="HA43" s="64"/>
      <c r="HB43" s="64"/>
      <c r="HC43" s="64"/>
      <c r="HD43" s="64"/>
      <c r="HE43" s="64"/>
      <c r="HF43" s="64"/>
      <c r="HG43" s="64"/>
      <c r="HH43" s="64"/>
      <c r="HI43" s="64"/>
      <c r="HJ43" s="64"/>
      <c r="HK43" s="64"/>
      <c r="HL43" s="64"/>
      <c r="HM43" s="64"/>
      <c r="HN43" s="64"/>
      <c r="HO43" s="64"/>
      <c r="HP43" s="64"/>
      <c r="HQ43" s="64"/>
      <c r="HR43" s="64"/>
      <c r="HS43" s="64"/>
      <c r="HT43" s="64"/>
      <c r="HU43" s="64"/>
      <c r="HV43" s="64"/>
      <c r="HW43" s="64"/>
      <c r="HX43" s="64"/>
      <c r="HY43" s="64"/>
      <c r="HZ43" s="64"/>
      <c r="IA43" s="64"/>
      <c r="IB43" s="64"/>
      <c r="IC43" s="64"/>
      <c r="ID43" s="64"/>
      <c r="IE43" s="64"/>
      <c r="IF43" s="64"/>
      <c r="IG43" s="64"/>
      <c r="IH43" s="64"/>
      <c r="II43" s="64"/>
      <c r="IJ43" s="64"/>
      <c r="IK43" s="64"/>
      <c r="IL43" s="64"/>
      <c r="IM43" s="64"/>
      <c r="IN43" s="64"/>
      <c r="IO43" s="64"/>
      <c r="IP43" s="64"/>
      <c r="IQ43" s="64"/>
      <c r="IR43" s="64"/>
      <c r="IS43" s="64"/>
      <c r="IT43" s="64"/>
      <c r="IU43" s="64"/>
    </row>
    <row r="44" spans="1:255" s="1565" customFormat="1" ht="13.5" customHeight="1">
      <c r="A44" s="1023"/>
      <c r="B44" s="1023"/>
      <c r="C44" s="1023"/>
      <c r="D44" s="1549"/>
      <c r="E44" s="1549"/>
      <c r="F44" s="1549"/>
      <c r="G44" s="1549"/>
      <c r="H44" s="1549"/>
      <c r="I44" s="1549"/>
      <c r="J44" s="1549"/>
      <c r="K44" s="1549"/>
      <c r="L44" s="1549"/>
      <c r="M44" s="1549"/>
      <c r="N44" s="1549"/>
      <c r="O44" s="1549"/>
      <c r="P44" s="1549"/>
      <c r="Q44" s="1550"/>
      <c r="R44" s="1550"/>
      <c r="S44" s="1550"/>
      <c r="T44" s="2"/>
      <c r="U44" s="233"/>
      <c r="V44" s="216"/>
      <c r="W44" s="218"/>
      <c r="X44" s="218"/>
      <c r="Y44" s="216"/>
      <c r="Z44" s="216"/>
      <c r="AA44" s="252"/>
      <c r="AB44" s="252"/>
      <c r="AC44" s="252"/>
      <c r="AD44" s="253"/>
      <c r="AE44" s="252"/>
      <c r="AF44" s="252"/>
      <c r="AG44" s="252"/>
      <c r="AH44" s="252"/>
      <c r="AI44" s="252"/>
      <c r="AJ44" s="252"/>
      <c r="AK44" s="253"/>
      <c r="AL44" s="252"/>
      <c r="AM44" s="252"/>
      <c r="AN44" s="252"/>
      <c r="AO44" s="252"/>
      <c r="AP44" s="252"/>
      <c r="AQ44" s="252"/>
      <c r="AR44" s="252"/>
      <c r="AS44" s="252"/>
      <c r="AT44" s="252"/>
      <c r="AU44" s="252"/>
      <c r="AV44" s="1025"/>
      <c r="AW44" s="355"/>
      <c r="AX44" s="217"/>
      <c r="AY44" s="305"/>
      <c r="AZ44" s="249"/>
      <c r="BA44" s="221"/>
      <c r="BB44" s="1551"/>
      <c r="BC44" s="216"/>
      <c r="BD44" s="1552"/>
      <c r="BE44" s="1263"/>
      <c r="BF44" s="249"/>
      <c r="BG44" s="252"/>
      <c r="BH44" s="1543"/>
      <c r="BI44" s="1544"/>
      <c r="BJ44" s="1543"/>
      <c r="BK44" s="1545"/>
      <c r="BL44" s="260"/>
      <c r="BM44" s="216"/>
      <c r="BN44" s="1553"/>
      <c r="BO44" s="1553"/>
      <c r="BP44" s="1554"/>
      <c r="BQ44" s="216"/>
      <c r="BR44" s="1026"/>
      <c r="BS44" s="249"/>
      <c r="BT44" s="260"/>
      <c r="BU44" s="1026"/>
      <c r="BV44" s="249"/>
      <c r="BW44" s="260"/>
      <c r="BX44" s="1026"/>
      <c r="BY44" s="249"/>
      <c r="BZ44" s="260"/>
      <c r="CA44" s="1026"/>
      <c r="CB44" s="249"/>
      <c r="CC44" s="260"/>
      <c r="CD44" s="1026"/>
      <c r="CE44" s="1269"/>
      <c r="CF44" s="1270"/>
      <c r="CG44" s="1026"/>
      <c r="CH44" s="249"/>
      <c r="CI44" s="260"/>
      <c r="CJ44" s="1027"/>
      <c r="CK44" s="249"/>
      <c r="CL44" s="260"/>
      <c r="CM44" s="1555"/>
      <c r="CN44" s="249"/>
      <c r="CO44" s="216"/>
      <c r="CP44" s="1029"/>
      <c r="CQ44" s="249"/>
      <c r="CR44" s="216"/>
      <c r="CS44" s="1029"/>
      <c r="CT44" s="249"/>
      <c r="CU44" s="216"/>
      <c r="CV44" s="1027"/>
      <c r="CW44" s="249"/>
      <c r="CX44" s="221"/>
      <c r="CY44" s="1027"/>
      <c r="CZ44" s="249"/>
      <c r="DA44" s="216"/>
      <c r="DB44" s="1027"/>
      <c r="DC44" s="249"/>
      <c r="DD44"/>
      <c r="DE44" s="1027"/>
      <c r="DF44" s="1556"/>
      <c r="DG44" s="1557"/>
      <c r="DH44" s="1027"/>
      <c r="DI44" s="1556"/>
      <c r="DJ44" s="1558"/>
      <c r="DK44" s="1559"/>
      <c r="DL44" s="249"/>
      <c r="DM44" s="221"/>
      <c r="DN44" s="313"/>
      <c r="DO44" s="249"/>
      <c r="DP44" s="216"/>
      <c r="DQ44" s="313"/>
      <c r="DR44" s="249"/>
      <c r="DS44" s="221"/>
      <c r="DT44" s="313"/>
      <c r="DU44" s="249"/>
      <c r="DV44" s="221"/>
      <c r="DW44" s="1560"/>
      <c r="DX44" s="1561"/>
      <c r="DY44" s="1562"/>
      <c r="DZ44" s="350"/>
      <c r="EA44" s="249"/>
      <c r="EB44" s="221"/>
      <c r="EC44" s="313"/>
      <c r="ED44" s="249"/>
      <c r="EE44" s="221"/>
      <c r="EF44" s="313"/>
      <c r="EG44" s="249"/>
      <c r="EH44" s="221"/>
      <c r="EI44" s="313"/>
      <c r="EJ44" s="249"/>
      <c r="EK44" s="216"/>
      <c r="EL44" s="1435"/>
      <c r="EM44" s="1619"/>
      <c r="EN44" s="1268"/>
      <c r="EO44" s="1563"/>
      <c r="EP44" s="1268"/>
      <c r="EQ44" s="1563"/>
      <c r="ER44" s="1268"/>
      <c r="ES44" s="1563"/>
      <c r="ET44" s="1268"/>
      <c r="EU44" s="1682"/>
      <c r="EV44" s="1683"/>
      <c r="EW44" s="1684"/>
      <c r="EX44" s="1685"/>
      <c r="EY44" s="1496"/>
      <c r="EZ44" s="252"/>
      <c r="FA44" s="395"/>
      <c r="FB44" s="223"/>
      <c r="FC44" s="1496"/>
      <c r="FD44" s="252"/>
      <c r="FE44" s="1564"/>
      <c r="FG44" s="256"/>
      <c r="FH44" s="256"/>
      <c r="FI44" s="256"/>
      <c r="FJ44" s="256"/>
      <c r="FK44" s="126"/>
      <c r="FL44" s="126"/>
      <c r="FM44" s="126"/>
      <c r="FN44" s="126"/>
      <c r="FO44" s="957"/>
      <c r="FP44" s="49"/>
      <c r="FR44" s="1566"/>
      <c r="FS44" s="1566"/>
      <c r="FT44" s="126"/>
      <c r="FU44" s="2879"/>
      <c r="FV44" s="2880"/>
      <c r="FW44" s="2881"/>
      <c r="FX44" s="64"/>
      <c r="FY44" s="64"/>
      <c r="FZ44" s="64"/>
      <c r="GA44" s="64"/>
      <c r="GB44" s="64"/>
      <c r="GC44" s="64"/>
      <c r="GD44" s="64"/>
      <c r="GE44" s="64"/>
      <c r="GF44" s="64"/>
      <c r="GG44" s="64"/>
      <c r="GH44" s="64"/>
      <c r="GI44" s="64"/>
      <c r="GJ44" s="64"/>
      <c r="GK44" s="64"/>
      <c r="GL44" s="64"/>
      <c r="GM44" s="64"/>
      <c r="GN44" s="64"/>
      <c r="GO44" s="64"/>
      <c r="GP44" s="64"/>
      <c r="GQ44" s="64"/>
      <c r="GR44" s="64"/>
      <c r="GS44" s="64"/>
      <c r="GT44" s="64"/>
      <c r="GU44" s="64"/>
      <c r="GV44" s="64"/>
      <c r="GW44" s="64"/>
      <c r="GX44" s="64"/>
      <c r="GY44" s="64"/>
      <c r="GZ44" s="64"/>
      <c r="HA44" s="64"/>
      <c r="HB44" s="64"/>
      <c r="HC44" s="64"/>
      <c r="HD44" s="64"/>
      <c r="HE44" s="64"/>
      <c r="HF44" s="64"/>
      <c r="HG44" s="64"/>
      <c r="HH44" s="64"/>
      <c r="HI44" s="64"/>
      <c r="HJ44" s="64"/>
      <c r="HK44" s="64"/>
      <c r="HL44" s="64"/>
      <c r="HM44" s="64"/>
      <c r="HN44" s="64"/>
      <c r="HO44" s="64"/>
      <c r="HP44" s="64"/>
      <c r="HQ44" s="64"/>
      <c r="HR44" s="64"/>
      <c r="HS44" s="64"/>
      <c r="HT44" s="64"/>
      <c r="HU44" s="64"/>
      <c r="HV44" s="64"/>
      <c r="HW44" s="64"/>
      <c r="HX44" s="64"/>
      <c r="HY44" s="64"/>
      <c r="HZ44" s="64"/>
      <c r="IA44" s="64"/>
      <c r="IB44" s="64"/>
      <c r="IC44" s="64"/>
      <c r="ID44" s="64"/>
      <c r="IE44" s="64"/>
      <c r="IF44" s="64"/>
      <c r="IG44" s="64"/>
      <c r="IH44" s="64"/>
      <c r="II44" s="64"/>
      <c r="IJ44" s="64"/>
      <c r="IK44" s="64"/>
      <c r="IL44" s="64"/>
      <c r="IM44" s="64"/>
      <c r="IN44" s="64"/>
      <c r="IO44" s="64"/>
      <c r="IP44" s="64"/>
      <c r="IQ44" s="64"/>
      <c r="IR44" s="64"/>
      <c r="IS44" s="64"/>
      <c r="IT44" s="64"/>
      <c r="IU44" s="64"/>
    </row>
    <row r="45" spans="1:255" s="1565" customFormat="1" ht="13.5" customHeight="1">
      <c r="A45" s="1023"/>
      <c r="B45" s="1023"/>
      <c r="C45" s="1023"/>
      <c r="D45" s="1549"/>
      <c r="E45" s="1549"/>
      <c r="F45" s="1549"/>
      <c r="G45" s="1549"/>
      <c r="H45" s="1549"/>
      <c r="I45" s="1549"/>
      <c r="J45" s="1549"/>
      <c r="K45" s="1549"/>
      <c r="L45" s="1549"/>
      <c r="M45" s="1549"/>
      <c r="N45" s="1549"/>
      <c r="O45" s="1549"/>
      <c r="P45" s="1549"/>
      <c r="Q45" s="1550"/>
      <c r="R45" s="1550"/>
      <c r="S45" s="1550"/>
      <c r="T45" s="2"/>
      <c r="U45" s="233"/>
      <c r="V45" s="216"/>
      <c r="W45" s="218"/>
      <c r="X45" s="218"/>
      <c r="Y45" s="216"/>
      <c r="Z45" s="216"/>
      <c r="AA45" s="252"/>
      <c r="AB45" s="252"/>
      <c r="AC45" s="252"/>
      <c r="AD45" s="253"/>
      <c r="AE45" s="252"/>
      <c r="AF45" s="252"/>
      <c r="AG45" s="252"/>
      <c r="AH45" s="252"/>
      <c r="AI45" s="252"/>
      <c r="AJ45" s="252"/>
      <c r="AK45" s="253"/>
      <c r="AL45" s="252"/>
      <c r="AM45" s="252"/>
      <c r="AN45" s="252"/>
      <c r="AO45" s="252"/>
      <c r="AP45" s="252"/>
      <c r="AQ45" s="252"/>
      <c r="AR45" s="252"/>
      <c r="AS45" s="252"/>
      <c r="AT45" s="252"/>
      <c r="AU45" s="252"/>
      <c r="AV45" s="1025"/>
      <c r="AW45" s="355"/>
      <c r="AX45" s="217"/>
      <c r="AY45" s="305"/>
      <c r="AZ45" s="249"/>
      <c r="BA45" s="221"/>
      <c r="BB45" s="1551"/>
      <c r="BC45" s="216"/>
      <c r="BD45" s="1552"/>
      <c r="BE45" s="1263"/>
      <c r="BF45" s="249"/>
      <c r="BG45" s="252"/>
      <c r="BH45" s="1543"/>
      <c r="BI45" s="1544"/>
      <c r="BJ45" s="1543"/>
      <c r="BK45" s="1545"/>
      <c r="BL45" s="260"/>
      <c r="BM45" s="216"/>
      <c r="BN45" s="1553"/>
      <c r="BO45" s="1553"/>
      <c r="BP45" s="1554"/>
      <c r="BQ45" s="216"/>
      <c r="BR45" s="1026"/>
      <c r="BS45" s="249"/>
      <c r="BT45" s="260"/>
      <c r="BU45" s="1026"/>
      <c r="BV45" s="249"/>
      <c r="BW45" s="260"/>
      <c r="BX45" s="1026"/>
      <c r="BY45" s="249"/>
      <c r="BZ45" s="260"/>
      <c r="CA45" s="1026"/>
      <c r="CB45" s="249"/>
      <c r="CC45" s="260"/>
      <c r="CD45" s="1026"/>
      <c r="CE45" s="1269"/>
      <c r="CF45" s="1270"/>
      <c r="CG45" s="1026"/>
      <c r="CH45" s="249"/>
      <c r="CI45" s="260"/>
      <c r="CJ45" s="1027"/>
      <c r="CK45" s="249"/>
      <c r="CL45" s="260"/>
      <c r="CM45" s="1555"/>
      <c r="CN45" s="249"/>
      <c r="CO45" s="216"/>
      <c r="CP45" s="1029"/>
      <c r="CQ45" s="249"/>
      <c r="CR45" s="216"/>
      <c r="CS45" s="1029"/>
      <c r="CT45" s="249"/>
      <c r="CU45" s="216"/>
      <c r="CV45" s="1027"/>
      <c r="CW45" s="249"/>
      <c r="CX45" s="221"/>
      <c r="CY45" s="1027"/>
      <c r="CZ45" s="249"/>
      <c r="DA45" s="216"/>
      <c r="DB45" s="1027"/>
      <c r="DC45" s="249"/>
      <c r="DD45"/>
      <c r="DE45" s="1027"/>
      <c r="DF45" s="1556"/>
      <c r="DG45" s="1557"/>
      <c r="DH45" s="1027"/>
      <c r="DI45" s="1556"/>
      <c r="DJ45" s="1558"/>
      <c r="DK45" s="1559"/>
      <c r="DL45" s="249"/>
      <c r="DM45" s="221"/>
      <c r="DN45" s="313"/>
      <c r="DO45" s="249"/>
      <c r="DP45" s="216"/>
      <c r="DQ45" s="313"/>
      <c r="DR45" s="249"/>
      <c r="DS45" s="221"/>
      <c r="DT45" s="313"/>
      <c r="DU45" s="249"/>
      <c r="DV45" s="221"/>
      <c r="DW45" s="1560"/>
      <c r="DX45" s="1561"/>
      <c r="DY45" s="1562"/>
      <c r="DZ45" s="350"/>
      <c r="EA45" s="249"/>
      <c r="EB45" s="221"/>
      <c r="EC45" s="313"/>
      <c r="ED45" s="249"/>
      <c r="EE45" s="221"/>
      <c r="EF45" s="313"/>
      <c r="EG45" s="249"/>
      <c r="EH45" s="221"/>
      <c r="EI45" s="313"/>
      <c r="EJ45" s="249"/>
      <c r="EK45" s="216"/>
      <c r="EL45" s="1435"/>
      <c r="EM45" s="1619"/>
      <c r="EN45" s="1268"/>
      <c r="EO45" s="1563"/>
      <c r="EP45" s="1268"/>
      <c r="EQ45" s="1563"/>
      <c r="ER45" s="1268"/>
      <c r="ES45" s="1563"/>
      <c r="ET45" s="1268"/>
      <c r="EU45" s="1682"/>
      <c r="EV45" s="1683"/>
      <c r="EW45" s="1684"/>
      <c r="EX45" s="1685"/>
      <c r="EY45" s="1496"/>
      <c r="EZ45" s="252"/>
      <c r="FA45" s="395"/>
      <c r="FB45" s="223"/>
      <c r="FC45" s="1496"/>
      <c r="FD45" s="252"/>
      <c r="FE45" s="1564"/>
      <c r="FG45" s="256"/>
      <c r="FH45" s="256"/>
      <c r="FI45" s="256"/>
      <c r="FJ45" s="256"/>
      <c r="FK45" s="126"/>
      <c r="FL45" s="126"/>
      <c r="FM45" s="126"/>
      <c r="FN45" s="126"/>
      <c r="FO45" s="957"/>
      <c r="FP45" s="49"/>
      <c r="FR45" s="1566"/>
      <c r="FS45" s="1566"/>
      <c r="FT45" s="126"/>
      <c r="FU45" s="2879"/>
      <c r="FV45" s="2880"/>
      <c r="FW45" s="2881"/>
      <c r="FX45" s="64"/>
      <c r="FY45" s="64"/>
      <c r="FZ45" s="64"/>
      <c r="GA45" s="64"/>
      <c r="GB45" s="64"/>
      <c r="GC45" s="64"/>
      <c r="GD45" s="64"/>
      <c r="GE45" s="64"/>
      <c r="GF45" s="64"/>
      <c r="GG45" s="64"/>
      <c r="GH45" s="64"/>
      <c r="GI45" s="64"/>
      <c r="GJ45" s="64"/>
      <c r="GK45" s="64"/>
      <c r="GL45" s="64"/>
      <c r="GM45" s="64"/>
      <c r="GN45" s="64"/>
      <c r="GO45" s="64"/>
      <c r="GP45" s="64"/>
      <c r="GQ45" s="64"/>
      <c r="GR45" s="64"/>
      <c r="GS45" s="64"/>
      <c r="GT45" s="64"/>
      <c r="GU45" s="64"/>
      <c r="GV45" s="64"/>
      <c r="GW45" s="64"/>
      <c r="GX45" s="64"/>
      <c r="GY45" s="64"/>
      <c r="GZ45" s="64"/>
      <c r="HA45" s="64"/>
      <c r="HB45" s="64"/>
      <c r="HC45" s="64"/>
      <c r="HD45" s="64"/>
      <c r="HE45" s="64"/>
      <c r="HF45" s="64"/>
      <c r="HG45" s="64"/>
      <c r="HH45" s="64"/>
      <c r="HI45" s="64"/>
      <c r="HJ45" s="64"/>
      <c r="HK45" s="64"/>
      <c r="HL45" s="64"/>
      <c r="HM45" s="64"/>
      <c r="HN45" s="64"/>
      <c r="HO45" s="64"/>
      <c r="HP45" s="64"/>
      <c r="HQ45" s="64"/>
      <c r="HR45" s="64"/>
      <c r="HS45" s="64"/>
      <c r="HT45" s="64"/>
      <c r="HU45" s="64"/>
      <c r="HV45" s="64"/>
      <c r="HW45" s="64"/>
      <c r="HX45" s="64"/>
      <c r="HY45" s="64"/>
      <c r="HZ45" s="64"/>
      <c r="IA45" s="64"/>
      <c r="IB45" s="64"/>
      <c r="IC45" s="64"/>
      <c r="ID45" s="64"/>
      <c r="IE45" s="64"/>
      <c r="IF45" s="64"/>
      <c r="IG45" s="64"/>
      <c r="IH45" s="64"/>
      <c r="II45" s="64"/>
      <c r="IJ45" s="64"/>
      <c r="IK45" s="64"/>
      <c r="IL45" s="64"/>
      <c r="IM45" s="64"/>
      <c r="IN45" s="64"/>
      <c r="IO45" s="64"/>
      <c r="IP45" s="64"/>
      <c r="IQ45" s="64"/>
      <c r="IR45" s="64"/>
      <c r="IS45" s="64"/>
      <c r="IT45" s="64"/>
      <c r="IU45" s="64"/>
    </row>
    <row r="46" spans="1:255" s="1565" customFormat="1" ht="13.5" customHeight="1">
      <c r="A46" s="1023"/>
      <c r="B46" s="1023"/>
      <c r="C46" s="1023"/>
      <c r="D46" s="1549"/>
      <c r="E46" s="1549"/>
      <c r="F46" s="1549"/>
      <c r="G46" s="1549"/>
      <c r="H46" s="1549"/>
      <c r="I46" s="1549"/>
      <c r="J46" s="1549"/>
      <c r="K46" s="1549"/>
      <c r="L46" s="1549"/>
      <c r="M46" s="1549"/>
      <c r="N46" s="1549"/>
      <c r="O46" s="1549"/>
      <c r="P46" s="1549"/>
      <c r="Q46" s="1550"/>
      <c r="R46" s="1550"/>
      <c r="S46" s="1550"/>
      <c r="T46" s="2"/>
      <c r="U46" s="233"/>
      <c r="V46" s="216"/>
      <c r="W46" s="218"/>
      <c r="X46" s="218"/>
      <c r="Y46" s="216"/>
      <c r="Z46" s="216"/>
      <c r="AA46" s="252"/>
      <c r="AB46" s="252"/>
      <c r="AC46" s="252"/>
      <c r="AD46" s="253"/>
      <c r="AE46" s="252"/>
      <c r="AF46" s="252"/>
      <c r="AG46" s="252"/>
      <c r="AH46" s="252"/>
      <c r="AI46" s="252"/>
      <c r="AJ46" s="252"/>
      <c r="AK46" s="253"/>
      <c r="AL46" s="252"/>
      <c r="AM46" s="252"/>
      <c r="AN46" s="252"/>
      <c r="AO46" s="252"/>
      <c r="AP46" s="252"/>
      <c r="AQ46" s="252"/>
      <c r="AR46" s="252"/>
      <c r="AS46" s="252"/>
      <c r="AT46" s="252"/>
      <c r="AU46" s="252"/>
      <c r="AV46" s="1025"/>
      <c r="AW46" s="355"/>
      <c r="AX46" s="217"/>
      <c r="AY46" s="305"/>
      <c r="AZ46" s="249"/>
      <c r="BA46" s="221"/>
      <c r="BB46" s="1551"/>
      <c r="BC46" s="216"/>
      <c r="BD46" s="1552"/>
      <c r="BE46" s="1263"/>
      <c r="BF46" s="249"/>
      <c r="BG46" s="252"/>
      <c r="BH46" s="1543"/>
      <c r="BI46" s="1544"/>
      <c r="BJ46" s="1543"/>
      <c r="BK46" s="1545"/>
      <c r="BL46" s="260"/>
      <c r="BM46" s="216"/>
      <c r="BN46" s="1553"/>
      <c r="BO46" s="1553"/>
      <c r="BP46" s="1554"/>
      <c r="BQ46" s="216"/>
      <c r="BR46" s="1026"/>
      <c r="BS46" s="249"/>
      <c r="BT46" s="260"/>
      <c r="BU46" s="1026"/>
      <c r="BV46" s="249"/>
      <c r="BW46" s="260"/>
      <c r="BX46" s="1026"/>
      <c r="BY46" s="249"/>
      <c r="BZ46" s="260"/>
      <c r="CA46" s="1026"/>
      <c r="CB46" s="249"/>
      <c r="CC46" s="260"/>
      <c r="CD46" s="1026"/>
      <c r="CE46" s="1269"/>
      <c r="CF46" s="1270"/>
      <c r="CG46" s="1026"/>
      <c r="CH46" s="249"/>
      <c r="CI46" s="260"/>
      <c r="CJ46" s="1027"/>
      <c r="CK46" s="249"/>
      <c r="CL46" s="260"/>
      <c r="CM46" s="1555"/>
      <c r="CN46" s="249"/>
      <c r="CO46" s="216"/>
      <c r="CP46" s="1029"/>
      <c r="CQ46" s="249"/>
      <c r="CR46" s="216"/>
      <c r="CS46" s="1029"/>
      <c r="CT46" s="249"/>
      <c r="CU46" s="216"/>
      <c r="CV46" s="1027"/>
      <c r="CW46" s="249"/>
      <c r="CX46" s="221"/>
      <c r="CY46" s="1027"/>
      <c r="CZ46" s="249"/>
      <c r="DA46" s="216"/>
      <c r="DB46" s="1027"/>
      <c r="DC46" s="249"/>
      <c r="DD46"/>
      <c r="DE46" s="1027"/>
      <c r="DF46" s="1556"/>
      <c r="DG46" s="1557"/>
      <c r="DH46" s="1027"/>
      <c r="DI46" s="1556"/>
      <c r="DJ46" s="1558"/>
      <c r="DK46" s="1559"/>
      <c r="DL46" s="249"/>
      <c r="DM46" s="221"/>
      <c r="DN46" s="313"/>
      <c r="DO46" s="249"/>
      <c r="DP46" s="216"/>
      <c r="DQ46" s="313"/>
      <c r="DR46" s="249"/>
      <c r="DS46" s="221"/>
      <c r="DT46" s="313"/>
      <c r="DU46" s="249"/>
      <c r="DV46" s="221"/>
      <c r="DW46" s="1560"/>
      <c r="DX46" s="1561"/>
      <c r="DY46" s="1562"/>
      <c r="DZ46" s="350"/>
      <c r="EA46" s="249"/>
      <c r="EB46" s="221"/>
      <c r="EC46" s="313"/>
      <c r="ED46" s="249"/>
      <c r="EE46" s="221"/>
      <c r="EF46" s="313"/>
      <c r="EG46" s="249"/>
      <c r="EH46" s="221"/>
      <c r="EI46" s="313"/>
      <c r="EJ46" s="249"/>
      <c r="EK46" s="216"/>
      <c r="EL46" s="1435"/>
      <c r="EM46" s="1619"/>
      <c r="EN46" s="1268"/>
      <c r="EO46" s="1563"/>
      <c r="EP46" s="1268"/>
      <c r="EQ46" s="1563"/>
      <c r="ER46" s="1268"/>
      <c r="ES46" s="1563"/>
      <c r="ET46" s="1268"/>
      <c r="EU46" s="1682"/>
      <c r="EV46" s="1683"/>
      <c r="EW46" s="1684"/>
      <c r="EX46" s="1685"/>
      <c r="EY46" s="1496"/>
      <c r="EZ46" s="252"/>
      <c r="FA46" s="395"/>
      <c r="FB46" s="223"/>
      <c r="FC46" s="1496"/>
      <c r="FD46" s="252"/>
      <c r="FE46" s="1564"/>
      <c r="FG46" s="256"/>
      <c r="FH46" s="256"/>
      <c r="FI46" s="256"/>
      <c r="FJ46" s="256"/>
      <c r="FK46" s="126"/>
      <c r="FL46" s="126"/>
      <c r="FM46" s="126"/>
      <c r="FN46" s="126"/>
      <c r="FO46" s="957"/>
      <c r="FP46" s="49"/>
      <c r="FR46" s="1566"/>
      <c r="FS46" s="1566"/>
      <c r="FT46" s="126"/>
      <c r="FU46" s="2879"/>
      <c r="FV46" s="2880"/>
      <c r="FW46" s="2881"/>
      <c r="FX46" s="64"/>
      <c r="FY46" s="64"/>
      <c r="FZ46" s="64"/>
      <c r="GA46" s="64"/>
      <c r="GB46" s="64"/>
      <c r="GC46" s="64"/>
      <c r="GD46" s="64"/>
      <c r="GE46" s="64"/>
      <c r="GF46" s="64"/>
      <c r="GG46" s="64"/>
      <c r="GH46" s="64"/>
      <c r="GI46" s="64"/>
      <c r="GJ46" s="64"/>
      <c r="GK46" s="64"/>
      <c r="GL46" s="64"/>
      <c r="GM46" s="64"/>
      <c r="GN46" s="64"/>
      <c r="GO46" s="64"/>
      <c r="GP46" s="64"/>
      <c r="GQ46" s="64"/>
      <c r="GR46" s="64"/>
      <c r="GS46" s="64"/>
      <c r="GT46" s="64"/>
      <c r="GU46" s="64"/>
      <c r="GV46" s="64"/>
      <c r="GW46" s="64"/>
      <c r="GX46" s="64"/>
      <c r="GY46" s="64"/>
      <c r="GZ46" s="64"/>
      <c r="HA46" s="64"/>
      <c r="HB46" s="64"/>
      <c r="HC46" s="64"/>
      <c r="HD46" s="64"/>
      <c r="HE46" s="64"/>
      <c r="HF46" s="64"/>
      <c r="HG46" s="64"/>
      <c r="HH46" s="64"/>
      <c r="HI46" s="64"/>
      <c r="HJ46" s="64"/>
      <c r="HK46" s="64"/>
      <c r="HL46" s="64"/>
      <c r="HM46" s="64"/>
      <c r="HN46" s="64"/>
      <c r="HO46" s="64"/>
      <c r="HP46" s="64"/>
      <c r="HQ46" s="64"/>
      <c r="HR46" s="64"/>
      <c r="HS46" s="64"/>
      <c r="HT46" s="64"/>
      <c r="HU46" s="64"/>
      <c r="HV46" s="64"/>
      <c r="HW46" s="64"/>
      <c r="HX46" s="64"/>
      <c r="HY46" s="64"/>
      <c r="HZ46" s="64"/>
      <c r="IA46" s="64"/>
      <c r="IB46" s="64"/>
      <c r="IC46" s="64"/>
      <c r="ID46" s="64"/>
      <c r="IE46" s="64"/>
      <c r="IF46" s="64"/>
      <c r="IG46" s="64"/>
      <c r="IH46" s="64"/>
      <c r="II46" s="64"/>
      <c r="IJ46" s="64"/>
      <c r="IK46" s="64"/>
      <c r="IL46" s="64"/>
      <c r="IM46" s="64"/>
      <c r="IN46" s="64"/>
      <c r="IO46" s="64"/>
      <c r="IP46" s="64"/>
      <c r="IQ46" s="64"/>
      <c r="IR46" s="64"/>
      <c r="IS46" s="64"/>
      <c r="IT46" s="64"/>
      <c r="IU46" s="64"/>
    </row>
    <row r="47" spans="1:255" s="1565" customFormat="1" ht="13.5" customHeight="1">
      <c r="A47" s="1023"/>
      <c r="B47" s="1023"/>
      <c r="C47" s="1023"/>
      <c r="D47" s="1549"/>
      <c r="E47" s="1549"/>
      <c r="F47" s="1549"/>
      <c r="G47" s="1549"/>
      <c r="H47" s="1549"/>
      <c r="I47" s="1549"/>
      <c r="J47" s="1549"/>
      <c r="K47" s="1549"/>
      <c r="L47" s="1549"/>
      <c r="M47" s="1549"/>
      <c r="N47" s="1549"/>
      <c r="O47" s="1549"/>
      <c r="P47" s="1549"/>
      <c r="Q47" s="1550"/>
      <c r="R47" s="1550"/>
      <c r="S47" s="1550"/>
      <c r="T47" s="2"/>
      <c r="U47" s="233"/>
      <c r="V47" s="216"/>
      <c r="W47" s="218"/>
      <c r="X47" s="218"/>
      <c r="Y47" s="216"/>
      <c r="Z47" s="216"/>
      <c r="AA47" s="252"/>
      <c r="AB47" s="252"/>
      <c r="AC47" s="252"/>
      <c r="AD47" s="253"/>
      <c r="AE47" s="252"/>
      <c r="AF47" s="252"/>
      <c r="AG47" s="252"/>
      <c r="AH47" s="252"/>
      <c r="AI47" s="252"/>
      <c r="AJ47" s="252"/>
      <c r="AK47" s="253"/>
      <c r="AL47" s="252"/>
      <c r="AM47" s="252"/>
      <c r="AN47" s="252"/>
      <c r="AO47" s="252"/>
      <c r="AP47" s="252"/>
      <c r="AQ47" s="252"/>
      <c r="AR47" s="252"/>
      <c r="AS47" s="252"/>
      <c r="AT47" s="252"/>
      <c r="AU47" s="252"/>
      <c r="AV47" s="1025"/>
      <c r="AW47" s="355"/>
      <c r="AX47" s="217"/>
      <c r="AY47" s="305"/>
      <c r="AZ47" s="249"/>
      <c r="BA47" s="221"/>
      <c r="BB47" s="1551"/>
      <c r="BC47" s="216"/>
      <c r="BD47" s="1552"/>
      <c r="BE47" s="1263"/>
      <c r="BF47" s="249"/>
      <c r="BG47" s="252"/>
      <c r="BH47" s="1543"/>
      <c r="BI47" s="1544"/>
      <c r="BJ47" s="1543"/>
      <c r="BK47" s="1545"/>
      <c r="BL47" s="260"/>
      <c r="BM47" s="216"/>
      <c r="BN47" s="1553"/>
      <c r="BO47" s="1553"/>
      <c r="BP47" s="1554"/>
      <c r="BQ47" s="216"/>
      <c r="BR47" s="1026"/>
      <c r="BS47" s="249"/>
      <c r="BT47" s="260"/>
      <c r="BU47" s="1026"/>
      <c r="BV47" s="249"/>
      <c r="BW47" s="260"/>
      <c r="BX47" s="1026"/>
      <c r="BY47" s="249"/>
      <c r="BZ47" s="260"/>
      <c r="CA47" s="1026"/>
      <c r="CB47" s="249"/>
      <c r="CC47" s="260"/>
      <c r="CD47" s="1026"/>
      <c r="CE47" s="1269"/>
      <c r="CF47" s="1270"/>
      <c r="CG47" s="1026"/>
      <c r="CH47" s="249"/>
      <c r="CI47" s="260"/>
      <c r="CJ47" s="1027"/>
      <c r="CK47" s="249"/>
      <c r="CL47" s="260"/>
      <c r="CM47" s="1555"/>
      <c r="CN47" s="249"/>
      <c r="CO47" s="216"/>
      <c r="CP47" s="1029"/>
      <c r="CQ47" s="249"/>
      <c r="CR47" s="216"/>
      <c r="CS47" s="1029"/>
      <c r="CT47" s="249"/>
      <c r="CU47" s="216"/>
      <c r="CV47" s="1027"/>
      <c r="CW47" s="249"/>
      <c r="CX47" s="221"/>
      <c r="CY47" s="1027"/>
      <c r="CZ47" s="249"/>
      <c r="DA47" s="216"/>
      <c r="DB47" s="1027"/>
      <c r="DC47" s="249"/>
      <c r="DD47"/>
      <c r="DE47" s="1027"/>
      <c r="DF47" s="1556"/>
      <c r="DG47" s="1557"/>
      <c r="DH47" s="1027"/>
      <c r="DI47" s="1556"/>
      <c r="DJ47" s="1558"/>
      <c r="DK47" s="1559"/>
      <c r="DL47" s="249"/>
      <c r="DM47" s="221"/>
      <c r="DN47" s="313"/>
      <c r="DO47" s="249"/>
      <c r="DP47" s="216"/>
      <c r="DQ47" s="313"/>
      <c r="DR47" s="249"/>
      <c r="DS47" s="221"/>
      <c r="DT47" s="313"/>
      <c r="DU47" s="249"/>
      <c r="DV47" s="221"/>
      <c r="DW47" s="1560"/>
      <c r="DX47" s="1561"/>
      <c r="DY47" s="1562"/>
      <c r="DZ47" s="350"/>
      <c r="EA47" s="249"/>
      <c r="EB47" s="221"/>
      <c r="EC47" s="313"/>
      <c r="ED47" s="249"/>
      <c r="EE47" s="221"/>
      <c r="EF47" s="313"/>
      <c r="EG47" s="249"/>
      <c r="EH47" s="221"/>
      <c r="EI47" s="313"/>
      <c r="EJ47" s="249"/>
      <c r="EK47" s="216"/>
      <c r="EL47" s="1435"/>
      <c r="EM47" s="1619"/>
      <c r="EN47" s="1268"/>
      <c r="EO47" s="1563"/>
      <c r="EP47" s="1268"/>
      <c r="EQ47" s="1563"/>
      <c r="ER47" s="1268"/>
      <c r="ES47" s="1563"/>
      <c r="ET47" s="1268"/>
      <c r="EU47" s="1682"/>
      <c r="EV47" s="1683"/>
      <c r="EW47" s="1684"/>
      <c r="EX47" s="1685"/>
      <c r="EY47" s="1496"/>
      <c r="EZ47" s="252"/>
      <c r="FA47" s="395"/>
      <c r="FB47" s="223"/>
      <c r="FC47" s="1496"/>
      <c r="FD47" s="252"/>
      <c r="FE47" s="1564"/>
      <c r="FG47" s="256"/>
      <c r="FH47" s="256"/>
      <c r="FI47" s="256"/>
      <c r="FJ47" s="256"/>
      <c r="FK47" s="126"/>
      <c r="FL47" s="126"/>
      <c r="FM47" s="126"/>
      <c r="FN47" s="126"/>
      <c r="FO47" s="957"/>
      <c r="FP47" s="49"/>
      <c r="FR47" s="1566"/>
      <c r="FS47" s="1566"/>
      <c r="FT47" s="126"/>
      <c r="FU47" s="2879"/>
      <c r="FV47" s="2880"/>
      <c r="FW47" s="2881"/>
      <c r="FX47" s="64"/>
      <c r="FY47" s="64"/>
      <c r="FZ47" s="64"/>
      <c r="GA47" s="64"/>
      <c r="GB47" s="64"/>
      <c r="GC47" s="64"/>
      <c r="GD47" s="64"/>
      <c r="GE47" s="64"/>
      <c r="GF47" s="64"/>
      <c r="GG47" s="64"/>
      <c r="GH47" s="64"/>
      <c r="GI47" s="64"/>
      <c r="GJ47" s="64"/>
      <c r="GK47" s="64"/>
      <c r="GL47" s="64"/>
      <c r="GM47" s="64"/>
      <c r="GN47" s="64"/>
      <c r="GO47" s="64"/>
      <c r="GP47" s="64"/>
      <c r="GQ47" s="64"/>
      <c r="GR47" s="64"/>
      <c r="GS47" s="64"/>
      <c r="GT47" s="64"/>
      <c r="GU47" s="64"/>
      <c r="GV47" s="64"/>
      <c r="GW47" s="64"/>
      <c r="GX47" s="64"/>
      <c r="GY47" s="64"/>
      <c r="GZ47" s="64"/>
      <c r="HA47" s="64"/>
      <c r="HB47" s="64"/>
      <c r="HC47" s="64"/>
      <c r="HD47" s="64"/>
      <c r="HE47" s="64"/>
      <c r="HF47" s="64"/>
      <c r="HG47" s="64"/>
      <c r="HH47" s="64"/>
      <c r="HI47" s="64"/>
      <c r="HJ47" s="64"/>
      <c r="HK47" s="64"/>
      <c r="HL47" s="64"/>
      <c r="HM47" s="64"/>
      <c r="HN47" s="64"/>
      <c r="HO47" s="64"/>
      <c r="HP47" s="64"/>
      <c r="HQ47" s="64"/>
      <c r="HR47" s="64"/>
      <c r="HS47" s="64"/>
      <c r="HT47" s="64"/>
      <c r="HU47" s="64"/>
      <c r="HV47" s="64"/>
      <c r="HW47" s="64"/>
      <c r="HX47" s="64"/>
      <c r="HY47" s="64"/>
      <c r="HZ47" s="64"/>
      <c r="IA47" s="64"/>
      <c r="IB47" s="64"/>
      <c r="IC47" s="64"/>
      <c r="ID47" s="64"/>
      <c r="IE47" s="64"/>
      <c r="IF47" s="64"/>
      <c r="IG47" s="64"/>
      <c r="IH47" s="64"/>
      <c r="II47" s="64"/>
      <c r="IJ47" s="64"/>
      <c r="IK47" s="64"/>
      <c r="IL47" s="64"/>
      <c r="IM47" s="64"/>
      <c r="IN47" s="64"/>
      <c r="IO47" s="64"/>
      <c r="IP47" s="64"/>
      <c r="IQ47" s="64"/>
      <c r="IR47" s="64"/>
      <c r="IS47" s="64"/>
      <c r="IT47" s="64"/>
      <c r="IU47" s="64"/>
    </row>
    <row r="48" spans="1:255" s="1565" customFormat="1" ht="13.5" customHeight="1">
      <c r="A48" s="1023"/>
      <c r="B48" s="1023"/>
      <c r="C48" s="1023"/>
      <c r="D48" s="1549"/>
      <c r="E48" s="1549"/>
      <c r="F48" s="1549"/>
      <c r="G48" s="1549"/>
      <c r="H48" s="1549"/>
      <c r="I48" s="1549"/>
      <c r="J48" s="1549"/>
      <c r="K48" s="1549"/>
      <c r="L48" s="1549"/>
      <c r="M48" s="1549"/>
      <c r="N48" s="1549"/>
      <c r="O48" s="1549"/>
      <c r="P48" s="1549"/>
      <c r="Q48" s="1550"/>
      <c r="R48" s="1550"/>
      <c r="S48" s="1550"/>
      <c r="T48" s="2"/>
      <c r="U48" s="233"/>
      <c r="V48" s="216"/>
      <c r="W48" s="218"/>
      <c r="X48" s="218"/>
      <c r="Y48" s="216"/>
      <c r="Z48" s="216"/>
      <c r="AA48" s="252"/>
      <c r="AB48" s="252"/>
      <c r="AC48" s="252"/>
      <c r="AD48" s="253"/>
      <c r="AE48" s="252"/>
      <c r="AF48" s="252"/>
      <c r="AG48" s="252"/>
      <c r="AH48" s="252"/>
      <c r="AI48" s="252"/>
      <c r="AJ48" s="252"/>
      <c r="AK48" s="253"/>
      <c r="AL48" s="252"/>
      <c r="AM48" s="252"/>
      <c r="AN48" s="252"/>
      <c r="AO48" s="252"/>
      <c r="AP48" s="252"/>
      <c r="AQ48" s="252"/>
      <c r="AR48" s="252"/>
      <c r="AS48" s="252"/>
      <c r="AT48" s="252"/>
      <c r="AU48" s="252"/>
      <c r="AV48" s="1025"/>
      <c r="AW48" s="355"/>
      <c r="AX48" s="217"/>
      <c r="AY48" s="305"/>
      <c r="AZ48" s="249"/>
      <c r="BA48" s="221"/>
      <c r="BB48" s="1551"/>
      <c r="BC48" s="216"/>
      <c r="BD48" s="1552"/>
      <c r="BE48" s="1263"/>
      <c r="BF48" s="249"/>
      <c r="BG48" s="252"/>
      <c r="BH48" s="1543"/>
      <c r="BI48" s="1544"/>
      <c r="BJ48" s="1543"/>
      <c r="BK48" s="1545"/>
      <c r="BL48" s="260"/>
      <c r="BM48" s="216"/>
      <c r="BN48" s="1553"/>
      <c r="BO48" s="1553"/>
      <c r="BP48" s="1554"/>
      <c r="BQ48" s="216"/>
      <c r="BR48" s="1026"/>
      <c r="BS48" s="249"/>
      <c r="BT48" s="260"/>
      <c r="BU48" s="1026"/>
      <c r="BV48" s="249"/>
      <c r="BW48" s="260"/>
      <c r="BX48" s="1026"/>
      <c r="BY48" s="249"/>
      <c r="BZ48" s="260"/>
      <c r="CA48" s="1026"/>
      <c r="CB48" s="249"/>
      <c r="CC48" s="260"/>
      <c r="CD48" s="1026"/>
      <c r="CE48" s="1269"/>
      <c r="CF48" s="1270"/>
      <c r="CG48" s="1026"/>
      <c r="CH48" s="249"/>
      <c r="CI48" s="260"/>
      <c r="CJ48" s="1027"/>
      <c r="CK48" s="249"/>
      <c r="CL48" s="260"/>
      <c r="CM48" s="1555"/>
      <c r="CN48" s="249"/>
      <c r="CO48" s="216"/>
      <c r="CP48" s="1029"/>
      <c r="CQ48" s="249"/>
      <c r="CR48" s="216"/>
      <c r="CS48" s="1029"/>
      <c r="CT48" s="249"/>
      <c r="CU48" s="216"/>
      <c r="CV48" s="1027"/>
      <c r="CW48" s="249"/>
      <c r="CX48" s="221"/>
      <c r="CY48" s="1027"/>
      <c r="CZ48" s="249"/>
      <c r="DA48" s="216"/>
      <c r="DB48" s="1027"/>
      <c r="DC48" s="249"/>
      <c r="DD48"/>
      <c r="DE48" s="1027"/>
      <c r="DF48" s="1556"/>
      <c r="DG48" s="1557"/>
      <c r="DH48" s="1027"/>
      <c r="DI48" s="1556"/>
      <c r="DJ48" s="1558"/>
      <c r="DK48" s="1559"/>
      <c r="DL48" s="249"/>
      <c r="DM48" s="221"/>
      <c r="DN48" s="313"/>
      <c r="DO48" s="249"/>
      <c r="DP48" s="216"/>
      <c r="DQ48" s="313"/>
      <c r="DR48" s="249"/>
      <c r="DS48" s="221"/>
      <c r="DT48" s="313"/>
      <c r="DU48" s="249"/>
      <c r="DV48" s="221"/>
      <c r="DW48" s="1560"/>
      <c r="DX48" s="1561"/>
      <c r="DY48" s="1562"/>
      <c r="DZ48" s="350"/>
      <c r="EA48" s="249"/>
      <c r="EB48" s="221"/>
      <c r="EC48" s="313"/>
      <c r="ED48" s="249"/>
      <c r="EE48" s="221"/>
      <c r="EF48" s="313"/>
      <c r="EG48" s="249"/>
      <c r="EH48" s="221"/>
      <c r="EI48" s="313"/>
      <c r="EJ48" s="249"/>
      <c r="EK48" s="216"/>
      <c r="EL48" s="1435"/>
      <c r="EM48" s="1619"/>
      <c r="EN48" s="1268"/>
      <c r="EO48" s="1563"/>
      <c r="EP48" s="1268"/>
      <c r="EQ48" s="1563"/>
      <c r="ER48" s="1268"/>
      <c r="ES48" s="1563"/>
      <c r="ET48" s="1268"/>
      <c r="EU48" s="1682"/>
      <c r="EV48" s="1683"/>
      <c r="EW48" s="1684"/>
      <c r="EX48" s="1685"/>
      <c r="EY48" s="1496"/>
      <c r="EZ48" s="252"/>
      <c r="FA48" s="395"/>
      <c r="FB48" s="223"/>
      <c r="FC48" s="1496"/>
      <c r="FD48" s="252"/>
      <c r="FE48" s="1564"/>
      <c r="FG48" s="256"/>
      <c r="FH48" s="256"/>
      <c r="FI48" s="256"/>
      <c r="FJ48" s="256"/>
      <c r="FK48" s="126"/>
      <c r="FL48" s="126"/>
      <c r="FM48" s="126"/>
      <c r="FN48" s="126"/>
      <c r="FO48" s="957"/>
      <c r="FP48" s="49"/>
      <c r="FR48" s="1566"/>
      <c r="FS48" s="1566"/>
      <c r="FT48" s="126"/>
      <c r="FU48" s="2879"/>
      <c r="FV48" s="2880"/>
      <c r="FW48" s="2881"/>
      <c r="FX48" s="64"/>
      <c r="FY48" s="64"/>
      <c r="FZ48" s="64"/>
      <c r="GA48" s="64"/>
      <c r="GB48" s="64"/>
      <c r="GC48" s="64"/>
      <c r="GD48" s="64"/>
      <c r="GE48" s="64"/>
      <c r="GF48" s="64"/>
      <c r="GG48" s="64"/>
      <c r="GH48" s="64"/>
      <c r="GI48" s="64"/>
      <c r="GJ48" s="64"/>
      <c r="GK48" s="64"/>
      <c r="GL48" s="64"/>
      <c r="GM48" s="64"/>
      <c r="GN48" s="64"/>
      <c r="GO48" s="64"/>
      <c r="GP48" s="64"/>
      <c r="GQ48" s="64"/>
      <c r="GR48" s="64"/>
      <c r="GS48" s="64"/>
      <c r="GT48" s="64"/>
      <c r="GU48" s="64"/>
      <c r="GV48" s="64"/>
      <c r="GW48" s="64"/>
      <c r="GX48" s="64"/>
      <c r="GY48" s="64"/>
      <c r="GZ48" s="64"/>
      <c r="HA48" s="64"/>
      <c r="HB48" s="64"/>
      <c r="HC48" s="64"/>
      <c r="HD48" s="64"/>
      <c r="HE48" s="64"/>
      <c r="HF48" s="64"/>
      <c r="HG48" s="64"/>
      <c r="HH48" s="64"/>
      <c r="HI48" s="64"/>
      <c r="HJ48" s="64"/>
      <c r="HK48" s="64"/>
      <c r="HL48" s="64"/>
      <c r="HM48" s="64"/>
      <c r="HN48" s="64"/>
      <c r="HO48" s="64"/>
      <c r="HP48" s="64"/>
      <c r="HQ48" s="64"/>
      <c r="HR48" s="64"/>
      <c r="HS48" s="64"/>
      <c r="HT48" s="64"/>
      <c r="HU48" s="64"/>
      <c r="HV48" s="64"/>
      <c r="HW48" s="64"/>
      <c r="HX48" s="64"/>
      <c r="HY48" s="64"/>
      <c r="HZ48" s="64"/>
      <c r="IA48" s="64"/>
      <c r="IB48" s="64"/>
      <c r="IC48" s="64"/>
      <c r="ID48" s="64"/>
      <c r="IE48" s="64"/>
      <c r="IF48" s="64"/>
      <c r="IG48" s="64"/>
      <c r="IH48" s="64"/>
      <c r="II48" s="64"/>
      <c r="IJ48" s="64"/>
      <c r="IK48" s="64"/>
      <c r="IL48" s="64"/>
      <c r="IM48" s="64"/>
      <c r="IN48" s="64"/>
      <c r="IO48" s="64"/>
      <c r="IP48" s="64"/>
      <c r="IQ48" s="64"/>
      <c r="IR48" s="64"/>
      <c r="IS48" s="64"/>
      <c r="IT48" s="64"/>
      <c r="IU48" s="64"/>
    </row>
    <row r="49" spans="1:255" s="1565" customFormat="1" ht="13.5" customHeight="1">
      <c r="A49" s="1023"/>
      <c r="B49" s="1023"/>
      <c r="C49" s="1023"/>
      <c r="D49" s="1549"/>
      <c r="E49" s="1549"/>
      <c r="F49" s="1549"/>
      <c r="G49" s="1549"/>
      <c r="H49" s="1549"/>
      <c r="I49" s="1549"/>
      <c r="J49" s="1549"/>
      <c r="K49" s="1549"/>
      <c r="L49" s="1549"/>
      <c r="M49" s="1549"/>
      <c r="N49" s="1549"/>
      <c r="O49" s="1549"/>
      <c r="P49" s="1549"/>
      <c r="Q49" s="1550"/>
      <c r="R49" s="1550"/>
      <c r="S49" s="1550"/>
      <c r="T49" s="2"/>
      <c r="U49" s="233"/>
      <c r="V49" s="216"/>
      <c r="W49" s="218"/>
      <c r="X49" s="218"/>
      <c r="Y49" s="216"/>
      <c r="Z49" s="216"/>
      <c r="AA49" s="252"/>
      <c r="AB49" s="252"/>
      <c r="AC49" s="252"/>
      <c r="AD49" s="253"/>
      <c r="AE49" s="252"/>
      <c r="AF49" s="252"/>
      <c r="AG49" s="252"/>
      <c r="AH49" s="252"/>
      <c r="AI49" s="252"/>
      <c r="AJ49" s="252"/>
      <c r="AK49" s="253"/>
      <c r="AL49" s="252"/>
      <c r="AM49" s="252"/>
      <c r="AN49" s="252"/>
      <c r="AO49" s="252"/>
      <c r="AP49" s="252"/>
      <c r="AQ49" s="252"/>
      <c r="AR49" s="252"/>
      <c r="AS49" s="252"/>
      <c r="AT49" s="252"/>
      <c r="AU49" s="252"/>
      <c r="AV49" s="1025"/>
      <c r="AW49" s="355"/>
      <c r="AX49" s="217"/>
      <c r="AY49" s="305"/>
      <c r="AZ49" s="249"/>
      <c r="BA49" s="221"/>
      <c r="BB49" s="1551"/>
      <c r="BC49" s="216"/>
      <c r="BD49" s="1552"/>
      <c r="BE49" s="1263"/>
      <c r="BF49" s="249"/>
      <c r="BG49" s="252"/>
      <c r="BH49" s="1543"/>
      <c r="BI49" s="1544"/>
      <c r="BJ49" s="1543"/>
      <c r="BK49" s="1545"/>
      <c r="BL49" s="260"/>
      <c r="BM49" s="216"/>
      <c r="BN49" s="1553"/>
      <c r="BO49" s="1553"/>
      <c r="BP49" s="1554"/>
      <c r="BQ49" s="216"/>
      <c r="BR49" s="1026"/>
      <c r="BS49" s="249"/>
      <c r="BT49" s="260"/>
      <c r="BU49" s="1026"/>
      <c r="BV49" s="249"/>
      <c r="BW49" s="260"/>
      <c r="BX49" s="1026"/>
      <c r="BY49" s="249"/>
      <c r="BZ49" s="260"/>
      <c r="CA49" s="1026"/>
      <c r="CB49" s="249"/>
      <c r="CC49" s="260"/>
      <c r="CD49" s="1026"/>
      <c r="CE49" s="1269"/>
      <c r="CF49" s="1270"/>
      <c r="CG49" s="1026"/>
      <c r="CH49" s="249"/>
      <c r="CI49" s="260"/>
      <c r="CJ49" s="1027"/>
      <c r="CK49" s="249"/>
      <c r="CL49" s="260"/>
      <c r="CM49" s="1555"/>
      <c r="CN49" s="249"/>
      <c r="CO49" s="216"/>
      <c r="CP49" s="1029"/>
      <c r="CQ49" s="249"/>
      <c r="CR49" s="216"/>
      <c r="CS49" s="1029"/>
      <c r="CT49" s="249"/>
      <c r="CU49" s="216"/>
      <c r="CV49" s="1027"/>
      <c r="CW49" s="249"/>
      <c r="CX49" s="221"/>
      <c r="CY49" s="1027"/>
      <c r="CZ49" s="249"/>
      <c r="DA49" s="216"/>
      <c r="DB49" s="1027"/>
      <c r="DC49" s="249"/>
      <c r="DD49"/>
      <c r="DE49" s="1027"/>
      <c r="DF49" s="1556"/>
      <c r="DG49" s="1557"/>
      <c r="DH49" s="1027"/>
      <c r="DI49" s="1556"/>
      <c r="DJ49" s="1558"/>
      <c r="DK49" s="1559"/>
      <c r="DL49" s="249"/>
      <c r="DM49" s="221"/>
      <c r="DN49" s="313"/>
      <c r="DO49" s="249"/>
      <c r="DP49" s="216"/>
      <c r="DQ49" s="313"/>
      <c r="DR49" s="249"/>
      <c r="DS49" s="221"/>
      <c r="DT49" s="313"/>
      <c r="DU49" s="249"/>
      <c r="DV49" s="221"/>
      <c r="DW49" s="1560"/>
      <c r="DX49" s="1561"/>
      <c r="DY49" s="1562"/>
      <c r="DZ49" s="350"/>
      <c r="EA49" s="249"/>
      <c r="EB49" s="221"/>
      <c r="EC49" s="313"/>
      <c r="ED49" s="249"/>
      <c r="EE49" s="221"/>
      <c r="EF49" s="313"/>
      <c r="EG49" s="249"/>
      <c r="EH49" s="221"/>
      <c r="EI49" s="313"/>
      <c r="EJ49" s="249"/>
      <c r="EK49" s="216"/>
      <c r="EL49" s="1435"/>
      <c r="EM49" s="1619"/>
      <c r="EN49" s="1268"/>
      <c r="EO49" s="1563"/>
      <c r="EP49" s="1268"/>
      <c r="EQ49" s="1563"/>
      <c r="ER49" s="1268"/>
      <c r="ES49" s="1563"/>
      <c r="ET49" s="1268"/>
      <c r="EU49" s="1682"/>
      <c r="EV49" s="1683"/>
      <c r="EW49" s="1684"/>
      <c r="EX49" s="1685"/>
      <c r="EY49" s="1496"/>
      <c r="EZ49" s="252"/>
      <c r="FA49" s="395"/>
      <c r="FB49" s="223"/>
      <c r="FC49" s="1496"/>
      <c r="FD49" s="252"/>
      <c r="FE49" s="1564"/>
      <c r="FG49" s="256"/>
      <c r="FH49" s="256"/>
      <c r="FI49" s="256"/>
      <c r="FJ49" s="256"/>
      <c r="FK49" s="126"/>
      <c r="FL49" s="126"/>
      <c r="FM49" s="126"/>
      <c r="FN49" s="126"/>
      <c r="FO49" s="957"/>
      <c r="FP49" s="49"/>
      <c r="FR49" s="1566"/>
      <c r="FS49" s="1566"/>
      <c r="FT49" s="126"/>
      <c r="FU49" s="2879"/>
      <c r="FV49" s="2880"/>
      <c r="FW49" s="2881"/>
      <c r="FX49" s="64"/>
      <c r="FY49" s="64"/>
      <c r="FZ49" s="64"/>
      <c r="GA49" s="64"/>
      <c r="GB49" s="64"/>
      <c r="GC49" s="64"/>
      <c r="GD49" s="64"/>
      <c r="GE49" s="64"/>
      <c r="GF49" s="64"/>
      <c r="GG49" s="64"/>
      <c r="GH49" s="64"/>
      <c r="GI49" s="64"/>
      <c r="GJ49" s="64"/>
      <c r="GK49" s="64"/>
      <c r="GL49" s="64"/>
      <c r="GM49" s="64"/>
      <c r="GN49" s="64"/>
      <c r="GO49" s="64"/>
      <c r="GP49" s="64"/>
      <c r="GQ49" s="64"/>
      <c r="GR49" s="64"/>
      <c r="GS49" s="64"/>
      <c r="GT49" s="64"/>
      <c r="GU49" s="64"/>
      <c r="GV49" s="64"/>
      <c r="GW49" s="64"/>
      <c r="GX49" s="64"/>
      <c r="GY49" s="64"/>
      <c r="GZ49" s="64"/>
      <c r="HA49" s="64"/>
      <c r="HB49" s="64"/>
      <c r="HC49" s="64"/>
      <c r="HD49" s="64"/>
      <c r="HE49" s="64"/>
      <c r="HF49" s="64"/>
      <c r="HG49" s="64"/>
      <c r="HH49" s="64"/>
      <c r="HI49" s="64"/>
      <c r="HJ49" s="64"/>
      <c r="HK49" s="64"/>
      <c r="HL49" s="64"/>
      <c r="HM49" s="64"/>
      <c r="HN49" s="64"/>
      <c r="HO49" s="64"/>
      <c r="HP49" s="64"/>
      <c r="HQ49" s="64"/>
      <c r="HR49" s="64"/>
      <c r="HS49" s="64"/>
      <c r="HT49" s="64"/>
      <c r="HU49" s="64"/>
      <c r="HV49" s="64"/>
      <c r="HW49" s="64"/>
      <c r="HX49" s="64"/>
      <c r="HY49" s="64"/>
      <c r="HZ49" s="64"/>
      <c r="IA49" s="64"/>
      <c r="IB49" s="64"/>
      <c r="IC49" s="64"/>
      <c r="ID49" s="64"/>
      <c r="IE49" s="64"/>
      <c r="IF49" s="64"/>
      <c r="IG49" s="64"/>
      <c r="IH49" s="64"/>
      <c r="II49" s="64"/>
      <c r="IJ49" s="64"/>
      <c r="IK49" s="64"/>
      <c r="IL49" s="64"/>
      <c r="IM49" s="64"/>
      <c r="IN49" s="64"/>
      <c r="IO49" s="64"/>
      <c r="IP49" s="64"/>
      <c r="IQ49" s="64"/>
      <c r="IR49" s="64"/>
      <c r="IS49" s="64"/>
      <c r="IT49" s="64"/>
      <c r="IU49" s="64"/>
    </row>
    <row r="50" spans="1:255" s="1565" customFormat="1" ht="13.5" customHeight="1">
      <c r="A50" s="1023"/>
      <c r="B50" s="1023"/>
      <c r="C50" s="1023"/>
      <c r="D50" s="1549"/>
      <c r="E50" s="1549"/>
      <c r="F50" s="1549"/>
      <c r="G50" s="1549"/>
      <c r="H50" s="1549"/>
      <c r="I50" s="1549"/>
      <c r="J50" s="1549"/>
      <c r="K50" s="1549"/>
      <c r="L50" s="1549"/>
      <c r="M50" s="1549"/>
      <c r="N50" s="1549"/>
      <c r="O50" s="1549"/>
      <c r="P50" s="1549"/>
      <c r="Q50" s="1550"/>
      <c r="R50" s="1550"/>
      <c r="S50" s="1550"/>
      <c r="T50" s="1186"/>
      <c r="U50" s="233"/>
      <c r="V50" s="216"/>
      <c r="W50" s="218"/>
      <c r="X50" s="218"/>
      <c r="Y50" s="216"/>
      <c r="Z50" s="216"/>
      <c r="AA50" s="252"/>
      <c r="AB50" s="252"/>
      <c r="AC50" s="252"/>
      <c r="AD50" s="253"/>
      <c r="AE50" s="252"/>
      <c r="AF50" s="252"/>
      <c r="AG50" s="252"/>
      <c r="AH50" s="252"/>
      <c r="AI50" s="252"/>
      <c r="AJ50" s="252"/>
      <c r="AK50" s="253"/>
      <c r="AL50" s="252"/>
      <c r="AM50" s="252"/>
      <c r="AN50" s="252"/>
      <c r="AO50" s="252"/>
      <c r="AP50" s="252"/>
      <c r="AQ50" s="252"/>
      <c r="AR50" s="252"/>
      <c r="AS50" s="252"/>
      <c r="AT50" s="252"/>
      <c r="AU50" s="252"/>
      <c r="AV50" s="1025"/>
      <c r="AW50" s="355"/>
      <c r="AX50" s="217"/>
      <c r="AY50" s="305"/>
      <c r="AZ50" s="249"/>
      <c r="BA50" s="216"/>
      <c r="BB50" s="1551"/>
      <c r="BC50" s="221"/>
      <c r="BD50" s="1552"/>
      <c r="BE50" s="1263"/>
      <c r="BF50" s="249"/>
      <c r="BG50" s="252"/>
      <c r="BH50" s="1543"/>
      <c r="BI50" s="1544"/>
      <c r="BJ50" s="1543"/>
      <c r="BK50" s="1545"/>
      <c r="BL50" s="260"/>
      <c r="BM50" s="216"/>
      <c r="BN50" s="1553"/>
      <c r="BO50" s="1553"/>
      <c r="BP50" s="1554"/>
      <c r="BQ50" s="216"/>
      <c r="BR50" s="1026"/>
      <c r="BS50" s="249"/>
      <c r="BT50" s="260"/>
      <c r="BU50" s="1026"/>
      <c r="BV50" s="249"/>
      <c r="BW50" s="260"/>
      <c r="BX50" s="1026"/>
      <c r="BY50" s="249"/>
      <c r="BZ50" s="260"/>
      <c r="CA50" s="1026"/>
      <c r="CB50" s="249"/>
      <c r="CC50" s="260"/>
      <c r="CD50" s="1026"/>
      <c r="CE50" s="1269"/>
      <c r="CF50" s="1270"/>
      <c r="CG50" s="1026"/>
      <c r="CH50" s="249"/>
      <c r="CI50" s="260"/>
      <c r="CJ50" s="1027"/>
      <c r="CK50" s="249"/>
      <c r="CL50" s="260"/>
      <c r="CM50" s="1555"/>
      <c r="CN50" s="249"/>
      <c r="CO50" s="216"/>
      <c r="CP50" s="1029"/>
      <c r="CQ50" s="249"/>
      <c r="CR50" s="216"/>
      <c r="CS50" s="1029"/>
      <c r="CT50" s="249"/>
      <c r="CU50" s="216"/>
      <c r="CV50" s="1027"/>
      <c r="CW50" s="249"/>
      <c r="CX50" s="221"/>
      <c r="CY50" s="1027"/>
      <c r="CZ50" s="249"/>
      <c r="DA50" s="216"/>
      <c r="DB50" s="1027" t="str">
        <f t="shared" ref="DB50:DB81" si="16">IF(OR(FT50=0,FG50=""),"",IF(VLOOKUP(F50,Zk_PrestAll,62,0)=0,"",VLOOKUP(F50,Zk_PrestAll,62,0)))</f>
        <v/>
      </c>
      <c r="DC50" s="249"/>
      <c r="DD50" s="2519" t="str">
        <f t="shared" ref="DD50:DD78" si="17">IF(DB50="","",ROUND(IF(W50=1,T_DirAnti,T_DirPost)*$U50,2))</f>
        <v/>
      </c>
      <c r="DE50" s="1027"/>
      <c r="DF50" s="1556"/>
      <c r="DG50" s="1557"/>
      <c r="DH50" s="1027"/>
      <c r="DI50" s="1556"/>
      <c r="DJ50" s="1558"/>
      <c r="DK50" s="1559"/>
      <c r="DL50" s="249"/>
      <c r="DM50" s="221"/>
      <c r="DN50" s="313"/>
      <c r="DO50" s="249"/>
      <c r="DP50" s="216"/>
      <c r="DQ50" s="313"/>
      <c r="DR50" s="249"/>
      <c r="DS50" s="221"/>
      <c r="DT50" s="313"/>
      <c r="DU50" s="249"/>
      <c r="DV50" s="221"/>
      <c r="DW50" s="1560"/>
      <c r="DX50" s="1561"/>
      <c r="DY50" s="1562"/>
      <c r="DZ50" s="350"/>
      <c r="EA50" s="249"/>
      <c r="EB50" s="221"/>
      <c r="EC50" s="313"/>
      <c r="ED50" s="249"/>
      <c r="EE50" s="221"/>
      <c r="EF50" s="313"/>
      <c r="EG50" s="249"/>
      <c r="EH50" s="221"/>
      <c r="EI50" s="313"/>
      <c r="EJ50" s="249"/>
      <c r="EK50" s="216"/>
      <c r="EL50" s="1435"/>
      <c r="EM50" s="1619"/>
      <c r="EN50" s="1268"/>
      <c r="EO50" s="1563"/>
      <c r="EP50" s="1268"/>
      <c r="EQ50" s="1563"/>
      <c r="ER50" s="1268"/>
      <c r="ES50" s="1563"/>
      <c r="ET50" s="1268"/>
      <c r="EU50" s="1682"/>
      <c r="EV50" s="1683"/>
      <c r="EW50" s="1684"/>
      <c r="EX50" s="1685"/>
      <c r="EY50" s="1496"/>
      <c r="EZ50" s="252"/>
      <c r="FA50" s="395"/>
      <c r="FB50" s="223"/>
      <c r="FC50" s="1496"/>
      <c r="FD50" s="252"/>
      <c r="FE50" s="1564"/>
      <c r="FG50" s="256"/>
      <c r="FH50" s="256"/>
      <c r="FI50" s="256"/>
      <c r="FJ50" s="256"/>
      <c r="FK50" s="126"/>
      <c r="FL50" s="126"/>
      <c r="FM50" s="126"/>
      <c r="FN50" s="126"/>
      <c r="FO50" s="957"/>
      <c r="FP50" s="49"/>
      <c r="FR50" s="1566"/>
      <c r="FS50" s="1566"/>
      <c r="FT50" s="1566"/>
      <c r="FU50" s="2879"/>
      <c r="FV50" s="2880"/>
      <c r="FW50" s="2881"/>
      <c r="FX50" s="64"/>
      <c r="FY50" s="64"/>
      <c r="FZ50" s="64"/>
      <c r="GA50" s="64"/>
      <c r="GB50" s="64"/>
      <c r="GC50" s="64"/>
      <c r="GD50" s="64"/>
      <c r="GE50" s="64"/>
      <c r="GF50" s="64"/>
      <c r="GG50" s="64"/>
      <c r="GH50" s="64"/>
      <c r="GI50" s="64"/>
      <c r="GJ50" s="64"/>
      <c r="GK50" s="64"/>
      <c r="GL50" s="64"/>
      <c r="GM50" s="64"/>
      <c r="GN50" s="64"/>
      <c r="GO50" s="64"/>
      <c r="GP50" s="64"/>
      <c r="GQ50" s="64"/>
      <c r="GR50" s="64"/>
      <c r="GS50" s="64"/>
      <c r="GT50" s="64"/>
      <c r="GU50" s="64"/>
      <c r="GV50" s="64"/>
      <c r="GW50" s="64"/>
      <c r="GX50" s="64"/>
      <c r="GY50" s="64"/>
      <c r="GZ50" s="64"/>
      <c r="HA50" s="64"/>
      <c r="HB50" s="64"/>
      <c r="HC50" s="64"/>
      <c r="HD50" s="64"/>
      <c r="HE50" s="64"/>
      <c r="HF50" s="64"/>
      <c r="HG50" s="64"/>
      <c r="HH50" s="64"/>
      <c r="HI50" s="64"/>
      <c r="HJ50" s="64"/>
      <c r="HK50" s="64"/>
      <c r="HL50" s="64"/>
      <c r="HM50" s="64"/>
      <c r="HN50" s="64"/>
      <c r="HO50" s="64"/>
      <c r="HP50" s="64"/>
      <c r="HQ50" s="64"/>
      <c r="HR50" s="64"/>
      <c r="HS50" s="64"/>
      <c r="HT50" s="64"/>
      <c r="HU50" s="64"/>
      <c r="HV50" s="64"/>
      <c r="HW50" s="64"/>
      <c r="HX50" s="64"/>
      <c r="HY50" s="64"/>
      <c r="HZ50" s="64"/>
      <c r="IA50" s="64"/>
      <c r="IB50" s="64"/>
      <c r="IC50" s="64"/>
      <c r="ID50" s="64"/>
      <c r="IE50" s="64"/>
      <c r="IF50" s="64"/>
      <c r="IG50" s="64"/>
      <c r="IH50" s="64"/>
      <c r="II50" s="64"/>
      <c r="IJ50" s="64"/>
      <c r="IK50" s="64"/>
      <c r="IL50" s="64"/>
      <c r="IM50" s="64"/>
      <c r="IN50" s="64"/>
      <c r="IO50" s="64"/>
      <c r="IP50" s="64"/>
      <c r="IQ50" s="64"/>
      <c r="IR50" s="64"/>
      <c r="IS50" s="64"/>
      <c r="IT50" s="64"/>
      <c r="IU50" s="64"/>
    </row>
    <row r="51" spans="1:255" s="1565" customFormat="1" ht="13.5" customHeight="1">
      <c r="A51" s="1023"/>
      <c r="B51" s="1023"/>
      <c r="C51" s="1023"/>
      <c r="D51" s="1549"/>
      <c r="E51" s="1549"/>
      <c r="F51" s="1549"/>
      <c r="G51" s="1549"/>
      <c r="H51" s="1549"/>
      <c r="I51" s="1549"/>
      <c r="J51" s="1549"/>
      <c r="K51" s="1549"/>
      <c r="L51" s="1549"/>
      <c r="M51" s="1549"/>
      <c r="N51" s="1549"/>
      <c r="O51" s="1549"/>
      <c r="P51" s="1549"/>
      <c r="Q51" s="1550"/>
      <c r="R51" s="1550"/>
      <c r="S51" s="1550"/>
      <c r="T51" s="1186"/>
      <c r="U51" s="233"/>
      <c r="V51" s="216"/>
      <c r="W51" s="218"/>
      <c r="X51" s="218"/>
      <c r="Y51" s="216"/>
      <c r="Z51" s="216"/>
      <c r="AA51" s="252"/>
      <c r="AB51" s="252"/>
      <c r="AC51" s="252"/>
      <c r="AD51" s="253"/>
      <c r="AE51" s="252"/>
      <c r="AF51" s="252"/>
      <c r="AG51" s="252"/>
      <c r="AH51" s="252"/>
      <c r="AI51" s="252"/>
      <c r="AJ51" s="252"/>
      <c r="AK51" s="253"/>
      <c r="AL51" s="252"/>
      <c r="AM51" s="252"/>
      <c r="AN51" s="252"/>
      <c r="AO51" s="252"/>
      <c r="AP51" s="252"/>
      <c r="AQ51" s="252"/>
      <c r="AR51" s="252"/>
      <c r="AS51" s="252"/>
      <c r="AT51" s="252"/>
      <c r="AU51" s="252"/>
      <c r="AV51" s="1025"/>
      <c r="AW51" s="355"/>
      <c r="AX51" s="217"/>
      <c r="AY51" s="305"/>
      <c r="AZ51" s="249"/>
      <c r="BA51" s="216"/>
      <c r="BB51" s="1551"/>
      <c r="BC51" s="221"/>
      <c r="BD51" s="1552"/>
      <c r="BE51" s="1263"/>
      <c r="BF51" s="249"/>
      <c r="BG51" s="252"/>
      <c r="BH51" s="1543"/>
      <c r="BI51" s="1544"/>
      <c r="BJ51" s="1543"/>
      <c r="BK51" s="1545"/>
      <c r="BL51" s="260"/>
      <c r="BM51" s="216"/>
      <c r="BN51" s="1553"/>
      <c r="BO51" s="1553"/>
      <c r="BP51" s="1554"/>
      <c r="BQ51" s="216"/>
      <c r="BR51" s="1026"/>
      <c r="BS51" s="249"/>
      <c r="BT51" s="260"/>
      <c r="BU51" s="1026"/>
      <c r="BV51" s="249"/>
      <c r="BW51" s="260"/>
      <c r="BX51" s="1026"/>
      <c r="BY51" s="249"/>
      <c r="BZ51" s="260"/>
      <c r="CA51" s="1026"/>
      <c r="CB51" s="249"/>
      <c r="CC51" s="260"/>
      <c r="CD51" s="1026"/>
      <c r="CE51" s="1269"/>
      <c r="CF51" s="1270"/>
      <c r="CG51" s="1026"/>
      <c r="CH51" s="249"/>
      <c r="CI51" s="260"/>
      <c r="CJ51" s="1027"/>
      <c r="CK51" s="249"/>
      <c r="CL51" s="260"/>
      <c r="CM51" s="1555"/>
      <c r="CN51" s="249"/>
      <c r="CO51" s="216"/>
      <c r="CP51" s="1029"/>
      <c r="CQ51" s="249"/>
      <c r="CR51" s="216"/>
      <c r="CS51" s="1029"/>
      <c r="CT51" s="249"/>
      <c r="CU51" s="216"/>
      <c r="CV51" s="1027"/>
      <c r="CW51" s="249"/>
      <c r="CX51" s="221"/>
      <c r="CY51" s="1027"/>
      <c r="CZ51" s="249"/>
      <c r="DA51" s="216"/>
      <c r="DB51" s="1027" t="str">
        <f t="shared" si="16"/>
        <v/>
      </c>
      <c r="DC51" s="249"/>
      <c r="DD51" s="2519" t="str">
        <f t="shared" si="17"/>
        <v/>
      </c>
      <c r="DE51" s="1027"/>
      <c r="DF51" s="1556"/>
      <c r="DG51" s="1557"/>
      <c r="DH51" s="1027"/>
      <c r="DI51" s="1556"/>
      <c r="DJ51" s="1558"/>
      <c r="DK51" s="1559"/>
      <c r="DL51" s="249"/>
      <c r="DM51" s="221"/>
      <c r="DN51" s="313"/>
      <c r="DO51" s="249"/>
      <c r="DP51" s="216"/>
      <c r="DQ51" s="313"/>
      <c r="DR51" s="249"/>
      <c r="DS51" s="221"/>
      <c r="DT51" s="313"/>
      <c r="DU51" s="249"/>
      <c r="DV51" s="221"/>
      <c r="DW51" s="1560"/>
      <c r="DX51" s="1561"/>
      <c r="DY51" s="1562"/>
      <c r="DZ51" s="350"/>
      <c r="EA51" s="249"/>
      <c r="EB51" s="221"/>
      <c r="EC51" s="313"/>
      <c r="ED51" s="249"/>
      <c r="EE51" s="221"/>
      <c r="EF51" s="313"/>
      <c r="EG51" s="249"/>
      <c r="EH51" s="221"/>
      <c r="EI51" s="313"/>
      <c r="EJ51" s="249"/>
      <c r="EK51" s="216"/>
      <c r="EL51" s="1435"/>
      <c r="EM51" s="1619"/>
      <c r="EN51" s="1268"/>
      <c r="EO51" s="1563"/>
      <c r="EP51" s="1268"/>
      <c r="EQ51" s="1563"/>
      <c r="ER51" s="1268"/>
      <c r="ES51" s="1563"/>
      <c r="ET51" s="1268"/>
      <c r="EU51" s="1682"/>
      <c r="EV51" s="1683"/>
      <c r="EW51" s="1684"/>
      <c r="EX51" s="1685"/>
      <c r="EY51" s="1496"/>
      <c r="EZ51" s="252"/>
      <c r="FA51" s="395"/>
      <c r="FB51" s="223"/>
      <c r="FC51" s="1496"/>
      <c r="FD51" s="252"/>
      <c r="FE51" s="1564"/>
      <c r="FG51" s="256"/>
      <c r="FH51" s="256"/>
      <c r="FI51" s="256"/>
      <c r="FJ51" s="256"/>
      <c r="FK51" s="126"/>
      <c r="FL51" s="126"/>
      <c r="FM51" s="126"/>
      <c r="FN51" s="126"/>
      <c r="FO51" s="957"/>
      <c r="FP51" s="49"/>
      <c r="FR51" s="1566"/>
      <c r="FS51" s="1566"/>
      <c r="FT51" s="1566"/>
      <c r="FU51" s="2879"/>
      <c r="FV51" s="2880"/>
      <c r="FW51" s="2881"/>
      <c r="FX51" s="64"/>
      <c r="FY51" s="64"/>
      <c r="FZ51" s="64"/>
      <c r="GA51" s="64"/>
      <c r="GB51" s="64"/>
      <c r="GC51" s="64"/>
      <c r="GD51" s="64"/>
      <c r="GE51" s="64"/>
      <c r="GF51" s="64"/>
      <c r="GG51" s="64"/>
      <c r="GH51" s="64"/>
      <c r="GI51" s="64"/>
      <c r="GJ51" s="64"/>
      <c r="GK51" s="64"/>
      <c r="GL51" s="64"/>
      <c r="GM51" s="64"/>
      <c r="GN51" s="64"/>
      <c r="GO51" s="64"/>
      <c r="GP51" s="64"/>
      <c r="GQ51" s="64"/>
      <c r="GR51" s="64"/>
      <c r="GS51" s="64"/>
      <c r="GT51" s="64"/>
      <c r="GU51" s="64"/>
      <c r="GV51" s="64"/>
      <c r="GW51" s="64"/>
      <c r="GX51" s="64"/>
      <c r="GY51" s="64"/>
      <c r="GZ51" s="64"/>
      <c r="HA51" s="64"/>
      <c r="HB51" s="64"/>
      <c r="HC51" s="64"/>
      <c r="HD51" s="64"/>
      <c r="HE51" s="64"/>
      <c r="HF51" s="64"/>
      <c r="HG51" s="64"/>
      <c r="HH51" s="64"/>
      <c r="HI51" s="64"/>
      <c r="HJ51" s="64"/>
      <c r="HK51" s="64"/>
      <c r="HL51" s="64"/>
      <c r="HM51" s="64"/>
      <c r="HN51" s="64"/>
      <c r="HO51" s="64"/>
      <c r="HP51" s="64"/>
      <c r="HQ51" s="64"/>
      <c r="HR51" s="64"/>
      <c r="HS51" s="64"/>
      <c r="HT51" s="64"/>
      <c r="HU51" s="64"/>
      <c r="HV51" s="64"/>
      <c r="HW51" s="64"/>
      <c r="HX51" s="64"/>
      <c r="HY51" s="64"/>
      <c r="HZ51" s="64"/>
      <c r="IA51" s="64"/>
      <c r="IB51" s="64"/>
      <c r="IC51" s="64"/>
      <c r="ID51" s="64"/>
      <c r="IE51" s="64"/>
      <c r="IF51" s="64"/>
      <c r="IG51" s="64"/>
      <c r="IH51" s="64"/>
      <c r="II51" s="64"/>
      <c r="IJ51" s="64"/>
      <c r="IK51" s="64"/>
      <c r="IL51" s="64"/>
      <c r="IM51" s="64"/>
      <c r="IN51" s="64"/>
      <c r="IO51" s="64"/>
      <c r="IP51" s="64"/>
      <c r="IQ51" s="64"/>
      <c r="IR51" s="64"/>
      <c r="IS51" s="64"/>
      <c r="IT51" s="64"/>
      <c r="IU51" s="64"/>
    </row>
    <row r="52" spans="1:255" s="1565" customFormat="1" ht="13.5" customHeight="1">
      <c r="A52" s="1023"/>
      <c r="B52" s="1023"/>
      <c r="C52" s="1023"/>
      <c r="D52" s="1549"/>
      <c r="E52" s="1549"/>
      <c r="F52" s="1549"/>
      <c r="G52" s="1549"/>
      <c r="H52" s="1549"/>
      <c r="I52" s="1549"/>
      <c r="J52" s="1549"/>
      <c r="K52" s="1549"/>
      <c r="L52" s="1549"/>
      <c r="M52" s="1549"/>
      <c r="N52" s="1549"/>
      <c r="O52" s="1549"/>
      <c r="P52" s="1549"/>
      <c r="Q52" s="1550"/>
      <c r="R52" s="1550"/>
      <c r="S52" s="1550"/>
      <c r="T52" s="1186"/>
      <c r="U52" s="233"/>
      <c r="V52" s="216"/>
      <c r="W52" s="218"/>
      <c r="X52" s="218"/>
      <c r="Y52" s="216"/>
      <c r="Z52" s="216"/>
      <c r="AA52" s="252"/>
      <c r="AB52" s="252"/>
      <c r="AC52" s="252"/>
      <c r="AD52" s="253"/>
      <c r="AE52" s="252"/>
      <c r="AF52" s="252"/>
      <c r="AG52" s="252"/>
      <c r="AH52" s="252"/>
      <c r="AI52" s="252"/>
      <c r="AJ52" s="252"/>
      <c r="AK52" s="253"/>
      <c r="AL52" s="252"/>
      <c r="AM52" s="252"/>
      <c r="AN52" s="252"/>
      <c r="AO52" s="252"/>
      <c r="AP52" s="252"/>
      <c r="AQ52" s="252"/>
      <c r="AR52" s="252"/>
      <c r="AS52" s="252"/>
      <c r="AT52" s="252"/>
      <c r="AU52" s="252"/>
      <c r="AV52" s="1025"/>
      <c r="AW52" s="355"/>
      <c r="AX52" s="217"/>
      <c r="AY52" s="305"/>
      <c r="AZ52" s="249"/>
      <c r="BA52" s="216"/>
      <c r="BB52" s="1551"/>
      <c r="BC52" s="221"/>
      <c r="BD52" s="1552"/>
      <c r="BE52" s="1263"/>
      <c r="BF52" s="249"/>
      <c r="BG52" s="252"/>
      <c r="BH52" s="1543"/>
      <c r="BI52" s="1544"/>
      <c r="BJ52" s="1543"/>
      <c r="BK52" s="1545"/>
      <c r="BL52" s="260"/>
      <c r="BM52" s="216"/>
      <c r="BN52" s="1553"/>
      <c r="BO52" s="1553"/>
      <c r="BP52" s="1554"/>
      <c r="BQ52" s="216"/>
      <c r="BR52" s="1026"/>
      <c r="BS52" s="249"/>
      <c r="BT52" s="260"/>
      <c r="BU52" s="1026"/>
      <c r="BV52" s="249"/>
      <c r="BW52" s="260"/>
      <c r="BX52" s="1026"/>
      <c r="BY52" s="249"/>
      <c r="BZ52" s="260"/>
      <c r="CA52" s="1026"/>
      <c r="CB52" s="249"/>
      <c r="CC52" s="260"/>
      <c r="CD52" s="1026"/>
      <c r="CE52" s="1269"/>
      <c r="CF52" s="1270"/>
      <c r="CG52" s="1026"/>
      <c r="CH52" s="249"/>
      <c r="CI52" s="260"/>
      <c r="CJ52" s="1027"/>
      <c r="CK52" s="249"/>
      <c r="CL52" s="260"/>
      <c r="CM52" s="1555"/>
      <c r="CN52" s="249"/>
      <c r="CO52" s="216"/>
      <c r="CP52" s="1029"/>
      <c r="CQ52" s="249"/>
      <c r="CR52" s="216"/>
      <c r="CS52" s="1029"/>
      <c r="CT52" s="249"/>
      <c r="CU52" s="216"/>
      <c r="CV52" s="1027"/>
      <c r="CW52" s="249"/>
      <c r="CX52" s="221"/>
      <c r="CY52" s="1027"/>
      <c r="CZ52" s="249"/>
      <c r="DA52" s="216"/>
      <c r="DB52" s="1027" t="str">
        <f t="shared" si="16"/>
        <v/>
      </c>
      <c r="DC52" s="249"/>
      <c r="DD52" s="2519" t="str">
        <f t="shared" si="17"/>
        <v/>
      </c>
      <c r="DE52" s="1027"/>
      <c r="DF52" s="1556"/>
      <c r="DG52" s="1557"/>
      <c r="DH52" s="1027"/>
      <c r="DI52" s="1556"/>
      <c r="DJ52" s="1558"/>
      <c r="DK52" s="1559"/>
      <c r="DL52" s="249"/>
      <c r="DM52" s="221"/>
      <c r="DN52" s="313"/>
      <c r="DO52" s="249"/>
      <c r="DP52" s="216"/>
      <c r="DQ52" s="313"/>
      <c r="DR52" s="249"/>
      <c r="DS52" s="221"/>
      <c r="DT52" s="313"/>
      <c r="DU52" s="249"/>
      <c r="DV52" s="221"/>
      <c r="DW52" s="1560"/>
      <c r="DX52" s="1561"/>
      <c r="DY52" s="1562"/>
      <c r="DZ52" s="350"/>
      <c r="EA52" s="249"/>
      <c r="EB52" s="221"/>
      <c r="EC52" s="313"/>
      <c r="ED52" s="249"/>
      <c r="EE52" s="221"/>
      <c r="EF52" s="313"/>
      <c r="EG52" s="249"/>
      <c r="EH52" s="221"/>
      <c r="EI52" s="313"/>
      <c r="EJ52" s="249"/>
      <c r="EK52" s="216"/>
      <c r="EL52" s="1435"/>
      <c r="EM52" s="1619"/>
      <c r="EN52" s="1268"/>
      <c r="EO52" s="1563"/>
      <c r="EP52" s="1268"/>
      <c r="EQ52" s="1563"/>
      <c r="ER52" s="1268"/>
      <c r="ES52" s="1563"/>
      <c r="ET52" s="1268"/>
      <c r="EU52" s="1682"/>
      <c r="EV52" s="1683"/>
      <c r="EW52" s="1684"/>
      <c r="EX52" s="1685"/>
      <c r="EY52" s="1496"/>
      <c r="EZ52" s="252"/>
      <c r="FA52" s="395"/>
      <c r="FB52" s="223"/>
      <c r="FC52" s="1496"/>
      <c r="FD52" s="252"/>
      <c r="FE52" s="1564"/>
      <c r="FG52" s="256"/>
      <c r="FH52" s="256"/>
      <c r="FI52" s="256"/>
      <c r="FJ52" s="256"/>
      <c r="FK52" s="126"/>
      <c r="FL52" s="126"/>
      <c r="FM52" s="126"/>
      <c r="FN52" s="126"/>
      <c r="FO52" s="957"/>
      <c r="FP52" s="49"/>
      <c r="FR52" s="1566"/>
      <c r="FS52" s="1566"/>
      <c r="FT52" s="1566"/>
      <c r="FU52" s="2879"/>
      <c r="FV52" s="2880"/>
      <c r="FW52" s="2881"/>
      <c r="FX52" s="64"/>
      <c r="FY52" s="64"/>
      <c r="FZ52" s="64"/>
      <c r="GA52" s="64"/>
      <c r="GB52" s="64"/>
      <c r="GC52" s="64"/>
      <c r="GD52" s="64"/>
      <c r="GE52" s="64"/>
      <c r="GF52" s="64"/>
      <c r="GG52" s="64"/>
      <c r="GH52" s="64"/>
      <c r="GI52" s="64"/>
      <c r="GJ52" s="64"/>
      <c r="GK52" s="64"/>
      <c r="GL52" s="64"/>
      <c r="GM52" s="64"/>
      <c r="GN52" s="64"/>
      <c r="GO52" s="64"/>
      <c r="GP52" s="64"/>
      <c r="GQ52" s="64"/>
      <c r="GR52" s="64"/>
      <c r="GS52" s="64"/>
      <c r="GT52" s="64"/>
      <c r="GU52" s="64"/>
      <c r="GV52" s="64"/>
      <c r="GW52" s="64"/>
      <c r="GX52" s="64"/>
      <c r="GY52" s="64"/>
      <c r="GZ52" s="64"/>
      <c r="HA52" s="64"/>
      <c r="HB52" s="64"/>
      <c r="HC52" s="64"/>
      <c r="HD52" s="64"/>
      <c r="HE52" s="64"/>
      <c r="HF52" s="64"/>
      <c r="HG52" s="64"/>
      <c r="HH52" s="64"/>
      <c r="HI52" s="64"/>
      <c r="HJ52" s="64"/>
      <c r="HK52" s="64"/>
      <c r="HL52" s="64"/>
      <c r="HM52" s="64"/>
      <c r="HN52" s="64"/>
      <c r="HO52" s="64"/>
      <c r="HP52" s="64"/>
      <c r="HQ52" s="64"/>
      <c r="HR52" s="64"/>
      <c r="HS52" s="64"/>
      <c r="HT52" s="64"/>
      <c r="HU52" s="64"/>
      <c r="HV52" s="64"/>
      <c r="HW52" s="64"/>
      <c r="HX52" s="64"/>
      <c r="HY52" s="64"/>
      <c r="HZ52" s="64"/>
      <c r="IA52" s="64"/>
      <c r="IB52" s="64"/>
      <c r="IC52" s="64"/>
      <c r="ID52" s="64"/>
      <c r="IE52" s="64"/>
      <c r="IF52" s="64"/>
      <c r="IG52" s="64"/>
      <c r="IH52" s="64"/>
      <c r="II52" s="64"/>
      <c r="IJ52" s="64"/>
      <c r="IK52" s="64"/>
      <c r="IL52" s="64"/>
      <c r="IM52" s="64"/>
      <c r="IN52" s="64"/>
      <c r="IO52" s="64"/>
      <c r="IP52" s="64"/>
      <c r="IQ52" s="64"/>
      <c r="IR52" s="64"/>
      <c r="IS52" s="64"/>
      <c r="IT52" s="64"/>
      <c r="IU52" s="64"/>
    </row>
    <row r="53" spans="1:255" s="1565" customFormat="1" ht="13.5" customHeight="1">
      <c r="A53" s="1023"/>
      <c r="B53" s="1023"/>
      <c r="C53" s="1023"/>
      <c r="D53" s="1549"/>
      <c r="E53" s="1549"/>
      <c r="F53" s="1549"/>
      <c r="G53" s="1549"/>
      <c r="H53" s="1549"/>
      <c r="I53" s="1549"/>
      <c r="J53" s="1549"/>
      <c r="K53" s="1549"/>
      <c r="L53" s="1549"/>
      <c r="M53" s="1549"/>
      <c r="N53" s="1549"/>
      <c r="O53" s="1549"/>
      <c r="P53" s="1549"/>
      <c r="Q53" s="1550"/>
      <c r="R53" s="1550"/>
      <c r="S53" s="1550"/>
      <c r="T53" s="1186"/>
      <c r="U53" s="233"/>
      <c r="V53" s="216"/>
      <c r="W53" s="218"/>
      <c r="X53" s="218"/>
      <c r="Y53" s="216"/>
      <c r="Z53" s="216"/>
      <c r="AA53" s="252"/>
      <c r="AB53" s="252"/>
      <c r="AC53" s="252"/>
      <c r="AD53" s="253"/>
      <c r="AE53" s="252"/>
      <c r="AF53" s="252"/>
      <c r="AG53" s="252"/>
      <c r="AH53" s="252"/>
      <c r="AI53" s="252"/>
      <c r="AJ53" s="252"/>
      <c r="AK53" s="253"/>
      <c r="AL53" s="252"/>
      <c r="AM53" s="252"/>
      <c r="AN53" s="252"/>
      <c r="AO53" s="252"/>
      <c r="AP53" s="252"/>
      <c r="AQ53" s="252"/>
      <c r="AR53" s="252"/>
      <c r="AS53" s="252"/>
      <c r="AT53" s="252"/>
      <c r="AU53" s="252"/>
      <c r="AV53" s="1025"/>
      <c r="AW53" s="355"/>
      <c r="AX53" s="217"/>
      <c r="AY53" s="305"/>
      <c r="AZ53" s="249"/>
      <c r="BA53" s="216"/>
      <c r="BB53" s="1551"/>
      <c r="BC53" s="221"/>
      <c r="BD53" s="1552"/>
      <c r="BE53" s="1263"/>
      <c r="BF53" s="249"/>
      <c r="BG53" s="252"/>
      <c r="BH53" s="1543"/>
      <c r="BI53" s="1544"/>
      <c r="BJ53" s="1543"/>
      <c r="BK53" s="1545"/>
      <c r="BL53" s="260"/>
      <c r="BM53" s="216"/>
      <c r="BN53" s="1553"/>
      <c r="BO53" s="1553"/>
      <c r="BP53" s="1554"/>
      <c r="BQ53" s="216"/>
      <c r="BR53" s="1026"/>
      <c r="BS53" s="249"/>
      <c r="BT53" s="260"/>
      <c r="BU53" s="1026"/>
      <c r="BV53" s="249"/>
      <c r="BW53" s="260"/>
      <c r="BX53" s="1026"/>
      <c r="BY53" s="249"/>
      <c r="BZ53" s="260"/>
      <c r="CA53" s="1026"/>
      <c r="CB53" s="249"/>
      <c r="CC53" s="260"/>
      <c r="CD53" s="1026"/>
      <c r="CE53" s="1269"/>
      <c r="CF53" s="1270"/>
      <c r="CG53" s="1026"/>
      <c r="CH53" s="249"/>
      <c r="CI53" s="260"/>
      <c r="CJ53" s="1027"/>
      <c r="CK53" s="249"/>
      <c r="CL53" s="260"/>
      <c r="CM53" s="1555"/>
      <c r="CN53" s="249"/>
      <c r="CO53" s="216"/>
      <c r="CP53" s="1029"/>
      <c r="CQ53" s="249"/>
      <c r="CR53" s="216"/>
      <c r="CS53" s="1029"/>
      <c r="CT53" s="249"/>
      <c r="CU53" s="216"/>
      <c r="CV53" s="1027"/>
      <c r="CW53" s="249"/>
      <c r="CX53" s="221"/>
      <c r="CY53" s="1027"/>
      <c r="CZ53" s="249"/>
      <c r="DA53" s="216"/>
      <c r="DB53" s="1027" t="str">
        <f t="shared" si="16"/>
        <v/>
      </c>
      <c r="DC53" s="249"/>
      <c r="DD53" s="2519" t="str">
        <f t="shared" si="17"/>
        <v/>
      </c>
      <c r="DE53" s="1027"/>
      <c r="DF53" s="1556"/>
      <c r="DG53" s="1557"/>
      <c r="DH53" s="1027"/>
      <c r="DI53" s="1556"/>
      <c r="DJ53" s="1558"/>
      <c r="DK53" s="1559"/>
      <c r="DL53" s="249"/>
      <c r="DM53" s="221"/>
      <c r="DN53" s="313"/>
      <c r="DO53" s="249"/>
      <c r="DP53" s="216"/>
      <c r="DQ53" s="313"/>
      <c r="DR53" s="249"/>
      <c r="DS53" s="221"/>
      <c r="DT53" s="313"/>
      <c r="DU53" s="249"/>
      <c r="DV53" s="221"/>
      <c r="DW53" s="1560"/>
      <c r="DX53" s="1561"/>
      <c r="DY53" s="1562"/>
      <c r="DZ53" s="350"/>
      <c r="EA53" s="249"/>
      <c r="EB53" s="221"/>
      <c r="EC53" s="313"/>
      <c r="ED53" s="249"/>
      <c r="EE53" s="221"/>
      <c r="EF53" s="313"/>
      <c r="EG53" s="249"/>
      <c r="EH53" s="221"/>
      <c r="EI53" s="313"/>
      <c r="EJ53" s="249"/>
      <c r="EK53" s="216"/>
      <c r="EL53" s="1435"/>
      <c r="EM53" s="1619"/>
      <c r="EN53" s="1268"/>
      <c r="EO53" s="1563"/>
      <c r="EP53" s="1268"/>
      <c r="EQ53" s="1563"/>
      <c r="ER53" s="1268"/>
      <c r="ES53" s="1563"/>
      <c r="ET53" s="1268"/>
      <c r="EU53" s="1682"/>
      <c r="EV53" s="1683"/>
      <c r="EW53" s="1684"/>
      <c r="EX53" s="1685"/>
      <c r="EY53" s="1496"/>
      <c r="EZ53" s="252"/>
      <c r="FA53" s="395"/>
      <c r="FB53" s="223"/>
      <c r="FC53" s="1496"/>
      <c r="FD53" s="252"/>
      <c r="FE53" s="1564"/>
      <c r="FG53" s="256"/>
      <c r="FH53" s="256"/>
      <c r="FI53" s="256"/>
      <c r="FJ53" s="256"/>
      <c r="FK53" s="126"/>
      <c r="FL53" s="126"/>
      <c r="FM53" s="126"/>
      <c r="FN53" s="126"/>
      <c r="FO53" s="957"/>
      <c r="FP53" s="49"/>
      <c r="FR53" s="1566"/>
      <c r="FS53" s="1566"/>
      <c r="FT53" s="1566"/>
      <c r="FU53" s="2879"/>
      <c r="FV53" s="2880"/>
      <c r="FW53" s="2881"/>
      <c r="FX53" s="64"/>
      <c r="FY53" s="64"/>
      <c r="FZ53" s="64"/>
      <c r="GA53" s="64"/>
      <c r="GB53" s="64"/>
      <c r="GC53" s="64"/>
      <c r="GD53" s="64"/>
      <c r="GE53" s="64"/>
      <c r="GF53" s="64"/>
      <c r="GG53" s="64"/>
      <c r="GH53" s="64"/>
      <c r="GI53" s="64"/>
      <c r="GJ53" s="64"/>
      <c r="GK53" s="64"/>
      <c r="GL53" s="64"/>
      <c r="GM53" s="64"/>
      <c r="GN53" s="64"/>
      <c r="GO53" s="64"/>
      <c r="GP53" s="64"/>
      <c r="GQ53" s="64"/>
      <c r="GR53" s="64"/>
      <c r="GS53" s="64"/>
      <c r="GT53" s="64"/>
      <c r="GU53" s="64"/>
      <c r="GV53" s="64"/>
      <c r="GW53" s="64"/>
      <c r="GX53" s="64"/>
      <c r="GY53" s="64"/>
      <c r="GZ53" s="64"/>
      <c r="HA53" s="64"/>
      <c r="HB53" s="64"/>
      <c r="HC53" s="64"/>
      <c r="HD53" s="64"/>
      <c r="HE53" s="64"/>
      <c r="HF53" s="64"/>
      <c r="HG53" s="64"/>
      <c r="HH53" s="64"/>
      <c r="HI53" s="64"/>
      <c r="HJ53" s="64"/>
      <c r="HK53" s="64"/>
      <c r="HL53" s="64"/>
      <c r="HM53" s="64"/>
      <c r="HN53" s="64"/>
      <c r="HO53" s="64"/>
      <c r="HP53" s="64"/>
      <c r="HQ53" s="64"/>
      <c r="HR53" s="64"/>
      <c r="HS53" s="64"/>
      <c r="HT53" s="64"/>
      <c r="HU53" s="64"/>
      <c r="HV53" s="64"/>
      <c r="HW53" s="64"/>
      <c r="HX53" s="64"/>
      <c r="HY53" s="64"/>
      <c r="HZ53" s="64"/>
      <c r="IA53" s="64"/>
      <c r="IB53" s="64"/>
      <c r="IC53" s="64"/>
      <c r="ID53" s="64"/>
      <c r="IE53" s="64"/>
      <c r="IF53" s="64"/>
      <c r="IG53" s="64"/>
      <c r="IH53" s="64"/>
      <c r="II53" s="64"/>
      <c r="IJ53" s="64"/>
      <c r="IK53" s="64"/>
      <c r="IL53" s="64"/>
      <c r="IM53" s="64"/>
      <c r="IN53" s="64"/>
      <c r="IO53" s="64"/>
      <c r="IP53" s="64"/>
      <c r="IQ53" s="64"/>
      <c r="IR53" s="64"/>
      <c r="IS53" s="64"/>
      <c r="IT53" s="64"/>
      <c r="IU53" s="64"/>
    </row>
    <row r="54" spans="1:255" s="1565" customFormat="1" ht="13.5" customHeight="1">
      <c r="A54" s="1023"/>
      <c r="B54" s="1023"/>
      <c r="C54" s="1023"/>
      <c r="D54" s="1549"/>
      <c r="E54" s="1549"/>
      <c r="F54" s="1549"/>
      <c r="G54" s="1549"/>
      <c r="H54" s="1549"/>
      <c r="I54" s="1549"/>
      <c r="J54" s="1549"/>
      <c r="K54" s="1549"/>
      <c r="L54" s="1549"/>
      <c r="M54" s="1549"/>
      <c r="N54" s="1549"/>
      <c r="O54" s="1549"/>
      <c r="P54" s="1549"/>
      <c r="Q54" s="1550"/>
      <c r="R54" s="1550"/>
      <c r="S54" s="1550"/>
      <c r="T54" s="1186"/>
      <c r="U54" s="233"/>
      <c r="V54" s="216"/>
      <c r="W54" s="218"/>
      <c r="X54" s="218"/>
      <c r="Y54" s="216"/>
      <c r="Z54" s="216"/>
      <c r="AA54" s="252"/>
      <c r="AB54" s="252"/>
      <c r="AC54" s="252"/>
      <c r="AD54" s="253"/>
      <c r="AE54" s="252"/>
      <c r="AF54" s="252"/>
      <c r="AG54" s="252"/>
      <c r="AH54" s="252"/>
      <c r="AI54" s="252"/>
      <c r="AJ54" s="252"/>
      <c r="AK54" s="253"/>
      <c r="AL54" s="252"/>
      <c r="AM54" s="252"/>
      <c r="AN54" s="252"/>
      <c r="AO54" s="252"/>
      <c r="AP54" s="252"/>
      <c r="AQ54" s="252"/>
      <c r="AR54" s="252"/>
      <c r="AS54" s="252"/>
      <c r="AT54" s="252"/>
      <c r="AU54" s="252"/>
      <c r="AV54" s="1025"/>
      <c r="AW54" s="355"/>
      <c r="AX54" s="217"/>
      <c r="AY54" s="305"/>
      <c r="AZ54" s="249"/>
      <c r="BA54" s="216"/>
      <c r="BB54" s="1551"/>
      <c r="BC54" s="221"/>
      <c r="BD54" s="1552"/>
      <c r="BE54" s="1263"/>
      <c r="BF54" s="249"/>
      <c r="BG54" s="252"/>
      <c r="BH54" s="1543"/>
      <c r="BI54" s="1544"/>
      <c r="BJ54" s="1543"/>
      <c r="BK54" s="1545"/>
      <c r="BL54" s="260"/>
      <c r="BM54" s="216"/>
      <c r="BN54" s="1553"/>
      <c r="BO54" s="1553"/>
      <c r="BP54" s="1554"/>
      <c r="BQ54" s="216"/>
      <c r="BR54" s="1026"/>
      <c r="BS54" s="249"/>
      <c r="BT54" s="260"/>
      <c r="BU54" s="1026"/>
      <c r="BV54" s="249"/>
      <c r="BW54" s="260"/>
      <c r="BX54" s="1026"/>
      <c r="BY54" s="249"/>
      <c r="BZ54" s="260"/>
      <c r="CA54" s="1026"/>
      <c r="CB54" s="249"/>
      <c r="CC54" s="260"/>
      <c r="CD54" s="1026"/>
      <c r="CE54" s="1269"/>
      <c r="CF54" s="1270"/>
      <c r="CG54" s="1026"/>
      <c r="CH54" s="249"/>
      <c r="CI54" s="260"/>
      <c r="CJ54" s="1027"/>
      <c r="CK54" s="249"/>
      <c r="CL54" s="260"/>
      <c r="CM54" s="1555"/>
      <c r="CN54" s="249"/>
      <c r="CO54" s="216"/>
      <c r="CP54" s="1029"/>
      <c r="CQ54" s="249"/>
      <c r="CR54" s="216"/>
      <c r="CS54" s="1029"/>
      <c r="CT54" s="249"/>
      <c r="CU54" s="216"/>
      <c r="CV54" s="1027"/>
      <c r="CW54" s="249"/>
      <c r="CX54" s="221"/>
      <c r="CY54" s="1027"/>
      <c r="CZ54" s="249"/>
      <c r="DA54" s="216"/>
      <c r="DB54" s="1027" t="str">
        <f t="shared" si="16"/>
        <v/>
      </c>
      <c r="DC54" s="249"/>
      <c r="DD54" s="2519" t="str">
        <f t="shared" si="17"/>
        <v/>
      </c>
      <c r="DE54" s="1027"/>
      <c r="DF54" s="1556"/>
      <c r="DG54" s="1557"/>
      <c r="DH54" s="1027"/>
      <c r="DI54" s="1556"/>
      <c r="DJ54" s="1558"/>
      <c r="DK54" s="1559"/>
      <c r="DL54" s="249"/>
      <c r="DM54" s="221"/>
      <c r="DN54" s="313"/>
      <c r="DO54" s="249"/>
      <c r="DP54" s="216"/>
      <c r="DQ54" s="313"/>
      <c r="DR54" s="249"/>
      <c r="DS54" s="221"/>
      <c r="DT54" s="313"/>
      <c r="DU54" s="249"/>
      <c r="DV54" s="221"/>
      <c r="DW54" s="1560"/>
      <c r="DX54" s="1561"/>
      <c r="DY54" s="1562"/>
      <c r="DZ54" s="350"/>
      <c r="EA54" s="249"/>
      <c r="EB54" s="221"/>
      <c r="EC54" s="313"/>
      <c r="ED54" s="249"/>
      <c r="EE54" s="221"/>
      <c r="EF54" s="313"/>
      <c r="EG54" s="249"/>
      <c r="EH54" s="221"/>
      <c r="EI54" s="313"/>
      <c r="EJ54" s="249"/>
      <c r="EK54" s="216"/>
      <c r="EL54" s="1435"/>
      <c r="EM54" s="1619"/>
      <c r="EN54" s="1268"/>
      <c r="EO54" s="1563"/>
      <c r="EP54" s="1268"/>
      <c r="EQ54" s="1563"/>
      <c r="ER54" s="1268"/>
      <c r="ES54" s="1563"/>
      <c r="ET54" s="1268"/>
      <c r="EU54" s="1682"/>
      <c r="EV54" s="1683"/>
      <c r="EW54" s="1684"/>
      <c r="EX54" s="1685"/>
      <c r="EY54" s="1496"/>
      <c r="EZ54" s="252"/>
      <c r="FA54" s="395"/>
      <c r="FB54" s="223"/>
      <c r="FC54" s="1496"/>
      <c r="FD54" s="252"/>
      <c r="FE54" s="1564"/>
      <c r="FG54" s="256"/>
      <c r="FH54" s="256"/>
      <c r="FI54" s="256"/>
      <c r="FJ54" s="256"/>
      <c r="FK54" s="126"/>
      <c r="FL54" s="126"/>
      <c r="FM54" s="126"/>
      <c r="FN54" s="126"/>
      <c r="FO54" s="957"/>
      <c r="FP54" s="49"/>
      <c r="FR54" s="1566"/>
      <c r="FS54" s="1566"/>
      <c r="FT54" s="1566"/>
      <c r="FU54" s="2879"/>
      <c r="FV54" s="2880"/>
      <c r="FW54" s="2881"/>
      <c r="FX54" s="64"/>
      <c r="FY54" s="64"/>
      <c r="FZ54" s="64"/>
      <c r="GA54" s="64"/>
      <c r="GB54" s="64"/>
      <c r="GC54" s="64"/>
      <c r="GD54" s="64"/>
      <c r="GE54" s="64"/>
      <c r="GF54" s="64"/>
      <c r="GG54" s="64"/>
      <c r="GH54" s="64"/>
      <c r="GI54" s="64"/>
      <c r="GJ54" s="64"/>
      <c r="GK54" s="64"/>
      <c r="GL54" s="64"/>
      <c r="GM54" s="64"/>
      <c r="GN54" s="64"/>
      <c r="GO54" s="64"/>
      <c r="GP54" s="64"/>
      <c r="GQ54" s="64"/>
      <c r="GR54" s="64"/>
      <c r="GS54" s="64"/>
      <c r="GT54" s="64"/>
      <c r="GU54" s="64"/>
      <c r="GV54" s="64"/>
      <c r="GW54" s="64"/>
      <c r="GX54" s="64"/>
      <c r="GY54" s="64"/>
      <c r="GZ54" s="64"/>
      <c r="HA54" s="64"/>
      <c r="HB54" s="64"/>
      <c r="HC54" s="64"/>
      <c r="HD54" s="64"/>
      <c r="HE54" s="64"/>
      <c r="HF54" s="64"/>
      <c r="HG54" s="64"/>
      <c r="HH54" s="64"/>
      <c r="HI54" s="64"/>
      <c r="HJ54" s="64"/>
      <c r="HK54" s="64"/>
      <c r="HL54" s="64"/>
      <c r="HM54" s="64"/>
      <c r="HN54" s="64"/>
      <c r="HO54" s="64"/>
      <c r="HP54" s="64"/>
      <c r="HQ54" s="64"/>
      <c r="HR54" s="64"/>
      <c r="HS54" s="64"/>
      <c r="HT54" s="64"/>
      <c r="HU54" s="64"/>
      <c r="HV54" s="64"/>
      <c r="HW54" s="64"/>
      <c r="HX54" s="64"/>
      <c r="HY54" s="64"/>
      <c r="HZ54" s="64"/>
      <c r="IA54" s="64"/>
      <c r="IB54" s="64"/>
      <c r="IC54" s="64"/>
      <c r="ID54" s="64"/>
      <c r="IE54" s="64"/>
      <c r="IF54" s="64"/>
      <c r="IG54" s="64"/>
      <c r="IH54" s="64"/>
      <c r="II54" s="64"/>
      <c r="IJ54" s="64"/>
      <c r="IK54" s="64"/>
      <c r="IL54" s="64"/>
      <c r="IM54" s="64"/>
      <c r="IN54" s="64"/>
      <c r="IO54" s="64"/>
      <c r="IP54" s="64"/>
      <c r="IQ54" s="64"/>
      <c r="IR54" s="64"/>
      <c r="IS54" s="64"/>
      <c r="IT54" s="64"/>
      <c r="IU54" s="64"/>
    </row>
    <row r="55" spans="1:255" s="1565" customFormat="1" ht="13.5" customHeight="1">
      <c r="A55" s="1023"/>
      <c r="B55" s="1023"/>
      <c r="C55" s="1023"/>
      <c r="D55" s="1549"/>
      <c r="E55" s="1549"/>
      <c r="F55" s="1549"/>
      <c r="G55" s="1549"/>
      <c r="H55" s="1549"/>
      <c r="I55" s="1549"/>
      <c r="J55" s="1549"/>
      <c r="K55" s="1549"/>
      <c r="L55" s="1549"/>
      <c r="M55" s="1549"/>
      <c r="N55" s="1549"/>
      <c r="O55" s="1549"/>
      <c r="P55" s="1549"/>
      <c r="Q55" s="1550"/>
      <c r="R55" s="1550"/>
      <c r="S55" s="1550"/>
      <c r="T55" s="1186"/>
      <c r="U55" s="233"/>
      <c r="V55" s="216"/>
      <c r="W55" s="218"/>
      <c r="X55" s="218"/>
      <c r="Y55" s="216"/>
      <c r="Z55" s="216"/>
      <c r="AA55" s="252"/>
      <c r="AB55" s="252"/>
      <c r="AC55" s="252"/>
      <c r="AD55" s="253"/>
      <c r="AE55" s="252"/>
      <c r="AF55" s="252"/>
      <c r="AG55" s="252"/>
      <c r="AH55" s="252"/>
      <c r="AI55" s="252"/>
      <c r="AJ55" s="252"/>
      <c r="AK55" s="253"/>
      <c r="AL55" s="252"/>
      <c r="AM55" s="252"/>
      <c r="AN55" s="252"/>
      <c r="AO55" s="252"/>
      <c r="AP55" s="252"/>
      <c r="AQ55" s="252"/>
      <c r="AR55" s="252"/>
      <c r="AS55" s="252"/>
      <c r="AT55" s="252"/>
      <c r="AU55" s="252"/>
      <c r="AV55" s="1025"/>
      <c r="AW55" s="355"/>
      <c r="AX55" s="217"/>
      <c r="AY55" s="305"/>
      <c r="AZ55" s="249"/>
      <c r="BA55" s="216"/>
      <c r="BB55" s="1551"/>
      <c r="BC55" s="221"/>
      <c r="BD55" s="1552"/>
      <c r="BE55" s="1263"/>
      <c r="BF55" s="249"/>
      <c r="BG55" s="252"/>
      <c r="BH55" s="1543"/>
      <c r="BI55" s="1544"/>
      <c r="BJ55" s="1543"/>
      <c r="BK55" s="1545"/>
      <c r="BL55" s="260"/>
      <c r="BM55" s="216"/>
      <c r="BN55" s="1553"/>
      <c r="BO55" s="1553"/>
      <c r="BP55" s="1554"/>
      <c r="BQ55" s="216"/>
      <c r="BR55" s="1026"/>
      <c r="BS55" s="249"/>
      <c r="BT55" s="260"/>
      <c r="BU55" s="1026"/>
      <c r="BV55" s="249"/>
      <c r="BW55" s="260"/>
      <c r="BX55" s="1026"/>
      <c r="BY55" s="249"/>
      <c r="BZ55" s="260"/>
      <c r="CA55" s="1026"/>
      <c r="CB55" s="249"/>
      <c r="CC55" s="260"/>
      <c r="CD55" s="1026"/>
      <c r="CE55" s="1269"/>
      <c r="CF55" s="1270"/>
      <c r="CG55" s="1026"/>
      <c r="CH55" s="249"/>
      <c r="CI55" s="260"/>
      <c r="CJ55" s="1027"/>
      <c r="CK55" s="249"/>
      <c r="CL55" s="260"/>
      <c r="CM55" s="1555"/>
      <c r="CN55" s="249"/>
      <c r="CO55" s="216"/>
      <c r="CP55" s="1029"/>
      <c r="CQ55" s="249"/>
      <c r="CR55" s="216"/>
      <c r="CS55" s="1029"/>
      <c r="CT55" s="249"/>
      <c r="CU55" s="216"/>
      <c r="CV55" s="1027"/>
      <c r="CW55" s="249"/>
      <c r="CX55" s="221"/>
      <c r="CY55" s="1027"/>
      <c r="CZ55" s="249"/>
      <c r="DA55" s="216"/>
      <c r="DB55" s="1027" t="str">
        <f t="shared" si="16"/>
        <v/>
      </c>
      <c r="DC55" s="249"/>
      <c r="DD55" s="2519" t="str">
        <f t="shared" si="17"/>
        <v/>
      </c>
      <c r="DE55" s="1027"/>
      <c r="DF55" s="1556"/>
      <c r="DG55" s="1557"/>
      <c r="DH55" s="1027"/>
      <c r="DI55" s="1556"/>
      <c r="DJ55" s="1558"/>
      <c r="DK55" s="1559"/>
      <c r="DL55" s="249"/>
      <c r="DM55" s="221"/>
      <c r="DN55" s="313"/>
      <c r="DO55" s="249"/>
      <c r="DP55" s="216"/>
      <c r="DQ55" s="313"/>
      <c r="DR55" s="249"/>
      <c r="DS55" s="221"/>
      <c r="DT55" s="313"/>
      <c r="DU55" s="249"/>
      <c r="DV55" s="221"/>
      <c r="DW55" s="1560"/>
      <c r="DX55" s="1561"/>
      <c r="DY55" s="1562"/>
      <c r="DZ55" s="350"/>
      <c r="EA55" s="249"/>
      <c r="EB55" s="221"/>
      <c r="EC55" s="313"/>
      <c r="ED55" s="249"/>
      <c r="EE55" s="221"/>
      <c r="EF55" s="313"/>
      <c r="EG55" s="249"/>
      <c r="EH55" s="221"/>
      <c r="EI55" s="313"/>
      <c r="EJ55" s="249"/>
      <c r="EK55" s="216"/>
      <c r="EL55" s="1435"/>
      <c r="EM55" s="1619"/>
      <c r="EN55" s="1268"/>
      <c r="EO55" s="1563"/>
      <c r="EP55" s="1268"/>
      <c r="EQ55" s="1563"/>
      <c r="ER55" s="1268"/>
      <c r="ES55" s="1563"/>
      <c r="ET55" s="1268"/>
      <c r="EU55" s="1682"/>
      <c r="EV55" s="1683"/>
      <c r="EW55" s="1684"/>
      <c r="EX55" s="1685"/>
      <c r="EY55" s="1496"/>
      <c r="EZ55" s="252"/>
      <c r="FA55" s="395"/>
      <c r="FB55" s="223"/>
      <c r="FC55" s="1496"/>
      <c r="FD55" s="252"/>
      <c r="FE55" s="1564"/>
      <c r="FG55" s="256"/>
      <c r="FH55" s="256"/>
      <c r="FI55" s="256"/>
      <c r="FJ55" s="256"/>
      <c r="FK55" s="126"/>
      <c r="FL55" s="126"/>
      <c r="FM55" s="126"/>
      <c r="FN55" s="126"/>
      <c r="FO55" s="957"/>
      <c r="FP55" s="49"/>
      <c r="FR55" s="1566"/>
      <c r="FS55" s="1566"/>
      <c r="FT55" s="1566"/>
      <c r="FU55" s="2879"/>
      <c r="FV55" s="2880"/>
      <c r="FW55" s="2881"/>
      <c r="FX55" s="64"/>
      <c r="FY55" s="64"/>
      <c r="FZ55" s="64"/>
      <c r="GA55" s="64"/>
      <c r="GB55" s="64"/>
      <c r="GC55" s="64"/>
      <c r="GD55" s="64"/>
      <c r="GE55" s="64"/>
      <c r="GF55" s="64"/>
      <c r="GG55" s="64"/>
      <c r="GH55" s="64"/>
      <c r="GI55" s="64"/>
      <c r="GJ55" s="64"/>
      <c r="GK55" s="64"/>
      <c r="GL55" s="64"/>
      <c r="GM55" s="64"/>
      <c r="GN55" s="64"/>
      <c r="GO55" s="64"/>
      <c r="GP55" s="64"/>
      <c r="GQ55" s="64"/>
      <c r="GR55" s="64"/>
      <c r="GS55" s="64"/>
      <c r="GT55" s="64"/>
      <c r="GU55" s="64"/>
      <c r="GV55" s="64"/>
      <c r="GW55" s="64"/>
      <c r="GX55" s="64"/>
      <c r="GY55" s="64"/>
      <c r="GZ55" s="64"/>
      <c r="HA55" s="64"/>
      <c r="HB55" s="64"/>
      <c r="HC55" s="64"/>
      <c r="HD55" s="64"/>
      <c r="HE55" s="64"/>
      <c r="HF55" s="64"/>
      <c r="HG55" s="64"/>
      <c r="HH55" s="64"/>
      <c r="HI55" s="64"/>
      <c r="HJ55" s="64"/>
      <c r="HK55" s="64"/>
      <c r="HL55" s="64"/>
      <c r="HM55" s="64"/>
      <c r="HN55" s="64"/>
      <c r="HO55" s="64"/>
      <c r="HP55" s="64"/>
      <c r="HQ55" s="64"/>
      <c r="HR55" s="64"/>
      <c r="HS55" s="64"/>
      <c r="HT55" s="64"/>
      <c r="HU55" s="64"/>
      <c r="HV55" s="64"/>
      <c r="HW55" s="64"/>
      <c r="HX55" s="64"/>
      <c r="HY55" s="64"/>
      <c r="HZ55" s="64"/>
      <c r="IA55" s="64"/>
      <c r="IB55" s="64"/>
      <c r="IC55" s="64"/>
      <c r="ID55" s="64"/>
      <c r="IE55" s="64"/>
      <c r="IF55" s="64"/>
      <c r="IG55" s="64"/>
      <c r="IH55" s="64"/>
      <c r="II55" s="64"/>
      <c r="IJ55" s="64"/>
      <c r="IK55" s="64"/>
      <c r="IL55" s="64"/>
      <c r="IM55" s="64"/>
      <c r="IN55" s="64"/>
      <c r="IO55" s="64"/>
      <c r="IP55" s="64"/>
      <c r="IQ55" s="64"/>
      <c r="IR55" s="64"/>
      <c r="IS55" s="64"/>
      <c r="IT55" s="64"/>
      <c r="IU55" s="64"/>
    </row>
    <row r="56" spans="1:255" s="1565" customFormat="1" ht="13.5" customHeight="1">
      <c r="A56" s="1023"/>
      <c r="B56" s="1023"/>
      <c r="C56" s="1023"/>
      <c r="D56" s="1549"/>
      <c r="E56" s="1549"/>
      <c r="F56" s="1549"/>
      <c r="G56" s="1549"/>
      <c r="H56" s="1549"/>
      <c r="I56" s="1549"/>
      <c r="J56" s="1549"/>
      <c r="K56" s="1549"/>
      <c r="L56" s="1549"/>
      <c r="M56" s="1549"/>
      <c r="N56" s="1549"/>
      <c r="O56" s="1549"/>
      <c r="P56" s="1549"/>
      <c r="Q56" s="1550"/>
      <c r="R56" s="1550"/>
      <c r="S56" s="1550"/>
      <c r="T56" s="1186"/>
      <c r="U56" s="233"/>
      <c r="V56" s="216"/>
      <c r="W56" s="218"/>
      <c r="X56" s="218"/>
      <c r="Y56" s="216"/>
      <c r="Z56" s="216"/>
      <c r="AA56" s="252"/>
      <c r="AB56" s="252"/>
      <c r="AC56" s="252"/>
      <c r="AD56" s="253"/>
      <c r="AE56" s="252"/>
      <c r="AF56" s="252"/>
      <c r="AG56" s="252"/>
      <c r="AH56" s="252"/>
      <c r="AI56" s="252"/>
      <c r="AJ56" s="252"/>
      <c r="AK56" s="253"/>
      <c r="AL56" s="252"/>
      <c r="AM56" s="252"/>
      <c r="AN56" s="252"/>
      <c r="AO56" s="252"/>
      <c r="AP56" s="252"/>
      <c r="AQ56" s="252"/>
      <c r="AR56" s="252"/>
      <c r="AS56" s="252"/>
      <c r="AT56" s="252"/>
      <c r="AU56" s="252"/>
      <c r="AV56" s="1025"/>
      <c r="AW56" s="355"/>
      <c r="AX56" s="217"/>
      <c r="AY56" s="305"/>
      <c r="AZ56" s="249"/>
      <c r="BA56" s="216"/>
      <c r="BB56" s="1551"/>
      <c r="BC56" s="221"/>
      <c r="BD56" s="1552"/>
      <c r="BE56" s="1263"/>
      <c r="BF56" s="249"/>
      <c r="BG56" s="252"/>
      <c r="BH56" s="1543"/>
      <c r="BI56" s="1544"/>
      <c r="BJ56" s="1543"/>
      <c r="BK56" s="1545"/>
      <c r="BL56" s="260"/>
      <c r="BM56" s="216"/>
      <c r="BN56" s="1553"/>
      <c r="BO56" s="1553"/>
      <c r="BP56" s="1554"/>
      <c r="BQ56" s="216"/>
      <c r="BR56" s="1026"/>
      <c r="BS56" s="249"/>
      <c r="BT56" s="260"/>
      <c r="BU56" s="1026"/>
      <c r="BV56" s="249"/>
      <c r="BW56" s="260"/>
      <c r="BX56" s="1026"/>
      <c r="BY56" s="249"/>
      <c r="BZ56" s="260"/>
      <c r="CA56" s="1026"/>
      <c r="CB56" s="249"/>
      <c r="CC56" s="260"/>
      <c r="CD56" s="1026"/>
      <c r="CE56" s="1269"/>
      <c r="CF56" s="1270"/>
      <c r="CG56" s="1026"/>
      <c r="CH56" s="249"/>
      <c r="CI56" s="260"/>
      <c r="CJ56" s="1027"/>
      <c r="CK56" s="249"/>
      <c r="CL56" s="260"/>
      <c r="CM56" s="1555"/>
      <c r="CN56" s="249"/>
      <c r="CO56" s="216"/>
      <c r="CP56" s="1029"/>
      <c r="CQ56" s="249"/>
      <c r="CR56" s="216"/>
      <c r="CS56" s="1029"/>
      <c r="CT56" s="249"/>
      <c r="CU56" s="216"/>
      <c r="CV56" s="1027"/>
      <c r="CW56" s="249"/>
      <c r="CX56" s="221"/>
      <c r="CY56" s="1027"/>
      <c r="CZ56" s="249"/>
      <c r="DA56" s="216"/>
      <c r="DB56" s="1027" t="str">
        <f t="shared" si="16"/>
        <v/>
      </c>
      <c r="DC56" s="249"/>
      <c r="DD56" s="2519" t="str">
        <f t="shared" si="17"/>
        <v/>
      </c>
      <c r="DE56" s="1027"/>
      <c r="DF56" s="1556"/>
      <c r="DG56" s="1557"/>
      <c r="DH56" s="1027"/>
      <c r="DI56" s="1556"/>
      <c r="DJ56" s="1558"/>
      <c r="DK56" s="1559"/>
      <c r="DL56" s="249"/>
      <c r="DM56" s="221"/>
      <c r="DN56" s="313"/>
      <c r="DO56" s="249"/>
      <c r="DP56" s="216"/>
      <c r="DQ56" s="313"/>
      <c r="DR56" s="249"/>
      <c r="DS56" s="221"/>
      <c r="DT56" s="313"/>
      <c r="DU56" s="249"/>
      <c r="DV56" s="221"/>
      <c r="DW56" s="1560"/>
      <c r="DX56" s="1561"/>
      <c r="DY56" s="1562"/>
      <c r="DZ56" s="350"/>
      <c r="EA56" s="249"/>
      <c r="EB56" s="221"/>
      <c r="EC56" s="313"/>
      <c r="ED56" s="249"/>
      <c r="EE56" s="221"/>
      <c r="EF56" s="313"/>
      <c r="EG56" s="249"/>
      <c r="EH56" s="221"/>
      <c r="EI56" s="313"/>
      <c r="EJ56" s="249"/>
      <c r="EK56" s="216"/>
      <c r="EL56" s="1435"/>
      <c r="EM56" s="1619"/>
      <c r="EN56" s="1268"/>
      <c r="EO56" s="1563"/>
      <c r="EP56" s="1268"/>
      <c r="EQ56" s="1563"/>
      <c r="ER56" s="1268"/>
      <c r="ES56" s="1563"/>
      <c r="ET56" s="1268"/>
      <c r="EU56" s="1682"/>
      <c r="EV56" s="1683"/>
      <c r="EW56" s="1684"/>
      <c r="EX56" s="1685"/>
      <c r="EY56" s="1496"/>
      <c r="EZ56" s="252"/>
      <c r="FA56" s="395"/>
      <c r="FB56" s="223"/>
      <c r="FC56" s="1496"/>
      <c r="FD56" s="252"/>
      <c r="FE56" s="1564"/>
      <c r="FG56" s="256"/>
      <c r="FH56" s="256"/>
      <c r="FI56" s="256"/>
      <c r="FJ56" s="256"/>
      <c r="FK56" s="126"/>
      <c r="FL56" s="126"/>
      <c r="FM56" s="126"/>
      <c r="FN56" s="126"/>
      <c r="FO56" s="957"/>
      <c r="FP56" s="49"/>
      <c r="FR56" s="1566"/>
      <c r="FS56" s="1566"/>
      <c r="FT56" s="1566"/>
      <c r="FU56" s="2879"/>
      <c r="FV56" s="2880"/>
      <c r="FW56" s="2881"/>
      <c r="FX56" s="64"/>
      <c r="FY56" s="64"/>
      <c r="FZ56" s="64"/>
      <c r="GA56" s="64"/>
      <c r="GB56" s="64"/>
      <c r="GC56" s="64"/>
      <c r="GD56" s="64"/>
      <c r="GE56" s="64"/>
      <c r="GF56" s="64"/>
      <c r="GG56" s="64"/>
      <c r="GH56" s="64"/>
      <c r="GI56" s="64"/>
      <c r="GJ56" s="64"/>
      <c r="GK56" s="64"/>
      <c r="GL56" s="64"/>
      <c r="GM56" s="64"/>
      <c r="GN56" s="64"/>
      <c r="GO56" s="64"/>
      <c r="GP56" s="64"/>
      <c r="GQ56" s="64"/>
      <c r="GR56" s="64"/>
      <c r="GS56" s="64"/>
      <c r="GT56" s="64"/>
      <c r="GU56" s="64"/>
      <c r="GV56" s="64"/>
      <c r="GW56" s="64"/>
      <c r="GX56" s="64"/>
      <c r="GY56" s="64"/>
      <c r="GZ56" s="64"/>
      <c r="HA56" s="64"/>
      <c r="HB56" s="64"/>
      <c r="HC56" s="64"/>
      <c r="HD56" s="64"/>
      <c r="HE56" s="64"/>
      <c r="HF56" s="64"/>
      <c r="HG56" s="64"/>
      <c r="HH56" s="64"/>
      <c r="HI56" s="64"/>
      <c r="HJ56" s="64"/>
      <c r="HK56" s="64"/>
      <c r="HL56" s="64"/>
      <c r="HM56" s="64"/>
      <c r="HN56" s="64"/>
      <c r="HO56" s="64"/>
      <c r="HP56" s="64"/>
      <c r="HQ56" s="64"/>
      <c r="HR56" s="64"/>
      <c r="HS56" s="64"/>
      <c r="HT56" s="64"/>
      <c r="HU56" s="64"/>
      <c r="HV56" s="64"/>
      <c r="HW56" s="64"/>
      <c r="HX56" s="64"/>
      <c r="HY56" s="64"/>
      <c r="HZ56" s="64"/>
      <c r="IA56" s="64"/>
      <c r="IB56" s="64"/>
      <c r="IC56" s="64"/>
      <c r="ID56" s="64"/>
      <c r="IE56" s="64"/>
      <c r="IF56" s="64"/>
      <c r="IG56" s="64"/>
      <c r="IH56" s="64"/>
      <c r="II56" s="64"/>
      <c r="IJ56" s="64"/>
      <c r="IK56" s="64"/>
      <c r="IL56" s="64"/>
      <c r="IM56" s="64"/>
      <c r="IN56" s="64"/>
      <c r="IO56" s="64"/>
      <c r="IP56" s="64"/>
      <c r="IQ56" s="64"/>
      <c r="IR56" s="64"/>
      <c r="IS56" s="64"/>
      <c r="IT56" s="64"/>
      <c r="IU56" s="64"/>
    </row>
    <row r="57" spans="1:255" s="1565" customFormat="1" ht="13.5" customHeight="1">
      <c r="A57" s="1023"/>
      <c r="B57" s="1023"/>
      <c r="C57" s="1023"/>
      <c r="D57" s="1549"/>
      <c r="E57" s="1549"/>
      <c r="F57" s="1549"/>
      <c r="G57" s="1549"/>
      <c r="H57" s="1549"/>
      <c r="I57" s="1549"/>
      <c r="J57" s="1549"/>
      <c r="K57" s="1549"/>
      <c r="L57" s="1549"/>
      <c r="M57" s="1549"/>
      <c r="N57" s="1549"/>
      <c r="O57" s="1549"/>
      <c r="P57" s="1549"/>
      <c r="Q57" s="1550"/>
      <c r="R57" s="1550"/>
      <c r="S57" s="1550"/>
      <c r="T57" s="1186"/>
      <c r="U57" s="233"/>
      <c r="V57" s="216"/>
      <c r="W57" s="218"/>
      <c r="X57" s="218"/>
      <c r="Y57" s="216"/>
      <c r="Z57" s="216"/>
      <c r="AA57" s="252"/>
      <c r="AB57" s="252"/>
      <c r="AC57" s="252"/>
      <c r="AD57" s="253"/>
      <c r="AE57" s="252"/>
      <c r="AF57" s="252"/>
      <c r="AG57" s="252"/>
      <c r="AH57" s="252"/>
      <c r="AI57" s="252"/>
      <c r="AJ57" s="252"/>
      <c r="AK57" s="253"/>
      <c r="AL57" s="252"/>
      <c r="AM57" s="252"/>
      <c r="AN57" s="252"/>
      <c r="AO57" s="252"/>
      <c r="AP57" s="252"/>
      <c r="AQ57" s="252"/>
      <c r="AR57" s="252"/>
      <c r="AS57" s="252"/>
      <c r="AT57" s="252"/>
      <c r="AU57" s="252"/>
      <c r="AV57" s="1025"/>
      <c r="AW57" s="355"/>
      <c r="AX57" s="217"/>
      <c r="AY57" s="305"/>
      <c r="AZ57" s="249"/>
      <c r="BA57" s="216"/>
      <c r="BB57" s="1551"/>
      <c r="BC57" s="221"/>
      <c r="BD57" s="1552"/>
      <c r="BE57" s="1263"/>
      <c r="BF57" s="249"/>
      <c r="BG57" s="252"/>
      <c r="BH57" s="1543"/>
      <c r="BI57" s="1544"/>
      <c r="BJ57" s="1543"/>
      <c r="BK57" s="1545"/>
      <c r="BL57" s="260"/>
      <c r="BM57" s="216"/>
      <c r="BN57" s="1553"/>
      <c r="BO57" s="1553"/>
      <c r="BP57" s="1554"/>
      <c r="BQ57" s="216"/>
      <c r="BR57" s="1026"/>
      <c r="BS57" s="249"/>
      <c r="BT57" s="260"/>
      <c r="BU57" s="1026"/>
      <c r="BV57" s="249"/>
      <c r="BW57" s="260"/>
      <c r="BX57" s="1026"/>
      <c r="BY57" s="249"/>
      <c r="BZ57" s="260"/>
      <c r="CA57" s="1026"/>
      <c r="CB57" s="249"/>
      <c r="CC57" s="260"/>
      <c r="CD57" s="1026"/>
      <c r="CE57" s="1269"/>
      <c r="CF57" s="1270"/>
      <c r="CG57" s="1026"/>
      <c r="CH57" s="249"/>
      <c r="CI57" s="260"/>
      <c r="CJ57" s="1027"/>
      <c r="CK57" s="249"/>
      <c r="CL57" s="260"/>
      <c r="CM57" s="1555"/>
      <c r="CN57" s="249"/>
      <c r="CO57" s="216"/>
      <c r="CP57" s="1029"/>
      <c r="CQ57" s="249"/>
      <c r="CR57" s="216"/>
      <c r="CS57" s="1029"/>
      <c r="CT57" s="249"/>
      <c r="CU57" s="216"/>
      <c r="CV57" s="1027"/>
      <c r="CW57" s="249"/>
      <c r="CX57" s="221"/>
      <c r="CY57" s="1027"/>
      <c r="CZ57" s="249"/>
      <c r="DA57" s="216"/>
      <c r="DB57" s="1027" t="str">
        <f t="shared" si="16"/>
        <v/>
      </c>
      <c r="DC57" s="249"/>
      <c r="DD57" s="2519" t="str">
        <f t="shared" si="17"/>
        <v/>
      </c>
      <c r="DE57" s="1027"/>
      <c r="DF57" s="1556"/>
      <c r="DG57" s="1557"/>
      <c r="DH57" s="1027"/>
      <c r="DI57" s="1556"/>
      <c r="DJ57" s="1558"/>
      <c r="DK57" s="1559"/>
      <c r="DL57" s="249"/>
      <c r="DM57" s="221"/>
      <c r="DN57" s="313"/>
      <c r="DO57" s="249"/>
      <c r="DP57" s="216"/>
      <c r="DQ57" s="313"/>
      <c r="DR57" s="249"/>
      <c r="DS57" s="221"/>
      <c r="DT57" s="313"/>
      <c r="DU57" s="249"/>
      <c r="DV57" s="221"/>
      <c r="DW57" s="1560"/>
      <c r="DX57" s="1561"/>
      <c r="DY57" s="1562"/>
      <c r="DZ57" s="350"/>
      <c r="EA57" s="249"/>
      <c r="EB57" s="221"/>
      <c r="EC57" s="313"/>
      <c r="ED57" s="249"/>
      <c r="EE57" s="221"/>
      <c r="EF57" s="313"/>
      <c r="EG57" s="249"/>
      <c r="EH57" s="221"/>
      <c r="EI57" s="313"/>
      <c r="EJ57" s="249"/>
      <c r="EK57" s="216"/>
      <c r="EL57" s="1435"/>
      <c r="EM57" s="1619"/>
      <c r="EN57" s="1268"/>
      <c r="EO57" s="1563"/>
      <c r="EP57" s="1268"/>
      <c r="EQ57" s="1563"/>
      <c r="ER57" s="1268"/>
      <c r="ES57" s="1563"/>
      <c r="ET57" s="1268"/>
      <c r="EU57" s="1682"/>
      <c r="EV57" s="1683"/>
      <c r="EW57" s="1684"/>
      <c r="EX57" s="1685"/>
      <c r="EY57" s="1496"/>
      <c r="EZ57" s="252"/>
      <c r="FA57" s="395"/>
      <c r="FB57" s="223"/>
      <c r="FC57" s="1496"/>
      <c r="FD57" s="252"/>
      <c r="FE57" s="1564"/>
      <c r="FG57" s="256"/>
      <c r="FH57" s="256"/>
      <c r="FI57" s="256"/>
      <c r="FJ57" s="256"/>
      <c r="FK57" s="126"/>
      <c r="FL57" s="126"/>
      <c r="FM57" s="126"/>
      <c r="FN57" s="126"/>
      <c r="FO57" s="957"/>
      <c r="FP57" s="49"/>
      <c r="FR57" s="1566"/>
      <c r="FS57" s="1566"/>
      <c r="FT57" s="1566"/>
      <c r="FU57" s="2879"/>
      <c r="FV57" s="2880"/>
      <c r="FW57" s="2881"/>
      <c r="FX57" s="64"/>
      <c r="FY57" s="64"/>
      <c r="FZ57" s="64"/>
      <c r="GA57" s="64"/>
      <c r="GB57" s="64"/>
      <c r="GC57" s="64"/>
      <c r="GD57" s="64"/>
      <c r="GE57" s="64"/>
      <c r="GF57" s="64"/>
      <c r="GG57" s="64"/>
      <c r="GH57" s="64"/>
      <c r="GI57" s="64"/>
      <c r="GJ57" s="64"/>
      <c r="GK57" s="64"/>
      <c r="GL57" s="64"/>
      <c r="GM57" s="64"/>
      <c r="GN57" s="64"/>
      <c r="GO57" s="64"/>
      <c r="GP57" s="64"/>
      <c r="GQ57" s="64"/>
      <c r="GR57" s="64"/>
      <c r="GS57" s="64"/>
      <c r="GT57" s="64"/>
      <c r="GU57" s="64"/>
      <c r="GV57" s="64"/>
      <c r="GW57" s="64"/>
      <c r="GX57" s="64"/>
      <c r="GY57" s="64"/>
      <c r="GZ57" s="64"/>
      <c r="HA57" s="64"/>
      <c r="HB57" s="64"/>
      <c r="HC57" s="64"/>
      <c r="HD57" s="64"/>
      <c r="HE57" s="64"/>
      <c r="HF57" s="64"/>
      <c r="HG57" s="64"/>
      <c r="HH57" s="64"/>
      <c r="HI57" s="64"/>
      <c r="HJ57" s="64"/>
      <c r="HK57" s="64"/>
      <c r="HL57" s="64"/>
      <c r="HM57" s="64"/>
      <c r="HN57" s="64"/>
      <c r="HO57" s="64"/>
      <c r="HP57" s="64"/>
      <c r="HQ57" s="64"/>
      <c r="HR57" s="64"/>
      <c r="HS57" s="64"/>
      <c r="HT57" s="64"/>
      <c r="HU57" s="64"/>
      <c r="HV57" s="64"/>
      <c r="HW57" s="64"/>
      <c r="HX57" s="64"/>
      <c r="HY57" s="64"/>
      <c r="HZ57" s="64"/>
      <c r="IA57" s="64"/>
      <c r="IB57" s="64"/>
      <c r="IC57" s="64"/>
      <c r="ID57" s="64"/>
      <c r="IE57" s="64"/>
      <c r="IF57" s="64"/>
      <c r="IG57" s="64"/>
      <c r="IH57" s="64"/>
      <c r="II57" s="64"/>
      <c r="IJ57" s="64"/>
      <c r="IK57" s="64"/>
      <c r="IL57" s="64"/>
      <c r="IM57" s="64"/>
      <c r="IN57" s="64"/>
      <c r="IO57" s="64"/>
      <c r="IP57" s="64"/>
      <c r="IQ57" s="64"/>
      <c r="IR57" s="64"/>
      <c r="IS57" s="64"/>
      <c r="IT57" s="64"/>
      <c r="IU57" s="64"/>
    </row>
    <row r="58" spans="1:255" s="1565" customFormat="1" ht="13.5" customHeight="1">
      <c r="A58" s="1023"/>
      <c r="B58" s="1023"/>
      <c r="C58" s="1023"/>
      <c r="D58" s="1549"/>
      <c r="E58" s="1549"/>
      <c r="F58" s="1549"/>
      <c r="G58" s="1549"/>
      <c r="H58" s="1549"/>
      <c r="I58" s="1549"/>
      <c r="J58" s="1549"/>
      <c r="K58" s="1549"/>
      <c r="L58" s="1549"/>
      <c r="M58" s="1549"/>
      <c r="N58" s="1549"/>
      <c r="O58" s="1549"/>
      <c r="P58" s="1549"/>
      <c r="Q58" s="1550"/>
      <c r="R58" s="1550"/>
      <c r="S58" s="1550"/>
      <c r="T58" s="1186"/>
      <c r="U58" s="233"/>
      <c r="V58" s="216"/>
      <c r="W58" s="218"/>
      <c r="X58" s="218"/>
      <c r="Y58" s="216"/>
      <c r="Z58" s="216"/>
      <c r="AA58" s="252"/>
      <c r="AB58" s="252"/>
      <c r="AC58" s="252"/>
      <c r="AD58" s="253"/>
      <c r="AE58" s="252"/>
      <c r="AF58" s="252"/>
      <c r="AG58" s="252"/>
      <c r="AH58" s="252"/>
      <c r="AI58" s="252"/>
      <c r="AJ58" s="252"/>
      <c r="AK58" s="253"/>
      <c r="AL58" s="252"/>
      <c r="AM58" s="252"/>
      <c r="AN58" s="252"/>
      <c r="AO58" s="252"/>
      <c r="AP58" s="252"/>
      <c r="AQ58" s="252"/>
      <c r="AR58" s="252"/>
      <c r="AS58" s="252"/>
      <c r="AT58" s="252"/>
      <c r="AU58" s="252"/>
      <c r="AV58" s="1025"/>
      <c r="AW58" s="355"/>
      <c r="AX58" s="217"/>
      <c r="AY58" s="305"/>
      <c r="AZ58" s="249"/>
      <c r="BA58" s="216"/>
      <c r="BB58" s="1551"/>
      <c r="BC58" s="221"/>
      <c r="BD58" s="1552"/>
      <c r="BE58" s="1263"/>
      <c r="BF58" s="249"/>
      <c r="BG58" s="252"/>
      <c r="BH58" s="1543"/>
      <c r="BI58" s="1544"/>
      <c r="BJ58" s="1543"/>
      <c r="BK58" s="1545"/>
      <c r="BL58" s="260"/>
      <c r="BM58" s="216"/>
      <c r="BN58" s="1553"/>
      <c r="BO58" s="1553"/>
      <c r="BP58" s="1554"/>
      <c r="BQ58" s="216"/>
      <c r="BR58" s="1026"/>
      <c r="BS58" s="249"/>
      <c r="BT58" s="260"/>
      <c r="BU58" s="1026"/>
      <c r="BV58" s="249"/>
      <c r="BW58" s="260"/>
      <c r="BX58" s="1026"/>
      <c r="BY58" s="249"/>
      <c r="BZ58" s="260"/>
      <c r="CA58" s="1026"/>
      <c r="CB58" s="249"/>
      <c r="CC58" s="260"/>
      <c r="CD58" s="1026"/>
      <c r="CE58" s="1269"/>
      <c r="CF58" s="1270"/>
      <c r="CG58" s="1026"/>
      <c r="CH58" s="249"/>
      <c r="CI58" s="260"/>
      <c r="CJ58" s="1027"/>
      <c r="CK58" s="249"/>
      <c r="CL58" s="260"/>
      <c r="CM58" s="1555"/>
      <c r="CN58" s="249"/>
      <c r="CO58" s="216"/>
      <c r="CP58" s="1029"/>
      <c r="CQ58" s="249"/>
      <c r="CR58" s="216"/>
      <c r="CS58" s="1029"/>
      <c r="CT58" s="249"/>
      <c r="CU58" s="216"/>
      <c r="CV58" s="1027"/>
      <c r="CW58" s="249"/>
      <c r="CX58" s="221"/>
      <c r="CY58" s="1027"/>
      <c r="CZ58" s="249"/>
      <c r="DA58" s="216"/>
      <c r="DB58" s="1027" t="str">
        <f t="shared" si="16"/>
        <v/>
      </c>
      <c r="DC58" s="249"/>
      <c r="DD58" s="2519" t="str">
        <f t="shared" si="17"/>
        <v/>
      </c>
      <c r="DE58" s="1027"/>
      <c r="DF58" s="1556"/>
      <c r="DG58" s="1557"/>
      <c r="DH58" s="1027"/>
      <c r="DI58" s="1556"/>
      <c r="DJ58" s="1558"/>
      <c r="DK58" s="1559"/>
      <c r="DL58" s="249"/>
      <c r="DM58" s="221"/>
      <c r="DN58" s="313"/>
      <c r="DO58" s="249"/>
      <c r="DP58" s="216"/>
      <c r="DQ58" s="313"/>
      <c r="DR58" s="249"/>
      <c r="DS58" s="221"/>
      <c r="DT58" s="313"/>
      <c r="DU58" s="249"/>
      <c r="DV58" s="221"/>
      <c r="DW58" s="1560"/>
      <c r="DX58" s="1561"/>
      <c r="DY58" s="1562"/>
      <c r="DZ58" s="350"/>
      <c r="EA58" s="249"/>
      <c r="EB58" s="221"/>
      <c r="EC58" s="313"/>
      <c r="ED58" s="249"/>
      <c r="EE58" s="221"/>
      <c r="EF58" s="313"/>
      <c r="EG58" s="249"/>
      <c r="EH58" s="221"/>
      <c r="EI58" s="313"/>
      <c r="EJ58" s="249"/>
      <c r="EK58" s="216"/>
      <c r="EL58" s="1435"/>
      <c r="EM58" s="1619"/>
      <c r="EN58" s="1268"/>
      <c r="EO58" s="1563"/>
      <c r="EP58" s="1268"/>
      <c r="EQ58" s="1563"/>
      <c r="ER58" s="1268"/>
      <c r="ES58" s="1563"/>
      <c r="ET58" s="1268"/>
      <c r="EU58" s="1682"/>
      <c r="EV58" s="1683"/>
      <c r="EW58" s="1684"/>
      <c r="EX58" s="1685"/>
      <c r="EY58" s="1496"/>
      <c r="EZ58" s="252"/>
      <c r="FA58" s="395"/>
      <c r="FB58" s="223"/>
      <c r="FC58" s="1496"/>
      <c r="FD58" s="252"/>
      <c r="FE58" s="1564"/>
      <c r="FG58" s="256"/>
      <c r="FH58" s="256"/>
      <c r="FI58" s="256"/>
      <c r="FJ58" s="256"/>
      <c r="FK58" s="126"/>
      <c r="FL58" s="126"/>
      <c r="FM58" s="126"/>
      <c r="FN58" s="126"/>
      <c r="FO58" s="957"/>
      <c r="FP58" s="49"/>
      <c r="FR58" s="1566"/>
      <c r="FS58" s="1566"/>
      <c r="FT58" s="1566"/>
      <c r="FU58" s="2879"/>
      <c r="FV58" s="2880"/>
      <c r="FW58" s="2881"/>
      <c r="FX58" s="64"/>
      <c r="FY58" s="64"/>
      <c r="FZ58" s="64"/>
      <c r="GA58" s="64"/>
      <c r="GB58" s="64"/>
      <c r="GC58" s="64"/>
      <c r="GD58" s="64"/>
      <c r="GE58" s="64"/>
      <c r="GF58" s="64"/>
      <c r="GG58" s="64"/>
      <c r="GH58" s="64"/>
      <c r="GI58" s="64"/>
      <c r="GJ58" s="64"/>
      <c r="GK58" s="64"/>
      <c r="GL58" s="64"/>
      <c r="GM58" s="64"/>
      <c r="GN58" s="64"/>
      <c r="GO58" s="64"/>
      <c r="GP58" s="64"/>
      <c r="GQ58" s="64"/>
      <c r="GR58" s="64"/>
      <c r="GS58" s="64"/>
      <c r="GT58" s="64"/>
      <c r="GU58" s="64"/>
      <c r="GV58" s="64"/>
      <c r="GW58" s="64"/>
      <c r="GX58" s="64"/>
      <c r="GY58" s="64"/>
      <c r="GZ58" s="64"/>
      <c r="HA58" s="64"/>
      <c r="HB58" s="64"/>
      <c r="HC58" s="64"/>
      <c r="HD58" s="64"/>
      <c r="HE58" s="64"/>
      <c r="HF58" s="64"/>
      <c r="HG58" s="64"/>
      <c r="HH58" s="64"/>
      <c r="HI58" s="64"/>
      <c r="HJ58" s="64"/>
      <c r="HK58" s="64"/>
      <c r="HL58" s="64"/>
      <c r="HM58" s="64"/>
      <c r="HN58" s="64"/>
      <c r="HO58" s="64"/>
      <c r="HP58" s="64"/>
      <c r="HQ58" s="64"/>
      <c r="HR58" s="64"/>
      <c r="HS58" s="64"/>
      <c r="HT58" s="64"/>
      <c r="HU58" s="64"/>
      <c r="HV58" s="64"/>
      <c r="HW58" s="64"/>
      <c r="HX58" s="64"/>
      <c r="HY58" s="64"/>
      <c r="HZ58" s="64"/>
      <c r="IA58" s="64"/>
      <c r="IB58" s="64"/>
      <c r="IC58" s="64"/>
      <c r="ID58" s="64"/>
      <c r="IE58" s="64"/>
      <c r="IF58" s="64"/>
      <c r="IG58" s="64"/>
      <c r="IH58" s="64"/>
      <c r="II58" s="64"/>
      <c r="IJ58" s="64"/>
      <c r="IK58" s="64"/>
      <c r="IL58" s="64"/>
      <c r="IM58" s="64"/>
      <c r="IN58" s="64"/>
      <c r="IO58" s="64"/>
      <c r="IP58" s="64"/>
      <c r="IQ58" s="64"/>
      <c r="IR58" s="64"/>
      <c r="IS58" s="64"/>
      <c r="IT58" s="64"/>
      <c r="IU58" s="64"/>
    </row>
    <row r="59" spans="1:255" s="1565" customFormat="1" ht="13.5" customHeight="1">
      <c r="A59" s="1023"/>
      <c r="B59" s="1023"/>
      <c r="C59" s="1023"/>
      <c r="D59" s="1549"/>
      <c r="E59" s="1549"/>
      <c r="F59" s="1549"/>
      <c r="G59" s="1549"/>
      <c r="H59" s="1549"/>
      <c r="I59" s="1549"/>
      <c r="J59" s="1549"/>
      <c r="K59" s="1549"/>
      <c r="L59" s="1549"/>
      <c r="M59" s="1549"/>
      <c r="N59" s="1549"/>
      <c r="O59" s="1549"/>
      <c r="P59" s="1549"/>
      <c r="Q59" s="1550"/>
      <c r="R59" s="1550"/>
      <c r="S59" s="1550"/>
      <c r="T59" s="1186"/>
      <c r="U59" s="233"/>
      <c r="V59" s="216"/>
      <c r="W59" s="218"/>
      <c r="X59" s="218"/>
      <c r="Y59" s="216"/>
      <c r="Z59" s="216"/>
      <c r="AA59" s="252"/>
      <c r="AB59" s="252"/>
      <c r="AC59" s="252"/>
      <c r="AD59" s="253"/>
      <c r="AE59" s="252"/>
      <c r="AF59" s="252"/>
      <c r="AG59" s="252"/>
      <c r="AH59" s="252"/>
      <c r="AI59" s="252"/>
      <c r="AJ59" s="252"/>
      <c r="AK59" s="253"/>
      <c r="AL59" s="252"/>
      <c r="AM59" s="252"/>
      <c r="AN59" s="252"/>
      <c r="AO59" s="252"/>
      <c r="AP59" s="252"/>
      <c r="AQ59" s="252"/>
      <c r="AR59" s="252"/>
      <c r="AS59" s="252"/>
      <c r="AT59" s="252"/>
      <c r="AU59" s="252"/>
      <c r="AV59" s="1025"/>
      <c r="AW59" s="355"/>
      <c r="AX59" s="217"/>
      <c r="AY59" s="305"/>
      <c r="AZ59" s="249"/>
      <c r="BA59" s="216"/>
      <c r="BB59" s="1551"/>
      <c r="BC59" s="221"/>
      <c r="BD59" s="1552"/>
      <c r="BE59" s="1263"/>
      <c r="BF59" s="249"/>
      <c r="BG59" s="252"/>
      <c r="BH59" s="1543"/>
      <c r="BI59" s="1544"/>
      <c r="BJ59" s="1543"/>
      <c r="BK59" s="1545"/>
      <c r="BL59" s="260"/>
      <c r="BM59" s="216"/>
      <c r="BN59" s="1553"/>
      <c r="BO59" s="1553"/>
      <c r="BP59" s="1554"/>
      <c r="BQ59" s="216"/>
      <c r="BR59" s="1026"/>
      <c r="BS59" s="249"/>
      <c r="BT59" s="260"/>
      <c r="BU59" s="1026"/>
      <c r="BV59" s="249"/>
      <c r="BW59" s="260"/>
      <c r="BX59" s="1026"/>
      <c r="BY59" s="249"/>
      <c r="BZ59" s="260"/>
      <c r="CA59" s="1026"/>
      <c r="CB59" s="249"/>
      <c r="CC59" s="260"/>
      <c r="CD59" s="1026"/>
      <c r="CE59" s="1269"/>
      <c r="CF59" s="1270"/>
      <c r="CG59" s="1026"/>
      <c r="CH59" s="249"/>
      <c r="CI59" s="260"/>
      <c r="CJ59" s="1027"/>
      <c r="CK59" s="249"/>
      <c r="CL59" s="260"/>
      <c r="CM59" s="1555"/>
      <c r="CN59" s="249"/>
      <c r="CO59" s="216"/>
      <c r="CP59" s="1029"/>
      <c r="CQ59" s="249"/>
      <c r="CR59" s="216"/>
      <c r="CS59" s="1029"/>
      <c r="CT59" s="249"/>
      <c r="CU59" s="216"/>
      <c r="CV59" s="1027"/>
      <c r="CW59" s="249"/>
      <c r="CX59" s="221"/>
      <c r="CY59" s="1027"/>
      <c r="CZ59" s="249"/>
      <c r="DA59" s="216"/>
      <c r="DB59" s="1027" t="str">
        <f t="shared" si="16"/>
        <v/>
      </c>
      <c r="DC59" s="249"/>
      <c r="DD59" s="2519" t="str">
        <f t="shared" si="17"/>
        <v/>
      </c>
      <c r="DE59" s="1027"/>
      <c r="DF59" s="1556"/>
      <c r="DG59" s="1557"/>
      <c r="DH59" s="1027"/>
      <c r="DI59" s="1556"/>
      <c r="DJ59" s="1558"/>
      <c r="DK59" s="1559"/>
      <c r="DL59" s="249"/>
      <c r="DM59" s="221"/>
      <c r="DN59" s="313"/>
      <c r="DO59" s="249"/>
      <c r="DP59" s="216"/>
      <c r="DQ59" s="313"/>
      <c r="DR59" s="249"/>
      <c r="DS59" s="221"/>
      <c r="DT59" s="313"/>
      <c r="DU59" s="249"/>
      <c r="DV59" s="221"/>
      <c r="DW59" s="1560"/>
      <c r="DX59" s="1561"/>
      <c r="DY59" s="1562"/>
      <c r="DZ59" s="350"/>
      <c r="EA59" s="249"/>
      <c r="EB59" s="221"/>
      <c r="EC59" s="313"/>
      <c r="ED59" s="249"/>
      <c r="EE59" s="221"/>
      <c r="EF59" s="313"/>
      <c r="EG59" s="249"/>
      <c r="EH59" s="221"/>
      <c r="EI59" s="313"/>
      <c r="EJ59" s="249"/>
      <c r="EK59" s="216"/>
      <c r="EL59" s="1435"/>
      <c r="EM59" s="1619"/>
      <c r="EN59" s="1268"/>
      <c r="EO59" s="1563"/>
      <c r="EP59" s="1268"/>
      <c r="EQ59" s="1563"/>
      <c r="ER59" s="1268"/>
      <c r="ES59" s="1563"/>
      <c r="ET59" s="1268"/>
      <c r="EU59" s="1682"/>
      <c r="EV59" s="1683"/>
      <c r="EW59" s="1684"/>
      <c r="EX59" s="1685"/>
      <c r="EY59" s="1496"/>
      <c r="EZ59" s="252"/>
      <c r="FA59" s="395"/>
      <c r="FB59" s="223"/>
      <c r="FC59" s="1496"/>
      <c r="FD59" s="252"/>
      <c r="FE59" s="1564"/>
      <c r="FG59" s="256"/>
      <c r="FH59" s="256"/>
      <c r="FI59" s="256"/>
      <c r="FJ59" s="256"/>
      <c r="FK59" s="126"/>
      <c r="FL59" s="126"/>
      <c r="FM59" s="126"/>
      <c r="FN59" s="126"/>
      <c r="FO59" s="957"/>
      <c r="FP59" s="49"/>
      <c r="FR59" s="1566"/>
      <c r="FS59" s="1566"/>
      <c r="FT59" s="1566"/>
      <c r="FU59" s="2879"/>
      <c r="FV59" s="2880"/>
      <c r="FW59" s="2881"/>
      <c r="FX59" s="64"/>
      <c r="FY59" s="64"/>
      <c r="FZ59" s="64"/>
      <c r="GA59" s="64"/>
      <c r="GB59" s="64"/>
      <c r="GC59" s="64"/>
      <c r="GD59" s="64"/>
      <c r="GE59" s="64"/>
      <c r="GF59" s="64"/>
      <c r="GG59" s="64"/>
      <c r="GH59" s="64"/>
      <c r="GI59" s="64"/>
      <c r="GJ59" s="64"/>
      <c r="GK59" s="64"/>
      <c r="GL59" s="64"/>
      <c r="GM59" s="64"/>
      <c r="GN59" s="64"/>
      <c r="GO59" s="64"/>
      <c r="GP59" s="64"/>
      <c r="GQ59" s="64"/>
      <c r="GR59" s="64"/>
      <c r="GS59" s="64"/>
      <c r="GT59" s="64"/>
      <c r="GU59" s="64"/>
      <c r="GV59" s="64"/>
      <c r="GW59" s="64"/>
      <c r="GX59" s="64"/>
      <c r="GY59" s="64"/>
      <c r="GZ59" s="64"/>
      <c r="HA59" s="64"/>
      <c r="HB59" s="64"/>
      <c r="HC59" s="64"/>
      <c r="HD59" s="64"/>
      <c r="HE59" s="64"/>
      <c r="HF59" s="64"/>
      <c r="HG59" s="64"/>
      <c r="HH59" s="64"/>
      <c r="HI59" s="64"/>
      <c r="HJ59" s="64"/>
      <c r="HK59" s="64"/>
      <c r="HL59" s="64"/>
      <c r="HM59" s="64"/>
      <c r="HN59" s="64"/>
      <c r="HO59" s="64"/>
      <c r="HP59" s="64"/>
      <c r="HQ59" s="64"/>
      <c r="HR59" s="64"/>
      <c r="HS59" s="64"/>
      <c r="HT59" s="64"/>
      <c r="HU59" s="64"/>
      <c r="HV59" s="64"/>
      <c r="HW59" s="64"/>
      <c r="HX59" s="64"/>
      <c r="HY59" s="64"/>
      <c r="HZ59" s="64"/>
      <c r="IA59" s="64"/>
      <c r="IB59" s="64"/>
      <c r="IC59" s="64"/>
      <c r="ID59" s="64"/>
      <c r="IE59" s="64"/>
      <c r="IF59" s="64"/>
      <c r="IG59" s="64"/>
      <c r="IH59" s="64"/>
      <c r="II59" s="64"/>
      <c r="IJ59" s="64"/>
      <c r="IK59" s="64"/>
      <c r="IL59" s="64"/>
      <c r="IM59" s="64"/>
      <c r="IN59" s="64"/>
      <c r="IO59" s="64"/>
      <c r="IP59" s="64"/>
      <c r="IQ59" s="64"/>
      <c r="IR59" s="64"/>
      <c r="IS59" s="64"/>
      <c r="IT59" s="64"/>
      <c r="IU59" s="64"/>
    </row>
    <row r="60" spans="1:255" s="1565" customFormat="1" ht="13.5" customHeight="1">
      <c r="A60" s="1023"/>
      <c r="B60" s="1023"/>
      <c r="C60" s="1023"/>
      <c r="D60" s="1549"/>
      <c r="E60" s="1549"/>
      <c r="F60" s="1549"/>
      <c r="G60" s="1549"/>
      <c r="H60" s="1549"/>
      <c r="I60" s="1549"/>
      <c r="J60" s="1549"/>
      <c r="K60" s="1549"/>
      <c r="L60" s="1549"/>
      <c r="M60" s="1549"/>
      <c r="N60" s="1549"/>
      <c r="O60" s="1549"/>
      <c r="P60" s="1549"/>
      <c r="Q60" s="1550"/>
      <c r="R60" s="1550"/>
      <c r="S60" s="1550"/>
      <c r="T60" s="1186"/>
      <c r="U60" s="233"/>
      <c r="V60" s="216"/>
      <c r="W60" s="218"/>
      <c r="X60" s="218"/>
      <c r="Y60" s="216"/>
      <c r="Z60" s="216"/>
      <c r="AA60" s="252"/>
      <c r="AB60" s="252"/>
      <c r="AC60" s="252"/>
      <c r="AD60" s="253"/>
      <c r="AE60" s="252"/>
      <c r="AF60" s="252"/>
      <c r="AG60" s="252"/>
      <c r="AH60" s="252"/>
      <c r="AI60" s="252"/>
      <c r="AJ60" s="252"/>
      <c r="AK60" s="253"/>
      <c r="AL60" s="252"/>
      <c r="AM60" s="252"/>
      <c r="AN60" s="252"/>
      <c r="AO60" s="252"/>
      <c r="AP60" s="252"/>
      <c r="AQ60" s="252"/>
      <c r="AR60" s="252"/>
      <c r="AS60" s="252"/>
      <c r="AT60" s="252"/>
      <c r="AU60" s="252"/>
      <c r="AV60" s="1025"/>
      <c r="AW60" s="355"/>
      <c r="AX60" s="217"/>
      <c r="AY60" s="305"/>
      <c r="AZ60" s="249"/>
      <c r="BA60" s="216"/>
      <c r="BB60" s="1551"/>
      <c r="BC60" s="221"/>
      <c r="BD60" s="1552"/>
      <c r="BE60" s="1263"/>
      <c r="BF60" s="249"/>
      <c r="BG60" s="252"/>
      <c r="BH60" s="1543"/>
      <c r="BI60" s="1544"/>
      <c r="BJ60" s="1543"/>
      <c r="BK60" s="1545"/>
      <c r="BL60" s="260"/>
      <c r="BM60" s="216"/>
      <c r="BN60" s="1553"/>
      <c r="BO60" s="1553"/>
      <c r="BP60" s="1554"/>
      <c r="BQ60" s="216"/>
      <c r="BR60" s="1026"/>
      <c r="BS60" s="249"/>
      <c r="BT60" s="260"/>
      <c r="BU60" s="1026"/>
      <c r="BV60" s="249"/>
      <c r="BW60" s="260"/>
      <c r="BX60" s="1026"/>
      <c r="BY60" s="249"/>
      <c r="BZ60" s="260"/>
      <c r="CA60" s="1026"/>
      <c r="CB60" s="249"/>
      <c r="CC60" s="260"/>
      <c r="CD60" s="1026"/>
      <c r="CE60" s="1269"/>
      <c r="CF60" s="1270"/>
      <c r="CG60" s="1026"/>
      <c r="CH60" s="249"/>
      <c r="CI60" s="260"/>
      <c r="CJ60" s="1027"/>
      <c r="CK60" s="249"/>
      <c r="CL60" s="260"/>
      <c r="CM60" s="1555"/>
      <c r="CN60" s="249"/>
      <c r="CO60" s="216"/>
      <c r="CP60" s="1029"/>
      <c r="CQ60" s="249"/>
      <c r="CR60" s="216"/>
      <c r="CS60" s="1029"/>
      <c r="CT60" s="249"/>
      <c r="CU60" s="216"/>
      <c r="CV60" s="1027"/>
      <c r="CW60" s="249"/>
      <c r="CX60" s="221"/>
      <c r="CY60" s="1027"/>
      <c r="CZ60" s="249"/>
      <c r="DA60" s="216"/>
      <c r="DB60" s="1027" t="str">
        <f t="shared" si="16"/>
        <v/>
      </c>
      <c r="DC60" s="249"/>
      <c r="DD60" s="2519" t="str">
        <f t="shared" si="17"/>
        <v/>
      </c>
      <c r="DE60" s="1027"/>
      <c r="DF60" s="1556"/>
      <c r="DG60" s="1557"/>
      <c r="DH60" s="1027"/>
      <c r="DI60" s="1556"/>
      <c r="DJ60" s="1558"/>
      <c r="DK60" s="1559"/>
      <c r="DL60" s="249"/>
      <c r="DM60" s="221"/>
      <c r="DN60" s="313"/>
      <c r="DO60" s="249"/>
      <c r="DP60" s="216"/>
      <c r="DQ60" s="313"/>
      <c r="DR60" s="249"/>
      <c r="DS60" s="221"/>
      <c r="DT60" s="313"/>
      <c r="DU60" s="249"/>
      <c r="DV60" s="221"/>
      <c r="DW60" s="1560"/>
      <c r="DX60" s="1561"/>
      <c r="DY60" s="1562"/>
      <c r="DZ60" s="350"/>
      <c r="EA60" s="249"/>
      <c r="EB60" s="221"/>
      <c r="EC60" s="313"/>
      <c r="ED60" s="249"/>
      <c r="EE60" s="221"/>
      <c r="EF60" s="313"/>
      <c r="EG60" s="249"/>
      <c r="EH60" s="221"/>
      <c r="EI60" s="313"/>
      <c r="EJ60" s="249"/>
      <c r="EK60" s="216"/>
      <c r="EL60" s="1435"/>
      <c r="EM60" s="1619"/>
      <c r="EN60" s="1268"/>
      <c r="EO60" s="1563"/>
      <c r="EP60" s="1268"/>
      <c r="EQ60" s="1563"/>
      <c r="ER60" s="1268"/>
      <c r="ES60" s="1563"/>
      <c r="ET60" s="1268"/>
      <c r="EU60" s="1682"/>
      <c r="EV60" s="1683"/>
      <c r="EW60" s="1684"/>
      <c r="EX60" s="1685"/>
      <c r="EY60" s="1496"/>
      <c r="EZ60" s="252"/>
      <c r="FA60" s="395"/>
      <c r="FB60" s="223"/>
      <c r="FC60" s="1496"/>
      <c r="FD60" s="252"/>
      <c r="FE60" s="1564"/>
      <c r="FG60" s="256"/>
      <c r="FH60" s="256"/>
      <c r="FI60" s="256"/>
      <c r="FJ60" s="256"/>
      <c r="FK60" s="126"/>
      <c r="FL60" s="126"/>
      <c r="FM60" s="126"/>
      <c r="FN60" s="126"/>
      <c r="FO60" s="957"/>
      <c r="FP60" s="49"/>
      <c r="FR60" s="1566"/>
      <c r="FS60" s="1566"/>
      <c r="FT60" s="1566"/>
      <c r="FU60" s="2879"/>
      <c r="FV60" s="2880"/>
      <c r="FW60" s="2881"/>
      <c r="FX60" s="64"/>
      <c r="FY60" s="64"/>
      <c r="FZ60" s="64"/>
      <c r="GA60" s="64"/>
      <c r="GB60" s="64"/>
      <c r="GC60" s="64"/>
      <c r="GD60" s="64"/>
      <c r="GE60" s="64"/>
      <c r="GF60" s="64"/>
      <c r="GG60" s="64"/>
      <c r="GH60" s="64"/>
      <c r="GI60" s="64"/>
      <c r="GJ60" s="64"/>
      <c r="GK60" s="64"/>
      <c r="GL60" s="64"/>
      <c r="GM60" s="64"/>
      <c r="GN60" s="64"/>
      <c r="GO60" s="64"/>
      <c r="GP60" s="64"/>
      <c r="GQ60" s="64"/>
      <c r="GR60" s="64"/>
      <c r="GS60" s="64"/>
      <c r="GT60" s="64"/>
      <c r="GU60" s="64"/>
      <c r="GV60" s="64"/>
      <c r="GW60" s="64"/>
      <c r="GX60" s="64"/>
      <c r="GY60" s="64"/>
      <c r="GZ60" s="64"/>
      <c r="HA60" s="64"/>
      <c r="HB60" s="64"/>
      <c r="HC60" s="64"/>
      <c r="HD60" s="64"/>
      <c r="HE60" s="64"/>
      <c r="HF60" s="64"/>
      <c r="HG60" s="64"/>
      <c r="HH60" s="64"/>
      <c r="HI60" s="64"/>
      <c r="HJ60" s="64"/>
      <c r="HK60" s="64"/>
      <c r="HL60" s="64"/>
      <c r="HM60" s="64"/>
      <c r="HN60" s="64"/>
      <c r="HO60" s="64"/>
      <c r="HP60" s="64"/>
      <c r="HQ60" s="64"/>
      <c r="HR60" s="64"/>
      <c r="HS60" s="64"/>
      <c r="HT60" s="64"/>
      <c r="HU60" s="64"/>
      <c r="HV60" s="64"/>
      <c r="HW60" s="64"/>
      <c r="HX60" s="64"/>
      <c r="HY60" s="64"/>
      <c r="HZ60" s="64"/>
      <c r="IA60" s="64"/>
      <c r="IB60" s="64"/>
      <c r="IC60" s="64"/>
      <c r="ID60" s="64"/>
      <c r="IE60" s="64"/>
      <c r="IF60" s="64"/>
      <c r="IG60" s="64"/>
      <c r="IH60" s="64"/>
      <c r="II60" s="64"/>
      <c r="IJ60" s="64"/>
      <c r="IK60" s="64"/>
      <c r="IL60" s="64"/>
      <c r="IM60" s="64"/>
      <c r="IN60" s="64"/>
      <c r="IO60" s="64"/>
      <c r="IP60" s="64"/>
      <c r="IQ60" s="64"/>
      <c r="IR60" s="64"/>
      <c r="IS60" s="64"/>
      <c r="IT60" s="64"/>
      <c r="IU60" s="64"/>
    </row>
    <row r="61" spans="1:255" s="1565" customFormat="1" ht="13.5" customHeight="1">
      <c r="A61" s="1023"/>
      <c r="B61" s="1023"/>
      <c r="C61" s="1023"/>
      <c r="D61" s="1549"/>
      <c r="E61" s="1549"/>
      <c r="F61" s="1549"/>
      <c r="G61" s="1549"/>
      <c r="H61" s="1549"/>
      <c r="I61" s="1549"/>
      <c r="J61" s="1549"/>
      <c r="K61" s="1549"/>
      <c r="L61" s="1549"/>
      <c r="M61" s="1549"/>
      <c r="N61" s="1549"/>
      <c r="O61" s="1549"/>
      <c r="P61" s="1549"/>
      <c r="Q61" s="1550"/>
      <c r="R61" s="1550"/>
      <c r="S61" s="1550"/>
      <c r="T61" s="1186"/>
      <c r="U61" s="233"/>
      <c r="V61" s="216"/>
      <c r="W61" s="218"/>
      <c r="X61" s="218"/>
      <c r="Y61" s="216"/>
      <c r="Z61" s="216"/>
      <c r="AA61" s="252"/>
      <c r="AB61" s="252"/>
      <c r="AC61" s="252"/>
      <c r="AD61" s="253"/>
      <c r="AE61" s="252"/>
      <c r="AF61" s="252"/>
      <c r="AG61" s="252"/>
      <c r="AH61" s="252"/>
      <c r="AI61" s="252"/>
      <c r="AJ61" s="252"/>
      <c r="AK61" s="253"/>
      <c r="AL61" s="252"/>
      <c r="AM61" s="252"/>
      <c r="AN61" s="252"/>
      <c r="AO61" s="252"/>
      <c r="AP61" s="252"/>
      <c r="AQ61" s="252"/>
      <c r="AR61" s="252"/>
      <c r="AS61" s="252"/>
      <c r="AT61" s="252"/>
      <c r="AU61" s="252"/>
      <c r="AV61" s="1025"/>
      <c r="AW61" s="355"/>
      <c r="AX61" s="217"/>
      <c r="AY61" s="305"/>
      <c r="AZ61" s="249"/>
      <c r="BA61" s="216"/>
      <c r="BB61" s="1551"/>
      <c r="BC61" s="221"/>
      <c r="BD61" s="1552"/>
      <c r="BE61" s="1263"/>
      <c r="BF61" s="249"/>
      <c r="BG61" s="252"/>
      <c r="BH61" s="1543"/>
      <c r="BI61" s="1544"/>
      <c r="BJ61" s="1543"/>
      <c r="BK61" s="1545"/>
      <c r="BL61" s="260"/>
      <c r="BM61" s="216"/>
      <c r="BN61" s="1553"/>
      <c r="BO61" s="1553"/>
      <c r="BP61" s="1554"/>
      <c r="BQ61" s="216"/>
      <c r="BR61" s="1026"/>
      <c r="BS61" s="249"/>
      <c r="BT61" s="260"/>
      <c r="BU61" s="1026"/>
      <c r="BV61" s="249"/>
      <c r="BW61" s="260"/>
      <c r="BX61" s="1026"/>
      <c r="BY61" s="249"/>
      <c r="BZ61" s="260"/>
      <c r="CA61" s="1026"/>
      <c r="CB61" s="249"/>
      <c r="CC61" s="260"/>
      <c r="CD61" s="1026"/>
      <c r="CE61" s="1269"/>
      <c r="CF61" s="1270"/>
      <c r="CG61" s="1026"/>
      <c r="CH61" s="249"/>
      <c r="CI61" s="260"/>
      <c r="CJ61" s="1027"/>
      <c r="CK61" s="249"/>
      <c r="CL61" s="260"/>
      <c r="CM61" s="1555"/>
      <c r="CN61" s="249"/>
      <c r="CO61" s="216"/>
      <c r="CP61" s="1029"/>
      <c r="CQ61" s="249"/>
      <c r="CR61" s="216"/>
      <c r="CS61" s="1029"/>
      <c r="CT61" s="249"/>
      <c r="CU61" s="216"/>
      <c r="CV61" s="1027"/>
      <c r="CW61" s="249"/>
      <c r="CX61" s="221"/>
      <c r="CY61" s="1027"/>
      <c r="CZ61" s="249"/>
      <c r="DA61" s="216"/>
      <c r="DB61" s="1027" t="str">
        <f t="shared" si="16"/>
        <v/>
      </c>
      <c r="DC61" s="249"/>
      <c r="DD61" s="2519" t="str">
        <f t="shared" si="17"/>
        <v/>
      </c>
      <c r="DE61" s="1027"/>
      <c r="DF61" s="1556"/>
      <c r="DG61" s="1557"/>
      <c r="DH61" s="1027"/>
      <c r="DI61" s="1556"/>
      <c r="DJ61" s="1558"/>
      <c r="DK61" s="1559"/>
      <c r="DL61" s="249"/>
      <c r="DM61" s="221"/>
      <c r="DN61" s="313"/>
      <c r="DO61" s="249"/>
      <c r="DP61" s="216"/>
      <c r="DQ61" s="313"/>
      <c r="DR61" s="249"/>
      <c r="DS61" s="221"/>
      <c r="DT61" s="313"/>
      <c r="DU61" s="249"/>
      <c r="DV61" s="221"/>
      <c r="DW61" s="1560"/>
      <c r="DX61" s="1561"/>
      <c r="DY61" s="1562"/>
      <c r="DZ61" s="350"/>
      <c r="EA61" s="249"/>
      <c r="EB61" s="221"/>
      <c r="EC61" s="313"/>
      <c r="ED61" s="249"/>
      <c r="EE61" s="221"/>
      <c r="EF61" s="313"/>
      <c r="EG61" s="249"/>
      <c r="EH61" s="221"/>
      <c r="EI61" s="313"/>
      <c r="EJ61" s="249"/>
      <c r="EK61" s="216"/>
      <c r="EL61" s="1435"/>
      <c r="EM61" s="1619"/>
      <c r="EN61" s="1268"/>
      <c r="EO61" s="1563"/>
      <c r="EP61" s="1268"/>
      <c r="EQ61" s="1563"/>
      <c r="ER61" s="1268"/>
      <c r="ES61" s="1563"/>
      <c r="ET61" s="1268"/>
      <c r="EU61" s="1682"/>
      <c r="EV61" s="1683"/>
      <c r="EW61" s="1684"/>
      <c r="EX61" s="1685"/>
      <c r="EY61" s="1496"/>
      <c r="EZ61" s="252"/>
      <c r="FA61" s="395"/>
      <c r="FB61" s="223"/>
      <c r="FC61" s="1496"/>
      <c r="FD61" s="252"/>
      <c r="FE61" s="1564"/>
      <c r="FG61" s="256"/>
      <c r="FH61" s="256"/>
      <c r="FI61" s="256"/>
      <c r="FJ61" s="256"/>
      <c r="FK61" s="126"/>
      <c r="FL61" s="126"/>
      <c r="FM61" s="126"/>
      <c r="FN61" s="126"/>
      <c r="FO61" s="957"/>
      <c r="FP61" s="49"/>
      <c r="FR61" s="1566"/>
      <c r="FS61" s="1566"/>
      <c r="FT61" s="1566"/>
      <c r="FU61" s="2879"/>
      <c r="FV61" s="2880"/>
      <c r="FW61" s="2881"/>
      <c r="FX61" s="64"/>
      <c r="FY61" s="64"/>
      <c r="FZ61" s="64"/>
      <c r="GA61" s="64"/>
      <c r="GB61" s="64"/>
      <c r="GC61" s="64"/>
      <c r="GD61" s="64"/>
      <c r="GE61" s="64"/>
      <c r="GF61" s="64"/>
      <c r="GG61" s="64"/>
      <c r="GH61" s="64"/>
      <c r="GI61" s="64"/>
      <c r="GJ61" s="64"/>
      <c r="GK61" s="64"/>
      <c r="GL61" s="64"/>
      <c r="GM61" s="64"/>
      <c r="GN61" s="64"/>
      <c r="GO61" s="64"/>
      <c r="GP61" s="64"/>
      <c r="GQ61" s="64"/>
      <c r="GR61" s="64"/>
      <c r="GS61" s="64"/>
      <c r="GT61" s="64"/>
      <c r="GU61" s="64"/>
      <c r="GV61" s="64"/>
      <c r="GW61" s="64"/>
      <c r="GX61" s="64"/>
      <c r="GY61" s="64"/>
      <c r="GZ61" s="64"/>
      <c r="HA61" s="64"/>
      <c r="HB61" s="64"/>
      <c r="HC61" s="64"/>
      <c r="HD61" s="64"/>
      <c r="HE61" s="64"/>
      <c r="HF61" s="64"/>
      <c r="HG61" s="64"/>
      <c r="HH61" s="64"/>
      <c r="HI61" s="64"/>
      <c r="HJ61" s="64"/>
      <c r="HK61" s="64"/>
      <c r="HL61" s="64"/>
      <c r="HM61" s="64"/>
      <c r="HN61" s="64"/>
      <c r="HO61" s="64"/>
      <c r="HP61" s="64"/>
      <c r="HQ61" s="64"/>
      <c r="HR61" s="64"/>
      <c r="HS61" s="64"/>
      <c r="HT61" s="64"/>
      <c r="HU61" s="64"/>
      <c r="HV61" s="64"/>
      <c r="HW61" s="64"/>
      <c r="HX61" s="64"/>
      <c r="HY61" s="64"/>
      <c r="HZ61" s="64"/>
      <c r="IA61" s="64"/>
      <c r="IB61" s="64"/>
      <c r="IC61" s="64"/>
      <c r="ID61" s="64"/>
      <c r="IE61" s="64"/>
      <c r="IF61" s="64"/>
      <c r="IG61" s="64"/>
      <c r="IH61" s="64"/>
      <c r="II61" s="64"/>
      <c r="IJ61" s="64"/>
      <c r="IK61" s="64"/>
      <c r="IL61" s="64"/>
      <c r="IM61" s="64"/>
      <c r="IN61" s="64"/>
      <c r="IO61" s="64"/>
      <c r="IP61" s="64"/>
      <c r="IQ61" s="64"/>
      <c r="IR61" s="64"/>
      <c r="IS61" s="64"/>
      <c r="IT61" s="64"/>
      <c r="IU61" s="64"/>
    </row>
    <row r="62" spans="1:255" s="1565" customFormat="1" ht="13.5" customHeight="1">
      <c r="A62" s="1023"/>
      <c r="B62" s="1023"/>
      <c r="C62" s="1023"/>
      <c r="D62" s="1549"/>
      <c r="E62" s="1549"/>
      <c r="F62" s="1549"/>
      <c r="G62" s="1549"/>
      <c r="H62" s="1549"/>
      <c r="I62" s="1549"/>
      <c r="J62" s="1549"/>
      <c r="K62" s="1549"/>
      <c r="L62" s="1549"/>
      <c r="M62" s="1549"/>
      <c r="N62" s="1549"/>
      <c r="O62" s="1549"/>
      <c r="P62" s="1549"/>
      <c r="Q62" s="1550"/>
      <c r="R62" s="1550"/>
      <c r="S62" s="1550"/>
      <c r="T62" s="1186"/>
      <c r="U62" s="233"/>
      <c r="V62" s="216"/>
      <c r="W62" s="218"/>
      <c r="X62" s="218"/>
      <c r="Y62" s="216"/>
      <c r="Z62" s="216"/>
      <c r="AA62" s="252"/>
      <c r="AB62" s="252"/>
      <c r="AC62" s="252"/>
      <c r="AD62" s="253"/>
      <c r="AE62" s="252"/>
      <c r="AF62" s="252"/>
      <c r="AG62" s="252"/>
      <c r="AH62" s="252"/>
      <c r="AI62" s="252"/>
      <c r="AJ62" s="252"/>
      <c r="AK62" s="253"/>
      <c r="AL62" s="252"/>
      <c r="AM62" s="252"/>
      <c r="AN62" s="252"/>
      <c r="AO62" s="252"/>
      <c r="AP62" s="252"/>
      <c r="AQ62" s="252"/>
      <c r="AR62" s="252"/>
      <c r="AS62" s="252"/>
      <c r="AT62" s="252"/>
      <c r="AU62" s="252"/>
      <c r="AV62" s="1025"/>
      <c r="AW62" s="355"/>
      <c r="AX62" s="217"/>
      <c r="AY62" s="305"/>
      <c r="AZ62" s="249"/>
      <c r="BA62" s="216"/>
      <c r="BB62" s="1551"/>
      <c r="BC62" s="221"/>
      <c r="BD62" s="1552"/>
      <c r="BE62" s="1263"/>
      <c r="BF62" s="249"/>
      <c r="BG62" s="252"/>
      <c r="BH62" s="1543"/>
      <c r="BI62" s="1544"/>
      <c r="BJ62" s="1543"/>
      <c r="BK62" s="1545"/>
      <c r="BL62" s="260"/>
      <c r="BM62" s="216"/>
      <c r="BN62" s="1553"/>
      <c r="BO62" s="1553"/>
      <c r="BP62" s="1554"/>
      <c r="BQ62" s="216"/>
      <c r="BR62" s="1026"/>
      <c r="BS62" s="249"/>
      <c r="BT62" s="260"/>
      <c r="BU62" s="1026"/>
      <c r="BV62" s="249"/>
      <c r="BW62" s="260"/>
      <c r="BX62" s="1026"/>
      <c r="BY62" s="249"/>
      <c r="BZ62" s="260"/>
      <c r="CA62" s="1026"/>
      <c r="CB62" s="249"/>
      <c r="CC62" s="260"/>
      <c r="CD62" s="1026"/>
      <c r="CE62" s="1269"/>
      <c r="CF62" s="1270"/>
      <c r="CG62" s="1026"/>
      <c r="CH62" s="249"/>
      <c r="CI62" s="260"/>
      <c r="CJ62" s="1027"/>
      <c r="CK62" s="249"/>
      <c r="CL62" s="260"/>
      <c r="CM62" s="1555"/>
      <c r="CN62" s="249"/>
      <c r="CO62" s="216"/>
      <c r="CP62" s="1029"/>
      <c r="CQ62" s="249"/>
      <c r="CR62" s="216"/>
      <c r="CS62" s="1029"/>
      <c r="CT62" s="249"/>
      <c r="CU62" s="216"/>
      <c r="CV62" s="1027"/>
      <c r="CW62" s="249"/>
      <c r="CX62" s="221"/>
      <c r="CY62" s="1027"/>
      <c r="CZ62" s="249"/>
      <c r="DA62" s="216"/>
      <c r="DB62" s="1027" t="str">
        <f t="shared" si="16"/>
        <v/>
      </c>
      <c r="DC62" s="249"/>
      <c r="DD62" s="2519" t="str">
        <f t="shared" si="17"/>
        <v/>
      </c>
      <c r="DE62" s="1027"/>
      <c r="DF62" s="1556"/>
      <c r="DG62" s="1557"/>
      <c r="DH62" s="1027"/>
      <c r="DI62" s="1556"/>
      <c r="DJ62" s="1558"/>
      <c r="DK62" s="1559"/>
      <c r="DL62" s="249"/>
      <c r="DM62" s="221"/>
      <c r="DN62" s="313"/>
      <c r="DO62" s="249"/>
      <c r="DP62" s="216"/>
      <c r="DQ62" s="313"/>
      <c r="DR62" s="249"/>
      <c r="DS62" s="221"/>
      <c r="DT62" s="313"/>
      <c r="DU62" s="249"/>
      <c r="DV62" s="221"/>
      <c r="DW62" s="1560"/>
      <c r="DX62" s="1561"/>
      <c r="DY62" s="1562"/>
      <c r="DZ62" s="350"/>
      <c r="EA62" s="249"/>
      <c r="EB62" s="221"/>
      <c r="EC62" s="313"/>
      <c r="ED62" s="249"/>
      <c r="EE62" s="221"/>
      <c r="EF62" s="313"/>
      <c r="EG62" s="249"/>
      <c r="EH62" s="221"/>
      <c r="EI62" s="313"/>
      <c r="EJ62" s="249"/>
      <c r="EK62" s="216"/>
      <c r="EL62" s="1435"/>
      <c r="EM62" s="1619"/>
      <c r="EN62" s="1268"/>
      <c r="EO62" s="1563"/>
      <c r="EP62" s="1268"/>
      <c r="EQ62" s="1563"/>
      <c r="ER62" s="1268"/>
      <c r="ES62" s="1563"/>
      <c r="ET62" s="1268"/>
      <c r="EU62" s="1682"/>
      <c r="EV62" s="1683"/>
      <c r="EW62" s="1684"/>
      <c r="EX62" s="1685"/>
      <c r="EY62" s="1496"/>
      <c r="EZ62" s="252"/>
      <c r="FA62" s="395"/>
      <c r="FB62" s="223"/>
      <c r="FC62" s="1496"/>
      <c r="FD62" s="252"/>
      <c r="FE62" s="1564"/>
      <c r="FG62" s="256"/>
      <c r="FH62" s="256"/>
      <c r="FI62" s="256"/>
      <c r="FJ62" s="256"/>
      <c r="FK62" s="126"/>
      <c r="FL62" s="126"/>
      <c r="FM62" s="126"/>
      <c r="FN62" s="126"/>
      <c r="FO62" s="957"/>
      <c r="FP62" s="49"/>
      <c r="FR62" s="1566"/>
      <c r="FS62" s="1566"/>
      <c r="FT62" s="1566"/>
      <c r="FU62" s="2879"/>
      <c r="FV62" s="2880"/>
      <c r="FW62" s="2881"/>
      <c r="FX62" s="64"/>
      <c r="FY62" s="64"/>
      <c r="FZ62" s="64"/>
      <c r="GA62" s="64"/>
      <c r="GB62" s="64"/>
      <c r="GC62" s="64"/>
      <c r="GD62" s="64"/>
      <c r="GE62" s="64"/>
      <c r="GF62" s="64"/>
      <c r="GG62" s="64"/>
      <c r="GH62" s="64"/>
      <c r="GI62" s="64"/>
      <c r="GJ62" s="64"/>
      <c r="GK62" s="64"/>
      <c r="GL62" s="64"/>
      <c r="GM62" s="64"/>
      <c r="GN62" s="64"/>
      <c r="GO62" s="64"/>
      <c r="GP62" s="64"/>
      <c r="GQ62" s="64"/>
      <c r="GR62" s="64"/>
      <c r="GS62" s="64"/>
      <c r="GT62" s="64"/>
      <c r="GU62" s="64"/>
      <c r="GV62" s="64"/>
      <c r="GW62" s="64"/>
      <c r="GX62" s="64"/>
      <c r="GY62" s="64"/>
      <c r="GZ62" s="64"/>
      <c r="HA62" s="64"/>
      <c r="HB62" s="64"/>
      <c r="HC62" s="64"/>
      <c r="HD62" s="64"/>
      <c r="HE62" s="64"/>
      <c r="HF62" s="64"/>
      <c r="HG62" s="64"/>
      <c r="HH62" s="64"/>
      <c r="HI62" s="64"/>
      <c r="HJ62" s="64"/>
      <c r="HK62" s="64"/>
      <c r="HL62" s="64"/>
      <c r="HM62" s="64"/>
      <c r="HN62" s="64"/>
      <c r="HO62" s="64"/>
      <c r="HP62" s="64"/>
      <c r="HQ62" s="64"/>
      <c r="HR62" s="64"/>
      <c r="HS62" s="64"/>
      <c r="HT62" s="64"/>
      <c r="HU62" s="64"/>
      <c r="HV62" s="64"/>
      <c r="HW62" s="64"/>
      <c r="HX62" s="64"/>
      <c r="HY62" s="64"/>
      <c r="HZ62" s="64"/>
      <c r="IA62" s="64"/>
      <c r="IB62" s="64"/>
      <c r="IC62" s="64"/>
      <c r="ID62" s="64"/>
      <c r="IE62" s="64"/>
      <c r="IF62" s="64"/>
      <c r="IG62" s="64"/>
      <c r="IH62" s="64"/>
      <c r="II62" s="64"/>
      <c r="IJ62" s="64"/>
      <c r="IK62" s="64"/>
      <c r="IL62" s="64"/>
      <c r="IM62" s="64"/>
      <c r="IN62" s="64"/>
      <c r="IO62" s="64"/>
      <c r="IP62" s="64"/>
      <c r="IQ62" s="64"/>
      <c r="IR62" s="64"/>
      <c r="IS62" s="64"/>
      <c r="IT62" s="64"/>
      <c r="IU62" s="64"/>
    </row>
    <row r="63" spans="1:255" s="1565" customFormat="1" ht="13.5" customHeight="1">
      <c r="A63" s="1023"/>
      <c r="B63" s="1023"/>
      <c r="C63" s="1023"/>
      <c r="D63" s="1549"/>
      <c r="E63" s="1549"/>
      <c r="F63" s="1549"/>
      <c r="G63" s="1549"/>
      <c r="H63" s="1549"/>
      <c r="I63" s="1549"/>
      <c r="J63" s="1549"/>
      <c r="K63" s="1549"/>
      <c r="L63" s="1549"/>
      <c r="M63" s="1549"/>
      <c r="N63" s="1549"/>
      <c r="O63" s="1549"/>
      <c r="P63" s="1549"/>
      <c r="Q63" s="1550"/>
      <c r="R63" s="1550"/>
      <c r="S63" s="1550"/>
      <c r="T63" s="1186"/>
      <c r="U63" s="233"/>
      <c r="V63" s="216"/>
      <c r="W63" s="218"/>
      <c r="X63" s="218"/>
      <c r="Y63" s="216"/>
      <c r="Z63" s="216"/>
      <c r="AA63" s="252"/>
      <c r="AB63" s="252"/>
      <c r="AC63" s="252"/>
      <c r="AD63" s="253"/>
      <c r="AE63" s="252"/>
      <c r="AF63" s="252"/>
      <c r="AG63" s="252"/>
      <c r="AH63" s="252"/>
      <c r="AI63" s="252"/>
      <c r="AJ63" s="252"/>
      <c r="AK63" s="253"/>
      <c r="AL63" s="252"/>
      <c r="AM63" s="252"/>
      <c r="AN63" s="252"/>
      <c r="AO63" s="252"/>
      <c r="AP63" s="252"/>
      <c r="AQ63" s="252"/>
      <c r="AR63" s="252"/>
      <c r="AS63" s="252"/>
      <c r="AT63" s="252"/>
      <c r="AU63" s="252"/>
      <c r="AV63" s="1025"/>
      <c r="AW63" s="355"/>
      <c r="AX63" s="217"/>
      <c r="AY63" s="305"/>
      <c r="AZ63" s="249"/>
      <c r="BA63" s="216"/>
      <c r="BB63" s="1551"/>
      <c r="BC63" s="221"/>
      <c r="BD63" s="1552"/>
      <c r="BE63" s="1263"/>
      <c r="BF63" s="249"/>
      <c r="BG63" s="252"/>
      <c r="BH63" s="1543"/>
      <c r="BI63" s="1544"/>
      <c r="BJ63" s="1543"/>
      <c r="BK63" s="1545"/>
      <c r="BL63" s="260"/>
      <c r="BM63" s="216"/>
      <c r="BN63" s="1553"/>
      <c r="BO63" s="1553"/>
      <c r="BP63" s="1554"/>
      <c r="BQ63" s="216"/>
      <c r="BR63" s="1026"/>
      <c r="BS63" s="249"/>
      <c r="BT63" s="260"/>
      <c r="BU63" s="1026"/>
      <c r="BV63" s="249"/>
      <c r="BW63" s="260"/>
      <c r="BX63" s="1026"/>
      <c r="BY63" s="249"/>
      <c r="BZ63" s="260"/>
      <c r="CA63" s="1026"/>
      <c r="CB63" s="249"/>
      <c r="CC63" s="260"/>
      <c r="CD63" s="1026"/>
      <c r="CE63" s="1269"/>
      <c r="CF63" s="1270"/>
      <c r="CG63" s="1026"/>
      <c r="CH63" s="249"/>
      <c r="CI63" s="260"/>
      <c r="CJ63" s="1027"/>
      <c r="CK63" s="249"/>
      <c r="CL63" s="260"/>
      <c r="CM63" s="1555"/>
      <c r="CN63" s="249"/>
      <c r="CO63" s="216"/>
      <c r="CP63" s="1029"/>
      <c r="CQ63" s="249"/>
      <c r="CR63" s="216"/>
      <c r="CS63" s="1029"/>
      <c r="CT63" s="249"/>
      <c r="CU63" s="216"/>
      <c r="CV63" s="1027"/>
      <c r="CW63" s="249"/>
      <c r="CX63" s="221"/>
      <c r="CY63" s="1027"/>
      <c r="CZ63" s="249"/>
      <c r="DA63" s="216"/>
      <c r="DB63" s="1027" t="str">
        <f t="shared" si="16"/>
        <v/>
      </c>
      <c r="DC63" s="249"/>
      <c r="DD63" s="2519" t="str">
        <f t="shared" si="17"/>
        <v/>
      </c>
      <c r="DE63" s="1027"/>
      <c r="DF63" s="1556"/>
      <c r="DG63" s="1557"/>
      <c r="DH63" s="1027"/>
      <c r="DI63" s="1556"/>
      <c r="DJ63" s="1558"/>
      <c r="DK63" s="1559"/>
      <c r="DL63" s="249"/>
      <c r="DM63" s="221"/>
      <c r="DN63" s="313"/>
      <c r="DO63" s="249"/>
      <c r="DP63" s="216"/>
      <c r="DQ63" s="313"/>
      <c r="DR63" s="249"/>
      <c r="DS63" s="221"/>
      <c r="DT63" s="313"/>
      <c r="DU63" s="249"/>
      <c r="DV63" s="221"/>
      <c r="DW63" s="1560"/>
      <c r="DX63" s="1561"/>
      <c r="DY63" s="1562"/>
      <c r="DZ63" s="350"/>
      <c r="EA63" s="249"/>
      <c r="EB63" s="221"/>
      <c r="EC63" s="313"/>
      <c r="ED63" s="249"/>
      <c r="EE63" s="221"/>
      <c r="EF63" s="313"/>
      <c r="EG63" s="249"/>
      <c r="EH63" s="221"/>
      <c r="EI63" s="313"/>
      <c r="EJ63" s="249"/>
      <c r="EK63" s="216"/>
      <c r="EL63" s="1435"/>
      <c r="EM63" s="1619"/>
      <c r="EN63" s="1268"/>
      <c r="EO63" s="1563"/>
      <c r="EP63" s="1268"/>
      <c r="EQ63" s="1563"/>
      <c r="ER63" s="1268"/>
      <c r="ES63" s="1563"/>
      <c r="ET63" s="1268"/>
      <c r="EU63" s="1682"/>
      <c r="EV63" s="1683"/>
      <c r="EW63" s="1684"/>
      <c r="EX63" s="1685"/>
      <c r="EY63" s="1496"/>
      <c r="EZ63" s="252"/>
      <c r="FA63" s="395"/>
      <c r="FB63" s="223"/>
      <c r="FC63" s="1496"/>
      <c r="FD63" s="252"/>
      <c r="FE63" s="1564"/>
      <c r="FG63" s="256"/>
      <c r="FH63" s="256"/>
      <c r="FI63" s="256"/>
      <c r="FJ63" s="256"/>
      <c r="FK63" s="126"/>
      <c r="FL63" s="126"/>
      <c r="FM63" s="126"/>
      <c r="FN63" s="126"/>
      <c r="FO63" s="957"/>
      <c r="FP63" s="49"/>
      <c r="FR63" s="1566"/>
      <c r="FS63" s="1566"/>
      <c r="FT63" s="1566"/>
      <c r="FU63" s="2879"/>
      <c r="FV63" s="2880"/>
      <c r="FW63" s="2881"/>
      <c r="FX63" s="64"/>
      <c r="FY63" s="64"/>
      <c r="FZ63" s="64"/>
      <c r="GA63" s="64"/>
      <c r="GB63" s="64"/>
      <c r="GC63" s="64"/>
      <c r="GD63" s="64"/>
      <c r="GE63" s="64"/>
      <c r="GF63" s="64"/>
      <c r="GG63" s="64"/>
      <c r="GH63" s="64"/>
      <c r="GI63" s="64"/>
      <c r="GJ63" s="64"/>
      <c r="GK63" s="64"/>
      <c r="GL63" s="64"/>
      <c r="GM63" s="64"/>
      <c r="GN63" s="64"/>
      <c r="GO63" s="64"/>
      <c r="GP63" s="64"/>
      <c r="GQ63" s="64"/>
      <c r="GR63" s="64"/>
      <c r="GS63" s="64"/>
      <c r="GT63" s="64"/>
      <c r="GU63" s="64"/>
      <c r="GV63" s="64"/>
      <c r="GW63" s="64"/>
      <c r="GX63" s="64"/>
      <c r="GY63" s="64"/>
      <c r="GZ63" s="64"/>
      <c r="HA63" s="64"/>
      <c r="HB63" s="64"/>
      <c r="HC63" s="64"/>
      <c r="HD63" s="64"/>
      <c r="HE63" s="64"/>
      <c r="HF63" s="64"/>
      <c r="HG63" s="64"/>
      <c r="HH63" s="64"/>
      <c r="HI63" s="64"/>
      <c r="HJ63" s="64"/>
      <c r="HK63" s="64"/>
      <c r="HL63" s="64"/>
      <c r="HM63" s="64"/>
      <c r="HN63" s="64"/>
      <c r="HO63" s="64"/>
      <c r="HP63" s="64"/>
      <c r="HQ63" s="64"/>
      <c r="HR63" s="64"/>
      <c r="HS63" s="64"/>
      <c r="HT63" s="64"/>
      <c r="HU63" s="64"/>
      <c r="HV63" s="64"/>
      <c r="HW63" s="64"/>
      <c r="HX63" s="64"/>
      <c r="HY63" s="64"/>
      <c r="HZ63" s="64"/>
      <c r="IA63" s="64"/>
      <c r="IB63" s="64"/>
      <c r="IC63" s="64"/>
      <c r="ID63" s="64"/>
      <c r="IE63" s="64"/>
      <c r="IF63" s="64"/>
      <c r="IG63" s="64"/>
      <c r="IH63" s="64"/>
      <c r="II63" s="64"/>
      <c r="IJ63" s="64"/>
      <c r="IK63" s="64"/>
      <c r="IL63" s="64"/>
      <c r="IM63" s="64"/>
      <c r="IN63" s="64"/>
      <c r="IO63" s="64"/>
      <c r="IP63" s="64"/>
      <c r="IQ63" s="64"/>
      <c r="IR63" s="64"/>
      <c r="IS63" s="64"/>
      <c r="IT63" s="64"/>
      <c r="IU63" s="64"/>
    </row>
    <row r="64" spans="1:255" s="1565" customFormat="1" ht="13.5" customHeight="1">
      <c r="A64" s="1023"/>
      <c r="B64" s="1023"/>
      <c r="C64" s="1023"/>
      <c r="D64" s="1549"/>
      <c r="E64" s="1549"/>
      <c r="F64" s="1549"/>
      <c r="G64" s="1549"/>
      <c r="H64" s="1549"/>
      <c r="I64" s="1549"/>
      <c r="J64" s="1549"/>
      <c r="K64" s="1549"/>
      <c r="L64" s="1549"/>
      <c r="M64" s="1549"/>
      <c r="N64" s="1549"/>
      <c r="O64" s="1549"/>
      <c r="P64" s="1549"/>
      <c r="Q64" s="1550"/>
      <c r="R64" s="1550"/>
      <c r="S64" s="1550"/>
      <c r="T64" s="1186"/>
      <c r="U64" s="233"/>
      <c r="V64" s="216"/>
      <c r="W64" s="218"/>
      <c r="X64" s="218"/>
      <c r="Y64" s="216"/>
      <c r="Z64" s="216"/>
      <c r="AA64" s="252"/>
      <c r="AB64" s="252"/>
      <c r="AC64" s="252"/>
      <c r="AD64" s="253"/>
      <c r="AE64" s="252"/>
      <c r="AF64" s="252"/>
      <c r="AG64" s="252"/>
      <c r="AH64" s="252"/>
      <c r="AI64" s="252"/>
      <c r="AJ64" s="252"/>
      <c r="AK64" s="253"/>
      <c r="AL64" s="252"/>
      <c r="AM64" s="252"/>
      <c r="AN64" s="252"/>
      <c r="AO64" s="252"/>
      <c r="AP64" s="252"/>
      <c r="AQ64" s="252"/>
      <c r="AR64" s="252"/>
      <c r="AS64" s="252"/>
      <c r="AT64" s="252"/>
      <c r="AU64" s="252"/>
      <c r="AV64" s="1025"/>
      <c r="AW64" s="355"/>
      <c r="AX64" s="217"/>
      <c r="AY64" s="305"/>
      <c r="AZ64" s="249"/>
      <c r="BA64" s="216"/>
      <c r="BB64" s="1551"/>
      <c r="BC64" s="221"/>
      <c r="BD64" s="1552"/>
      <c r="BE64" s="1263"/>
      <c r="BF64" s="249"/>
      <c r="BG64" s="252"/>
      <c r="BH64" s="1543"/>
      <c r="BI64" s="1544"/>
      <c r="BJ64" s="1543"/>
      <c r="BK64" s="1545"/>
      <c r="BL64" s="260"/>
      <c r="BM64" s="216"/>
      <c r="BN64" s="1553"/>
      <c r="BO64" s="1553"/>
      <c r="BP64" s="1554"/>
      <c r="BQ64" s="216"/>
      <c r="BR64" s="1026"/>
      <c r="BS64" s="249"/>
      <c r="BT64" s="260"/>
      <c r="BU64" s="1026"/>
      <c r="BV64" s="249"/>
      <c r="BW64" s="260"/>
      <c r="BX64" s="1026"/>
      <c r="BY64" s="249"/>
      <c r="BZ64" s="260"/>
      <c r="CA64" s="1026"/>
      <c r="CB64" s="249"/>
      <c r="CC64" s="260"/>
      <c r="CD64" s="1026"/>
      <c r="CE64" s="1269"/>
      <c r="CF64" s="1270"/>
      <c r="CG64" s="1026"/>
      <c r="CH64" s="249"/>
      <c r="CI64" s="260"/>
      <c r="CJ64" s="1027"/>
      <c r="CK64" s="249"/>
      <c r="CL64" s="260"/>
      <c r="CM64" s="1555"/>
      <c r="CN64" s="249"/>
      <c r="CO64" s="216"/>
      <c r="CP64" s="1029"/>
      <c r="CQ64" s="249"/>
      <c r="CR64" s="216"/>
      <c r="CS64" s="1029"/>
      <c r="CT64" s="249"/>
      <c r="CU64" s="216"/>
      <c r="CV64" s="1027"/>
      <c r="CW64" s="249"/>
      <c r="CX64" s="221"/>
      <c r="CY64" s="1027"/>
      <c r="CZ64" s="249"/>
      <c r="DA64" s="216"/>
      <c r="DB64" s="1027" t="str">
        <f t="shared" si="16"/>
        <v/>
      </c>
      <c r="DC64" s="249"/>
      <c r="DD64" s="2519" t="str">
        <f t="shared" si="17"/>
        <v/>
      </c>
      <c r="DE64" s="1027"/>
      <c r="DF64" s="1556"/>
      <c r="DG64" s="1557"/>
      <c r="DH64" s="1027"/>
      <c r="DI64" s="1556"/>
      <c r="DJ64" s="1558"/>
      <c r="DK64" s="1559"/>
      <c r="DL64" s="249"/>
      <c r="DM64" s="221"/>
      <c r="DN64" s="313"/>
      <c r="DO64" s="249"/>
      <c r="DP64" s="216"/>
      <c r="DQ64" s="313"/>
      <c r="DR64" s="249"/>
      <c r="DS64" s="221"/>
      <c r="DT64" s="313"/>
      <c r="DU64" s="249"/>
      <c r="DV64" s="221"/>
      <c r="DW64" s="1560"/>
      <c r="DX64" s="1561"/>
      <c r="DY64" s="1562"/>
      <c r="DZ64" s="350"/>
      <c r="EA64" s="249"/>
      <c r="EB64" s="221"/>
      <c r="EC64" s="313"/>
      <c r="ED64" s="249"/>
      <c r="EE64" s="221"/>
      <c r="EF64" s="313"/>
      <c r="EG64" s="249"/>
      <c r="EH64" s="221"/>
      <c r="EI64" s="313"/>
      <c r="EJ64" s="249"/>
      <c r="EK64" s="216"/>
      <c r="EL64" s="1435"/>
      <c r="EM64" s="1619"/>
      <c r="EN64" s="1268"/>
      <c r="EO64" s="1563"/>
      <c r="EP64" s="1268"/>
      <c r="EQ64" s="1563"/>
      <c r="ER64" s="1268"/>
      <c r="ES64" s="1563"/>
      <c r="ET64" s="1268"/>
      <c r="EU64" s="1682"/>
      <c r="EV64" s="1683"/>
      <c r="EW64" s="1684"/>
      <c r="EX64" s="1685"/>
      <c r="EY64" s="1496"/>
      <c r="EZ64" s="252"/>
      <c r="FA64" s="395"/>
      <c r="FB64" s="223"/>
      <c r="FC64" s="1496"/>
      <c r="FD64" s="252"/>
      <c r="FE64" s="1564"/>
      <c r="FG64" s="256"/>
      <c r="FH64" s="256"/>
      <c r="FI64" s="256"/>
      <c r="FJ64" s="256"/>
      <c r="FK64" s="126"/>
      <c r="FL64" s="126"/>
      <c r="FM64" s="126"/>
      <c r="FN64" s="126"/>
      <c r="FO64" s="957"/>
      <c r="FP64" s="49"/>
      <c r="FR64" s="1566"/>
      <c r="FS64" s="1566"/>
      <c r="FT64" s="1566"/>
      <c r="FU64" s="2879"/>
      <c r="FV64" s="2880"/>
      <c r="FW64" s="2881"/>
      <c r="FX64" s="64"/>
      <c r="FY64" s="64"/>
      <c r="FZ64" s="64"/>
      <c r="GA64" s="64"/>
      <c r="GB64" s="64"/>
      <c r="GC64" s="64"/>
      <c r="GD64" s="64"/>
      <c r="GE64" s="64"/>
      <c r="GF64" s="64"/>
      <c r="GG64" s="64"/>
      <c r="GH64" s="64"/>
      <c r="GI64" s="64"/>
      <c r="GJ64" s="64"/>
      <c r="GK64" s="64"/>
      <c r="GL64" s="64"/>
      <c r="GM64" s="64"/>
      <c r="GN64" s="64"/>
      <c r="GO64" s="64"/>
      <c r="GP64" s="64"/>
      <c r="GQ64" s="64"/>
      <c r="GR64" s="64"/>
      <c r="GS64" s="64"/>
      <c r="GT64" s="64"/>
      <c r="GU64" s="64"/>
      <c r="GV64" s="64"/>
      <c r="GW64" s="64"/>
      <c r="GX64" s="64"/>
      <c r="GY64" s="64"/>
      <c r="GZ64" s="64"/>
      <c r="HA64" s="64"/>
      <c r="HB64" s="64"/>
      <c r="HC64" s="64"/>
      <c r="HD64" s="64"/>
      <c r="HE64" s="64"/>
      <c r="HF64" s="64"/>
      <c r="HG64" s="64"/>
      <c r="HH64" s="64"/>
      <c r="HI64" s="64"/>
      <c r="HJ64" s="64"/>
      <c r="HK64" s="64"/>
      <c r="HL64" s="64"/>
      <c r="HM64" s="64"/>
      <c r="HN64" s="64"/>
      <c r="HO64" s="64"/>
      <c r="HP64" s="64"/>
      <c r="HQ64" s="64"/>
      <c r="HR64" s="64"/>
      <c r="HS64" s="64"/>
      <c r="HT64" s="64"/>
      <c r="HU64" s="64"/>
      <c r="HV64" s="64"/>
      <c r="HW64" s="64"/>
      <c r="HX64" s="64"/>
      <c r="HY64" s="64"/>
      <c r="HZ64" s="64"/>
      <c r="IA64" s="64"/>
      <c r="IB64" s="64"/>
      <c r="IC64" s="64"/>
      <c r="ID64" s="64"/>
      <c r="IE64" s="64"/>
      <c r="IF64" s="64"/>
      <c r="IG64" s="64"/>
      <c r="IH64" s="64"/>
      <c r="II64" s="64"/>
      <c r="IJ64" s="64"/>
      <c r="IK64" s="64"/>
      <c r="IL64" s="64"/>
      <c r="IM64" s="64"/>
      <c r="IN64" s="64"/>
      <c r="IO64" s="64"/>
      <c r="IP64" s="64"/>
      <c r="IQ64" s="64"/>
      <c r="IR64" s="64"/>
      <c r="IS64" s="64"/>
      <c r="IT64" s="64"/>
      <c r="IU64" s="64"/>
    </row>
    <row r="65" spans="1:255" s="1565" customFormat="1" ht="13.5" customHeight="1">
      <c r="A65" s="1023"/>
      <c r="B65" s="1023"/>
      <c r="C65" s="1023"/>
      <c r="D65" s="1549"/>
      <c r="E65" s="1549"/>
      <c r="F65" s="1549"/>
      <c r="G65" s="1549"/>
      <c r="H65" s="1549"/>
      <c r="I65" s="1549"/>
      <c r="J65" s="1549"/>
      <c r="K65" s="1549"/>
      <c r="L65" s="1549"/>
      <c r="M65" s="1549"/>
      <c r="N65" s="1549"/>
      <c r="O65" s="1549"/>
      <c r="P65" s="1549"/>
      <c r="Q65" s="1550"/>
      <c r="R65" s="1550"/>
      <c r="S65" s="1550"/>
      <c r="T65" s="1186"/>
      <c r="U65" s="233"/>
      <c r="V65" s="216"/>
      <c r="W65" s="218"/>
      <c r="X65" s="218"/>
      <c r="Y65" s="216"/>
      <c r="Z65" s="216"/>
      <c r="AA65" s="252"/>
      <c r="AB65" s="252"/>
      <c r="AC65" s="252"/>
      <c r="AD65" s="253"/>
      <c r="AE65" s="252"/>
      <c r="AF65" s="252"/>
      <c r="AG65" s="252"/>
      <c r="AH65" s="252"/>
      <c r="AI65" s="252"/>
      <c r="AJ65" s="252"/>
      <c r="AK65" s="253"/>
      <c r="AL65" s="252"/>
      <c r="AM65" s="252"/>
      <c r="AN65" s="252"/>
      <c r="AO65" s="252"/>
      <c r="AP65" s="252"/>
      <c r="AQ65" s="252"/>
      <c r="AR65" s="252"/>
      <c r="AS65" s="252"/>
      <c r="AT65" s="252"/>
      <c r="AU65" s="252"/>
      <c r="AV65" s="1025"/>
      <c r="AW65" s="355"/>
      <c r="AX65" s="217"/>
      <c r="AY65" s="305"/>
      <c r="AZ65" s="249"/>
      <c r="BA65" s="216"/>
      <c r="BB65" s="1551"/>
      <c r="BC65" s="221"/>
      <c r="BD65" s="1552"/>
      <c r="BE65" s="1263"/>
      <c r="BF65" s="249"/>
      <c r="BG65" s="252"/>
      <c r="BH65" s="1543"/>
      <c r="BI65" s="1544"/>
      <c r="BJ65" s="1543"/>
      <c r="BK65" s="1545"/>
      <c r="BL65" s="260"/>
      <c r="BM65" s="216"/>
      <c r="BN65" s="1553"/>
      <c r="BO65" s="1553"/>
      <c r="BP65" s="1554"/>
      <c r="BQ65" s="216"/>
      <c r="BR65" s="1026"/>
      <c r="BS65" s="249"/>
      <c r="BT65" s="260"/>
      <c r="BU65" s="1026"/>
      <c r="BV65" s="249"/>
      <c r="BW65" s="260"/>
      <c r="BX65" s="1026"/>
      <c r="BY65" s="249"/>
      <c r="BZ65" s="260"/>
      <c r="CA65" s="1026"/>
      <c r="CB65" s="249"/>
      <c r="CC65" s="260"/>
      <c r="CD65" s="1026"/>
      <c r="CE65" s="1269"/>
      <c r="CF65" s="1270"/>
      <c r="CG65" s="1026"/>
      <c r="CH65" s="249"/>
      <c r="CI65" s="260"/>
      <c r="CJ65" s="1027"/>
      <c r="CK65" s="249"/>
      <c r="CL65" s="260"/>
      <c r="CM65" s="1555"/>
      <c r="CN65" s="249"/>
      <c r="CO65" s="216"/>
      <c r="CP65" s="1029"/>
      <c r="CQ65" s="249"/>
      <c r="CR65" s="216"/>
      <c r="CS65" s="1029"/>
      <c r="CT65" s="249"/>
      <c r="CU65" s="216"/>
      <c r="CV65" s="1027"/>
      <c r="CW65" s="249"/>
      <c r="CX65" s="221"/>
      <c r="CY65" s="1027"/>
      <c r="CZ65" s="249"/>
      <c r="DA65" s="216"/>
      <c r="DB65" s="1027" t="str">
        <f t="shared" si="16"/>
        <v/>
      </c>
      <c r="DC65" s="249"/>
      <c r="DD65" s="2519" t="str">
        <f t="shared" si="17"/>
        <v/>
      </c>
      <c r="DE65" s="1027"/>
      <c r="DF65" s="1556"/>
      <c r="DG65" s="1557"/>
      <c r="DH65" s="1027"/>
      <c r="DI65" s="1556"/>
      <c r="DJ65" s="1558"/>
      <c r="DK65" s="1559"/>
      <c r="DL65" s="249"/>
      <c r="DM65" s="221"/>
      <c r="DN65" s="313"/>
      <c r="DO65" s="249"/>
      <c r="DP65" s="216"/>
      <c r="DQ65" s="313"/>
      <c r="DR65" s="249"/>
      <c r="DS65" s="221"/>
      <c r="DT65" s="313"/>
      <c r="DU65" s="249"/>
      <c r="DV65" s="221"/>
      <c r="DW65" s="1560"/>
      <c r="DX65" s="1561"/>
      <c r="DY65" s="1562"/>
      <c r="DZ65" s="350"/>
      <c r="EA65" s="249"/>
      <c r="EB65" s="221"/>
      <c r="EC65" s="313"/>
      <c r="ED65" s="249"/>
      <c r="EE65" s="221"/>
      <c r="EF65" s="313"/>
      <c r="EG65" s="249"/>
      <c r="EH65" s="221"/>
      <c r="EI65" s="313"/>
      <c r="EJ65" s="249"/>
      <c r="EK65" s="216"/>
      <c r="EL65" s="1435"/>
      <c r="EM65" s="1619"/>
      <c r="EN65" s="1268"/>
      <c r="EO65" s="1563"/>
      <c r="EP65" s="1268"/>
      <c r="EQ65" s="1563"/>
      <c r="ER65" s="1268"/>
      <c r="ES65" s="1563"/>
      <c r="ET65" s="1268"/>
      <c r="EU65" s="1682"/>
      <c r="EV65" s="1683"/>
      <c r="EW65" s="1684"/>
      <c r="EX65" s="1685"/>
      <c r="EY65" s="1496"/>
      <c r="EZ65" s="252"/>
      <c r="FA65" s="395"/>
      <c r="FB65" s="223"/>
      <c r="FC65" s="1496"/>
      <c r="FD65" s="252"/>
      <c r="FE65" s="1564"/>
      <c r="FG65" s="256"/>
      <c r="FH65" s="256"/>
      <c r="FI65" s="256"/>
      <c r="FJ65" s="256"/>
      <c r="FK65" s="126"/>
      <c r="FL65" s="126"/>
      <c r="FM65" s="126"/>
      <c r="FN65" s="126"/>
      <c r="FO65" s="957"/>
      <c r="FP65" s="49"/>
      <c r="FR65" s="1566"/>
      <c r="FS65" s="1566"/>
      <c r="FT65" s="1566"/>
      <c r="FU65" s="2879"/>
      <c r="FV65" s="2880"/>
      <c r="FW65" s="2881"/>
      <c r="FX65" s="64"/>
      <c r="FY65" s="64"/>
      <c r="FZ65" s="64"/>
      <c r="GA65" s="64"/>
      <c r="GB65" s="64"/>
      <c r="GC65" s="64"/>
      <c r="GD65" s="64"/>
      <c r="GE65" s="64"/>
      <c r="GF65" s="64"/>
      <c r="GG65" s="64"/>
      <c r="GH65" s="64"/>
      <c r="GI65" s="64"/>
      <c r="GJ65" s="64"/>
      <c r="GK65" s="64"/>
      <c r="GL65" s="64"/>
      <c r="GM65" s="64"/>
      <c r="GN65" s="64"/>
      <c r="GO65" s="64"/>
      <c r="GP65" s="64"/>
      <c r="GQ65" s="64"/>
      <c r="GR65" s="64"/>
      <c r="GS65" s="64"/>
      <c r="GT65" s="64"/>
      <c r="GU65" s="64"/>
      <c r="GV65" s="64"/>
      <c r="GW65" s="64"/>
      <c r="GX65" s="64"/>
      <c r="GY65" s="64"/>
      <c r="GZ65" s="64"/>
      <c r="HA65" s="64"/>
      <c r="HB65" s="64"/>
      <c r="HC65" s="64"/>
      <c r="HD65" s="64"/>
      <c r="HE65" s="64"/>
      <c r="HF65" s="64"/>
      <c r="HG65" s="64"/>
      <c r="HH65" s="64"/>
      <c r="HI65" s="64"/>
      <c r="HJ65" s="64"/>
      <c r="HK65" s="64"/>
      <c r="HL65" s="64"/>
      <c r="HM65" s="64"/>
      <c r="HN65" s="64"/>
      <c r="HO65" s="64"/>
      <c r="HP65" s="64"/>
      <c r="HQ65" s="64"/>
      <c r="HR65" s="64"/>
      <c r="HS65" s="64"/>
      <c r="HT65" s="64"/>
      <c r="HU65" s="64"/>
      <c r="HV65" s="64"/>
      <c r="HW65" s="64"/>
      <c r="HX65" s="64"/>
      <c r="HY65" s="64"/>
      <c r="HZ65" s="64"/>
      <c r="IA65" s="64"/>
      <c r="IB65" s="64"/>
      <c r="IC65" s="64"/>
      <c r="ID65" s="64"/>
      <c r="IE65" s="64"/>
      <c r="IF65" s="64"/>
      <c r="IG65" s="64"/>
      <c r="IH65" s="64"/>
      <c r="II65" s="64"/>
      <c r="IJ65" s="64"/>
      <c r="IK65" s="64"/>
      <c r="IL65" s="64"/>
      <c r="IM65" s="64"/>
      <c r="IN65" s="64"/>
      <c r="IO65" s="64"/>
      <c r="IP65" s="64"/>
      <c r="IQ65" s="64"/>
      <c r="IR65" s="64"/>
      <c r="IS65" s="64"/>
      <c r="IT65" s="64"/>
      <c r="IU65" s="64"/>
    </row>
    <row r="66" spans="1:255" s="1565" customFormat="1" ht="13.5" customHeight="1">
      <c r="A66" s="1023"/>
      <c r="B66" s="1023"/>
      <c r="C66" s="1023"/>
      <c r="D66" s="1549"/>
      <c r="E66" s="1549"/>
      <c r="F66" s="1549"/>
      <c r="G66" s="1549"/>
      <c r="H66" s="1549"/>
      <c r="I66" s="1549"/>
      <c r="J66" s="1549"/>
      <c r="K66" s="1549"/>
      <c r="L66" s="1549"/>
      <c r="M66" s="1549"/>
      <c r="N66" s="1549"/>
      <c r="O66" s="1549"/>
      <c r="P66" s="1549"/>
      <c r="Q66" s="1550"/>
      <c r="R66" s="1550"/>
      <c r="S66" s="1550"/>
      <c r="T66" s="1186"/>
      <c r="U66" s="233"/>
      <c r="V66" s="216"/>
      <c r="W66" s="218"/>
      <c r="X66" s="218"/>
      <c r="Y66" s="216"/>
      <c r="Z66" s="216"/>
      <c r="AA66" s="252"/>
      <c r="AB66" s="252"/>
      <c r="AC66" s="252"/>
      <c r="AD66" s="253"/>
      <c r="AE66" s="252"/>
      <c r="AF66" s="252"/>
      <c r="AG66" s="252"/>
      <c r="AH66" s="252"/>
      <c r="AI66" s="252"/>
      <c r="AJ66" s="252"/>
      <c r="AK66" s="253"/>
      <c r="AL66" s="252"/>
      <c r="AM66" s="252"/>
      <c r="AN66" s="252"/>
      <c r="AO66" s="252"/>
      <c r="AP66" s="252"/>
      <c r="AQ66" s="252"/>
      <c r="AR66" s="252"/>
      <c r="AS66" s="252"/>
      <c r="AT66" s="252"/>
      <c r="AU66" s="252"/>
      <c r="AV66" s="1025"/>
      <c r="AW66" s="355"/>
      <c r="AX66" s="217"/>
      <c r="AY66" s="305"/>
      <c r="AZ66" s="249"/>
      <c r="BA66" s="216"/>
      <c r="BB66" s="1551"/>
      <c r="BC66" s="221"/>
      <c r="BD66" s="1552"/>
      <c r="BE66" s="1263"/>
      <c r="BF66" s="249"/>
      <c r="BG66" s="252"/>
      <c r="BH66" s="1543"/>
      <c r="BI66" s="1544"/>
      <c r="BJ66" s="1543"/>
      <c r="BK66" s="1545"/>
      <c r="BL66" s="260"/>
      <c r="BM66" s="216"/>
      <c r="BN66" s="1553"/>
      <c r="BO66" s="1553"/>
      <c r="BP66" s="1554"/>
      <c r="BQ66" s="216"/>
      <c r="BR66" s="1026"/>
      <c r="BS66" s="249"/>
      <c r="BT66" s="260"/>
      <c r="BU66" s="1026"/>
      <c r="BV66" s="249"/>
      <c r="BW66" s="260"/>
      <c r="BX66" s="1026"/>
      <c r="BY66" s="249"/>
      <c r="BZ66" s="260"/>
      <c r="CA66" s="1026"/>
      <c r="CB66" s="249"/>
      <c r="CC66" s="260"/>
      <c r="CD66" s="1026"/>
      <c r="CE66" s="1269"/>
      <c r="CF66" s="1270"/>
      <c r="CG66" s="1026"/>
      <c r="CH66" s="249"/>
      <c r="CI66" s="260"/>
      <c r="CJ66" s="1027"/>
      <c r="CK66" s="249"/>
      <c r="CL66" s="260"/>
      <c r="CM66" s="1555"/>
      <c r="CN66" s="249"/>
      <c r="CO66" s="216"/>
      <c r="CP66" s="1029"/>
      <c r="CQ66" s="249"/>
      <c r="CR66" s="216"/>
      <c r="CS66" s="1029"/>
      <c r="CT66" s="249"/>
      <c r="CU66" s="216"/>
      <c r="CV66" s="1027"/>
      <c r="CW66" s="249"/>
      <c r="CX66" s="221"/>
      <c r="CY66" s="1027"/>
      <c r="CZ66" s="249"/>
      <c r="DA66" s="216"/>
      <c r="DB66" s="1027" t="str">
        <f t="shared" si="16"/>
        <v/>
      </c>
      <c r="DC66" s="249"/>
      <c r="DD66" s="2519" t="str">
        <f t="shared" si="17"/>
        <v/>
      </c>
      <c r="DE66" s="1027"/>
      <c r="DF66" s="1556"/>
      <c r="DG66" s="1557"/>
      <c r="DH66" s="1027"/>
      <c r="DI66" s="1556"/>
      <c r="DJ66" s="1558"/>
      <c r="DK66" s="1559"/>
      <c r="DL66" s="249"/>
      <c r="DM66" s="221"/>
      <c r="DN66" s="313"/>
      <c r="DO66" s="249"/>
      <c r="DP66" s="216"/>
      <c r="DQ66" s="313"/>
      <c r="DR66" s="249"/>
      <c r="DS66" s="221"/>
      <c r="DT66" s="313"/>
      <c r="DU66" s="249"/>
      <c r="DV66" s="221"/>
      <c r="DW66" s="1560"/>
      <c r="DX66" s="1561"/>
      <c r="DY66" s="1562"/>
      <c r="DZ66" s="350"/>
      <c r="EA66" s="249"/>
      <c r="EB66" s="221"/>
      <c r="EC66" s="313"/>
      <c r="ED66" s="249"/>
      <c r="EE66" s="221"/>
      <c r="EF66" s="313"/>
      <c r="EG66" s="249"/>
      <c r="EH66" s="221"/>
      <c r="EI66" s="313"/>
      <c r="EJ66" s="249"/>
      <c r="EK66" s="216"/>
      <c r="EL66" s="1435"/>
      <c r="EM66" s="1619"/>
      <c r="EN66" s="1268"/>
      <c r="EO66" s="1563"/>
      <c r="EP66" s="1268"/>
      <c r="EQ66" s="1563"/>
      <c r="ER66" s="1268"/>
      <c r="ES66" s="1563"/>
      <c r="ET66" s="1268"/>
      <c r="EU66" s="1682"/>
      <c r="EV66" s="1683"/>
      <c r="EW66" s="1684"/>
      <c r="EX66" s="1685"/>
      <c r="EY66" s="1496"/>
      <c r="EZ66" s="252"/>
      <c r="FA66" s="395"/>
      <c r="FB66" s="223"/>
      <c r="FC66" s="1496"/>
      <c r="FD66" s="252"/>
      <c r="FE66" s="1564"/>
      <c r="FG66" s="256"/>
      <c r="FH66" s="256"/>
      <c r="FI66" s="256"/>
      <c r="FJ66" s="256"/>
      <c r="FK66" s="126"/>
      <c r="FL66" s="126"/>
      <c r="FM66" s="126"/>
      <c r="FN66" s="126"/>
      <c r="FO66" s="957"/>
      <c r="FP66" s="49"/>
      <c r="FR66" s="1566"/>
      <c r="FS66" s="1566"/>
      <c r="FT66" s="1566"/>
      <c r="FU66" s="2879"/>
      <c r="FV66" s="2880"/>
      <c r="FW66" s="2881"/>
      <c r="FX66" s="64"/>
      <c r="FY66" s="64"/>
      <c r="FZ66" s="64"/>
      <c r="GA66" s="64"/>
      <c r="GB66" s="64"/>
      <c r="GC66" s="64"/>
      <c r="GD66" s="64"/>
      <c r="GE66" s="64"/>
      <c r="GF66" s="64"/>
      <c r="GG66" s="64"/>
      <c r="GH66" s="64"/>
      <c r="GI66" s="64"/>
      <c r="GJ66" s="64"/>
      <c r="GK66" s="64"/>
      <c r="GL66" s="64"/>
      <c r="GM66" s="64"/>
      <c r="GN66" s="64"/>
      <c r="GO66" s="64"/>
      <c r="GP66" s="64"/>
      <c r="GQ66" s="64"/>
      <c r="GR66" s="64"/>
      <c r="GS66" s="64"/>
      <c r="GT66" s="64"/>
      <c r="GU66" s="64"/>
      <c r="GV66" s="64"/>
      <c r="GW66" s="64"/>
      <c r="GX66" s="64"/>
      <c r="GY66" s="64"/>
      <c r="GZ66" s="64"/>
      <c r="HA66" s="64"/>
      <c r="HB66" s="64"/>
      <c r="HC66" s="64"/>
      <c r="HD66" s="64"/>
      <c r="HE66" s="64"/>
      <c r="HF66" s="64"/>
      <c r="HG66" s="64"/>
      <c r="HH66" s="64"/>
      <c r="HI66" s="64"/>
      <c r="HJ66" s="64"/>
      <c r="HK66" s="64"/>
      <c r="HL66" s="64"/>
      <c r="HM66" s="64"/>
      <c r="HN66" s="64"/>
      <c r="HO66" s="64"/>
      <c r="HP66" s="64"/>
      <c r="HQ66" s="64"/>
      <c r="HR66" s="64"/>
      <c r="HS66" s="64"/>
      <c r="HT66" s="64"/>
      <c r="HU66" s="64"/>
      <c r="HV66" s="64"/>
      <c r="HW66" s="64"/>
      <c r="HX66" s="64"/>
      <c r="HY66" s="64"/>
      <c r="HZ66" s="64"/>
      <c r="IA66" s="64"/>
      <c r="IB66" s="64"/>
      <c r="IC66" s="64"/>
      <c r="ID66" s="64"/>
      <c r="IE66" s="64"/>
      <c r="IF66" s="64"/>
      <c r="IG66" s="64"/>
      <c r="IH66" s="64"/>
      <c r="II66" s="64"/>
      <c r="IJ66" s="64"/>
      <c r="IK66" s="64"/>
      <c r="IL66" s="64"/>
      <c r="IM66" s="64"/>
      <c r="IN66" s="64"/>
      <c r="IO66" s="64"/>
      <c r="IP66" s="64"/>
      <c r="IQ66" s="64"/>
      <c r="IR66" s="64"/>
      <c r="IS66" s="64"/>
      <c r="IT66" s="64"/>
      <c r="IU66" s="64"/>
    </row>
    <row r="67" spans="1:255" s="1565" customFormat="1" ht="13.5" customHeight="1">
      <c r="A67" s="1023"/>
      <c r="B67" s="1023"/>
      <c r="C67" s="1023"/>
      <c r="D67" s="1549"/>
      <c r="E67" s="1549"/>
      <c r="F67" s="1549"/>
      <c r="G67" s="1549"/>
      <c r="H67" s="1549"/>
      <c r="I67" s="1549"/>
      <c r="J67" s="1549"/>
      <c r="K67" s="1549"/>
      <c r="L67" s="1549"/>
      <c r="M67" s="1549"/>
      <c r="N67" s="1549"/>
      <c r="O67" s="1549"/>
      <c r="P67" s="1549"/>
      <c r="Q67" s="1550"/>
      <c r="R67" s="1550"/>
      <c r="S67" s="1550"/>
      <c r="T67" s="1186"/>
      <c r="U67" s="233"/>
      <c r="V67" s="216"/>
      <c r="W67" s="218"/>
      <c r="X67" s="218"/>
      <c r="Y67" s="216"/>
      <c r="Z67" s="216"/>
      <c r="AA67" s="252"/>
      <c r="AB67" s="252"/>
      <c r="AC67" s="252"/>
      <c r="AD67" s="253"/>
      <c r="AE67" s="252"/>
      <c r="AF67" s="252"/>
      <c r="AG67" s="252"/>
      <c r="AH67" s="252"/>
      <c r="AI67" s="252"/>
      <c r="AJ67" s="252"/>
      <c r="AK67" s="253"/>
      <c r="AL67" s="252"/>
      <c r="AM67" s="252"/>
      <c r="AN67" s="252"/>
      <c r="AO67" s="252"/>
      <c r="AP67" s="252"/>
      <c r="AQ67" s="252"/>
      <c r="AR67" s="252"/>
      <c r="AS67" s="252"/>
      <c r="AT67" s="252"/>
      <c r="AU67" s="252"/>
      <c r="AV67" s="1025"/>
      <c r="AW67" s="355"/>
      <c r="AX67" s="217"/>
      <c r="AY67" s="305"/>
      <c r="AZ67" s="249"/>
      <c r="BA67" s="216"/>
      <c r="BB67" s="1551"/>
      <c r="BC67" s="221"/>
      <c r="BD67" s="1552"/>
      <c r="BE67" s="1263"/>
      <c r="BF67" s="249"/>
      <c r="BG67" s="252"/>
      <c r="BH67" s="1543"/>
      <c r="BI67" s="1544"/>
      <c r="BJ67" s="1543"/>
      <c r="BK67" s="1545"/>
      <c r="BL67" s="260"/>
      <c r="BM67" s="216"/>
      <c r="BN67" s="1553"/>
      <c r="BO67" s="1553"/>
      <c r="BP67" s="1554"/>
      <c r="BQ67" s="216"/>
      <c r="BR67" s="1026"/>
      <c r="BS67" s="249"/>
      <c r="BT67" s="260"/>
      <c r="BU67" s="1026"/>
      <c r="BV67" s="249"/>
      <c r="BW67" s="260"/>
      <c r="BX67" s="1026"/>
      <c r="BY67" s="249"/>
      <c r="BZ67" s="260"/>
      <c r="CA67" s="1026"/>
      <c r="CB67" s="249"/>
      <c r="CC67" s="260"/>
      <c r="CD67" s="1026"/>
      <c r="CE67" s="1269"/>
      <c r="CF67" s="1270"/>
      <c r="CG67" s="1026"/>
      <c r="CH67" s="249"/>
      <c r="CI67" s="260"/>
      <c r="CJ67" s="1027"/>
      <c r="CK67" s="249"/>
      <c r="CL67" s="260"/>
      <c r="CM67" s="1555"/>
      <c r="CN67" s="249"/>
      <c r="CO67" s="216"/>
      <c r="CP67" s="1029"/>
      <c r="CQ67" s="249"/>
      <c r="CR67" s="216"/>
      <c r="CS67" s="1029"/>
      <c r="CT67" s="249"/>
      <c r="CU67" s="216"/>
      <c r="CV67" s="1027"/>
      <c r="CW67" s="249"/>
      <c r="CX67" s="221"/>
      <c r="CY67" s="1027"/>
      <c r="CZ67" s="249"/>
      <c r="DA67" s="216"/>
      <c r="DB67" s="1027" t="str">
        <f t="shared" si="16"/>
        <v/>
      </c>
      <c r="DC67" s="249"/>
      <c r="DD67" s="2519" t="str">
        <f t="shared" si="17"/>
        <v/>
      </c>
      <c r="DE67" s="1027"/>
      <c r="DF67" s="1556"/>
      <c r="DG67" s="1557"/>
      <c r="DH67" s="1027"/>
      <c r="DI67" s="1556"/>
      <c r="DJ67" s="1558"/>
      <c r="DK67" s="1559"/>
      <c r="DL67" s="249"/>
      <c r="DM67" s="221"/>
      <c r="DN67" s="313"/>
      <c r="DO67" s="249"/>
      <c r="DP67" s="216"/>
      <c r="DQ67" s="313"/>
      <c r="DR67" s="249"/>
      <c r="DS67" s="221"/>
      <c r="DT67" s="313"/>
      <c r="DU67" s="249"/>
      <c r="DV67" s="221"/>
      <c r="DW67" s="1560"/>
      <c r="DX67" s="1561"/>
      <c r="DY67" s="1562"/>
      <c r="DZ67" s="350"/>
      <c r="EA67" s="249"/>
      <c r="EB67" s="221"/>
      <c r="EC67" s="313"/>
      <c r="ED67" s="249"/>
      <c r="EE67" s="221"/>
      <c r="EF67" s="313"/>
      <c r="EG67" s="249"/>
      <c r="EH67" s="221"/>
      <c r="EI67" s="313"/>
      <c r="EJ67" s="249"/>
      <c r="EK67" s="216"/>
      <c r="EL67" s="1435"/>
      <c r="EM67" s="1619"/>
      <c r="EN67" s="1268"/>
      <c r="EO67" s="1563"/>
      <c r="EP67" s="1268"/>
      <c r="EQ67" s="1563"/>
      <c r="ER67" s="1268"/>
      <c r="ES67" s="1563"/>
      <c r="ET67" s="1268"/>
      <c r="EU67" s="1682"/>
      <c r="EV67" s="1683"/>
      <c r="EW67" s="1684"/>
      <c r="EX67" s="1685"/>
      <c r="EY67" s="1496"/>
      <c r="EZ67" s="252"/>
      <c r="FA67" s="395"/>
      <c r="FB67" s="223"/>
      <c r="FC67" s="1496"/>
      <c r="FD67" s="252"/>
      <c r="FE67" s="1564"/>
      <c r="FG67" s="256"/>
      <c r="FH67" s="256"/>
      <c r="FI67" s="256"/>
      <c r="FJ67" s="256"/>
      <c r="FK67" s="126"/>
      <c r="FL67" s="126"/>
      <c r="FM67" s="126"/>
      <c r="FN67" s="126"/>
      <c r="FO67" s="957"/>
      <c r="FP67" s="49"/>
      <c r="FR67" s="1566"/>
      <c r="FS67" s="1566"/>
      <c r="FT67" s="1566"/>
      <c r="FU67" s="2879"/>
      <c r="FV67" s="2880"/>
      <c r="FW67" s="2881"/>
      <c r="FX67" s="64"/>
      <c r="FY67" s="64"/>
      <c r="FZ67" s="64"/>
      <c r="GA67" s="64"/>
      <c r="GB67" s="64"/>
      <c r="GC67" s="64"/>
      <c r="GD67" s="64"/>
      <c r="GE67" s="64"/>
      <c r="GF67" s="64"/>
      <c r="GG67" s="64"/>
      <c r="GH67" s="64"/>
      <c r="GI67" s="64"/>
      <c r="GJ67" s="64"/>
      <c r="GK67" s="64"/>
      <c r="GL67" s="64"/>
      <c r="GM67" s="64"/>
      <c r="GN67" s="64"/>
      <c r="GO67" s="64"/>
      <c r="GP67" s="64"/>
      <c r="GQ67" s="64"/>
      <c r="GR67" s="64"/>
      <c r="GS67" s="64"/>
      <c r="GT67" s="64"/>
      <c r="GU67" s="64"/>
      <c r="GV67" s="64"/>
      <c r="GW67" s="64"/>
      <c r="GX67" s="64"/>
      <c r="GY67" s="64"/>
      <c r="GZ67" s="64"/>
      <c r="HA67" s="64"/>
      <c r="HB67" s="64"/>
      <c r="HC67" s="64"/>
      <c r="HD67" s="64"/>
      <c r="HE67" s="64"/>
      <c r="HF67" s="64"/>
      <c r="HG67" s="64"/>
      <c r="HH67" s="64"/>
      <c r="HI67" s="64"/>
      <c r="HJ67" s="64"/>
      <c r="HK67" s="64"/>
      <c r="HL67" s="64"/>
      <c r="HM67" s="64"/>
      <c r="HN67" s="64"/>
      <c r="HO67" s="64"/>
      <c r="HP67" s="64"/>
      <c r="HQ67" s="64"/>
      <c r="HR67" s="64"/>
      <c r="HS67" s="64"/>
      <c r="HT67" s="64"/>
      <c r="HU67" s="64"/>
      <c r="HV67" s="64"/>
      <c r="HW67" s="64"/>
      <c r="HX67" s="64"/>
      <c r="HY67" s="64"/>
      <c r="HZ67" s="64"/>
      <c r="IA67" s="64"/>
      <c r="IB67" s="64"/>
      <c r="IC67" s="64"/>
      <c r="ID67" s="64"/>
      <c r="IE67" s="64"/>
      <c r="IF67" s="64"/>
      <c r="IG67" s="64"/>
      <c r="IH67" s="64"/>
      <c r="II67" s="64"/>
      <c r="IJ67" s="64"/>
      <c r="IK67" s="64"/>
      <c r="IL67" s="64"/>
      <c r="IM67" s="64"/>
      <c r="IN67" s="64"/>
      <c r="IO67" s="64"/>
      <c r="IP67" s="64"/>
      <c r="IQ67" s="64"/>
      <c r="IR67" s="64"/>
      <c r="IS67" s="64"/>
      <c r="IT67" s="64"/>
      <c r="IU67" s="64"/>
    </row>
    <row r="68" spans="1:255" s="1565" customFormat="1" ht="13.5" customHeight="1">
      <c r="A68" s="1023"/>
      <c r="B68" s="1023"/>
      <c r="C68" s="1023"/>
      <c r="D68" s="1549"/>
      <c r="E68" s="1549"/>
      <c r="F68" s="1549"/>
      <c r="G68" s="1549"/>
      <c r="H68" s="1549"/>
      <c r="I68" s="1549"/>
      <c r="J68" s="1549"/>
      <c r="K68" s="1549"/>
      <c r="L68" s="1549"/>
      <c r="M68" s="1549"/>
      <c r="N68" s="1549"/>
      <c r="O68" s="1549"/>
      <c r="P68" s="1549"/>
      <c r="Q68" s="1550"/>
      <c r="R68" s="1550"/>
      <c r="S68" s="1550"/>
      <c r="T68" s="1186"/>
      <c r="U68" s="233"/>
      <c r="V68" s="216"/>
      <c r="W68" s="218"/>
      <c r="X68" s="218"/>
      <c r="Y68" s="216"/>
      <c r="Z68" s="216"/>
      <c r="AA68" s="252"/>
      <c r="AB68" s="252"/>
      <c r="AC68" s="252"/>
      <c r="AD68" s="253"/>
      <c r="AE68" s="252"/>
      <c r="AF68" s="252"/>
      <c r="AG68" s="252"/>
      <c r="AH68" s="252"/>
      <c r="AI68" s="252"/>
      <c r="AJ68" s="252"/>
      <c r="AK68" s="253"/>
      <c r="AL68" s="252"/>
      <c r="AM68" s="252"/>
      <c r="AN68" s="252"/>
      <c r="AO68" s="252"/>
      <c r="AP68" s="252"/>
      <c r="AQ68" s="252"/>
      <c r="AR68" s="252"/>
      <c r="AS68" s="252"/>
      <c r="AT68" s="252"/>
      <c r="AU68" s="252"/>
      <c r="AV68" s="1025"/>
      <c r="AW68" s="355"/>
      <c r="AX68" s="217"/>
      <c r="AY68" s="305"/>
      <c r="AZ68" s="249"/>
      <c r="BA68" s="216"/>
      <c r="BB68" s="1551"/>
      <c r="BC68" s="221"/>
      <c r="BD68" s="1552"/>
      <c r="BE68" s="1263"/>
      <c r="BF68" s="249"/>
      <c r="BG68" s="252"/>
      <c r="BH68" s="1543"/>
      <c r="BI68" s="1544"/>
      <c r="BJ68" s="1543"/>
      <c r="BK68" s="1545"/>
      <c r="BL68" s="260"/>
      <c r="BM68" s="216"/>
      <c r="BN68" s="1553"/>
      <c r="BO68" s="1553"/>
      <c r="BP68" s="1554"/>
      <c r="BQ68" s="216"/>
      <c r="BR68" s="1026"/>
      <c r="BS68" s="249"/>
      <c r="BT68" s="260"/>
      <c r="BU68" s="1026"/>
      <c r="BV68" s="249"/>
      <c r="BW68" s="260"/>
      <c r="BX68" s="1026"/>
      <c r="BY68" s="249"/>
      <c r="BZ68" s="260"/>
      <c r="CA68" s="1026"/>
      <c r="CB68" s="249"/>
      <c r="CC68" s="260"/>
      <c r="CD68" s="1026"/>
      <c r="CE68" s="1269"/>
      <c r="CF68" s="1270"/>
      <c r="CG68" s="1026"/>
      <c r="CH68" s="249"/>
      <c r="CI68" s="260"/>
      <c r="CJ68" s="1027"/>
      <c r="CK68" s="249"/>
      <c r="CL68" s="260"/>
      <c r="CM68" s="1555"/>
      <c r="CN68" s="249"/>
      <c r="CO68" s="216"/>
      <c r="CP68" s="1029"/>
      <c r="CQ68" s="249"/>
      <c r="CR68" s="216"/>
      <c r="CS68" s="1029"/>
      <c r="CT68" s="249"/>
      <c r="CU68" s="216"/>
      <c r="CV68" s="1027"/>
      <c r="CW68" s="249"/>
      <c r="CX68" s="221"/>
      <c r="CY68" s="1027"/>
      <c r="CZ68" s="249"/>
      <c r="DA68" s="216"/>
      <c r="DB68" s="1027" t="str">
        <f t="shared" si="16"/>
        <v/>
      </c>
      <c r="DC68" s="249"/>
      <c r="DD68" s="2519" t="str">
        <f t="shared" si="17"/>
        <v/>
      </c>
      <c r="DE68" s="1027"/>
      <c r="DF68" s="1556"/>
      <c r="DG68" s="1557"/>
      <c r="DH68" s="1027"/>
      <c r="DI68" s="1556"/>
      <c r="DJ68" s="1558"/>
      <c r="DK68" s="1559"/>
      <c r="DL68" s="249"/>
      <c r="DM68" s="221"/>
      <c r="DN68" s="313"/>
      <c r="DO68" s="249"/>
      <c r="DP68" s="216"/>
      <c r="DQ68" s="313"/>
      <c r="DR68" s="249"/>
      <c r="DS68" s="221"/>
      <c r="DT68" s="313"/>
      <c r="DU68" s="249"/>
      <c r="DV68" s="221"/>
      <c r="DW68" s="1560"/>
      <c r="DX68" s="1561"/>
      <c r="DY68" s="1562"/>
      <c r="DZ68" s="350"/>
      <c r="EA68" s="249"/>
      <c r="EB68" s="221"/>
      <c r="EC68" s="313"/>
      <c r="ED68" s="249"/>
      <c r="EE68" s="221"/>
      <c r="EF68" s="313"/>
      <c r="EG68" s="249"/>
      <c r="EH68" s="221"/>
      <c r="EI68" s="313"/>
      <c r="EJ68" s="249"/>
      <c r="EK68" s="216"/>
      <c r="EL68" s="1435"/>
      <c r="EM68" s="1619"/>
      <c r="EN68" s="1268"/>
      <c r="EO68" s="1563"/>
      <c r="EP68" s="1268"/>
      <c r="EQ68" s="1563"/>
      <c r="ER68" s="1268"/>
      <c r="ES68" s="1563"/>
      <c r="ET68" s="1268"/>
      <c r="EU68" s="1682"/>
      <c r="EV68" s="1683"/>
      <c r="EW68" s="1684"/>
      <c r="EX68" s="1685"/>
      <c r="EY68" s="1496"/>
      <c r="EZ68" s="252"/>
      <c r="FA68" s="395"/>
      <c r="FB68" s="223"/>
      <c r="FC68" s="1496"/>
      <c r="FD68" s="252"/>
      <c r="FE68" s="1564"/>
      <c r="FG68" s="256"/>
      <c r="FH68" s="256"/>
      <c r="FI68" s="256"/>
      <c r="FJ68" s="256"/>
      <c r="FK68" s="126"/>
      <c r="FL68" s="126"/>
      <c r="FM68" s="126"/>
      <c r="FN68" s="126"/>
      <c r="FO68" s="957"/>
      <c r="FP68" s="49"/>
      <c r="FR68" s="1566"/>
      <c r="FS68" s="1566"/>
      <c r="FT68" s="1566"/>
      <c r="FU68" s="2879"/>
      <c r="FV68" s="2880"/>
      <c r="FW68" s="2881"/>
      <c r="FX68" s="64"/>
      <c r="FY68" s="64"/>
      <c r="FZ68" s="64"/>
      <c r="GA68" s="64"/>
      <c r="GB68" s="64"/>
      <c r="GC68" s="64"/>
      <c r="GD68" s="64"/>
      <c r="GE68" s="64"/>
      <c r="GF68" s="64"/>
      <c r="GG68" s="64"/>
      <c r="GH68" s="64"/>
      <c r="GI68" s="64"/>
      <c r="GJ68" s="64"/>
      <c r="GK68" s="64"/>
      <c r="GL68" s="64"/>
      <c r="GM68" s="64"/>
      <c r="GN68" s="64"/>
      <c r="GO68" s="64"/>
      <c r="GP68" s="64"/>
      <c r="GQ68" s="64"/>
      <c r="GR68" s="64"/>
      <c r="GS68" s="64"/>
      <c r="GT68" s="64"/>
      <c r="GU68" s="64"/>
      <c r="GV68" s="64"/>
      <c r="GW68" s="64"/>
      <c r="GX68" s="64"/>
      <c r="GY68" s="64"/>
      <c r="GZ68" s="64"/>
      <c r="HA68" s="64"/>
      <c r="HB68" s="64"/>
      <c r="HC68" s="64"/>
      <c r="HD68" s="64"/>
      <c r="HE68" s="64"/>
      <c r="HF68" s="64"/>
      <c r="HG68" s="64"/>
      <c r="HH68" s="64"/>
      <c r="HI68" s="64"/>
      <c r="HJ68" s="64"/>
      <c r="HK68" s="64"/>
      <c r="HL68" s="64"/>
      <c r="HM68" s="64"/>
      <c r="HN68" s="64"/>
      <c r="HO68" s="64"/>
      <c r="HP68" s="64"/>
      <c r="HQ68" s="64"/>
      <c r="HR68" s="64"/>
      <c r="HS68" s="64"/>
      <c r="HT68" s="64"/>
      <c r="HU68" s="64"/>
      <c r="HV68" s="64"/>
      <c r="HW68" s="64"/>
      <c r="HX68" s="64"/>
      <c r="HY68" s="64"/>
      <c r="HZ68" s="64"/>
      <c r="IA68" s="64"/>
      <c r="IB68" s="64"/>
      <c r="IC68" s="64"/>
      <c r="ID68" s="64"/>
      <c r="IE68" s="64"/>
      <c r="IF68" s="64"/>
      <c r="IG68" s="64"/>
      <c r="IH68" s="64"/>
      <c r="II68" s="64"/>
      <c r="IJ68" s="64"/>
      <c r="IK68" s="64"/>
      <c r="IL68" s="64"/>
      <c r="IM68" s="64"/>
      <c r="IN68" s="64"/>
      <c r="IO68" s="64"/>
      <c r="IP68" s="64"/>
      <c r="IQ68" s="64"/>
      <c r="IR68" s="64"/>
      <c r="IS68" s="64"/>
      <c r="IT68" s="64"/>
      <c r="IU68" s="64"/>
    </row>
    <row r="69" spans="1:255" s="1565" customFormat="1" ht="13.5" customHeight="1">
      <c r="A69" s="1023"/>
      <c r="B69" s="1023"/>
      <c r="C69" s="1023"/>
      <c r="D69" s="1549"/>
      <c r="E69" s="1549"/>
      <c r="F69" s="1549"/>
      <c r="G69" s="1549"/>
      <c r="H69" s="1549"/>
      <c r="I69" s="1549"/>
      <c r="J69" s="1549"/>
      <c r="K69" s="1549"/>
      <c r="L69" s="1549"/>
      <c r="M69" s="1549"/>
      <c r="N69" s="1549"/>
      <c r="O69" s="1549"/>
      <c r="P69" s="1549"/>
      <c r="Q69" s="1550"/>
      <c r="R69" s="1550"/>
      <c r="S69" s="1550"/>
      <c r="T69" s="1186"/>
      <c r="U69" s="233"/>
      <c r="V69" s="216"/>
      <c r="W69" s="218"/>
      <c r="X69" s="218"/>
      <c r="Y69" s="216"/>
      <c r="Z69" s="216"/>
      <c r="AA69" s="252"/>
      <c r="AB69" s="252"/>
      <c r="AC69" s="252"/>
      <c r="AD69" s="253"/>
      <c r="AE69" s="252"/>
      <c r="AF69" s="252"/>
      <c r="AG69" s="252"/>
      <c r="AH69" s="252"/>
      <c r="AI69" s="252"/>
      <c r="AJ69" s="252"/>
      <c r="AK69" s="253"/>
      <c r="AL69" s="252"/>
      <c r="AM69" s="252"/>
      <c r="AN69" s="252"/>
      <c r="AO69" s="252"/>
      <c r="AP69" s="252"/>
      <c r="AQ69" s="252"/>
      <c r="AR69" s="252"/>
      <c r="AS69" s="252"/>
      <c r="AT69" s="252"/>
      <c r="AU69" s="252"/>
      <c r="AV69" s="1025"/>
      <c r="AW69" s="355"/>
      <c r="AX69" s="217"/>
      <c r="AY69" s="305"/>
      <c r="AZ69" s="249"/>
      <c r="BA69" s="216"/>
      <c r="BB69" s="1551"/>
      <c r="BC69" s="221"/>
      <c r="BD69" s="1552"/>
      <c r="BE69" s="1263"/>
      <c r="BF69" s="249"/>
      <c r="BG69" s="252"/>
      <c r="BH69" s="1543"/>
      <c r="BI69" s="1544"/>
      <c r="BJ69" s="1543"/>
      <c r="BK69" s="1545"/>
      <c r="BL69" s="260"/>
      <c r="BM69" s="216"/>
      <c r="BN69" s="1553"/>
      <c r="BO69" s="1553"/>
      <c r="BP69" s="1554"/>
      <c r="BQ69" s="216"/>
      <c r="BR69" s="1026"/>
      <c r="BS69" s="249"/>
      <c r="BT69" s="260"/>
      <c r="BU69" s="1026"/>
      <c r="BV69" s="249"/>
      <c r="BW69" s="260"/>
      <c r="BX69" s="1026"/>
      <c r="BY69" s="249"/>
      <c r="BZ69" s="260"/>
      <c r="CA69" s="1026"/>
      <c r="CB69" s="249"/>
      <c r="CC69" s="260"/>
      <c r="CD69" s="1026"/>
      <c r="CE69" s="1269"/>
      <c r="CF69" s="1270"/>
      <c r="CG69" s="1026"/>
      <c r="CH69" s="249"/>
      <c r="CI69" s="260"/>
      <c r="CJ69" s="1027"/>
      <c r="CK69" s="249"/>
      <c r="CL69" s="260"/>
      <c r="CM69" s="1555"/>
      <c r="CN69" s="249"/>
      <c r="CO69" s="216"/>
      <c r="CP69" s="1029"/>
      <c r="CQ69" s="249"/>
      <c r="CR69" s="216"/>
      <c r="CS69" s="1029"/>
      <c r="CT69" s="249"/>
      <c r="CU69" s="216"/>
      <c r="CV69" s="1027"/>
      <c r="CW69" s="249"/>
      <c r="CX69" s="221"/>
      <c r="CY69" s="1027"/>
      <c r="CZ69" s="249"/>
      <c r="DA69" s="216"/>
      <c r="DB69" s="1027" t="str">
        <f t="shared" si="16"/>
        <v/>
      </c>
      <c r="DC69" s="249"/>
      <c r="DD69" s="2519" t="str">
        <f t="shared" si="17"/>
        <v/>
      </c>
      <c r="DE69" s="1027"/>
      <c r="DF69" s="1556"/>
      <c r="DG69" s="1557"/>
      <c r="DH69" s="1027"/>
      <c r="DI69" s="1556"/>
      <c r="DJ69" s="1558"/>
      <c r="DK69" s="1559"/>
      <c r="DL69" s="249"/>
      <c r="DM69" s="221"/>
      <c r="DN69" s="313"/>
      <c r="DO69" s="249"/>
      <c r="DP69" s="216"/>
      <c r="DQ69" s="313"/>
      <c r="DR69" s="249"/>
      <c r="DS69" s="221"/>
      <c r="DT69" s="313"/>
      <c r="DU69" s="249"/>
      <c r="DV69" s="221"/>
      <c r="DW69" s="1560"/>
      <c r="DX69" s="1561"/>
      <c r="DY69" s="1562"/>
      <c r="DZ69" s="350"/>
      <c r="EA69" s="249"/>
      <c r="EB69" s="221"/>
      <c r="EC69" s="313"/>
      <c r="ED69" s="249"/>
      <c r="EE69" s="221"/>
      <c r="EF69" s="313"/>
      <c r="EG69" s="249"/>
      <c r="EH69" s="221"/>
      <c r="EI69" s="313"/>
      <c r="EJ69" s="249"/>
      <c r="EK69" s="216"/>
      <c r="EL69" s="1435"/>
      <c r="EM69" s="1619"/>
      <c r="EN69" s="1268"/>
      <c r="EO69" s="1563"/>
      <c r="EP69" s="1268"/>
      <c r="EQ69" s="1563"/>
      <c r="ER69" s="1268"/>
      <c r="ES69" s="1563"/>
      <c r="ET69" s="1268"/>
      <c r="EU69" s="1682"/>
      <c r="EV69" s="1683"/>
      <c r="EW69" s="1684"/>
      <c r="EX69" s="1685"/>
      <c r="EY69" s="1496"/>
      <c r="EZ69" s="252"/>
      <c r="FA69" s="395"/>
      <c r="FB69" s="223"/>
      <c r="FC69" s="1496"/>
      <c r="FD69" s="252"/>
      <c r="FE69" s="1564"/>
      <c r="FG69" s="256"/>
      <c r="FH69" s="256"/>
      <c r="FI69" s="256"/>
      <c r="FJ69" s="256"/>
      <c r="FK69" s="126"/>
      <c r="FL69" s="126"/>
      <c r="FM69" s="126"/>
      <c r="FN69" s="126"/>
      <c r="FO69" s="957"/>
      <c r="FP69" s="49"/>
      <c r="FR69" s="1566"/>
      <c r="FS69" s="1566"/>
      <c r="FT69" s="1566"/>
      <c r="FU69" s="2879"/>
      <c r="FV69" s="2880"/>
      <c r="FW69" s="2881"/>
      <c r="FX69" s="64"/>
      <c r="FY69" s="64"/>
      <c r="FZ69" s="64"/>
      <c r="GA69" s="64"/>
      <c r="GB69" s="64"/>
      <c r="GC69" s="64"/>
      <c r="GD69" s="64"/>
      <c r="GE69" s="64"/>
      <c r="GF69" s="64"/>
      <c r="GG69" s="64"/>
      <c r="GH69" s="64"/>
      <c r="GI69" s="64"/>
      <c r="GJ69" s="64"/>
      <c r="GK69" s="64"/>
      <c r="GL69" s="64"/>
      <c r="GM69" s="64"/>
      <c r="GN69" s="64"/>
      <c r="GO69" s="64"/>
      <c r="GP69" s="64"/>
      <c r="GQ69" s="64"/>
      <c r="GR69" s="64"/>
      <c r="GS69" s="64"/>
      <c r="GT69" s="64"/>
      <c r="GU69" s="64"/>
      <c r="GV69" s="64"/>
      <c r="GW69" s="64"/>
      <c r="GX69" s="64"/>
      <c r="GY69" s="64"/>
      <c r="GZ69" s="64"/>
      <c r="HA69" s="64"/>
      <c r="HB69" s="64"/>
      <c r="HC69" s="64"/>
      <c r="HD69" s="64"/>
      <c r="HE69" s="64"/>
      <c r="HF69" s="64"/>
      <c r="HG69" s="64"/>
      <c r="HH69" s="64"/>
      <c r="HI69" s="64"/>
      <c r="HJ69" s="64"/>
      <c r="HK69" s="64"/>
      <c r="HL69" s="64"/>
      <c r="HM69" s="64"/>
      <c r="HN69" s="64"/>
      <c r="HO69" s="64"/>
      <c r="HP69" s="64"/>
      <c r="HQ69" s="64"/>
      <c r="HR69" s="64"/>
      <c r="HS69" s="64"/>
      <c r="HT69" s="64"/>
      <c r="HU69" s="64"/>
      <c r="HV69" s="64"/>
      <c r="HW69" s="64"/>
      <c r="HX69" s="64"/>
      <c r="HY69" s="64"/>
      <c r="HZ69" s="64"/>
      <c r="IA69" s="64"/>
      <c r="IB69" s="64"/>
      <c r="IC69" s="64"/>
      <c r="ID69" s="64"/>
      <c r="IE69" s="64"/>
      <c r="IF69" s="64"/>
      <c r="IG69" s="64"/>
      <c r="IH69" s="64"/>
      <c r="II69" s="64"/>
      <c r="IJ69" s="64"/>
      <c r="IK69" s="64"/>
      <c r="IL69" s="64"/>
      <c r="IM69" s="64"/>
      <c r="IN69" s="64"/>
      <c r="IO69" s="64"/>
      <c r="IP69" s="64"/>
      <c r="IQ69" s="64"/>
      <c r="IR69" s="64"/>
      <c r="IS69" s="64"/>
      <c r="IT69" s="64"/>
      <c r="IU69" s="64"/>
    </row>
    <row r="70" spans="1:255" s="1565" customFormat="1" ht="13.5" customHeight="1">
      <c r="A70" s="1023"/>
      <c r="B70" s="1023"/>
      <c r="C70" s="1023"/>
      <c r="D70" s="1549"/>
      <c r="E70" s="1549"/>
      <c r="F70" s="1549"/>
      <c r="G70" s="1549"/>
      <c r="H70" s="1549"/>
      <c r="I70" s="1549"/>
      <c r="J70" s="1549"/>
      <c r="K70" s="1549"/>
      <c r="L70" s="1549"/>
      <c r="M70" s="1549"/>
      <c r="N70" s="1549"/>
      <c r="O70" s="1549"/>
      <c r="P70" s="1549"/>
      <c r="Q70" s="1550"/>
      <c r="R70" s="1550"/>
      <c r="S70" s="1550"/>
      <c r="T70" s="1186"/>
      <c r="U70" s="233"/>
      <c r="V70" s="216"/>
      <c r="W70" s="218"/>
      <c r="X70" s="218"/>
      <c r="Y70" s="216"/>
      <c r="Z70" s="216"/>
      <c r="AA70" s="252"/>
      <c r="AB70" s="252"/>
      <c r="AC70" s="252"/>
      <c r="AD70" s="253"/>
      <c r="AE70" s="252"/>
      <c r="AF70" s="252"/>
      <c r="AG70" s="252"/>
      <c r="AH70" s="252"/>
      <c r="AI70" s="252"/>
      <c r="AJ70" s="252"/>
      <c r="AK70" s="253"/>
      <c r="AL70" s="252"/>
      <c r="AM70" s="252"/>
      <c r="AN70" s="252"/>
      <c r="AO70" s="252"/>
      <c r="AP70" s="252"/>
      <c r="AQ70" s="252"/>
      <c r="AR70" s="252"/>
      <c r="AS70" s="252"/>
      <c r="AT70" s="252"/>
      <c r="AU70" s="252"/>
      <c r="AV70" s="1025"/>
      <c r="AW70" s="355"/>
      <c r="AX70" s="217"/>
      <c r="AY70" s="305"/>
      <c r="AZ70" s="249"/>
      <c r="BA70" s="216"/>
      <c r="BB70" s="1551"/>
      <c r="BC70" s="221"/>
      <c r="BD70" s="1552"/>
      <c r="BE70" s="1263"/>
      <c r="BF70" s="249"/>
      <c r="BG70" s="252"/>
      <c r="BH70" s="1543"/>
      <c r="BI70" s="1544"/>
      <c r="BJ70" s="1543"/>
      <c r="BK70" s="1545"/>
      <c r="BL70" s="260"/>
      <c r="BM70" s="216"/>
      <c r="BN70" s="1553"/>
      <c r="BO70" s="1553"/>
      <c r="BP70" s="1554"/>
      <c r="BQ70" s="216"/>
      <c r="BR70" s="1026"/>
      <c r="BS70" s="249"/>
      <c r="BT70" s="260"/>
      <c r="BU70" s="1026"/>
      <c r="BV70" s="249"/>
      <c r="BW70" s="260"/>
      <c r="BX70" s="1026"/>
      <c r="BY70" s="249"/>
      <c r="BZ70" s="260"/>
      <c r="CA70" s="1026"/>
      <c r="CB70" s="249"/>
      <c r="CC70" s="260"/>
      <c r="CD70" s="1026"/>
      <c r="CE70" s="1269"/>
      <c r="CF70" s="1270"/>
      <c r="CG70" s="1026"/>
      <c r="CH70" s="249"/>
      <c r="CI70" s="260"/>
      <c r="CJ70" s="1027"/>
      <c r="CK70" s="249"/>
      <c r="CL70" s="260"/>
      <c r="CM70" s="1555"/>
      <c r="CN70" s="249"/>
      <c r="CO70" s="216"/>
      <c r="CP70" s="1029"/>
      <c r="CQ70" s="249"/>
      <c r="CR70" s="216"/>
      <c r="CS70" s="1029"/>
      <c r="CT70" s="249"/>
      <c r="CU70" s="216"/>
      <c r="CV70" s="1027"/>
      <c r="CW70" s="249"/>
      <c r="CX70" s="221"/>
      <c r="CY70" s="1027"/>
      <c r="CZ70" s="249"/>
      <c r="DA70" s="216"/>
      <c r="DB70" s="1027" t="str">
        <f t="shared" si="16"/>
        <v/>
      </c>
      <c r="DC70" s="249"/>
      <c r="DD70" s="2519" t="str">
        <f t="shared" si="17"/>
        <v/>
      </c>
      <c r="DE70" s="1027"/>
      <c r="DF70" s="1556"/>
      <c r="DG70" s="1557"/>
      <c r="DH70" s="1027"/>
      <c r="DI70" s="1556"/>
      <c r="DJ70" s="1558"/>
      <c r="DK70" s="1559"/>
      <c r="DL70" s="249"/>
      <c r="DM70" s="221"/>
      <c r="DN70" s="313"/>
      <c r="DO70" s="249"/>
      <c r="DP70" s="216"/>
      <c r="DQ70" s="313"/>
      <c r="DR70" s="249"/>
      <c r="DS70" s="221"/>
      <c r="DT70" s="313"/>
      <c r="DU70" s="249"/>
      <c r="DV70" s="221"/>
      <c r="DW70" s="1560"/>
      <c r="DX70" s="1561"/>
      <c r="DY70" s="1562"/>
      <c r="DZ70" s="350"/>
      <c r="EA70" s="249"/>
      <c r="EB70" s="221"/>
      <c r="EC70" s="313"/>
      <c r="ED70" s="249"/>
      <c r="EE70" s="221"/>
      <c r="EF70" s="313"/>
      <c r="EG70" s="249"/>
      <c r="EH70" s="221"/>
      <c r="EI70" s="313"/>
      <c r="EJ70" s="249"/>
      <c r="EK70" s="216"/>
      <c r="EL70" s="1435"/>
      <c r="EM70" s="1619"/>
      <c r="EN70" s="1268"/>
      <c r="EO70" s="1563"/>
      <c r="EP70" s="1268"/>
      <c r="EQ70" s="1563"/>
      <c r="ER70" s="1268"/>
      <c r="ES70" s="1563"/>
      <c r="ET70" s="1268"/>
      <c r="EU70" s="1682"/>
      <c r="EV70" s="1683"/>
      <c r="EW70" s="1684"/>
      <c r="EX70" s="1685"/>
      <c r="EY70" s="1496"/>
      <c r="EZ70" s="252"/>
      <c r="FA70" s="395"/>
      <c r="FB70" s="223"/>
      <c r="FC70" s="1496"/>
      <c r="FD70" s="252"/>
      <c r="FE70" s="1564"/>
      <c r="FG70" s="256"/>
      <c r="FH70" s="256"/>
      <c r="FI70" s="256"/>
      <c r="FJ70" s="256"/>
      <c r="FK70" s="126"/>
      <c r="FL70" s="126"/>
      <c r="FM70" s="126"/>
      <c r="FN70" s="126"/>
      <c r="FO70" s="957"/>
      <c r="FP70" s="49"/>
      <c r="FR70" s="1566"/>
      <c r="FS70" s="1566"/>
      <c r="FT70" s="1566"/>
      <c r="FU70" s="2879"/>
      <c r="FV70" s="2880"/>
      <c r="FW70" s="2881"/>
      <c r="FX70" s="64"/>
      <c r="FY70" s="64"/>
      <c r="FZ70" s="64"/>
      <c r="GA70" s="64"/>
      <c r="GB70" s="64"/>
      <c r="GC70" s="64"/>
      <c r="GD70" s="64"/>
      <c r="GE70" s="64"/>
      <c r="GF70" s="64"/>
      <c r="GG70" s="64"/>
      <c r="GH70" s="64"/>
      <c r="GI70" s="64"/>
      <c r="GJ70" s="64"/>
      <c r="GK70" s="64"/>
      <c r="GL70" s="64"/>
      <c r="GM70" s="64"/>
      <c r="GN70" s="64"/>
      <c r="GO70" s="64"/>
      <c r="GP70" s="64"/>
      <c r="GQ70" s="64"/>
      <c r="GR70" s="64"/>
      <c r="GS70" s="64"/>
      <c r="GT70" s="64"/>
      <c r="GU70" s="64"/>
      <c r="GV70" s="64"/>
      <c r="GW70" s="64"/>
      <c r="GX70" s="64"/>
      <c r="GY70" s="64"/>
      <c r="GZ70" s="64"/>
      <c r="HA70" s="64"/>
      <c r="HB70" s="64"/>
      <c r="HC70" s="64"/>
      <c r="HD70" s="64"/>
      <c r="HE70" s="64"/>
      <c r="HF70" s="64"/>
      <c r="HG70" s="64"/>
      <c r="HH70" s="64"/>
      <c r="HI70" s="64"/>
      <c r="HJ70" s="64"/>
      <c r="HK70" s="64"/>
      <c r="HL70" s="64"/>
      <c r="HM70" s="64"/>
      <c r="HN70" s="64"/>
      <c r="HO70" s="64"/>
      <c r="HP70" s="64"/>
      <c r="HQ70" s="64"/>
      <c r="HR70" s="64"/>
      <c r="HS70" s="64"/>
      <c r="HT70" s="64"/>
      <c r="HU70" s="64"/>
      <c r="HV70" s="64"/>
      <c r="HW70" s="64"/>
      <c r="HX70" s="64"/>
      <c r="HY70" s="64"/>
      <c r="HZ70" s="64"/>
      <c r="IA70" s="64"/>
      <c r="IB70" s="64"/>
      <c r="IC70" s="64"/>
      <c r="ID70" s="64"/>
      <c r="IE70" s="64"/>
      <c r="IF70" s="64"/>
      <c r="IG70" s="64"/>
      <c r="IH70" s="64"/>
      <c r="II70" s="64"/>
      <c r="IJ70" s="64"/>
      <c r="IK70" s="64"/>
      <c r="IL70" s="64"/>
      <c r="IM70" s="64"/>
      <c r="IN70" s="64"/>
      <c r="IO70" s="64"/>
      <c r="IP70" s="64"/>
      <c r="IQ70" s="64"/>
      <c r="IR70" s="64"/>
      <c r="IS70" s="64"/>
      <c r="IT70" s="64"/>
      <c r="IU70" s="64"/>
    </row>
    <row r="71" spans="1:255" s="1565" customFormat="1" ht="13.5" customHeight="1">
      <c r="A71" s="1023"/>
      <c r="B71" s="1023"/>
      <c r="C71" s="1023"/>
      <c r="D71" s="1549"/>
      <c r="E71" s="1549"/>
      <c r="F71" s="1549"/>
      <c r="G71" s="1549"/>
      <c r="H71" s="1549"/>
      <c r="I71" s="1549"/>
      <c r="J71" s="1549"/>
      <c r="K71" s="1549"/>
      <c r="L71" s="1549"/>
      <c r="M71" s="1549"/>
      <c r="N71" s="1549"/>
      <c r="O71" s="1549"/>
      <c r="P71" s="1549"/>
      <c r="Q71" s="1550"/>
      <c r="R71" s="1550"/>
      <c r="S71" s="1550"/>
      <c r="T71" s="1186"/>
      <c r="U71" s="233"/>
      <c r="V71" s="216"/>
      <c r="W71" s="218"/>
      <c r="X71" s="218"/>
      <c r="Y71" s="216"/>
      <c r="Z71" s="216"/>
      <c r="AA71" s="252"/>
      <c r="AB71" s="252"/>
      <c r="AC71" s="252"/>
      <c r="AD71" s="253"/>
      <c r="AE71" s="252"/>
      <c r="AF71" s="252"/>
      <c r="AG71" s="252"/>
      <c r="AH71" s="252"/>
      <c r="AI71" s="252"/>
      <c r="AJ71" s="252"/>
      <c r="AK71" s="253"/>
      <c r="AL71" s="252"/>
      <c r="AM71" s="252"/>
      <c r="AN71" s="252"/>
      <c r="AO71" s="252"/>
      <c r="AP71" s="252"/>
      <c r="AQ71" s="252"/>
      <c r="AR71" s="252"/>
      <c r="AS71" s="252"/>
      <c r="AT71" s="252"/>
      <c r="AU71" s="252"/>
      <c r="AV71" s="1025"/>
      <c r="AW71" s="355"/>
      <c r="AX71" s="217"/>
      <c r="AY71" s="305"/>
      <c r="AZ71" s="249"/>
      <c r="BA71" s="216"/>
      <c r="BB71" s="1551"/>
      <c r="BC71" s="221"/>
      <c r="BD71" s="1552"/>
      <c r="BE71" s="1263"/>
      <c r="BF71" s="249"/>
      <c r="BG71" s="252"/>
      <c r="BH71" s="1543"/>
      <c r="BI71" s="1544"/>
      <c r="BJ71" s="1543"/>
      <c r="BK71" s="1545"/>
      <c r="BL71" s="260"/>
      <c r="BM71" s="216"/>
      <c r="BN71" s="1553"/>
      <c r="BO71" s="1553"/>
      <c r="BP71" s="1554"/>
      <c r="BQ71" s="216"/>
      <c r="BR71" s="1026"/>
      <c r="BS71" s="249"/>
      <c r="BT71" s="260"/>
      <c r="BU71" s="1026"/>
      <c r="BV71" s="249"/>
      <c r="BW71" s="260"/>
      <c r="BX71" s="1026"/>
      <c r="BY71" s="249"/>
      <c r="BZ71" s="260"/>
      <c r="CA71" s="1026"/>
      <c r="CB71" s="249"/>
      <c r="CC71" s="260"/>
      <c r="CD71" s="1026"/>
      <c r="CE71" s="1269"/>
      <c r="CF71" s="1270"/>
      <c r="CG71" s="1026"/>
      <c r="CH71" s="249"/>
      <c r="CI71" s="260"/>
      <c r="CJ71" s="1027"/>
      <c r="CK71" s="249"/>
      <c r="CL71" s="260"/>
      <c r="CM71" s="1555"/>
      <c r="CN71" s="249"/>
      <c r="CO71" s="216"/>
      <c r="CP71" s="1029"/>
      <c r="CQ71" s="249"/>
      <c r="CR71" s="216"/>
      <c r="CS71" s="1029"/>
      <c r="CT71" s="249"/>
      <c r="CU71" s="216"/>
      <c r="CV71" s="1027"/>
      <c r="CW71" s="249"/>
      <c r="CX71" s="221"/>
      <c r="CY71" s="1027"/>
      <c r="CZ71" s="249"/>
      <c r="DA71" s="216"/>
      <c r="DB71" s="1027" t="str">
        <f t="shared" si="16"/>
        <v/>
      </c>
      <c r="DC71" s="249"/>
      <c r="DD71" s="2519" t="str">
        <f t="shared" si="17"/>
        <v/>
      </c>
      <c r="DE71" s="1027"/>
      <c r="DF71" s="1556"/>
      <c r="DG71" s="1557"/>
      <c r="DH71" s="1027"/>
      <c r="DI71" s="1556"/>
      <c r="DJ71" s="1558"/>
      <c r="DK71" s="1559"/>
      <c r="DL71" s="249"/>
      <c r="DM71" s="221"/>
      <c r="DN71" s="313"/>
      <c r="DO71" s="249"/>
      <c r="DP71" s="216"/>
      <c r="DQ71" s="313"/>
      <c r="DR71" s="249"/>
      <c r="DS71" s="221"/>
      <c r="DT71" s="313"/>
      <c r="DU71" s="249"/>
      <c r="DV71" s="221"/>
      <c r="DW71" s="1560"/>
      <c r="DX71" s="1561"/>
      <c r="DY71" s="1562"/>
      <c r="DZ71" s="350"/>
      <c r="EA71" s="249"/>
      <c r="EB71" s="221"/>
      <c r="EC71" s="313"/>
      <c r="ED71" s="249"/>
      <c r="EE71" s="221"/>
      <c r="EF71" s="313"/>
      <c r="EG71" s="249"/>
      <c r="EH71" s="221"/>
      <c r="EI71" s="313"/>
      <c r="EJ71" s="249"/>
      <c r="EK71" s="216"/>
      <c r="EL71" s="1435"/>
      <c r="EM71" s="1619"/>
      <c r="EN71" s="1268"/>
      <c r="EO71" s="1563"/>
      <c r="EP71" s="1268"/>
      <c r="EQ71" s="1563"/>
      <c r="ER71" s="1268"/>
      <c r="ES71" s="1563"/>
      <c r="ET71" s="1268"/>
      <c r="EU71" s="1682"/>
      <c r="EV71" s="1683"/>
      <c r="EW71" s="1684"/>
      <c r="EX71" s="1685"/>
      <c r="EY71" s="1496"/>
      <c r="EZ71" s="252"/>
      <c r="FA71" s="395"/>
      <c r="FB71" s="223"/>
      <c r="FC71" s="1496"/>
      <c r="FD71" s="252"/>
      <c r="FE71" s="1564"/>
      <c r="FG71" s="256"/>
      <c r="FH71" s="256"/>
      <c r="FI71" s="256"/>
      <c r="FJ71" s="256"/>
      <c r="FK71" s="126"/>
      <c r="FL71" s="126"/>
      <c r="FM71" s="126"/>
      <c r="FN71" s="126"/>
      <c r="FO71" s="957"/>
      <c r="FP71" s="49"/>
      <c r="FR71" s="1566"/>
      <c r="FS71" s="1566"/>
      <c r="FT71" s="1566"/>
      <c r="FU71" s="2879"/>
      <c r="FV71" s="2880"/>
      <c r="FW71" s="2881"/>
      <c r="FX71" s="64"/>
      <c r="FY71" s="64"/>
      <c r="FZ71" s="64"/>
      <c r="GA71" s="64"/>
      <c r="GB71" s="64"/>
      <c r="GC71" s="64"/>
      <c r="GD71" s="64"/>
      <c r="GE71" s="64"/>
      <c r="GF71" s="64"/>
      <c r="GG71" s="64"/>
      <c r="GH71" s="64"/>
      <c r="GI71" s="64"/>
      <c r="GJ71" s="64"/>
      <c r="GK71" s="64"/>
      <c r="GL71" s="64"/>
      <c r="GM71" s="64"/>
      <c r="GN71" s="64"/>
      <c r="GO71" s="64"/>
      <c r="GP71" s="64"/>
      <c r="GQ71" s="64"/>
      <c r="GR71" s="64"/>
      <c r="GS71" s="64"/>
      <c r="GT71" s="64"/>
      <c r="GU71" s="64"/>
      <c r="GV71" s="64"/>
      <c r="GW71" s="64"/>
      <c r="GX71" s="64"/>
      <c r="GY71" s="64"/>
      <c r="GZ71" s="64"/>
      <c r="HA71" s="64"/>
      <c r="HB71" s="64"/>
      <c r="HC71" s="64"/>
      <c r="HD71" s="64"/>
      <c r="HE71" s="64"/>
      <c r="HF71" s="64"/>
      <c r="HG71" s="64"/>
      <c r="HH71" s="64"/>
      <c r="HI71" s="64"/>
      <c r="HJ71" s="64"/>
      <c r="HK71" s="64"/>
      <c r="HL71" s="64"/>
      <c r="HM71" s="64"/>
      <c r="HN71" s="64"/>
      <c r="HO71" s="64"/>
      <c r="HP71" s="64"/>
      <c r="HQ71" s="64"/>
      <c r="HR71" s="64"/>
      <c r="HS71" s="64"/>
      <c r="HT71" s="64"/>
      <c r="HU71" s="64"/>
      <c r="HV71" s="64"/>
      <c r="HW71" s="64"/>
      <c r="HX71" s="64"/>
      <c r="HY71" s="64"/>
      <c r="HZ71" s="64"/>
      <c r="IA71" s="64"/>
      <c r="IB71" s="64"/>
      <c r="IC71" s="64"/>
      <c r="ID71" s="64"/>
      <c r="IE71" s="64"/>
      <c r="IF71" s="64"/>
      <c r="IG71" s="64"/>
      <c r="IH71" s="64"/>
      <c r="II71" s="64"/>
      <c r="IJ71" s="64"/>
      <c r="IK71" s="64"/>
      <c r="IL71" s="64"/>
      <c r="IM71" s="64"/>
      <c r="IN71" s="64"/>
      <c r="IO71" s="64"/>
      <c r="IP71" s="64"/>
      <c r="IQ71" s="64"/>
      <c r="IR71" s="64"/>
      <c r="IS71" s="64"/>
      <c r="IT71" s="64"/>
      <c r="IU71" s="64"/>
    </row>
    <row r="72" spans="1:255" s="1565" customFormat="1" ht="13.5" customHeight="1">
      <c r="A72" s="1023"/>
      <c r="B72" s="1023"/>
      <c r="C72" s="1023"/>
      <c r="D72" s="1549"/>
      <c r="E72" s="1549"/>
      <c r="F72" s="1549"/>
      <c r="G72" s="1549"/>
      <c r="H72" s="1549"/>
      <c r="I72" s="1549"/>
      <c r="J72" s="1549"/>
      <c r="K72" s="1549"/>
      <c r="L72" s="1549"/>
      <c r="M72" s="1549"/>
      <c r="N72" s="1549"/>
      <c r="O72" s="1549"/>
      <c r="P72" s="1549"/>
      <c r="Q72" s="1550"/>
      <c r="R72" s="1550"/>
      <c r="S72" s="1550"/>
      <c r="T72" s="1186"/>
      <c r="U72" s="233"/>
      <c r="V72" s="216"/>
      <c r="W72" s="218"/>
      <c r="X72" s="218"/>
      <c r="Y72" s="216"/>
      <c r="Z72" s="216"/>
      <c r="AA72" s="252"/>
      <c r="AB72" s="252"/>
      <c r="AC72" s="252"/>
      <c r="AD72" s="253"/>
      <c r="AE72" s="252"/>
      <c r="AF72" s="252"/>
      <c r="AG72" s="252"/>
      <c r="AH72" s="252"/>
      <c r="AI72" s="252"/>
      <c r="AJ72" s="252"/>
      <c r="AK72" s="253"/>
      <c r="AL72" s="252"/>
      <c r="AM72" s="252"/>
      <c r="AN72" s="252"/>
      <c r="AO72" s="252"/>
      <c r="AP72" s="252"/>
      <c r="AQ72" s="252"/>
      <c r="AR72" s="252"/>
      <c r="AS72" s="252"/>
      <c r="AT72" s="252"/>
      <c r="AU72" s="252"/>
      <c r="AV72" s="1025"/>
      <c r="AW72" s="355"/>
      <c r="AX72" s="217"/>
      <c r="AY72" s="305"/>
      <c r="AZ72" s="249"/>
      <c r="BA72" s="216"/>
      <c r="BB72" s="1551"/>
      <c r="BC72" s="221"/>
      <c r="BD72" s="1552"/>
      <c r="BE72" s="1263"/>
      <c r="BF72" s="249"/>
      <c r="BG72" s="252"/>
      <c r="BH72" s="1543"/>
      <c r="BI72" s="1544"/>
      <c r="BJ72" s="1543"/>
      <c r="BK72" s="1545"/>
      <c r="BL72" s="260"/>
      <c r="BM72" s="216"/>
      <c r="BN72" s="1553"/>
      <c r="BO72" s="1553"/>
      <c r="BP72" s="1554"/>
      <c r="BQ72" s="216"/>
      <c r="BR72" s="1026"/>
      <c r="BS72" s="249"/>
      <c r="BT72" s="260"/>
      <c r="BU72" s="1026"/>
      <c r="BV72" s="249"/>
      <c r="BW72" s="260"/>
      <c r="BX72" s="1026"/>
      <c r="BY72" s="249"/>
      <c r="BZ72" s="260"/>
      <c r="CA72" s="1026"/>
      <c r="CB72" s="249"/>
      <c r="CC72" s="260"/>
      <c r="CD72" s="1026"/>
      <c r="CE72" s="1269"/>
      <c r="CF72" s="1270"/>
      <c r="CG72" s="1026"/>
      <c r="CH72" s="249"/>
      <c r="CI72" s="260"/>
      <c r="CJ72" s="1027"/>
      <c r="CK72" s="249"/>
      <c r="CL72" s="260"/>
      <c r="CM72" s="1555"/>
      <c r="CN72" s="249"/>
      <c r="CO72" s="216"/>
      <c r="CP72" s="1029"/>
      <c r="CQ72" s="249"/>
      <c r="CR72" s="216"/>
      <c r="CS72" s="1029"/>
      <c r="CT72" s="249"/>
      <c r="CU72" s="216"/>
      <c r="CV72" s="1027"/>
      <c r="CW72" s="249"/>
      <c r="CX72" s="221"/>
      <c r="CY72" s="1027"/>
      <c r="CZ72" s="249"/>
      <c r="DA72" s="216"/>
      <c r="DB72" s="1027" t="str">
        <f t="shared" si="16"/>
        <v/>
      </c>
      <c r="DC72" s="249"/>
      <c r="DD72" s="2519" t="str">
        <f t="shared" si="17"/>
        <v/>
      </c>
      <c r="DE72" s="1027"/>
      <c r="DF72" s="1556"/>
      <c r="DG72" s="1557"/>
      <c r="DH72" s="1027"/>
      <c r="DI72" s="1556"/>
      <c r="DJ72" s="1558"/>
      <c r="DK72" s="1559"/>
      <c r="DL72" s="249"/>
      <c r="DM72" s="221"/>
      <c r="DN72" s="313"/>
      <c r="DO72" s="249"/>
      <c r="DP72" s="216"/>
      <c r="DQ72" s="313"/>
      <c r="DR72" s="249"/>
      <c r="DS72" s="221"/>
      <c r="DT72" s="313"/>
      <c r="DU72" s="249"/>
      <c r="DV72" s="221"/>
      <c r="DW72" s="1560"/>
      <c r="DX72" s="1561"/>
      <c r="DY72" s="1562"/>
      <c r="DZ72" s="350"/>
      <c r="EA72" s="249"/>
      <c r="EB72" s="221"/>
      <c r="EC72" s="313"/>
      <c r="ED72" s="249"/>
      <c r="EE72" s="221"/>
      <c r="EF72" s="313"/>
      <c r="EG72" s="249"/>
      <c r="EH72" s="221"/>
      <c r="EI72" s="313"/>
      <c r="EJ72" s="249"/>
      <c r="EK72" s="216"/>
      <c r="EL72" s="1435"/>
      <c r="EM72" s="1619"/>
      <c r="EN72" s="1268"/>
      <c r="EO72" s="1563"/>
      <c r="EP72" s="1268"/>
      <c r="EQ72" s="1563"/>
      <c r="ER72" s="1268"/>
      <c r="ES72" s="1563"/>
      <c r="ET72" s="1268"/>
      <c r="EU72" s="1682"/>
      <c r="EV72" s="1683"/>
      <c r="EW72" s="1684"/>
      <c r="EX72" s="1685"/>
      <c r="EY72" s="1496"/>
      <c r="EZ72" s="252"/>
      <c r="FA72" s="395"/>
      <c r="FB72" s="223"/>
      <c r="FC72" s="1496"/>
      <c r="FD72" s="252"/>
      <c r="FE72" s="1564"/>
      <c r="FG72" s="256"/>
      <c r="FH72" s="256"/>
      <c r="FI72" s="256"/>
      <c r="FJ72" s="256"/>
      <c r="FK72" s="126"/>
      <c r="FL72" s="126"/>
      <c r="FM72" s="126"/>
      <c r="FN72" s="126"/>
      <c r="FO72" s="957"/>
      <c r="FP72" s="49"/>
      <c r="FR72" s="1566"/>
      <c r="FS72" s="1566"/>
      <c r="FT72" s="1566"/>
      <c r="FU72" s="2879"/>
      <c r="FV72" s="2880"/>
      <c r="FW72" s="2881"/>
      <c r="FX72" s="64"/>
      <c r="FY72" s="64"/>
      <c r="FZ72" s="64"/>
      <c r="GA72" s="64"/>
      <c r="GB72" s="64"/>
      <c r="GC72" s="64"/>
      <c r="GD72" s="64"/>
      <c r="GE72" s="64"/>
      <c r="GF72" s="64"/>
      <c r="GG72" s="64"/>
      <c r="GH72" s="64"/>
      <c r="GI72" s="64"/>
      <c r="GJ72" s="64"/>
      <c r="GK72" s="64"/>
      <c r="GL72" s="64"/>
      <c r="GM72" s="64"/>
      <c r="GN72" s="64"/>
      <c r="GO72" s="64"/>
      <c r="GP72" s="64"/>
      <c r="GQ72" s="64"/>
      <c r="GR72" s="64"/>
      <c r="GS72" s="64"/>
      <c r="GT72" s="64"/>
      <c r="GU72" s="64"/>
      <c r="GV72" s="64"/>
      <c r="GW72" s="64"/>
      <c r="GX72" s="64"/>
      <c r="GY72" s="64"/>
      <c r="GZ72" s="64"/>
      <c r="HA72" s="64"/>
      <c r="HB72" s="64"/>
      <c r="HC72" s="64"/>
      <c r="HD72" s="64"/>
      <c r="HE72" s="64"/>
      <c r="HF72" s="64"/>
      <c r="HG72" s="64"/>
      <c r="HH72" s="64"/>
      <c r="HI72" s="64"/>
      <c r="HJ72" s="64"/>
      <c r="HK72" s="64"/>
      <c r="HL72" s="64"/>
      <c r="HM72" s="64"/>
      <c r="HN72" s="64"/>
      <c r="HO72" s="64"/>
      <c r="HP72" s="64"/>
      <c r="HQ72" s="64"/>
      <c r="HR72" s="64"/>
      <c r="HS72" s="64"/>
      <c r="HT72" s="64"/>
      <c r="HU72" s="64"/>
      <c r="HV72" s="64"/>
      <c r="HW72" s="64"/>
      <c r="HX72" s="64"/>
      <c r="HY72" s="64"/>
      <c r="HZ72" s="64"/>
      <c r="IA72" s="64"/>
      <c r="IB72" s="64"/>
      <c r="IC72" s="64"/>
      <c r="ID72" s="64"/>
      <c r="IE72" s="64"/>
      <c r="IF72" s="64"/>
      <c r="IG72" s="64"/>
      <c r="IH72" s="64"/>
      <c r="II72" s="64"/>
      <c r="IJ72" s="64"/>
      <c r="IK72" s="64"/>
      <c r="IL72" s="64"/>
      <c r="IM72" s="64"/>
      <c r="IN72" s="64"/>
      <c r="IO72" s="64"/>
      <c r="IP72" s="64"/>
      <c r="IQ72" s="64"/>
      <c r="IR72" s="64"/>
      <c r="IS72" s="64"/>
      <c r="IT72" s="64"/>
      <c r="IU72" s="64"/>
    </row>
    <row r="73" spans="1:255" s="1565" customFormat="1" ht="13.5" customHeight="1">
      <c r="A73" s="1023"/>
      <c r="B73" s="1023"/>
      <c r="C73" s="1023"/>
      <c r="D73" s="1549"/>
      <c r="E73" s="1549"/>
      <c r="F73" s="1549"/>
      <c r="G73" s="1549"/>
      <c r="H73" s="1549"/>
      <c r="I73" s="1549"/>
      <c r="J73" s="1549"/>
      <c r="K73" s="1549"/>
      <c r="L73" s="1549"/>
      <c r="M73" s="1549"/>
      <c r="N73" s="1549"/>
      <c r="O73" s="1549"/>
      <c r="P73" s="1549"/>
      <c r="Q73" s="1550"/>
      <c r="R73" s="1550"/>
      <c r="S73" s="1550"/>
      <c r="T73" s="1186"/>
      <c r="U73" s="233"/>
      <c r="V73" s="216"/>
      <c r="W73" s="218"/>
      <c r="X73" s="218"/>
      <c r="Y73" s="216"/>
      <c r="Z73" s="216"/>
      <c r="AA73" s="252"/>
      <c r="AB73" s="252"/>
      <c r="AC73" s="252"/>
      <c r="AD73" s="253"/>
      <c r="AE73" s="252"/>
      <c r="AF73" s="252"/>
      <c r="AG73" s="252"/>
      <c r="AH73" s="252"/>
      <c r="AI73" s="252"/>
      <c r="AJ73" s="252"/>
      <c r="AK73" s="253"/>
      <c r="AL73" s="252"/>
      <c r="AM73" s="252"/>
      <c r="AN73" s="252"/>
      <c r="AO73" s="252"/>
      <c r="AP73" s="252"/>
      <c r="AQ73" s="252"/>
      <c r="AR73" s="252"/>
      <c r="AS73" s="252"/>
      <c r="AT73" s="252"/>
      <c r="AU73" s="252"/>
      <c r="AV73" s="1025"/>
      <c r="AW73" s="355"/>
      <c r="AX73" s="217"/>
      <c r="AY73" s="305"/>
      <c r="AZ73" s="249"/>
      <c r="BA73" s="216"/>
      <c r="BB73" s="1551"/>
      <c r="BC73" s="221"/>
      <c r="BD73" s="1552"/>
      <c r="BE73" s="1263"/>
      <c r="BF73" s="249"/>
      <c r="BG73" s="252"/>
      <c r="BH73" s="1543"/>
      <c r="BI73" s="1544"/>
      <c r="BJ73" s="1543"/>
      <c r="BK73" s="1545"/>
      <c r="BL73" s="260"/>
      <c r="BM73" s="216"/>
      <c r="BN73" s="1553"/>
      <c r="BO73" s="1553"/>
      <c r="BP73" s="1554"/>
      <c r="BQ73" s="216"/>
      <c r="BR73" s="1026"/>
      <c r="BS73" s="249"/>
      <c r="BT73" s="260"/>
      <c r="BU73" s="1026"/>
      <c r="BV73" s="249"/>
      <c r="BW73" s="260"/>
      <c r="BX73" s="1026"/>
      <c r="BY73" s="249"/>
      <c r="BZ73" s="260"/>
      <c r="CA73" s="1026"/>
      <c r="CB73" s="249"/>
      <c r="CC73" s="260"/>
      <c r="CD73" s="1026"/>
      <c r="CE73" s="1269"/>
      <c r="CF73" s="1270"/>
      <c r="CG73" s="1026"/>
      <c r="CH73" s="249"/>
      <c r="CI73" s="260"/>
      <c r="CJ73" s="1027"/>
      <c r="CK73" s="249"/>
      <c r="CL73" s="260"/>
      <c r="CM73" s="1555"/>
      <c r="CN73" s="249"/>
      <c r="CO73" s="216"/>
      <c r="CP73" s="1029"/>
      <c r="CQ73" s="249"/>
      <c r="CR73" s="216"/>
      <c r="CS73" s="1029"/>
      <c r="CT73" s="249"/>
      <c r="CU73" s="216"/>
      <c r="CV73" s="1027"/>
      <c r="CW73" s="249"/>
      <c r="CX73" s="221"/>
      <c r="CY73" s="1027"/>
      <c r="CZ73" s="249"/>
      <c r="DA73" s="216"/>
      <c r="DB73" s="1027" t="str">
        <f t="shared" si="16"/>
        <v/>
      </c>
      <c r="DC73" s="249"/>
      <c r="DD73" s="2519" t="str">
        <f t="shared" si="17"/>
        <v/>
      </c>
      <c r="DE73" s="1027"/>
      <c r="DF73" s="1556"/>
      <c r="DG73" s="1557"/>
      <c r="DH73" s="1027"/>
      <c r="DI73" s="1556"/>
      <c r="DJ73" s="1558"/>
      <c r="DK73" s="1559"/>
      <c r="DL73" s="249"/>
      <c r="DM73" s="221"/>
      <c r="DN73" s="313"/>
      <c r="DO73" s="249"/>
      <c r="DP73" s="216"/>
      <c r="DQ73" s="313"/>
      <c r="DR73" s="249"/>
      <c r="DS73" s="221"/>
      <c r="DT73" s="313"/>
      <c r="DU73" s="249"/>
      <c r="DV73" s="221"/>
      <c r="DW73" s="1560"/>
      <c r="DX73" s="1561"/>
      <c r="DY73" s="1562"/>
      <c r="DZ73" s="350"/>
      <c r="EA73" s="249"/>
      <c r="EB73" s="221"/>
      <c r="EC73" s="313"/>
      <c r="ED73" s="249"/>
      <c r="EE73" s="221"/>
      <c r="EF73" s="313"/>
      <c r="EG73" s="249"/>
      <c r="EH73" s="221"/>
      <c r="EI73" s="313"/>
      <c r="EJ73" s="249"/>
      <c r="EK73" s="216"/>
      <c r="EL73" s="1435"/>
      <c r="EM73" s="1619"/>
      <c r="EN73" s="1268"/>
      <c r="EO73" s="1563"/>
      <c r="EP73" s="1268"/>
      <c r="EQ73" s="1563"/>
      <c r="ER73" s="1268"/>
      <c r="ES73" s="1563"/>
      <c r="ET73" s="1268"/>
      <c r="EU73" s="1682"/>
      <c r="EV73" s="1683"/>
      <c r="EW73" s="1684"/>
      <c r="EX73" s="1685"/>
      <c r="EY73" s="1496"/>
      <c r="EZ73" s="252"/>
      <c r="FA73" s="395"/>
      <c r="FB73" s="223"/>
      <c r="FC73" s="1496"/>
      <c r="FD73" s="252"/>
      <c r="FE73" s="1564"/>
      <c r="FG73" s="256"/>
      <c r="FH73" s="256"/>
      <c r="FI73" s="256"/>
      <c r="FJ73" s="256"/>
      <c r="FK73" s="126"/>
      <c r="FL73" s="126"/>
      <c r="FM73" s="126"/>
      <c r="FN73" s="126"/>
      <c r="FO73" s="957"/>
      <c r="FP73" s="49"/>
      <c r="FR73" s="1566"/>
      <c r="FS73" s="1566"/>
      <c r="FT73" s="1566"/>
      <c r="FU73" s="2879"/>
      <c r="FV73" s="2880"/>
      <c r="FW73" s="2881"/>
      <c r="FX73" s="64"/>
      <c r="FY73" s="64"/>
      <c r="FZ73" s="64"/>
      <c r="GA73" s="64"/>
      <c r="GB73" s="64"/>
      <c r="GC73" s="64"/>
      <c r="GD73" s="64"/>
      <c r="GE73" s="64"/>
      <c r="GF73" s="64"/>
      <c r="GG73" s="64"/>
      <c r="GH73" s="64"/>
      <c r="GI73" s="64"/>
      <c r="GJ73" s="64"/>
      <c r="GK73" s="64"/>
      <c r="GL73" s="64"/>
      <c r="GM73" s="64"/>
      <c r="GN73" s="64"/>
      <c r="GO73" s="64"/>
      <c r="GP73" s="64"/>
      <c r="GQ73" s="64"/>
      <c r="GR73" s="64"/>
      <c r="GS73" s="64"/>
      <c r="GT73" s="64"/>
      <c r="GU73" s="64"/>
      <c r="GV73" s="64"/>
      <c r="GW73" s="64"/>
      <c r="GX73" s="64"/>
      <c r="GY73" s="64"/>
      <c r="GZ73" s="64"/>
      <c r="HA73" s="64"/>
      <c r="HB73" s="64"/>
      <c r="HC73" s="64"/>
      <c r="HD73" s="64"/>
      <c r="HE73" s="64"/>
      <c r="HF73" s="64"/>
      <c r="HG73" s="64"/>
      <c r="HH73" s="64"/>
      <c r="HI73" s="64"/>
      <c r="HJ73" s="64"/>
      <c r="HK73" s="64"/>
      <c r="HL73" s="64"/>
      <c r="HM73" s="64"/>
      <c r="HN73" s="64"/>
      <c r="HO73" s="64"/>
      <c r="HP73" s="64"/>
      <c r="HQ73" s="64"/>
      <c r="HR73" s="64"/>
      <c r="HS73" s="64"/>
      <c r="HT73" s="64"/>
      <c r="HU73" s="64"/>
      <c r="HV73" s="64"/>
      <c r="HW73" s="64"/>
      <c r="HX73" s="64"/>
      <c r="HY73" s="64"/>
      <c r="HZ73" s="64"/>
      <c r="IA73" s="64"/>
      <c r="IB73" s="64"/>
      <c r="IC73" s="64"/>
      <c r="ID73" s="64"/>
      <c r="IE73" s="64"/>
      <c r="IF73" s="64"/>
      <c r="IG73" s="64"/>
      <c r="IH73" s="64"/>
      <c r="II73" s="64"/>
      <c r="IJ73" s="64"/>
      <c r="IK73" s="64"/>
      <c r="IL73" s="64"/>
      <c r="IM73" s="64"/>
      <c r="IN73" s="64"/>
      <c r="IO73" s="64"/>
      <c r="IP73" s="64"/>
      <c r="IQ73" s="64"/>
      <c r="IR73" s="64"/>
      <c r="IS73" s="64"/>
      <c r="IT73" s="64"/>
      <c r="IU73" s="64"/>
    </row>
    <row r="74" spans="1:255" s="1565" customFormat="1" ht="13.5" customHeight="1">
      <c r="A74" s="1023"/>
      <c r="B74" s="1023"/>
      <c r="C74" s="1023"/>
      <c r="D74" s="1549"/>
      <c r="E74" s="1549"/>
      <c r="F74" s="1549"/>
      <c r="G74" s="1549"/>
      <c r="H74" s="1549"/>
      <c r="I74" s="1549"/>
      <c r="J74" s="1549"/>
      <c r="K74" s="1549"/>
      <c r="L74" s="1549"/>
      <c r="M74" s="1549"/>
      <c r="N74" s="1549"/>
      <c r="O74" s="1549"/>
      <c r="P74" s="1549"/>
      <c r="Q74" s="1550"/>
      <c r="R74" s="1550"/>
      <c r="S74" s="1550"/>
      <c r="T74" s="1186"/>
      <c r="U74" s="233"/>
      <c r="V74" s="216"/>
      <c r="W74" s="218"/>
      <c r="X74" s="218"/>
      <c r="Y74" s="216"/>
      <c r="Z74" s="216"/>
      <c r="AA74" s="252"/>
      <c r="AB74" s="252"/>
      <c r="AC74" s="252"/>
      <c r="AD74" s="253"/>
      <c r="AE74" s="252"/>
      <c r="AF74" s="252"/>
      <c r="AG74" s="252"/>
      <c r="AH74" s="252"/>
      <c r="AI74" s="252"/>
      <c r="AJ74" s="252"/>
      <c r="AK74" s="253"/>
      <c r="AL74" s="252"/>
      <c r="AM74" s="252"/>
      <c r="AN74" s="252"/>
      <c r="AO74" s="252"/>
      <c r="AP74" s="252"/>
      <c r="AQ74" s="252"/>
      <c r="AR74" s="252"/>
      <c r="AS74" s="252"/>
      <c r="AT74" s="252"/>
      <c r="AU74" s="252"/>
      <c r="AV74" s="1025"/>
      <c r="AW74" s="355"/>
      <c r="AX74" s="217"/>
      <c r="AY74" s="305"/>
      <c r="AZ74" s="249"/>
      <c r="BA74" s="216"/>
      <c r="BB74" s="1551"/>
      <c r="BC74" s="221"/>
      <c r="BD74" s="1552"/>
      <c r="BE74" s="1263"/>
      <c r="BF74" s="249"/>
      <c r="BG74" s="252"/>
      <c r="BH74" s="1543"/>
      <c r="BI74" s="1544"/>
      <c r="BJ74" s="1543"/>
      <c r="BK74" s="1545"/>
      <c r="BL74" s="260"/>
      <c r="BM74" s="216"/>
      <c r="BN74" s="1553"/>
      <c r="BO74" s="1553"/>
      <c r="BP74" s="1554"/>
      <c r="BQ74" s="216"/>
      <c r="BR74" s="1026"/>
      <c r="BS74" s="249"/>
      <c r="BT74" s="260"/>
      <c r="BU74" s="1026"/>
      <c r="BV74" s="249"/>
      <c r="BW74" s="260"/>
      <c r="BX74" s="1026"/>
      <c r="BY74" s="249"/>
      <c r="BZ74" s="260"/>
      <c r="CA74" s="1026"/>
      <c r="CB74" s="249"/>
      <c r="CC74" s="260"/>
      <c r="CD74" s="1026"/>
      <c r="CE74" s="1269"/>
      <c r="CF74" s="1270"/>
      <c r="CG74" s="1026"/>
      <c r="CH74" s="249"/>
      <c r="CI74" s="260"/>
      <c r="CJ74" s="1027"/>
      <c r="CK74" s="249"/>
      <c r="CL74" s="260"/>
      <c r="CM74" s="1555"/>
      <c r="CN74" s="249"/>
      <c r="CO74" s="216"/>
      <c r="CP74" s="1029"/>
      <c r="CQ74" s="249"/>
      <c r="CR74" s="216"/>
      <c r="CS74" s="1029"/>
      <c r="CT74" s="249"/>
      <c r="CU74" s="216"/>
      <c r="CV74" s="1027"/>
      <c r="CW74" s="249"/>
      <c r="CX74" s="221"/>
      <c r="CY74" s="1027"/>
      <c r="CZ74" s="249"/>
      <c r="DA74" s="216"/>
      <c r="DB74" s="1027" t="str">
        <f t="shared" si="16"/>
        <v/>
      </c>
      <c r="DC74" s="249"/>
      <c r="DD74" s="2519" t="str">
        <f t="shared" si="17"/>
        <v/>
      </c>
      <c r="DE74" s="1027"/>
      <c r="DF74" s="1556"/>
      <c r="DG74" s="1557"/>
      <c r="DH74" s="1027"/>
      <c r="DI74" s="1556"/>
      <c r="DJ74" s="1558"/>
      <c r="DK74" s="1559"/>
      <c r="DL74" s="249"/>
      <c r="DM74" s="221"/>
      <c r="DN74" s="313"/>
      <c r="DO74" s="249"/>
      <c r="DP74" s="216"/>
      <c r="DQ74" s="313"/>
      <c r="DR74" s="249"/>
      <c r="DS74" s="221"/>
      <c r="DT74" s="313"/>
      <c r="DU74" s="249"/>
      <c r="DV74" s="221"/>
      <c r="DW74" s="1560"/>
      <c r="DX74" s="1561"/>
      <c r="DY74" s="1562"/>
      <c r="DZ74" s="350"/>
      <c r="EA74" s="249"/>
      <c r="EB74" s="221"/>
      <c r="EC74" s="313"/>
      <c r="ED74" s="249"/>
      <c r="EE74" s="221"/>
      <c r="EF74" s="313"/>
      <c r="EG74" s="249"/>
      <c r="EH74" s="221"/>
      <c r="EI74" s="313"/>
      <c r="EJ74" s="249"/>
      <c r="EK74" s="216"/>
      <c r="EL74" s="1435"/>
      <c r="EM74" s="1619"/>
      <c r="EN74" s="1268"/>
      <c r="EO74" s="1563"/>
      <c r="EP74" s="1268"/>
      <c r="EQ74" s="1563"/>
      <c r="ER74" s="1268"/>
      <c r="ES74" s="1563"/>
      <c r="ET74" s="1268"/>
      <c r="EU74" s="1682"/>
      <c r="EV74" s="1683"/>
      <c r="EW74" s="1684"/>
      <c r="EX74" s="1685"/>
      <c r="EY74" s="1496"/>
      <c r="EZ74" s="252"/>
      <c r="FA74" s="395"/>
      <c r="FB74" s="223"/>
      <c r="FC74" s="1496"/>
      <c r="FD74" s="252"/>
      <c r="FE74" s="1564"/>
      <c r="FG74" s="256"/>
      <c r="FH74" s="256"/>
      <c r="FI74" s="256"/>
      <c r="FJ74" s="256"/>
      <c r="FK74" s="126"/>
      <c r="FL74" s="126"/>
      <c r="FM74" s="126"/>
      <c r="FN74" s="126"/>
      <c r="FO74" s="957"/>
      <c r="FP74" s="49"/>
      <c r="FR74" s="1566"/>
      <c r="FS74" s="1566"/>
      <c r="FT74" s="1566"/>
      <c r="FU74" s="2879"/>
      <c r="FV74" s="2880"/>
      <c r="FW74" s="2881"/>
      <c r="FX74" s="64"/>
      <c r="FY74" s="64"/>
      <c r="FZ74" s="64"/>
      <c r="GA74" s="64"/>
      <c r="GB74" s="64"/>
      <c r="GC74" s="64"/>
      <c r="GD74" s="64"/>
      <c r="GE74" s="64"/>
      <c r="GF74" s="64"/>
      <c r="GG74" s="64"/>
      <c r="GH74" s="64"/>
      <c r="GI74" s="64"/>
      <c r="GJ74" s="64"/>
      <c r="GK74" s="64"/>
      <c r="GL74" s="64"/>
      <c r="GM74" s="64"/>
      <c r="GN74" s="64"/>
      <c r="GO74" s="64"/>
      <c r="GP74" s="64"/>
      <c r="GQ74" s="64"/>
      <c r="GR74" s="64"/>
      <c r="GS74" s="64"/>
      <c r="GT74" s="64"/>
      <c r="GU74" s="64"/>
      <c r="GV74" s="64"/>
      <c r="GW74" s="64"/>
      <c r="GX74" s="64"/>
      <c r="GY74" s="64"/>
      <c r="GZ74" s="64"/>
      <c r="HA74" s="64"/>
      <c r="HB74" s="64"/>
      <c r="HC74" s="64"/>
      <c r="HD74" s="64"/>
      <c r="HE74" s="64"/>
      <c r="HF74" s="64"/>
      <c r="HG74" s="64"/>
      <c r="HH74" s="64"/>
      <c r="HI74" s="64"/>
      <c r="HJ74" s="64"/>
      <c r="HK74" s="64"/>
      <c r="HL74" s="64"/>
      <c r="HM74" s="64"/>
      <c r="HN74" s="64"/>
      <c r="HO74" s="64"/>
      <c r="HP74" s="64"/>
      <c r="HQ74" s="64"/>
      <c r="HR74" s="64"/>
      <c r="HS74" s="64"/>
      <c r="HT74" s="64"/>
      <c r="HU74" s="64"/>
      <c r="HV74" s="64"/>
      <c r="HW74" s="64"/>
      <c r="HX74" s="64"/>
      <c r="HY74" s="64"/>
      <c r="HZ74" s="64"/>
      <c r="IA74" s="64"/>
      <c r="IB74" s="64"/>
      <c r="IC74" s="64"/>
      <c r="ID74" s="64"/>
      <c r="IE74" s="64"/>
      <c r="IF74" s="64"/>
      <c r="IG74" s="64"/>
      <c r="IH74" s="64"/>
      <c r="II74" s="64"/>
      <c r="IJ74" s="64"/>
      <c r="IK74" s="64"/>
      <c r="IL74" s="64"/>
      <c r="IM74" s="64"/>
      <c r="IN74" s="64"/>
      <c r="IO74" s="64"/>
      <c r="IP74" s="64"/>
      <c r="IQ74" s="64"/>
      <c r="IR74" s="64"/>
      <c r="IS74" s="64"/>
      <c r="IT74" s="64"/>
      <c r="IU74" s="64"/>
    </row>
    <row r="75" spans="1:255" s="1565" customFormat="1" ht="13.5" customHeight="1">
      <c r="A75" s="1023"/>
      <c r="B75" s="1023"/>
      <c r="C75" s="1023"/>
      <c r="D75" s="1549"/>
      <c r="E75" s="1549"/>
      <c r="F75" s="1549"/>
      <c r="G75" s="1549"/>
      <c r="H75" s="1549"/>
      <c r="I75" s="1549"/>
      <c r="J75" s="1549"/>
      <c r="K75" s="1549"/>
      <c r="L75" s="1549"/>
      <c r="M75" s="1549"/>
      <c r="N75" s="1549"/>
      <c r="O75" s="1549"/>
      <c r="P75" s="1549"/>
      <c r="Q75" s="1550"/>
      <c r="R75" s="1550"/>
      <c r="S75" s="1550"/>
      <c r="T75" s="1186"/>
      <c r="U75" s="233"/>
      <c r="V75" s="216"/>
      <c r="W75" s="218"/>
      <c r="X75" s="218"/>
      <c r="Y75" s="216"/>
      <c r="Z75" s="216"/>
      <c r="AA75" s="252"/>
      <c r="AB75" s="252"/>
      <c r="AC75" s="252"/>
      <c r="AD75" s="253"/>
      <c r="AE75" s="252"/>
      <c r="AF75" s="252"/>
      <c r="AG75" s="252"/>
      <c r="AH75" s="252"/>
      <c r="AI75" s="252"/>
      <c r="AJ75" s="252"/>
      <c r="AK75" s="253"/>
      <c r="AL75" s="252"/>
      <c r="AM75" s="252"/>
      <c r="AN75" s="252"/>
      <c r="AO75" s="252"/>
      <c r="AP75" s="252"/>
      <c r="AQ75" s="252"/>
      <c r="AR75" s="252"/>
      <c r="AS75" s="252"/>
      <c r="AT75" s="252"/>
      <c r="AU75" s="252"/>
      <c r="AV75" s="1025"/>
      <c r="AW75" s="355"/>
      <c r="AX75" s="217"/>
      <c r="AY75" s="305"/>
      <c r="AZ75" s="249"/>
      <c r="BA75" s="216"/>
      <c r="BB75" s="1551"/>
      <c r="BC75" s="221"/>
      <c r="BD75" s="1552"/>
      <c r="BE75" s="1263"/>
      <c r="BF75" s="249"/>
      <c r="BG75" s="252"/>
      <c r="BH75" s="1543"/>
      <c r="BI75" s="1544"/>
      <c r="BJ75" s="1543"/>
      <c r="BK75" s="1545"/>
      <c r="BL75" s="260"/>
      <c r="BM75" s="216"/>
      <c r="BN75" s="1553"/>
      <c r="BO75" s="1553"/>
      <c r="BP75" s="1554"/>
      <c r="BQ75" s="216"/>
      <c r="BR75" s="1026"/>
      <c r="BS75" s="249"/>
      <c r="BT75" s="260"/>
      <c r="BU75" s="1026"/>
      <c r="BV75" s="249"/>
      <c r="BW75" s="260"/>
      <c r="BX75" s="1026"/>
      <c r="BY75" s="249"/>
      <c r="BZ75" s="260"/>
      <c r="CA75" s="1026"/>
      <c r="CB75" s="249"/>
      <c r="CC75" s="260"/>
      <c r="CD75" s="1026"/>
      <c r="CE75" s="1269"/>
      <c r="CF75" s="1270"/>
      <c r="CG75" s="1026"/>
      <c r="CH75" s="249"/>
      <c r="CI75" s="260"/>
      <c r="CJ75" s="1027"/>
      <c r="CK75" s="249"/>
      <c r="CL75" s="260"/>
      <c r="CM75" s="1555"/>
      <c r="CN75" s="249"/>
      <c r="CO75" s="216"/>
      <c r="CP75" s="1029"/>
      <c r="CQ75" s="249"/>
      <c r="CR75" s="216"/>
      <c r="CS75" s="1029"/>
      <c r="CT75" s="249"/>
      <c r="CU75" s="216"/>
      <c r="CV75" s="1027"/>
      <c r="CW75" s="249"/>
      <c r="CX75" s="221"/>
      <c r="CY75" s="1027"/>
      <c r="CZ75" s="249"/>
      <c r="DA75" s="216"/>
      <c r="DB75" s="1027" t="str">
        <f t="shared" si="16"/>
        <v/>
      </c>
      <c r="DC75" s="249"/>
      <c r="DD75" s="2519" t="str">
        <f t="shared" si="17"/>
        <v/>
      </c>
      <c r="DE75" s="1027"/>
      <c r="DF75" s="1556"/>
      <c r="DG75" s="1557"/>
      <c r="DH75" s="1027"/>
      <c r="DI75" s="1556"/>
      <c r="DJ75" s="1558"/>
      <c r="DK75" s="1559"/>
      <c r="DL75" s="249"/>
      <c r="DM75" s="221"/>
      <c r="DN75" s="313"/>
      <c r="DO75" s="249"/>
      <c r="DP75" s="216"/>
      <c r="DQ75" s="313"/>
      <c r="DR75" s="249"/>
      <c r="DS75" s="221"/>
      <c r="DT75" s="313"/>
      <c r="DU75" s="249"/>
      <c r="DV75" s="221"/>
      <c r="DW75" s="1560"/>
      <c r="DX75" s="1561"/>
      <c r="DY75" s="1562"/>
      <c r="DZ75" s="350"/>
      <c r="EA75" s="249"/>
      <c r="EB75" s="221"/>
      <c r="EC75" s="313"/>
      <c r="ED75" s="249"/>
      <c r="EE75" s="221"/>
      <c r="EF75" s="313"/>
      <c r="EG75" s="249"/>
      <c r="EH75" s="221"/>
      <c r="EI75" s="313"/>
      <c r="EJ75" s="249"/>
      <c r="EK75" s="216"/>
      <c r="EL75" s="1435"/>
      <c r="EM75" s="1619"/>
      <c r="EN75" s="1268"/>
      <c r="EO75" s="1563"/>
      <c r="EP75" s="1268"/>
      <c r="EQ75" s="1563"/>
      <c r="ER75" s="1268"/>
      <c r="ES75" s="1563"/>
      <c r="ET75" s="1268"/>
      <c r="EU75" s="1682"/>
      <c r="EV75" s="1683"/>
      <c r="EW75" s="1684"/>
      <c r="EX75" s="1685"/>
      <c r="EY75" s="1496"/>
      <c r="EZ75" s="252"/>
      <c r="FA75" s="395"/>
      <c r="FB75" s="223"/>
      <c r="FC75" s="1496"/>
      <c r="FD75" s="252"/>
      <c r="FE75" s="1564"/>
      <c r="FG75" s="256"/>
      <c r="FH75" s="256"/>
      <c r="FI75" s="256"/>
      <c r="FJ75" s="256"/>
      <c r="FK75" s="126"/>
      <c r="FL75" s="126"/>
      <c r="FM75" s="126"/>
      <c r="FN75" s="126"/>
      <c r="FO75" s="957"/>
      <c r="FP75" s="49"/>
      <c r="FR75" s="1566"/>
      <c r="FS75" s="1566"/>
      <c r="FT75" s="1566"/>
      <c r="FU75" s="2879"/>
      <c r="FV75" s="2880"/>
      <c r="FW75" s="2881"/>
      <c r="FX75" s="64"/>
      <c r="FY75" s="64"/>
      <c r="FZ75" s="64"/>
      <c r="GA75" s="64"/>
      <c r="GB75" s="64"/>
      <c r="GC75" s="64"/>
      <c r="GD75" s="64"/>
      <c r="GE75" s="64"/>
      <c r="GF75" s="64"/>
      <c r="GG75" s="64"/>
      <c r="GH75" s="64"/>
      <c r="GI75" s="64"/>
      <c r="GJ75" s="64"/>
      <c r="GK75" s="64"/>
      <c r="GL75" s="64"/>
      <c r="GM75" s="64"/>
      <c r="GN75" s="64"/>
      <c r="GO75" s="64"/>
      <c r="GP75" s="64"/>
      <c r="GQ75" s="64"/>
      <c r="GR75" s="64"/>
      <c r="GS75" s="64"/>
      <c r="GT75" s="64"/>
      <c r="GU75" s="64"/>
      <c r="GV75" s="64"/>
      <c r="GW75" s="64"/>
      <c r="GX75" s="64"/>
      <c r="GY75" s="64"/>
      <c r="GZ75" s="64"/>
      <c r="HA75" s="64"/>
      <c r="HB75" s="64"/>
      <c r="HC75" s="64"/>
      <c r="HD75" s="64"/>
      <c r="HE75" s="64"/>
      <c r="HF75" s="64"/>
      <c r="HG75" s="64"/>
      <c r="HH75" s="64"/>
      <c r="HI75" s="64"/>
      <c r="HJ75" s="64"/>
      <c r="HK75" s="64"/>
      <c r="HL75" s="64"/>
      <c r="HM75" s="64"/>
      <c r="HN75" s="64"/>
      <c r="HO75" s="64"/>
      <c r="HP75" s="64"/>
      <c r="HQ75" s="64"/>
      <c r="HR75" s="64"/>
      <c r="HS75" s="64"/>
      <c r="HT75" s="64"/>
      <c r="HU75" s="64"/>
      <c r="HV75" s="64"/>
      <c r="HW75" s="64"/>
      <c r="HX75" s="64"/>
      <c r="HY75" s="64"/>
      <c r="HZ75" s="64"/>
      <c r="IA75" s="64"/>
      <c r="IB75" s="64"/>
      <c r="IC75" s="64"/>
      <c r="ID75" s="64"/>
      <c r="IE75" s="64"/>
      <c r="IF75" s="64"/>
      <c r="IG75" s="64"/>
      <c r="IH75" s="64"/>
      <c r="II75" s="64"/>
      <c r="IJ75" s="64"/>
      <c r="IK75" s="64"/>
      <c r="IL75" s="64"/>
      <c r="IM75" s="64"/>
      <c r="IN75" s="64"/>
      <c r="IO75" s="64"/>
      <c r="IP75" s="64"/>
      <c r="IQ75" s="64"/>
      <c r="IR75" s="64"/>
      <c r="IS75" s="64"/>
      <c r="IT75" s="64"/>
      <c r="IU75" s="64"/>
    </row>
    <row r="76" spans="1:255" s="1565" customFormat="1" ht="13.5" customHeight="1">
      <c r="A76" s="1023"/>
      <c r="B76" s="1023"/>
      <c r="C76" s="1023"/>
      <c r="D76" s="1549"/>
      <c r="E76" s="1549"/>
      <c r="F76" s="1549"/>
      <c r="G76" s="1549"/>
      <c r="H76" s="1549"/>
      <c r="I76" s="1549"/>
      <c r="J76" s="1549"/>
      <c r="K76" s="1549"/>
      <c r="L76" s="1549"/>
      <c r="M76" s="1549"/>
      <c r="N76" s="1549"/>
      <c r="O76" s="1549"/>
      <c r="P76" s="1549"/>
      <c r="Q76" s="1550"/>
      <c r="R76" s="1550"/>
      <c r="S76" s="1550"/>
      <c r="T76" s="1186"/>
      <c r="U76" s="233"/>
      <c r="V76" s="216"/>
      <c r="W76" s="218"/>
      <c r="X76" s="218"/>
      <c r="Y76" s="216"/>
      <c r="Z76" s="216"/>
      <c r="AA76" s="252"/>
      <c r="AB76" s="252"/>
      <c r="AC76" s="252"/>
      <c r="AD76" s="253"/>
      <c r="AE76" s="252"/>
      <c r="AF76" s="252"/>
      <c r="AG76" s="252"/>
      <c r="AH76" s="252"/>
      <c r="AI76" s="252"/>
      <c r="AJ76" s="252"/>
      <c r="AK76" s="253"/>
      <c r="AL76" s="252"/>
      <c r="AM76" s="252"/>
      <c r="AN76" s="252"/>
      <c r="AO76" s="252"/>
      <c r="AP76" s="252"/>
      <c r="AQ76" s="252"/>
      <c r="AR76" s="252"/>
      <c r="AS76" s="252"/>
      <c r="AT76" s="252"/>
      <c r="AU76" s="252"/>
      <c r="AV76" s="1025"/>
      <c r="AW76" s="355"/>
      <c r="AX76" s="217"/>
      <c r="AY76" s="305"/>
      <c r="AZ76" s="249"/>
      <c r="BA76" s="216"/>
      <c r="BB76" s="1551"/>
      <c r="BC76" s="221"/>
      <c r="BD76" s="1552"/>
      <c r="BE76" s="1263"/>
      <c r="BF76" s="249"/>
      <c r="BG76" s="252"/>
      <c r="BH76" s="1543"/>
      <c r="BI76" s="1544"/>
      <c r="BJ76" s="1543"/>
      <c r="BK76" s="1545"/>
      <c r="BL76" s="260"/>
      <c r="BM76" s="216"/>
      <c r="BN76" s="1553"/>
      <c r="BO76" s="1553"/>
      <c r="BP76" s="1554"/>
      <c r="BQ76" s="216"/>
      <c r="BR76" s="1026"/>
      <c r="BS76" s="249"/>
      <c r="BT76" s="260"/>
      <c r="BU76" s="1026"/>
      <c r="BV76" s="249"/>
      <c r="BW76" s="260"/>
      <c r="BX76" s="1026"/>
      <c r="BY76" s="249"/>
      <c r="BZ76" s="260"/>
      <c r="CA76" s="1026"/>
      <c r="CB76" s="249"/>
      <c r="CC76" s="260"/>
      <c r="CD76" s="1026"/>
      <c r="CE76" s="1269"/>
      <c r="CF76" s="1270"/>
      <c r="CG76" s="1026"/>
      <c r="CH76" s="249"/>
      <c r="CI76" s="260"/>
      <c r="CJ76" s="1027"/>
      <c r="CK76" s="249"/>
      <c r="CL76" s="260"/>
      <c r="CM76" s="1555"/>
      <c r="CN76" s="249"/>
      <c r="CO76" s="216"/>
      <c r="CP76" s="1029"/>
      <c r="CQ76" s="249"/>
      <c r="CR76" s="216"/>
      <c r="CS76" s="1029"/>
      <c r="CT76" s="249"/>
      <c r="CU76" s="216"/>
      <c r="CV76" s="1027"/>
      <c r="CW76" s="249"/>
      <c r="CX76" s="221"/>
      <c r="CY76" s="1027"/>
      <c r="CZ76" s="249"/>
      <c r="DA76" s="216"/>
      <c r="DB76" s="1027" t="str">
        <f t="shared" si="16"/>
        <v/>
      </c>
      <c r="DC76" s="249"/>
      <c r="DD76" s="2519" t="str">
        <f t="shared" si="17"/>
        <v/>
      </c>
      <c r="DE76" s="1027"/>
      <c r="DF76" s="1556"/>
      <c r="DG76" s="1557"/>
      <c r="DH76" s="1027"/>
      <c r="DI76" s="1556"/>
      <c r="DJ76" s="1558"/>
      <c r="DK76" s="1559"/>
      <c r="DL76" s="249"/>
      <c r="DM76" s="221"/>
      <c r="DN76" s="313"/>
      <c r="DO76" s="249"/>
      <c r="DP76" s="216"/>
      <c r="DQ76" s="313"/>
      <c r="DR76" s="249"/>
      <c r="DS76" s="221"/>
      <c r="DT76" s="313"/>
      <c r="DU76" s="249"/>
      <c r="DV76" s="221"/>
      <c r="DW76" s="1560"/>
      <c r="DX76" s="1561"/>
      <c r="DY76" s="1562"/>
      <c r="DZ76" s="350"/>
      <c r="EA76" s="249"/>
      <c r="EB76" s="221"/>
      <c r="EC76" s="313"/>
      <c r="ED76" s="249"/>
      <c r="EE76" s="221"/>
      <c r="EF76" s="313"/>
      <c r="EG76" s="249"/>
      <c r="EH76" s="221"/>
      <c r="EI76" s="313"/>
      <c r="EJ76" s="249"/>
      <c r="EK76" s="216"/>
      <c r="EL76" s="1435"/>
      <c r="EM76" s="1619"/>
      <c r="EN76" s="1268"/>
      <c r="EO76" s="1563"/>
      <c r="EP76" s="1268"/>
      <c r="EQ76" s="1563"/>
      <c r="ER76" s="1268"/>
      <c r="ES76" s="1563"/>
      <c r="ET76" s="1268"/>
      <c r="EU76" s="1682"/>
      <c r="EV76" s="1683"/>
      <c r="EW76" s="1684"/>
      <c r="EX76" s="1685"/>
      <c r="EY76" s="1496"/>
      <c r="EZ76" s="252"/>
      <c r="FA76" s="395"/>
      <c r="FB76" s="223"/>
      <c r="FC76" s="1496"/>
      <c r="FD76" s="252"/>
      <c r="FE76" s="1564"/>
      <c r="FG76" s="256"/>
      <c r="FH76" s="256"/>
      <c r="FI76" s="256"/>
      <c r="FJ76" s="256"/>
      <c r="FK76" s="126"/>
      <c r="FL76" s="126"/>
      <c r="FM76" s="126"/>
      <c r="FN76" s="126"/>
      <c r="FO76" s="957"/>
      <c r="FP76" s="49"/>
      <c r="FR76" s="1566"/>
      <c r="FS76" s="1566"/>
      <c r="FT76" s="1566"/>
      <c r="FU76" s="2879"/>
      <c r="FV76" s="2880"/>
      <c r="FW76" s="2881"/>
      <c r="FX76" s="64"/>
      <c r="FY76" s="64"/>
      <c r="FZ76" s="64"/>
      <c r="GA76" s="64"/>
      <c r="GB76" s="64"/>
      <c r="GC76" s="64"/>
      <c r="GD76" s="64"/>
      <c r="GE76" s="64"/>
      <c r="GF76" s="64"/>
      <c r="GG76" s="64"/>
      <c r="GH76" s="64"/>
      <c r="GI76" s="64"/>
      <c r="GJ76" s="64"/>
      <c r="GK76" s="64"/>
      <c r="GL76" s="64"/>
      <c r="GM76" s="64"/>
      <c r="GN76" s="64"/>
      <c r="GO76" s="64"/>
      <c r="GP76" s="64"/>
      <c r="GQ76" s="64"/>
      <c r="GR76" s="64"/>
      <c r="GS76" s="64"/>
      <c r="GT76" s="64"/>
      <c r="GU76" s="64"/>
      <c r="GV76" s="64"/>
      <c r="GW76" s="64"/>
      <c r="GX76" s="64"/>
      <c r="GY76" s="64"/>
      <c r="GZ76" s="64"/>
      <c r="HA76" s="64"/>
      <c r="HB76" s="64"/>
      <c r="HC76" s="64"/>
      <c r="HD76" s="64"/>
      <c r="HE76" s="64"/>
      <c r="HF76" s="64"/>
      <c r="HG76" s="64"/>
      <c r="HH76" s="64"/>
      <c r="HI76" s="64"/>
      <c r="HJ76" s="64"/>
      <c r="HK76" s="64"/>
      <c r="HL76" s="64"/>
      <c r="HM76" s="64"/>
      <c r="HN76" s="64"/>
      <c r="HO76" s="64"/>
      <c r="HP76" s="64"/>
      <c r="HQ76" s="64"/>
      <c r="HR76" s="64"/>
      <c r="HS76" s="64"/>
      <c r="HT76" s="64"/>
      <c r="HU76" s="64"/>
      <c r="HV76" s="64"/>
      <c r="HW76" s="64"/>
      <c r="HX76" s="64"/>
      <c r="HY76" s="64"/>
      <c r="HZ76" s="64"/>
      <c r="IA76" s="64"/>
      <c r="IB76" s="64"/>
      <c r="IC76" s="64"/>
      <c r="ID76" s="64"/>
      <c r="IE76" s="64"/>
      <c r="IF76" s="64"/>
      <c r="IG76" s="64"/>
      <c r="IH76" s="64"/>
      <c r="II76" s="64"/>
      <c r="IJ76" s="64"/>
      <c r="IK76" s="64"/>
      <c r="IL76" s="64"/>
      <c r="IM76" s="64"/>
      <c r="IN76" s="64"/>
      <c r="IO76" s="64"/>
      <c r="IP76" s="64"/>
      <c r="IQ76" s="64"/>
      <c r="IR76" s="64"/>
      <c r="IS76" s="64"/>
      <c r="IT76" s="64"/>
      <c r="IU76" s="64"/>
    </row>
    <row r="77" spans="1:255" s="1565" customFormat="1" ht="13.5" customHeight="1">
      <c r="A77" s="1023"/>
      <c r="B77" s="1023"/>
      <c r="C77" s="1023"/>
      <c r="D77" s="1549"/>
      <c r="E77" s="1549"/>
      <c r="F77" s="1549"/>
      <c r="G77" s="1549"/>
      <c r="H77" s="1549"/>
      <c r="I77" s="1549"/>
      <c r="J77" s="1549"/>
      <c r="K77" s="1549"/>
      <c r="L77" s="1549"/>
      <c r="M77" s="1549"/>
      <c r="N77" s="1549"/>
      <c r="O77" s="1549"/>
      <c r="P77" s="1549"/>
      <c r="Q77" s="1550"/>
      <c r="R77" s="1550"/>
      <c r="S77" s="1550"/>
      <c r="T77" s="1186"/>
      <c r="U77" s="233"/>
      <c r="V77" s="216"/>
      <c r="W77" s="218"/>
      <c r="X77" s="218"/>
      <c r="Y77" s="216"/>
      <c r="Z77" s="216"/>
      <c r="AA77" s="252"/>
      <c r="AB77" s="252"/>
      <c r="AC77" s="252"/>
      <c r="AD77" s="253"/>
      <c r="AE77" s="252"/>
      <c r="AF77" s="252"/>
      <c r="AG77" s="252"/>
      <c r="AH77" s="252"/>
      <c r="AI77" s="252"/>
      <c r="AJ77" s="252"/>
      <c r="AK77" s="253"/>
      <c r="AL77" s="252"/>
      <c r="AM77" s="252"/>
      <c r="AN77" s="252"/>
      <c r="AO77" s="252"/>
      <c r="AP77" s="252"/>
      <c r="AQ77" s="252"/>
      <c r="AR77" s="252"/>
      <c r="AS77" s="252"/>
      <c r="AT77" s="252"/>
      <c r="AU77" s="252"/>
      <c r="AV77" s="1025"/>
      <c r="AW77" s="355"/>
      <c r="AX77" s="217"/>
      <c r="AY77" s="305"/>
      <c r="AZ77" s="249"/>
      <c r="BA77" s="216"/>
      <c r="BB77" s="1551"/>
      <c r="BC77" s="221"/>
      <c r="BD77" s="1552"/>
      <c r="BE77" s="1263"/>
      <c r="BF77" s="249"/>
      <c r="BG77" s="252"/>
      <c r="BH77" s="1543"/>
      <c r="BI77" s="1544"/>
      <c r="BJ77" s="1543"/>
      <c r="BK77" s="1545"/>
      <c r="BL77" s="260"/>
      <c r="BM77" s="216"/>
      <c r="BN77" s="1553"/>
      <c r="BO77" s="1553"/>
      <c r="BP77" s="1554"/>
      <c r="BQ77" s="216"/>
      <c r="BR77" s="1026"/>
      <c r="BS77" s="249"/>
      <c r="BT77" s="260"/>
      <c r="BU77" s="1026"/>
      <c r="BV77" s="249"/>
      <c r="BW77" s="260"/>
      <c r="BX77" s="1026"/>
      <c r="BY77" s="249"/>
      <c r="BZ77" s="260"/>
      <c r="CA77" s="1026"/>
      <c r="CB77" s="249"/>
      <c r="CC77" s="260"/>
      <c r="CD77" s="1026"/>
      <c r="CE77" s="1269"/>
      <c r="CF77" s="1270"/>
      <c r="CG77" s="1026"/>
      <c r="CH77" s="249"/>
      <c r="CI77" s="260"/>
      <c r="CJ77" s="1027"/>
      <c r="CK77" s="249"/>
      <c r="CL77" s="260"/>
      <c r="CM77" s="1555"/>
      <c r="CN77" s="249"/>
      <c r="CO77" s="216"/>
      <c r="CP77" s="1029"/>
      <c r="CQ77" s="249"/>
      <c r="CR77" s="216"/>
      <c r="CS77" s="1029"/>
      <c r="CT77" s="249"/>
      <c r="CU77" s="216"/>
      <c r="CV77" s="1027"/>
      <c r="CW77" s="249"/>
      <c r="CX77" s="221"/>
      <c r="CY77" s="1027"/>
      <c r="CZ77" s="249"/>
      <c r="DA77" s="216"/>
      <c r="DB77" s="1027" t="str">
        <f t="shared" si="16"/>
        <v/>
      </c>
      <c r="DC77" s="249"/>
      <c r="DD77" s="2519" t="str">
        <f t="shared" si="17"/>
        <v/>
      </c>
      <c r="DE77" s="1027"/>
      <c r="DF77" s="1556"/>
      <c r="DG77" s="1557"/>
      <c r="DH77" s="1027"/>
      <c r="DI77" s="1556"/>
      <c r="DJ77" s="1558"/>
      <c r="DK77" s="1559"/>
      <c r="DL77" s="249"/>
      <c r="DM77" s="221"/>
      <c r="DN77" s="313"/>
      <c r="DO77" s="249"/>
      <c r="DP77" s="216"/>
      <c r="DQ77" s="313"/>
      <c r="DR77" s="249"/>
      <c r="DS77" s="221"/>
      <c r="DT77" s="313"/>
      <c r="DU77" s="249"/>
      <c r="DV77" s="221"/>
      <c r="DW77" s="1560"/>
      <c r="DX77" s="1561"/>
      <c r="DY77" s="1562"/>
      <c r="DZ77" s="350"/>
      <c r="EA77" s="249"/>
      <c r="EB77" s="221"/>
      <c r="EC77" s="313"/>
      <c r="ED77" s="249"/>
      <c r="EE77" s="221"/>
      <c r="EF77" s="313"/>
      <c r="EG77" s="249"/>
      <c r="EH77" s="221"/>
      <c r="EI77" s="313"/>
      <c r="EJ77" s="249"/>
      <c r="EK77" s="216"/>
      <c r="EL77" s="1435"/>
      <c r="EM77" s="1619"/>
      <c r="EN77" s="1268"/>
      <c r="EO77" s="1563"/>
      <c r="EP77" s="1268"/>
      <c r="EQ77" s="1563"/>
      <c r="ER77" s="1268"/>
      <c r="ES77" s="1563"/>
      <c r="ET77" s="1268"/>
      <c r="EU77" s="1682"/>
      <c r="EV77" s="1683"/>
      <c r="EW77" s="1684"/>
      <c r="EX77" s="1685"/>
      <c r="EY77" s="1496"/>
      <c r="EZ77" s="252"/>
      <c r="FA77" s="395"/>
      <c r="FB77" s="223"/>
      <c r="FC77" s="1496"/>
      <c r="FD77" s="252"/>
      <c r="FE77" s="1564"/>
      <c r="FG77" s="256"/>
      <c r="FH77" s="256"/>
      <c r="FI77" s="256"/>
      <c r="FJ77" s="256"/>
      <c r="FK77" s="126"/>
      <c r="FL77" s="126"/>
      <c r="FM77" s="126"/>
      <c r="FN77" s="126"/>
      <c r="FO77" s="957"/>
      <c r="FP77" s="49"/>
      <c r="FR77" s="1566"/>
      <c r="FS77" s="1566"/>
      <c r="FT77" s="1566"/>
      <c r="FU77" s="2879"/>
      <c r="FV77" s="2880"/>
      <c r="FW77" s="2881"/>
      <c r="FX77" s="64"/>
      <c r="FY77" s="64"/>
      <c r="FZ77" s="64"/>
      <c r="GA77" s="64"/>
      <c r="GB77" s="64"/>
      <c r="GC77" s="64"/>
      <c r="GD77" s="64"/>
      <c r="GE77" s="64"/>
      <c r="GF77" s="64"/>
      <c r="GG77" s="64"/>
      <c r="GH77" s="64"/>
      <c r="GI77" s="64"/>
      <c r="GJ77" s="64"/>
      <c r="GK77" s="64"/>
      <c r="GL77" s="64"/>
      <c r="GM77" s="64"/>
      <c r="GN77" s="64"/>
      <c r="GO77" s="64"/>
      <c r="GP77" s="64"/>
      <c r="GQ77" s="64"/>
      <c r="GR77" s="64"/>
      <c r="GS77" s="64"/>
      <c r="GT77" s="64"/>
      <c r="GU77" s="64"/>
      <c r="GV77" s="64"/>
      <c r="GW77" s="64"/>
      <c r="GX77" s="64"/>
      <c r="GY77" s="64"/>
      <c r="GZ77" s="64"/>
      <c r="HA77" s="64"/>
      <c r="HB77" s="64"/>
      <c r="HC77" s="64"/>
      <c r="HD77" s="64"/>
      <c r="HE77" s="64"/>
      <c r="HF77" s="64"/>
      <c r="HG77" s="64"/>
      <c r="HH77" s="64"/>
      <c r="HI77" s="64"/>
      <c r="HJ77" s="64"/>
      <c r="HK77" s="64"/>
      <c r="HL77" s="64"/>
      <c r="HM77" s="64"/>
      <c r="HN77" s="64"/>
      <c r="HO77" s="64"/>
      <c r="HP77" s="64"/>
      <c r="HQ77" s="64"/>
      <c r="HR77" s="64"/>
      <c r="HS77" s="64"/>
      <c r="HT77" s="64"/>
      <c r="HU77" s="64"/>
      <c r="HV77" s="64"/>
      <c r="HW77" s="64"/>
      <c r="HX77" s="64"/>
      <c r="HY77" s="64"/>
      <c r="HZ77" s="64"/>
      <c r="IA77" s="64"/>
      <c r="IB77" s="64"/>
      <c r="IC77" s="64"/>
      <c r="ID77" s="64"/>
      <c r="IE77" s="64"/>
      <c r="IF77" s="64"/>
      <c r="IG77" s="64"/>
      <c r="IH77" s="64"/>
      <c r="II77" s="64"/>
      <c r="IJ77" s="64"/>
      <c r="IK77" s="64"/>
      <c r="IL77" s="64"/>
      <c r="IM77" s="64"/>
      <c r="IN77" s="64"/>
      <c r="IO77" s="64"/>
      <c r="IP77" s="64"/>
      <c r="IQ77" s="64"/>
      <c r="IR77" s="64"/>
      <c r="IS77" s="64"/>
      <c r="IT77" s="64"/>
      <c r="IU77" s="64"/>
    </row>
    <row r="78" spans="1:255" s="1565" customFormat="1" ht="13.5" customHeight="1">
      <c r="A78" s="1023"/>
      <c r="B78" s="1023"/>
      <c r="C78" s="1023"/>
      <c r="D78" s="1549"/>
      <c r="E78" s="1549"/>
      <c r="F78" s="1549"/>
      <c r="G78" s="1549"/>
      <c r="H78" s="1549"/>
      <c r="I78" s="1549"/>
      <c r="J78" s="1549"/>
      <c r="K78" s="1549"/>
      <c r="L78" s="1549"/>
      <c r="M78" s="1549"/>
      <c r="N78" s="1549"/>
      <c r="O78" s="1549"/>
      <c r="P78" s="1549"/>
      <c r="Q78" s="1550"/>
      <c r="R78" s="1550"/>
      <c r="S78" s="1550"/>
      <c r="T78" s="1186"/>
      <c r="U78" s="233"/>
      <c r="V78" s="216"/>
      <c r="W78" s="218"/>
      <c r="X78" s="218"/>
      <c r="Y78" s="216"/>
      <c r="Z78" s="216"/>
      <c r="AA78" s="252"/>
      <c r="AB78" s="252"/>
      <c r="AC78" s="252"/>
      <c r="AD78" s="253"/>
      <c r="AE78" s="252"/>
      <c r="AF78" s="252"/>
      <c r="AG78" s="252"/>
      <c r="AH78" s="252"/>
      <c r="AI78" s="252"/>
      <c r="AJ78" s="252"/>
      <c r="AK78" s="253"/>
      <c r="AL78" s="252"/>
      <c r="AM78" s="252"/>
      <c r="AN78" s="252"/>
      <c r="AO78" s="252"/>
      <c r="AP78" s="252"/>
      <c r="AQ78" s="252"/>
      <c r="AR78" s="252"/>
      <c r="AS78" s="252"/>
      <c r="AT78" s="252"/>
      <c r="AU78" s="252"/>
      <c r="AV78" s="1025"/>
      <c r="AW78" s="355"/>
      <c r="AX78" s="217"/>
      <c r="AY78" s="305"/>
      <c r="AZ78" s="249"/>
      <c r="BA78" s="216"/>
      <c r="BB78" s="1551"/>
      <c r="BC78" s="221"/>
      <c r="BD78" s="1552"/>
      <c r="BE78" s="1263"/>
      <c r="BF78" s="249"/>
      <c r="BG78" s="252"/>
      <c r="BH78" s="1543"/>
      <c r="BI78" s="1544"/>
      <c r="BJ78" s="1543"/>
      <c r="BK78" s="1545"/>
      <c r="BL78" s="260"/>
      <c r="BM78" s="216"/>
      <c r="BN78" s="1553"/>
      <c r="BO78" s="1553"/>
      <c r="BP78" s="1554"/>
      <c r="BQ78" s="216"/>
      <c r="BR78" s="1026"/>
      <c r="BS78" s="249"/>
      <c r="BT78" s="260"/>
      <c r="BU78" s="1026"/>
      <c r="BV78" s="249"/>
      <c r="BW78" s="260"/>
      <c r="BX78" s="1026"/>
      <c r="BY78" s="249"/>
      <c r="BZ78" s="260"/>
      <c r="CA78" s="1026"/>
      <c r="CB78" s="249"/>
      <c r="CC78" s="260"/>
      <c r="CD78" s="1026"/>
      <c r="CE78" s="1269"/>
      <c r="CF78" s="1270"/>
      <c r="CG78" s="1026"/>
      <c r="CH78" s="249"/>
      <c r="CI78" s="260"/>
      <c r="CJ78" s="1027"/>
      <c r="CK78" s="249"/>
      <c r="CL78" s="260"/>
      <c r="CM78" s="1555"/>
      <c r="CN78" s="249"/>
      <c r="CO78" s="216"/>
      <c r="CP78" s="1029"/>
      <c r="CQ78" s="249"/>
      <c r="CR78" s="216"/>
      <c r="CS78" s="1029"/>
      <c r="CT78" s="249"/>
      <c r="CU78" s="216"/>
      <c r="CV78" s="1027"/>
      <c r="CW78" s="249"/>
      <c r="CX78" s="221"/>
      <c r="CY78" s="1027"/>
      <c r="CZ78" s="249"/>
      <c r="DA78" s="216"/>
      <c r="DB78" s="1027" t="str">
        <f t="shared" si="16"/>
        <v/>
      </c>
      <c r="DC78" s="249"/>
      <c r="DD78" s="2519" t="str">
        <f t="shared" si="17"/>
        <v/>
      </c>
      <c r="DE78" s="1027"/>
      <c r="DF78" s="1556"/>
      <c r="DG78" s="1557"/>
      <c r="DH78" s="1027"/>
      <c r="DI78" s="1556"/>
      <c r="DJ78" s="1558"/>
      <c r="DK78" s="1559"/>
      <c r="DL78" s="249"/>
      <c r="DM78" s="221"/>
      <c r="DN78" s="313"/>
      <c r="DO78" s="249"/>
      <c r="DP78" s="216"/>
      <c r="DQ78" s="313"/>
      <c r="DR78" s="249"/>
      <c r="DS78" s="221"/>
      <c r="DT78" s="313"/>
      <c r="DU78" s="249"/>
      <c r="DV78" s="221"/>
      <c r="DW78" s="1560"/>
      <c r="DX78" s="1561"/>
      <c r="DY78" s="1562"/>
      <c r="DZ78" s="350"/>
      <c r="EA78" s="249"/>
      <c r="EB78" s="221"/>
      <c r="EC78" s="313"/>
      <c r="ED78" s="249"/>
      <c r="EE78" s="221"/>
      <c r="EF78" s="313"/>
      <c r="EG78" s="249"/>
      <c r="EH78" s="221"/>
      <c r="EI78" s="313"/>
      <c r="EJ78" s="249"/>
      <c r="EK78" s="216"/>
      <c r="EL78" s="1435"/>
      <c r="EM78" s="1619"/>
      <c r="EN78" s="1268"/>
      <c r="EO78" s="1563"/>
      <c r="EP78" s="1268"/>
      <c r="EQ78" s="1563"/>
      <c r="ER78" s="1268"/>
      <c r="ES78" s="1563"/>
      <c r="ET78" s="1268"/>
      <c r="EU78" s="1682"/>
      <c r="EV78" s="1683"/>
      <c r="EW78" s="1684"/>
      <c r="EX78" s="1685"/>
      <c r="EY78" s="1496"/>
      <c r="EZ78" s="252"/>
      <c r="FA78" s="395"/>
      <c r="FB78" s="223"/>
      <c r="FC78" s="1496"/>
      <c r="FD78" s="252"/>
      <c r="FE78" s="1564"/>
      <c r="FG78" s="256"/>
      <c r="FH78" s="256"/>
      <c r="FI78" s="256"/>
      <c r="FJ78" s="256"/>
      <c r="FK78" s="126"/>
      <c r="FL78" s="126"/>
      <c r="FM78" s="126"/>
      <c r="FN78" s="126"/>
      <c r="FO78" s="957"/>
      <c r="FP78" s="49"/>
      <c r="FR78" s="1566"/>
      <c r="FS78" s="1566"/>
      <c r="FT78" s="1566"/>
      <c r="FU78" s="2879"/>
      <c r="FV78" s="2880"/>
      <c r="FW78" s="2881"/>
      <c r="FX78" s="64"/>
      <c r="FY78" s="64"/>
      <c r="FZ78" s="64"/>
      <c r="GA78" s="64"/>
      <c r="GB78" s="64"/>
      <c r="GC78" s="64"/>
      <c r="GD78" s="64"/>
      <c r="GE78" s="64"/>
      <c r="GF78" s="64"/>
      <c r="GG78" s="64"/>
      <c r="GH78" s="64"/>
      <c r="GI78" s="64"/>
      <c r="GJ78" s="64"/>
      <c r="GK78" s="64"/>
      <c r="GL78" s="64"/>
      <c r="GM78" s="64"/>
      <c r="GN78" s="64"/>
      <c r="GO78" s="64"/>
      <c r="GP78" s="64"/>
      <c r="GQ78" s="64"/>
      <c r="GR78" s="64"/>
      <c r="GS78" s="64"/>
      <c r="GT78" s="64"/>
      <c r="GU78" s="64"/>
      <c r="GV78" s="64"/>
      <c r="GW78" s="64"/>
      <c r="GX78" s="64"/>
      <c r="GY78" s="64"/>
      <c r="GZ78" s="64"/>
      <c r="HA78" s="64"/>
      <c r="HB78" s="64"/>
      <c r="HC78" s="64"/>
      <c r="HD78" s="64"/>
      <c r="HE78" s="64"/>
      <c r="HF78" s="64"/>
      <c r="HG78" s="64"/>
      <c r="HH78" s="64"/>
      <c r="HI78" s="64"/>
      <c r="HJ78" s="64"/>
      <c r="HK78" s="64"/>
      <c r="HL78" s="64"/>
      <c r="HM78" s="64"/>
      <c r="HN78" s="64"/>
      <c r="HO78" s="64"/>
      <c r="HP78" s="64"/>
      <c r="HQ78" s="64"/>
      <c r="HR78" s="64"/>
      <c r="HS78" s="64"/>
      <c r="HT78" s="64"/>
      <c r="HU78" s="64"/>
      <c r="HV78" s="64"/>
      <c r="HW78" s="64"/>
      <c r="HX78" s="64"/>
      <c r="HY78" s="64"/>
      <c r="HZ78" s="64"/>
      <c r="IA78" s="64"/>
      <c r="IB78" s="64"/>
      <c r="IC78" s="64"/>
      <c r="ID78" s="64"/>
      <c r="IE78" s="64"/>
      <c r="IF78" s="64"/>
      <c r="IG78" s="64"/>
      <c r="IH78" s="64"/>
      <c r="II78" s="64"/>
      <c r="IJ78" s="64"/>
      <c r="IK78" s="64"/>
      <c r="IL78" s="64"/>
      <c r="IM78" s="64"/>
      <c r="IN78" s="64"/>
      <c r="IO78" s="64"/>
      <c r="IP78" s="64"/>
      <c r="IQ78" s="64"/>
      <c r="IR78" s="64"/>
      <c r="IS78" s="64"/>
      <c r="IT78" s="64"/>
      <c r="IU78" s="64"/>
    </row>
    <row r="79" spans="1:255" s="1565" customFormat="1" ht="13.5" customHeight="1">
      <c r="A79" s="1023"/>
      <c r="B79" s="1023"/>
      <c r="C79" s="1023"/>
      <c r="D79" s="1549"/>
      <c r="E79" s="1549"/>
      <c r="F79" s="1549"/>
      <c r="G79" s="1549"/>
      <c r="H79" s="1549"/>
      <c r="I79" s="1549"/>
      <c r="J79" s="1549"/>
      <c r="K79" s="1549"/>
      <c r="L79" s="1549"/>
      <c r="M79" s="1549"/>
      <c r="N79" s="1549"/>
      <c r="O79" s="1549"/>
      <c r="P79" s="1549"/>
      <c r="Q79" s="1550"/>
      <c r="R79" s="1550"/>
      <c r="S79" s="1550"/>
      <c r="T79" s="1186"/>
      <c r="U79" s="233"/>
      <c r="V79" s="216"/>
      <c r="W79" s="218"/>
      <c r="X79" s="218"/>
      <c r="Y79" s="216"/>
      <c r="Z79" s="216"/>
      <c r="AA79" s="252"/>
      <c r="AB79" s="252"/>
      <c r="AC79" s="252"/>
      <c r="AD79" s="253"/>
      <c r="AE79" s="252"/>
      <c r="AF79" s="252"/>
      <c r="AG79" s="252"/>
      <c r="AH79" s="252"/>
      <c r="AI79" s="252"/>
      <c r="AJ79" s="252"/>
      <c r="AK79" s="253"/>
      <c r="AL79" s="252"/>
      <c r="AM79" s="252"/>
      <c r="AN79" s="252"/>
      <c r="AO79" s="252"/>
      <c r="AP79" s="252"/>
      <c r="AQ79" s="252"/>
      <c r="AR79" s="252"/>
      <c r="AS79" s="252"/>
      <c r="AT79" s="252"/>
      <c r="AU79" s="252"/>
      <c r="AV79" s="1025"/>
      <c r="AW79" s="355"/>
      <c r="AX79" s="217"/>
      <c r="AY79" s="305"/>
      <c r="AZ79" s="249"/>
      <c r="BA79" s="216"/>
      <c r="BB79" s="1551"/>
      <c r="BC79" s="221"/>
      <c r="BD79" s="1552"/>
      <c r="BE79" s="1263"/>
      <c r="BF79" s="249"/>
      <c r="BG79" s="252"/>
      <c r="BH79" s="1543"/>
      <c r="BI79" s="1544"/>
      <c r="BJ79" s="1543"/>
      <c r="BK79" s="1545"/>
      <c r="BL79" s="260"/>
      <c r="BM79" s="216"/>
      <c r="BN79" s="1553"/>
      <c r="BO79" s="1553"/>
      <c r="BP79" s="1554"/>
      <c r="BQ79" s="216"/>
      <c r="BR79" s="1026"/>
      <c r="BS79" s="249"/>
      <c r="BT79" s="260"/>
      <c r="BU79" s="1026"/>
      <c r="BV79" s="249"/>
      <c r="BW79" s="260"/>
      <c r="BX79" s="1026"/>
      <c r="BY79" s="249"/>
      <c r="BZ79" s="260"/>
      <c r="CA79" s="1026"/>
      <c r="CB79" s="249"/>
      <c r="CC79" s="260"/>
      <c r="CD79" s="1026"/>
      <c r="CE79" s="1269"/>
      <c r="CF79" s="1270"/>
      <c r="CG79" s="1026"/>
      <c r="CH79" s="249"/>
      <c r="CI79" s="260"/>
      <c r="CJ79" s="1027"/>
      <c r="CK79" s="249"/>
      <c r="CL79" s="260"/>
      <c r="CM79" s="1555"/>
      <c r="CN79" s="249"/>
      <c r="CO79" s="216"/>
      <c r="CP79" s="1029"/>
      <c r="CQ79" s="249"/>
      <c r="CR79" s="216"/>
      <c r="CS79" s="1029"/>
      <c r="CT79" s="249"/>
      <c r="CU79" s="216"/>
      <c r="CV79" s="1027"/>
      <c r="CW79" s="249"/>
      <c r="CX79" s="221"/>
      <c r="CY79" s="1027"/>
      <c r="CZ79" s="249"/>
      <c r="DA79" s="216"/>
      <c r="DB79" s="1027" t="str">
        <f t="shared" si="16"/>
        <v/>
      </c>
      <c r="DC79" s="249"/>
      <c r="DD79" s="2519" t="str">
        <f t="shared" ref="DD79:DD110" si="18">IF(DB79="","",ROUND(IF(W79=1,T_DirAnti,T_DirPost)*$U79,2))</f>
        <v/>
      </c>
      <c r="DE79" s="1027"/>
      <c r="DF79" s="1556"/>
      <c r="DG79" s="1557"/>
      <c r="DH79" s="1027"/>
      <c r="DI79" s="1556"/>
      <c r="DJ79" s="1558"/>
      <c r="DK79" s="1559"/>
      <c r="DL79" s="249"/>
      <c r="DM79" s="221"/>
      <c r="DN79" s="313"/>
      <c r="DO79" s="249"/>
      <c r="DP79" s="216"/>
      <c r="DQ79" s="313"/>
      <c r="DR79" s="249"/>
      <c r="DS79" s="221"/>
      <c r="DT79" s="313"/>
      <c r="DU79" s="249"/>
      <c r="DV79" s="221"/>
      <c r="DW79" s="1560"/>
      <c r="DX79" s="1561"/>
      <c r="DY79" s="1562"/>
      <c r="DZ79" s="350"/>
      <c r="EA79" s="249"/>
      <c r="EB79" s="221"/>
      <c r="EC79" s="313"/>
      <c r="ED79" s="249"/>
      <c r="EE79" s="221"/>
      <c r="EF79" s="313"/>
      <c r="EG79" s="249"/>
      <c r="EH79" s="221"/>
      <c r="EI79" s="313"/>
      <c r="EJ79" s="249"/>
      <c r="EK79" s="216"/>
      <c r="EL79" s="1435"/>
      <c r="EM79" s="1619"/>
      <c r="EN79" s="1268"/>
      <c r="EO79" s="1563"/>
      <c r="EP79" s="1268"/>
      <c r="EQ79" s="1563"/>
      <c r="ER79" s="1268"/>
      <c r="ES79" s="1563"/>
      <c r="ET79" s="1268"/>
      <c r="EU79" s="1682"/>
      <c r="EV79" s="1683"/>
      <c r="EW79" s="1684"/>
      <c r="EX79" s="1685"/>
      <c r="EY79" s="1496"/>
      <c r="EZ79" s="252"/>
      <c r="FA79" s="395"/>
      <c r="FB79" s="223"/>
      <c r="FC79" s="1496"/>
      <c r="FD79" s="252"/>
      <c r="FE79" s="1564"/>
      <c r="FG79" s="256"/>
      <c r="FH79" s="256"/>
      <c r="FI79" s="256"/>
      <c r="FJ79" s="256"/>
      <c r="FK79" s="126"/>
      <c r="FL79" s="126"/>
      <c r="FM79" s="126"/>
      <c r="FN79" s="126"/>
      <c r="FO79" s="957"/>
      <c r="FP79" s="49"/>
      <c r="FR79" s="1566"/>
      <c r="FS79" s="1566"/>
      <c r="FT79" s="1566"/>
      <c r="FU79" s="2879"/>
      <c r="FV79" s="2880"/>
      <c r="FW79" s="2881"/>
      <c r="FX79" s="64"/>
      <c r="FY79" s="64"/>
      <c r="FZ79" s="64"/>
      <c r="GA79" s="64"/>
      <c r="GB79" s="64"/>
      <c r="GC79" s="64"/>
      <c r="GD79" s="64"/>
      <c r="GE79" s="64"/>
      <c r="GF79" s="64"/>
      <c r="GG79" s="64"/>
      <c r="GH79" s="64"/>
      <c r="GI79" s="64"/>
      <c r="GJ79" s="64"/>
      <c r="GK79" s="64"/>
      <c r="GL79" s="64"/>
      <c r="GM79" s="64"/>
      <c r="GN79" s="64"/>
      <c r="GO79" s="64"/>
      <c r="GP79" s="64"/>
      <c r="GQ79" s="64"/>
      <c r="GR79" s="64"/>
      <c r="GS79" s="64"/>
      <c r="GT79" s="64"/>
      <c r="GU79" s="64"/>
      <c r="GV79" s="64"/>
      <c r="GW79" s="64"/>
      <c r="GX79" s="64"/>
      <c r="GY79" s="64"/>
      <c r="GZ79" s="64"/>
      <c r="HA79" s="64"/>
      <c r="HB79" s="64"/>
      <c r="HC79" s="64"/>
      <c r="HD79" s="64"/>
      <c r="HE79" s="64"/>
      <c r="HF79" s="64"/>
      <c r="HG79" s="64"/>
      <c r="HH79" s="64"/>
      <c r="HI79" s="64"/>
      <c r="HJ79" s="64"/>
      <c r="HK79" s="64"/>
      <c r="HL79" s="64"/>
      <c r="HM79" s="64"/>
      <c r="HN79" s="64"/>
      <c r="HO79" s="64"/>
      <c r="HP79" s="64"/>
      <c r="HQ79" s="64"/>
      <c r="HR79" s="64"/>
      <c r="HS79" s="64"/>
      <c r="HT79" s="64"/>
      <c r="HU79" s="64"/>
      <c r="HV79" s="64"/>
      <c r="HW79" s="64"/>
      <c r="HX79" s="64"/>
      <c r="HY79" s="64"/>
      <c r="HZ79" s="64"/>
      <c r="IA79" s="64"/>
      <c r="IB79" s="64"/>
      <c r="IC79" s="64"/>
      <c r="ID79" s="64"/>
      <c r="IE79" s="64"/>
      <c r="IF79" s="64"/>
      <c r="IG79" s="64"/>
      <c r="IH79" s="64"/>
      <c r="II79" s="64"/>
      <c r="IJ79" s="64"/>
      <c r="IK79" s="64"/>
      <c r="IL79" s="64"/>
      <c r="IM79" s="64"/>
      <c r="IN79" s="64"/>
      <c r="IO79" s="64"/>
      <c r="IP79" s="64"/>
      <c r="IQ79" s="64"/>
      <c r="IR79" s="64"/>
      <c r="IS79" s="64"/>
      <c r="IT79" s="64"/>
      <c r="IU79" s="64"/>
    </row>
    <row r="80" spans="1:255" s="1565" customFormat="1" ht="13.5" customHeight="1">
      <c r="A80" s="1023"/>
      <c r="B80" s="1023"/>
      <c r="C80" s="1023"/>
      <c r="D80" s="1549"/>
      <c r="E80" s="1549"/>
      <c r="F80" s="1549"/>
      <c r="G80" s="1549"/>
      <c r="H80" s="1549"/>
      <c r="I80" s="1549"/>
      <c r="J80" s="1549"/>
      <c r="K80" s="1549"/>
      <c r="L80" s="1549"/>
      <c r="M80" s="1549"/>
      <c r="N80" s="1549"/>
      <c r="O80" s="1549"/>
      <c r="P80" s="1549"/>
      <c r="Q80" s="1550"/>
      <c r="R80" s="1550"/>
      <c r="S80" s="1550"/>
      <c r="T80" s="1186"/>
      <c r="U80" s="233"/>
      <c r="V80" s="216"/>
      <c r="W80" s="218"/>
      <c r="X80" s="218"/>
      <c r="Y80" s="216"/>
      <c r="Z80" s="216"/>
      <c r="AA80" s="252"/>
      <c r="AB80" s="252"/>
      <c r="AC80" s="252"/>
      <c r="AD80" s="253"/>
      <c r="AE80" s="252"/>
      <c r="AF80" s="252"/>
      <c r="AG80" s="252"/>
      <c r="AH80" s="252"/>
      <c r="AI80" s="252"/>
      <c r="AJ80" s="252"/>
      <c r="AK80" s="253"/>
      <c r="AL80" s="252"/>
      <c r="AM80" s="252"/>
      <c r="AN80" s="252"/>
      <c r="AO80" s="252"/>
      <c r="AP80" s="252"/>
      <c r="AQ80" s="252"/>
      <c r="AR80" s="252"/>
      <c r="AS80" s="252"/>
      <c r="AT80" s="252"/>
      <c r="AU80" s="252"/>
      <c r="AV80" s="1025"/>
      <c r="AW80" s="355"/>
      <c r="AX80" s="217"/>
      <c r="AY80" s="305"/>
      <c r="AZ80" s="249"/>
      <c r="BA80" s="216"/>
      <c r="BB80" s="1551"/>
      <c r="BC80" s="221"/>
      <c r="BD80" s="1552"/>
      <c r="BE80" s="1263"/>
      <c r="BF80" s="249"/>
      <c r="BG80" s="252"/>
      <c r="BH80" s="1543"/>
      <c r="BI80" s="1544"/>
      <c r="BJ80" s="1543"/>
      <c r="BK80" s="1545"/>
      <c r="BL80" s="260"/>
      <c r="BM80" s="216"/>
      <c r="BN80" s="1553"/>
      <c r="BO80" s="1553"/>
      <c r="BP80" s="1554"/>
      <c r="BQ80" s="216"/>
      <c r="BR80" s="1026"/>
      <c r="BS80" s="249"/>
      <c r="BT80" s="260"/>
      <c r="BU80" s="1026"/>
      <c r="BV80" s="249"/>
      <c r="BW80" s="260"/>
      <c r="BX80" s="1026"/>
      <c r="BY80" s="249"/>
      <c r="BZ80" s="260"/>
      <c r="CA80" s="1026"/>
      <c r="CB80" s="249"/>
      <c r="CC80" s="260"/>
      <c r="CD80" s="1026"/>
      <c r="CE80" s="1269"/>
      <c r="CF80" s="1270"/>
      <c r="CG80" s="1026"/>
      <c r="CH80" s="249"/>
      <c r="CI80" s="260"/>
      <c r="CJ80" s="1027"/>
      <c r="CK80" s="249"/>
      <c r="CL80" s="260"/>
      <c r="CM80" s="1555"/>
      <c r="CN80" s="249"/>
      <c r="CO80" s="216"/>
      <c r="CP80" s="1029"/>
      <c r="CQ80" s="249"/>
      <c r="CR80" s="216"/>
      <c r="CS80" s="1029"/>
      <c r="CT80" s="249"/>
      <c r="CU80" s="216"/>
      <c r="CV80" s="1027"/>
      <c r="CW80" s="249"/>
      <c r="CX80" s="221"/>
      <c r="CY80" s="1027"/>
      <c r="CZ80" s="249"/>
      <c r="DA80" s="216"/>
      <c r="DB80" s="1027" t="str">
        <f t="shared" si="16"/>
        <v/>
      </c>
      <c r="DC80" s="249"/>
      <c r="DD80" s="2519" t="str">
        <f t="shared" si="18"/>
        <v/>
      </c>
      <c r="DE80" s="1027"/>
      <c r="DF80" s="1556"/>
      <c r="DG80" s="1557"/>
      <c r="DH80" s="1027"/>
      <c r="DI80" s="1556"/>
      <c r="DJ80" s="1558"/>
      <c r="DK80" s="1559"/>
      <c r="DL80" s="249"/>
      <c r="DM80" s="221"/>
      <c r="DN80" s="313"/>
      <c r="DO80" s="249"/>
      <c r="DP80" s="216"/>
      <c r="DQ80" s="313"/>
      <c r="DR80" s="249"/>
      <c r="DS80" s="221"/>
      <c r="DT80" s="313"/>
      <c r="DU80" s="249"/>
      <c r="DV80" s="221"/>
      <c r="DW80" s="1560"/>
      <c r="DX80" s="1561"/>
      <c r="DY80" s="1562"/>
      <c r="DZ80" s="350"/>
      <c r="EA80" s="249"/>
      <c r="EB80" s="221"/>
      <c r="EC80" s="313"/>
      <c r="ED80" s="249"/>
      <c r="EE80" s="221"/>
      <c r="EF80" s="313"/>
      <c r="EG80" s="249"/>
      <c r="EH80" s="221"/>
      <c r="EI80" s="313"/>
      <c r="EJ80" s="249"/>
      <c r="EK80" s="216"/>
      <c r="EL80" s="1435"/>
      <c r="EM80" s="1619"/>
      <c r="EN80" s="1268"/>
      <c r="EO80" s="1563"/>
      <c r="EP80" s="1268"/>
      <c r="EQ80" s="1563"/>
      <c r="ER80" s="1268"/>
      <c r="ES80" s="1563"/>
      <c r="ET80" s="1268"/>
      <c r="EU80" s="1682"/>
      <c r="EV80" s="1683"/>
      <c r="EW80" s="1684"/>
      <c r="EX80" s="1685"/>
      <c r="EY80" s="1496"/>
      <c r="EZ80" s="252"/>
      <c r="FA80" s="395"/>
      <c r="FB80" s="223"/>
      <c r="FC80" s="1496"/>
      <c r="FD80" s="252"/>
      <c r="FE80" s="1564"/>
      <c r="FG80" s="256"/>
      <c r="FH80" s="256"/>
      <c r="FI80" s="256"/>
      <c r="FJ80" s="256"/>
      <c r="FK80" s="126"/>
      <c r="FL80" s="126"/>
      <c r="FM80" s="126"/>
      <c r="FN80" s="126"/>
      <c r="FO80" s="957"/>
      <c r="FP80" s="49"/>
      <c r="FR80" s="1566"/>
      <c r="FS80" s="1566"/>
      <c r="FT80" s="1566"/>
      <c r="FU80" s="2879"/>
      <c r="FV80" s="2880"/>
      <c r="FW80" s="2881"/>
      <c r="FX80" s="64"/>
      <c r="FY80" s="64"/>
      <c r="FZ80" s="64"/>
      <c r="GA80" s="64"/>
      <c r="GB80" s="64"/>
      <c r="GC80" s="64"/>
      <c r="GD80" s="64"/>
      <c r="GE80" s="64"/>
      <c r="GF80" s="64"/>
      <c r="GG80" s="64"/>
      <c r="GH80" s="64"/>
      <c r="GI80" s="64"/>
      <c r="GJ80" s="64"/>
      <c r="GK80" s="64"/>
      <c r="GL80" s="64"/>
      <c r="GM80" s="64"/>
      <c r="GN80" s="64"/>
      <c r="GO80" s="64"/>
      <c r="GP80" s="64"/>
      <c r="GQ80" s="64"/>
      <c r="GR80" s="64"/>
      <c r="GS80" s="64"/>
      <c r="GT80" s="64"/>
      <c r="GU80" s="64"/>
      <c r="GV80" s="64"/>
      <c r="GW80" s="64"/>
      <c r="GX80" s="64"/>
      <c r="GY80" s="64"/>
      <c r="GZ80" s="64"/>
      <c r="HA80" s="64"/>
      <c r="HB80" s="64"/>
      <c r="HC80" s="64"/>
      <c r="HD80" s="64"/>
      <c r="HE80" s="64"/>
      <c r="HF80" s="64"/>
      <c r="HG80" s="64"/>
      <c r="HH80" s="64"/>
      <c r="HI80" s="64"/>
      <c r="HJ80" s="64"/>
      <c r="HK80" s="64"/>
      <c r="HL80" s="64"/>
      <c r="HM80" s="64"/>
      <c r="HN80" s="64"/>
      <c r="HO80" s="64"/>
      <c r="HP80" s="64"/>
      <c r="HQ80" s="64"/>
      <c r="HR80" s="64"/>
      <c r="HS80" s="64"/>
      <c r="HT80" s="64"/>
      <c r="HU80" s="64"/>
      <c r="HV80" s="64"/>
      <c r="HW80" s="64"/>
      <c r="HX80" s="64"/>
      <c r="HY80" s="64"/>
      <c r="HZ80" s="64"/>
      <c r="IA80" s="64"/>
      <c r="IB80" s="64"/>
      <c r="IC80" s="64"/>
      <c r="ID80" s="64"/>
      <c r="IE80" s="64"/>
      <c r="IF80" s="64"/>
      <c r="IG80" s="64"/>
      <c r="IH80" s="64"/>
      <c r="II80" s="64"/>
      <c r="IJ80" s="64"/>
      <c r="IK80" s="64"/>
      <c r="IL80" s="64"/>
      <c r="IM80" s="64"/>
      <c r="IN80" s="64"/>
      <c r="IO80" s="64"/>
      <c r="IP80" s="64"/>
      <c r="IQ80" s="64"/>
      <c r="IR80" s="64"/>
      <c r="IS80" s="64"/>
      <c r="IT80" s="64"/>
      <c r="IU80" s="64"/>
    </row>
    <row r="81" spans="1:255" s="1565" customFormat="1" ht="13.5" customHeight="1">
      <c r="A81" s="1023"/>
      <c r="B81" s="1023"/>
      <c r="C81" s="1023"/>
      <c r="D81" s="1549"/>
      <c r="E81" s="1549"/>
      <c r="F81" s="1549"/>
      <c r="G81" s="1549"/>
      <c r="H81" s="1549"/>
      <c r="I81" s="1549"/>
      <c r="J81" s="1549"/>
      <c r="K81" s="1549"/>
      <c r="L81" s="1549"/>
      <c r="M81" s="1549"/>
      <c r="N81" s="1549"/>
      <c r="O81" s="1549"/>
      <c r="P81" s="1549"/>
      <c r="Q81" s="1550"/>
      <c r="R81" s="1550"/>
      <c r="S81" s="1550"/>
      <c r="T81" s="1186"/>
      <c r="U81" s="233"/>
      <c r="V81" s="216"/>
      <c r="W81" s="218"/>
      <c r="X81" s="218"/>
      <c r="Y81" s="216"/>
      <c r="Z81" s="216"/>
      <c r="AA81" s="252"/>
      <c r="AB81" s="252"/>
      <c r="AC81" s="252"/>
      <c r="AD81" s="253"/>
      <c r="AE81" s="252"/>
      <c r="AF81" s="252"/>
      <c r="AG81" s="252"/>
      <c r="AH81" s="252"/>
      <c r="AI81" s="252"/>
      <c r="AJ81" s="252"/>
      <c r="AK81" s="253"/>
      <c r="AL81" s="252"/>
      <c r="AM81" s="252"/>
      <c r="AN81" s="252"/>
      <c r="AO81" s="252"/>
      <c r="AP81" s="252"/>
      <c r="AQ81" s="252"/>
      <c r="AR81" s="252"/>
      <c r="AS81" s="252"/>
      <c r="AT81" s="252"/>
      <c r="AU81" s="252"/>
      <c r="AV81" s="1025"/>
      <c r="AW81" s="355"/>
      <c r="AX81" s="217"/>
      <c r="AY81" s="305"/>
      <c r="AZ81" s="249"/>
      <c r="BA81" s="216"/>
      <c r="BB81" s="1551"/>
      <c r="BC81" s="221"/>
      <c r="BD81" s="1552"/>
      <c r="BE81" s="1263"/>
      <c r="BF81" s="249"/>
      <c r="BG81" s="252"/>
      <c r="BH81" s="1543"/>
      <c r="BI81" s="1544"/>
      <c r="BJ81" s="1543"/>
      <c r="BK81" s="1545"/>
      <c r="BL81" s="260"/>
      <c r="BM81" s="216"/>
      <c r="BN81" s="1553"/>
      <c r="BO81" s="1553"/>
      <c r="BP81" s="1554"/>
      <c r="BQ81" s="216"/>
      <c r="BR81" s="1026"/>
      <c r="BS81" s="249"/>
      <c r="BT81" s="260"/>
      <c r="BU81" s="1026"/>
      <c r="BV81" s="249"/>
      <c r="BW81" s="260"/>
      <c r="BX81" s="1026"/>
      <c r="BY81" s="249"/>
      <c r="BZ81" s="260"/>
      <c r="CA81" s="1026"/>
      <c r="CB81" s="249"/>
      <c r="CC81" s="260"/>
      <c r="CD81" s="1026"/>
      <c r="CE81" s="1269"/>
      <c r="CF81" s="1270"/>
      <c r="CG81" s="1026"/>
      <c r="CH81" s="249"/>
      <c r="CI81" s="260"/>
      <c r="CJ81" s="1027"/>
      <c r="CK81" s="249"/>
      <c r="CL81" s="260"/>
      <c r="CM81" s="1555"/>
      <c r="CN81" s="249"/>
      <c r="CO81" s="216"/>
      <c r="CP81" s="1029"/>
      <c r="CQ81" s="249"/>
      <c r="CR81" s="216"/>
      <c r="CS81" s="1029"/>
      <c r="CT81" s="249"/>
      <c r="CU81" s="216"/>
      <c r="CV81" s="1027"/>
      <c r="CW81" s="249"/>
      <c r="CX81" s="221"/>
      <c r="CY81" s="1027"/>
      <c r="CZ81" s="249"/>
      <c r="DA81" s="216"/>
      <c r="DB81" s="1027" t="str">
        <f t="shared" si="16"/>
        <v/>
      </c>
      <c r="DC81" s="249"/>
      <c r="DD81" s="2519" t="str">
        <f t="shared" si="18"/>
        <v/>
      </c>
      <c r="DE81" s="1027"/>
      <c r="DF81" s="1556"/>
      <c r="DG81" s="1557"/>
      <c r="DH81" s="1027"/>
      <c r="DI81" s="1556"/>
      <c r="DJ81" s="1558"/>
      <c r="DK81" s="1559"/>
      <c r="DL81" s="249"/>
      <c r="DM81" s="221"/>
      <c r="DN81" s="313"/>
      <c r="DO81" s="249"/>
      <c r="DP81" s="216"/>
      <c r="DQ81" s="313"/>
      <c r="DR81" s="249"/>
      <c r="DS81" s="221"/>
      <c r="DT81" s="313"/>
      <c r="DU81" s="249"/>
      <c r="DV81" s="221"/>
      <c r="DW81" s="1560"/>
      <c r="DX81" s="1561"/>
      <c r="DY81" s="1562"/>
      <c r="DZ81" s="350"/>
      <c r="EA81" s="249"/>
      <c r="EB81" s="221"/>
      <c r="EC81" s="313"/>
      <c r="ED81" s="249"/>
      <c r="EE81" s="221"/>
      <c r="EF81" s="313"/>
      <c r="EG81" s="249"/>
      <c r="EH81" s="221"/>
      <c r="EI81" s="313"/>
      <c r="EJ81" s="249"/>
      <c r="EK81" s="216"/>
      <c r="EL81" s="1435"/>
      <c r="EM81" s="1619"/>
      <c r="EN81" s="1268"/>
      <c r="EO81" s="1563"/>
      <c r="EP81" s="1268"/>
      <c r="EQ81" s="1563"/>
      <c r="ER81" s="1268"/>
      <c r="ES81" s="1563"/>
      <c r="ET81" s="1268"/>
      <c r="EU81" s="1682"/>
      <c r="EV81" s="1683"/>
      <c r="EW81" s="1684"/>
      <c r="EX81" s="1685"/>
      <c r="EY81" s="1496"/>
      <c r="EZ81" s="252"/>
      <c r="FA81" s="395"/>
      <c r="FB81" s="223"/>
      <c r="FC81" s="1496"/>
      <c r="FD81" s="252"/>
      <c r="FE81" s="1564"/>
      <c r="FG81" s="256"/>
      <c r="FH81" s="256"/>
      <c r="FI81" s="256"/>
      <c r="FJ81" s="256"/>
      <c r="FK81" s="126"/>
      <c r="FL81" s="126"/>
      <c r="FM81" s="126"/>
      <c r="FN81" s="126"/>
      <c r="FO81" s="957"/>
      <c r="FP81" s="49"/>
      <c r="FR81" s="1566"/>
      <c r="FS81" s="1566"/>
      <c r="FT81" s="1566"/>
      <c r="FU81" s="2879"/>
      <c r="FV81" s="2880"/>
      <c r="FW81" s="2881"/>
      <c r="FX81" s="64"/>
      <c r="FY81" s="64"/>
      <c r="FZ81" s="64"/>
      <c r="GA81" s="64"/>
      <c r="GB81" s="64"/>
      <c r="GC81" s="64"/>
      <c r="GD81" s="64"/>
      <c r="GE81" s="64"/>
      <c r="GF81" s="64"/>
      <c r="GG81" s="64"/>
      <c r="GH81" s="64"/>
      <c r="GI81" s="64"/>
      <c r="GJ81" s="64"/>
      <c r="GK81" s="64"/>
      <c r="GL81" s="64"/>
      <c r="GM81" s="64"/>
      <c r="GN81" s="64"/>
      <c r="GO81" s="64"/>
      <c r="GP81" s="64"/>
      <c r="GQ81" s="64"/>
      <c r="GR81" s="64"/>
      <c r="GS81" s="64"/>
      <c r="GT81" s="64"/>
      <c r="GU81" s="64"/>
      <c r="GV81" s="64"/>
      <c r="GW81" s="64"/>
      <c r="GX81" s="64"/>
      <c r="GY81" s="64"/>
      <c r="GZ81" s="64"/>
      <c r="HA81" s="64"/>
      <c r="HB81" s="64"/>
      <c r="HC81" s="64"/>
      <c r="HD81" s="64"/>
      <c r="HE81" s="64"/>
      <c r="HF81" s="64"/>
      <c r="HG81" s="64"/>
      <c r="HH81" s="64"/>
      <c r="HI81" s="64"/>
      <c r="HJ81" s="64"/>
      <c r="HK81" s="64"/>
      <c r="HL81" s="64"/>
      <c r="HM81" s="64"/>
      <c r="HN81" s="64"/>
      <c r="HO81" s="64"/>
      <c r="HP81" s="64"/>
      <c r="HQ81" s="64"/>
      <c r="HR81" s="64"/>
      <c r="HS81" s="64"/>
      <c r="HT81" s="64"/>
      <c r="HU81" s="64"/>
      <c r="HV81" s="64"/>
      <c r="HW81" s="64"/>
      <c r="HX81" s="64"/>
      <c r="HY81" s="64"/>
      <c r="HZ81" s="64"/>
      <c r="IA81" s="64"/>
      <c r="IB81" s="64"/>
      <c r="IC81" s="64"/>
      <c r="ID81" s="64"/>
      <c r="IE81" s="64"/>
      <c r="IF81" s="64"/>
      <c r="IG81" s="64"/>
      <c r="IH81" s="64"/>
      <c r="II81" s="64"/>
      <c r="IJ81" s="64"/>
      <c r="IK81" s="64"/>
      <c r="IL81" s="64"/>
      <c r="IM81" s="64"/>
      <c r="IN81" s="64"/>
      <c r="IO81" s="64"/>
      <c r="IP81" s="64"/>
      <c r="IQ81" s="64"/>
      <c r="IR81" s="64"/>
      <c r="IS81" s="64"/>
      <c r="IT81" s="64"/>
      <c r="IU81" s="64"/>
    </row>
    <row r="82" spans="1:255" s="1565" customFormat="1" ht="13.5" customHeight="1">
      <c r="A82" s="1023"/>
      <c r="B82" s="1023"/>
      <c r="C82" s="1023"/>
      <c r="D82" s="1549"/>
      <c r="E82" s="1549"/>
      <c r="F82" s="1549"/>
      <c r="G82" s="1549"/>
      <c r="H82" s="1549"/>
      <c r="I82" s="1549"/>
      <c r="J82" s="1549"/>
      <c r="K82" s="1549"/>
      <c r="L82" s="1549"/>
      <c r="M82" s="1549"/>
      <c r="N82" s="1549"/>
      <c r="O82" s="1549"/>
      <c r="P82" s="1549"/>
      <c r="Q82" s="1550"/>
      <c r="R82" s="1550"/>
      <c r="S82" s="1550"/>
      <c r="T82" s="1186"/>
      <c r="U82" s="233"/>
      <c r="V82" s="216"/>
      <c r="W82" s="218"/>
      <c r="X82" s="218"/>
      <c r="Y82" s="216"/>
      <c r="Z82" s="216"/>
      <c r="AA82" s="252"/>
      <c r="AB82" s="252"/>
      <c r="AC82" s="252"/>
      <c r="AD82" s="253"/>
      <c r="AE82" s="252"/>
      <c r="AF82" s="252"/>
      <c r="AG82" s="252"/>
      <c r="AH82" s="252"/>
      <c r="AI82" s="252"/>
      <c r="AJ82" s="252"/>
      <c r="AK82" s="253"/>
      <c r="AL82" s="252"/>
      <c r="AM82" s="252"/>
      <c r="AN82" s="252"/>
      <c r="AO82" s="252"/>
      <c r="AP82" s="252"/>
      <c r="AQ82" s="252"/>
      <c r="AR82" s="252"/>
      <c r="AS82" s="252"/>
      <c r="AT82" s="252"/>
      <c r="AU82" s="252"/>
      <c r="AV82" s="1025"/>
      <c r="AW82" s="355"/>
      <c r="AX82" s="217"/>
      <c r="AY82" s="305"/>
      <c r="AZ82" s="249"/>
      <c r="BA82" s="216"/>
      <c r="BB82" s="1551"/>
      <c r="BC82" s="221"/>
      <c r="BD82" s="1552"/>
      <c r="BE82" s="1263"/>
      <c r="BF82" s="249"/>
      <c r="BG82" s="252"/>
      <c r="BH82" s="1543"/>
      <c r="BI82" s="1544"/>
      <c r="BJ82" s="1543"/>
      <c r="BK82" s="1545"/>
      <c r="BL82" s="260"/>
      <c r="BM82" s="216"/>
      <c r="BN82" s="1553"/>
      <c r="BO82" s="1553"/>
      <c r="BP82" s="1554"/>
      <c r="BQ82" s="216"/>
      <c r="BR82" s="1026"/>
      <c r="BS82" s="249"/>
      <c r="BT82" s="260"/>
      <c r="BU82" s="1026"/>
      <c r="BV82" s="249"/>
      <c r="BW82" s="260"/>
      <c r="BX82" s="1026"/>
      <c r="BY82" s="249"/>
      <c r="BZ82" s="260"/>
      <c r="CA82" s="1026"/>
      <c r="CB82" s="249"/>
      <c r="CC82" s="260"/>
      <c r="CD82" s="1026"/>
      <c r="CE82" s="1269"/>
      <c r="CF82" s="1270"/>
      <c r="CG82" s="1026"/>
      <c r="CH82" s="249"/>
      <c r="CI82" s="260"/>
      <c r="CJ82" s="1027"/>
      <c r="CK82" s="249"/>
      <c r="CL82" s="260"/>
      <c r="CM82" s="1555"/>
      <c r="CN82" s="249"/>
      <c r="CO82" s="216"/>
      <c r="CP82" s="1029"/>
      <c r="CQ82" s="249"/>
      <c r="CR82" s="216"/>
      <c r="CS82" s="1029"/>
      <c r="CT82" s="249"/>
      <c r="CU82" s="216"/>
      <c r="CV82" s="1027"/>
      <c r="CW82" s="249"/>
      <c r="CX82" s="221"/>
      <c r="CY82" s="1027"/>
      <c r="CZ82" s="249"/>
      <c r="DA82" s="216"/>
      <c r="DB82" s="1027" t="str">
        <f t="shared" ref="DB82:DB113" si="19">IF(OR(FT82=0,FG82=""),"",IF(VLOOKUP(F82,Zk_PrestAll,62,0)=0,"",VLOOKUP(F82,Zk_PrestAll,62,0)))</f>
        <v/>
      </c>
      <c r="DC82" s="249"/>
      <c r="DD82" s="2519" t="str">
        <f t="shared" si="18"/>
        <v/>
      </c>
      <c r="DE82" s="1027"/>
      <c r="DF82" s="1556"/>
      <c r="DG82" s="1557"/>
      <c r="DH82" s="1027"/>
      <c r="DI82" s="1556"/>
      <c r="DJ82" s="1558"/>
      <c r="DK82" s="1559"/>
      <c r="DL82" s="249"/>
      <c r="DM82" s="221"/>
      <c r="DN82" s="313"/>
      <c r="DO82" s="249"/>
      <c r="DP82" s="216"/>
      <c r="DQ82" s="313"/>
      <c r="DR82" s="249"/>
      <c r="DS82" s="221"/>
      <c r="DT82" s="313"/>
      <c r="DU82" s="249"/>
      <c r="DV82" s="221"/>
      <c r="DW82" s="1560"/>
      <c r="DX82" s="1561"/>
      <c r="DY82" s="1562"/>
      <c r="DZ82" s="350"/>
      <c r="EA82" s="249"/>
      <c r="EB82" s="221"/>
      <c r="EC82" s="313"/>
      <c r="ED82" s="249"/>
      <c r="EE82" s="221"/>
      <c r="EF82" s="313"/>
      <c r="EG82" s="249"/>
      <c r="EH82" s="221"/>
      <c r="EI82" s="313"/>
      <c r="EJ82" s="249"/>
      <c r="EK82" s="216"/>
      <c r="EL82" s="1435"/>
      <c r="EM82" s="1619"/>
      <c r="EN82" s="1268"/>
      <c r="EO82" s="1563"/>
      <c r="EP82" s="1268"/>
      <c r="EQ82" s="1563"/>
      <c r="ER82" s="1268"/>
      <c r="ES82" s="1563"/>
      <c r="ET82" s="1268"/>
      <c r="EU82" s="1682"/>
      <c r="EV82" s="1683"/>
      <c r="EW82" s="1684"/>
      <c r="EX82" s="1685"/>
      <c r="EY82" s="1496"/>
      <c r="EZ82" s="252"/>
      <c r="FA82" s="395"/>
      <c r="FB82" s="223"/>
      <c r="FC82" s="1496"/>
      <c r="FD82" s="252"/>
      <c r="FE82" s="1564"/>
      <c r="FG82" s="256"/>
      <c r="FH82" s="256"/>
      <c r="FI82" s="256"/>
      <c r="FJ82" s="256"/>
      <c r="FK82" s="126"/>
      <c r="FL82" s="126"/>
      <c r="FM82" s="126"/>
      <c r="FN82" s="126"/>
      <c r="FO82" s="957"/>
      <c r="FP82" s="49"/>
      <c r="FR82" s="1566"/>
      <c r="FS82" s="1566"/>
      <c r="FT82" s="1566"/>
      <c r="FU82" s="2879"/>
      <c r="FV82" s="2880"/>
      <c r="FW82" s="2881"/>
      <c r="FX82" s="64"/>
      <c r="FY82" s="64"/>
      <c r="FZ82" s="64"/>
      <c r="GA82" s="64"/>
      <c r="GB82" s="64"/>
      <c r="GC82" s="64"/>
      <c r="GD82" s="64"/>
      <c r="GE82" s="64"/>
      <c r="GF82" s="64"/>
      <c r="GG82" s="64"/>
      <c r="GH82" s="64"/>
      <c r="GI82" s="64"/>
      <c r="GJ82" s="64"/>
      <c r="GK82" s="64"/>
      <c r="GL82" s="64"/>
      <c r="GM82" s="64"/>
      <c r="GN82" s="64"/>
      <c r="GO82" s="64"/>
      <c r="GP82" s="64"/>
      <c r="GQ82" s="64"/>
      <c r="GR82" s="64"/>
      <c r="GS82" s="64"/>
      <c r="GT82" s="64"/>
      <c r="GU82" s="64"/>
      <c r="GV82" s="64"/>
      <c r="GW82" s="64"/>
      <c r="GX82" s="64"/>
      <c r="GY82" s="64"/>
      <c r="GZ82" s="64"/>
      <c r="HA82" s="64"/>
      <c r="HB82" s="64"/>
      <c r="HC82" s="64"/>
      <c r="HD82" s="64"/>
      <c r="HE82" s="64"/>
      <c r="HF82" s="64"/>
      <c r="HG82" s="64"/>
      <c r="HH82" s="64"/>
      <c r="HI82" s="64"/>
      <c r="HJ82" s="64"/>
      <c r="HK82" s="64"/>
      <c r="HL82" s="64"/>
      <c r="HM82" s="64"/>
      <c r="HN82" s="64"/>
      <c r="HO82" s="64"/>
      <c r="HP82" s="64"/>
      <c r="HQ82" s="64"/>
      <c r="HR82" s="64"/>
      <c r="HS82" s="64"/>
      <c r="HT82" s="64"/>
      <c r="HU82" s="64"/>
      <c r="HV82" s="64"/>
      <c r="HW82" s="64"/>
      <c r="HX82" s="64"/>
      <c r="HY82" s="64"/>
      <c r="HZ82" s="64"/>
      <c r="IA82" s="64"/>
      <c r="IB82" s="64"/>
      <c r="IC82" s="64"/>
      <c r="ID82" s="64"/>
      <c r="IE82" s="64"/>
      <c r="IF82" s="64"/>
      <c r="IG82" s="64"/>
      <c r="IH82" s="64"/>
      <c r="II82" s="64"/>
      <c r="IJ82" s="64"/>
      <c r="IK82" s="64"/>
      <c r="IL82" s="64"/>
      <c r="IM82" s="64"/>
      <c r="IN82" s="64"/>
      <c r="IO82" s="64"/>
      <c r="IP82" s="64"/>
      <c r="IQ82" s="64"/>
      <c r="IR82" s="64"/>
      <c r="IS82" s="64"/>
      <c r="IT82" s="64"/>
      <c r="IU82" s="64"/>
    </row>
    <row r="83" spans="1:255" s="1565" customFormat="1" ht="13.5" customHeight="1">
      <c r="A83" s="1023"/>
      <c r="B83" s="1023"/>
      <c r="C83" s="1023"/>
      <c r="D83" s="1549"/>
      <c r="E83" s="1549"/>
      <c r="F83" s="1549"/>
      <c r="G83" s="1549"/>
      <c r="H83" s="1549"/>
      <c r="I83" s="1549"/>
      <c r="J83" s="1549"/>
      <c r="K83" s="1549"/>
      <c r="L83" s="1549"/>
      <c r="M83" s="1549"/>
      <c r="N83" s="1549"/>
      <c r="O83" s="1549"/>
      <c r="P83" s="1549"/>
      <c r="Q83" s="1550"/>
      <c r="R83" s="1550"/>
      <c r="S83" s="1550"/>
      <c r="T83" s="1186"/>
      <c r="U83" s="233"/>
      <c r="V83" s="216"/>
      <c r="W83" s="218"/>
      <c r="X83" s="218"/>
      <c r="Y83" s="216"/>
      <c r="Z83" s="216"/>
      <c r="AA83" s="252"/>
      <c r="AB83" s="252"/>
      <c r="AC83" s="252"/>
      <c r="AD83" s="253"/>
      <c r="AE83" s="252"/>
      <c r="AF83" s="252"/>
      <c r="AG83" s="252"/>
      <c r="AH83" s="252"/>
      <c r="AI83" s="252"/>
      <c r="AJ83" s="252"/>
      <c r="AK83" s="253"/>
      <c r="AL83" s="252"/>
      <c r="AM83" s="252"/>
      <c r="AN83" s="252"/>
      <c r="AO83" s="252"/>
      <c r="AP83" s="252"/>
      <c r="AQ83" s="252"/>
      <c r="AR83" s="252"/>
      <c r="AS83" s="252"/>
      <c r="AT83" s="252"/>
      <c r="AU83" s="252"/>
      <c r="AV83" s="1025"/>
      <c r="AW83" s="355"/>
      <c r="AX83" s="217"/>
      <c r="AY83" s="305"/>
      <c r="AZ83" s="249"/>
      <c r="BA83" s="216"/>
      <c r="BB83" s="1551"/>
      <c r="BC83" s="221"/>
      <c r="BD83" s="1552"/>
      <c r="BE83" s="1263"/>
      <c r="BF83" s="249"/>
      <c r="BG83" s="252"/>
      <c r="BH83" s="1543"/>
      <c r="BI83" s="1544"/>
      <c r="BJ83" s="1543"/>
      <c r="BK83" s="1545"/>
      <c r="BL83" s="260"/>
      <c r="BM83" s="216"/>
      <c r="BN83" s="1553"/>
      <c r="BO83" s="1553"/>
      <c r="BP83" s="1554"/>
      <c r="BQ83" s="216"/>
      <c r="BR83" s="1026"/>
      <c r="BS83" s="249"/>
      <c r="BT83" s="260"/>
      <c r="BU83" s="1026"/>
      <c r="BV83" s="249"/>
      <c r="BW83" s="260"/>
      <c r="BX83" s="1026"/>
      <c r="BY83" s="249"/>
      <c r="BZ83" s="260"/>
      <c r="CA83" s="1026"/>
      <c r="CB83" s="249"/>
      <c r="CC83" s="260"/>
      <c r="CD83" s="1026"/>
      <c r="CE83" s="1269"/>
      <c r="CF83" s="1270"/>
      <c r="CG83" s="1026"/>
      <c r="CH83" s="249"/>
      <c r="CI83" s="260"/>
      <c r="CJ83" s="1027"/>
      <c r="CK83" s="249"/>
      <c r="CL83" s="260"/>
      <c r="CM83" s="1555"/>
      <c r="CN83" s="249"/>
      <c r="CO83" s="216"/>
      <c r="CP83" s="1029"/>
      <c r="CQ83" s="249"/>
      <c r="CR83" s="216"/>
      <c r="CS83" s="1029"/>
      <c r="CT83" s="249"/>
      <c r="CU83" s="216"/>
      <c r="CV83" s="1027"/>
      <c r="CW83" s="249"/>
      <c r="CX83" s="221"/>
      <c r="CY83" s="1027"/>
      <c r="CZ83" s="249"/>
      <c r="DA83" s="216"/>
      <c r="DB83" s="1027" t="str">
        <f t="shared" si="19"/>
        <v/>
      </c>
      <c r="DC83" s="249"/>
      <c r="DD83" s="2519" t="str">
        <f t="shared" si="18"/>
        <v/>
      </c>
      <c r="DE83" s="1027"/>
      <c r="DF83" s="1556"/>
      <c r="DG83" s="1557"/>
      <c r="DH83" s="1027"/>
      <c r="DI83" s="1556"/>
      <c r="DJ83" s="1558"/>
      <c r="DK83" s="1559"/>
      <c r="DL83" s="249"/>
      <c r="DM83" s="221"/>
      <c r="DN83" s="313"/>
      <c r="DO83" s="249"/>
      <c r="DP83" s="216"/>
      <c r="DQ83" s="313"/>
      <c r="DR83" s="249"/>
      <c r="DS83" s="221"/>
      <c r="DT83" s="313"/>
      <c r="DU83" s="249"/>
      <c r="DV83" s="221"/>
      <c r="DW83" s="1560"/>
      <c r="DX83" s="1561"/>
      <c r="DY83" s="1562"/>
      <c r="DZ83" s="350"/>
      <c r="EA83" s="249"/>
      <c r="EB83" s="221"/>
      <c r="EC83" s="313"/>
      <c r="ED83" s="249"/>
      <c r="EE83" s="221"/>
      <c r="EF83" s="313"/>
      <c r="EG83" s="249"/>
      <c r="EH83" s="221"/>
      <c r="EI83" s="313"/>
      <c r="EJ83" s="249"/>
      <c r="EK83" s="216"/>
      <c r="EL83" s="1435"/>
      <c r="EM83" s="1619"/>
      <c r="EN83" s="1268"/>
      <c r="EO83" s="1563"/>
      <c r="EP83" s="1268"/>
      <c r="EQ83" s="1563"/>
      <c r="ER83" s="1268"/>
      <c r="ES83" s="1563"/>
      <c r="ET83" s="1268"/>
      <c r="EU83" s="1682"/>
      <c r="EV83" s="1683"/>
      <c r="EW83" s="1684"/>
      <c r="EX83" s="1685"/>
      <c r="EY83" s="1496"/>
      <c r="EZ83" s="252"/>
      <c r="FA83" s="395"/>
      <c r="FB83" s="223"/>
      <c r="FC83" s="1496"/>
      <c r="FD83" s="252"/>
      <c r="FE83" s="1564"/>
      <c r="FG83" s="256"/>
      <c r="FH83" s="256"/>
      <c r="FI83" s="256"/>
      <c r="FJ83" s="256"/>
      <c r="FK83" s="126"/>
      <c r="FL83" s="126"/>
      <c r="FM83" s="126"/>
      <c r="FN83" s="126"/>
      <c r="FO83" s="957"/>
      <c r="FP83" s="49"/>
      <c r="FR83" s="1566"/>
      <c r="FS83" s="1566"/>
      <c r="FT83" s="1566"/>
      <c r="FU83" s="2879"/>
      <c r="FV83" s="2880"/>
      <c r="FW83" s="2881"/>
      <c r="FX83" s="64"/>
      <c r="FY83" s="64"/>
      <c r="FZ83" s="64"/>
      <c r="GA83" s="64"/>
      <c r="GB83" s="64"/>
      <c r="GC83" s="64"/>
      <c r="GD83" s="64"/>
      <c r="GE83" s="64"/>
      <c r="GF83" s="64"/>
      <c r="GG83" s="64"/>
      <c r="GH83" s="64"/>
      <c r="GI83" s="64"/>
      <c r="GJ83" s="64"/>
      <c r="GK83" s="64"/>
      <c r="GL83" s="64"/>
      <c r="GM83" s="64"/>
      <c r="GN83" s="64"/>
      <c r="GO83" s="64"/>
      <c r="GP83" s="64"/>
      <c r="GQ83" s="64"/>
      <c r="GR83" s="64"/>
      <c r="GS83" s="64"/>
      <c r="GT83" s="64"/>
      <c r="GU83" s="64"/>
      <c r="GV83" s="64"/>
      <c r="GW83" s="64"/>
      <c r="GX83" s="64"/>
      <c r="GY83" s="64"/>
      <c r="GZ83" s="64"/>
      <c r="HA83" s="64"/>
      <c r="HB83" s="64"/>
      <c r="HC83" s="64"/>
      <c r="HD83" s="64"/>
      <c r="HE83" s="64"/>
      <c r="HF83" s="64"/>
      <c r="HG83" s="64"/>
      <c r="HH83" s="64"/>
      <c r="HI83" s="64"/>
      <c r="HJ83" s="64"/>
      <c r="HK83" s="64"/>
      <c r="HL83" s="64"/>
      <c r="HM83" s="64"/>
      <c r="HN83" s="64"/>
      <c r="HO83" s="64"/>
      <c r="HP83" s="64"/>
      <c r="HQ83" s="64"/>
      <c r="HR83" s="64"/>
      <c r="HS83" s="64"/>
      <c r="HT83" s="64"/>
      <c r="HU83" s="64"/>
      <c r="HV83" s="64"/>
      <c r="HW83" s="64"/>
      <c r="HX83" s="64"/>
      <c r="HY83" s="64"/>
      <c r="HZ83" s="64"/>
      <c r="IA83" s="64"/>
      <c r="IB83" s="64"/>
      <c r="IC83" s="64"/>
      <c r="ID83" s="64"/>
      <c r="IE83" s="64"/>
      <c r="IF83" s="64"/>
      <c r="IG83" s="64"/>
      <c r="IH83" s="64"/>
      <c r="II83" s="64"/>
      <c r="IJ83" s="64"/>
      <c r="IK83" s="64"/>
      <c r="IL83" s="64"/>
      <c r="IM83" s="64"/>
      <c r="IN83" s="64"/>
      <c r="IO83" s="64"/>
      <c r="IP83" s="64"/>
      <c r="IQ83" s="64"/>
      <c r="IR83" s="64"/>
      <c r="IS83" s="64"/>
      <c r="IT83" s="64"/>
      <c r="IU83" s="64"/>
    </row>
    <row r="84" spans="1:255" s="1565" customFormat="1" ht="13.5" customHeight="1">
      <c r="A84" s="1023"/>
      <c r="B84" s="1023"/>
      <c r="C84" s="1023"/>
      <c r="D84" s="1549"/>
      <c r="E84" s="1549"/>
      <c r="F84" s="1549"/>
      <c r="G84" s="1549"/>
      <c r="H84" s="1549"/>
      <c r="I84" s="1549"/>
      <c r="J84" s="1549"/>
      <c r="K84" s="1549"/>
      <c r="L84" s="1549"/>
      <c r="M84" s="1549"/>
      <c r="N84" s="1549"/>
      <c r="O84" s="1549"/>
      <c r="P84" s="1549"/>
      <c r="Q84" s="1550"/>
      <c r="R84" s="1550"/>
      <c r="S84" s="1550"/>
      <c r="T84" s="1186"/>
      <c r="U84" s="233"/>
      <c r="V84" s="216"/>
      <c r="W84" s="218"/>
      <c r="X84" s="218"/>
      <c r="Y84" s="216"/>
      <c r="Z84" s="216"/>
      <c r="AA84" s="252"/>
      <c r="AB84" s="252"/>
      <c r="AC84" s="252"/>
      <c r="AD84" s="253"/>
      <c r="AE84" s="252"/>
      <c r="AF84" s="252"/>
      <c r="AG84" s="252"/>
      <c r="AH84" s="252"/>
      <c r="AI84" s="252"/>
      <c r="AJ84" s="252"/>
      <c r="AK84" s="253"/>
      <c r="AL84" s="252"/>
      <c r="AM84" s="252"/>
      <c r="AN84" s="252"/>
      <c r="AO84" s="252"/>
      <c r="AP84" s="252"/>
      <c r="AQ84" s="252"/>
      <c r="AR84" s="252"/>
      <c r="AS84" s="252"/>
      <c r="AT84" s="252"/>
      <c r="AU84" s="252"/>
      <c r="AV84" s="1025"/>
      <c r="AW84" s="355"/>
      <c r="AX84" s="217"/>
      <c r="AY84" s="305"/>
      <c r="AZ84" s="249"/>
      <c r="BA84" s="216"/>
      <c r="BB84" s="1551"/>
      <c r="BC84" s="221"/>
      <c r="BD84" s="1552"/>
      <c r="BE84" s="1263"/>
      <c r="BF84" s="249"/>
      <c r="BG84" s="252"/>
      <c r="BH84" s="1543"/>
      <c r="BI84" s="1544"/>
      <c r="BJ84" s="1543"/>
      <c r="BK84" s="1545"/>
      <c r="BL84" s="260"/>
      <c r="BM84" s="216"/>
      <c r="BN84" s="1553"/>
      <c r="BO84" s="1553"/>
      <c r="BP84" s="1554"/>
      <c r="BQ84" s="216"/>
      <c r="BR84" s="1026"/>
      <c r="BS84" s="249"/>
      <c r="BT84" s="260"/>
      <c r="BU84" s="1026"/>
      <c r="BV84" s="249"/>
      <c r="BW84" s="260"/>
      <c r="BX84" s="1026"/>
      <c r="BY84" s="249"/>
      <c r="BZ84" s="260"/>
      <c r="CA84" s="1026"/>
      <c r="CB84" s="249"/>
      <c r="CC84" s="260"/>
      <c r="CD84" s="1026"/>
      <c r="CE84" s="1269"/>
      <c r="CF84" s="1270"/>
      <c r="CG84" s="1026"/>
      <c r="CH84" s="249"/>
      <c r="CI84" s="260"/>
      <c r="CJ84" s="1027"/>
      <c r="CK84" s="249"/>
      <c r="CL84" s="260"/>
      <c r="CM84" s="1555"/>
      <c r="CN84" s="249"/>
      <c r="CO84" s="216"/>
      <c r="CP84" s="1029"/>
      <c r="CQ84" s="249"/>
      <c r="CR84" s="216"/>
      <c r="CS84" s="1029"/>
      <c r="CT84" s="249"/>
      <c r="CU84" s="216"/>
      <c r="CV84" s="1027"/>
      <c r="CW84" s="249"/>
      <c r="CX84" s="221"/>
      <c r="CY84" s="1027"/>
      <c r="CZ84" s="249"/>
      <c r="DA84" s="216"/>
      <c r="DB84" s="1027" t="str">
        <f t="shared" si="19"/>
        <v/>
      </c>
      <c r="DC84" s="249"/>
      <c r="DD84" s="2519" t="str">
        <f t="shared" si="18"/>
        <v/>
      </c>
      <c r="DE84" s="1027"/>
      <c r="DF84" s="1556"/>
      <c r="DG84" s="1557"/>
      <c r="DH84" s="1027"/>
      <c r="DI84" s="1556"/>
      <c r="DJ84" s="1558"/>
      <c r="DK84" s="1559"/>
      <c r="DL84" s="249"/>
      <c r="DM84" s="221"/>
      <c r="DN84" s="313"/>
      <c r="DO84" s="249"/>
      <c r="DP84" s="216"/>
      <c r="DQ84" s="313"/>
      <c r="DR84" s="249"/>
      <c r="DS84" s="221"/>
      <c r="DT84" s="313"/>
      <c r="DU84" s="249"/>
      <c r="DV84" s="221"/>
      <c r="DW84" s="1560"/>
      <c r="DX84" s="1561"/>
      <c r="DY84" s="1562"/>
      <c r="DZ84" s="350"/>
      <c r="EA84" s="249"/>
      <c r="EB84" s="221"/>
      <c r="EC84" s="313"/>
      <c r="ED84" s="249"/>
      <c r="EE84" s="221"/>
      <c r="EF84" s="313"/>
      <c r="EG84" s="249"/>
      <c r="EH84" s="221"/>
      <c r="EI84" s="313"/>
      <c r="EJ84" s="249"/>
      <c r="EK84" s="216"/>
      <c r="EL84" s="1435"/>
      <c r="EM84" s="1619"/>
      <c r="EN84" s="1268"/>
      <c r="EO84" s="1563"/>
      <c r="EP84" s="1268"/>
      <c r="EQ84" s="1563"/>
      <c r="ER84" s="1268"/>
      <c r="ES84" s="1563"/>
      <c r="ET84" s="1268"/>
      <c r="EU84" s="1682"/>
      <c r="EV84" s="1683"/>
      <c r="EW84" s="1684"/>
      <c r="EX84" s="1685"/>
      <c r="EY84" s="1496"/>
      <c r="EZ84" s="252"/>
      <c r="FA84" s="395"/>
      <c r="FB84" s="223"/>
      <c r="FC84" s="1496"/>
      <c r="FD84" s="252"/>
      <c r="FE84" s="1564"/>
      <c r="FG84" s="256"/>
      <c r="FH84" s="256"/>
      <c r="FI84" s="256"/>
      <c r="FJ84" s="256"/>
      <c r="FK84" s="126"/>
      <c r="FL84" s="126"/>
      <c r="FM84" s="126"/>
      <c r="FN84" s="126"/>
      <c r="FO84" s="957"/>
      <c r="FP84" s="49"/>
      <c r="FR84" s="1566"/>
      <c r="FS84" s="1566"/>
      <c r="FT84" s="1566"/>
      <c r="FU84" s="2879"/>
      <c r="FV84" s="2880"/>
      <c r="FW84" s="2881"/>
      <c r="FX84" s="64"/>
      <c r="FY84" s="64"/>
      <c r="FZ84" s="64"/>
      <c r="GA84" s="64"/>
      <c r="GB84" s="64"/>
      <c r="GC84" s="64"/>
      <c r="GD84" s="64"/>
      <c r="GE84" s="64"/>
      <c r="GF84" s="64"/>
      <c r="GG84" s="64"/>
      <c r="GH84" s="64"/>
      <c r="GI84" s="64"/>
      <c r="GJ84" s="64"/>
      <c r="GK84" s="64"/>
      <c r="GL84" s="64"/>
      <c r="GM84" s="64"/>
      <c r="GN84" s="64"/>
      <c r="GO84" s="64"/>
      <c r="GP84" s="64"/>
      <c r="GQ84" s="64"/>
      <c r="GR84" s="64"/>
      <c r="GS84" s="64"/>
      <c r="GT84" s="64"/>
      <c r="GU84" s="64"/>
      <c r="GV84" s="64"/>
      <c r="GW84" s="64"/>
      <c r="GX84" s="64"/>
      <c r="GY84" s="64"/>
      <c r="GZ84" s="64"/>
      <c r="HA84" s="64"/>
      <c r="HB84" s="64"/>
      <c r="HC84" s="64"/>
      <c r="HD84" s="64"/>
      <c r="HE84" s="64"/>
      <c r="HF84" s="64"/>
      <c r="HG84" s="64"/>
      <c r="HH84" s="64"/>
      <c r="HI84" s="64"/>
      <c r="HJ84" s="64"/>
      <c r="HK84" s="64"/>
      <c r="HL84" s="64"/>
      <c r="HM84" s="64"/>
      <c r="HN84" s="64"/>
      <c r="HO84" s="64"/>
      <c r="HP84" s="64"/>
      <c r="HQ84" s="64"/>
      <c r="HR84" s="64"/>
      <c r="HS84" s="64"/>
      <c r="HT84" s="64"/>
      <c r="HU84" s="64"/>
      <c r="HV84" s="64"/>
      <c r="HW84" s="64"/>
      <c r="HX84" s="64"/>
      <c r="HY84" s="64"/>
      <c r="HZ84" s="64"/>
      <c r="IA84" s="64"/>
      <c r="IB84" s="64"/>
      <c r="IC84" s="64"/>
      <c r="ID84" s="64"/>
      <c r="IE84" s="64"/>
      <c r="IF84" s="64"/>
      <c r="IG84" s="64"/>
      <c r="IH84" s="64"/>
      <c r="II84" s="64"/>
      <c r="IJ84" s="64"/>
      <c r="IK84" s="64"/>
      <c r="IL84" s="64"/>
      <c r="IM84" s="64"/>
      <c r="IN84" s="64"/>
      <c r="IO84" s="64"/>
      <c r="IP84" s="64"/>
      <c r="IQ84" s="64"/>
      <c r="IR84" s="64"/>
      <c r="IS84" s="64"/>
      <c r="IT84" s="64"/>
      <c r="IU84" s="64"/>
    </row>
    <row r="85" spans="1:255" s="1565" customFormat="1" ht="13.5" customHeight="1">
      <c r="A85" s="1023"/>
      <c r="B85" s="1023"/>
      <c r="C85" s="1023"/>
      <c r="D85" s="1549"/>
      <c r="E85" s="1549"/>
      <c r="F85" s="1549"/>
      <c r="G85" s="1549"/>
      <c r="H85" s="1549"/>
      <c r="I85" s="1549"/>
      <c r="J85" s="1549"/>
      <c r="K85" s="1549"/>
      <c r="L85" s="1549"/>
      <c r="M85" s="1549"/>
      <c r="N85" s="1549"/>
      <c r="O85" s="1549"/>
      <c r="P85" s="1549"/>
      <c r="Q85" s="1550"/>
      <c r="R85" s="1550"/>
      <c r="S85" s="1550"/>
      <c r="T85" s="1186"/>
      <c r="U85" s="233"/>
      <c r="V85" s="216"/>
      <c r="W85" s="218"/>
      <c r="X85" s="218"/>
      <c r="Y85" s="216"/>
      <c r="Z85" s="216"/>
      <c r="AA85" s="252"/>
      <c r="AB85" s="252"/>
      <c r="AC85" s="252"/>
      <c r="AD85" s="253"/>
      <c r="AE85" s="252"/>
      <c r="AF85" s="252"/>
      <c r="AG85" s="252"/>
      <c r="AH85" s="252"/>
      <c r="AI85" s="252"/>
      <c r="AJ85" s="252"/>
      <c r="AK85" s="253"/>
      <c r="AL85" s="252"/>
      <c r="AM85" s="252"/>
      <c r="AN85" s="252"/>
      <c r="AO85" s="252"/>
      <c r="AP85" s="252"/>
      <c r="AQ85" s="252"/>
      <c r="AR85" s="252"/>
      <c r="AS85" s="252"/>
      <c r="AT85" s="252"/>
      <c r="AU85" s="252"/>
      <c r="AV85" s="1025"/>
      <c r="AW85" s="355"/>
      <c r="AX85" s="217"/>
      <c r="AY85" s="305"/>
      <c r="AZ85" s="249"/>
      <c r="BA85" s="216"/>
      <c r="BB85" s="1551"/>
      <c r="BC85" s="221"/>
      <c r="BD85" s="1552"/>
      <c r="BE85" s="1263"/>
      <c r="BF85" s="249"/>
      <c r="BG85" s="252"/>
      <c r="BH85" s="1543"/>
      <c r="BI85" s="1544"/>
      <c r="BJ85" s="1543"/>
      <c r="BK85" s="1545"/>
      <c r="BL85" s="260"/>
      <c r="BM85" s="216"/>
      <c r="BN85" s="1553"/>
      <c r="BO85" s="1553"/>
      <c r="BP85" s="1554"/>
      <c r="BQ85" s="216"/>
      <c r="BR85" s="1026"/>
      <c r="BS85" s="249"/>
      <c r="BT85" s="260"/>
      <c r="BU85" s="1026"/>
      <c r="BV85" s="249"/>
      <c r="BW85" s="260"/>
      <c r="BX85" s="1026"/>
      <c r="BY85" s="249"/>
      <c r="BZ85" s="260"/>
      <c r="CA85" s="1026"/>
      <c r="CB85" s="249"/>
      <c r="CC85" s="260"/>
      <c r="CD85" s="1026"/>
      <c r="CE85" s="1269"/>
      <c r="CF85" s="1270"/>
      <c r="CG85" s="1026"/>
      <c r="CH85" s="249"/>
      <c r="CI85" s="260"/>
      <c r="CJ85" s="1027"/>
      <c r="CK85" s="249"/>
      <c r="CL85" s="260"/>
      <c r="CM85" s="1555"/>
      <c r="CN85" s="249"/>
      <c r="CO85" s="216"/>
      <c r="CP85" s="1029"/>
      <c r="CQ85" s="249"/>
      <c r="CR85" s="216"/>
      <c r="CS85" s="1029"/>
      <c r="CT85" s="249"/>
      <c r="CU85" s="216"/>
      <c r="CV85" s="1027"/>
      <c r="CW85" s="249"/>
      <c r="CX85" s="221"/>
      <c r="CY85" s="1027"/>
      <c r="CZ85" s="249"/>
      <c r="DA85" s="216"/>
      <c r="DB85" s="1027" t="str">
        <f t="shared" si="19"/>
        <v/>
      </c>
      <c r="DC85" s="249"/>
      <c r="DD85" s="2519" t="str">
        <f t="shared" si="18"/>
        <v/>
      </c>
      <c r="DE85" s="1027"/>
      <c r="DF85" s="1556"/>
      <c r="DG85" s="1557"/>
      <c r="DH85" s="1027"/>
      <c r="DI85" s="1556"/>
      <c r="DJ85" s="1558"/>
      <c r="DK85" s="1559"/>
      <c r="DL85" s="249"/>
      <c r="DM85" s="221"/>
      <c r="DN85" s="313"/>
      <c r="DO85" s="249"/>
      <c r="DP85" s="216"/>
      <c r="DQ85" s="313"/>
      <c r="DR85" s="249"/>
      <c r="DS85" s="221"/>
      <c r="DT85" s="313"/>
      <c r="DU85" s="249"/>
      <c r="DV85" s="221"/>
      <c r="DW85" s="1560"/>
      <c r="DX85" s="1561"/>
      <c r="DY85" s="1562"/>
      <c r="DZ85" s="350"/>
      <c r="EA85" s="249"/>
      <c r="EB85" s="221"/>
      <c r="EC85" s="313"/>
      <c r="ED85" s="249"/>
      <c r="EE85" s="221"/>
      <c r="EF85" s="313"/>
      <c r="EG85" s="249"/>
      <c r="EH85" s="221"/>
      <c r="EI85" s="313"/>
      <c r="EJ85" s="249"/>
      <c r="EK85" s="216"/>
      <c r="EL85" s="1435"/>
      <c r="EM85" s="1619"/>
      <c r="EN85" s="1268"/>
      <c r="EO85" s="1563"/>
      <c r="EP85" s="1268"/>
      <c r="EQ85" s="1563"/>
      <c r="ER85" s="1268"/>
      <c r="ES85" s="1563"/>
      <c r="ET85" s="1268"/>
      <c r="EU85" s="1682"/>
      <c r="EV85" s="1683"/>
      <c r="EW85" s="1684"/>
      <c r="EX85" s="1685"/>
      <c r="EY85" s="1496"/>
      <c r="EZ85" s="252"/>
      <c r="FA85" s="395"/>
      <c r="FB85" s="223"/>
      <c r="FC85" s="1496"/>
      <c r="FD85" s="252"/>
      <c r="FE85" s="1564"/>
      <c r="FG85" s="256"/>
      <c r="FH85" s="256"/>
      <c r="FI85" s="256"/>
      <c r="FJ85" s="256"/>
      <c r="FK85" s="126"/>
      <c r="FL85" s="126"/>
      <c r="FM85" s="126"/>
      <c r="FN85" s="126"/>
      <c r="FO85" s="957"/>
      <c r="FP85" s="49"/>
      <c r="FR85" s="1566"/>
      <c r="FS85" s="1566"/>
      <c r="FT85" s="1566"/>
      <c r="FU85" s="2879"/>
      <c r="FV85" s="2880"/>
      <c r="FW85" s="2881"/>
      <c r="FX85" s="64"/>
      <c r="FY85" s="64"/>
      <c r="FZ85" s="64"/>
      <c r="GA85" s="64"/>
      <c r="GB85" s="64"/>
      <c r="GC85" s="64"/>
      <c r="GD85" s="64"/>
      <c r="GE85" s="64"/>
      <c r="GF85" s="64"/>
      <c r="GG85" s="64"/>
      <c r="GH85" s="64"/>
      <c r="GI85" s="64"/>
      <c r="GJ85" s="64"/>
      <c r="GK85" s="64"/>
      <c r="GL85" s="64"/>
      <c r="GM85" s="64"/>
      <c r="GN85" s="64"/>
      <c r="GO85" s="64"/>
      <c r="GP85" s="64"/>
      <c r="GQ85" s="64"/>
      <c r="GR85" s="64"/>
      <c r="GS85" s="64"/>
      <c r="GT85" s="64"/>
      <c r="GU85" s="64"/>
      <c r="GV85" s="64"/>
      <c r="GW85" s="64"/>
      <c r="GX85" s="64"/>
      <c r="GY85" s="64"/>
      <c r="GZ85" s="64"/>
      <c r="HA85" s="64"/>
      <c r="HB85" s="64"/>
      <c r="HC85" s="64"/>
      <c r="HD85" s="64"/>
      <c r="HE85" s="64"/>
      <c r="HF85" s="64"/>
      <c r="HG85" s="64"/>
      <c r="HH85" s="64"/>
      <c r="HI85" s="64"/>
      <c r="HJ85" s="64"/>
      <c r="HK85" s="64"/>
      <c r="HL85" s="64"/>
      <c r="HM85" s="64"/>
      <c r="HN85" s="64"/>
      <c r="HO85" s="64"/>
      <c r="HP85" s="64"/>
      <c r="HQ85" s="64"/>
      <c r="HR85" s="64"/>
      <c r="HS85" s="64"/>
      <c r="HT85" s="64"/>
      <c r="HU85" s="64"/>
      <c r="HV85" s="64"/>
      <c r="HW85" s="64"/>
      <c r="HX85" s="64"/>
      <c r="HY85" s="64"/>
      <c r="HZ85" s="64"/>
      <c r="IA85" s="64"/>
      <c r="IB85" s="64"/>
      <c r="IC85" s="64"/>
      <c r="ID85" s="64"/>
      <c r="IE85" s="64"/>
      <c r="IF85" s="64"/>
      <c r="IG85" s="64"/>
      <c r="IH85" s="64"/>
      <c r="II85" s="64"/>
      <c r="IJ85" s="64"/>
      <c r="IK85" s="64"/>
      <c r="IL85" s="64"/>
      <c r="IM85" s="64"/>
      <c r="IN85" s="64"/>
      <c r="IO85" s="64"/>
      <c r="IP85" s="64"/>
      <c r="IQ85" s="64"/>
      <c r="IR85" s="64"/>
      <c r="IS85" s="64"/>
      <c r="IT85" s="64"/>
      <c r="IU85" s="64"/>
    </row>
    <row r="86" spans="1:255" s="1565" customFormat="1" ht="13.5" customHeight="1">
      <c r="A86" s="1023"/>
      <c r="B86" s="1023"/>
      <c r="C86" s="1023"/>
      <c r="D86" s="1549"/>
      <c r="E86" s="1549"/>
      <c r="F86" s="1549"/>
      <c r="G86" s="1549"/>
      <c r="H86" s="1549"/>
      <c r="I86" s="1549"/>
      <c r="J86" s="1549"/>
      <c r="K86" s="1549"/>
      <c r="L86" s="1549"/>
      <c r="M86" s="1549"/>
      <c r="N86" s="1549"/>
      <c r="O86" s="1549"/>
      <c r="P86" s="1549"/>
      <c r="Q86" s="1550"/>
      <c r="R86" s="1550"/>
      <c r="S86" s="1550"/>
      <c r="T86" s="1186"/>
      <c r="U86" s="233"/>
      <c r="V86" s="216"/>
      <c r="W86" s="218"/>
      <c r="X86" s="218"/>
      <c r="Y86" s="216"/>
      <c r="Z86" s="216"/>
      <c r="AA86" s="252"/>
      <c r="AB86" s="252"/>
      <c r="AC86" s="252"/>
      <c r="AD86" s="253"/>
      <c r="AE86" s="252"/>
      <c r="AF86" s="252"/>
      <c r="AG86" s="252"/>
      <c r="AH86" s="252"/>
      <c r="AI86" s="252"/>
      <c r="AJ86" s="252"/>
      <c r="AK86" s="253"/>
      <c r="AL86" s="252"/>
      <c r="AM86" s="252"/>
      <c r="AN86" s="252"/>
      <c r="AO86" s="252"/>
      <c r="AP86" s="252"/>
      <c r="AQ86" s="252"/>
      <c r="AR86" s="252"/>
      <c r="AS86" s="252"/>
      <c r="AT86" s="252"/>
      <c r="AU86" s="252"/>
      <c r="AV86" s="1025"/>
      <c r="AW86" s="355"/>
      <c r="AX86" s="217"/>
      <c r="AY86" s="305"/>
      <c r="AZ86" s="249"/>
      <c r="BA86" s="216"/>
      <c r="BB86" s="1551"/>
      <c r="BC86" s="221"/>
      <c r="BD86" s="1552"/>
      <c r="BE86" s="1263"/>
      <c r="BF86" s="249"/>
      <c r="BG86" s="252"/>
      <c r="BH86" s="1543"/>
      <c r="BI86" s="1544"/>
      <c r="BJ86" s="1543"/>
      <c r="BK86" s="1545"/>
      <c r="BL86" s="260"/>
      <c r="BM86" s="216"/>
      <c r="BN86" s="1553"/>
      <c r="BO86" s="1553"/>
      <c r="BP86" s="1554"/>
      <c r="BQ86" s="216"/>
      <c r="BR86" s="1026"/>
      <c r="BS86" s="249"/>
      <c r="BT86" s="260"/>
      <c r="BU86" s="1026"/>
      <c r="BV86" s="249"/>
      <c r="BW86" s="260"/>
      <c r="BX86" s="1026"/>
      <c r="BY86" s="249"/>
      <c r="BZ86" s="260"/>
      <c r="CA86" s="1026"/>
      <c r="CB86" s="249"/>
      <c r="CC86" s="260"/>
      <c r="CD86" s="1026"/>
      <c r="CE86" s="1269"/>
      <c r="CF86" s="1270"/>
      <c r="CG86" s="1026"/>
      <c r="CH86" s="249"/>
      <c r="CI86" s="260"/>
      <c r="CJ86" s="1027"/>
      <c r="CK86" s="249"/>
      <c r="CL86" s="260"/>
      <c r="CM86" s="1555"/>
      <c r="CN86" s="249"/>
      <c r="CO86" s="216"/>
      <c r="CP86" s="1029"/>
      <c r="CQ86" s="249"/>
      <c r="CR86" s="216"/>
      <c r="CS86" s="1029"/>
      <c r="CT86" s="249"/>
      <c r="CU86" s="216"/>
      <c r="CV86" s="1027"/>
      <c r="CW86" s="249"/>
      <c r="CX86" s="221"/>
      <c r="CY86" s="1027"/>
      <c r="CZ86" s="249"/>
      <c r="DA86" s="216"/>
      <c r="DB86" s="1027" t="str">
        <f t="shared" si="19"/>
        <v/>
      </c>
      <c r="DC86" s="249"/>
      <c r="DD86" s="2519" t="str">
        <f t="shared" si="18"/>
        <v/>
      </c>
      <c r="DE86" s="1027"/>
      <c r="DF86" s="1556"/>
      <c r="DG86" s="1557"/>
      <c r="DH86" s="1027"/>
      <c r="DI86" s="1556"/>
      <c r="DJ86" s="1558"/>
      <c r="DK86" s="1559"/>
      <c r="DL86" s="249"/>
      <c r="DM86" s="221"/>
      <c r="DN86" s="313"/>
      <c r="DO86" s="249"/>
      <c r="DP86" s="216"/>
      <c r="DQ86" s="313"/>
      <c r="DR86" s="249"/>
      <c r="DS86" s="221"/>
      <c r="DT86" s="313"/>
      <c r="DU86" s="249"/>
      <c r="DV86" s="221"/>
      <c r="DW86" s="1560"/>
      <c r="DX86" s="1561"/>
      <c r="DY86" s="1562"/>
      <c r="DZ86" s="350"/>
      <c r="EA86" s="249"/>
      <c r="EB86" s="221"/>
      <c r="EC86" s="313"/>
      <c r="ED86" s="249"/>
      <c r="EE86" s="221"/>
      <c r="EF86" s="313"/>
      <c r="EG86" s="249"/>
      <c r="EH86" s="221"/>
      <c r="EI86" s="313"/>
      <c r="EJ86" s="249"/>
      <c r="EK86" s="216"/>
      <c r="EL86" s="1435"/>
      <c r="EM86" s="1619"/>
      <c r="EN86" s="1268"/>
      <c r="EO86" s="1563"/>
      <c r="EP86" s="1268"/>
      <c r="EQ86" s="1563"/>
      <c r="ER86" s="1268"/>
      <c r="ES86" s="1563"/>
      <c r="ET86" s="1268"/>
      <c r="EU86" s="1682"/>
      <c r="EV86" s="1683"/>
      <c r="EW86" s="1684"/>
      <c r="EX86" s="1685"/>
      <c r="EY86" s="1496"/>
      <c r="EZ86" s="252"/>
      <c r="FA86" s="395"/>
      <c r="FB86" s="223"/>
      <c r="FC86" s="1496"/>
      <c r="FD86" s="252"/>
      <c r="FE86" s="1564"/>
      <c r="FG86" s="256"/>
      <c r="FH86" s="256"/>
      <c r="FI86" s="256"/>
      <c r="FJ86" s="256"/>
      <c r="FK86" s="126"/>
      <c r="FL86" s="126"/>
      <c r="FM86" s="126"/>
      <c r="FN86" s="126"/>
      <c r="FO86" s="957"/>
      <c r="FP86" s="49"/>
      <c r="FR86" s="1566"/>
      <c r="FS86" s="1566"/>
      <c r="FT86" s="1566"/>
      <c r="FU86" s="2879"/>
      <c r="FV86" s="2880"/>
      <c r="FW86" s="2881"/>
      <c r="FX86" s="64"/>
      <c r="FY86" s="64"/>
      <c r="FZ86" s="64"/>
      <c r="GA86" s="64"/>
      <c r="GB86" s="64"/>
      <c r="GC86" s="64"/>
      <c r="GD86" s="64"/>
      <c r="GE86" s="64"/>
      <c r="GF86" s="64"/>
      <c r="GG86" s="64"/>
      <c r="GH86" s="64"/>
      <c r="GI86" s="64"/>
      <c r="GJ86" s="64"/>
      <c r="GK86" s="64"/>
      <c r="GL86" s="64"/>
      <c r="GM86" s="64"/>
      <c r="GN86" s="64"/>
      <c r="GO86" s="64"/>
      <c r="GP86" s="64"/>
      <c r="GQ86" s="64"/>
      <c r="GR86" s="64"/>
      <c r="GS86" s="64"/>
      <c r="GT86" s="64"/>
      <c r="GU86" s="64"/>
      <c r="GV86" s="64"/>
      <c r="GW86" s="64"/>
      <c r="GX86" s="64"/>
      <c r="GY86" s="64"/>
      <c r="GZ86" s="64"/>
      <c r="HA86" s="64"/>
      <c r="HB86" s="64"/>
      <c r="HC86" s="64"/>
      <c r="HD86" s="64"/>
      <c r="HE86" s="64"/>
      <c r="HF86" s="64"/>
      <c r="HG86" s="64"/>
      <c r="HH86" s="64"/>
      <c r="HI86" s="64"/>
      <c r="HJ86" s="64"/>
      <c r="HK86" s="64"/>
      <c r="HL86" s="64"/>
      <c r="HM86" s="64"/>
      <c r="HN86" s="64"/>
      <c r="HO86" s="64"/>
      <c r="HP86" s="64"/>
      <c r="HQ86" s="64"/>
      <c r="HR86" s="64"/>
      <c r="HS86" s="64"/>
      <c r="HT86" s="64"/>
      <c r="HU86" s="64"/>
      <c r="HV86" s="64"/>
      <c r="HW86" s="64"/>
      <c r="HX86" s="64"/>
      <c r="HY86" s="64"/>
      <c r="HZ86" s="64"/>
      <c r="IA86" s="64"/>
      <c r="IB86" s="64"/>
      <c r="IC86" s="64"/>
      <c r="ID86" s="64"/>
      <c r="IE86" s="64"/>
      <c r="IF86" s="64"/>
      <c r="IG86" s="64"/>
      <c r="IH86" s="64"/>
      <c r="II86" s="64"/>
      <c r="IJ86" s="64"/>
      <c r="IK86" s="64"/>
      <c r="IL86" s="64"/>
      <c r="IM86" s="64"/>
      <c r="IN86" s="64"/>
      <c r="IO86" s="64"/>
      <c r="IP86" s="64"/>
      <c r="IQ86" s="64"/>
      <c r="IR86" s="64"/>
      <c r="IS86" s="64"/>
      <c r="IT86" s="64"/>
      <c r="IU86" s="64"/>
    </row>
    <row r="87" spans="1:255" s="1565" customFormat="1" ht="13.5" customHeight="1">
      <c r="A87" s="1023"/>
      <c r="B87" s="1023"/>
      <c r="C87" s="1023"/>
      <c r="D87" s="1549"/>
      <c r="E87" s="1549"/>
      <c r="F87" s="1549"/>
      <c r="G87" s="1549"/>
      <c r="H87" s="1549"/>
      <c r="I87" s="1549"/>
      <c r="J87" s="1549"/>
      <c r="K87" s="1549"/>
      <c r="L87" s="1549"/>
      <c r="M87" s="1549"/>
      <c r="N87" s="1549"/>
      <c r="O87" s="1549"/>
      <c r="P87" s="1549"/>
      <c r="Q87" s="1550"/>
      <c r="R87" s="1550"/>
      <c r="S87" s="1550"/>
      <c r="T87" s="1186"/>
      <c r="U87" s="233"/>
      <c r="V87" s="216"/>
      <c r="W87" s="218"/>
      <c r="X87" s="218"/>
      <c r="Y87" s="216"/>
      <c r="Z87" s="216"/>
      <c r="AA87" s="252"/>
      <c r="AB87" s="252"/>
      <c r="AC87" s="252"/>
      <c r="AD87" s="253"/>
      <c r="AE87" s="252"/>
      <c r="AF87" s="252"/>
      <c r="AG87" s="252"/>
      <c r="AH87" s="252"/>
      <c r="AI87" s="252"/>
      <c r="AJ87" s="252"/>
      <c r="AK87" s="253"/>
      <c r="AL87" s="252"/>
      <c r="AM87" s="252"/>
      <c r="AN87" s="252"/>
      <c r="AO87" s="252"/>
      <c r="AP87" s="252"/>
      <c r="AQ87" s="252"/>
      <c r="AR87" s="252"/>
      <c r="AS87" s="252"/>
      <c r="AT87" s="252"/>
      <c r="AU87" s="252"/>
      <c r="AV87" s="1025"/>
      <c r="AW87" s="355"/>
      <c r="AX87" s="217"/>
      <c r="AY87" s="305"/>
      <c r="AZ87" s="249"/>
      <c r="BA87" s="216"/>
      <c r="BB87" s="1551"/>
      <c r="BC87" s="221"/>
      <c r="BD87" s="1552"/>
      <c r="BE87" s="1263"/>
      <c r="BF87" s="249"/>
      <c r="BG87" s="252"/>
      <c r="BH87" s="1543"/>
      <c r="BI87" s="1544"/>
      <c r="BJ87" s="1543"/>
      <c r="BK87" s="1545"/>
      <c r="BL87" s="260"/>
      <c r="BM87" s="216"/>
      <c r="BN87" s="1553"/>
      <c r="BO87" s="1553"/>
      <c r="BP87" s="1554"/>
      <c r="BQ87" s="216"/>
      <c r="BR87" s="1026"/>
      <c r="BS87" s="249"/>
      <c r="BT87" s="260"/>
      <c r="BU87" s="1026"/>
      <c r="BV87" s="249"/>
      <c r="BW87" s="260"/>
      <c r="BX87" s="1026"/>
      <c r="BY87" s="249"/>
      <c r="BZ87" s="260"/>
      <c r="CA87" s="1026"/>
      <c r="CB87" s="249"/>
      <c r="CC87" s="260"/>
      <c r="CD87" s="1026"/>
      <c r="CE87" s="1269"/>
      <c r="CF87" s="1270"/>
      <c r="CG87" s="1026"/>
      <c r="CH87" s="249"/>
      <c r="CI87" s="260"/>
      <c r="CJ87" s="1027"/>
      <c r="CK87" s="249"/>
      <c r="CL87" s="260"/>
      <c r="CM87" s="1555"/>
      <c r="CN87" s="249"/>
      <c r="CO87" s="216"/>
      <c r="CP87" s="1029"/>
      <c r="CQ87" s="249"/>
      <c r="CR87" s="216"/>
      <c r="CS87" s="1029"/>
      <c r="CT87" s="249"/>
      <c r="CU87" s="216"/>
      <c r="CV87" s="1027"/>
      <c r="CW87" s="249"/>
      <c r="CX87" s="221"/>
      <c r="CY87" s="1027"/>
      <c r="CZ87" s="249"/>
      <c r="DA87" s="216"/>
      <c r="DB87" s="1027" t="str">
        <f t="shared" si="19"/>
        <v/>
      </c>
      <c r="DC87" s="249"/>
      <c r="DD87" s="2519" t="str">
        <f t="shared" si="18"/>
        <v/>
      </c>
      <c r="DE87" s="1027"/>
      <c r="DF87" s="1556"/>
      <c r="DG87" s="1557"/>
      <c r="DH87" s="1027"/>
      <c r="DI87" s="1556"/>
      <c r="DJ87" s="1558"/>
      <c r="DK87" s="1559"/>
      <c r="DL87" s="249"/>
      <c r="DM87" s="221"/>
      <c r="DN87" s="313"/>
      <c r="DO87" s="249"/>
      <c r="DP87" s="216"/>
      <c r="DQ87" s="313"/>
      <c r="DR87" s="249"/>
      <c r="DS87" s="221"/>
      <c r="DT87" s="313"/>
      <c r="DU87" s="249"/>
      <c r="DV87" s="221"/>
      <c r="DW87" s="1560"/>
      <c r="DX87" s="1561"/>
      <c r="DY87" s="1562"/>
      <c r="DZ87" s="350"/>
      <c r="EA87" s="249"/>
      <c r="EB87" s="221"/>
      <c r="EC87" s="313"/>
      <c r="ED87" s="249"/>
      <c r="EE87" s="221"/>
      <c r="EF87" s="313"/>
      <c r="EG87" s="249"/>
      <c r="EH87" s="221"/>
      <c r="EI87" s="313"/>
      <c r="EJ87" s="249"/>
      <c r="EK87" s="216"/>
      <c r="EL87" s="1435"/>
      <c r="EM87" s="1619"/>
      <c r="EN87" s="1268"/>
      <c r="EO87" s="1563"/>
      <c r="EP87" s="1268"/>
      <c r="EQ87" s="1563"/>
      <c r="ER87" s="1268"/>
      <c r="ES87" s="1563"/>
      <c r="ET87" s="1268"/>
      <c r="EU87" s="1682"/>
      <c r="EV87" s="1683"/>
      <c r="EW87" s="1684"/>
      <c r="EX87" s="1685"/>
      <c r="EY87" s="1496"/>
      <c r="EZ87" s="252"/>
      <c r="FA87" s="395"/>
      <c r="FB87" s="223"/>
      <c r="FC87" s="1496"/>
      <c r="FD87" s="252"/>
      <c r="FE87" s="1564"/>
      <c r="FG87" s="256"/>
      <c r="FH87" s="256"/>
      <c r="FI87" s="256"/>
      <c r="FJ87" s="256"/>
      <c r="FK87" s="126"/>
      <c r="FL87" s="126"/>
      <c r="FM87" s="126"/>
      <c r="FN87" s="126"/>
      <c r="FO87" s="957"/>
      <c r="FP87" s="49"/>
      <c r="FR87" s="1566"/>
      <c r="FS87" s="1566"/>
      <c r="FT87" s="1566"/>
      <c r="FU87" s="2879"/>
      <c r="FV87" s="2880"/>
      <c r="FW87" s="2881"/>
      <c r="FX87" s="64"/>
      <c r="FY87" s="64"/>
      <c r="FZ87" s="64"/>
      <c r="GA87" s="64"/>
      <c r="GB87" s="64"/>
      <c r="GC87" s="64"/>
      <c r="GD87" s="64"/>
      <c r="GE87" s="64"/>
      <c r="GF87" s="64"/>
      <c r="GG87" s="64"/>
      <c r="GH87" s="64"/>
      <c r="GI87" s="64"/>
      <c r="GJ87" s="64"/>
      <c r="GK87" s="64"/>
      <c r="GL87" s="64"/>
      <c r="GM87" s="64"/>
      <c r="GN87" s="64"/>
      <c r="GO87" s="64"/>
      <c r="GP87" s="64"/>
      <c r="GQ87" s="64"/>
      <c r="GR87" s="64"/>
      <c r="GS87" s="64"/>
      <c r="GT87" s="64"/>
      <c r="GU87" s="64"/>
      <c r="GV87" s="64"/>
      <c r="GW87" s="64"/>
      <c r="GX87" s="64"/>
      <c r="GY87" s="64"/>
      <c r="GZ87" s="64"/>
      <c r="HA87" s="64"/>
      <c r="HB87" s="64"/>
      <c r="HC87" s="64"/>
      <c r="HD87" s="64"/>
      <c r="HE87" s="64"/>
      <c r="HF87" s="64"/>
      <c r="HG87" s="64"/>
      <c r="HH87" s="64"/>
      <c r="HI87" s="64"/>
      <c r="HJ87" s="64"/>
      <c r="HK87" s="64"/>
      <c r="HL87" s="64"/>
      <c r="HM87" s="64"/>
      <c r="HN87" s="64"/>
      <c r="HO87" s="64"/>
      <c r="HP87" s="64"/>
      <c r="HQ87" s="64"/>
      <c r="HR87" s="64"/>
      <c r="HS87" s="64"/>
      <c r="HT87" s="64"/>
      <c r="HU87" s="64"/>
      <c r="HV87" s="64"/>
      <c r="HW87" s="64"/>
      <c r="HX87" s="64"/>
      <c r="HY87" s="64"/>
      <c r="HZ87" s="64"/>
      <c r="IA87" s="64"/>
      <c r="IB87" s="64"/>
      <c r="IC87" s="64"/>
      <c r="ID87" s="64"/>
      <c r="IE87" s="64"/>
      <c r="IF87" s="64"/>
      <c r="IG87" s="64"/>
      <c r="IH87" s="64"/>
      <c r="II87" s="64"/>
      <c r="IJ87" s="64"/>
      <c r="IK87" s="64"/>
      <c r="IL87" s="64"/>
      <c r="IM87" s="64"/>
      <c r="IN87" s="64"/>
      <c r="IO87" s="64"/>
      <c r="IP87" s="64"/>
      <c r="IQ87" s="64"/>
      <c r="IR87" s="64"/>
      <c r="IS87" s="64"/>
      <c r="IT87" s="64"/>
      <c r="IU87" s="64"/>
    </row>
    <row r="88" spans="1:255" s="1565" customFormat="1" ht="13.5" customHeight="1">
      <c r="A88" s="1023"/>
      <c r="B88" s="1023"/>
      <c r="C88" s="1023"/>
      <c r="D88" s="1549"/>
      <c r="E88" s="1549"/>
      <c r="F88" s="1549"/>
      <c r="G88" s="1549"/>
      <c r="H88" s="1549"/>
      <c r="I88" s="1549"/>
      <c r="J88" s="1549"/>
      <c r="K88" s="1549"/>
      <c r="L88" s="1549"/>
      <c r="M88" s="1549"/>
      <c r="N88" s="1549"/>
      <c r="O88" s="1549"/>
      <c r="P88" s="1549"/>
      <c r="Q88" s="1550"/>
      <c r="R88" s="1550"/>
      <c r="S88" s="1550"/>
      <c r="T88" s="1186"/>
      <c r="U88" s="233"/>
      <c r="V88" s="216"/>
      <c r="W88" s="218"/>
      <c r="X88" s="218"/>
      <c r="Y88" s="216"/>
      <c r="Z88" s="216"/>
      <c r="AA88" s="252"/>
      <c r="AB88" s="252"/>
      <c r="AC88" s="252"/>
      <c r="AD88" s="253"/>
      <c r="AE88" s="252"/>
      <c r="AF88" s="252"/>
      <c r="AG88" s="252"/>
      <c r="AH88" s="252"/>
      <c r="AI88" s="252"/>
      <c r="AJ88" s="252"/>
      <c r="AK88" s="253"/>
      <c r="AL88" s="252"/>
      <c r="AM88" s="252"/>
      <c r="AN88" s="252"/>
      <c r="AO88" s="252"/>
      <c r="AP88" s="252"/>
      <c r="AQ88" s="252"/>
      <c r="AR88" s="252"/>
      <c r="AS88" s="252"/>
      <c r="AT88" s="252"/>
      <c r="AU88" s="252"/>
      <c r="AV88" s="1025"/>
      <c r="AW88" s="355"/>
      <c r="AX88" s="217"/>
      <c r="AY88" s="305"/>
      <c r="AZ88" s="249"/>
      <c r="BA88" s="216"/>
      <c r="BB88" s="1551"/>
      <c r="BC88" s="221"/>
      <c r="BD88" s="1552"/>
      <c r="BE88" s="1263"/>
      <c r="BF88" s="249"/>
      <c r="BG88" s="252"/>
      <c r="BH88" s="1543"/>
      <c r="BI88" s="1544"/>
      <c r="BJ88" s="1543"/>
      <c r="BK88" s="1545"/>
      <c r="BL88" s="260"/>
      <c r="BM88" s="216"/>
      <c r="BN88" s="1553"/>
      <c r="BO88" s="1553"/>
      <c r="BP88" s="1554"/>
      <c r="BQ88" s="216"/>
      <c r="BR88" s="1026"/>
      <c r="BS88" s="249"/>
      <c r="BT88" s="260"/>
      <c r="BU88" s="1026"/>
      <c r="BV88" s="249"/>
      <c r="BW88" s="260"/>
      <c r="BX88" s="1026"/>
      <c r="BY88" s="249"/>
      <c r="BZ88" s="260"/>
      <c r="CA88" s="1026"/>
      <c r="CB88" s="249"/>
      <c r="CC88" s="260"/>
      <c r="CD88" s="1026"/>
      <c r="CE88" s="1269"/>
      <c r="CF88" s="1270"/>
      <c r="CG88" s="1026"/>
      <c r="CH88" s="249"/>
      <c r="CI88" s="260"/>
      <c r="CJ88" s="1027"/>
      <c r="CK88" s="249"/>
      <c r="CL88" s="260"/>
      <c r="CM88" s="1555"/>
      <c r="CN88" s="249"/>
      <c r="CO88" s="216"/>
      <c r="CP88" s="1029"/>
      <c r="CQ88" s="249"/>
      <c r="CR88" s="216"/>
      <c r="CS88" s="1029"/>
      <c r="CT88" s="249"/>
      <c r="CU88" s="216"/>
      <c r="CV88" s="1027"/>
      <c r="CW88" s="249"/>
      <c r="CX88" s="221"/>
      <c r="CY88" s="1027"/>
      <c r="CZ88" s="249"/>
      <c r="DA88" s="216"/>
      <c r="DB88" s="1027" t="str">
        <f t="shared" si="19"/>
        <v/>
      </c>
      <c r="DC88" s="249"/>
      <c r="DD88" s="2519" t="str">
        <f t="shared" si="18"/>
        <v/>
      </c>
      <c r="DE88" s="1027"/>
      <c r="DF88" s="1556"/>
      <c r="DG88" s="1557"/>
      <c r="DH88" s="1027"/>
      <c r="DI88" s="1556"/>
      <c r="DJ88" s="1558"/>
      <c r="DK88" s="1559"/>
      <c r="DL88" s="249"/>
      <c r="DM88" s="221"/>
      <c r="DN88" s="313"/>
      <c r="DO88" s="249"/>
      <c r="DP88" s="216"/>
      <c r="DQ88" s="313"/>
      <c r="DR88" s="249"/>
      <c r="DS88" s="221"/>
      <c r="DT88" s="313"/>
      <c r="DU88" s="249"/>
      <c r="DV88" s="221"/>
      <c r="DW88" s="1560"/>
      <c r="DX88" s="1561"/>
      <c r="DY88" s="1562"/>
      <c r="DZ88" s="350"/>
      <c r="EA88" s="249"/>
      <c r="EB88" s="221"/>
      <c r="EC88" s="313"/>
      <c r="ED88" s="249"/>
      <c r="EE88" s="221"/>
      <c r="EF88" s="313"/>
      <c r="EG88" s="249"/>
      <c r="EH88" s="221"/>
      <c r="EI88" s="313"/>
      <c r="EJ88" s="249"/>
      <c r="EK88" s="216"/>
      <c r="EL88" s="1435"/>
      <c r="EM88" s="1619"/>
      <c r="EN88" s="1268"/>
      <c r="EO88" s="1563"/>
      <c r="EP88" s="1268"/>
      <c r="EQ88" s="1563"/>
      <c r="ER88" s="1268"/>
      <c r="ES88" s="1563"/>
      <c r="ET88" s="1268"/>
      <c r="EU88" s="1682"/>
      <c r="EV88" s="1683"/>
      <c r="EW88" s="1684"/>
      <c r="EX88" s="1685"/>
      <c r="EY88" s="1496"/>
      <c r="EZ88" s="252"/>
      <c r="FA88" s="395"/>
      <c r="FB88" s="223"/>
      <c r="FC88" s="1496"/>
      <c r="FD88" s="252"/>
      <c r="FE88" s="1564"/>
      <c r="FG88" s="256"/>
      <c r="FH88" s="256"/>
      <c r="FI88" s="256"/>
      <c r="FJ88" s="256"/>
      <c r="FK88" s="126"/>
      <c r="FL88" s="126"/>
      <c r="FM88" s="126"/>
      <c r="FN88" s="126"/>
      <c r="FO88" s="957"/>
      <c r="FP88" s="49"/>
      <c r="FR88" s="1566"/>
      <c r="FS88" s="1566"/>
      <c r="FT88" s="1566"/>
      <c r="FU88" s="2879"/>
      <c r="FV88" s="2880"/>
      <c r="FW88" s="2881"/>
      <c r="FX88" s="64"/>
      <c r="FY88" s="64"/>
      <c r="FZ88" s="64"/>
      <c r="GA88" s="64"/>
      <c r="GB88" s="64"/>
      <c r="GC88" s="64"/>
      <c r="GD88" s="64"/>
      <c r="GE88" s="64"/>
      <c r="GF88" s="64"/>
      <c r="GG88" s="64"/>
      <c r="GH88" s="64"/>
      <c r="GI88" s="64"/>
      <c r="GJ88" s="64"/>
      <c r="GK88" s="64"/>
      <c r="GL88" s="64"/>
      <c r="GM88" s="64"/>
      <c r="GN88" s="64"/>
      <c r="GO88" s="64"/>
      <c r="GP88" s="64"/>
      <c r="GQ88" s="64"/>
      <c r="GR88" s="64"/>
      <c r="GS88" s="64"/>
      <c r="GT88" s="64"/>
      <c r="GU88" s="64"/>
      <c r="GV88" s="64"/>
      <c r="GW88" s="64"/>
      <c r="GX88" s="64"/>
      <c r="GY88" s="64"/>
      <c r="GZ88" s="64"/>
      <c r="HA88" s="64"/>
      <c r="HB88" s="64"/>
      <c r="HC88" s="64"/>
      <c r="HD88" s="64"/>
      <c r="HE88" s="64"/>
      <c r="HF88" s="64"/>
      <c r="HG88" s="64"/>
      <c r="HH88" s="64"/>
      <c r="HI88" s="64"/>
      <c r="HJ88" s="64"/>
      <c r="HK88" s="64"/>
      <c r="HL88" s="64"/>
      <c r="HM88" s="64"/>
      <c r="HN88" s="64"/>
      <c r="HO88" s="64"/>
      <c r="HP88" s="64"/>
      <c r="HQ88" s="64"/>
      <c r="HR88" s="64"/>
      <c r="HS88" s="64"/>
      <c r="HT88" s="64"/>
      <c r="HU88" s="64"/>
      <c r="HV88" s="64"/>
      <c r="HW88" s="64"/>
      <c r="HX88" s="64"/>
      <c r="HY88" s="64"/>
      <c r="HZ88" s="64"/>
      <c r="IA88" s="64"/>
      <c r="IB88" s="64"/>
      <c r="IC88" s="64"/>
      <c r="ID88" s="64"/>
      <c r="IE88" s="64"/>
      <c r="IF88" s="64"/>
      <c r="IG88" s="64"/>
      <c r="IH88" s="64"/>
      <c r="II88" s="64"/>
      <c r="IJ88" s="64"/>
      <c r="IK88" s="64"/>
      <c r="IL88" s="64"/>
      <c r="IM88" s="64"/>
      <c r="IN88" s="64"/>
      <c r="IO88" s="64"/>
      <c r="IP88" s="64"/>
      <c r="IQ88" s="64"/>
      <c r="IR88" s="64"/>
      <c r="IS88" s="64"/>
      <c r="IT88" s="64"/>
      <c r="IU88" s="64"/>
    </row>
    <row r="89" spans="1:255" s="1565" customFormat="1" ht="13.5" customHeight="1">
      <c r="A89" s="1023"/>
      <c r="B89" s="1023"/>
      <c r="C89" s="1023"/>
      <c r="D89" s="1549"/>
      <c r="E89" s="1549"/>
      <c r="F89" s="1549"/>
      <c r="G89" s="1549"/>
      <c r="H89" s="1549"/>
      <c r="I89" s="1549"/>
      <c r="J89" s="1549"/>
      <c r="K89" s="1549"/>
      <c r="L89" s="1549"/>
      <c r="M89" s="1549"/>
      <c r="N89" s="1549"/>
      <c r="O89" s="1549"/>
      <c r="P89" s="1549"/>
      <c r="Q89" s="1550"/>
      <c r="R89" s="1550"/>
      <c r="S89" s="1550"/>
      <c r="T89" s="1186"/>
      <c r="U89" s="233"/>
      <c r="V89" s="216"/>
      <c r="W89" s="218"/>
      <c r="X89" s="218"/>
      <c r="Y89" s="216"/>
      <c r="Z89" s="216"/>
      <c r="AA89" s="252"/>
      <c r="AB89" s="252"/>
      <c r="AC89" s="252"/>
      <c r="AD89" s="253"/>
      <c r="AE89" s="252"/>
      <c r="AF89" s="252"/>
      <c r="AG89" s="252"/>
      <c r="AH89" s="252"/>
      <c r="AI89" s="252"/>
      <c r="AJ89" s="252"/>
      <c r="AK89" s="253"/>
      <c r="AL89" s="252"/>
      <c r="AM89" s="252"/>
      <c r="AN89" s="252"/>
      <c r="AO89" s="252"/>
      <c r="AP89" s="252"/>
      <c r="AQ89" s="252"/>
      <c r="AR89" s="252"/>
      <c r="AS89" s="252"/>
      <c r="AT89" s="252"/>
      <c r="AU89" s="252"/>
      <c r="AV89" s="1025"/>
      <c r="AW89" s="355"/>
      <c r="AX89" s="217"/>
      <c r="AY89" s="305"/>
      <c r="AZ89" s="249"/>
      <c r="BA89" s="216"/>
      <c r="BB89" s="1551"/>
      <c r="BC89" s="221"/>
      <c r="BD89" s="1552"/>
      <c r="BE89" s="1263"/>
      <c r="BF89" s="249"/>
      <c r="BG89" s="252"/>
      <c r="BH89" s="1543"/>
      <c r="BI89" s="1544"/>
      <c r="BJ89" s="1543"/>
      <c r="BK89" s="1545"/>
      <c r="BL89" s="260"/>
      <c r="BM89" s="216"/>
      <c r="BN89" s="1553"/>
      <c r="BO89" s="1553"/>
      <c r="BP89" s="1554"/>
      <c r="BQ89" s="216"/>
      <c r="BR89" s="1026"/>
      <c r="BS89" s="249"/>
      <c r="BT89" s="260"/>
      <c r="BU89" s="1026"/>
      <c r="BV89" s="249"/>
      <c r="BW89" s="260"/>
      <c r="BX89" s="1026"/>
      <c r="BY89" s="249"/>
      <c r="BZ89" s="260"/>
      <c r="CA89" s="1026"/>
      <c r="CB89" s="249"/>
      <c r="CC89" s="260"/>
      <c r="CD89" s="1026"/>
      <c r="CE89" s="1269"/>
      <c r="CF89" s="1270"/>
      <c r="CG89" s="1026"/>
      <c r="CH89" s="249"/>
      <c r="CI89" s="260"/>
      <c r="CJ89" s="1027"/>
      <c r="CK89" s="249"/>
      <c r="CL89" s="260"/>
      <c r="CM89" s="1555"/>
      <c r="CN89" s="249"/>
      <c r="CO89" s="216"/>
      <c r="CP89" s="1029"/>
      <c r="CQ89" s="249"/>
      <c r="CR89" s="216"/>
      <c r="CS89" s="1029"/>
      <c r="CT89" s="249"/>
      <c r="CU89" s="216"/>
      <c r="CV89" s="1027"/>
      <c r="CW89" s="249"/>
      <c r="CX89" s="221"/>
      <c r="CY89" s="1027"/>
      <c r="CZ89" s="249"/>
      <c r="DA89" s="216"/>
      <c r="DB89" s="1027" t="str">
        <f t="shared" si="19"/>
        <v/>
      </c>
      <c r="DC89" s="249"/>
      <c r="DD89" s="2519" t="str">
        <f t="shared" si="18"/>
        <v/>
      </c>
      <c r="DE89" s="1027"/>
      <c r="DF89" s="1556"/>
      <c r="DG89" s="1557"/>
      <c r="DH89" s="1027"/>
      <c r="DI89" s="1556"/>
      <c r="DJ89" s="1558"/>
      <c r="DK89" s="1559"/>
      <c r="DL89" s="249"/>
      <c r="DM89" s="221"/>
      <c r="DN89" s="313"/>
      <c r="DO89" s="249"/>
      <c r="DP89" s="216"/>
      <c r="DQ89" s="313"/>
      <c r="DR89" s="249"/>
      <c r="DS89" s="221"/>
      <c r="DT89" s="313"/>
      <c r="DU89" s="249"/>
      <c r="DV89" s="221"/>
      <c r="DW89" s="1560"/>
      <c r="DX89" s="1561"/>
      <c r="DY89" s="1562"/>
      <c r="DZ89" s="350"/>
      <c r="EA89" s="249"/>
      <c r="EB89" s="221"/>
      <c r="EC89" s="313"/>
      <c r="ED89" s="249"/>
      <c r="EE89" s="221"/>
      <c r="EF89" s="313"/>
      <c r="EG89" s="249"/>
      <c r="EH89" s="221"/>
      <c r="EI89" s="313"/>
      <c r="EJ89" s="249"/>
      <c r="EK89" s="216"/>
      <c r="EL89" s="1435"/>
      <c r="EM89" s="1619"/>
      <c r="EN89" s="1268"/>
      <c r="EO89" s="1563"/>
      <c r="EP89" s="1268"/>
      <c r="EQ89" s="1563"/>
      <c r="ER89" s="1268"/>
      <c r="ES89" s="1563"/>
      <c r="ET89" s="1268"/>
      <c r="EU89" s="1682"/>
      <c r="EV89" s="1683"/>
      <c r="EW89" s="1684"/>
      <c r="EX89" s="1685"/>
      <c r="EY89" s="1496"/>
      <c r="EZ89" s="252"/>
      <c r="FA89" s="395"/>
      <c r="FB89" s="223"/>
      <c r="FC89" s="1496"/>
      <c r="FD89" s="252"/>
      <c r="FE89" s="1564"/>
      <c r="FG89" s="256"/>
      <c r="FH89" s="256"/>
      <c r="FI89" s="256"/>
      <c r="FJ89" s="256"/>
      <c r="FK89" s="126"/>
      <c r="FL89" s="126"/>
      <c r="FM89" s="126"/>
      <c r="FN89" s="126"/>
      <c r="FO89" s="957"/>
      <c r="FP89" s="49"/>
      <c r="FR89" s="1566"/>
      <c r="FS89" s="1566"/>
      <c r="FT89" s="1566"/>
      <c r="FU89" s="2879"/>
      <c r="FV89" s="2880"/>
      <c r="FW89" s="2881"/>
      <c r="FX89" s="64"/>
      <c r="FY89" s="64"/>
      <c r="FZ89" s="64"/>
      <c r="GA89" s="64"/>
      <c r="GB89" s="64"/>
      <c r="GC89" s="64"/>
      <c r="GD89" s="64"/>
      <c r="GE89" s="64"/>
      <c r="GF89" s="64"/>
      <c r="GG89" s="64"/>
      <c r="GH89" s="64"/>
      <c r="GI89" s="64"/>
      <c r="GJ89" s="64"/>
      <c r="GK89" s="64"/>
      <c r="GL89" s="64"/>
      <c r="GM89" s="64"/>
      <c r="GN89" s="64"/>
      <c r="GO89" s="64"/>
      <c r="GP89" s="64"/>
      <c r="GQ89" s="64"/>
      <c r="GR89" s="64"/>
      <c r="GS89" s="64"/>
      <c r="GT89" s="64"/>
      <c r="GU89" s="64"/>
      <c r="GV89" s="64"/>
      <c r="GW89" s="64"/>
      <c r="GX89" s="64"/>
      <c r="GY89" s="64"/>
      <c r="GZ89" s="64"/>
      <c r="HA89" s="64"/>
      <c r="HB89" s="64"/>
      <c r="HC89" s="64"/>
      <c r="HD89" s="64"/>
      <c r="HE89" s="64"/>
      <c r="HF89" s="64"/>
      <c r="HG89" s="64"/>
      <c r="HH89" s="64"/>
      <c r="HI89" s="64"/>
      <c r="HJ89" s="64"/>
      <c r="HK89" s="64"/>
      <c r="HL89" s="64"/>
      <c r="HM89" s="64"/>
      <c r="HN89" s="64"/>
      <c r="HO89" s="64"/>
      <c r="HP89" s="64"/>
      <c r="HQ89" s="64"/>
      <c r="HR89" s="64"/>
      <c r="HS89" s="64"/>
      <c r="HT89" s="64"/>
      <c r="HU89" s="64"/>
      <c r="HV89" s="64"/>
      <c r="HW89" s="64"/>
      <c r="HX89" s="64"/>
      <c r="HY89" s="64"/>
      <c r="HZ89" s="64"/>
      <c r="IA89" s="64"/>
      <c r="IB89" s="64"/>
      <c r="IC89" s="64"/>
      <c r="ID89" s="64"/>
      <c r="IE89" s="64"/>
      <c r="IF89" s="64"/>
      <c r="IG89" s="64"/>
      <c r="IH89" s="64"/>
      <c r="II89" s="64"/>
      <c r="IJ89" s="64"/>
      <c r="IK89" s="64"/>
      <c r="IL89" s="64"/>
      <c r="IM89" s="64"/>
      <c r="IN89" s="64"/>
      <c r="IO89" s="64"/>
      <c r="IP89" s="64"/>
      <c r="IQ89" s="64"/>
      <c r="IR89" s="64"/>
      <c r="IS89" s="64"/>
      <c r="IT89" s="64"/>
      <c r="IU89" s="64"/>
    </row>
    <row r="90" spans="1:255" s="1565" customFormat="1" ht="13.5" customHeight="1">
      <c r="A90" s="1023"/>
      <c r="B90" s="1023"/>
      <c r="C90" s="1023"/>
      <c r="D90" s="1549"/>
      <c r="E90" s="1549"/>
      <c r="F90" s="1549"/>
      <c r="G90" s="1549"/>
      <c r="H90" s="1549"/>
      <c r="I90" s="1549"/>
      <c r="J90" s="1549"/>
      <c r="K90" s="1549"/>
      <c r="L90" s="1549"/>
      <c r="M90" s="1549"/>
      <c r="N90" s="1549"/>
      <c r="O90" s="1549"/>
      <c r="P90" s="1549"/>
      <c r="Q90" s="1550"/>
      <c r="R90" s="1550"/>
      <c r="S90" s="1550"/>
      <c r="T90" s="1186"/>
      <c r="U90" s="233"/>
      <c r="V90" s="216"/>
      <c r="W90" s="218"/>
      <c r="X90" s="218"/>
      <c r="Y90" s="216"/>
      <c r="Z90" s="216"/>
      <c r="AA90" s="252"/>
      <c r="AB90" s="252"/>
      <c r="AC90" s="252"/>
      <c r="AD90" s="253"/>
      <c r="AE90" s="252"/>
      <c r="AF90" s="252"/>
      <c r="AG90" s="252"/>
      <c r="AH90" s="252"/>
      <c r="AI90" s="252"/>
      <c r="AJ90" s="252"/>
      <c r="AK90" s="253"/>
      <c r="AL90" s="252"/>
      <c r="AM90" s="252"/>
      <c r="AN90" s="252"/>
      <c r="AO90" s="252"/>
      <c r="AP90" s="252"/>
      <c r="AQ90" s="252"/>
      <c r="AR90" s="252"/>
      <c r="AS90" s="252"/>
      <c r="AT90" s="252"/>
      <c r="AU90" s="252"/>
      <c r="AV90" s="1025"/>
      <c r="AW90" s="355"/>
      <c r="AX90" s="217"/>
      <c r="AY90" s="305"/>
      <c r="AZ90" s="249"/>
      <c r="BA90" s="216"/>
      <c r="BB90" s="1551"/>
      <c r="BC90" s="221"/>
      <c r="BD90" s="1552"/>
      <c r="BE90" s="1263"/>
      <c r="BF90" s="249"/>
      <c r="BG90" s="252"/>
      <c r="BH90" s="1543"/>
      <c r="BI90" s="1544"/>
      <c r="BJ90" s="1543"/>
      <c r="BK90" s="1545"/>
      <c r="BL90" s="260"/>
      <c r="BM90" s="216"/>
      <c r="BN90" s="1553"/>
      <c r="BO90" s="1553"/>
      <c r="BP90" s="1554"/>
      <c r="BQ90" s="216"/>
      <c r="BR90" s="1026"/>
      <c r="BS90" s="249"/>
      <c r="BT90" s="260"/>
      <c r="BU90" s="1026"/>
      <c r="BV90" s="249"/>
      <c r="BW90" s="260"/>
      <c r="BX90" s="1026"/>
      <c r="BY90" s="249"/>
      <c r="BZ90" s="260"/>
      <c r="CA90" s="1026"/>
      <c r="CB90" s="249"/>
      <c r="CC90" s="260"/>
      <c r="CD90" s="1026"/>
      <c r="CE90" s="1269"/>
      <c r="CF90" s="1270"/>
      <c r="CG90" s="1026"/>
      <c r="CH90" s="249"/>
      <c r="CI90" s="260"/>
      <c r="CJ90" s="1027"/>
      <c r="CK90" s="249"/>
      <c r="CL90" s="260"/>
      <c r="CM90" s="1555"/>
      <c r="CN90" s="249"/>
      <c r="CO90" s="216"/>
      <c r="CP90" s="1029"/>
      <c r="CQ90" s="249"/>
      <c r="CR90" s="216"/>
      <c r="CS90" s="1029"/>
      <c r="CT90" s="249"/>
      <c r="CU90" s="216"/>
      <c r="CV90" s="1027"/>
      <c r="CW90" s="249"/>
      <c r="CX90" s="221"/>
      <c r="CY90" s="1027"/>
      <c r="CZ90" s="249"/>
      <c r="DA90" s="216"/>
      <c r="DB90" s="1027" t="str">
        <f t="shared" si="19"/>
        <v/>
      </c>
      <c r="DC90" s="249"/>
      <c r="DD90" s="2519" t="str">
        <f t="shared" si="18"/>
        <v/>
      </c>
      <c r="DE90" s="1027"/>
      <c r="DF90" s="1556"/>
      <c r="DG90" s="1557"/>
      <c r="DH90" s="1027"/>
      <c r="DI90" s="1556"/>
      <c r="DJ90" s="1558"/>
      <c r="DK90" s="1559"/>
      <c r="DL90" s="249"/>
      <c r="DM90" s="221"/>
      <c r="DN90" s="313"/>
      <c r="DO90" s="249"/>
      <c r="DP90" s="216"/>
      <c r="DQ90" s="313"/>
      <c r="DR90" s="249"/>
      <c r="DS90" s="221"/>
      <c r="DT90" s="313"/>
      <c r="DU90" s="249"/>
      <c r="DV90" s="221"/>
      <c r="DW90" s="1560"/>
      <c r="DX90" s="1561"/>
      <c r="DY90" s="1562"/>
      <c r="DZ90" s="350"/>
      <c r="EA90" s="249"/>
      <c r="EB90" s="221"/>
      <c r="EC90" s="313"/>
      <c r="ED90" s="249"/>
      <c r="EE90" s="221"/>
      <c r="EF90" s="313"/>
      <c r="EG90" s="249"/>
      <c r="EH90" s="221"/>
      <c r="EI90" s="313"/>
      <c r="EJ90" s="249"/>
      <c r="EK90" s="216"/>
      <c r="EL90" s="1435"/>
      <c r="EM90" s="1619"/>
      <c r="EN90" s="1268"/>
      <c r="EO90" s="1563"/>
      <c r="EP90" s="1268"/>
      <c r="EQ90" s="1563"/>
      <c r="ER90" s="1268"/>
      <c r="ES90" s="1563"/>
      <c r="ET90" s="1268"/>
      <c r="EU90" s="1682"/>
      <c r="EV90" s="1683"/>
      <c r="EW90" s="1684"/>
      <c r="EX90" s="1685"/>
      <c r="EY90" s="1496"/>
      <c r="EZ90" s="252"/>
      <c r="FA90" s="395"/>
      <c r="FB90" s="223"/>
      <c r="FC90" s="1496"/>
      <c r="FD90" s="252"/>
      <c r="FE90" s="1564"/>
      <c r="FG90" s="256"/>
      <c r="FH90" s="256"/>
      <c r="FI90" s="256"/>
      <c r="FJ90" s="256"/>
      <c r="FK90" s="126"/>
      <c r="FL90" s="126"/>
      <c r="FM90" s="126"/>
      <c r="FN90" s="126"/>
      <c r="FO90" s="957"/>
      <c r="FP90" s="49"/>
      <c r="FR90" s="1566"/>
      <c r="FS90" s="1566"/>
      <c r="FT90" s="1566"/>
      <c r="FU90" s="2879"/>
      <c r="FV90" s="2880"/>
      <c r="FW90" s="2881"/>
      <c r="FX90" s="64"/>
      <c r="FY90" s="64"/>
      <c r="FZ90" s="64"/>
      <c r="GA90" s="64"/>
      <c r="GB90" s="64"/>
      <c r="GC90" s="64"/>
      <c r="GD90" s="64"/>
      <c r="GE90" s="64"/>
      <c r="GF90" s="64"/>
      <c r="GG90" s="64"/>
      <c r="GH90" s="64"/>
      <c r="GI90" s="64"/>
      <c r="GJ90" s="64"/>
      <c r="GK90" s="64"/>
      <c r="GL90" s="64"/>
      <c r="GM90" s="64"/>
      <c r="GN90" s="64"/>
      <c r="GO90" s="64"/>
      <c r="GP90" s="64"/>
      <c r="GQ90" s="64"/>
      <c r="GR90" s="64"/>
      <c r="GS90" s="64"/>
      <c r="GT90" s="64"/>
      <c r="GU90" s="64"/>
      <c r="GV90" s="64"/>
      <c r="GW90" s="64"/>
      <c r="GX90" s="64"/>
      <c r="GY90" s="64"/>
      <c r="GZ90" s="64"/>
      <c r="HA90" s="64"/>
      <c r="HB90" s="64"/>
      <c r="HC90" s="64"/>
      <c r="HD90" s="64"/>
      <c r="HE90" s="64"/>
      <c r="HF90" s="64"/>
      <c r="HG90" s="64"/>
      <c r="HH90" s="64"/>
      <c r="HI90" s="64"/>
      <c r="HJ90" s="64"/>
      <c r="HK90" s="64"/>
      <c r="HL90" s="64"/>
      <c r="HM90" s="64"/>
      <c r="HN90" s="64"/>
      <c r="HO90" s="64"/>
      <c r="HP90" s="64"/>
      <c r="HQ90" s="64"/>
      <c r="HR90" s="64"/>
      <c r="HS90" s="64"/>
      <c r="HT90" s="64"/>
      <c r="HU90" s="64"/>
      <c r="HV90" s="64"/>
      <c r="HW90" s="64"/>
      <c r="HX90" s="64"/>
      <c r="HY90" s="64"/>
      <c r="HZ90" s="64"/>
      <c r="IA90" s="64"/>
      <c r="IB90" s="64"/>
      <c r="IC90" s="64"/>
      <c r="ID90" s="64"/>
      <c r="IE90" s="64"/>
      <c r="IF90" s="64"/>
      <c r="IG90" s="64"/>
      <c r="IH90" s="64"/>
      <c r="II90" s="64"/>
      <c r="IJ90" s="64"/>
      <c r="IK90" s="64"/>
      <c r="IL90" s="64"/>
      <c r="IM90" s="64"/>
      <c r="IN90" s="64"/>
      <c r="IO90" s="64"/>
      <c r="IP90" s="64"/>
      <c r="IQ90" s="64"/>
      <c r="IR90" s="64"/>
      <c r="IS90" s="64"/>
      <c r="IT90" s="64"/>
      <c r="IU90" s="64"/>
    </row>
    <row r="91" spans="1:255" s="1565" customFormat="1" ht="13.5" customHeight="1">
      <c r="A91" s="1023"/>
      <c r="B91" s="1023"/>
      <c r="C91" s="1023"/>
      <c r="D91" s="1549"/>
      <c r="E91" s="1549"/>
      <c r="F91" s="1549"/>
      <c r="G91" s="1549"/>
      <c r="H91" s="1549"/>
      <c r="I91" s="1549"/>
      <c r="J91" s="1549"/>
      <c r="K91" s="1549"/>
      <c r="L91" s="1549"/>
      <c r="M91" s="1549"/>
      <c r="N91" s="1549"/>
      <c r="O91" s="1549"/>
      <c r="P91" s="1549"/>
      <c r="Q91" s="1550"/>
      <c r="R91" s="1550"/>
      <c r="S91" s="1550"/>
      <c r="T91" s="1186"/>
      <c r="U91" s="233"/>
      <c r="V91" s="216"/>
      <c r="W91" s="218"/>
      <c r="X91" s="218"/>
      <c r="Y91" s="216"/>
      <c r="Z91" s="216"/>
      <c r="AA91" s="252"/>
      <c r="AB91" s="252"/>
      <c r="AC91" s="252"/>
      <c r="AD91" s="253"/>
      <c r="AE91" s="252"/>
      <c r="AF91" s="252"/>
      <c r="AG91" s="252"/>
      <c r="AH91" s="252"/>
      <c r="AI91" s="252"/>
      <c r="AJ91" s="252"/>
      <c r="AK91" s="253"/>
      <c r="AL91" s="252"/>
      <c r="AM91" s="252"/>
      <c r="AN91" s="252"/>
      <c r="AO91" s="252"/>
      <c r="AP91" s="252"/>
      <c r="AQ91" s="252"/>
      <c r="AR91" s="252"/>
      <c r="AS91" s="252"/>
      <c r="AT91" s="252"/>
      <c r="AU91" s="252"/>
      <c r="AV91" s="1025"/>
      <c r="AW91" s="355"/>
      <c r="AX91" s="217"/>
      <c r="AY91" s="305"/>
      <c r="AZ91" s="249"/>
      <c r="BA91" s="216"/>
      <c r="BB91" s="1551"/>
      <c r="BC91" s="221"/>
      <c r="BD91" s="1552"/>
      <c r="BE91" s="1263"/>
      <c r="BF91" s="249"/>
      <c r="BG91" s="252"/>
      <c r="BH91" s="1543"/>
      <c r="BI91" s="1544"/>
      <c r="BJ91" s="1543"/>
      <c r="BK91" s="1545"/>
      <c r="BL91" s="260"/>
      <c r="BM91" s="216"/>
      <c r="BN91" s="1553"/>
      <c r="BO91" s="1553"/>
      <c r="BP91" s="1554"/>
      <c r="BQ91" s="216"/>
      <c r="BR91" s="1026"/>
      <c r="BS91" s="249"/>
      <c r="BT91" s="260"/>
      <c r="BU91" s="1026"/>
      <c r="BV91" s="249"/>
      <c r="BW91" s="260"/>
      <c r="BX91" s="1026"/>
      <c r="BY91" s="249"/>
      <c r="BZ91" s="260"/>
      <c r="CA91" s="1026"/>
      <c r="CB91" s="249"/>
      <c r="CC91" s="260"/>
      <c r="CD91" s="1026"/>
      <c r="CE91" s="1269"/>
      <c r="CF91" s="1270"/>
      <c r="CG91" s="1026"/>
      <c r="CH91" s="249"/>
      <c r="CI91" s="260"/>
      <c r="CJ91" s="1027"/>
      <c r="CK91" s="249"/>
      <c r="CL91" s="260"/>
      <c r="CM91" s="1555"/>
      <c r="CN91" s="249"/>
      <c r="CO91" s="216"/>
      <c r="CP91" s="1029"/>
      <c r="CQ91" s="249"/>
      <c r="CR91" s="216"/>
      <c r="CS91" s="1029"/>
      <c r="CT91" s="249"/>
      <c r="CU91" s="216"/>
      <c r="CV91" s="1027"/>
      <c r="CW91" s="249"/>
      <c r="CX91" s="221"/>
      <c r="CY91" s="1027"/>
      <c r="CZ91" s="249"/>
      <c r="DA91" s="216"/>
      <c r="DB91" s="1027" t="str">
        <f t="shared" si="19"/>
        <v/>
      </c>
      <c r="DC91" s="249"/>
      <c r="DD91" s="2519" t="str">
        <f t="shared" si="18"/>
        <v/>
      </c>
      <c r="DE91" s="1027"/>
      <c r="DF91" s="1556"/>
      <c r="DG91" s="1557"/>
      <c r="DH91" s="1027"/>
      <c r="DI91" s="1556"/>
      <c r="DJ91" s="1558"/>
      <c r="DK91" s="1559"/>
      <c r="DL91" s="249"/>
      <c r="DM91" s="221"/>
      <c r="DN91" s="313"/>
      <c r="DO91" s="249"/>
      <c r="DP91" s="216"/>
      <c r="DQ91" s="313"/>
      <c r="DR91" s="249"/>
      <c r="DS91" s="221"/>
      <c r="DT91" s="313"/>
      <c r="DU91" s="249"/>
      <c r="DV91" s="221"/>
      <c r="DW91" s="1560"/>
      <c r="DX91" s="1561"/>
      <c r="DY91" s="1562"/>
      <c r="DZ91" s="350"/>
      <c r="EA91" s="249"/>
      <c r="EB91" s="221"/>
      <c r="EC91" s="313"/>
      <c r="ED91" s="249"/>
      <c r="EE91" s="221"/>
      <c r="EF91" s="313"/>
      <c r="EG91" s="249"/>
      <c r="EH91" s="221"/>
      <c r="EI91" s="313"/>
      <c r="EJ91" s="249"/>
      <c r="EK91" s="216"/>
      <c r="EL91" s="1435"/>
      <c r="EM91" s="1619"/>
      <c r="EN91" s="1268"/>
      <c r="EO91" s="1563"/>
      <c r="EP91" s="1268"/>
      <c r="EQ91" s="1563"/>
      <c r="ER91" s="1268"/>
      <c r="ES91" s="1563"/>
      <c r="ET91" s="1268"/>
      <c r="EU91" s="1682"/>
      <c r="EV91" s="1683"/>
      <c r="EW91" s="1684"/>
      <c r="EX91" s="1685"/>
      <c r="EY91" s="1496"/>
      <c r="EZ91" s="252"/>
      <c r="FA91" s="395"/>
      <c r="FB91" s="223"/>
      <c r="FC91" s="1496"/>
      <c r="FD91" s="252"/>
      <c r="FE91" s="1564"/>
      <c r="FG91" s="256"/>
      <c r="FH91" s="256"/>
      <c r="FI91" s="256"/>
      <c r="FJ91" s="256"/>
      <c r="FK91" s="126"/>
      <c r="FL91" s="126"/>
      <c r="FM91" s="126"/>
      <c r="FN91" s="126"/>
      <c r="FO91" s="957"/>
      <c r="FP91" s="49"/>
      <c r="FR91" s="1566"/>
      <c r="FS91" s="1566"/>
      <c r="FT91" s="1566"/>
      <c r="FU91" s="2879"/>
      <c r="FV91" s="2880"/>
      <c r="FW91" s="2881"/>
      <c r="FX91" s="64"/>
      <c r="FY91" s="64"/>
      <c r="FZ91" s="64"/>
      <c r="GA91" s="64"/>
      <c r="GB91" s="64"/>
      <c r="GC91" s="64"/>
      <c r="GD91" s="64"/>
      <c r="GE91" s="64"/>
      <c r="GF91" s="64"/>
      <c r="GG91" s="64"/>
      <c r="GH91" s="64"/>
      <c r="GI91" s="64"/>
      <c r="GJ91" s="64"/>
      <c r="GK91" s="64"/>
      <c r="GL91" s="64"/>
      <c r="GM91" s="64"/>
      <c r="GN91" s="64"/>
      <c r="GO91" s="64"/>
      <c r="GP91" s="64"/>
      <c r="GQ91" s="64"/>
      <c r="GR91" s="64"/>
      <c r="GS91" s="64"/>
      <c r="GT91" s="64"/>
      <c r="GU91" s="64"/>
      <c r="GV91" s="64"/>
      <c r="GW91" s="64"/>
      <c r="GX91" s="64"/>
      <c r="GY91" s="64"/>
      <c r="GZ91" s="64"/>
      <c r="HA91" s="64"/>
      <c r="HB91" s="64"/>
      <c r="HC91" s="64"/>
      <c r="HD91" s="64"/>
      <c r="HE91" s="64"/>
      <c r="HF91" s="64"/>
      <c r="HG91" s="64"/>
      <c r="HH91" s="64"/>
      <c r="HI91" s="64"/>
      <c r="HJ91" s="64"/>
      <c r="HK91" s="64"/>
      <c r="HL91" s="64"/>
      <c r="HM91" s="64"/>
      <c r="HN91" s="64"/>
      <c r="HO91" s="64"/>
      <c r="HP91" s="64"/>
      <c r="HQ91" s="64"/>
      <c r="HR91" s="64"/>
      <c r="HS91" s="64"/>
      <c r="HT91" s="64"/>
      <c r="HU91" s="64"/>
      <c r="HV91" s="64"/>
      <c r="HW91" s="64"/>
      <c r="HX91" s="64"/>
      <c r="HY91" s="64"/>
      <c r="HZ91" s="64"/>
      <c r="IA91" s="64"/>
      <c r="IB91" s="64"/>
      <c r="IC91" s="64"/>
      <c r="ID91" s="64"/>
      <c r="IE91" s="64"/>
      <c r="IF91" s="64"/>
      <c r="IG91" s="64"/>
      <c r="IH91" s="64"/>
      <c r="II91" s="64"/>
      <c r="IJ91" s="64"/>
      <c r="IK91" s="64"/>
      <c r="IL91" s="64"/>
      <c r="IM91" s="64"/>
      <c r="IN91" s="64"/>
      <c r="IO91" s="64"/>
      <c r="IP91" s="64"/>
      <c r="IQ91" s="64"/>
      <c r="IR91" s="64"/>
      <c r="IS91" s="64"/>
      <c r="IT91" s="64"/>
      <c r="IU91" s="64"/>
    </row>
    <row r="92" spans="1:255" s="1565" customFormat="1" ht="13.5" customHeight="1">
      <c r="A92" s="1023"/>
      <c r="B92" s="1023"/>
      <c r="C92" s="1023"/>
      <c r="D92" s="1549"/>
      <c r="E92" s="1549"/>
      <c r="F92" s="1549"/>
      <c r="G92" s="1549"/>
      <c r="H92" s="1549"/>
      <c r="I92" s="1549"/>
      <c r="J92" s="1549"/>
      <c r="K92" s="1549"/>
      <c r="L92" s="1549"/>
      <c r="M92" s="1549"/>
      <c r="N92" s="1549"/>
      <c r="O92" s="1549"/>
      <c r="P92" s="1549"/>
      <c r="Q92" s="1550"/>
      <c r="R92" s="1550"/>
      <c r="S92" s="1550"/>
      <c r="T92" s="1186"/>
      <c r="U92" s="233"/>
      <c r="V92" s="216"/>
      <c r="W92" s="218"/>
      <c r="X92" s="218"/>
      <c r="Y92" s="216"/>
      <c r="Z92" s="216"/>
      <c r="AA92" s="252"/>
      <c r="AB92" s="252"/>
      <c r="AC92" s="252"/>
      <c r="AD92" s="253"/>
      <c r="AE92" s="252"/>
      <c r="AF92" s="252"/>
      <c r="AG92" s="252"/>
      <c r="AH92" s="252"/>
      <c r="AI92" s="252"/>
      <c r="AJ92" s="252"/>
      <c r="AK92" s="253"/>
      <c r="AL92" s="252"/>
      <c r="AM92" s="252"/>
      <c r="AN92" s="252"/>
      <c r="AO92" s="252"/>
      <c r="AP92" s="252"/>
      <c r="AQ92" s="252"/>
      <c r="AR92" s="252"/>
      <c r="AS92" s="252"/>
      <c r="AT92" s="252"/>
      <c r="AU92" s="252"/>
      <c r="AV92" s="1025"/>
      <c r="AW92" s="355"/>
      <c r="AX92" s="217"/>
      <c r="AY92" s="305"/>
      <c r="AZ92" s="249"/>
      <c r="BA92" s="216"/>
      <c r="BB92" s="1551"/>
      <c r="BC92" s="221"/>
      <c r="BD92" s="1552"/>
      <c r="BE92" s="1263"/>
      <c r="BF92" s="249"/>
      <c r="BG92" s="252"/>
      <c r="BH92" s="1543"/>
      <c r="BI92" s="1544"/>
      <c r="BJ92" s="1543"/>
      <c r="BK92" s="1545"/>
      <c r="BL92" s="260"/>
      <c r="BM92" s="216"/>
      <c r="BN92" s="1553"/>
      <c r="BO92" s="1553"/>
      <c r="BP92" s="1554"/>
      <c r="BQ92" s="216"/>
      <c r="BR92" s="1026"/>
      <c r="BS92" s="249"/>
      <c r="BT92" s="260"/>
      <c r="BU92" s="1026"/>
      <c r="BV92" s="249"/>
      <c r="BW92" s="260"/>
      <c r="BX92" s="1026"/>
      <c r="BY92" s="249"/>
      <c r="BZ92" s="260"/>
      <c r="CA92" s="1026"/>
      <c r="CB92" s="249"/>
      <c r="CC92" s="260"/>
      <c r="CD92" s="1026"/>
      <c r="CE92" s="1269"/>
      <c r="CF92" s="1270"/>
      <c r="CG92" s="1026"/>
      <c r="CH92" s="249"/>
      <c r="CI92" s="260"/>
      <c r="CJ92" s="1027"/>
      <c r="CK92" s="249"/>
      <c r="CL92" s="260"/>
      <c r="CM92" s="1555"/>
      <c r="CN92" s="249"/>
      <c r="CO92" s="216"/>
      <c r="CP92" s="1029"/>
      <c r="CQ92" s="249"/>
      <c r="CR92" s="216"/>
      <c r="CS92" s="1029"/>
      <c r="CT92" s="249"/>
      <c r="CU92" s="216"/>
      <c r="CV92" s="1027"/>
      <c r="CW92" s="249"/>
      <c r="CX92" s="221"/>
      <c r="CY92" s="1027"/>
      <c r="CZ92" s="249"/>
      <c r="DA92" s="216"/>
      <c r="DB92" s="1027" t="str">
        <f t="shared" si="19"/>
        <v/>
      </c>
      <c r="DC92" s="249"/>
      <c r="DD92" s="2519" t="str">
        <f t="shared" si="18"/>
        <v/>
      </c>
      <c r="DE92" s="1027"/>
      <c r="DF92" s="1556"/>
      <c r="DG92" s="1557"/>
      <c r="DH92" s="1027"/>
      <c r="DI92" s="1556"/>
      <c r="DJ92" s="1558"/>
      <c r="DK92" s="1559"/>
      <c r="DL92" s="249"/>
      <c r="DM92" s="221"/>
      <c r="DN92" s="313"/>
      <c r="DO92" s="249"/>
      <c r="DP92" s="216"/>
      <c r="DQ92" s="313"/>
      <c r="DR92" s="249"/>
      <c r="DS92" s="221"/>
      <c r="DT92" s="313"/>
      <c r="DU92" s="249"/>
      <c r="DV92" s="221"/>
      <c r="DW92" s="1560"/>
      <c r="DX92" s="1561"/>
      <c r="DY92" s="1562"/>
      <c r="DZ92" s="350"/>
      <c r="EA92" s="249"/>
      <c r="EB92" s="221"/>
      <c r="EC92" s="313"/>
      <c r="ED92" s="249"/>
      <c r="EE92" s="221"/>
      <c r="EF92" s="313"/>
      <c r="EG92" s="249"/>
      <c r="EH92" s="221"/>
      <c r="EI92" s="313"/>
      <c r="EJ92" s="249"/>
      <c r="EK92" s="216"/>
      <c r="EL92" s="1435"/>
      <c r="EM92" s="1619"/>
      <c r="EN92" s="1268"/>
      <c r="EO92" s="1563"/>
      <c r="EP92" s="1268"/>
      <c r="EQ92" s="1563"/>
      <c r="ER92" s="1268"/>
      <c r="ES92" s="1563"/>
      <c r="ET92" s="1268"/>
      <c r="EU92" s="1682"/>
      <c r="EV92" s="1683"/>
      <c r="EW92" s="1684"/>
      <c r="EX92" s="1685"/>
      <c r="EY92" s="1496"/>
      <c r="EZ92" s="252"/>
      <c r="FA92" s="395"/>
      <c r="FB92" s="223"/>
      <c r="FC92" s="1496"/>
      <c r="FD92" s="252"/>
      <c r="FE92" s="1564"/>
      <c r="FG92" s="256"/>
      <c r="FH92" s="256"/>
      <c r="FI92" s="256"/>
      <c r="FJ92" s="256"/>
      <c r="FK92" s="126"/>
      <c r="FL92" s="126"/>
      <c r="FM92" s="126"/>
      <c r="FN92" s="126"/>
      <c r="FO92" s="957"/>
      <c r="FP92" s="49"/>
      <c r="FR92" s="1566"/>
      <c r="FS92" s="1566"/>
      <c r="FT92" s="1566"/>
      <c r="FU92" s="2879"/>
      <c r="FV92" s="2880"/>
      <c r="FW92" s="2881"/>
      <c r="FX92" s="64"/>
      <c r="FY92" s="64"/>
      <c r="FZ92" s="64"/>
      <c r="GA92" s="64"/>
      <c r="GB92" s="64"/>
      <c r="GC92" s="64"/>
      <c r="GD92" s="64"/>
      <c r="GE92" s="64"/>
      <c r="GF92" s="64"/>
      <c r="GG92" s="64"/>
      <c r="GH92" s="64"/>
      <c r="GI92" s="64"/>
      <c r="GJ92" s="64"/>
      <c r="GK92" s="64"/>
      <c r="GL92" s="64"/>
      <c r="GM92" s="64"/>
      <c r="GN92" s="64"/>
      <c r="GO92" s="64"/>
      <c r="GP92" s="64"/>
      <c r="GQ92" s="64"/>
      <c r="GR92" s="64"/>
      <c r="GS92" s="64"/>
      <c r="GT92" s="64"/>
      <c r="GU92" s="64"/>
      <c r="GV92" s="64"/>
      <c r="GW92" s="64"/>
      <c r="GX92" s="64"/>
      <c r="GY92" s="64"/>
      <c r="GZ92" s="64"/>
      <c r="HA92" s="64"/>
      <c r="HB92" s="64"/>
      <c r="HC92" s="64"/>
      <c r="HD92" s="64"/>
      <c r="HE92" s="64"/>
      <c r="HF92" s="64"/>
      <c r="HG92" s="64"/>
      <c r="HH92" s="64"/>
      <c r="HI92" s="64"/>
      <c r="HJ92" s="64"/>
      <c r="HK92" s="64"/>
      <c r="HL92" s="64"/>
      <c r="HM92" s="64"/>
      <c r="HN92" s="64"/>
      <c r="HO92" s="64"/>
      <c r="HP92" s="64"/>
      <c r="HQ92" s="64"/>
      <c r="HR92" s="64"/>
      <c r="HS92" s="64"/>
      <c r="HT92" s="64"/>
      <c r="HU92" s="64"/>
      <c r="HV92" s="64"/>
      <c r="HW92" s="64"/>
      <c r="HX92" s="64"/>
      <c r="HY92" s="64"/>
      <c r="HZ92" s="64"/>
      <c r="IA92" s="64"/>
      <c r="IB92" s="64"/>
      <c r="IC92" s="64"/>
      <c r="ID92" s="64"/>
      <c r="IE92" s="64"/>
      <c r="IF92" s="64"/>
      <c r="IG92" s="64"/>
      <c r="IH92" s="64"/>
      <c r="II92" s="64"/>
      <c r="IJ92" s="64"/>
      <c r="IK92" s="64"/>
      <c r="IL92" s="64"/>
      <c r="IM92" s="64"/>
      <c r="IN92" s="64"/>
      <c r="IO92" s="64"/>
      <c r="IP92" s="64"/>
      <c r="IQ92" s="64"/>
      <c r="IR92" s="64"/>
      <c r="IS92" s="64"/>
      <c r="IT92" s="64"/>
      <c r="IU92" s="64"/>
    </row>
    <row r="93" spans="1:255" s="1565" customFormat="1" ht="13.5" customHeight="1">
      <c r="A93" s="1023"/>
      <c r="B93" s="1023"/>
      <c r="C93" s="1023"/>
      <c r="D93" s="1549"/>
      <c r="E93" s="1549"/>
      <c r="F93" s="1549"/>
      <c r="G93" s="1549"/>
      <c r="H93" s="1549"/>
      <c r="I93" s="1549"/>
      <c r="J93" s="1549"/>
      <c r="K93" s="1549"/>
      <c r="L93" s="1549"/>
      <c r="M93" s="1549"/>
      <c r="N93" s="1549"/>
      <c r="O93" s="1549"/>
      <c r="P93" s="1549"/>
      <c r="Q93" s="1550"/>
      <c r="R93" s="1550"/>
      <c r="S93" s="1550"/>
      <c r="T93" s="1186"/>
      <c r="U93" s="233"/>
      <c r="V93" s="216"/>
      <c r="W93" s="218"/>
      <c r="X93" s="218"/>
      <c r="Y93" s="216"/>
      <c r="Z93" s="216"/>
      <c r="AA93" s="252"/>
      <c r="AB93" s="252"/>
      <c r="AC93" s="252"/>
      <c r="AD93" s="253"/>
      <c r="AE93" s="252"/>
      <c r="AF93" s="252"/>
      <c r="AG93" s="252"/>
      <c r="AH93" s="252"/>
      <c r="AI93" s="252"/>
      <c r="AJ93" s="252"/>
      <c r="AK93" s="253"/>
      <c r="AL93" s="252"/>
      <c r="AM93" s="252"/>
      <c r="AN93" s="252"/>
      <c r="AO93" s="252"/>
      <c r="AP93" s="252"/>
      <c r="AQ93" s="252"/>
      <c r="AR93" s="252"/>
      <c r="AS93" s="252"/>
      <c r="AT93" s="252"/>
      <c r="AU93" s="252"/>
      <c r="AV93" s="1025"/>
      <c r="AW93" s="355"/>
      <c r="AX93" s="217"/>
      <c r="AY93" s="305"/>
      <c r="AZ93" s="249"/>
      <c r="BA93" s="216"/>
      <c r="BB93" s="1551"/>
      <c r="BC93" s="221"/>
      <c r="BD93" s="1552"/>
      <c r="BE93" s="1263"/>
      <c r="BF93" s="249"/>
      <c r="BG93" s="252"/>
      <c r="BH93" s="1543"/>
      <c r="BI93" s="1544"/>
      <c r="BJ93" s="1543"/>
      <c r="BK93" s="1545"/>
      <c r="BL93" s="260"/>
      <c r="BM93" s="216"/>
      <c r="BN93" s="1553"/>
      <c r="BO93" s="1553"/>
      <c r="BP93" s="1554"/>
      <c r="BQ93" s="216"/>
      <c r="BR93" s="1026"/>
      <c r="BS93" s="249"/>
      <c r="BT93" s="260"/>
      <c r="BU93" s="1026"/>
      <c r="BV93" s="249"/>
      <c r="BW93" s="260"/>
      <c r="BX93" s="1026"/>
      <c r="BY93" s="249"/>
      <c r="BZ93" s="260"/>
      <c r="CA93" s="1026"/>
      <c r="CB93" s="249"/>
      <c r="CC93" s="260"/>
      <c r="CD93" s="1026"/>
      <c r="CE93" s="1269"/>
      <c r="CF93" s="1270"/>
      <c r="CG93" s="1026"/>
      <c r="CH93" s="249"/>
      <c r="CI93" s="260"/>
      <c r="CJ93" s="1027"/>
      <c r="CK93" s="249"/>
      <c r="CL93" s="260"/>
      <c r="CM93" s="1555"/>
      <c r="CN93" s="249"/>
      <c r="CO93" s="216"/>
      <c r="CP93" s="1029"/>
      <c r="CQ93" s="249"/>
      <c r="CR93" s="216"/>
      <c r="CS93" s="1029"/>
      <c r="CT93" s="249"/>
      <c r="CU93" s="216"/>
      <c r="CV93" s="1027"/>
      <c r="CW93" s="249"/>
      <c r="CX93" s="221"/>
      <c r="CY93" s="1027"/>
      <c r="CZ93" s="249"/>
      <c r="DA93" s="216"/>
      <c r="DB93" s="1027" t="str">
        <f t="shared" si="19"/>
        <v/>
      </c>
      <c r="DC93" s="249"/>
      <c r="DD93" s="2519" t="str">
        <f t="shared" si="18"/>
        <v/>
      </c>
      <c r="DE93" s="1027"/>
      <c r="DF93" s="1556"/>
      <c r="DG93" s="1557"/>
      <c r="DH93" s="1027"/>
      <c r="DI93" s="1556"/>
      <c r="DJ93" s="1558"/>
      <c r="DK93" s="1559"/>
      <c r="DL93" s="249"/>
      <c r="DM93" s="221"/>
      <c r="DN93" s="313"/>
      <c r="DO93" s="249"/>
      <c r="DP93" s="216"/>
      <c r="DQ93" s="313"/>
      <c r="DR93" s="249"/>
      <c r="DS93" s="221"/>
      <c r="DT93" s="313"/>
      <c r="DU93" s="249"/>
      <c r="DV93" s="221"/>
      <c r="DW93" s="1560"/>
      <c r="DX93" s="1561"/>
      <c r="DY93" s="1562"/>
      <c r="DZ93" s="350"/>
      <c r="EA93" s="249"/>
      <c r="EB93" s="221"/>
      <c r="EC93" s="313"/>
      <c r="ED93" s="249"/>
      <c r="EE93" s="221"/>
      <c r="EF93" s="313"/>
      <c r="EG93" s="249"/>
      <c r="EH93" s="221"/>
      <c r="EI93" s="313"/>
      <c r="EJ93" s="249"/>
      <c r="EK93" s="216"/>
      <c r="EL93" s="1435"/>
      <c r="EM93" s="1619"/>
      <c r="EN93" s="1268"/>
      <c r="EO93" s="1563"/>
      <c r="EP93" s="1268"/>
      <c r="EQ93" s="1563"/>
      <c r="ER93" s="1268"/>
      <c r="ES93" s="1563"/>
      <c r="ET93" s="1268"/>
      <c r="EU93" s="1682"/>
      <c r="EV93" s="1683"/>
      <c r="EW93" s="1684"/>
      <c r="EX93" s="1685"/>
      <c r="EY93" s="1496"/>
      <c r="EZ93" s="252"/>
      <c r="FA93" s="395"/>
      <c r="FB93" s="223"/>
      <c r="FC93" s="1496"/>
      <c r="FD93" s="252"/>
      <c r="FE93" s="1564"/>
      <c r="FG93" s="256"/>
      <c r="FH93" s="256"/>
      <c r="FI93" s="256"/>
      <c r="FJ93" s="256"/>
      <c r="FK93" s="126"/>
      <c r="FL93" s="126"/>
      <c r="FM93" s="126"/>
      <c r="FN93" s="126"/>
      <c r="FO93" s="957"/>
      <c r="FP93" s="49"/>
      <c r="FR93" s="1566"/>
      <c r="FS93" s="1566"/>
      <c r="FT93" s="1566"/>
      <c r="FU93" s="2879"/>
      <c r="FV93" s="2880"/>
      <c r="FW93" s="2881"/>
      <c r="FX93" s="64"/>
      <c r="FY93" s="64"/>
      <c r="FZ93" s="64"/>
      <c r="GA93" s="64"/>
      <c r="GB93" s="64"/>
      <c r="GC93" s="64"/>
      <c r="GD93" s="64"/>
      <c r="GE93" s="64"/>
      <c r="GF93" s="64"/>
      <c r="GG93" s="64"/>
      <c r="GH93" s="64"/>
      <c r="GI93" s="64"/>
      <c r="GJ93" s="64"/>
      <c r="GK93" s="64"/>
      <c r="GL93" s="64"/>
      <c r="GM93" s="64"/>
      <c r="GN93" s="64"/>
      <c r="GO93" s="64"/>
      <c r="GP93" s="64"/>
      <c r="GQ93" s="64"/>
      <c r="GR93" s="64"/>
      <c r="GS93" s="64"/>
      <c r="GT93" s="64"/>
      <c r="GU93" s="64"/>
      <c r="GV93" s="64"/>
      <c r="GW93" s="64"/>
      <c r="GX93" s="64"/>
      <c r="GY93" s="64"/>
      <c r="GZ93" s="64"/>
      <c r="HA93" s="64"/>
      <c r="HB93" s="64"/>
      <c r="HC93" s="64"/>
      <c r="HD93" s="64"/>
      <c r="HE93" s="64"/>
      <c r="HF93" s="64"/>
      <c r="HG93" s="64"/>
      <c r="HH93" s="64"/>
      <c r="HI93" s="64"/>
      <c r="HJ93" s="64"/>
      <c r="HK93" s="64"/>
      <c r="HL93" s="64"/>
      <c r="HM93" s="64"/>
      <c r="HN93" s="64"/>
      <c r="HO93" s="64"/>
      <c r="HP93" s="64"/>
      <c r="HQ93" s="64"/>
      <c r="HR93" s="64"/>
      <c r="HS93" s="64"/>
      <c r="HT93" s="64"/>
      <c r="HU93" s="64"/>
      <c r="HV93" s="64"/>
      <c r="HW93" s="64"/>
      <c r="HX93" s="64"/>
      <c r="HY93" s="64"/>
      <c r="HZ93" s="64"/>
      <c r="IA93" s="64"/>
      <c r="IB93" s="64"/>
      <c r="IC93" s="64"/>
      <c r="ID93" s="64"/>
      <c r="IE93" s="64"/>
      <c r="IF93" s="64"/>
      <c r="IG93" s="64"/>
      <c r="IH93" s="64"/>
      <c r="II93" s="64"/>
      <c r="IJ93" s="64"/>
      <c r="IK93" s="64"/>
      <c r="IL93" s="64"/>
      <c r="IM93" s="64"/>
      <c r="IN93" s="64"/>
      <c r="IO93" s="64"/>
      <c r="IP93" s="64"/>
      <c r="IQ93" s="64"/>
      <c r="IR93" s="64"/>
      <c r="IS93" s="64"/>
      <c r="IT93" s="64"/>
      <c r="IU93" s="64"/>
    </row>
    <row r="94" spans="1:255" s="1565" customFormat="1" ht="13.5" customHeight="1">
      <c r="A94" s="1023"/>
      <c r="B94" s="1023"/>
      <c r="C94" s="1023"/>
      <c r="D94" s="1549"/>
      <c r="E94" s="1549"/>
      <c r="F94" s="1549"/>
      <c r="G94" s="1549"/>
      <c r="H94" s="1549"/>
      <c r="I94" s="1549"/>
      <c r="J94" s="1549"/>
      <c r="K94" s="1549"/>
      <c r="L94" s="1549"/>
      <c r="M94" s="1549"/>
      <c r="N94" s="1549"/>
      <c r="O94" s="1549"/>
      <c r="P94" s="1549"/>
      <c r="Q94" s="1550"/>
      <c r="R94" s="1550"/>
      <c r="S94" s="1550"/>
      <c r="T94" s="1186"/>
      <c r="U94" s="233"/>
      <c r="V94" s="216"/>
      <c r="W94" s="218"/>
      <c r="X94" s="218"/>
      <c r="Y94" s="216"/>
      <c r="Z94" s="216"/>
      <c r="AA94" s="252"/>
      <c r="AB94" s="252"/>
      <c r="AC94" s="252"/>
      <c r="AD94" s="253"/>
      <c r="AE94" s="252"/>
      <c r="AF94" s="252"/>
      <c r="AG94" s="252"/>
      <c r="AH94" s="252"/>
      <c r="AI94" s="252"/>
      <c r="AJ94" s="252"/>
      <c r="AK94" s="253"/>
      <c r="AL94" s="252"/>
      <c r="AM94" s="252"/>
      <c r="AN94" s="252"/>
      <c r="AO94" s="252"/>
      <c r="AP94" s="252"/>
      <c r="AQ94" s="252"/>
      <c r="AR94" s="252"/>
      <c r="AS94" s="252"/>
      <c r="AT94" s="252"/>
      <c r="AU94" s="252"/>
      <c r="AV94" s="1025"/>
      <c r="AW94" s="355"/>
      <c r="AX94" s="217"/>
      <c r="AY94" s="305"/>
      <c r="AZ94" s="249"/>
      <c r="BA94" s="216"/>
      <c r="BB94" s="1551"/>
      <c r="BC94" s="221"/>
      <c r="BD94" s="1552"/>
      <c r="BE94" s="1263"/>
      <c r="BF94" s="249"/>
      <c r="BG94" s="252"/>
      <c r="BH94" s="1543"/>
      <c r="BI94" s="1544"/>
      <c r="BJ94" s="1543"/>
      <c r="BK94" s="1545"/>
      <c r="BL94" s="260"/>
      <c r="BM94" s="216"/>
      <c r="BN94" s="1553"/>
      <c r="BO94" s="1553"/>
      <c r="BP94" s="1554"/>
      <c r="BQ94" s="216"/>
      <c r="BR94" s="1026"/>
      <c r="BS94" s="249"/>
      <c r="BT94" s="260"/>
      <c r="BU94" s="1026"/>
      <c r="BV94" s="249"/>
      <c r="BW94" s="260"/>
      <c r="BX94" s="1026"/>
      <c r="BY94" s="249"/>
      <c r="BZ94" s="260"/>
      <c r="CA94" s="1026"/>
      <c r="CB94" s="249"/>
      <c r="CC94" s="260"/>
      <c r="CD94" s="1026"/>
      <c r="CE94" s="1269"/>
      <c r="CF94" s="1270"/>
      <c r="CG94" s="1026"/>
      <c r="CH94" s="249"/>
      <c r="CI94" s="260"/>
      <c r="CJ94" s="1027"/>
      <c r="CK94" s="249"/>
      <c r="CL94" s="260"/>
      <c r="CM94" s="1555"/>
      <c r="CN94" s="249"/>
      <c r="CO94" s="216"/>
      <c r="CP94" s="1029"/>
      <c r="CQ94" s="249"/>
      <c r="CR94" s="216"/>
      <c r="CS94" s="1029"/>
      <c r="CT94" s="249"/>
      <c r="CU94" s="216"/>
      <c r="CV94" s="1027"/>
      <c r="CW94" s="249"/>
      <c r="CX94" s="221"/>
      <c r="CY94" s="1027"/>
      <c r="CZ94" s="249"/>
      <c r="DA94" s="216"/>
      <c r="DB94" s="1027" t="str">
        <f t="shared" si="19"/>
        <v/>
      </c>
      <c r="DC94" s="249"/>
      <c r="DD94" s="2519" t="str">
        <f t="shared" si="18"/>
        <v/>
      </c>
      <c r="DE94" s="1027"/>
      <c r="DF94" s="1556"/>
      <c r="DG94" s="1557"/>
      <c r="DH94" s="1027"/>
      <c r="DI94" s="1556"/>
      <c r="DJ94" s="1558"/>
      <c r="DK94" s="1559"/>
      <c r="DL94" s="249"/>
      <c r="DM94" s="221"/>
      <c r="DN94" s="313"/>
      <c r="DO94" s="249"/>
      <c r="DP94" s="216"/>
      <c r="DQ94" s="313"/>
      <c r="DR94" s="249"/>
      <c r="DS94" s="221"/>
      <c r="DT94" s="313"/>
      <c r="DU94" s="249"/>
      <c r="DV94" s="221"/>
      <c r="DW94" s="1560"/>
      <c r="DX94" s="1561"/>
      <c r="DY94" s="1562"/>
      <c r="DZ94" s="350"/>
      <c r="EA94" s="249"/>
      <c r="EB94" s="221"/>
      <c r="EC94" s="313"/>
      <c r="ED94" s="249"/>
      <c r="EE94" s="221"/>
      <c r="EF94" s="313"/>
      <c r="EG94" s="249"/>
      <c r="EH94" s="221"/>
      <c r="EI94" s="313"/>
      <c r="EJ94" s="249"/>
      <c r="EK94" s="216"/>
      <c r="EL94" s="1435"/>
      <c r="EM94" s="1619"/>
      <c r="EN94" s="1268"/>
      <c r="EO94" s="1563"/>
      <c r="EP94" s="1268"/>
      <c r="EQ94" s="1563"/>
      <c r="ER94" s="1268"/>
      <c r="ES94" s="1563"/>
      <c r="ET94" s="1268"/>
      <c r="EU94" s="1682"/>
      <c r="EV94" s="1683"/>
      <c r="EW94" s="1684"/>
      <c r="EX94" s="1685"/>
      <c r="EY94" s="1496"/>
      <c r="EZ94" s="252"/>
      <c r="FA94" s="395"/>
      <c r="FB94" s="223"/>
      <c r="FC94" s="1496"/>
      <c r="FD94" s="252"/>
      <c r="FE94" s="1564"/>
      <c r="FG94" s="256"/>
      <c r="FH94" s="256"/>
      <c r="FI94" s="256"/>
      <c r="FJ94" s="256"/>
      <c r="FK94" s="126"/>
      <c r="FL94" s="126"/>
      <c r="FM94" s="126"/>
      <c r="FN94" s="126"/>
      <c r="FO94" s="957"/>
      <c r="FP94" s="49"/>
      <c r="FR94" s="1566"/>
      <c r="FS94" s="1566"/>
      <c r="FT94" s="1566"/>
      <c r="FU94" s="2879"/>
      <c r="FV94" s="2880"/>
      <c r="FW94" s="2881"/>
      <c r="FX94" s="64"/>
      <c r="FY94" s="64"/>
      <c r="FZ94" s="64"/>
      <c r="GA94" s="64"/>
      <c r="GB94" s="64"/>
      <c r="GC94" s="64"/>
      <c r="GD94" s="64"/>
      <c r="GE94" s="64"/>
      <c r="GF94" s="64"/>
      <c r="GG94" s="64"/>
      <c r="GH94" s="64"/>
      <c r="GI94" s="64"/>
      <c r="GJ94" s="64"/>
      <c r="GK94" s="64"/>
      <c r="GL94" s="64"/>
      <c r="GM94" s="64"/>
      <c r="GN94" s="64"/>
      <c r="GO94" s="64"/>
      <c r="GP94" s="64"/>
      <c r="GQ94" s="64"/>
      <c r="GR94" s="64"/>
      <c r="GS94" s="64"/>
      <c r="GT94" s="64"/>
      <c r="GU94" s="64"/>
      <c r="GV94" s="64"/>
      <c r="GW94" s="64"/>
      <c r="GX94" s="64"/>
      <c r="GY94" s="64"/>
      <c r="GZ94" s="64"/>
      <c r="HA94" s="64"/>
      <c r="HB94" s="64"/>
      <c r="HC94" s="64"/>
      <c r="HD94" s="64"/>
      <c r="HE94" s="64"/>
      <c r="HF94" s="64"/>
      <c r="HG94" s="64"/>
      <c r="HH94" s="64"/>
      <c r="HI94" s="64"/>
      <c r="HJ94" s="64"/>
      <c r="HK94" s="64"/>
      <c r="HL94" s="64"/>
      <c r="HM94" s="64"/>
      <c r="HN94" s="64"/>
      <c r="HO94" s="64"/>
      <c r="HP94" s="64"/>
      <c r="HQ94" s="64"/>
      <c r="HR94" s="64"/>
      <c r="HS94" s="64"/>
      <c r="HT94" s="64"/>
      <c r="HU94" s="64"/>
      <c r="HV94" s="64"/>
      <c r="HW94" s="64"/>
      <c r="HX94" s="64"/>
      <c r="HY94" s="64"/>
      <c r="HZ94" s="64"/>
      <c r="IA94" s="64"/>
      <c r="IB94" s="64"/>
      <c r="IC94" s="64"/>
      <c r="ID94" s="64"/>
      <c r="IE94" s="64"/>
      <c r="IF94" s="64"/>
      <c r="IG94" s="64"/>
      <c r="IH94" s="64"/>
      <c r="II94" s="64"/>
      <c r="IJ94" s="64"/>
      <c r="IK94" s="64"/>
      <c r="IL94" s="64"/>
      <c r="IM94" s="64"/>
      <c r="IN94" s="64"/>
      <c r="IO94" s="64"/>
      <c r="IP94" s="64"/>
      <c r="IQ94" s="64"/>
      <c r="IR94" s="64"/>
      <c r="IS94" s="64"/>
      <c r="IT94" s="64"/>
      <c r="IU94" s="64"/>
    </row>
    <row r="95" spans="1:255" s="1565" customFormat="1" ht="13.5" customHeight="1">
      <c r="A95" s="1023"/>
      <c r="B95" s="1023"/>
      <c r="C95" s="1023"/>
      <c r="D95" s="1549"/>
      <c r="E95" s="1549"/>
      <c r="F95" s="1549"/>
      <c r="G95" s="1549"/>
      <c r="H95" s="1549"/>
      <c r="I95" s="1549"/>
      <c r="J95" s="1549"/>
      <c r="K95" s="1549"/>
      <c r="L95" s="1549"/>
      <c r="M95" s="1549"/>
      <c r="N95" s="1549"/>
      <c r="O95" s="1549"/>
      <c r="P95" s="1549"/>
      <c r="Q95" s="1550"/>
      <c r="R95" s="1550"/>
      <c r="S95" s="1550"/>
      <c r="T95" s="1186"/>
      <c r="U95" s="233"/>
      <c r="V95" s="216"/>
      <c r="W95" s="218"/>
      <c r="X95" s="218"/>
      <c r="Y95" s="216"/>
      <c r="Z95" s="216"/>
      <c r="AA95" s="252"/>
      <c r="AB95" s="252"/>
      <c r="AC95" s="252"/>
      <c r="AD95" s="253"/>
      <c r="AE95" s="252"/>
      <c r="AF95" s="252"/>
      <c r="AG95" s="252"/>
      <c r="AH95" s="252"/>
      <c r="AI95" s="252"/>
      <c r="AJ95" s="252"/>
      <c r="AK95" s="253"/>
      <c r="AL95" s="252"/>
      <c r="AM95" s="252"/>
      <c r="AN95" s="252"/>
      <c r="AO95" s="252"/>
      <c r="AP95" s="252"/>
      <c r="AQ95" s="252"/>
      <c r="AR95" s="252"/>
      <c r="AS95" s="252"/>
      <c r="AT95" s="252"/>
      <c r="AU95" s="252"/>
      <c r="AV95" s="1025"/>
      <c r="AW95" s="355"/>
      <c r="AX95" s="217"/>
      <c r="AY95" s="305"/>
      <c r="AZ95" s="249"/>
      <c r="BA95" s="221"/>
      <c r="BB95" s="1551"/>
      <c r="BC95" s="216"/>
      <c r="BD95" s="1552"/>
      <c r="BE95" s="1263"/>
      <c r="BF95" s="249"/>
      <c r="BG95" s="252"/>
      <c r="BH95" s="1543"/>
      <c r="BI95" s="1544"/>
      <c r="BJ95" s="1543"/>
      <c r="BK95" s="1545"/>
      <c r="BL95" s="260"/>
      <c r="BM95" s="216"/>
      <c r="BN95" s="1553"/>
      <c r="BO95" s="1553"/>
      <c r="BP95" s="1554"/>
      <c r="BQ95" s="216"/>
      <c r="BR95" s="1026"/>
      <c r="BS95" s="249"/>
      <c r="BT95" s="260"/>
      <c r="BU95" s="1026"/>
      <c r="BV95" s="249"/>
      <c r="BW95" s="260"/>
      <c r="BX95" s="1026"/>
      <c r="BY95" s="249"/>
      <c r="BZ95" s="260"/>
      <c r="CA95" s="1026"/>
      <c r="CB95" s="249"/>
      <c r="CC95" s="260"/>
      <c r="CD95" s="1026"/>
      <c r="CE95" s="1269"/>
      <c r="CF95" s="1270"/>
      <c r="CG95" s="1026"/>
      <c r="CH95" s="249"/>
      <c r="CI95" s="260"/>
      <c r="CJ95" s="1027"/>
      <c r="CK95" s="249"/>
      <c r="CL95" s="260"/>
      <c r="CM95" s="1555"/>
      <c r="CN95" s="249"/>
      <c r="CO95" s="216"/>
      <c r="CP95" s="1029"/>
      <c r="CQ95" s="249"/>
      <c r="CR95" s="216"/>
      <c r="CS95" s="1029"/>
      <c r="CT95" s="249"/>
      <c r="CU95" s="216"/>
      <c r="CV95" s="1027"/>
      <c r="CW95" s="249"/>
      <c r="CX95" s="221"/>
      <c r="CY95" s="1027"/>
      <c r="CZ95" s="249"/>
      <c r="DA95" s="216"/>
      <c r="DB95" s="1027" t="str">
        <f t="shared" si="19"/>
        <v/>
      </c>
      <c r="DC95" s="249"/>
      <c r="DD95" s="2519" t="str">
        <f t="shared" si="18"/>
        <v/>
      </c>
      <c r="DE95" s="1027"/>
      <c r="DF95" s="1556"/>
      <c r="DG95" s="1557"/>
      <c r="DH95" s="1027"/>
      <c r="DI95" s="1556"/>
      <c r="DJ95" s="1558"/>
      <c r="DK95" s="1559"/>
      <c r="DL95" s="249"/>
      <c r="DM95" s="221"/>
      <c r="DN95" s="313"/>
      <c r="DO95" s="249"/>
      <c r="DP95" s="216"/>
      <c r="DQ95" s="313"/>
      <c r="DR95" s="249"/>
      <c r="DS95" s="221"/>
      <c r="DT95" s="313"/>
      <c r="DU95" s="249"/>
      <c r="DV95" s="221"/>
      <c r="DW95" s="1560"/>
      <c r="DX95" s="1561"/>
      <c r="DY95" s="1562"/>
      <c r="DZ95" s="350"/>
      <c r="EA95" s="249"/>
      <c r="EB95" s="221"/>
      <c r="EC95" s="313"/>
      <c r="ED95" s="249"/>
      <c r="EE95" s="221"/>
      <c r="EF95" s="313"/>
      <c r="EG95" s="249"/>
      <c r="EH95" s="221"/>
      <c r="EI95" s="313"/>
      <c r="EJ95" s="249"/>
      <c r="EK95" s="216"/>
      <c r="EL95" s="1435"/>
      <c r="EM95" s="1619"/>
      <c r="EN95" s="1268"/>
      <c r="EO95" s="1563"/>
      <c r="EP95" s="1268"/>
      <c r="EQ95" s="1563"/>
      <c r="ER95" s="1268"/>
      <c r="ES95" s="1563"/>
      <c r="ET95" s="1268"/>
      <c r="EU95" s="1682"/>
      <c r="EV95" s="1683"/>
      <c r="EW95" s="1684"/>
      <c r="EX95" s="1685"/>
      <c r="EY95" s="1496"/>
      <c r="EZ95" s="252"/>
      <c r="FA95" s="395"/>
      <c r="FB95" s="223"/>
      <c r="FC95" s="1496"/>
      <c r="FD95" s="252"/>
      <c r="FE95" s="1564"/>
      <c r="FG95" s="256"/>
      <c r="FH95" s="256"/>
      <c r="FI95" s="256"/>
      <c r="FJ95" s="256"/>
      <c r="FK95" s="126"/>
      <c r="FL95" s="126"/>
      <c r="FM95" s="126"/>
      <c r="FN95" s="126"/>
      <c r="FO95" s="957"/>
      <c r="FP95" s="49"/>
      <c r="FR95" s="1566"/>
      <c r="FS95" s="1566"/>
      <c r="FT95" s="1566"/>
      <c r="FU95" s="2879"/>
      <c r="FV95" s="2880"/>
      <c r="FW95" s="2881"/>
      <c r="FX95" s="64"/>
      <c r="FY95" s="64"/>
      <c r="FZ95" s="64"/>
      <c r="GA95" s="64"/>
      <c r="GB95" s="64"/>
      <c r="GC95" s="64"/>
      <c r="GD95" s="64"/>
      <c r="GE95" s="64"/>
      <c r="GF95" s="64"/>
      <c r="GG95" s="64"/>
      <c r="GH95" s="64"/>
      <c r="GI95" s="64"/>
      <c r="GJ95" s="64"/>
      <c r="GK95" s="64"/>
      <c r="GL95" s="64"/>
      <c r="GM95" s="64"/>
      <c r="GN95" s="64"/>
      <c r="GO95" s="64"/>
      <c r="GP95" s="64"/>
      <c r="GQ95" s="64"/>
      <c r="GR95" s="64"/>
      <c r="GS95" s="64"/>
      <c r="GT95" s="64"/>
      <c r="GU95" s="64"/>
      <c r="GV95" s="64"/>
      <c r="GW95" s="64"/>
      <c r="GX95" s="64"/>
      <c r="GY95" s="64"/>
      <c r="GZ95" s="64"/>
      <c r="HA95" s="64"/>
      <c r="HB95" s="64"/>
      <c r="HC95" s="64"/>
      <c r="HD95" s="64"/>
      <c r="HE95" s="64"/>
      <c r="HF95" s="64"/>
      <c r="HG95" s="64"/>
      <c r="HH95" s="64"/>
      <c r="HI95" s="64"/>
      <c r="HJ95" s="64"/>
      <c r="HK95" s="64"/>
      <c r="HL95" s="64"/>
      <c r="HM95" s="64"/>
      <c r="HN95" s="64"/>
      <c r="HO95" s="64"/>
      <c r="HP95" s="64"/>
      <c r="HQ95" s="64"/>
      <c r="HR95" s="64"/>
      <c r="HS95" s="64"/>
      <c r="HT95" s="64"/>
      <c r="HU95" s="64"/>
      <c r="HV95" s="64"/>
      <c r="HW95" s="64"/>
      <c r="HX95" s="64"/>
      <c r="HY95" s="64"/>
      <c r="HZ95" s="64"/>
      <c r="IA95" s="64"/>
      <c r="IB95" s="64"/>
      <c r="IC95" s="64"/>
      <c r="ID95" s="64"/>
      <c r="IE95" s="64"/>
      <c r="IF95" s="64"/>
      <c r="IG95" s="64"/>
      <c r="IH95" s="64"/>
      <c r="II95" s="64"/>
      <c r="IJ95" s="64"/>
      <c r="IK95" s="64"/>
      <c r="IL95" s="64"/>
      <c r="IM95" s="64"/>
      <c r="IN95" s="64"/>
      <c r="IO95" s="64"/>
      <c r="IP95" s="64"/>
      <c r="IQ95" s="64"/>
      <c r="IR95" s="64"/>
      <c r="IS95" s="64"/>
      <c r="IT95" s="64"/>
      <c r="IU95" s="64"/>
    </row>
    <row r="96" spans="1:255" s="1565" customFormat="1" ht="13.5" customHeight="1">
      <c r="A96" s="1023"/>
      <c r="B96" s="1023"/>
      <c r="C96" s="1023"/>
      <c r="D96" s="1549"/>
      <c r="E96" s="1549"/>
      <c r="F96" s="1549"/>
      <c r="G96" s="1549"/>
      <c r="H96" s="1549"/>
      <c r="I96" s="1549"/>
      <c r="J96" s="1549"/>
      <c r="K96" s="1549"/>
      <c r="L96" s="1549"/>
      <c r="M96" s="1549"/>
      <c r="N96" s="1549"/>
      <c r="O96" s="1549"/>
      <c r="P96" s="1549"/>
      <c r="Q96" s="1550"/>
      <c r="R96" s="1550"/>
      <c r="S96" s="1550"/>
      <c r="T96" s="1186"/>
      <c r="U96" s="233"/>
      <c r="V96" s="216"/>
      <c r="W96" s="218"/>
      <c r="X96" s="218"/>
      <c r="Y96" s="216"/>
      <c r="Z96" s="216"/>
      <c r="AA96" s="252"/>
      <c r="AB96" s="252"/>
      <c r="AC96" s="252"/>
      <c r="AD96" s="253"/>
      <c r="AE96" s="252"/>
      <c r="AF96" s="252"/>
      <c r="AG96" s="252"/>
      <c r="AH96" s="252"/>
      <c r="AI96" s="252"/>
      <c r="AJ96" s="252"/>
      <c r="AK96" s="253"/>
      <c r="AL96" s="252"/>
      <c r="AM96" s="252"/>
      <c r="AN96" s="252"/>
      <c r="AO96" s="252"/>
      <c r="AP96" s="252"/>
      <c r="AQ96" s="252"/>
      <c r="AR96" s="252"/>
      <c r="AS96" s="252"/>
      <c r="AT96" s="252"/>
      <c r="AU96" s="252"/>
      <c r="AV96" s="1025"/>
      <c r="AW96" s="355"/>
      <c r="AX96" s="217"/>
      <c r="AY96" s="305"/>
      <c r="AZ96" s="249"/>
      <c r="BA96" s="221"/>
      <c r="BB96" s="1551"/>
      <c r="BC96" s="216"/>
      <c r="BD96" s="1552"/>
      <c r="BE96" s="1263"/>
      <c r="BF96" s="249"/>
      <c r="BG96" s="252"/>
      <c r="BH96" s="1543"/>
      <c r="BI96" s="1544"/>
      <c r="BJ96" s="1543"/>
      <c r="BK96" s="1545"/>
      <c r="BL96" s="260"/>
      <c r="BM96" s="216"/>
      <c r="BN96" s="1553"/>
      <c r="BO96" s="1553"/>
      <c r="BP96" s="1554"/>
      <c r="BQ96" s="216"/>
      <c r="BR96" s="1026"/>
      <c r="BS96" s="249"/>
      <c r="BT96" s="260"/>
      <c r="BU96" s="1026"/>
      <c r="BV96" s="249"/>
      <c r="BW96" s="260"/>
      <c r="BX96" s="1026"/>
      <c r="BY96" s="249"/>
      <c r="BZ96" s="260"/>
      <c r="CA96" s="1026"/>
      <c r="CB96" s="249"/>
      <c r="CC96" s="260"/>
      <c r="CD96" s="1026"/>
      <c r="CE96" s="1269"/>
      <c r="CF96" s="1270"/>
      <c r="CG96" s="1026"/>
      <c r="CH96" s="249"/>
      <c r="CI96" s="260"/>
      <c r="CJ96" s="1027"/>
      <c r="CK96" s="249"/>
      <c r="CL96" s="260"/>
      <c r="CM96" s="1555"/>
      <c r="CN96" s="249"/>
      <c r="CO96" s="216"/>
      <c r="CP96" s="1029"/>
      <c r="CQ96" s="249"/>
      <c r="CR96" s="216"/>
      <c r="CS96" s="1029"/>
      <c r="CT96" s="249"/>
      <c r="CU96" s="216"/>
      <c r="CV96" s="1027"/>
      <c r="CW96" s="249"/>
      <c r="CX96" s="221"/>
      <c r="CY96" s="1027"/>
      <c r="CZ96" s="249"/>
      <c r="DA96" s="216"/>
      <c r="DB96" s="1027" t="str">
        <f t="shared" si="19"/>
        <v/>
      </c>
      <c r="DC96" s="249"/>
      <c r="DD96" s="2519" t="str">
        <f t="shared" si="18"/>
        <v/>
      </c>
      <c r="DE96" s="1027"/>
      <c r="DF96" s="1556"/>
      <c r="DG96" s="1557"/>
      <c r="DH96" s="1027"/>
      <c r="DI96" s="1556"/>
      <c r="DJ96" s="1558"/>
      <c r="DK96" s="1559"/>
      <c r="DL96" s="249"/>
      <c r="DM96" s="221"/>
      <c r="DN96" s="313"/>
      <c r="DO96" s="249"/>
      <c r="DP96" s="216"/>
      <c r="DQ96" s="313"/>
      <c r="DR96" s="249"/>
      <c r="DS96" s="221"/>
      <c r="DT96" s="313"/>
      <c r="DU96" s="249"/>
      <c r="DV96" s="221"/>
      <c r="DW96" s="1560"/>
      <c r="DX96" s="1561"/>
      <c r="DY96" s="1562"/>
      <c r="DZ96" s="350"/>
      <c r="EA96" s="249"/>
      <c r="EB96" s="221"/>
      <c r="EC96" s="313"/>
      <c r="ED96" s="249"/>
      <c r="EE96" s="221"/>
      <c r="EF96" s="313"/>
      <c r="EG96" s="249"/>
      <c r="EH96" s="221"/>
      <c r="EI96" s="313"/>
      <c r="EJ96" s="249"/>
      <c r="EK96" s="216"/>
      <c r="EL96" s="1435"/>
      <c r="EM96" s="1619"/>
      <c r="EN96" s="1268"/>
      <c r="EO96" s="1563"/>
      <c r="EP96" s="1268"/>
      <c r="EQ96" s="1563"/>
      <c r="ER96" s="1268"/>
      <c r="ES96" s="1563"/>
      <c r="ET96" s="1268"/>
      <c r="EU96" s="1682"/>
      <c r="EV96" s="1683"/>
      <c r="EW96" s="1684"/>
      <c r="EX96" s="1685"/>
      <c r="EY96" s="1496"/>
      <c r="EZ96" s="252"/>
      <c r="FA96" s="395"/>
      <c r="FB96" s="223"/>
      <c r="FC96" s="1496"/>
      <c r="FD96" s="252"/>
      <c r="FE96" s="1564"/>
      <c r="FG96" s="256"/>
      <c r="FH96" s="256"/>
      <c r="FI96" s="256"/>
      <c r="FJ96" s="256"/>
      <c r="FK96" s="126"/>
      <c r="FL96" s="126"/>
      <c r="FM96" s="126"/>
      <c r="FN96" s="126"/>
      <c r="FO96" s="957"/>
      <c r="FP96" s="49"/>
      <c r="FR96" s="1566"/>
      <c r="FS96" s="1566"/>
      <c r="FT96" s="1566"/>
      <c r="FU96" s="2879"/>
      <c r="FV96" s="2880"/>
      <c r="FW96" s="2881"/>
      <c r="FX96" s="64"/>
      <c r="FY96" s="64"/>
      <c r="FZ96" s="64"/>
      <c r="GA96" s="64"/>
      <c r="GB96" s="64"/>
      <c r="GC96" s="64"/>
      <c r="GD96" s="64"/>
      <c r="GE96" s="64"/>
      <c r="GF96" s="64"/>
      <c r="GG96" s="64"/>
      <c r="GH96" s="64"/>
      <c r="GI96" s="64"/>
      <c r="GJ96" s="64"/>
      <c r="GK96" s="64"/>
      <c r="GL96" s="64"/>
      <c r="GM96" s="64"/>
      <c r="GN96" s="64"/>
      <c r="GO96" s="64"/>
      <c r="GP96" s="64"/>
      <c r="GQ96" s="64"/>
      <c r="GR96" s="64"/>
      <c r="GS96" s="64"/>
      <c r="GT96" s="64"/>
      <c r="GU96" s="64"/>
      <c r="GV96" s="64"/>
      <c r="GW96" s="64"/>
      <c r="GX96" s="64"/>
      <c r="GY96" s="64"/>
      <c r="GZ96" s="64"/>
      <c r="HA96" s="64"/>
      <c r="HB96" s="64"/>
      <c r="HC96" s="64"/>
      <c r="HD96" s="64"/>
      <c r="HE96" s="64"/>
      <c r="HF96" s="64"/>
      <c r="HG96" s="64"/>
      <c r="HH96" s="64"/>
      <c r="HI96" s="64"/>
      <c r="HJ96" s="64"/>
      <c r="HK96" s="64"/>
      <c r="HL96" s="64"/>
      <c r="HM96" s="64"/>
      <c r="HN96" s="64"/>
      <c r="HO96" s="64"/>
      <c r="HP96" s="64"/>
      <c r="HQ96" s="64"/>
      <c r="HR96" s="64"/>
      <c r="HS96" s="64"/>
      <c r="HT96" s="64"/>
      <c r="HU96" s="64"/>
      <c r="HV96" s="64"/>
      <c r="HW96" s="64"/>
      <c r="HX96" s="64"/>
      <c r="HY96" s="64"/>
      <c r="HZ96" s="64"/>
      <c r="IA96" s="64"/>
      <c r="IB96" s="64"/>
      <c r="IC96" s="64"/>
      <c r="ID96" s="64"/>
      <c r="IE96" s="64"/>
      <c r="IF96" s="64"/>
      <c r="IG96" s="64"/>
      <c r="IH96" s="64"/>
      <c r="II96" s="64"/>
      <c r="IJ96" s="64"/>
      <c r="IK96" s="64"/>
      <c r="IL96" s="64"/>
      <c r="IM96" s="64"/>
      <c r="IN96" s="64"/>
      <c r="IO96" s="64"/>
      <c r="IP96" s="64"/>
      <c r="IQ96" s="64"/>
      <c r="IR96" s="64"/>
      <c r="IS96" s="64"/>
      <c r="IT96" s="64"/>
      <c r="IU96" s="64"/>
    </row>
    <row r="97" spans="1:179">
      <c r="A97" s="1023"/>
      <c r="B97" s="1023"/>
      <c r="C97" s="1023"/>
      <c r="T97" s="1186"/>
      <c r="U97" s="233"/>
      <c r="V97" s="216"/>
      <c r="W97" s="218"/>
      <c r="X97" s="218"/>
      <c r="Y97" s="216"/>
      <c r="Z97" s="216"/>
      <c r="AA97" s="1024"/>
      <c r="AB97" s="252"/>
      <c r="AC97" s="252"/>
      <c r="AD97" s="253"/>
      <c r="AE97" s="252"/>
      <c r="AF97" s="252"/>
      <c r="AG97" s="252"/>
      <c r="AH97" s="252"/>
      <c r="AI97" s="252"/>
      <c r="AJ97" s="252"/>
      <c r="AK97" s="253"/>
      <c r="AL97" s="252"/>
      <c r="AM97" s="252"/>
      <c r="AN97" s="252"/>
      <c r="AO97" s="252"/>
      <c r="AP97" s="1192"/>
      <c r="AQ97" s="252"/>
      <c r="AR97" s="252"/>
      <c r="AS97" s="252"/>
      <c r="AT97" s="252"/>
      <c r="AU97" s="252"/>
      <c r="AV97" s="1025"/>
      <c r="AW97" s="359"/>
      <c r="AX97" s="217"/>
      <c r="AY97" s="305"/>
      <c r="AZ97" s="249"/>
      <c r="BA97" s="221"/>
      <c r="BB97" s="300"/>
      <c r="BC97" s="217"/>
      <c r="BD97" s="219"/>
      <c r="BE97" s="1263"/>
      <c r="BF97" s="249"/>
      <c r="BG97" s="252"/>
      <c r="BH97" s="1543"/>
      <c r="BI97" s="1544"/>
      <c r="BJ97" s="1543"/>
      <c r="BK97" s="1545"/>
      <c r="BL97" s="260"/>
      <c r="BM97" s="217"/>
      <c r="BN97" s="220"/>
      <c r="BO97" s="220"/>
      <c r="BP97" s="355"/>
      <c r="BQ97" s="217"/>
      <c r="BR97" s="1026"/>
      <c r="BS97" s="249"/>
      <c r="BT97" s="260"/>
      <c r="BU97" s="1026"/>
      <c r="BV97" s="249"/>
      <c r="BW97" s="260"/>
      <c r="BX97" s="1026"/>
      <c r="BY97" s="249"/>
      <c r="BZ97" s="260"/>
      <c r="CA97" s="1026"/>
      <c r="CB97" s="249"/>
      <c r="CC97" s="260"/>
      <c r="CD97" s="1026"/>
      <c r="CE97" s="1269"/>
      <c r="CF97" s="1270"/>
      <c r="CG97" s="1026"/>
      <c r="CH97" s="293"/>
      <c r="CI97" s="326"/>
      <c r="CJ97" s="1027"/>
      <c r="CK97" s="249"/>
      <c r="CL97" s="260"/>
      <c r="CM97" s="1028"/>
      <c r="CN97" s="249"/>
      <c r="CO97" s="216"/>
      <c r="CP97" s="1029"/>
      <c r="CQ97" s="249"/>
      <c r="CR97" s="216"/>
      <c r="CS97" s="1029"/>
      <c r="CT97" s="249"/>
      <c r="CU97" s="216"/>
      <c r="CV97" s="1027"/>
      <c r="CW97" s="394"/>
      <c r="CX97" s="347"/>
      <c r="CY97" s="1027"/>
      <c r="CZ97" s="249"/>
      <c r="DA97" s="216"/>
      <c r="DB97" s="1027" t="str">
        <f t="shared" si="19"/>
        <v/>
      </c>
      <c r="DC97" s="249"/>
      <c r="DD97" s="2519" t="str">
        <f t="shared" si="18"/>
        <v/>
      </c>
      <c r="DE97" s="1027"/>
      <c r="DF97" s="1556"/>
      <c r="DG97" s="1557"/>
      <c r="DH97" s="1027"/>
      <c r="DI97" s="1556"/>
      <c r="DJ97" s="1558"/>
      <c r="DK97" s="1027"/>
      <c r="DL97" s="249"/>
      <c r="DM97" s="216"/>
      <c r="DN97" s="313"/>
      <c r="DO97" s="249"/>
      <c r="DP97" s="216"/>
      <c r="DQ97" s="313"/>
      <c r="DR97" s="249"/>
      <c r="DS97" s="221"/>
      <c r="DT97" s="313"/>
      <c r="DU97" s="249"/>
      <c r="DV97" s="221"/>
      <c r="DW97" s="305"/>
      <c r="DX97" s="249"/>
      <c r="DY97" s="260"/>
      <c r="DZ97" s="350"/>
      <c r="EA97" s="249"/>
      <c r="EB97" s="221"/>
      <c r="EC97" s="313"/>
      <c r="ED97" s="249"/>
      <c r="EE97" s="221"/>
      <c r="EF97" s="313"/>
      <c r="EG97" s="249"/>
      <c r="EH97" s="221"/>
      <c r="EI97" s="313"/>
      <c r="EJ97" s="249"/>
      <c r="EK97" s="216"/>
      <c r="EL97" s="1435"/>
      <c r="EM97" s="1619"/>
      <c r="EN97" s="1268"/>
      <c r="EO97" s="1563"/>
      <c r="EP97" s="1268"/>
      <c r="EQ97" s="1563"/>
      <c r="ER97" s="1268"/>
      <c r="ES97" s="1563"/>
      <c r="ET97" s="1268"/>
      <c r="EU97" s="1682"/>
      <c r="EV97" s="1683"/>
      <c r="EW97" s="1684"/>
      <c r="EX97" s="1685"/>
      <c r="EY97" s="1030"/>
      <c r="EZ97" s="349"/>
      <c r="FA97" s="395"/>
      <c r="FB97" s="223"/>
      <c r="FC97" s="1030"/>
      <c r="FD97" s="349"/>
      <c r="FE97" s="1031"/>
      <c r="FF97" s="358"/>
      <c r="FG97" s="256"/>
      <c r="FH97" s="256"/>
      <c r="FI97" s="256"/>
      <c r="FJ97" s="256"/>
      <c r="FK97" s="19"/>
      <c r="FL97" s="126"/>
      <c r="FM97" s="126"/>
      <c r="FN97" s="126"/>
      <c r="FO97" s="957"/>
      <c r="FQ97" s="358"/>
      <c r="FR97" s="1190"/>
      <c r="FS97" s="1190"/>
      <c r="FT97" s="64"/>
      <c r="FU97" s="2879"/>
      <c r="FV97" s="2880"/>
      <c r="FW97" s="2881"/>
    </row>
    <row r="98" spans="1:179">
      <c r="A98" s="1023"/>
      <c r="B98" s="1023"/>
      <c r="C98" s="1023"/>
      <c r="T98" s="1186"/>
      <c r="U98" s="233"/>
      <c r="V98" s="216"/>
      <c r="W98" s="218"/>
      <c r="X98" s="218"/>
      <c r="Y98" s="216"/>
      <c r="Z98" s="216"/>
      <c r="AA98" s="1024"/>
      <c r="AB98" s="252"/>
      <c r="AC98" s="252"/>
      <c r="AD98" s="253"/>
      <c r="AE98" s="252"/>
      <c r="AF98" s="252"/>
      <c r="AG98" s="252"/>
      <c r="AH98" s="252"/>
      <c r="AI98" s="252"/>
      <c r="AJ98" s="252"/>
      <c r="AK98" s="253"/>
      <c r="AL98" s="252"/>
      <c r="AM98" s="252"/>
      <c r="AN98" s="252"/>
      <c r="AO98" s="252"/>
      <c r="AP98" s="1192"/>
      <c r="AQ98" s="252"/>
      <c r="AR98" s="252"/>
      <c r="AS98" s="252"/>
      <c r="AT98" s="252"/>
      <c r="AU98" s="252"/>
      <c r="AV98" s="1025"/>
      <c r="AW98" s="359"/>
      <c r="AX98" s="217"/>
      <c r="AY98" s="305"/>
      <c r="AZ98" s="249"/>
      <c r="BA98" s="221"/>
      <c r="BB98" s="300"/>
      <c r="BC98" s="217"/>
      <c r="BD98" s="219"/>
      <c r="BE98" s="1263"/>
      <c r="BF98" s="249"/>
      <c r="BG98" s="252"/>
      <c r="BH98" s="1543"/>
      <c r="BI98" s="1544"/>
      <c r="BJ98" s="1543"/>
      <c r="BK98" s="1545"/>
      <c r="BL98" s="260"/>
      <c r="BM98" s="217"/>
      <c r="BN98" s="220"/>
      <c r="BO98" s="220"/>
      <c r="BP98" s="355"/>
      <c r="BQ98" s="217"/>
      <c r="BR98" s="1026"/>
      <c r="BS98" s="249"/>
      <c r="BT98" s="260"/>
      <c r="BU98" s="1026"/>
      <c r="BV98" s="249"/>
      <c r="BW98" s="260"/>
      <c r="BX98" s="1026"/>
      <c r="BY98" s="249"/>
      <c r="BZ98" s="260"/>
      <c r="CA98" s="1026"/>
      <c r="CB98" s="249"/>
      <c r="CC98" s="260"/>
      <c r="CD98" s="1026"/>
      <c r="CE98" s="1269"/>
      <c r="CF98" s="1270"/>
      <c r="CG98" s="1026"/>
      <c r="CH98" s="293"/>
      <c r="CI98" s="326"/>
      <c r="CJ98" s="1027"/>
      <c r="CK98" s="249"/>
      <c r="CL98" s="260"/>
      <c r="CM98" s="1028"/>
      <c r="CN98" s="249"/>
      <c r="CO98" s="216"/>
      <c r="CP98" s="1029"/>
      <c r="CQ98" s="249"/>
      <c r="CR98" s="216"/>
      <c r="CS98" s="1029"/>
      <c r="CT98" s="249"/>
      <c r="CU98" s="216"/>
      <c r="CV98" s="1027"/>
      <c r="CW98" s="394"/>
      <c r="CX98" s="347"/>
      <c r="CY98" s="1027"/>
      <c r="CZ98" s="249"/>
      <c r="DA98" s="216"/>
      <c r="DB98" s="1027" t="str">
        <f t="shared" si="19"/>
        <v/>
      </c>
      <c r="DC98" s="249"/>
      <c r="DD98" s="2519" t="str">
        <f t="shared" si="18"/>
        <v/>
      </c>
      <c r="DE98" s="1027"/>
      <c r="DF98" s="1556"/>
      <c r="DG98" s="1557"/>
      <c r="DH98" s="1027"/>
      <c r="DI98" s="1556"/>
      <c r="DJ98" s="1558"/>
      <c r="DK98" s="1027"/>
      <c r="DL98" s="249"/>
      <c r="DM98" s="216"/>
      <c r="DN98" s="313"/>
      <c r="DO98" s="249"/>
      <c r="DP98" s="216"/>
      <c r="DQ98" s="313"/>
      <c r="DR98" s="249"/>
      <c r="DS98" s="221"/>
      <c r="DT98" s="313"/>
      <c r="DU98" s="249"/>
      <c r="DV98" s="221"/>
      <c r="DW98" s="305"/>
      <c r="DX98" s="249"/>
      <c r="DY98" s="260"/>
      <c r="DZ98" s="350"/>
      <c r="EA98" s="249"/>
      <c r="EB98" s="221"/>
      <c r="EC98" s="313"/>
      <c r="ED98" s="249"/>
      <c r="EE98" s="221"/>
      <c r="EF98" s="313"/>
      <c r="EG98" s="249"/>
      <c r="EH98" s="221"/>
      <c r="EI98" s="313"/>
      <c r="EJ98" s="249"/>
      <c r="EK98" s="216"/>
      <c r="EL98" s="1435"/>
      <c r="EM98" s="1619"/>
      <c r="EN98" s="1268"/>
      <c r="EO98" s="1563"/>
      <c r="EP98" s="1268"/>
      <c r="EQ98" s="1563"/>
      <c r="ER98" s="1268"/>
      <c r="ES98" s="1563"/>
      <c r="ET98" s="1268"/>
      <c r="EU98" s="1682"/>
      <c r="EV98" s="1683"/>
      <c r="EW98" s="1684"/>
      <c r="EX98" s="1685"/>
      <c r="EY98" s="1030"/>
      <c r="EZ98" s="349"/>
      <c r="FA98" s="395"/>
      <c r="FB98" s="223"/>
      <c r="FC98" s="1030"/>
      <c r="FD98" s="349"/>
      <c r="FE98" s="1031"/>
      <c r="FF98" s="358"/>
      <c r="FG98" s="256"/>
      <c r="FH98" s="256"/>
      <c r="FI98" s="256"/>
      <c r="FJ98" s="256"/>
      <c r="FK98" s="19"/>
      <c r="FL98" s="126"/>
      <c r="FM98" s="126"/>
      <c r="FN98" s="126"/>
      <c r="FO98" s="957"/>
      <c r="FQ98" s="358"/>
      <c r="FR98" s="1190"/>
      <c r="FS98" s="1190"/>
      <c r="FT98" s="64"/>
      <c r="FU98" s="2879"/>
      <c r="FV98" s="2880"/>
      <c r="FW98" s="2881"/>
    </row>
    <row r="99" spans="1:179">
      <c r="A99" s="1023"/>
      <c r="B99" s="1023"/>
      <c r="C99" s="1023"/>
      <c r="T99" s="1186"/>
      <c r="U99" s="233"/>
      <c r="V99" s="216"/>
      <c r="W99" s="218"/>
      <c r="X99" s="218"/>
      <c r="Y99" s="216"/>
      <c r="Z99" s="216"/>
      <c r="AA99" s="1024"/>
      <c r="AB99" s="252"/>
      <c r="AC99" s="252"/>
      <c r="AD99" s="253"/>
      <c r="AE99" s="252"/>
      <c r="AF99" s="252"/>
      <c r="AG99" s="252"/>
      <c r="AH99" s="252"/>
      <c r="AI99" s="252"/>
      <c r="AJ99" s="252"/>
      <c r="AK99" s="253"/>
      <c r="AL99" s="252"/>
      <c r="AM99" s="252"/>
      <c r="AN99" s="252"/>
      <c r="AO99" s="252"/>
      <c r="AP99" s="1192"/>
      <c r="AQ99" s="252"/>
      <c r="AR99" s="252"/>
      <c r="AS99" s="252"/>
      <c r="AT99" s="252"/>
      <c r="AU99" s="252"/>
      <c r="AV99" s="1025"/>
      <c r="AW99" s="359"/>
      <c r="AX99" s="217"/>
      <c r="AY99" s="305"/>
      <c r="AZ99" s="249"/>
      <c r="BA99" s="221"/>
      <c r="BB99" s="300"/>
      <c r="BC99" s="217"/>
      <c r="BD99" s="219"/>
      <c r="BE99" s="1263"/>
      <c r="BF99" s="249"/>
      <c r="BG99" s="252"/>
      <c r="BH99" s="1543"/>
      <c r="BI99" s="1544"/>
      <c r="BJ99" s="1543"/>
      <c r="BK99" s="1545"/>
      <c r="BL99" s="260"/>
      <c r="BM99" s="217"/>
      <c r="BN99" s="220"/>
      <c r="BO99" s="220"/>
      <c r="BP99" s="355"/>
      <c r="BQ99" s="217"/>
      <c r="BR99" s="1026"/>
      <c r="BS99" s="249"/>
      <c r="BT99" s="260"/>
      <c r="BU99" s="1026"/>
      <c r="BV99" s="249"/>
      <c r="BW99" s="260"/>
      <c r="BX99" s="1026"/>
      <c r="BY99" s="249"/>
      <c r="BZ99" s="260"/>
      <c r="CA99" s="1026"/>
      <c r="CB99" s="249"/>
      <c r="CC99" s="260"/>
      <c r="CD99" s="1026"/>
      <c r="CE99" s="1269"/>
      <c r="CF99" s="1270"/>
      <c r="CG99" s="1026"/>
      <c r="CH99" s="293"/>
      <c r="CI99" s="326"/>
      <c r="CJ99" s="1027"/>
      <c r="CK99" s="249"/>
      <c r="CL99" s="260"/>
      <c r="CM99" s="1028"/>
      <c r="CN99" s="249"/>
      <c r="CO99" s="216"/>
      <c r="CP99" s="1029"/>
      <c r="CQ99" s="249"/>
      <c r="CR99" s="216"/>
      <c r="CS99" s="1029"/>
      <c r="CT99" s="249"/>
      <c r="CU99" s="216"/>
      <c r="CV99" s="1027"/>
      <c r="CW99" s="394"/>
      <c r="CX99" s="347"/>
      <c r="CY99" s="1027"/>
      <c r="CZ99" s="249"/>
      <c r="DA99" s="216"/>
      <c r="DB99" s="1027" t="str">
        <f t="shared" si="19"/>
        <v/>
      </c>
      <c r="DC99" s="249"/>
      <c r="DD99" s="2519" t="str">
        <f t="shared" si="18"/>
        <v/>
      </c>
      <c r="DE99" s="1027"/>
      <c r="DF99" s="1556"/>
      <c r="DG99" s="1557"/>
      <c r="DH99" s="1027"/>
      <c r="DI99" s="1556"/>
      <c r="DJ99" s="1558"/>
      <c r="DK99" s="1027"/>
      <c r="DL99" s="249"/>
      <c r="DM99" s="216"/>
      <c r="DN99" s="313"/>
      <c r="DO99" s="249"/>
      <c r="DP99" s="216"/>
      <c r="DQ99" s="313"/>
      <c r="DR99" s="249"/>
      <c r="DS99" s="221"/>
      <c r="DT99" s="313"/>
      <c r="DU99" s="249"/>
      <c r="DV99" s="221"/>
      <c r="DW99" s="305"/>
      <c r="DX99" s="249"/>
      <c r="DY99" s="260"/>
      <c r="DZ99" s="350"/>
      <c r="EA99" s="249"/>
      <c r="EB99" s="221"/>
      <c r="EC99" s="313"/>
      <c r="ED99" s="249"/>
      <c r="EE99" s="221"/>
      <c r="EF99" s="313"/>
      <c r="EG99" s="249"/>
      <c r="EH99" s="221"/>
      <c r="EI99" s="313"/>
      <c r="EJ99" s="249"/>
      <c r="EK99" s="216"/>
      <c r="EL99" s="1435"/>
      <c r="EM99" s="1619"/>
      <c r="EN99" s="1268"/>
      <c r="EO99" s="1563"/>
      <c r="EP99" s="1268"/>
      <c r="EQ99" s="1563"/>
      <c r="ER99" s="1268"/>
      <c r="ES99" s="1563"/>
      <c r="ET99" s="1268"/>
      <c r="EU99" s="1682"/>
      <c r="EV99" s="1683"/>
      <c r="EW99" s="1684"/>
      <c r="EX99" s="1685"/>
      <c r="EY99" s="1030"/>
      <c r="EZ99" s="349"/>
      <c r="FA99" s="395"/>
      <c r="FB99" s="223"/>
      <c r="FC99" s="1030"/>
      <c r="FD99" s="349"/>
      <c r="FE99" s="1031"/>
      <c r="FF99" s="358"/>
      <c r="FG99" s="256"/>
      <c r="FH99" s="256"/>
      <c r="FI99" s="256"/>
      <c r="FJ99" s="256"/>
      <c r="FK99" s="19"/>
      <c r="FL99" s="126"/>
      <c r="FM99" s="126"/>
      <c r="FN99" s="126"/>
      <c r="FO99" s="957"/>
      <c r="FQ99" s="358"/>
      <c r="FR99" s="1190"/>
      <c r="FS99" s="1190"/>
      <c r="FT99" s="64"/>
      <c r="FU99" s="2879"/>
      <c r="FV99" s="2880"/>
      <c r="FW99" s="2881"/>
    </row>
    <row r="100" spans="1:179">
      <c r="A100" s="1023"/>
      <c r="B100" s="1023"/>
      <c r="C100" s="1023"/>
      <c r="T100" s="1186"/>
      <c r="U100" s="233"/>
      <c r="V100" s="216"/>
      <c r="W100" s="218"/>
      <c r="X100" s="218"/>
      <c r="Y100" s="216"/>
      <c r="Z100" s="216"/>
      <c r="AA100" s="1024"/>
      <c r="AB100" s="252"/>
      <c r="AC100" s="252"/>
      <c r="AD100" s="253"/>
      <c r="AE100" s="252"/>
      <c r="AF100" s="252"/>
      <c r="AG100" s="252"/>
      <c r="AH100" s="252"/>
      <c r="AI100" s="252"/>
      <c r="AJ100" s="252"/>
      <c r="AK100" s="253"/>
      <c r="AL100" s="252"/>
      <c r="AM100" s="252"/>
      <c r="AN100" s="252"/>
      <c r="AO100" s="252"/>
      <c r="AP100" s="1192"/>
      <c r="AQ100" s="252"/>
      <c r="AR100" s="252"/>
      <c r="AS100" s="252"/>
      <c r="AT100" s="252"/>
      <c r="AU100" s="252"/>
      <c r="AV100" s="1025"/>
      <c r="AW100" s="359"/>
      <c r="AX100" s="217"/>
      <c r="AY100" s="305"/>
      <c r="AZ100" s="249"/>
      <c r="BA100" s="221"/>
      <c r="BB100" s="300"/>
      <c r="BC100" s="217"/>
      <c r="BD100" s="219"/>
      <c r="BE100" s="1263"/>
      <c r="BF100" s="249"/>
      <c r="BG100" s="252"/>
      <c r="BH100" s="1543"/>
      <c r="BI100" s="1544"/>
      <c r="BJ100" s="1543"/>
      <c r="BK100" s="1545"/>
      <c r="BL100" s="260"/>
      <c r="BM100" s="217"/>
      <c r="BN100" s="220"/>
      <c r="BO100" s="220"/>
      <c r="BP100" s="355"/>
      <c r="BQ100" s="217"/>
      <c r="BR100" s="1026"/>
      <c r="BS100" s="249"/>
      <c r="BT100" s="260"/>
      <c r="BU100" s="1026"/>
      <c r="BV100" s="249"/>
      <c r="BW100" s="260"/>
      <c r="BX100" s="1026"/>
      <c r="BY100" s="249"/>
      <c r="BZ100" s="260"/>
      <c r="CA100" s="1026"/>
      <c r="CB100" s="249"/>
      <c r="CC100" s="260"/>
      <c r="CD100" s="1026"/>
      <c r="CE100" s="1269"/>
      <c r="CF100" s="1270"/>
      <c r="CG100" s="1026"/>
      <c r="CH100" s="293"/>
      <c r="CI100" s="326"/>
      <c r="CJ100" s="1027"/>
      <c r="CK100" s="249"/>
      <c r="CL100" s="260"/>
      <c r="CM100" s="1028"/>
      <c r="CN100" s="249"/>
      <c r="CO100" s="216"/>
      <c r="CP100" s="1029"/>
      <c r="CQ100" s="249"/>
      <c r="CR100" s="216"/>
      <c r="CS100" s="1029"/>
      <c r="CT100" s="249"/>
      <c r="CU100" s="216"/>
      <c r="CV100" s="1027"/>
      <c r="CW100" s="394"/>
      <c r="CX100" s="347"/>
      <c r="CY100" s="1027"/>
      <c r="CZ100" s="249"/>
      <c r="DA100" s="216"/>
      <c r="DB100" s="1027" t="str">
        <f t="shared" si="19"/>
        <v/>
      </c>
      <c r="DC100" s="249"/>
      <c r="DD100" s="2519" t="str">
        <f t="shared" si="18"/>
        <v/>
      </c>
      <c r="DE100" s="1027"/>
      <c r="DF100" s="1556"/>
      <c r="DG100" s="1557"/>
      <c r="DH100" s="1027"/>
      <c r="DI100" s="1556"/>
      <c r="DJ100" s="1558"/>
      <c r="DK100" s="1027"/>
      <c r="DL100" s="249"/>
      <c r="DM100" s="216"/>
      <c r="DN100" s="313"/>
      <c r="DO100" s="249"/>
      <c r="DP100" s="216"/>
      <c r="DQ100" s="313"/>
      <c r="DR100" s="249"/>
      <c r="DS100" s="221"/>
      <c r="DT100" s="313"/>
      <c r="DU100" s="249"/>
      <c r="DV100" s="221"/>
      <c r="DW100" s="305"/>
      <c r="DX100" s="249"/>
      <c r="DY100" s="260"/>
      <c r="DZ100" s="350"/>
      <c r="EA100" s="249"/>
      <c r="EB100" s="221"/>
      <c r="EC100" s="313"/>
      <c r="ED100" s="249"/>
      <c r="EE100" s="221"/>
      <c r="EF100" s="313"/>
      <c r="EG100" s="249"/>
      <c r="EH100" s="221"/>
      <c r="EI100" s="313"/>
      <c r="EJ100" s="249"/>
      <c r="EK100" s="216"/>
      <c r="EL100" s="1435"/>
      <c r="EM100" s="1619"/>
      <c r="EN100" s="1268"/>
      <c r="EO100" s="1563"/>
      <c r="EP100" s="1268"/>
      <c r="EQ100" s="1563"/>
      <c r="ER100" s="1268"/>
      <c r="ES100" s="1563"/>
      <c r="ET100" s="1268"/>
      <c r="EU100" s="1682"/>
      <c r="EV100" s="1683"/>
      <c r="EW100" s="1684"/>
      <c r="EX100" s="1685"/>
      <c r="EY100" s="1030"/>
      <c r="EZ100" s="349"/>
      <c r="FA100" s="395"/>
      <c r="FB100" s="223"/>
      <c r="FC100" s="1030"/>
      <c r="FD100" s="349"/>
      <c r="FE100" s="1031"/>
      <c r="FF100" s="358"/>
      <c r="FG100" s="256"/>
      <c r="FH100" s="256"/>
      <c r="FI100" s="256"/>
      <c r="FJ100" s="256"/>
      <c r="FK100" s="19"/>
      <c r="FL100" s="126"/>
      <c r="FM100" s="126"/>
      <c r="FN100" s="126"/>
      <c r="FO100" s="957"/>
      <c r="FQ100" s="358"/>
      <c r="FR100" s="1190"/>
      <c r="FS100" s="1190"/>
      <c r="FT100" s="64"/>
      <c r="FU100" s="2879"/>
      <c r="FV100" s="2880"/>
      <c r="FW100" s="2881"/>
    </row>
    <row r="101" spans="1:179">
      <c r="A101" s="1023"/>
      <c r="B101" s="1023"/>
      <c r="C101" s="1023"/>
      <c r="T101" s="1186"/>
      <c r="U101" s="233"/>
      <c r="V101" s="216"/>
      <c r="W101" s="218"/>
      <c r="X101" s="218"/>
      <c r="Y101" s="216"/>
      <c r="Z101" s="216"/>
      <c r="AA101" s="1024"/>
      <c r="AB101" s="252"/>
      <c r="AC101" s="252"/>
      <c r="AD101" s="253"/>
      <c r="AE101" s="252"/>
      <c r="AF101" s="252"/>
      <c r="AG101" s="252"/>
      <c r="AH101" s="252"/>
      <c r="AI101" s="252"/>
      <c r="AJ101" s="252"/>
      <c r="AK101" s="253"/>
      <c r="AL101" s="252"/>
      <c r="AM101" s="252"/>
      <c r="AN101" s="252"/>
      <c r="AO101" s="252"/>
      <c r="AP101" s="1192"/>
      <c r="AQ101" s="252"/>
      <c r="AR101" s="252"/>
      <c r="AS101" s="252"/>
      <c r="AT101" s="252"/>
      <c r="AU101" s="252"/>
      <c r="AV101" s="1025"/>
      <c r="AW101" s="359"/>
      <c r="AX101" s="217"/>
      <c r="AY101" s="305"/>
      <c r="AZ101" s="249"/>
      <c r="BA101" s="221"/>
      <c r="BB101" s="300"/>
      <c r="BC101" s="217"/>
      <c r="BD101" s="219"/>
      <c r="BE101" s="1263"/>
      <c r="BF101" s="249"/>
      <c r="BG101" s="252"/>
      <c r="BH101" s="1543"/>
      <c r="BI101" s="1544"/>
      <c r="BJ101" s="1543"/>
      <c r="BK101" s="1545"/>
      <c r="BL101" s="260"/>
      <c r="BM101" s="217"/>
      <c r="BN101" s="220"/>
      <c r="BO101" s="220"/>
      <c r="BP101" s="355"/>
      <c r="BQ101" s="217"/>
      <c r="BR101" s="1026"/>
      <c r="BS101" s="249"/>
      <c r="BT101" s="260"/>
      <c r="BU101" s="1026"/>
      <c r="BV101" s="249"/>
      <c r="BW101" s="260"/>
      <c r="BX101" s="1026"/>
      <c r="BY101" s="249"/>
      <c r="BZ101" s="260"/>
      <c r="CA101" s="1026"/>
      <c r="CB101" s="249"/>
      <c r="CC101" s="260"/>
      <c r="CD101" s="1026"/>
      <c r="CE101" s="1269"/>
      <c r="CF101" s="1270"/>
      <c r="CG101" s="1026"/>
      <c r="CH101" s="293"/>
      <c r="CI101" s="326"/>
      <c r="CJ101" s="1027"/>
      <c r="CK101" s="249"/>
      <c r="CL101" s="260"/>
      <c r="CM101" s="1028"/>
      <c r="CN101" s="249"/>
      <c r="CO101" s="216"/>
      <c r="CP101" s="1029"/>
      <c r="CQ101" s="249"/>
      <c r="CR101" s="216"/>
      <c r="CS101" s="1029"/>
      <c r="CT101" s="249"/>
      <c r="CU101" s="216"/>
      <c r="CV101" s="1027"/>
      <c r="CW101" s="394"/>
      <c r="CX101" s="347"/>
      <c r="CY101" s="1027"/>
      <c r="CZ101" s="249"/>
      <c r="DA101" s="216"/>
      <c r="DB101" s="1027" t="str">
        <f t="shared" si="19"/>
        <v/>
      </c>
      <c r="DC101" s="249"/>
      <c r="DD101" s="2519" t="str">
        <f t="shared" si="18"/>
        <v/>
      </c>
      <c r="DE101" s="1027"/>
      <c r="DF101" s="1556"/>
      <c r="DG101" s="1557"/>
      <c r="DH101" s="1027"/>
      <c r="DI101" s="1556"/>
      <c r="DJ101" s="1558"/>
      <c r="DK101" s="1027"/>
      <c r="DL101" s="249"/>
      <c r="DM101" s="216"/>
      <c r="DN101" s="313"/>
      <c r="DO101" s="249"/>
      <c r="DP101" s="216"/>
      <c r="DQ101" s="313"/>
      <c r="DR101" s="249"/>
      <c r="DS101" s="221"/>
      <c r="DT101" s="313"/>
      <c r="DU101" s="249"/>
      <c r="DV101" s="221"/>
      <c r="DW101" s="305"/>
      <c r="DX101" s="249"/>
      <c r="DY101" s="260"/>
      <c r="DZ101" s="350"/>
      <c r="EA101" s="249"/>
      <c r="EB101" s="221"/>
      <c r="EC101" s="313"/>
      <c r="ED101" s="249"/>
      <c r="EE101" s="221"/>
      <c r="EF101" s="313"/>
      <c r="EG101" s="249"/>
      <c r="EH101" s="221"/>
      <c r="EI101" s="313"/>
      <c r="EJ101" s="249"/>
      <c r="EK101" s="216"/>
      <c r="EL101" s="1435"/>
      <c r="EM101" s="1619"/>
      <c r="EN101" s="1268"/>
      <c r="EO101" s="1563"/>
      <c r="EP101" s="1268"/>
      <c r="EQ101" s="1563"/>
      <c r="ER101" s="1268"/>
      <c r="ES101" s="1563"/>
      <c r="ET101" s="1268"/>
      <c r="EU101" s="1682"/>
      <c r="EV101" s="1683"/>
      <c r="EW101" s="1684"/>
      <c r="EX101" s="1685"/>
      <c r="EY101" s="1030"/>
      <c r="EZ101" s="349"/>
      <c r="FA101" s="395"/>
      <c r="FB101" s="223"/>
      <c r="FC101" s="1030"/>
      <c r="FD101" s="349"/>
      <c r="FE101" s="1031"/>
      <c r="FF101" s="358"/>
      <c r="FG101" s="256"/>
      <c r="FH101" s="256"/>
      <c r="FI101" s="256"/>
      <c r="FJ101" s="256"/>
      <c r="FK101" s="19"/>
      <c r="FL101" s="126"/>
      <c r="FM101" s="126"/>
      <c r="FN101" s="126"/>
      <c r="FO101" s="957"/>
      <c r="FQ101" s="358"/>
      <c r="FR101" s="1190"/>
      <c r="FS101" s="1190"/>
      <c r="FT101" s="64"/>
      <c r="FU101" s="2879"/>
      <c r="FV101" s="2880"/>
      <c r="FW101" s="2881"/>
    </row>
    <row r="102" spans="1:179">
      <c r="A102" s="1023"/>
      <c r="B102" s="1023"/>
      <c r="C102" s="1023"/>
      <c r="T102" s="1186"/>
      <c r="U102" s="233"/>
      <c r="V102" s="216"/>
      <c r="W102" s="218"/>
      <c r="X102" s="218"/>
      <c r="Y102" s="216"/>
      <c r="Z102" s="216"/>
      <c r="AA102" s="1024"/>
      <c r="AB102" s="252"/>
      <c r="AC102" s="252"/>
      <c r="AD102" s="253"/>
      <c r="AE102" s="252"/>
      <c r="AF102" s="252"/>
      <c r="AG102" s="252"/>
      <c r="AH102" s="252"/>
      <c r="AI102" s="252"/>
      <c r="AJ102" s="252"/>
      <c r="AK102" s="253"/>
      <c r="AL102" s="252"/>
      <c r="AM102" s="252"/>
      <c r="AN102" s="252"/>
      <c r="AO102" s="252"/>
      <c r="AP102" s="1192"/>
      <c r="AQ102" s="252"/>
      <c r="AR102" s="252"/>
      <c r="AS102" s="252"/>
      <c r="AT102" s="252"/>
      <c r="AU102" s="252"/>
      <c r="AV102" s="1025"/>
      <c r="AW102" s="359"/>
      <c r="AX102" s="217"/>
      <c r="AY102" s="305"/>
      <c r="AZ102" s="249"/>
      <c r="BA102" s="221"/>
      <c r="BB102" s="300"/>
      <c r="BC102" s="217"/>
      <c r="BD102" s="219"/>
      <c r="BE102" s="1263"/>
      <c r="BF102" s="249"/>
      <c r="BG102" s="252"/>
      <c r="BH102" s="1543"/>
      <c r="BI102" s="1544"/>
      <c r="BJ102" s="1543"/>
      <c r="BK102" s="1545"/>
      <c r="BL102" s="260"/>
      <c r="BM102" s="217"/>
      <c r="BN102" s="220"/>
      <c r="BO102" s="220"/>
      <c r="BP102" s="355"/>
      <c r="BQ102" s="217"/>
      <c r="BR102" s="1026"/>
      <c r="BS102" s="249"/>
      <c r="BT102" s="260"/>
      <c r="BU102" s="1026"/>
      <c r="BV102" s="249"/>
      <c r="BW102" s="260"/>
      <c r="BX102" s="1026"/>
      <c r="BY102" s="249"/>
      <c r="BZ102" s="260"/>
      <c r="CA102" s="1026"/>
      <c r="CB102" s="249"/>
      <c r="CC102" s="260"/>
      <c r="CD102" s="1026"/>
      <c r="CE102" s="1269"/>
      <c r="CF102" s="1270"/>
      <c r="CG102" s="1026"/>
      <c r="CH102" s="293"/>
      <c r="CI102" s="326"/>
      <c r="CJ102" s="1027"/>
      <c r="CK102" s="249"/>
      <c r="CL102" s="260"/>
      <c r="CM102" s="1028"/>
      <c r="CN102" s="249"/>
      <c r="CO102" s="216"/>
      <c r="CP102" s="1029"/>
      <c r="CQ102" s="249"/>
      <c r="CR102" s="216"/>
      <c r="CS102" s="1029"/>
      <c r="CT102" s="249"/>
      <c r="CU102" s="216"/>
      <c r="CV102" s="1027"/>
      <c r="CW102" s="394"/>
      <c r="CX102" s="347"/>
      <c r="CY102" s="1027"/>
      <c r="CZ102" s="249"/>
      <c r="DA102" s="216"/>
      <c r="DB102" s="1027" t="str">
        <f t="shared" si="19"/>
        <v/>
      </c>
      <c r="DC102" s="249"/>
      <c r="DD102" s="2519" t="str">
        <f t="shared" si="18"/>
        <v/>
      </c>
      <c r="DE102" s="1027"/>
      <c r="DF102" s="1556"/>
      <c r="DG102" s="1557"/>
      <c r="DH102" s="1027"/>
      <c r="DI102" s="1556"/>
      <c r="DJ102" s="1558"/>
      <c r="DK102" s="1027"/>
      <c r="DL102" s="249"/>
      <c r="DM102" s="216"/>
      <c r="DN102" s="313"/>
      <c r="DO102" s="249"/>
      <c r="DP102" s="216"/>
      <c r="DQ102" s="313"/>
      <c r="DR102" s="249"/>
      <c r="DS102" s="221"/>
      <c r="DT102" s="313"/>
      <c r="DU102" s="249"/>
      <c r="DV102" s="221"/>
      <c r="DW102" s="305"/>
      <c r="DX102" s="249"/>
      <c r="DY102" s="260"/>
      <c r="DZ102" s="350"/>
      <c r="EA102" s="249"/>
      <c r="EB102" s="221"/>
      <c r="EC102" s="313"/>
      <c r="ED102" s="249"/>
      <c r="EE102" s="221"/>
      <c r="EF102" s="313"/>
      <c r="EG102" s="249"/>
      <c r="EH102" s="221"/>
      <c r="EI102" s="313"/>
      <c r="EJ102" s="249"/>
      <c r="EK102" s="216"/>
      <c r="EL102" s="1435"/>
      <c r="EM102" s="1619"/>
      <c r="EN102" s="1268"/>
      <c r="EO102" s="1563"/>
      <c r="EP102" s="1268"/>
      <c r="EQ102" s="1563"/>
      <c r="ER102" s="1268"/>
      <c r="ES102" s="1563"/>
      <c r="ET102" s="1268"/>
      <c r="EU102" s="1682"/>
      <c r="EV102" s="1683"/>
      <c r="EW102" s="1684"/>
      <c r="EX102" s="1685"/>
      <c r="EY102" s="1030"/>
      <c r="EZ102" s="349"/>
      <c r="FA102" s="395"/>
      <c r="FB102" s="223"/>
      <c r="FC102" s="1030"/>
      <c r="FD102" s="349"/>
      <c r="FE102" s="1031"/>
      <c r="FF102" s="358"/>
      <c r="FG102" s="256"/>
      <c r="FH102" s="256"/>
      <c r="FI102" s="256"/>
      <c r="FJ102" s="256"/>
      <c r="FK102" s="19"/>
      <c r="FL102" s="126"/>
      <c r="FM102" s="126"/>
      <c r="FN102" s="126"/>
      <c r="FO102" s="957"/>
      <c r="FQ102" s="358"/>
      <c r="FR102" s="1190"/>
      <c r="FS102" s="1190"/>
      <c r="FT102" s="64"/>
      <c r="FU102" s="2879"/>
      <c r="FV102" s="2880"/>
      <c r="FW102" s="2881"/>
    </row>
    <row r="103" spans="1:179">
      <c r="A103" s="1023"/>
      <c r="B103" s="1023"/>
      <c r="C103" s="1023"/>
      <c r="T103" s="1186"/>
      <c r="U103" s="233"/>
      <c r="V103" s="216"/>
      <c r="W103" s="218"/>
      <c r="X103" s="218"/>
      <c r="Y103" s="216"/>
      <c r="Z103" s="216"/>
      <c r="AA103" s="1024"/>
      <c r="AB103" s="252"/>
      <c r="AC103" s="252"/>
      <c r="AD103" s="253"/>
      <c r="AE103" s="252"/>
      <c r="AF103" s="252"/>
      <c r="AG103" s="252"/>
      <c r="AH103" s="252"/>
      <c r="AI103" s="252"/>
      <c r="AJ103" s="252"/>
      <c r="AK103" s="253"/>
      <c r="AL103" s="252"/>
      <c r="AM103" s="252"/>
      <c r="AN103" s="252"/>
      <c r="AO103" s="252"/>
      <c r="AP103" s="1192"/>
      <c r="AQ103" s="252"/>
      <c r="AR103" s="252"/>
      <c r="AS103" s="252"/>
      <c r="AT103" s="252"/>
      <c r="AU103" s="252"/>
      <c r="AV103" s="1025"/>
      <c r="AW103" s="359"/>
      <c r="AX103" s="217"/>
      <c r="AY103" s="305"/>
      <c r="AZ103" s="249"/>
      <c r="BA103" s="221"/>
      <c r="BB103" s="300"/>
      <c r="BC103" s="217"/>
      <c r="BD103" s="219"/>
      <c r="BE103" s="1263"/>
      <c r="BF103" s="249"/>
      <c r="BG103" s="252"/>
      <c r="BH103" s="1543"/>
      <c r="BI103" s="1544"/>
      <c r="BJ103" s="1543"/>
      <c r="BK103" s="1545"/>
      <c r="BL103" s="260"/>
      <c r="BM103" s="217"/>
      <c r="BN103" s="220"/>
      <c r="BO103" s="220"/>
      <c r="BP103" s="355"/>
      <c r="BQ103" s="217"/>
      <c r="BR103" s="1026"/>
      <c r="BS103" s="249"/>
      <c r="BT103" s="260"/>
      <c r="BU103" s="1026"/>
      <c r="BV103" s="249"/>
      <c r="BW103" s="260"/>
      <c r="BX103" s="1026"/>
      <c r="BY103" s="249"/>
      <c r="BZ103" s="260"/>
      <c r="CA103" s="1026"/>
      <c r="CB103" s="249"/>
      <c r="CC103" s="260"/>
      <c r="CD103" s="1026"/>
      <c r="CE103" s="1269"/>
      <c r="CF103" s="1270"/>
      <c r="CG103" s="1026"/>
      <c r="CH103" s="293"/>
      <c r="CI103" s="326"/>
      <c r="CJ103" s="1027"/>
      <c r="CK103" s="249"/>
      <c r="CL103" s="260"/>
      <c r="CM103" s="1028"/>
      <c r="CN103" s="249"/>
      <c r="CO103" s="216"/>
      <c r="CP103" s="1029"/>
      <c r="CQ103" s="249"/>
      <c r="CR103" s="216"/>
      <c r="CS103" s="1029"/>
      <c r="CT103" s="249"/>
      <c r="CU103" s="216"/>
      <c r="CV103" s="1027"/>
      <c r="CW103" s="394"/>
      <c r="CX103" s="347"/>
      <c r="CY103" s="1027"/>
      <c r="CZ103" s="249"/>
      <c r="DA103" s="216"/>
      <c r="DB103" s="1027" t="str">
        <f t="shared" si="19"/>
        <v/>
      </c>
      <c r="DC103" s="249"/>
      <c r="DD103" s="2519" t="str">
        <f t="shared" si="18"/>
        <v/>
      </c>
      <c r="DE103" s="1027"/>
      <c r="DF103" s="1556"/>
      <c r="DG103" s="1557"/>
      <c r="DH103" s="1027"/>
      <c r="DI103" s="1556"/>
      <c r="DJ103" s="1558"/>
      <c r="DK103" s="1027"/>
      <c r="DL103" s="249"/>
      <c r="DM103" s="216"/>
      <c r="DN103" s="313"/>
      <c r="DO103" s="249"/>
      <c r="DP103" s="216"/>
      <c r="DQ103" s="313"/>
      <c r="DR103" s="249"/>
      <c r="DS103" s="221"/>
      <c r="DT103" s="313"/>
      <c r="DU103" s="249"/>
      <c r="DV103" s="221"/>
      <c r="DW103" s="305"/>
      <c r="DX103" s="249"/>
      <c r="DY103" s="260"/>
      <c r="DZ103" s="350"/>
      <c r="EA103" s="249"/>
      <c r="EB103" s="221"/>
      <c r="EC103" s="313"/>
      <c r="ED103" s="249"/>
      <c r="EE103" s="221"/>
      <c r="EF103" s="313"/>
      <c r="EG103" s="249"/>
      <c r="EH103" s="221"/>
      <c r="EI103" s="313"/>
      <c r="EJ103" s="249"/>
      <c r="EK103" s="216"/>
      <c r="EL103" s="1435"/>
      <c r="EM103" s="1619"/>
      <c r="EN103" s="1268"/>
      <c r="EO103" s="1563"/>
      <c r="EP103" s="1268"/>
      <c r="EQ103" s="1563"/>
      <c r="ER103" s="1268"/>
      <c r="ES103" s="1563"/>
      <c r="ET103" s="1268"/>
      <c r="EU103" s="1682"/>
      <c r="EV103" s="1683"/>
      <c r="EW103" s="1684"/>
      <c r="EX103" s="1685"/>
      <c r="EY103" s="1030"/>
      <c r="EZ103" s="349"/>
      <c r="FA103" s="395"/>
      <c r="FB103" s="223"/>
      <c r="FC103" s="1030"/>
      <c r="FD103" s="349"/>
      <c r="FE103" s="1031"/>
      <c r="FF103" s="358"/>
      <c r="FG103" s="256"/>
      <c r="FH103" s="256"/>
      <c r="FI103" s="256"/>
      <c r="FJ103" s="256"/>
      <c r="FK103" s="19"/>
      <c r="FL103" s="126"/>
      <c r="FM103" s="126"/>
      <c r="FN103" s="126"/>
      <c r="FO103" s="957"/>
      <c r="FQ103" s="358"/>
      <c r="FR103" s="1190"/>
      <c r="FS103" s="1190"/>
      <c r="FT103" s="64"/>
      <c r="FU103" s="2879"/>
      <c r="FV103" s="2880"/>
      <c r="FW103" s="2881"/>
    </row>
    <row r="104" spans="1:179">
      <c r="A104" s="1023"/>
      <c r="B104" s="1023"/>
      <c r="C104" s="1023"/>
      <c r="T104" s="1186"/>
      <c r="U104" s="233"/>
      <c r="V104" s="216"/>
      <c r="W104" s="218"/>
      <c r="X104" s="218"/>
      <c r="Y104" s="216"/>
      <c r="Z104" s="216"/>
      <c r="AA104" s="1024"/>
      <c r="AB104" s="252"/>
      <c r="AC104" s="252"/>
      <c r="AD104" s="253"/>
      <c r="AE104" s="252"/>
      <c r="AF104" s="252"/>
      <c r="AG104" s="252"/>
      <c r="AH104" s="252"/>
      <c r="AI104" s="252"/>
      <c r="AJ104" s="252"/>
      <c r="AK104" s="253"/>
      <c r="AL104" s="252"/>
      <c r="AM104" s="252"/>
      <c r="AN104" s="252"/>
      <c r="AO104" s="252"/>
      <c r="AP104" s="1192"/>
      <c r="AQ104" s="252"/>
      <c r="AR104" s="252"/>
      <c r="AS104" s="252"/>
      <c r="AT104" s="252"/>
      <c r="AU104" s="252"/>
      <c r="AV104" s="1025"/>
      <c r="AW104" s="359"/>
      <c r="AX104" s="217"/>
      <c r="AY104" s="305"/>
      <c r="AZ104" s="249"/>
      <c r="BA104" s="221"/>
      <c r="BB104" s="300"/>
      <c r="BC104" s="217"/>
      <c r="BD104" s="219"/>
      <c r="BE104" s="1263"/>
      <c r="BF104" s="249"/>
      <c r="BG104" s="252"/>
      <c r="BH104" s="1543"/>
      <c r="BI104" s="1544"/>
      <c r="BJ104" s="1543"/>
      <c r="BK104" s="1545"/>
      <c r="BL104" s="260"/>
      <c r="BM104" s="217"/>
      <c r="BN104" s="220"/>
      <c r="BO104" s="220"/>
      <c r="BP104" s="355"/>
      <c r="BQ104" s="217"/>
      <c r="BR104" s="1026"/>
      <c r="BS104" s="249"/>
      <c r="BT104" s="260"/>
      <c r="BU104" s="1026"/>
      <c r="BV104" s="249"/>
      <c r="BW104" s="260"/>
      <c r="BX104" s="1026"/>
      <c r="BY104" s="249"/>
      <c r="BZ104" s="260"/>
      <c r="CA104" s="1026"/>
      <c r="CB104" s="249"/>
      <c r="CC104" s="260"/>
      <c r="CD104" s="1026"/>
      <c r="CE104" s="1269"/>
      <c r="CF104" s="1270"/>
      <c r="CG104" s="1026"/>
      <c r="CH104" s="293"/>
      <c r="CI104" s="326"/>
      <c r="CJ104" s="1027"/>
      <c r="CK104" s="249"/>
      <c r="CL104" s="260"/>
      <c r="CM104" s="1028"/>
      <c r="CN104" s="249"/>
      <c r="CO104" s="216"/>
      <c r="CP104" s="1029"/>
      <c r="CQ104" s="249"/>
      <c r="CR104" s="216"/>
      <c r="CS104" s="1029"/>
      <c r="CT104" s="249"/>
      <c r="CU104" s="216"/>
      <c r="CV104" s="1027"/>
      <c r="CW104" s="394"/>
      <c r="CX104" s="347"/>
      <c r="CY104" s="1027"/>
      <c r="CZ104" s="249"/>
      <c r="DA104" s="216"/>
      <c r="DB104" s="1027" t="str">
        <f t="shared" si="19"/>
        <v/>
      </c>
      <c r="DC104" s="249"/>
      <c r="DD104" s="2519" t="str">
        <f t="shared" si="18"/>
        <v/>
      </c>
      <c r="DE104" s="1027"/>
      <c r="DF104" s="1556"/>
      <c r="DG104" s="1557"/>
      <c r="DH104" s="1027"/>
      <c r="DI104" s="1556"/>
      <c r="DJ104" s="1558"/>
      <c r="DK104" s="1027"/>
      <c r="DL104" s="249"/>
      <c r="DM104" s="216"/>
      <c r="DN104" s="313"/>
      <c r="DO104" s="249"/>
      <c r="DP104" s="216"/>
      <c r="DQ104" s="313"/>
      <c r="DR104" s="249"/>
      <c r="DS104" s="221"/>
      <c r="DT104" s="313"/>
      <c r="DU104" s="249"/>
      <c r="DV104" s="221"/>
      <c r="DW104" s="305"/>
      <c r="DX104" s="249"/>
      <c r="DY104" s="260"/>
      <c r="DZ104" s="350"/>
      <c r="EA104" s="249"/>
      <c r="EB104" s="221"/>
      <c r="EC104" s="313"/>
      <c r="ED104" s="249"/>
      <c r="EE104" s="221"/>
      <c r="EF104" s="313"/>
      <c r="EG104" s="249"/>
      <c r="EH104" s="221"/>
      <c r="EI104" s="313"/>
      <c r="EJ104" s="249"/>
      <c r="EK104" s="216"/>
      <c r="EL104" s="1435"/>
      <c r="EM104" s="1619"/>
      <c r="EN104" s="1268"/>
      <c r="EO104" s="1563"/>
      <c r="EP104" s="1268"/>
      <c r="EQ104" s="1563"/>
      <c r="ER104" s="1268"/>
      <c r="ES104" s="1563"/>
      <c r="ET104" s="1268"/>
      <c r="EU104" s="1682"/>
      <c r="EV104" s="1683"/>
      <c r="EW104" s="1684"/>
      <c r="EX104" s="1685"/>
      <c r="EY104" s="1030"/>
      <c r="EZ104" s="349"/>
      <c r="FA104" s="395"/>
      <c r="FB104" s="223"/>
      <c r="FC104" s="1030"/>
      <c r="FD104" s="349"/>
      <c r="FE104" s="1031"/>
      <c r="FF104" s="358"/>
      <c r="FG104" s="256"/>
      <c r="FH104" s="256"/>
      <c r="FI104" s="256"/>
      <c r="FJ104" s="256"/>
      <c r="FK104" s="19"/>
      <c r="FL104" s="126"/>
      <c r="FM104" s="126"/>
      <c r="FN104" s="126"/>
      <c r="FO104" s="957"/>
      <c r="FQ104" s="358"/>
      <c r="FR104" s="1190"/>
      <c r="FS104" s="1190"/>
      <c r="FT104" s="64"/>
      <c r="FU104" s="2879"/>
      <c r="FV104" s="2880"/>
      <c r="FW104" s="2881"/>
    </row>
    <row r="105" spans="1:179">
      <c r="A105" s="1023"/>
      <c r="B105" s="1023"/>
      <c r="C105" s="1023"/>
      <c r="T105" s="1186"/>
      <c r="U105" s="233"/>
      <c r="V105" s="216"/>
      <c r="W105" s="218"/>
      <c r="X105" s="218"/>
      <c r="Y105" s="216"/>
      <c r="Z105" s="216"/>
      <c r="AA105" s="1024"/>
      <c r="AB105" s="252"/>
      <c r="AC105" s="252"/>
      <c r="AD105" s="253"/>
      <c r="AE105" s="252"/>
      <c r="AF105" s="252"/>
      <c r="AG105" s="252"/>
      <c r="AH105" s="252"/>
      <c r="AI105" s="252"/>
      <c r="AJ105" s="252"/>
      <c r="AK105" s="253"/>
      <c r="AL105" s="252"/>
      <c r="AM105" s="252"/>
      <c r="AN105" s="252"/>
      <c r="AO105" s="252"/>
      <c r="AP105" s="1192"/>
      <c r="AQ105" s="252"/>
      <c r="AR105" s="252"/>
      <c r="AS105" s="252"/>
      <c r="AT105" s="252"/>
      <c r="AU105" s="252"/>
      <c r="AV105" s="1025"/>
      <c r="AW105" s="359"/>
      <c r="AX105" s="217"/>
      <c r="AY105" s="305"/>
      <c r="AZ105" s="249"/>
      <c r="BA105" s="221"/>
      <c r="BB105" s="300"/>
      <c r="BC105" s="217"/>
      <c r="BD105" s="219"/>
      <c r="BE105" s="1263"/>
      <c r="BF105" s="249"/>
      <c r="BG105" s="252"/>
      <c r="BH105" s="1543"/>
      <c r="BI105" s="1544"/>
      <c r="BJ105" s="1543"/>
      <c r="BK105" s="1545"/>
      <c r="BL105" s="260"/>
      <c r="BM105" s="217"/>
      <c r="BN105" s="220"/>
      <c r="BO105" s="220"/>
      <c r="BP105" s="355"/>
      <c r="BQ105" s="217"/>
      <c r="BR105" s="1026"/>
      <c r="BS105" s="249"/>
      <c r="BT105" s="260"/>
      <c r="BU105" s="1026"/>
      <c r="BV105" s="249"/>
      <c r="BW105" s="260"/>
      <c r="BX105" s="1026"/>
      <c r="BY105" s="249"/>
      <c r="BZ105" s="260"/>
      <c r="CA105" s="1026"/>
      <c r="CB105" s="249"/>
      <c r="CC105" s="260"/>
      <c r="CD105" s="1026"/>
      <c r="CE105" s="1269"/>
      <c r="CF105" s="1270"/>
      <c r="CG105" s="1026"/>
      <c r="CH105" s="293"/>
      <c r="CI105" s="326"/>
      <c r="CJ105" s="1027"/>
      <c r="CK105" s="249"/>
      <c r="CL105" s="260"/>
      <c r="CM105" s="1028"/>
      <c r="CN105" s="249"/>
      <c r="CO105" s="216"/>
      <c r="CP105" s="1029"/>
      <c r="CQ105" s="249"/>
      <c r="CR105" s="216"/>
      <c r="CS105" s="1029"/>
      <c r="CT105" s="249"/>
      <c r="CU105" s="216"/>
      <c r="CV105" s="1027"/>
      <c r="CW105" s="394"/>
      <c r="CX105" s="347"/>
      <c r="CY105" s="1027"/>
      <c r="CZ105" s="249"/>
      <c r="DA105" s="216"/>
      <c r="DB105" s="1027" t="str">
        <f t="shared" si="19"/>
        <v/>
      </c>
      <c r="DC105" s="249"/>
      <c r="DD105" s="2519" t="str">
        <f t="shared" si="18"/>
        <v/>
      </c>
      <c r="DE105" s="1027"/>
      <c r="DF105" s="1556"/>
      <c r="DG105" s="1557"/>
      <c r="DH105" s="1027"/>
      <c r="DI105" s="1556"/>
      <c r="DJ105" s="1558"/>
      <c r="DK105" s="1027"/>
      <c r="DL105" s="249"/>
      <c r="DM105" s="216"/>
      <c r="DN105" s="313"/>
      <c r="DO105" s="249"/>
      <c r="DP105" s="216"/>
      <c r="DQ105" s="313"/>
      <c r="DR105" s="249"/>
      <c r="DS105" s="221"/>
      <c r="DT105" s="313"/>
      <c r="DU105" s="249"/>
      <c r="DV105" s="221"/>
      <c r="DW105" s="305"/>
      <c r="DX105" s="249"/>
      <c r="DY105" s="260"/>
      <c r="DZ105" s="350"/>
      <c r="EA105" s="249"/>
      <c r="EB105" s="221"/>
      <c r="EC105" s="313"/>
      <c r="ED105" s="249"/>
      <c r="EE105" s="221"/>
      <c r="EF105" s="313"/>
      <c r="EG105" s="249"/>
      <c r="EH105" s="221"/>
      <c r="EI105" s="313"/>
      <c r="EJ105" s="249"/>
      <c r="EK105" s="216"/>
      <c r="EL105" s="1435"/>
      <c r="EM105" s="1619"/>
      <c r="EN105" s="1268"/>
      <c r="EO105" s="1563"/>
      <c r="EP105" s="1268"/>
      <c r="EQ105" s="1563"/>
      <c r="ER105" s="1268"/>
      <c r="ES105" s="1563"/>
      <c r="ET105" s="1268"/>
      <c r="EU105" s="1682"/>
      <c r="EV105" s="1683"/>
      <c r="EW105" s="1684"/>
      <c r="EX105" s="1685"/>
      <c r="EY105" s="1030"/>
      <c r="EZ105" s="349"/>
      <c r="FA105" s="395"/>
      <c r="FB105" s="223"/>
      <c r="FC105" s="1030"/>
      <c r="FD105" s="349"/>
      <c r="FE105" s="1031"/>
      <c r="FF105" s="358"/>
      <c r="FG105" s="256"/>
      <c r="FH105" s="256"/>
      <c r="FI105" s="256"/>
      <c r="FJ105" s="256"/>
      <c r="FK105" s="19"/>
      <c r="FL105" s="126"/>
      <c r="FM105" s="126"/>
      <c r="FN105" s="126"/>
      <c r="FO105" s="957"/>
      <c r="FQ105" s="358"/>
      <c r="FR105" s="1190"/>
      <c r="FS105" s="1190"/>
      <c r="FT105" s="64"/>
      <c r="FU105" s="2879"/>
      <c r="FV105" s="2880"/>
      <c r="FW105" s="2881"/>
    </row>
    <row r="106" spans="1:179">
      <c r="A106" s="1023"/>
      <c r="B106" s="1023"/>
      <c r="C106" s="1023"/>
      <c r="T106" s="1186"/>
      <c r="U106" s="233"/>
      <c r="V106" s="216"/>
      <c r="W106" s="218"/>
      <c r="X106" s="218"/>
      <c r="Y106" s="216"/>
      <c r="Z106" s="216"/>
      <c r="AA106" s="1024"/>
      <c r="AB106" s="252"/>
      <c r="AC106" s="252"/>
      <c r="AD106" s="253"/>
      <c r="AE106" s="252"/>
      <c r="AF106" s="252"/>
      <c r="AG106" s="252"/>
      <c r="AH106" s="252"/>
      <c r="AI106" s="252"/>
      <c r="AJ106" s="252"/>
      <c r="AK106" s="253"/>
      <c r="AL106" s="252"/>
      <c r="AM106" s="252"/>
      <c r="AN106" s="252"/>
      <c r="AO106" s="252"/>
      <c r="AP106" s="1192"/>
      <c r="AQ106" s="252"/>
      <c r="AR106" s="252"/>
      <c r="AS106" s="252"/>
      <c r="AT106" s="252"/>
      <c r="AU106" s="252"/>
      <c r="AV106" s="1025"/>
      <c r="AW106" s="359"/>
      <c r="AX106" s="217"/>
      <c r="AY106" s="305"/>
      <c r="AZ106" s="249"/>
      <c r="BA106" s="221"/>
      <c r="BB106" s="300"/>
      <c r="BC106" s="217"/>
      <c r="BD106" s="219"/>
      <c r="BE106" s="1263"/>
      <c r="BF106" s="249"/>
      <c r="BG106" s="252"/>
      <c r="BH106" s="1543"/>
      <c r="BI106" s="1544"/>
      <c r="BJ106" s="1543"/>
      <c r="BK106" s="1545"/>
      <c r="BL106" s="260"/>
      <c r="BM106" s="217"/>
      <c r="BN106" s="220"/>
      <c r="BO106" s="220"/>
      <c r="BP106" s="355"/>
      <c r="BQ106" s="217"/>
      <c r="BR106" s="1026"/>
      <c r="BS106" s="249"/>
      <c r="BT106" s="260"/>
      <c r="BU106" s="1026"/>
      <c r="BV106" s="249"/>
      <c r="BW106" s="260"/>
      <c r="BX106" s="1026"/>
      <c r="BY106" s="249"/>
      <c r="BZ106" s="260"/>
      <c r="CA106" s="1026"/>
      <c r="CB106" s="249"/>
      <c r="CC106" s="260"/>
      <c r="CD106" s="1026"/>
      <c r="CE106" s="1269"/>
      <c r="CF106" s="1270"/>
      <c r="CG106" s="1026"/>
      <c r="CH106" s="293"/>
      <c r="CI106" s="326"/>
      <c r="CJ106" s="1027"/>
      <c r="CK106" s="249"/>
      <c r="CL106" s="260"/>
      <c r="CM106" s="1028"/>
      <c r="CN106" s="249"/>
      <c r="CO106" s="216"/>
      <c r="CP106" s="1029"/>
      <c r="CQ106" s="249"/>
      <c r="CR106" s="216"/>
      <c r="CS106" s="1029"/>
      <c r="CT106" s="249"/>
      <c r="CU106" s="216"/>
      <c r="CV106" s="1027"/>
      <c r="CW106" s="394"/>
      <c r="CX106" s="347"/>
      <c r="CY106" s="1027"/>
      <c r="CZ106" s="249"/>
      <c r="DA106" s="216"/>
      <c r="DB106" s="1027" t="str">
        <f t="shared" si="19"/>
        <v/>
      </c>
      <c r="DC106" s="249"/>
      <c r="DD106" s="2519" t="str">
        <f t="shared" si="18"/>
        <v/>
      </c>
      <c r="DE106" s="1027"/>
      <c r="DF106" s="1556"/>
      <c r="DG106" s="1557"/>
      <c r="DH106" s="1027"/>
      <c r="DI106" s="1556"/>
      <c r="DJ106" s="1558"/>
      <c r="DK106" s="1027"/>
      <c r="DL106" s="249"/>
      <c r="DM106" s="216"/>
      <c r="DN106" s="313"/>
      <c r="DO106" s="249"/>
      <c r="DP106" s="216"/>
      <c r="DQ106" s="313"/>
      <c r="DR106" s="249"/>
      <c r="DS106" s="221"/>
      <c r="DT106" s="313"/>
      <c r="DU106" s="249"/>
      <c r="DV106" s="221"/>
      <c r="DW106" s="305"/>
      <c r="DX106" s="249"/>
      <c r="DY106" s="260"/>
      <c r="DZ106" s="350"/>
      <c r="EA106" s="249"/>
      <c r="EB106" s="221"/>
      <c r="EC106" s="313"/>
      <c r="ED106" s="249"/>
      <c r="EE106" s="221"/>
      <c r="EF106" s="313"/>
      <c r="EG106" s="249"/>
      <c r="EH106" s="221"/>
      <c r="EI106" s="313"/>
      <c r="EJ106" s="249"/>
      <c r="EK106" s="216"/>
      <c r="EL106" s="1435"/>
      <c r="EM106" s="1619"/>
      <c r="EN106" s="1268"/>
      <c r="EO106" s="1563"/>
      <c r="EP106" s="1268"/>
      <c r="EQ106" s="1563"/>
      <c r="ER106" s="1268"/>
      <c r="ES106" s="1563"/>
      <c r="ET106" s="1268"/>
      <c r="EU106" s="1682"/>
      <c r="EV106" s="1683"/>
      <c r="EW106" s="1684"/>
      <c r="EX106" s="1685"/>
      <c r="EY106" s="1030"/>
      <c r="EZ106" s="349"/>
      <c r="FA106" s="395"/>
      <c r="FB106" s="223"/>
      <c r="FC106" s="1030"/>
      <c r="FD106" s="349"/>
      <c r="FE106" s="1031"/>
      <c r="FF106" s="358"/>
      <c r="FG106" s="256"/>
      <c r="FH106" s="256"/>
      <c r="FI106" s="256"/>
      <c r="FJ106" s="256"/>
      <c r="FK106" s="19"/>
      <c r="FL106" s="126"/>
      <c r="FM106" s="126"/>
      <c r="FN106" s="126"/>
      <c r="FO106" s="957"/>
      <c r="FQ106" s="358"/>
      <c r="FR106" s="1190"/>
      <c r="FS106" s="1190"/>
      <c r="FT106" s="64"/>
      <c r="FU106" s="2879"/>
      <c r="FV106" s="2880"/>
      <c r="FW106" s="2881"/>
    </row>
    <row r="107" spans="1:179">
      <c r="A107" s="1023"/>
      <c r="B107" s="1023"/>
      <c r="C107" s="1023"/>
      <c r="T107" s="1186"/>
      <c r="U107" s="233"/>
      <c r="V107" s="216"/>
      <c r="W107" s="218"/>
      <c r="X107" s="218"/>
      <c r="Y107" s="216"/>
      <c r="Z107" s="216"/>
      <c r="AA107" s="1024"/>
      <c r="AB107" s="252"/>
      <c r="AC107" s="252"/>
      <c r="AD107" s="253"/>
      <c r="AE107" s="252"/>
      <c r="AF107" s="252"/>
      <c r="AG107" s="252"/>
      <c r="AH107" s="252"/>
      <c r="AI107" s="252"/>
      <c r="AJ107" s="252"/>
      <c r="AK107" s="253"/>
      <c r="AL107" s="252"/>
      <c r="AM107" s="252"/>
      <c r="AN107" s="252"/>
      <c r="AO107" s="252"/>
      <c r="AP107" s="1192"/>
      <c r="AQ107" s="252"/>
      <c r="AR107" s="252"/>
      <c r="AS107" s="252"/>
      <c r="AT107" s="252"/>
      <c r="AU107" s="252"/>
      <c r="AV107" s="1025"/>
      <c r="AW107" s="359"/>
      <c r="AX107" s="217"/>
      <c r="AY107" s="305"/>
      <c r="AZ107" s="249"/>
      <c r="BA107" s="221"/>
      <c r="BB107" s="300"/>
      <c r="BC107" s="217"/>
      <c r="BD107" s="219"/>
      <c r="BE107" s="1263"/>
      <c r="BF107" s="249"/>
      <c r="BG107" s="252"/>
      <c r="BH107" s="1543"/>
      <c r="BI107" s="1544"/>
      <c r="BJ107" s="1543"/>
      <c r="BK107" s="1545"/>
      <c r="BL107" s="260"/>
      <c r="BM107" s="217"/>
      <c r="BN107" s="220"/>
      <c r="BO107" s="220"/>
      <c r="BP107" s="355"/>
      <c r="BQ107" s="217"/>
      <c r="BR107" s="1026"/>
      <c r="BS107" s="249"/>
      <c r="BT107" s="260"/>
      <c r="BU107" s="1026"/>
      <c r="BV107" s="249"/>
      <c r="BW107" s="260"/>
      <c r="BX107" s="1026"/>
      <c r="BY107" s="249"/>
      <c r="BZ107" s="260"/>
      <c r="CA107" s="1026"/>
      <c r="CB107" s="249"/>
      <c r="CC107" s="260"/>
      <c r="CD107" s="1026"/>
      <c r="CE107" s="1269"/>
      <c r="CF107" s="1270"/>
      <c r="CG107" s="1026"/>
      <c r="CH107" s="293"/>
      <c r="CI107" s="326"/>
      <c r="CJ107" s="1027"/>
      <c r="CK107" s="249"/>
      <c r="CL107" s="260"/>
      <c r="CM107" s="1028"/>
      <c r="CN107" s="249"/>
      <c r="CO107" s="216"/>
      <c r="CP107" s="1029"/>
      <c r="CQ107" s="249"/>
      <c r="CR107" s="216"/>
      <c r="CS107" s="1029"/>
      <c r="CT107" s="249"/>
      <c r="CU107" s="216"/>
      <c r="CV107" s="1027"/>
      <c r="CW107" s="394"/>
      <c r="CX107" s="347"/>
      <c r="CY107" s="1027"/>
      <c r="CZ107" s="249"/>
      <c r="DA107" s="216"/>
      <c r="DB107" s="1027" t="str">
        <f t="shared" si="19"/>
        <v/>
      </c>
      <c r="DC107" s="249"/>
      <c r="DD107" s="2519" t="str">
        <f t="shared" si="18"/>
        <v/>
      </c>
      <c r="DE107" s="1027"/>
      <c r="DF107" s="1556"/>
      <c r="DG107" s="1557"/>
      <c r="DH107" s="1027"/>
      <c r="DI107" s="1556"/>
      <c r="DJ107" s="1558"/>
      <c r="DK107" s="1027"/>
      <c r="DL107" s="249"/>
      <c r="DM107" s="216"/>
      <c r="DN107" s="313"/>
      <c r="DO107" s="249"/>
      <c r="DP107" s="216"/>
      <c r="DQ107" s="313"/>
      <c r="DR107" s="249"/>
      <c r="DS107" s="221"/>
      <c r="DT107" s="313"/>
      <c r="DU107" s="249"/>
      <c r="DV107" s="221"/>
      <c r="DW107" s="305"/>
      <c r="DX107" s="249"/>
      <c r="DY107" s="260"/>
      <c r="DZ107" s="350"/>
      <c r="EA107" s="249"/>
      <c r="EB107" s="221"/>
      <c r="EC107" s="313"/>
      <c r="ED107" s="249"/>
      <c r="EE107" s="221"/>
      <c r="EF107" s="313"/>
      <c r="EG107" s="249"/>
      <c r="EH107" s="221"/>
      <c r="EI107" s="313"/>
      <c r="EJ107" s="249"/>
      <c r="EK107" s="216"/>
      <c r="EL107" s="1435"/>
      <c r="EM107" s="1619"/>
      <c r="EN107" s="1268"/>
      <c r="EO107" s="1563"/>
      <c r="EP107" s="1268"/>
      <c r="EQ107" s="1563"/>
      <c r="ER107" s="1268"/>
      <c r="ES107" s="1563"/>
      <c r="ET107" s="1268"/>
      <c r="EU107" s="1682"/>
      <c r="EV107" s="1683"/>
      <c r="EW107" s="1684"/>
      <c r="EX107" s="1685"/>
      <c r="EY107" s="1030"/>
      <c r="EZ107" s="349"/>
      <c r="FA107" s="395"/>
      <c r="FB107" s="223"/>
      <c r="FC107" s="1030"/>
      <c r="FD107" s="349"/>
      <c r="FE107" s="1031"/>
      <c r="FF107" s="358"/>
      <c r="FG107" s="256"/>
      <c r="FH107" s="256"/>
      <c r="FI107" s="256"/>
      <c r="FJ107" s="256"/>
      <c r="FK107" s="19"/>
      <c r="FL107" s="126"/>
      <c r="FM107" s="126"/>
      <c r="FN107" s="126"/>
      <c r="FO107" s="957"/>
      <c r="FQ107" s="358"/>
      <c r="FR107" s="1190"/>
      <c r="FS107" s="1190"/>
      <c r="FT107" s="64"/>
      <c r="FU107" s="2879"/>
      <c r="FV107" s="2880"/>
      <c r="FW107" s="2881"/>
    </row>
    <row r="108" spans="1:179">
      <c r="A108" s="1023"/>
      <c r="B108" s="1023"/>
      <c r="C108" s="1023"/>
      <c r="T108" s="1186"/>
      <c r="U108" s="233"/>
      <c r="V108" s="216"/>
      <c r="W108" s="218"/>
      <c r="X108" s="218"/>
      <c r="Y108" s="216"/>
      <c r="Z108" s="216"/>
      <c r="AA108" s="1024"/>
      <c r="AB108" s="252"/>
      <c r="AC108" s="252"/>
      <c r="AD108" s="253"/>
      <c r="AE108" s="252"/>
      <c r="AF108" s="252"/>
      <c r="AG108" s="252"/>
      <c r="AH108" s="252"/>
      <c r="AI108" s="252"/>
      <c r="AJ108" s="252"/>
      <c r="AK108" s="253"/>
      <c r="AL108" s="252"/>
      <c r="AM108" s="252"/>
      <c r="AN108" s="252"/>
      <c r="AO108" s="252"/>
      <c r="AP108" s="1192"/>
      <c r="AQ108" s="252"/>
      <c r="AR108" s="252"/>
      <c r="AS108" s="252"/>
      <c r="AT108" s="252"/>
      <c r="AU108" s="252"/>
      <c r="AV108" s="1025"/>
      <c r="AW108" s="359"/>
      <c r="AX108" s="217"/>
      <c r="AY108" s="305"/>
      <c r="AZ108" s="249"/>
      <c r="BA108" s="221"/>
      <c r="BB108" s="300"/>
      <c r="BC108" s="217"/>
      <c r="BD108" s="219"/>
      <c r="BE108" s="1263"/>
      <c r="BF108" s="249"/>
      <c r="BG108" s="252"/>
      <c r="BH108" s="1543"/>
      <c r="BI108" s="1544"/>
      <c r="BJ108" s="1543"/>
      <c r="BK108" s="1545"/>
      <c r="BL108" s="260"/>
      <c r="BM108" s="217"/>
      <c r="BN108" s="220"/>
      <c r="BO108" s="220"/>
      <c r="BP108" s="355"/>
      <c r="BQ108" s="217"/>
      <c r="BR108" s="1026"/>
      <c r="BS108" s="249"/>
      <c r="BT108" s="260"/>
      <c r="BU108" s="1026"/>
      <c r="BV108" s="249"/>
      <c r="BW108" s="260"/>
      <c r="BX108" s="1026"/>
      <c r="BY108" s="249"/>
      <c r="BZ108" s="260"/>
      <c r="CA108" s="1026"/>
      <c r="CB108" s="249"/>
      <c r="CC108" s="260"/>
      <c r="CD108" s="1026"/>
      <c r="CE108" s="1269"/>
      <c r="CF108" s="1270"/>
      <c r="CG108" s="1026"/>
      <c r="CH108" s="293"/>
      <c r="CI108" s="326"/>
      <c r="CJ108" s="1027"/>
      <c r="CK108" s="249"/>
      <c r="CL108" s="260"/>
      <c r="CM108" s="1028"/>
      <c r="CN108" s="249"/>
      <c r="CO108" s="216"/>
      <c r="CP108" s="1029"/>
      <c r="CQ108" s="249"/>
      <c r="CR108" s="216"/>
      <c r="CS108" s="1029"/>
      <c r="CT108" s="249"/>
      <c r="CU108" s="216"/>
      <c r="CV108" s="1027"/>
      <c r="CW108" s="394"/>
      <c r="CX108" s="347"/>
      <c r="CY108" s="1027"/>
      <c r="CZ108" s="249"/>
      <c r="DA108" s="216"/>
      <c r="DB108" s="1027" t="str">
        <f t="shared" si="19"/>
        <v/>
      </c>
      <c r="DC108" s="249"/>
      <c r="DD108" s="2519" t="str">
        <f t="shared" si="18"/>
        <v/>
      </c>
      <c r="DE108" s="1027"/>
      <c r="DF108" s="1556"/>
      <c r="DG108" s="1557"/>
      <c r="DH108" s="1027"/>
      <c r="DI108" s="1556"/>
      <c r="DJ108" s="1558"/>
      <c r="DK108" s="1027"/>
      <c r="DL108" s="249"/>
      <c r="DM108" s="216"/>
      <c r="DN108" s="313"/>
      <c r="DO108" s="249"/>
      <c r="DP108" s="216"/>
      <c r="DQ108" s="313"/>
      <c r="DR108" s="249"/>
      <c r="DS108" s="221"/>
      <c r="DT108" s="313"/>
      <c r="DU108" s="249"/>
      <c r="DV108" s="221"/>
      <c r="DW108" s="305"/>
      <c r="DX108" s="249"/>
      <c r="DY108" s="260"/>
      <c r="DZ108" s="350"/>
      <c r="EA108" s="249"/>
      <c r="EB108" s="221"/>
      <c r="EC108" s="313"/>
      <c r="ED108" s="249"/>
      <c r="EE108" s="221"/>
      <c r="EF108" s="313"/>
      <c r="EG108" s="249"/>
      <c r="EH108" s="221"/>
      <c r="EI108" s="313"/>
      <c r="EJ108" s="249"/>
      <c r="EK108" s="216"/>
      <c r="EL108" s="1435"/>
      <c r="EM108" s="1619"/>
      <c r="EN108" s="1268"/>
      <c r="EO108" s="1563"/>
      <c r="EP108" s="1268"/>
      <c r="EQ108" s="1563"/>
      <c r="ER108" s="1268"/>
      <c r="ES108" s="1563"/>
      <c r="ET108" s="1268"/>
      <c r="EU108" s="1682"/>
      <c r="EV108" s="1683"/>
      <c r="EW108" s="1684"/>
      <c r="EX108" s="1685"/>
      <c r="EY108" s="1030"/>
      <c r="EZ108" s="349"/>
      <c r="FA108" s="395"/>
      <c r="FB108" s="223"/>
      <c r="FC108" s="1030"/>
      <c r="FD108" s="349"/>
      <c r="FE108" s="1031"/>
      <c r="FF108" s="358"/>
      <c r="FG108" s="256"/>
      <c r="FH108" s="256"/>
      <c r="FI108" s="256"/>
      <c r="FJ108" s="256"/>
      <c r="FK108" s="19"/>
      <c r="FL108" s="126"/>
      <c r="FM108" s="126"/>
      <c r="FN108" s="126"/>
      <c r="FO108" s="957"/>
      <c r="FQ108" s="358"/>
      <c r="FR108" s="1190"/>
      <c r="FS108" s="1190"/>
      <c r="FT108" s="64"/>
      <c r="FU108" s="2879"/>
      <c r="FV108" s="2880"/>
      <c r="FW108" s="2881"/>
    </row>
    <row r="109" spans="1:179">
      <c r="A109" s="1023"/>
      <c r="B109" s="1023"/>
      <c r="C109" s="1023"/>
      <c r="T109" s="1186"/>
      <c r="U109" s="233"/>
      <c r="V109" s="216"/>
      <c r="W109" s="218"/>
      <c r="X109" s="218"/>
      <c r="Y109" s="216"/>
      <c r="Z109" s="216"/>
      <c r="AA109" s="1024"/>
      <c r="AB109" s="252"/>
      <c r="AC109" s="252"/>
      <c r="AD109" s="253"/>
      <c r="AE109" s="252"/>
      <c r="AF109" s="252"/>
      <c r="AG109" s="252"/>
      <c r="AH109" s="252"/>
      <c r="AI109" s="252"/>
      <c r="AJ109" s="252"/>
      <c r="AK109" s="253"/>
      <c r="AL109" s="252"/>
      <c r="AM109" s="252"/>
      <c r="AN109" s="252"/>
      <c r="AO109" s="252"/>
      <c r="AP109" s="1192"/>
      <c r="AQ109" s="252"/>
      <c r="AR109" s="252"/>
      <c r="AS109" s="252"/>
      <c r="AT109" s="252"/>
      <c r="AU109" s="252"/>
      <c r="AV109" s="1025"/>
      <c r="AW109" s="359"/>
      <c r="AX109" s="217"/>
      <c r="AY109" s="305"/>
      <c r="AZ109" s="249"/>
      <c r="BA109" s="221"/>
      <c r="BB109" s="300"/>
      <c r="BC109" s="217"/>
      <c r="BD109" s="219"/>
      <c r="BE109" s="1263"/>
      <c r="BF109" s="249"/>
      <c r="BG109" s="252"/>
      <c r="BH109" s="1543"/>
      <c r="BI109" s="1544"/>
      <c r="BJ109" s="1543"/>
      <c r="BK109" s="1545"/>
      <c r="BL109" s="260"/>
      <c r="BM109" s="217"/>
      <c r="BN109" s="220"/>
      <c r="BO109" s="220"/>
      <c r="BP109" s="355"/>
      <c r="BQ109" s="217"/>
      <c r="BR109" s="1026"/>
      <c r="BS109" s="249"/>
      <c r="BT109" s="260"/>
      <c r="BU109" s="1026"/>
      <c r="BV109" s="249"/>
      <c r="BW109" s="260"/>
      <c r="BX109" s="1026"/>
      <c r="BY109" s="249"/>
      <c r="BZ109" s="260"/>
      <c r="CA109" s="1026"/>
      <c r="CB109" s="249"/>
      <c r="CC109" s="260"/>
      <c r="CD109" s="1026"/>
      <c r="CE109" s="1269"/>
      <c r="CF109" s="1270"/>
      <c r="CG109" s="1026"/>
      <c r="CH109" s="293"/>
      <c r="CI109" s="326"/>
      <c r="CJ109" s="1027"/>
      <c r="CK109" s="249"/>
      <c r="CL109" s="260"/>
      <c r="CM109" s="1028"/>
      <c r="CN109" s="249"/>
      <c r="CO109" s="216"/>
      <c r="CP109" s="1029"/>
      <c r="CQ109" s="249"/>
      <c r="CR109" s="216"/>
      <c r="CS109" s="1029"/>
      <c r="CT109" s="249"/>
      <c r="CU109" s="216"/>
      <c r="CV109" s="1027"/>
      <c r="CW109" s="394"/>
      <c r="CX109" s="347"/>
      <c r="CY109" s="1027"/>
      <c r="CZ109" s="249"/>
      <c r="DA109" s="216"/>
      <c r="DB109" s="1027" t="str">
        <f t="shared" si="19"/>
        <v/>
      </c>
      <c r="DC109" s="249"/>
      <c r="DD109" s="2519" t="str">
        <f t="shared" si="18"/>
        <v/>
      </c>
      <c r="DE109" s="1027"/>
      <c r="DF109" s="1556"/>
      <c r="DG109" s="1557"/>
      <c r="DH109" s="1027"/>
      <c r="DI109" s="1556"/>
      <c r="DJ109" s="1558"/>
      <c r="DK109" s="1027"/>
      <c r="DL109" s="249"/>
      <c r="DM109" s="216"/>
      <c r="DN109" s="313"/>
      <c r="DO109" s="249"/>
      <c r="DP109" s="216"/>
      <c r="DQ109" s="313"/>
      <c r="DR109" s="249"/>
      <c r="DS109" s="221"/>
      <c r="DT109" s="313"/>
      <c r="DU109" s="249"/>
      <c r="DV109" s="221"/>
      <c r="DW109" s="305"/>
      <c r="DX109" s="249"/>
      <c r="DY109" s="260"/>
      <c r="DZ109" s="350"/>
      <c r="EA109" s="249"/>
      <c r="EB109" s="221"/>
      <c r="EC109" s="313"/>
      <c r="ED109" s="249"/>
      <c r="EE109" s="221"/>
      <c r="EF109" s="313"/>
      <c r="EG109" s="249"/>
      <c r="EH109" s="221"/>
      <c r="EI109" s="313"/>
      <c r="EJ109" s="249"/>
      <c r="EK109" s="216"/>
      <c r="EL109" s="1435"/>
      <c r="EM109" s="1619"/>
      <c r="EN109" s="1268"/>
      <c r="EO109" s="1563"/>
      <c r="EP109" s="1268"/>
      <c r="EQ109" s="1563"/>
      <c r="ER109" s="1268"/>
      <c r="ES109" s="1563"/>
      <c r="ET109" s="1268"/>
      <c r="EU109" s="1682"/>
      <c r="EV109" s="1683"/>
      <c r="EW109" s="1684"/>
      <c r="EX109" s="1685"/>
      <c r="EY109" s="1030"/>
      <c r="EZ109" s="349"/>
      <c r="FA109" s="395"/>
      <c r="FB109" s="223"/>
      <c r="FC109" s="1030"/>
      <c r="FD109" s="349"/>
      <c r="FE109" s="1031"/>
      <c r="FF109" s="358"/>
      <c r="FG109" s="256"/>
      <c r="FH109" s="256"/>
      <c r="FI109" s="256"/>
      <c r="FJ109" s="256"/>
      <c r="FK109" s="19"/>
      <c r="FL109" s="126"/>
      <c r="FM109" s="126"/>
      <c r="FN109" s="126"/>
      <c r="FO109" s="957"/>
      <c r="FQ109" s="358"/>
      <c r="FR109" s="1190"/>
      <c r="FS109" s="1190"/>
      <c r="FT109" s="64"/>
      <c r="FU109" s="2879"/>
      <c r="FV109" s="2880"/>
      <c r="FW109" s="2881"/>
    </row>
    <row r="110" spans="1:179">
      <c r="A110" s="1023"/>
      <c r="B110" s="1023"/>
      <c r="C110" s="1023"/>
      <c r="T110" s="1186"/>
      <c r="U110" s="233"/>
      <c r="V110" s="216"/>
      <c r="W110" s="218"/>
      <c r="X110" s="218"/>
      <c r="Y110" s="216"/>
      <c r="Z110" s="216"/>
      <c r="AA110" s="1024"/>
      <c r="AB110" s="252"/>
      <c r="AC110" s="252"/>
      <c r="AD110" s="253"/>
      <c r="AE110" s="252"/>
      <c r="AF110" s="252"/>
      <c r="AG110" s="252"/>
      <c r="AH110" s="252"/>
      <c r="AI110" s="252"/>
      <c r="AJ110" s="252"/>
      <c r="AK110" s="253"/>
      <c r="AL110" s="252"/>
      <c r="AM110" s="252"/>
      <c r="AN110" s="252"/>
      <c r="AO110" s="252"/>
      <c r="AP110" s="1192"/>
      <c r="AQ110" s="252"/>
      <c r="AR110" s="252"/>
      <c r="AS110" s="252"/>
      <c r="AT110" s="252"/>
      <c r="AU110" s="252"/>
      <c r="AV110" s="1025"/>
      <c r="AW110" s="359"/>
      <c r="AX110" s="217"/>
      <c r="AY110" s="305"/>
      <c r="AZ110" s="249"/>
      <c r="BA110" s="221"/>
      <c r="BB110" s="300"/>
      <c r="BC110" s="217"/>
      <c r="BD110" s="219"/>
      <c r="BE110" s="1263"/>
      <c r="BF110" s="249"/>
      <c r="BG110" s="252"/>
      <c r="BH110" s="1543"/>
      <c r="BI110" s="1544"/>
      <c r="BJ110" s="1543"/>
      <c r="BK110" s="1545"/>
      <c r="BL110" s="260"/>
      <c r="BM110" s="217"/>
      <c r="BN110" s="220"/>
      <c r="BO110" s="220"/>
      <c r="BP110" s="355"/>
      <c r="BQ110" s="217"/>
      <c r="BR110" s="1026"/>
      <c r="BS110" s="249"/>
      <c r="BT110" s="260"/>
      <c r="BU110" s="1026"/>
      <c r="BV110" s="249"/>
      <c r="BW110" s="260"/>
      <c r="BX110" s="1026"/>
      <c r="BY110" s="249"/>
      <c r="BZ110" s="260"/>
      <c r="CA110" s="1026"/>
      <c r="CB110" s="249"/>
      <c r="CC110" s="260"/>
      <c r="CD110" s="1026"/>
      <c r="CE110" s="1269"/>
      <c r="CF110" s="1270"/>
      <c r="CG110" s="1026"/>
      <c r="CH110" s="293"/>
      <c r="CI110" s="326"/>
      <c r="CJ110" s="1027"/>
      <c r="CK110" s="249"/>
      <c r="CL110" s="260"/>
      <c r="CM110" s="1028"/>
      <c r="CN110" s="249"/>
      <c r="CO110" s="216"/>
      <c r="CP110" s="1029"/>
      <c r="CQ110" s="249"/>
      <c r="CR110" s="216"/>
      <c r="CS110" s="1029"/>
      <c r="CT110" s="249"/>
      <c r="CU110" s="216"/>
      <c r="CV110" s="1027"/>
      <c r="CW110" s="394"/>
      <c r="CX110" s="347"/>
      <c r="CY110" s="1027"/>
      <c r="CZ110" s="249"/>
      <c r="DA110" s="216"/>
      <c r="DB110" s="1027" t="str">
        <f t="shared" si="19"/>
        <v/>
      </c>
      <c r="DC110" s="249"/>
      <c r="DD110" s="2519" t="str">
        <f t="shared" si="18"/>
        <v/>
      </c>
      <c r="DE110" s="1027"/>
      <c r="DF110" s="1556"/>
      <c r="DG110" s="1557"/>
      <c r="DH110" s="1027"/>
      <c r="DI110" s="1556"/>
      <c r="DJ110" s="1558"/>
      <c r="DK110" s="1027"/>
      <c r="DL110" s="249"/>
      <c r="DM110" s="216"/>
      <c r="DN110" s="313"/>
      <c r="DO110" s="249"/>
      <c r="DP110" s="216"/>
      <c r="DQ110" s="313"/>
      <c r="DR110" s="249"/>
      <c r="DS110" s="221"/>
      <c r="DT110" s="313"/>
      <c r="DU110" s="249"/>
      <c r="DV110" s="221"/>
      <c r="DW110" s="305"/>
      <c r="DX110" s="249"/>
      <c r="DY110" s="260"/>
      <c r="DZ110" s="350"/>
      <c r="EA110" s="249"/>
      <c r="EB110" s="221"/>
      <c r="EC110" s="313"/>
      <c r="ED110" s="249"/>
      <c r="EE110" s="221"/>
      <c r="EF110" s="313"/>
      <c r="EG110" s="249"/>
      <c r="EH110" s="221"/>
      <c r="EI110" s="313"/>
      <c r="EJ110" s="249"/>
      <c r="EK110" s="216"/>
      <c r="EL110" s="1435"/>
      <c r="EM110" s="1619"/>
      <c r="EN110" s="1268"/>
      <c r="EO110" s="1563"/>
      <c r="EP110" s="1268"/>
      <c r="EQ110" s="1563"/>
      <c r="ER110" s="1268"/>
      <c r="ES110" s="1563"/>
      <c r="ET110" s="1268"/>
      <c r="EU110" s="1682"/>
      <c r="EV110" s="1683"/>
      <c r="EW110" s="1684"/>
      <c r="EX110" s="1685"/>
      <c r="EY110" s="1030"/>
      <c r="EZ110" s="349"/>
      <c r="FA110" s="395"/>
      <c r="FB110" s="223"/>
      <c r="FC110" s="1030"/>
      <c r="FD110" s="349"/>
      <c r="FE110" s="1031"/>
      <c r="FF110" s="358"/>
      <c r="FG110" s="256"/>
      <c r="FH110" s="256"/>
      <c r="FI110" s="256"/>
      <c r="FJ110" s="256"/>
      <c r="FK110" s="19"/>
      <c r="FL110" s="126"/>
      <c r="FM110" s="126"/>
      <c r="FN110" s="126"/>
      <c r="FO110" s="957"/>
      <c r="FQ110" s="358"/>
      <c r="FR110" s="1190"/>
      <c r="FS110" s="1190"/>
      <c r="FT110" s="64"/>
      <c r="FU110" s="2879"/>
      <c r="FV110" s="2880"/>
      <c r="FW110" s="2881"/>
    </row>
    <row r="111" spans="1:179">
      <c r="A111" s="1023"/>
      <c r="B111" s="1023"/>
      <c r="C111" s="1023"/>
      <c r="T111" s="1186"/>
      <c r="U111" s="233"/>
      <c r="V111" s="216"/>
      <c r="W111" s="218"/>
      <c r="X111" s="218"/>
      <c r="Y111" s="216"/>
      <c r="Z111" s="216"/>
      <c r="AA111" s="1024"/>
      <c r="AB111" s="252"/>
      <c r="AC111" s="252"/>
      <c r="AD111" s="253"/>
      <c r="AE111" s="252"/>
      <c r="AF111" s="252"/>
      <c r="AG111" s="252"/>
      <c r="AH111" s="252"/>
      <c r="AI111" s="252"/>
      <c r="AJ111" s="252"/>
      <c r="AK111" s="253"/>
      <c r="AL111" s="252"/>
      <c r="AM111" s="252"/>
      <c r="AN111" s="252"/>
      <c r="AO111" s="252"/>
      <c r="AP111" s="1192"/>
      <c r="AQ111" s="252"/>
      <c r="AR111" s="252"/>
      <c r="AS111" s="252"/>
      <c r="AT111" s="252"/>
      <c r="AU111" s="252"/>
      <c r="AV111" s="1025"/>
      <c r="AW111" s="359"/>
      <c r="AX111" s="217"/>
      <c r="AY111" s="305"/>
      <c r="AZ111" s="249"/>
      <c r="BA111" s="221"/>
      <c r="BB111" s="300"/>
      <c r="BC111" s="217"/>
      <c r="BD111" s="219"/>
      <c r="BE111" s="1263"/>
      <c r="BF111" s="249"/>
      <c r="BG111" s="252"/>
      <c r="BH111" s="1543"/>
      <c r="BI111" s="1544"/>
      <c r="BJ111" s="1543"/>
      <c r="BK111" s="1545"/>
      <c r="BL111" s="260"/>
      <c r="BM111" s="217"/>
      <c r="BN111" s="220"/>
      <c r="BO111" s="220"/>
      <c r="BP111" s="355"/>
      <c r="BQ111" s="217"/>
      <c r="BR111" s="1026"/>
      <c r="BS111" s="249"/>
      <c r="BT111" s="260"/>
      <c r="BU111" s="1026"/>
      <c r="BV111" s="249"/>
      <c r="BW111" s="260"/>
      <c r="BX111" s="1026"/>
      <c r="BY111" s="249"/>
      <c r="BZ111" s="260"/>
      <c r="CA111" s="1026"/>
      <c r="CB111" s="249"/>
      <c r="CC111" s="260"/>
      <c r="CD111" s="1026"/>
      <c r="CE111" s="1269"/>
      <c r="CF111" s="1270"/>
      <c r="CG111" s="1026"/>
      <c r="CH111" s="293"/>
      <c r="CI111" s="326"/>
      <c r="CJ111" s="1027"/>
      <c r="CK111" s="249"/>
      <c r="CL111" s="260"/>
      <c r="CM111" s="1028"/>
      <c r="CN111" s="249"/>
      <c r="CO111" s="216"/>
      <c r="CP111" s="1029"/>
      <c r="CQ111" s="249"/>
      <c r="CR111" s="216"/>
      <c r="CS111" s="1029"/>
      <c r="CT111" s="249"/>
      <c r="CU111" s="216"/>
      <c r="CV111" s="1027"/>
      <c r="CW111" s="394"/>
      <c r="CX111" s="347"/>
      <c r="CY111" s="1027"/>
      <c r="CZ111" s="249"/>
      <c r="DA111" s="216"/>
      <c r="DB111" s="1027" t="str">
        <f t="shared" si="19"/>
        <v/>
      </c>
      <c r="DC111" s="249"/>
      <c r="DD111" s="2519" t="str">
        <f t="shared" ref="DD111:DD142" si="20">IF(DB111="","",ROUND(IF(W111=1,T_DirAnti,T_DirPost)*$U111,2))</f>
        <v/>
      </c>
      <c r="DE111" s="1027"/>
      <c r="DF111" s="1556"/>
      <c r="DG111" s="1557"/>
      <c r="DH111" s="1027"/>
      <c r="DI111" s="1556"/>
      <c r="DJ111" s="1558"/>
      <c r="DK111" s="1027"/>
      <c r="DL111" s="249"/>
      <c r="DM111" s="216"/>
      <c r="DN111" s="313"/>
      <c r="DO111" s="249"/>
      <c r="DP111" s="216"/>
      <c r="DQ111" s="313"/>
      <c r="DR111" s="249"/>
      <c r="DS111" s="221"/>
      <c r="DT111" s="313"/>
      <c r="DU111" s="249"/>
      <c r="DV111" s="221"/>
      <c r="DW111" s="305"/>
      <c r="DX111" s="249"/>
      <c r="DY111" s="260"/>
      <c r="DZ111" s="350"/>
      <c r="EA111" s="249"/>
      <c r="EB111" s="221"/>
      <c r="EC111" s="313"/>
      <c r="ED111" s="249"/>
      <c r="EE111" s="221"/>
      <c r="EF111" s="313"/>
      <c r="EG111" s="249"/>
      <c r="EH111" s="221"/>
      <c r="EI111" s="313"/>
      <c r="EJ111" s="249"/>
      <c r="EK111" s="216"/>
      <c r="EL111" s="1435"/>
      <c r="EM111" s="1619"/>
      <c r="EN111" s="1268"/>
      <c r="EO111" s="1563"/>
      <c r="EP111" s="1268"/>
      <c r="EQ111" s="1563"/>
      <c r="ER111" s="1268"/>
      <c r="ES111" s="1563"/>
      <c r="ET111" s="1268"/>
      <c r="EU111" s="1682"/>
      <c r="EV111" s="1683"/>
      <c r="EW111" s="1684"/>
      <c r="EX111" s="1685"/>
      <c r="EY111" s="1030"/>
      <c r="EZ111" s="349"/>
      <c r="FA111" s="395"/>
      <c r="FB111" s="223"/>
      <c r="FC111" s="1030"/>
      <c r="FD111" s="349"/>
      <c r="FE111" s="1031"/>
      <c r="FF111" s="358"/>
      <c r="FG111" s="256"/>
      <c r="FH111" s="256"/>
      <c r="FI111" s="256"/>
      <c r="FJ111" s="256"/>
      <c r="FK111" s="19"/>
      <c r="FL111" s="126"/>
      <c r="FM111" s="126"/>
      <c r="FN111" s="126"/>
      <c r="FO111" s="957"/>
      <c r="FQ111" s="358"/>
      <c r="FR111" s="1190"/>
      <c r="FS111" s="1190"/>
      <c r="FT111" s="64"/>
      <c r="FU111" s="2879"/>
      <c r="FV111" s="2880"/>
      <c r="FW111" s="2881"/>
    </row>
    <row r="112" spans="1:179">
      <c r="A112" s="1023"/>
      <c r="B112" s="1023"/>
      <c r="C112" s="1023"/>
      <c r="T112" s="1186"/>
      <c r="U112" s="233"/>
      <c r="V112" s="216"/>
      <c r="W112" s="218"/>
      <c r="X112" s="218"/>
      <c r="Y112" s="216"/>
      <c r="Z112" s="216"/>
      <c r="AA112" s="1024"/>
      <c r="AB112" s="252"/>
      <c r="AC112" s="252"/>
      <c r="AD112" s="253"/>
      <c r="AE112" s="252"/>
      <c r="AF112" s="252"/>
      <c r="AG112" s="252"/>
      <c r="AH112" s="252"/>
      <c r="AI112" s="252"/>
      <c r="AJ112" s="252"/>
      <c r="AK112" s="253"/>
      <c r="AL112" s="252"/>
      <c r="AM112" s="252"/>
      <c r="AN112" s="252"/>
      <c r="AO112" s="252"/>
      <c r="AP112" s="1192"/>
      <c r="AQ112" s="252"/>
      <c r="AR112" s="252"/>
      <c r="AS112" s="252"/>
      <c r="AT112" s="252"/>
      <c r="AU112" s="252"/>
      <c r="AV112" s="1025"/>
      <c r="AW112" s="359"/>
      <c r="AX112" s="217"/>
      <c r="AY112" s="305"/>
      <c r="AZ112" s="249"/>
      <c r="BA112" s="221"/>
      <c r="BB112" s="300"/>
      <c r="BC112" s="217"/>
      <c r="BD112" s="219"/>
      <c r="BE112" s="1263"/>
      <c r="BF112" s="249"/>
      <c r="BG112" s="252"/>
      <c r="BH112" s="1543"/>
      <c r="BI112" s="1544"/>
      <c r="BJ112" s="1543"/>
      <c r="BK112" s="1545"/>
      <c r="BL112" s="260"/>
      <c r="BM112" s="217"/>
      <c r="BN112" s="220"/>
      <c r="BO112" s="220"/>
      <c r="BP112" s="355"/>
      <c r="BQ112" s="217"/>
      <c r="BR112" s="1026"/>
      <c r="BS112" s="249"/>
      <c r="BT112" s="260"/>
      <c r="BU112" s="1026"/>
      <c r="BV112" s="249"/>
      <c r="BW112" s="260"/>
      <c r="BX112" s="1026"/>
      <c r="BY112" s="249"/>
      <c r="BZ112" s="260"/>
      <c r="CA112" s="1026"/>
      <c r="CB112" s="249"/>
      <c r="CC112" s="260"/>
      <c r="CD112" s="1026"/>
      <c r="CE112" s="1269"/>
      <c r="CF112" s="1270"/>
      <c r="CG112" s="1026"/>
      <c r="CH112" s="293"/>
      <c r="CI112" s="326"/>
      <c r="CJ112" s="1027"/>
      <c r="CK112" s="249"/>
      <c r="CL112" s="260"/>
      <c r="CM112" s="1028"/>
      <c r="CN112" s="249"/>
      <c r="CO112" s="216"/>
      <c r="CP112" s="1029"/>
      <c r="CQ112" s="249"/>
      <c r="CR112" s="216"/>
      <c r="CS112" s="1029"/>
      <c r="CT112" s="249"/>
      <c r="CU112" s="216"/>
      <c r="CV112" s="1027"/>
      <c r="CW112" s="394"/>
      <c r="CX112" s="347"/>
      <c r="CY112" s="1027"/>
      <c r="CZ112" s="249"/>
      <c r="DA112" s="216"/>
      <c r="DB112" s="1027" t="str">
        <f t="shared" si="19"/>
        <v/>
      </c>
      <c r="DC112" s="249"/>
      <c r="DD112" s="2519" t="str">
        <f t="shared" si="20"/>
        <v/>
      </c>
      <c r="DE112" s="1027"/>
      <c r="DF112" s="1556"/>
      <c r="DG112" s="1557"/>
      <c r="DH112" s="1027"/>
      <c r="DI112" s="1556"/>
      <c r="DJ112" s="1558"/>
      <c r="DK112" s="1027"/>
      <c r="DL112" s="249"/>
      <c r="DM112" s="216"/>
      <c r="DN112" s="313"/>
      <c r="DO112" s="249"/>
      <c r="DP112" s="216"/>
      <c r="DQ112" s="313"/>
      <c r="DR112" s="249"/>
      <c r="DS112" s="221"/>
      <c r="DT112" s="313"/>
      <c r="DU112" s="249"/>
      <c r="DV112" s="221"/>
      <c r="DW112" s="305"/>
      <c r="DX112" s="249"/>
      <c r="DY112" s="260"/>
      <c r="DZ112" s="350"/>
      <c r="EA112" s="249"/>
      <c r="EB112" s="221"/>
      <c r="EC112" s="313"/>
      <c r="ED112" s="249"/>
      <c r="EE112" s="221"/>
      <c r="EF112" s="313"/>
      <c r="EG112" s="249"/>
      <c r="EH112" s="221"/>
      <c r="EI112" s="313"/>
      <c r="EJ112" s="249"/>
      <c r="EK112" s="216"/>
      <c r="EL112" s="1435"/>
      <c r="EM112" s="1619"/>
      <c r="EN112" s="1268"/>
      <c r="EO112" s="1563"/>
      <c r="EP112" s="1268"/>
      <c r="EQ112" s="1563"/>
      <c r="ER112" s="1268"/>
      <c r="ES112" s="1563"/>
      <c r="ET112" s="1268"/>
      <c r="EU112" s="1682"/>
      <c r="EV112" s="1683"/>
      <c r="EW112" s="1684"/>
      <c r="EX112" s="1685"/>
      <c r="EY112" s="1030"/>
      <c r="EZ112" s="349"/>
      <c r="FA112" s="395"/>
      <c r="FB112" s="223"/>
      <c r="FC112" s="1030"/>
      <c r="FD112" s="349"/>
      <c r="FE112" s="1031"/>
      <c r="FF112" s="358"/>
      <c r="FG112" s="256"/>
      <c r="FH112" s="256"/>
      <c r="FI112" s="256"/>
      <c r="FJ112" s="256"/>
      <c r="FK112" s="19"/>
      <c r="FL112" s="126"/>
      <c r="FM112" s="126"/>
      <c r="FN112" s="126"/>
      <c r="FO112" s="957"/>
      <c r="FQ112" s="358"/>
      <c r="FR112" s="1190"/>
      <c r="FS112" s="1190"/>
      <c r="FT112" s="64"/>
      <c r="FU112" s="2879"/>
      <c r="FV112" s="2880"/>
      <c r="FW112" s="2881"/>
    </row>
    <row r="113" spans="1:179">
      <c r="A113" s="1023"/>
      <c r="B113" s="1023"/>
      <c r="C113" s="1023"/>
      <c r="T113" s="1186"/>
      <c r="U113" s="233"/>
      <c r="V113" s="216"/>
      <c r="W113" s="218"/>
      <c r="X113" s="218"/>
      <c r="Y113" s="216"/>
      <c r="Z113" s="216"/>
      <c r="AA113" s="1024"/>
      <c r="AB113" s="252"/>
      <c r="AC113" s="252"/>
      <c r="AD113" s="253"/>
      <c r="AE113" s="252"/>
      <c r="AF113" s="252"/>
      <c r="AG113" s="252"/>
      <c r="AH113" s="252"/>
      <c r="AI113" s="252"/>
      <c r="AJ113" s="252"/>
      <c r="AK113" s="253"/>
      <c r="AL113" s="252"/>
      <c r="AM113" s="252"/>
      <c r="AN113" s="252"/>
      <c r="AO113" s="252"/>
      <c r="AP113" s="1192"/>
      <c r="AQ113" s="252"/>
      <c r="AR113" s="252"/>
      <c r="AS113" s="252"/>
      <c r="AT113" s="252"/>
      <c r="AU113" s="252"/>
      <c r="AV113" s="1025"/>
      <c r="AW113" s="359"/>
      <c r="AX113" s="217"/>
      <c r="AY113" s="305"/>
      <c r="AZ113" s="249"/>
      <c r="BA113" s="221"/>
      <c r="BB113" s="300"/>
      <c r="BC113" s="217"/>
      <c r="BD113" s="219"/>
      <c r="BE113" s="1263"/>
      <c r="BF113" s="249"/>
      <c r="BG113" s="252"/>
      <c r="BH113" s="1543"/>
      <c r="BI113" s="1544"/>
      <c r="BJ113" s="1543"/>
      <c r="BK113" s="1545"/>
      <c r="BL113" s="260"/>
      <c r="BM113" s="217"/>
      <c r="BN113" s="220"/>
      <c r="BO113" s="220"/>
      <c r="BP113" s="355"/>
      <c r="BQ113" s="217"/>
      <c r="BR113" s="1026"/>
      <c r="BS113" s="249"/>
      <c r="BT113" s="260"/>
      <c r="BU113" s="1026"/>
      <c r="BV113" s="249"/>
      <c r="BW113" s="260"/>
      <c r="BX113" s="1026"/>
      <c r="BY113" s="249"/>
      <c r="BZ113" s="260"/>
      <c r="CA113" s="1026"/>
      <c r="CB113" s="249"/>
      <c r="CC113" s="260"/>
      <c r="CD113" s="1026"/>
      <c r="CE113" s="1269"/>
      <c r="CF113" s="1270"/>
      <c r="CG113" s="1026"/>
      <c r="CH113" s="293"/>
      <c r="CI113" s="326"/>
      <c r="CJ113" s="1027"/>
      <c r="CK113" s="249"/>
      <c r="CL113" s="260"/>
      <c r="CM113" s="1028"/>
      <c r="CN113" s="249"/>
      <c r="CO113" s="216"/>
      <c r="CP113" s="1029"/>
      <c r="CQ113" s="249"/>
      <c r="CR113" s="216"/>
      <c r="CS113" s="1029"/>
      <c r="CT113" s="249"/>
      <c r="CU113" s="216"/>
      <c r="CV113" s="1027"/>
      <c r="CW113" s="394"/>
      <c r="CX113" s="347"/>
      <c r="CY113" s="1027"/>
      <c r="CZ113" s="249"/>
      <c r="DA113" s="216"/>
      <c r="DB113" s="1027" t="str">
        <f t="shared" si="19"/>
        <v/>
      </c>
      <c r="DC113" s="249"/>
      <c r="DD113" s="2519" t="str">
        <f t="shared" si="20"/>
        <v/>
      </c>
      <c r="DE113" s="1027"/>
      <c r="DF113" s="1556"/>
      <c r="DG113" s="1557"/>
      <c r="DH113" s="1027"/>
      <c r="DI113" s="1556"/>
      <c r="DJ113" s="1558"/>
      <c r="DK113" s="1027"/>
      <c r="DL113" s="249"/>
      <c r="DM113" s="216"/>
      <c r="DN113" s="313"/>
      <c r="DO113" s="249"/>
      <c r="DP113" s="216"/>
      <c r="DQ113" s="313"/>
      <c r="DR113" s="249"/>
      <c r="DS113" s="221"/>
      <c r="DT113" s="313"/>
      <c r="DU113" s="249"/>
      <c r="DV113" s="221"/>
      <c r="DW113" s="305"/>
      <c r="DX113" s="249"/>
      <c r="DY113" s="260"/>
      <c r="DZ113" s="350"/>
      <c r="EA113" s="249"/>
      <c r="EB113" s="221"/>
      <c r="EC113" s="313"/>
      <c r="ED113" s="249"/>
      <c r="EE113" s="221"/>
      <c r="EF113" s="313"/>
      <c r="EG113" s="249"/>
      <c r="EH113" s="221"/>
      <c r="EI113" s="313"/>
      <c r="EJ113" s="249"/>
      <c r="EK113" s="216"/>
      <c r="EL113" s="1435"/>
      <c r="EM113" s="1619"/>
      <c r="EN113" s="1268"/>
      <c r="EO113" s="1563"/>
      <c r="EP113" s="1268"/>
      <c r="EQ113" s="1563"/>
      <c r="ER113" s="1268"/>
      <c r="ES113" s="1563"/>
      <c r="ET113" s="1268"/>
      <c r="EU113" s="1682"/>
      <c r="EV113" s="1683"/>
      <c r="EW113" s="1684"/>
      <c r="EX113" s="1685"/>
      <c r="EY113" s="1030"/>
      <c r="EZ113" s="349"/>
      <c r="FA113" s="395"/>
      <c r="FB113" s="223"/>
      <c r="FC113" s="1030"/>
      <c r="FD113" s="349"/>
      <c r="FE113" s="1031"/>
      <c r="FF113" s="358"/>
      <c r="FG113" s="256"/>
      <c r="FH113" s="256"/>
      <c r="FI113" s="256"/>
      <c r="FJ113" s="256"/>
      <c r="FK113" s="19"/>
      <c r="FL113" s="126"/>
      <c r="FM113" s="126"/>
      <c r="FN113" s="126"/>
      <c r="FO113" s="957"/>
      <c r="FQ113" s="358"/>
      <c r="FR113" s="1190"/>
      <c r="FS113" s="1190"/>
      <c r="FT113" s="64"/>
      <c r="FU113" s="2879"/>
      <c r="FV113" s="2880"/>
      <c r="FW113" s="2881"/>
    </row>
    <row r="114" spans="1:179">
      <c r="A114" s="1023"/>
      <c r="B114" s="1023"/>
      <c r="C114" s="1023"/>
      <c r="T114" s="1186"/>
      <c r="U114" s="233"/>
      <c r="V114" s="216"/>
      <c r="W114" s="218"/>
      <c r="X114" s="218"/>
      <c r="Y114" s="216"/>
      <c r="Z114" s="216"/>
      <c r="AA114" s="1024"/>
      <c r="AB114" s="252"/>
      <c r="AC114" s="252"/>
      <c r="AD114" s="253"/>
      <c r="AE114" s="252"/>
      <c r="AF114" s="252"/>
      <c r="AG114" s="252"/>
      <c r="AH114" s="252"/>
      <c r="AI114" s="252"/>
      <c r="AJ114" s="252"/>
      <c r="AK114" s="253"/>
      <c r="AL114" s="252"/>
      <c r="AM114" s="252"/>
      <c r="AN114" s="252"/>
      <c r="AO114" s="252"/>
      <c r="AP114" s="1192"/>
      <c r="AQ114" s="252"/>
      <c r="AR114" s="252"/>
      <c r="AS114" s="252"/>
      <c r="AT114" s="252"/>
      <c r="AU114" s="252"/>
      <c r="AV114" s="1025"/>
      <c r="AW114" s="359"/>
      <c r="AX114" s="217"/>
      <c r="AY114" s="305"/>
      <c r="AZ114" s="249"/>
      <c r="BA114" s="221"/>
      <c r="BB114" s="300"/>
      <c r="BC114" s="217"/>
      <c r="BD114" s="219"/>
      <c r="BE114" s="1263"/>
      <c r="BF114" s="249"/>
      <c r="BG114" s="252"/>
      <c r="BH114" s="1543"/>
      <c r="BI114" s="1544"/>
      <c r="BJ114" s="1543"/>
      <c r="BK114" s="1545"/>
      <c r="BL114" s="260"/>
      <c r="BM114" s="217"/>
      <c r="BN114" s="220"/>
      <c r="BO114" s="220"/>
      <c r="BP114" s="355"/>
      <c r="BQ114" s="217"/>
      <c r="BR114" s="1026"/>
      <c r="BS114" s="249"/>
      <c r="BT114" s="260"/>
      <c r="BU114" s="1026"/>
      <c r="BV114" s="249"/>
      <c r="BW114" s="260"/>
      <c r="BX114" s="1026"/>
      <c r="BY114" s="249"/>
      <c r="BZ114" s="260"/>
      <c r="CA114" s="1026"/>
      <c r="CB114" s="249"/>
      <c r="CC114" s="260"/>
      <c r="CD114" s="1026"/>
      <c r="CE114" s="1269"/>
      <c r="CF114" s="1270"/>
      <c r="CG114" s="1026"/>
      <c r="CH114" s="293"/>
      <c r="CI114" s="326"/>
      <c r="CJ114" s="1027"/>
      <c r="CK114" s="249"/>
      <c r="CL114" s="260"/>
      <c r="CM114" s="1028"/>
      <c r="CN114" s="249"/>
      <c r="CO114" s="216"/>
      <c r="CP114" s="1029"/>
      <c r="CQ114" s="249"/>
      <c r="CR114" s="216"/>
      <c r="CS114" s="1029"/>
      <c r="CT114" s="249"/>
      <c r="CU114" s="216"/>
      <c r="CV114" s="1027"/>
      <c r="CW114" s="394"/>
      <c r="CX114" s="347"/>
      <c r="CY114" s="1027"/>
      <c r="CZ114" s="249"/>
      <c r="DA114" s="216"/>
      <c r="DB114" s="1027" t="str">
        <f t="shared" ref="DB114:DB145" si="21">IF(OR(FT114=0,FG114=""),"",IF(VLOOKUP(F114,Zk_PrestAll,62,0)=0,"",VLOOKUP(F114,Zk_PrestAll,62,0)))</f>
        <v/>
      </c>
      <c r="DC114" s="249"/>
      <c r="DD114" s="2519" t="str">
        <f t="shared" si="20"/>
        <v/>
      </c>
      <c r="DE114" s="1027"/>
      <c r="DF114" s="1556"/>
      <c r="DG114" s="1557"/>
      <c r="DH114" s="1027"/>
      <c r="DI114" s="1556"/>
      <c r="DJ114" s="1558"/>
      <c r="DK114" s="1027"/>
      <c r="DL114" s="249"/>
      <c r="DM114" s="216"/>
      <c r="DN114" s="313"/>
      <c r="DO114" s="249"/>
      <c r="DP114" s="216"/>
      <c r="DQ114" s="313"/>
      <c r="DR114" s="249"/>
      <c r="DS114" s="221"/>
      <c r="DT114" s="313"/>
      <c r="DU114" s="249"/>
      <c r="DV114" s="221"/>
      <c r="DW114" s="305"/>
      <c r="DX114" s="249"/>
      <c r="DY114" s="260"/>
      <c r="DZ114" s="350"/>
      <c r="EA114" s="249"/>
      <c r="EB114" s="221"/>
      <c r="EC114" s="313"/>
      <c r="ED114" s="249"/>
      <c r="EE114" s="221"/>
      <c r="EF114" s="313"/>
      <c r="EG114" s="249"/>
      <c r="EH114" s="221"/>
      <c r="EI114" s="313"/>
      <c r="EJ114" s="249"/>
      <c r="EK114" s="216"/>
      <c r="EL114" s="1435"/>
      <c r="EM114" s="1619"/>
      <c r="EN114" s="1268"/>
      <c r="EO114" s="1563"/>
      <c r="EP114" s="1268"/>
      <c r="EQ114" s="1563"/>
      <c r="ER114" s="1268"/>
      <c r="ES114" s="1563"/>
      <c r="ET114" s="1268"/>
      <c r="EU114" s="1682"/>
      <c r="EV114" s="1683"/>
      <c r="EW114" s="1684"/>
      <c r="EX114" s="1685"/>
      <c r="EY114" s="1030"/>
      <c r="EZ114" s="349"/>
      <c r="FA114" s="395"/>
      <c r="FB114" s="223"/>
      <c r="FC114" s="1030"/>
      <c r="FD114" s="349"/>
      <c r="FE114" s="1031"/>
      <c r="FF114" s="358"/>
      <c r="FG114" s="256"/>
      <c r="FH114" s="256"/>
      <c r="FI114" s="256"/>
      <c r="FJ114" s="256"/>
      <c r="FK114" s="19"/>
      <c r="FL114" s="126"/>
      <c r="FM114" s="126"/>
      <c r="FN114" s="126"/>
      <c r="FO114" s="957"/>
      <c r="FQ114" s="358"/>
      <c r="FR114" s="1190"/>
      <c r="FS114" s="1190"/>
      <c r="FT114" s="64"/>
      <c r="FU114" s="2879"/>
      <c r="FV114" s="2880"/>
      <c r="FW114" s="2881"/>
    </row>
    <row r="115" spans="1:179">
      <c r="A115" s="1023"/>
      <c r="B115" s="1023"/>
      <c r="C115" s="1023"/>
      <c r="T115" s="1186"/>
      <c r="U115" s="233"/>
      <c r="V115" s="216"/>
      <c r="W115" s="218"/>
      <c r="X115" s="218"/>
      <c r="Y115" s="216"/>
      <c r="Z115" s="216"/>
      <c r="AA115" s="1024"/>
      <c r="AB115" s="252"/>
      <c r="AC115" s="252"/>
      <c r="AD115" s="253"/>
      <c r="AE115" s="252"/>
      <c r="AF115" s="252"/>
      <c r="AG115" s="252"/>
      <c r="AH115" s="252"/>
      <c r="AI115" s="252"/>
      <c r="AJ115" s="252"/>
      <c r="AK115" s="253"/>
      <c r="AL115" s="252"/>
      <c r="AM115" s="252"/>
      <c r="AN115" s="252"/>
      <c r="AO115" s="252"/>
      <c r="AP115" s="1192"/>
      <c r="AQ115" s="252"/>
      <c r="AR115" s="252"/>
      <c r="AS115" s="252"/>
      <c r="AT115" s="252"/>
      <c r="AU115" s="252"/>
      <c r="AV115" s="1025"/>
      <c r="AW115" s="359"/>
      <c r="AX115" s="217"/>
      <c r="AY115" s="305"/>
      <c r="AZ115" s="249"/>
      <c r="BA115" s="221"/>
      <c r="BB115" s="300"/>
      <c r="BC115" s="217"/>
      <c r="BD115" s="219"/>
      <c r="BE115" s="1263"/>
      <c r="BF115" s="249"/>
      <c r="BG115" s="252"/>
      <c r="BH115" s="1543"/>
      <c r="BI115" s="1544"/>
      <c r="BJ115" s="1543"/>
      <c r="BK115" s="1545"/>
      <c r="BL115" s="260"/>
      <c r="BM115" s="217"/>
      <c r="BN115" s="220"/>
      <c r="BO115" s="220"/>
      <c r="BP115" s="355"/>
      <c r="BQ115" s="217"/>
      <c r="BR115" s="1026"/>
      <c r="BS115" s="249"/>
      <c r="BT115" s="260"/>
      <c r="BU115" s="1026"/>
      <c r="BV115" s="249"/>
      <c r="BW115" s="260"/>
      <c r="BX115" s="1026"/>
      <c r="BY115" s="249"/>
      <c r="BZ115" s="260"/>
      <c r="CA115" s="1026"/>
      <c r="CB115" s="249"/>
      <c r="CC115" s="260"/>
      <c r="CD115" s="1026"/>
      <c r="CE115" s="1269"/>
      <c r="CF115" s="1270"/>
      <c r="CG115" s="1026"/>
      <c r="CH115" s="293"/>
      <c r="CI115" s="326"/>
      <c r="CJ115" s="1027"/>
      <c r="CK115" s="249"/>
      <c r="CL115" s="260"/>
      <c r="CM115" s="1028"/>
      <c r="CN115" s="249"/>
      <c r="CO115" s="216"/>
      <c r="CP115" s="1029"/>
      <c r="CQ115" s="249"/>
      <c r="CR115" s="216"/>
      <c r="CS115" s="1029"/>
      <c r="CT115" s="249"/>
      <c r="CU115" s="216"/>
      <c r="CV115" s="1027"/>
      <c r="CW115" s="394"/>
      <c r="CX115" s="347"/>
      <c r="CY115" s="1027"/>
      <c r="CZ115" s="249"/>
      <c r="DA115" s="216"/>
      <c r="DB115" s="1027" t="str">
        <f t="shared" si="21"/>
        <v/>
      </c>
      <c r="DC115" s="249"/>
      <c r="DD115" s="2519" t="str">
        <f t="shared" si="20"/>
        <v/>
      </c>
      <c r="DE115" s="1027"/>
      <c r="DF115" s="1556"/>
      <c r="DG115" s="1557"/>
      <c r="DH115" s="1027"/>
      <c r="DI115" s="1556"/>
      <c r="DJ115" s="1558"/>
      <c r="DK115" s="1027"/>
      <c r="DL115" s="249"/>
      <c r="DM115" s="216"/>
      <c r="DN115" s="313"/>
      <c r="DO115" s="249"/>
      <c r="DP115" s="216"/>
      <c r="DQ115" s="313"/>
      <c r="DR115" s="249"/>
      <c r="DS115" s="221"/>
      <c r="DT115" s="313"/>
      <c r="DU115" s="249"/>
      <c r="DV115" s="221"/>
      <c r="DW115" s="305"/>
      <c r="DX115" s="249"/>
      <c r="DY115" s="260"/>
      <c r="DZ115" s="350"/>
      <c r="EA115" s="249"/>
      <c r="EB115" s="221"/>
      <c r="EC115" s="313"/>
      <c r="ED115" s="249"/>
      <c r="EE115" s="221"/>
      <c r="EF115" s="313"/>
      <c r="EG115" s="249"/>
      <c r="EH115" s="221"/>
      <c r="EI115" s="313"/>
      <c r="EJ115" s="249"/>
      <c r="EK115" s="216"/>
      <c r="EL115" s="1435"/>
      <c r="EM115" s="1619"/>
      <c r="EN115" s="1268"/>
      <c r="EO115" s="1563"/>
      <c r="EP115" s="1268"/>
      <c r="EQ115" s="1563"/>
      <c r="ER115" s="1268"/>
      <c r="ES115" s="1563"/>
      <c r="ET115" s="1268"/>
      <c r="EU115" s="1682"/>
      <c r="EV115" s="1683"/>
      <c r="EW115" s="1684"/>
      <c r="EX115" s="1685"/>
      <c r="EY115" s="1030"/>
      <c r="EZ115" s="349"/>
      <c r="FA115" s="395"/>
      <c r="FB115" s="223"/>
      <c r="FC115" s="1030"/>
      <c r="FD115" s="349"/>
      <c r="FE115" s="1031"/>
      <c r="FF115" s="358"/>
      <c r="FG115" s="256"/>
      <c r="FH115" s="256"/>
      <c r="FI115" s="256"/>
      <c r="FJ115" s="256"/>
      <c r="FK115" s="19"/>
      <c r="FL115" s="126"/>
      <c r="FM115" s="126"/>
      <c r="FN115" s="126"/>
      <c r="FO115" s="957"/>
      <c r="FQ115" s="358"/>
      <c r="FR115" s="1190"/>
      <c r="FS115" s="1190"/>
      <c r="FT115" s="64"/>
      <c r="FU115" s="2879"/>
      <c r="FV115" s="2880"/>
      <c r="FW115" s="2881"/>
    </row>
    <row r="116" spans="1:179">
      <c r="A116" s="1023"/>
      <c r="B116" s="1023"/>
      <c r="C116" s="1023"/>
      <c r="T116" s="1186"/>
      <c r="U116" s="233"/>
      <c r="V116" s="216"/>
      <c r="W116" s="218"/>
      <c r="X116" s="218"/>
      <c r="Y116" s="216"/>
      <c r="Z116" s="216"/>
      <c r="AA116" s="1024"/>
      <c r="AB116" s="252"/>
      <c r="AC116" s="252"/>
      <c r="AD116" s="253"/>
      <c r="AE116" s="252"/>
      <c r="AF116" s="252"/>
      <c r="AG116" s="252"/>
      <c r="AH116" s="252"/>
      <c r="AI116" s="252"/>
      <c r="AJ116" s="252"/>
      <c r="AK116" s="253"/>
      <c r="AL116" s="252"/>
      <c r="AM116" s="252"/>
      <c r="AN116" s="252"/>
      <c r="AO116" s="252"/>
      <c r="AP116" s="1192"/>
      <c r="AQ116" s="252"/>
      <c r="AR116" s="252"/>
      <c r="AS116" s="252"/>
      <c r="AT116" s="252"/>
      <c r="AU116" s="252"/>
      <c r="AV116" s="1025"/>
      <c r="AW116" s="359"/>
      <c r="AX116" s="217"/>
      <c r="AY116" s="305"/>
      <c r="AZ116" s="249"/>
      <c r="BA116" s="221"/>
      <c r="BB116" s="300"/>
      <c r="BC116" s="217"/>
      <c r="BD116" s="219"/>
      <c r="BE116" s="1263"/>
      <c r="BF116" s="249"/>
      <c r="BG116" s="252"/>
      <c r="BH116" s="1543"/>
      <c r="BI116" s="1544"/>
      <c r="BJ116" s="1543"/>
      <c r="BK116" s="1545"/>
      <c r="BL116" s="260"/>
      <c r="BM116" s="217"/>
      <c r="BN116" s="220"/>
      <c r="BO116" s="220"/>
      <c r="BP116" s="355"/>
      <c r="BQ116" s="217"/>
      <c r="BR116" s="1026"/>
      <c r="BS116" s="249"/>
      <c r="BT116" s="260"/>
      <c r="BU116" s="1026"/>
      <c r="BV116" s="249"/>
      <c r="BW116" s="260"/>
      <c r="BX116" s="1026"/>
      <c r="BY116" s="249"/>
      <c r="BZ116" s="260"/>
      <c r="CA116" s="1026"/>
      <c r="CB116" s="249"/>
      <c r="CC116" s="260"/>
      <c r="CD116" s="1026"/>
      <c r="CE116" s="1269"/>
      <c r="CF116" s="1270"/>
      <c r="CG116" s="1026"/>
      <c r="CH116" s="293"/>
      <c r="CI116" s="326"/>
      <c r="CJ116" s="1027"/>
      <c r="CK116" s="249"/>
      <c r="CL116" s="260"/>
      <c r="CM116" s="1028"/>
      <c r="CN116" s="249"/>
      <c r="CO116" s="216"/>
      <c r="CP116" s="1029"/>
      <c r="CQ116" s="249"/>
      <c r="CR116" s="216"/>
      <c r="CS116" s="1029"/>
      <c r="CT116" s="249"/>
      <c r="CU116" s="216"/>
      <c r="CV116" s="1027"/>
      <c r="CW116" s="394"/>
      <c r="CX116" s="347"/>
      <c r="CY116" s="1027"/>
      <c r="CZ116" s="249"/>
      <c r="DA116" s="216"/>
      <c r="DB116" s="1027" t="str">
        <f t="shared" si="21"/>
        <v/>
      </c>
      <c r="DC116" s="249"/>
      <c r="DD116" s="2519" t="str">
        <f t="shared" si="20"/>
        <v/>
      </c>
      <c r="DE116" s="1027"/>
      <c r="DF116" s="1556"/>
      <c r="DG116" s="1557"/>
      <c r="DH116" s="1027"/>
      <c r="DI116" s="1556"/>
      <c r="DJ116" s="1558"/>
      <c r="DK116" s="1027"/>
      <c r="DL116" s="249"/>
      <c r="DM116" s="216"/>
      <c r="DN116" s="313"/>
      <c r="DO116" s="249"/>
      <c r="DP116" s="216"/>
      <c r="DQ116" s="313"/>
      <c r="DR116" s="249"/>
      <c r="DS116" s="221"/>
      <c r="DT116" s="313"/>
      <c r="DU116" s="249"/>
      <c r="DV116" s="221"/>
      <c r="DW116" s="305"/>
      <c r="DX116" s="249"/>
      <c r="DY116" s="260"/>
      <c r="DZ116" s="350"/>
      <c r="EA116" s="249"/>
      <c r="EB116" s="221"/>
      <c r="EC116" s="313"/>
      <c r="ED116" s="249"/>
      <c r="EE116" s="221"/>
      <c r="EF116" s="313"/>
      <c r="EG116" s="249"/>
      <c r="EH116" s="221"/>
      <c r="EI116" s="313"/>
      <c r="EJ116" s="249"/>
      <c r="EK116" s="216"/>
      <c r="EL116" s="1435"/>
      <c r="EM116" s="1619"/>
      <c r="EN116" s="1268"/>
      <c r="EO116" s="1563"/>
      <c r="EP116" s="1268"/>
      <c r="EQ116" s="1563"/>
      <c r="ER116" s="1268"/>
      <c r="ES116" s="1563"/>
      <c r="ET116" s="1268"/>
      <c r="EU116" s="1682"/>
      <c r="EV116" s="1683"/>
      <c r="EW116" s="1684"/>
      <c r="EX116" s="1685"/>
      <c r="EY116" s="1030"/>
      <c r="EZ116" s="349"/>
      <c r="FA116" s="395"/>
      <c r="FB116" s="223"/>
      <c r="FC116" s="1030"/>
      <c r="FD116" s="349"/>
      <c r="FE116" s="1031"/>
      <c r="FF116" s="358"/>
      <c r="FG116" s="256"/>
      <c r="FH116" s="256"/>
      <c r="FI116" s="256"/>
      <c r="FJ116" s="256"/>
      <c r="FK116" s="19"/>
      <c r="FL116" s="126"/>
      <c r="FM116" s="126"/>
      <c r="FN116" s="126"/>
      <c r="FO116" s="957"/>
      <c r="FQ116" s="358"/>
      <c r="FR116" s="1190"/>
      <c r="FS116" s="1190"/>
      <c r="FT116" s="64"/>
      <c r="FU116" s="2879"/>
      <c r="FV116" s="2880"/>
      <c r="FW116" s="2881"/>
    </row>
    <row r="117" spans="1:179">
      <c r="A117" s="1023"/>
      <c r="B117" s="1023"/>
      <c r="C117" s="1023"/>
      <c r="T117" s="1186"/>
      <c r="U117" s="233"/>
      <c r="V117" s="216"/>
      <c r="W117" s="218"/>
      <c r="X117" s="218"/>
      <c r="Y117" s="216"/>
      <c r="Z117" s="216"/>
      <c r="AA117" s="1024"/>
      <c r="AB117" s="252"/>
      <c r="AC117" s="252"/>
      <c r="AD117" s="253"/>
      <c r="AE117" s="252"/>
      <c r="AF117" s="252"/>
      <c r="AG117" s="252"/>
      <c r="AH117" s="252"/>
      <c r="AI117" s="252"/>
      <c r="AJ117" s="252"/>
      <c r="AK117" s="253"/>
      <c r="AL117" s="252"/>
      <c r="AM117" s="252"/>
      <c r="AN117" s="252"/>
      <c r="AO117" s="252"/>
      <c r="AP117" s="1192"/>
      <c r="AQ117" s="252"/>
      <c r="AR117" s="252"/>
      <c r="AS117" s="252"/>
      <c r="AT117" s="252"/>
      <c r="AU117" s="252"/>
      <c r="AV117" s="1025"/>
      <c r="AW117" s="359"/>
      <c r="AX117" s="217"/>
      <c r="AY117" s="305"/>
      <c r="AZ117" s="249"/>
      <c r="BA117" s="221"/>
      <c r="BB117" s="300"/>
      <c r="BC117" s="217"/>
      <c r="BD117" s="219"/>
      <c r="BE117" s="1263"/>
      <c r="BF117" s="249"/>
      <c r="BG117" s="252"/>
      <c r="BH117" s="1543"/>
      <c r="BI117" s="1544"/>
      <c r="BJ117" s="1543"/>
      <c r="BK117" s="1545"/>
      <c r="BL117" s="260"/>
      <c r="BM117" s="217"/>
      <c r="BN117" s="220"/>
      <c r="BO117" s="220"/>
      <c r="BP117" s="355"/>
      <c r="BQ117" s="217"/>
      <c r="BR117" s="1026"/>
      <c r="BS117" s="249"/>
      <c r="BT117" s="260"/>
      <c r="BU117" s="1026"/>
      <c r="BV117" s="249"/>
      <c r="BW117" s="260"/>
      <c r="BX117" s="1026"/>
      <c r="BY117" s="249"/>
      <c r="BZ117" s="260"/>
      <c r="CA117" s="1026"/>
      <c r="CB117" s="249"/>
      <c r="CC117" s="260"/>
      <c r="CD117" s="1026"/>
      <c r="CE117" s="1269"/>
      <c r="CF117" s="1270"/>
      <c r="CG117" s="1026"/>
      <c r="CH117" s="293"/>
      <c r="CI117" s="326"/>
      <c r="CJ117" s="1027"/>
      <c r="CK117" s="249"/>
      <c r="CL117" s="260"/>
      <c r="CM117" s="1028"/>
      <c r="CN117" s="249"/>
      <c r="CO117" s="216"/>
      <c r="CP117" s="1029"/>
      <c r="CQ117" s="249"/>
      <c r="CR117" s="216"/>
      <c r="CS117" s="1029"/>
      <c r="CT117" s="249"/>
      <c r="CU117" s="216"/>
      <c r="CV117" s="1027"/>
      <c r="CW117" s="394"/>
      <c r="CX117" s="347"/>
      <c r="CY117" s="1027"/>
      <c r="CZ117" s="249"/>
      <c r="DA117" s="216"/>
      <c r="DB117" s="1027" t="str">
        <f t="shared" si="21"/>
        <v/>
      </c>
      <c r="DC117" s="249"/>
      <c r="DD117" s="2519" t="str">
        <f t="shared" si="20"/>
        <v/>
      </c>
      <c r="DE117" s="1027"/>
      <c r="DF117" s="1556"/>
      <c r="DG117" s="1557"/>
      <c r="DH117" s="1027"/>
      <c r="DI117" s="1556"/>
      <c r="DJ117" s="1558"/>
      <c r="DK117" s="1027"/>
      <c r="DL117" s="249"/>
      <c r="DM117" s="216"/>
      <c r="DN117" s="313"/>
      <c r="DO117" s="249"/>
      <c r="DP117" s="216"/>
      <c r="DQ117" s="313"/>
      <c r="DR117" s="249"/>
      <c r="DS117" s="221"/>
      <c r="DT117" s="313"/>
      <c r="DU117" s="249"/>
      <c r="DV117" s="221"/>
      <c r="DW117" s="305"/>
      <c r="DX117" s="249"/>
      <c r="DY117" s="260"/>
      <c r="DZ117" s="350"/>
      <c r="EA117" s="249"/>
      <c r="EB117" s="221"/>
      <c r="EC117" s="313"/>
      <c r="ED117" s="249"/>
      <c r="EE117" s="221"/>
      <c r="EF117" s="313"/>
      <c r="EG117" s="249"/>
      <c r="EH117" s="221"/>
      <c r="EI117" s="313"/>
      <c r="EJ117" s="249"/>
      <c r="EK117" s="216"/>
      <c r="EL117" s="1435"/>
      <c r="EM117" s="1619"/>
      <c r="EN117" s="1268"/>
      <c r="EO117" s="1563"/>
      <c r="EP117" s="1268"/>
      <c r="EQ117" s="1563"/>
      <c r="ER117" s="1268"/>
      <c r="ES117" s="1563"/>
      <c r="ET117" s="1268"/>
      <c r="EU117" s="1682"/>
      <c r="EV117" s="1683"/>
      <c r="EW117" s="1684"/>
      <c r="EX117" s="1685"/>
      <c r="EY117" s="1030"/>
      <c r="EZ117" s="349"/>
      <c r="FA117" s="395"/>
      <c r="FB117" s="223"/>
      <c r="FC117" s="1030"/>
      <c r="FD117" s="349"/>
      <c r="FE117" s="1031"/>
      <c r="FF117" s="358"/>
      <c r="FG117" s="256"/>
      <c r="FH117" s="256"/>
      <c r="FI117" s="256"/>
      <c r="FJ117" s="256"/>
      <c r="FK117" s="19"/>
      <c r="FL117" s="126"/>
      <c r="FM117" s="126"/>
      <c r="FN117" s="126"/>
      <c r="FO117" s="957"/>
      <c r="FQ117" s="358"/>
      <c r="FR117" s="1190"/>
      <c r="FS117" s="1190"/>
      <c r="FT117" s="64"/>
      <c r="FU117" s="2879"/>
      <c r="FV117" s="2880"/>
      <c r="FW117" s="2881"/>
    </row>
    <row r="118" spans="1:179">
      <c r="A118" s="1023"/>
      <c r="B118" s="1023"/>
      <c r="C118" s="1023"/>
      <c r="T118" s="1186"/>
      <c r="U118" s="233"/>
      <c r="V118" s="216"/>
      <c r="W118" s="218"/>
      <c r="X118" s="218"/>
      <c r="Y118" s="216"/>
      <c r="Z118" s="216"/>
      <c r="AA118" s="1024"/>
      <c r="AB118" s="252"/>
      <c r="AC118" s="252"/>
      <c r="AD118" s="253"/>
      <c r="AE118" s="252"/>
      <c r="AF118" s="252"/>
      <c r="AG118" s="252"/>
      <c r="AH118" s="252"/>
      <c r="AI118" s="252"/>
      <c r="AJ118" s="252"/>
      <c r="AK118" s="253"/>
      <c r="AL118" s="252"/>
      <c r="AM118" s="252"/>
      <c r="AN118" s="252"/>
      <c r="AO118" s="252"/>
      <c r="AP118" s="1192"/>
      <c r="AQ118" s="252"/>
      <c r="AR118" s="252"/>
      <c r="AS118" s="252"/>
      <c r="AT118" s="252"/>
      <c r="AU118" s="252"/>
      <c r="AV118" s="1025"/>
      <c r="AW118" s="359"/>
      <c r="AX118" s="217"/>
      <c r="AY118" s="305"/>
      <c r="AZ118" s="249"/>
      <c r="BA118" s="221"/>
      <c r="BB118" s="300"/>
      <c r="BC118" s="217"/>
      <c r="BD118" s="219"/>
      <c r="BE118" s="1263"/>
      <c r="BF118" s="249"/>
      <c r="BG118" s="252"/>
      <c r="BH118" s="1543"/>
      <c r="BI118" s="1544"/>
      <c r="BJ118" s="1543"/>
      <c r="BK118" s="1545"/>
      <c r="BL118" s="260"/>
      <c r="BM118" s="217"/>
      <c r="BN118" s="220"/>
      <c r="BO118" s="220"/>
      <c r="BP118" s="355"/>
      <c r="BQ118" s="217"/>
      <c r="BR118" s="1026"/>
      <c r="BS118" s="249"/>
      <c r="BT118" s="260"/>
      <c r="BU118" s="1026"/>
      <c r="BV118" s="249"/>
      <c r="BW118" s="260"/>
      <c r="BX118" s="1026"/>
      <c r="BY118" s="249"/>
      <c r="BZ118" s="260"/>
      <c r="CA118" s="1026"/>
      <c r="CB118" s="249"/>
      <c r="CC118" s="260"/>
      <c r="CD118" s="1026"/>
      <c r="CE118" s="1269"/>
      <c r="CF118" s="1270"/>
      <c r="CG118" s="1026"/>
      <c r="CH118" s="293"/>
      <c r="CI118" s="326"/>
      <c r="CJ118" s="1027"/>
      <c r="CK118" s="249"/>
      <c r="CL118" s="260"/>
      <c r="CM118" s="1028"/>
      <c r="CN118" s="249"/>
      <c r="CO118" s="216"/>
      <c r="CP118" s="1029"/>
      <c r="CQ118" s="249"/>
      <c r="CR118" s="216"/>
      <c r="CS118" s="1029"/>
      <c r="CT118" s="249"/>
      <c r="CU118" s="216"/>
      <c r="CV118" s="1027"/>
      <c r="CW118" s="394"/>
      <c r="CX118" s="347"/>
      <c r="CY118" s="1027"/>
      <c r="CZ118" s="249"/>
      <c r="DA118" s="216"/>
      <c r="DB118" s="1027" t="str">
        <f t="shared" si="21"/>
        <v/>
      </c>
      <c r="DC118" s="249"/>
      <c r="DD118" s="2519" t="str">
        <f t="shared" si="20"/>
        <v/>
      </c>
      <c r="DE118" s="1027"/>
      <c r="DF118" s="1556"/>
      <c r="DG118" s="1557"/>
      <c r="DH118" s="1027"/>
      <c r="DI118" s="1556"/>
      <c r="DJ118" s="1558"/>
      <c r="DK118" s="1027"/>
      <c r="DL118" s="249"/>
      <c r="DM118" s="216"/>
      <c r="DN118" s="313"/>
      <c r="DO118" s="249"/>
      <c r="DP118" s="216"/>
      <c r="DQ118" s="313"/>
      <c r="DR118" s="249"/>
      <c r="DS118" s="221"/>
      <c r="DT118" s="313"/>
      <c r="DU118" s="249"/>
      <c r="DV118" s="221"/>
      <c r="DW118" s="305"/>
      <c r="DX118" s="249"/>
      <c r="DY118" s="260"/>
      <c r="DZ118" s="350"/>
      <c r="EA118" s="249"/>
      <c r="EB118" s="221"/>
      <c r="EC118" s="313"/>
      <c r="ED118" s="249"/>
      <c r="EE118" s="221"/>
      <c r="EF118" s="313"/>
      <c r="EG118" s="249"/>
      <c r="EH118" s="221"/>
      <c r="EI118" s="313"/>
      <c r="EJ118" s="249"/>
      <c r="EK118" s="216"/>
      <c r="EL118" s="1435"/>
      <c r="EM118" s="1619"/>
      <c r="EN118" s="1268"/>
      <c r="EO118" s="1563"/>
      <c r="EP118" s="1268"/>
      <c r="EQ118" s="1563"/>
      <c r="ER118" s="1268"/>
      <c r="ES118" s="1563"/>
      <c r="ET118" s="1268"/>
      <c r="EU118" s="1682"/>
      <c r="EV118" s="1683"/>
      <c r="EW118" s="1684"/>
      <c r="EX118" s="1685"/>
      <c r="EY118" s="1030"/>
      <c r="EZ118" s="349"/>
      <c r="FA118" s="395"/>
      <c r="FB118" s="223"/>
      <c r="FC118" s="1030"/>
      <c r="FD118" s="349"/>
      <c r="FE118" s="1031"/>
      <c r="FF118" s="358"/>
      <c r="FG118" s="256"/>
      <c r="FH118" s="256"/>
      <c r="FI118" s="256"/>
      <c r="FJ118" s="256"/>
      <c r="FK118" s="19"/>
      <c r="FL118" s="126"/>
      <c r="FM118" s="126"/>
      <c r="FN118" s="126"/>
      <c r="FO118" s="957"/>
      <c r="FQ118" s="358"/>
      <c r="FR118" s="1190"/>
      <c r="FS118" s="1190"/>
      <c r="FT118" s="64"/>
      <c r="FU118" s="2879"/>
      <c r="FV118" s="2880"/>
      <c r="FW118" s="2881"/>
    </row>
    <row r="119" spans="1:179">
      <c r="A119" s="1023"/>
      <c r="B119" s="1023"/>
      <c r="C119" s="1023"/>
      <c r="T119" s="1186"/>
      <c r="U119" s="233"/>
      <c r="V119" s="216"/>
      <c r="W119" s="218"/>
      <c r="X119" s="218"/>
      <c r="Y119" s="216"/>
      <c r="Z119" s="216"/>
      <c r="AA119" s="1024"/>
      <c r="AB119" s="252"/>
      <c r="AC119" s="252"/>
      <c r="AD119" s="253"/>
      <c r="AE119" s="252"/>
      <c r="AF119" s="252"/>
      <c r="AG119" s="252"/>
      <c r="AH119" s="252"/>
      <c r="AI119" s="252"/>
      <c r="AJ119" s="252"/>
      <c r="AK119" s="253"/>
      <c r="AL119" s="252"/>
      <c r="AM119" s="252"/>
      <c r="AN119" s="252"/>
      <c r="AO119" s="252"/>
      <c r="AP119" s="1192"/>
      <c r="AQ119" s="252"/>
      <c r="AR119" s="252"/>
      <c r="AS119" s="252"/>
      <c r="AT119" s="252"/>
      <c r="AU119" s="252"/>
      <c r="AV119" s="1025"/>
      <c r="AW119" s="359"/>
      <c r="AX119" s="217"/>
      <c r="AY119" s="305"/>
      <c r="AZ119" s="249"/>
      <c r="BA119" s="221"/>
      <c r="BB119" s="300"/>
      <c r="BC119" s="217"/>
      <c r="BD119" s="219"/>
      <c r="BE119" s="1263"/>
      <c r="BF119" s="249"/>
      <c r="BG119" s="252"/>
      <c r="BH119" s="1543"/>
      <c r="BI119" s="1544"/>
      <c r="BJ119" s="1543"/>
      <c r="BK119" s="1545"/>
      <c r="BL119" s="260"/>
      <c r="BM119" s="217"/>
      <c r="BN119" s="220"/>
      <c r="BO119" s="220"/>
      <c r="BP119" s="355"/>
      <c r="BQ119" s="217"/>
      <c r="BR119" s="1026"/>
      <c r="BS119" s="249"/>
      <c r="BT119" s="260"/>
      <c r="BU119" s="1026"/>
      <c r="BV119" s="249"/>
      <c r="BW119" s="260"/>
      <c r="BX119" s="1026"/>
      <c r="BY119" s="249"/>
      <c r="BZ119" s="260"/>
      <c r="CA119" s="1026"/>
      <c r="CB119" s="249"/>
      <c r="CC119" s="260"/>
      <c r="CD119" s="1026"/>
      <c r="CE119" s="1269"/>
      <c r="CF119" s="1270"/>
      <c r="CG119" s="1026"/>
      <c r="CH119" s="293"/>
      <c r="CI119" s="326"/>
      <c r="CJ119" s="1027"/>
      <c r="CK119" s="249"/>
      <c r="CL119" s="260"/>
      <c r="CM119" s="1028"/>
      <c r="CN119" s="249"/>
      <c r="CO119" s="216"/>
      <c r="CP119" s="1029"/>
      <c r="CQ119" s="249"/>
      <c r="CR119" s="216"/>
      <c r="CS119" s="1029"/>
      <c r="CT119" s="249"/>
      <c r="CU119" s="216"/>
      <c r="CV119" s="1027"/>
      <c r="CW119" s="394"/>
      <c r="CX119" s="347"/>
      <c r="CY119" s="1027"/>
      <c r="CZ119" s="249"/>
      <c r="DA119" s="216"/>
      <c r="DB119" s="1027" t="str">
        <f t="shared" si="21"/>
        <v/>
      </c>
      <c r="DC119" s="249"/>
      <c r="DD119" s="2519" t="str">
        <f t="shared" si="20"/>
        <v/>
      </c>
      <c r="DE119" s="1027"/>
      <c r="DF119" s="1556"/>
      <c r="DG119" s="1557"/>
      <c r="DH119" s="1027"/>
      <c r="DI119" s="1556"/>
      <c r="DJ119" s="1558"/>
      <c r="DK119" s="1027"/>
      <c r="DL119" s="249"/>
      <c r="DM119" s="216"/>
      <c r="DN119" s="313"/>
      <c r="DO119" s="249"/>
      <c r="DP119" s="216"/>
      <c r="DQ119" s="313"/>
      <c r="DR119" s="249"/>
      <c r="DS119" s="221"/>
      <c r="DT119" s="313"/>
      <c r="DU119" s="249"/>
      <c r="DV119" s="221"/>
      <c r="DW119" s="305"/>
      <c r="DX119" s="249"/>
      <c r="DY119" s="260"/>
      <c r="DZ119" s="350"/>
      <c r="EA119" s="249"/>
      <c r="EB119" s="221"/>
      <c r="EC119" s="313"/>
      <c r="ED119" s="249"/>
      <c r="EE119" s="221"/>
      <c r="EF119" s="313"/>
      <c r="EG119" s="249"/>
      <c r="EH119" s="221"/>
      <c r="EI119" s="313"/>
      <c r="EJ119" s="249"/>
      <c r="EK119" s="216"/>
      <c r="EL119" s="1435"/>
      <c r="EM119" s="1619"/>
      <c r="EN119" s="1268"/>
      <c r="EO119" s="1563"/>
      <c r="EP119" s="1268"/>
      <c r="EQ119" s="1563"/>
      <c r="ER119" s="1268"/>
      <c r="ES119" s="1563"/>
      <c r="ET119" s="1268"/>
      <c r="EU119" s="1682"/>
      <c r="EV119" s="1683"/>
      <c r="EW119" s="1684"/>
      <c r="EX119" s="1685"/>
      <c r="EY119" s="1030"/>
      <c r="EZ119" s="349"/>
      <c r="FA119" s="395"/>
      <c r="FB119" s="223"/>
      <c r="FC119" s="1030"/>
      <c r="FD119" s="349"/>
      <c r="FE119" s="1031"/>
      <c r="FF119" s="358"/>
      <c r="FG119" s="256"/>
      <c r="FH119" s="256"/>
      <c r="FI119" s="256"/>
      <c r="FJ119" s="256"/>
      <c r="FK119" s="19"/>
      <c r="FL119" s="126"/>
      <c r="FM119" s="126"/>
      <c r="FN119" s="126"/>
      <c r="FO119" s="957"/>
      <c r="FQ119" s="358"/>
      <c r="FR119" s="1190"/>
      <c r="FS119" s="1190"/>
      <c r="FT119" s="64"/>
      <c r="FU119" s="2879"/>
      <c r="FV119" s="2880"/>
      <c r="FW119" s="2881"/>
    </row>
    <row r="120" spans="1:179">
      <c r="A120" s="1023"/>
      <c r="B120" s="1023"/>
      <c r="C120" s="1023"/>
      <c r="T120" s="1186"/>
      <c r="U120" s="233"/>
      <c r="V120" s="216"/>
      <c r="W120" s="218"/>
      <c r="X120" s="218"/>
      <c r="Y120" s="216"/>
      <c r="Z120" s="216"/>
      <c r="AA120" s="1024"/>
      <c r="AB120" s="252"/>
      <c r="AC120" s="252"/>
      <c r="AD120" s="253"/>
      <c r="AE120" s="252"/>
      <c r="AF120" s="252"/>
      <c r="AG120" s="252"/>
      <c r="AH120" s="252"/>
      <c r="AI120" s="252"/>
      <c r="AJ120" s="252"/>
      <c r="AK120" s="253"/>
      <c r="AL120" s="252"/>
      <c r="AM120" s="252"/>
      <c r="AN120" s="252"/>
      <c r="AO120" s="252"/>
      <c r="AP120" s="1192"/>
      <c r="AQ120" s="252"/>
      <c r="AR120" s="252"/>
      <c r="AS120" s="252"/>
      <c r="AT120" s="252"/>
      <c r="AU120" s="252"/>
      <c r="AV120" s="1025"/>
      <c r="AW120" s="359"/>
      <c r="AX120" s="217"/>
      <c r="AY120" s="305"/>
      <c r="AZ120" s="249"/>
      <c r="BA120" s="221"/>
      <c r="BB120" s="300"/>
      <c r="BC120" s="217"/>
      <c r="BD120" s="219"/>
      <c r="BE120" s="1263"/>
      <c r="BF120" s="249"/>
      <c r="BG120" s="252"/>
      <c r="BH120" s="1543"/>
      <c r="BI120" s="1544"/>
      <c r="BJ120" s="1543"/>
      <c r="BK120" s="1545"/>
      <c r="BL120" s="260"/>
      <c r="BM120" s="217"/>
      <c r="BN120" s="220"/>
      <c r="BO120" s="220"/>
      <c r="BP120" s="355"/>
      <c r="BQ120" s="217"/>
      <c r="BR120" s="1026"/>
      <c r="BS120" s="249"/>
      <c r="BT120" s="260"/>
      <c r="BU120" s="1026"/>
      <c r="BV120" s="249"/>
      <c r="BW120" s="260"/>
      <c r="BX120" s="1026"/>
      <c r="BY120" s="249"/>
      <c r="BZ120" s="260"/>
      <c r="CA120" s="1026"/>
      <c r="CB120" s="249"/>
      <c r="CC120" s="260"/>
      <c r="CD120" s="1026"/>
      <c r="CE120" s="1269"/>
      <c r="CF120" s="1270"/>
      <c r="CG120" s="1026"/>
      <c r="CH120" s="293"/>
      <c r="CI120" s="326"/>
      <c r="CJ120" s="1027"/>
      <c r="CK120" s="249"/>
      <c r="CL120" s="260"/>
      <c r="CM120" s="1028"/>
      <c r="CN120" s="249"/>
      <c r="CO120" s="216"/>
      <c r="CP120" s="1029"/>
      <c r="CQ120" s="249"/>
      <c r="CR120" s="216"/>
      <c r="CS120" s="1029"/>
      <c r="CT120" s="249"/>
      <c r="CU120" s="216"/>
      <c r="CV120" s="1027"/>
      <c r="CW120" s="394"/>
      <c r="CX120" s="347"/>
      <c r="CY120" s="1027"/>
      <c r="CZ120" s="249"/>
      <c r="DA120" s="216"/>
      <c r="DB120" s="1027" t="str">
        <f t="shared" si="21"/>
        <v/>
      </c>
      <c r="DC120" s="249"/>
      <c r="DD120" s="2519" t="str">
        <f t="shared" si="20"/>
        <v/>
      </c>
      <c r="DE120" s="1027"/>
      <c r="DF120" s="1556"/>
      <c r="DG120" s="1557"/>
      <c r="DH120" s="1027"/>
      <c r="DI120" s="1556"/>
      <c r="DJ120" s="1558"/>
      <c r="DK120" s="1027"/>
      <c r="DL120" s="249"/>
      <c r="DM120" s="216"/>
      <c r="DN120" s="313"/>
      <c r="DO120" s="249"/>
      <c r="DP120" s="216"/>
      <c r="DQ120" s="313"/>
      <c r="DR120" s="249"/>
      <c r="DS120" s="221"/>
      <c r="DT120" s="313"/>
      <c r="DU120" s="249"/>
      <c r="DV120" s="221"/>
      <c r="DW120" s="305"/>
      <c r="DX120" s="249"/>
      <c r="DY120" s="260"/>
      <c r="DZ120" s="350"/>
      <c r="EA120" s="249"/>
      <c r="EB120" s="221"/>
      <c r="EC120" s="313"/>
      <c r="ED120" s="249"/>
      <c r="EE120" s="221"/>
      <c r="EF120" s="313"/>
      <c r="EG120" s="249"/>
      <c r="EH120" s="221"/>
      <c r="EI120" s="313"/>
      <c r="EJ120" s="249"/>
      <c r="EK120" s="216"/>
      <c r="EL120" s="1435"/>
      <c r="EM120" s="1619"/>
      <c r="EN120" s="1268"/>
      <c r="EO120" s="1563"/>
      <c r="EP120" s="1268"/>
      <c r="EQ120" s="1563"/>
      <c r="ER120" s="1268"/>
      <c r="ES120" s="1563"/>
      <c r="ET120" s="1268"/>
      <c r="EU120" s="1682"/>
      <c r="EV120" s="1683"/>
      <c r="EW120" s="1684"/>
      <c r="EX120" s="1685"/>
      <c r="EY120" s="1030"/>
      <c r="EZ120" s="349"/>
      <c r="FA120" s="395"/>
      <c r="FB120" s="223"/>
      <c r="FC120" s="1030"/>
      <c r="FD120" s="349"/>
      <c r="FE120" s="1031"/>
      <c r="FF120" s="358"/>
      <c r="FG120" s="256"/>
      <c r="FH120" s="256"/>
      <c r="FI120" s="256"/>
      <c r="FJ120" s="256"/>
      <c r="FK120" s="19"/>
      <c r="FL120" s="126"/>
      <c r="FM120" s="126"/>
      <c r="FN120" s="126"/>
      <c r="FO120" s="957"/>
      <c r="FQ120" s="358"/>
      <c r="FR120" s="1190"/>
      <c r="FS120" s="1190"/>
      <c r="FT120" s="64"/>
      <c r="FU120" s="2879"/>
      <c r="FV120" s="2880"/>
      <c r="FW120" s="2881"/>
    </row>
    <row r="121" spans="1:179">
      <c r="A121" s="1023"/>
      <c r="B121" s="1023"/>
      <c r="C121" s="1023"/>
      <c r="T121" s="1186"/>
      <c r="U121" s="233"/>
      <c r="V121" s="216"/>
      <c r="W121" s="218"/>
      <c r="X121" s="218"/>
      <c r="Y121" s="216"/>
      <c r="Z121" s="216"/>
      <c r="AA121" s="1024"/>
      <c r="AB121" s="252"/>
      <c r="AC121" s="252"/>
      <c r="AD121" s="253"/>
      <c r="AE121" s="252"/>
      <c r="AF121" s="252"/>
      <c r="AG121" s="252"/>
      <c r="AH121" s="252"/>
      <c r="AI121" s="252"/>
      <c r="AJ121" s="252"/>
      <c r="AK121" s="253"/>
      <c r="AL121" s="252"/>
      <c r="AM121" s="252"/>
      <c r="AN121" s="252"/>
      <c r="AO121" s="252"/>
      <c r="AP121" s="1192"/>
      <c r="AQ121" s="252"/>
      <c r="AR121" s="252"/>
      <c r="AS121" s="252"/>
      <c r="AT121" s="252"/>
      <c r="AU121" s="252"/>
      <c r="AV121" s="1025"/>
      <c r="AW121" s="359"/>
      <c r="AX121" s="217"/>
      <c r="AY121" s="305"/>
      <c r="AZ121" s="249"/>
      <c r="BA121" s="221"/>
      <c r="BB121" s="300"/>
      <c r="BC121" s="217"/>
      <c r="BD121" s="219"/>
      <c r="BE121" s="1263"/>
      <c r="BF121" s="249"/>
      <c r="BG121" s="252"/>
      <c r="BH121" s="1543"/>
      <c r="BI121" s="1544"/>
      <c r="BJ121" s="1543"/>
      <c r="BK121" s="1545"/>
      <c r="BL121" s="260"/>
      <c r="BM121" s="217"/>
      <c r="BN121" s="220"/>
      <c r="BO121" s="220"/>
      <c r="BP121" s="355"/>
      <c r="BQ121" s="217"/>
      <c r="BR121" s="1026"/>
      <c r="BS121" s="249"/>
      <c r="BT121" s="260"/>
      <c r="BU121" s="1026"/>
      <c r="BV121" s="249"/>
      <c r="BW121" s="260"/>
      <c r="BX121" s="1026"/>
      <c r="BY121" s="249"/>
      <c r="BZ121" s="260"/>
      <c r="CA121" s="1026"/>
      <c r="CB121" s="249"/>
      <c r="CC121" s="260"/>
      <c r="CD121" s="1026"/>
      <c r="CE121" s="1269"/>
      <c r="CF121" s="1270"/>
      <c r="CG121" s="1026"/>
      <c r="CH121" s="293"/>
      <c r="CI121" s="326"/>
      <c r="CJ121" s="1027"/>
      <c r="CK121" s="249"/>
      <c r="CL121" s="260"/>
      <c r="CM121" s="1028"/>
      <c r="CN121" s="249"/>
      <c r="CO121" s="216"/>
      <c r="CP121" s="1029"/>
      <c r="CQ121" s="249"/>
      <c r="CR121" s="216"/>
      <c r="CS121" s="1029"/>
      <c r="CT121" s="249"/>
      <c r="CU121" s="216"/>
      <c r="CV121" s="1027"/>
      <c r="CW121" s="394"/>
      <c r="CX121" s="347"/>
      <c r="CY121" s="1027"/>
      <c r="CZ121" s="249"/>
      <c r="DA121" s="216"/>
      <c r="DB121" s="1027" t="str">
        <f t="shared" si="21"/>
        <v/>
      </c>
      <c r="DC121" s="249"/>
      <c r="DD121" s="2519" t="str">
        <f t="shared" si="20"/>
        <v/>
      </c>
      <c r="DE121" s="1027"/>
      <c r="DF121" s="1556"/>
      <c r="DG121" s="1557"/>
      <c r="DH121" s="1027"/>
      <c r="DI121" s="1556"/>
      <c r="DJ121" s="1558"/>
      <c r="DK121" s="1027"/>
      <c r="DL121" s="249"/>
      <c r="DM121" s="216"/>
      <c r="DN121" s="313"/>
      <c r="DO121" s="249"/>
      <c r="DP121" s="216"/>
      <c r="DQ121" s="313"/>
      <c r="DR121" s="249"/>
      <c r="DS121" s="221"/>
      <c r="DT121" s="313"/>
      <c r="DU121" s="249"/>
      <c r="DV121" s="221"/>
      <c r="DW121" s="305"/>
      <c r="DX121" s="249"/>
      <c r="DY121" s="260"/>
      <c r="DZ121" s="350"/>
      <c r="EA121" s="249"/>
      <c r="EB121" s="221"/>
      <c r="EC121" s="313"/>
      <c r="ED121" s="249"/>
      <c r="EE121" s="221"/>
      <c r="EF121" s="313"/>
      <c r="EG121" s="249"/>
      <c r="EH121" s="221"/>
      <c r="EI121" s="313"/>
      <c r="EJ121" s="249"/>
      <c r="EK121" s="216"/>
      <c r="EL121" s="1435"/>
      <c r="EM121" s="1619"/>
      <c r="EN121" s="1268"/>
      <c r="EO121" s="1563"/>
      <c r="EP121" s="1268"/>
      <c r="EQ121" s="1563"/>
      <c r="ER121" s="1268"/>
      <c r="ES121" s="1563"/>
      <c r="ET121" s="1268"/>
      <c r="EU121" s="1682"/>
      <c r="EV121" s="1683"/>
      <c r="EW121" s="1684"/>
      <c r="EX121" s="1685"/>
      <c r="EY121" s="1030"/>
      <c r="EZ121" s="349"/>
      <c r="FA121" s="395"/>
      <c r="FB121" s="223"/>
      <c r="FC121" s="1030"/>
      <c r="FD121" s="349"/>
      <c r="FE121" s="1031"/>
      <c r="FF121" s="358"/>
      <c r="FG121" s="256"/>
      <c r="FH121" s="256"/>
      <c r="FI121" s="256"/>
      <c r="FJ121" s="256"/>
      <c r="FK121" s="19"/>
      <c r="FL121" s="126"/>
      <c r="FM121" s="126"/>
      <c r="FN121" s="126"/>
      <c r="FO121" s="957"/>
      <c r="FQ121" s="358"/>
      <c r="FR121" s="1190"/>
      <c r="FS121" s="1190"/>
      <c r="FT121" s="64"/>
      <c r="FU121" s="2879"/>
      <c r="FV121" s="2880"/>
      <c r="FW121" s="2881"/>
    </row>
    <row r="122" spans="1:179">
      <c r="A122" s="1023"/>
      <c r="B122" s="1023"/>
      <c r="C122" s="1023"/>
      <c r="T122" s="1186"/>
      <c r="U122" s="233"/>
      <c r="V122" s="216"/>
      <c r="W122" s="218"/>
      <c r="X122" s="218"/>
      <c r="Y122" s="216"/>
      <c r="Z122" s="216"/>
      <c r="AA122" s="1024"/>
      <c r="AB122" s="252"/>
      <c r="AC122" s="252"/>
      <c r="AD122" s="253"/>
      <c r="AE122" s="252"/>
      <c r="AF122" s="252"/>
      <c r="AG122" s="252"/>
      <c r="AH122" s="252"/>
      <c r="AI122" s="252"/>
      <c r="AJ122" s="252"/>
      <c r="AK122" s="253"/>
      <c r="AL122" s="252"/>
      <c r="AM122" s="252"/>
      <c r="AN122" s="252"/>
      <c r="AO122" s="252"/>
      <c r="AP122" s="1192"/>
      <c r="AQ122" s="252"/>
      <c r="AR122" s="252"/>
      <c r="AS122" s="252"/>
      <c r="AT122" s="252"/>
      <c r="AU122" s="252"/>
      <c r="AV122" s="1025"/>
      <c r="AW122" s="359"/>
      <c r="AX122" s="217"/>
      <c r="AY122" s="305"/>
      <c r="AZ122" s="249"/>
      <c r="BA122" s="221"/>
      <c r="BB122" s="300"/>
      <c r="BC122" s="217"/>
      <c r="BD122" s="219"/>
      <c r="BE122" s="1263"/>
      <c r="BF122" s="249"/>
      <c r="BG122" s="252"/>
      <c r="BH122" s="1543"/>
      <c r="BI122" s="1544"/>
      <c r="BJ122" s="1543"/>
      <c r="BK122" s="1545"/>
      <c r="BL122" s="260"/>
      <c r="BM122" s="217"/>
      <c r="BN122" s="220"/>
      <c r="BO122" s="220"/>
      <c r="BP122" s="355"/>
      <c r="BQ122" s="217"/>
      <c r="BR122" s="1026"/>
      <c r="BS122" s="249"/>
      <c r="BT122" s="260"/>
      <c r="BU122" s="1026"/>
      <c r="BV122" s="249"/>
      <c r="BW122" s="260"/>
      <c r="BX122" s="1026"/>
      <c r="BY122" s="249"/>
      <c r="BZ122" s="260"/>
      <c r="CA122" s="1026"/>
      <c r="CB122" s="249"/>
      <c r="CC122" s="260"/>
      <c r="CD122" s="1026"/>
      <c r="CE122" s="1269"/>
      <c r="CF122" s="1270"/>
      <c r="CG122" s="1026"/>
      <c r="CH122" s="293"/>
      <c r="CI122" s="326"/>
      <c r="CJ122" s="1027"/>
      <c r="CK122" s="249"/>
      <c r="CL122" s="260"/>
      <c r="CM122" s="1028"/>
      <c r="CN122" s="249"/>
      <c r="CO122" s="216"/>
      <c r="CP122" s="1029"/>
      <c r="CQ122" s="249"/>
      <c r="CR122" s="216"/>
      <c r="CS122" s="1029"/>
      <c r="CT122" s="249"/>
      <c r="CU122" s="216"/>
      <c r="CV122" s="1027"/>
      <c r="CW122" s="394"/>
      <c r="CX122" s="347"/>
      <c r="CY122" s="1027"/>
      <c r="CZ122" s="249"/>
      <c r="DA122" s="216"/>
      <c r="DB122" s="1027" t="str">
        <f t="shared" si="21"/>
        <v/>
      </c>
      <c r="DC122" s="249"/>
      <c r="DD122" s="2519" t="str">
        <f t="shared" si="20"/>
        <v/>
      </c>
      <c r="DE122" s="1027"/>
      <c r="DF122" s="1556"/>
      <c r="DG122" s="1557"/>
      <c r="DH122" s="1027"/>
      <c r="DI122" s="1556"/>
      <c r="DJ122" s="1558"/>
      <c r="DK122" s="1027"/>
      <c r="DL122" s="249"/>
      <c r="DM122" s="216"/>
      <c r="DN122" s="313"/>
      <c r="DO122" s="249"/>
      <c r="DP122" s="216"/>
      <c r="DQ122" s="313"/>
      <c r="DR122" s="249"/>
      <c r="DS122" s="221"/>
      <c r="DT122" s="313"/>
      <c r="DU122" s="249"/>
      <c r="DV122" s="221"/>
      <c r="DW122" s="305"/>
      <c r="DX122" s="249"/>
      <c r="DY122" s="260"/>
      <c r="DZ122" s="350"/>
      <c r="EA122" s="249"/>
      <c r="EB122" s="221"/>
      <c r="EC122" s="313"/>
      <c r="ED122" s="249"/>
      <c r="EE122" s="221"/>
      <c r="EF122" s="313"/>
      <c r="EG122" s="249"/>
      <c r="EH122" s="221"/>
      <c r="EI122" s="313"/>
      <c r="EJ122" s="249"/>
      <c r="EK122" s="216"/>
      <c r="EL122" s="1435"/>
      <c r="EM122" s="1619"/>
      <c r="EN122" s="1268"/>
      <c r="EO122" s="1563"/>
      <c r="EP122" s="1268"/>
      <c r="EQ122" s="1563"/>
      <c r="ER122" s="1268"/>
      <c r="ES122" s="1563"/>
      <c r="ET122" s="1268"/>
      <c r="EU122" s="1682"/>
      <c r="EV122" s="1683"/>
      <c r="EW122" s="1684"/>
      <c r="EX122" s="1685"/>
      <c r="EY122" s="1030"/>
      <c r="EZ122" s="349"/>
      <c r="FA122" s="395"/>
      <c r="FB122" s="223"/>
      <c r="FC122" s="1030"/>
      <c r="FD122" s="349"/>
      <c r="FE122" s="1031"/>
      <c r="FF122" s="358"/>
      <c r="FG122" s="256"/>
      <c r="FH122" s="256"/>
      <c r="FI122" s="256"/>
      <c r="FJ122" s="256"/>
      <c r="FK122" s="19"/>
      <c r="FL122" s="126"/>
      <c r="FM122" s="126"/>
      <c r="FN122" s="126"/>
      <c r="FO122" s="957"/>
      <c r="FQ122" s="358"/>
      <c r="FR122" s="1190"/>
      <c r="FS122" s="1190"/>
      <c r="FT122" s="64"/>
      <c r="FU122" s="2879"/>
      <c r="FV122" s="2880"/>
      <c r="FW122" s="2881"/>
    </row>
    <row r="123" spans="1:179">
      <c r="A123" s="1023"/>
      <c r="B123" s="1023"/>
      <c r="C123" s="1023"/>
      <c r="T123" s="1186"/>
      <c r="U123" s="233"/>
      <c r="V123" s="216"/>
      <c r="W123" s="218"/>
      <c r="X123" s="218"/>
      <c r="Y123" s="216"/>
      <c r="Z123" s="216"/>
      <c r="AA123" s="1024"/>
      <c r="AB123" s="252"/>
      <c r="AC123" s="252"/>
      <c r="AD123" s="253"/>
      <c r="AE123" s="252"/>
      <c r="AF123" s="252"/>
      <c r="AG123" s="252"/>
      <c r="AH123" s="252"/>
      <c r="AI123" s="252"/>
      <c r="AJ123" s="252"/>
      <c r="AK123" s="253"/>
      <c r="AL123" s="252"/>
      <c r="AM123" s="252"/>
      <c r="AN123" s="252"/>
      <c r="AO123" s="252"/>
      <c r="AP123" s="1192"/>
      <c r="AQ123" s="252"/>
      <c r="AR123" s="252"/>
      <c r="AS123" s="252"/>
      <c r="AT123" s="252"/>
      <c r="AU123" s="252"/>
      <c r="AV123" s="1025"/>
      <c r="AW123" s="359"/>
      <c r="AX123" s="217"/>
      <c r="AY123" s="305"/>
      <c r="AZ123" s="249"/>
      <c r="BA123" s="221"/>
      <c r="BB123" s="300"/>
      <c r="BC123" s="217"/>
      <c r="BD123" s="219"/>
      <c r="BE123" s="1263"/>
      <c r="BF123" s="249"/>
      <c r="BG123" s="252"/>
      <c r="BH123" s="1543"/>
      <c r="BI123" s="1544"/>
      <c r="BJ123" s="1543"/>
      <c r="BK123" s="1545"/>
      <c r="BL123" s="260"/>
      <c r="BM123" s="217"/>
      <c r="BN123" s="220"/>
      <c r="BO123" s="220"/>
      <c r="BP123" s="355"/>
      <c r="BQ123" s="217"/>
      <c r="BR123" s="1026"/>
      <c r="BS123" s="249"/>
      <c r="BT123" s="260"/>
      <c r="BU123" s="1026"/>
      <c r="BV123" s="249"/>
      <c r="BW123" s="260"/>
      <c r="BX123" s="1026"/>
      <c r="BY123" s="249"/>
      <c r="BZ123" s="260"/>
      <c r="CA123" s="1026"/>
      <c r="CB123" s="249"/>
      <c r="CC123" s="260"/>
      <c r="CD123" s="1026"/>
      <c r="CE123" s="1269"/>
      <c r="CF123" s="1270"/>
      <c r="CG123" s="1026"/>
      <c r="CH123" s="293"/>
      <c r="CI123" s="326"/>
      <c r="CJ123" s="1027"/>
      <c r="CK123" s="249"/>
      <c r="CL123" s="260"/>
      <c r="CM123" s="1028"/>
      <c r="CN123" s="249"/>
      <c r="CO123" s="216"/>
      <c r="CP123" s="1029"/>
      <c r="CQ123" s="249"/>
      <c r="CR123" s="216"/>
      <c r="CS123" s="1029"/>
      <c r="CT123" s="249"/>
      <c r="CU123" s="216"/>
      <c r="CV123" s="1027"/>
      <c r="CW123" s="394"/>
      <c r="CX123" s="347"/>
      <c r="CY123" s="1027"/>
      <c r="CZ123" s="249"/>
      <c r="DA123" s="216"/>
      <c r="DB123" s="1027" t="str">
        <f t="shared" si="21"/>
        <v/>
      </c>
      <c r="DC123" s="249"/>
      <c r="DD123" s="2519" t="str">
        <f t="shared" si="20"/>
        <v/>
      </c>
      <c r="DE123" s="1027"/>
      <c r="DF123" s="1556"/>
      <c r="DG123" s="1557"/>
      <c r="DH123" s="1027"/>
      <c r="DI123" s="1556"/>
      <c r="DJ123" s="1558"/>
      <c r="DK123" s="1027"/>
      <c r="DL123" s="249"/>
      <c r="DM123" s="216"/>
      <c r="DN123" s="313"/>
      <c r="DO123" s="249"/>
      <c r="DP123" s="216"/>
      <c r="DQ123" s="313"/>
      <c r="DR123" s="249"/>
      <c r="DS123" s="221"/>
      <c r="DT123" s="313"/>
      <c r="DU123" s="249"/>
      <c r="DV123" s="221"/>
      <c r="DW123" s="305"/>
      <c r="DX123" s="249"/>
      <c r="DY123" s="260"/>
      <c r="DZ123" s="350"/>
      <c r="EA123" s="249"/>
      <c r="EB123" s="221"/>
      <c r="EC123" s="313"/>
      <c r="ED123" s="249"/>
      <c r="EE123" s="221"/>
      <c r="EF123" s="313"/>
      <c r="EG123" s="249"/>
      <c r="EH123" s="221"/>
      <c r="EI123" s="313"/>
      <c r="EJ123" s="249"/>
      <c r="EK123" s="216"/>
      <c r="EL123" s="1435"/>
      <c r="EM123" s="1619"/>
      <c r="EN123" s="1268"/>
      <c r="EO123" s="1563"/>
      <c r="EP123" s="1268"/>
      <c r="EQ123" s="1563"/>
      <c r="ER123" s="1268"/>
      <c r="ES123" s="1563"/>
      <c r="ET123" s="1268"/>
      <c r="EU123" s="1682"/>
      <c r="EV123" s="1683"/>
      <c r="EW123" s="1684"/>
      <c r="EX123" s="1685"/>
      <c r="EY123" s="1030"/>
      <c r="EZ123" s="349"/>
      <c r="FA123" s="395"/>
      <c r="FB123" s="223"/>
      <c r="FC123" s="1030"/>
      <c r="FD123" s="349"/>
      <c r="FE123" s="1031"/>
      <c r="FF123" s="358"/>
      <c r="FG123" s="256"/>
      <c r="FH123" s="256"/>
      <c r="FI123" s="256"/>
      <c r="FJ123" s="256"/>
      <c r="FK123" s="19"/>
      <c r="FL123" s="126"/>
      <c r="FM123" s="126"/>
      <c r="FN123" s="126"/>
      <c r="FO123" s="957"/>
      <c r="FQ123" s="358"/>
      <c r="FR123" s="1190"/>
      <c r="FS123" s="1190"/>
      <c r="FT123" s="64"/>
      <c r="FU123" s="2879"/>
      <c r="FV123" s="2880"/>
      <c r="FW123" s="2881"/>
    </row>
    <row r="124" spans="1:179">
      <c r="A124" s="1023"/>
      <c r="B124" s="1023"/>
      <c r="C124" s="1023"/>
      <c r="T124" s="1186"/>
      <c r="U124" s="233"/>
      <c r="V124" s="216"/>
      <c r="W124" s="218"/>
      <c r="X124" s="218"/>
      <c r="Y124" s="216"/>
      <c r="Z124" s="216"/>
      <c r="AA124" s="1024"/>
      <c r="AB124" s="252"/>
      <c r="AC124" s="252"/>
      <c r="AD124" s="253"/>
      <c r="AE124" s="252"/>
      <c r="AF124" s="252"/>
      <c r="AG124" s="252"/>
      <c r="AH124" s="252"/>
      <c r="AI124" s="252"/>
      <c r="AJ124" s="252"/>
      <c r="AK124" s="253"/>
      <c r="AL124" s="252"/>
      <c r="AM124" s="252"/>
      <c r="AN124" s="252"/>
      <c r="AO124" s="252"/>
      <c r="AP124" s="1192"/>
      <c r="AQ124" s="252"/>
      <c r="AR124" s="252"/>
      <c r="AS124" s="252"/>
      <c r="AT124" s="252"/>
      <c r="AU124" s="252"/>
      <c r="AV124" s="1025"/>
      <c r="AW124" s="359"/>
      <c r="AX124" s="217"/>
      <c r="AY124" s="305"/>
      <c r="AZ124" s="249"/>
      <c r="BA124" s="221"/>
      <c r="BB124" s="300"/>
      <c r="BC124" s="217"/>
      <c r="BD124" s="219"/>
      <c r="BE124" s="1263"/>
      <c r="BF124" s="249"/>
      <c r="BG124" s="252"/>
      <c r="BH124" s="1543"/>
      <c r="BI124" s="1544"/>
      <c r="BJ124" s="1543"/>
      <c r="BK124" s="1545"/>
      <c r="BL124" s="260"/>
      <c r="BM124" s="217"/>
      <c r="BN124" s="220"/>
      <c r="BO124" s="220"/>
      <c r="BP124" s="355"/>
      <c r="BQ124" s="217"/>
      <c r="BR124" s="1026"/>
      <c r="BS124" s="249"/>
      <c r="BT124" s="260"/>
      <c r="BU124" s="1026"/>
      <c r="BV124" s="249"/>
      <c r="BW124" s="260"/>
      <c r="BX124" s="1026"/>
      <c r="BY124" s="249"/>
      <c r="BZ124" s="260"/>
      <c r="CA124" s="1026"/>
      <c r="CB124" s="249"/>
      <c r="CC124" s="260"/>
      <c r="CD124" s="1026"/>
      <c r="CE124" s="1269"/>
      <c r="CF124" s="1270"/>
      <c r="CG124" s="1026"/>
      <c r="CH124" s="293"/>
      <c r="CI124" s="326"/>
      <c r="CJ124" s="1027"/>
      <c r="CK124" s="249"/>
      <c r="CL124" s="260"/>
      <c r="CM124" s="1028"/>
      <c r="CN124" s="249"/>
      <c r="CO124" s="216"/>
      <c r="CP124" s="1029"/>
      <c r="CQ124" s="249"/>
      <c r="CR124" s="216"/>
      <c r="CS124" s="1029"/>
      <c r="CT124" s="249"/>
      <c r="CU124" s="216"/>
      <c r="CV124" s="1027"/>
      <c r="CW124" s="394"/>
      <c r="CX124" s="347"/>
      <c r="CY124" s="1027"/>
      <c r="CZ124" s="249"/>
      <c r="DA124" s="216"/>
      <c r="DB124" s="1027" t="str">
        <f t="shared" si="21"/>
        <v/>
      </c>
      <c r="DC124" s="249"/>
      <c r="DD124" s="2519" t="str">
        <f t="shared" si="20"/>
        <v/>
      </c>
      <c r="DE124" s="1027"/>
      <c r="DF124" s="1556"/>
      <c r="DG124" s="1557"/>
      <c r="DH124" s="1027"/>
      <c r="DI124" s="1556"/>
      <c r="DJ124" s="1558"/>
      <c r="DK124" s="1027"/>
      <c r="DL124" s="249"/>
      <c r="DM124" s="216"/>
      <c r="DN124" s="313"/>
      <c r="DO124" s="249"/>
      <c r="DP124" s="216"/>
      <c r="DQ124" s="313"/>
      <c r="DR124" s="249"/>
      <c r="DS124" s="221"/>
      <c r="DT124" s="313"/>
      <c r="DU124" s="249"/>
      <c r="DV124" s="221"/>
      <c r="DW124" s="305"/>
      <c r="DX124" s="249"/>
      <c r="DY124" s="260"/>
      <c r="DZ124" s="350"/>
      <c r="EA124" s="249"/>
      <c r="EB124" s="221"/>
      <c r="EC124" s="313"/>
      <c r="ED124" s="249"/>
      <c r="EE124" s="221"/>
      <c r="EF124" s="313"/>
      <c r="EG124" s="249"/>
      <c r="EH124" s="221"/>
      <c r="EI124" s="313"/>
      <c r="EJ124" s="249"/>
      <c r="EK124" s="216"/>
      <c r="EL124" s="1435"/>
      <c r="EM124" s="1619"/>
      <c r="EN124" s="1268"/>
      <c r="EO124" s="1563"/>
      <c r="EP124" s="1268"/>
      <c r="EQ124" s="1563"/>
      <c r="ER124" s="1268"/>
      <c r="ES124" s="1563"/>
      <c r="ET124" s="1268"/>
      <c r="EU124" s="1682"/>
      <c r="EV124" s="1683"/>
      <c r="EW124" s="1684"/>
      <c r="EX124" s="1685"/>
      <c r="EY124" s="1030"/>
      <c r="EZ124" s="349"/>
      <c r="FA124" s="395"/>
      <c r="FB124" s="223"/>
      <c r="FC124" s="1030"/>
      <c r="FD124" s="349"/>
      <c r="FE124" s="1031"/>
      <c r="FF124" s="358"/>
      <c r="FG124" s="256"/>
      <c r="FH124" s="256"/>
      <c r="FI124" s="256"/>
      <c r="FJ124" s="256"/>
      <c r="FK124" s="19"/>
      <c r="FL124" s="126"/>
      <c r="FM124" s="126"/>
      <c r="FN124" s="126"/>
      <c r="FO124" s="957"/>
      <c r="FQ124" s="358"/>
      <c r="FR124" s="1190"/>
      <c r="FS124" s="1190"/>
      <c r="FT124" s="64"/>
      <c r="FU124" s="2879"/>
      <c r="FV124" s="2880"/>
      <c r="FW124" s="2881"/>
    </row>
    <row r="125" spans="1:179">
      <c r="A125" s="1023"/>
      <c r="B125" s="1023"/>
      <c r="C125" s="1023"/>
      <c r="T125" s="1186"/>
      <c r="U125" s="233"/>
      <c r="V125" s="216"/>
      <c r="W125" s="218"/>
      <c r="X125" s="218"/>
      <c r="Y125" s="216"/>
      <c r="Z125" s="216"/>
      <c r="AA125" s="1024"/>
      <c r="AB125" s="252"/>
      <c r="AC125" s="252"/>
      <c r="AD125" s="253"/>
      <c r="AE125" s="252"/>
      <c r="AF125" s="252"/>
      <c r="AG125" s="252"/>
      <c r="AH125" s="252"/>
      <c r="AI125" s="252"/>
      <c r="AJ125" s="252"/>
      <c r="AK125" s="253"/>
      <c r="AL125" s="252"/>
      <c r="AM125" s="252"/>
      <c r="AN125" s="252"/>
      <c r="AO125" s="252"/>
      <c r="AP125" s="1192"/>
      <c r="AQ125" s="252"/>
      <c r="AR125" s="252"/>
      <c r="AS125" s="252"/>
      <c r="AT125" s="252"/>
      <c r="AU125" s="252"/>
      <c r="AV125" s="1025"/>
      <c r="AW125" s="359"/>
      <c r="AX125" s="217"/>
      <c r="AY125" s="305"/>
      <c r="AZ125" s="249"/>
      <c r="BA125" s="221"/>
      <c r="BB125" s="300"/>
      <c r="BC125" s="217"/>
      <c r="BD125" s="219"/>
      <c r="BE125" s="1263"/>
      <c r="BF125" s="249"/>
      <c r="BG125" s="252"/>
      <c r="BH125" s="1543"/>
      <c r="BI125" s="1544"/>
      <c r="BJ125" s="1543"/>
      <c r="BK125" s="1545"/>
      <c r="BL125" s="260"/>
      <c r="BM125" s="217"/>
      <c r="BN125" s="220"/>
      <c r="BO125" s="220"/>
      <c r="BP125" s="355"/>
      <c r="BQ125" s="217"/>
      <c r="BR125" s="1026"/>
      <c r="BS125" s="249"/>
      <c r="BT125" s="260"/>
      <c r="BU125" s="1026"/>
      <c r="BV125" s="249"/>
      <c r="BW125" s="260"/>
      <c r="BX125" s="1026"/>
      <c r="BY125" s="249"/>
      <c r="BZ125" s="260"/>
      <c r="CA125" s="1026"/>
      <c r="CB125" s="249"/>
      <c r="CC125" s="260"/>
      <c r="CD125" s="1026"/>
      <c r="CE125" s="1269"/>
      <c r="CF125" s="1270"/>
      <c r="CG125" s="1026"/>
      <c r="CH125" s="293"/>
      <c r="CI125" s="326"/>
      <c r="CJ125" s="1027"/>
      <c r="CK125" s="249"/>
      <c r="CL125" s="260"/>
      <c r="CM125" s="1028"/>
      <c r="CN125" s="249"/>
      <c r="CO125" s="216"/>
      <c r="CP125" s="1029"/>
      <c r="CQ125" s="249"/>
      <c r="CR125" s="216"/>
      <c r="CS125" s="1029"/>
      <c r="CT125" s="249"/>
      <c r="CU125" s="216"/>
      <c r="CV125" s="1027"/>
      <c r="CW125" s="394"/>
      <c r="CX125" s="347"/>
      <c r="CY125" s="1027"/>
      <c r="CZ125" s="249"/>
      <c r="DA125" s="216"/>
      <c r="DB125" s="1027" t="str">
        <f t="shared" si="21"/>
        <v/>
      </c>
      <c r="DC125" s="249"/>
      <c r="DD125" s="2519" t="str">
        <f t="shared" si="20"/>
        <v/>
      </c>
      <c r="DE125" s="1027"/>
      <c r="DF125" s="1556"/>
      <c r="DG125" s="1557"/>
      <c r="DH125" s="1027"/>
      <c r="DI125" s="1556"/>
      <c r="DJ125" s="1558"/>
      <c r="DK125" s="1027"/>
      <c r="DL125" s="249"/>
      <c r="DM125" s="216"/>
      <c r="DN125" s="313"/>
      <c r="DO125" s="249"/>
      <c r="DP125" s="216"/>
      <c r="DQ125" s="313"/>
      <c r="DR125" s="249"/>
      <c r="DS125" s="221"/>
      <c r="DT125" s="313"/>
      <c r="DU125" s="249"/>
      <c r="DV125" s="221"/>
      <c r="DW125" s="305"/>
      <c r="DX125" s="249"/>
      <c r="DY125" s="260"/>
      <c r="DZ125" s="350"/>
      <c r="EA125" s="249"/>
      <c r="EB125" s="221"/>
      <c r="EC125" s="313"/>
      <c r="ED125" s="249"/>
      <c r="EE125" s="221"/>
      <c r="EF125" s="313"/>
      <c r="EG125" s="249"/>
      <c r="EH125" s="221"/>
      <c r="EI125" s="313"/>
      <c r="EJ125" s="249"/>
      <c r="EK125" s="216"/>
      <c r="EL125" s="1435"/>
      <c r="EM125" s="1619"/>
      <c r="EN125" s="1268"/>
      <c r="EO125" s="1563"/>
      <c r="EP125" s="1268"/>
      <c r="EQ125" s="1563"/>
      <c r="ER125" s="1268"/>
      <c r="ES125" s="1563"/>
      <c r="ET125" s="1268"/>
      <c r="EU125" s="1682"/>
      <c r="EV125" s="1683"/>
      <c r="EW125" s="1684"/>
      <c r="EX125" s="1685"/>
      <c r="EY125" s="1030"/>
      <c r="EZ125" s="349"/>
      <c r="FA125" s="395"/>
      <c r="FB125" s="223"/>
      <c r="FC125" s="1030"/>
      <c r="FD125" s="349"/>
      <c r="FE125" s="1031"/>
      <c r="FF125" s="358"/>
      <c r="FG125" s="256"/>
      <c r="FH125" s="256"/>
      <c r="FI125" s="256"/>
      <c r="FJ125" s="256"/>
      <c r="FK125" s="19"/>
      <c r="FL125" s="126"/>
      <c r="FM125" s="126"/>
      <c r="FN125" s="126"/>
      <c r="FO125" s="957"/>
      <c r="FQ125" s="358"/>
      <c r="FR125" s="1190"/>
      <c r="FS125" s="1190"/>
      <c r="FT125" s="64"/>
      <c r="FU125" s="2879"/>
      <c r="FV125" s="2880"/>
      <c r="FW125" s="2881"/>
    </row>
    <row r="126" spans="1:179">
      <c r="A126" s="1023"/>
      <c r="B126" s="1023"/>
      <c r="C126" s="1023"/>
      <c r="T126" s="1186"/>
      <c r="U126" s="233"/>
      <c r="V126" s="216"/>
      <c r="W126" s="218"/>
      <c r="X126" s="218"/>
      <c r="Y126" s="216"/>
      <c r="Z126" s="216"/>
      <c r="AA126" s="1024"/>
      <c r="AB126" s="252"/>
      <c r="AC126" s="252"/>
      <c r="AD126" s="253"/>
      <c r="AE126" s="252"/>
      <c r="AF126" s="252"/>
      <c r="AG126" s="252"/>
      <c r="AH126" s="252"/>
      <c r="AI126" s="252"/>
      <c r="AJ126" s="252"/>
      <c r="AK126" s="253"/>
      <c r="AL126" s="252"/>
      <c r="AM126" s="252"/>
      <c r="AN126" s="252"/>
      <c r="AO126" s="252"/>
      <c r="AP126" s="1192"/>
      <c r="AQ126" s="252"/>
      <c r="AR126" s="252"/>
      <c r="AS126" s="252"/>
      <c r="AT126" s="252"/>
      <c r="AU126" s="252"/>
      <c r="AV126" s="1025"/>
      <c r="AW126" s="359"/>
      <c r="AX126" s="217"/>
      <c r="AY126" s="305"/>
      <c r="AZ126" s="249"/>
      <c r="BA126" s="221"/>
      <c r="BB126" s="300"/>
      <c r="BC126" s="217"/>
      <c r="BD126" s="219"/>
      <c r="BE126" s="1263"/>
      <c r="BF126" s="249"/>
      <c r="BG126" s="252"/>
      <c r="BH126" s="1543"/>
      <c r="BI126" s="1544"/>
      <c r="BJ126" s="1543"/>
      <c r="BK126" s="1545"/>
      <c r="BL126" s="260"/>
      <c r="BM126" s="217"/>
      <c r="BN126" s="220"/>
      <c r="BO126" s="220"/>
      <c r="BP126" s="355"/>
      <c r="BQ126" s="217"/>
      <c r="BR126" s="1026"/>
      <c r="BS126" s="249"/>
      <c r="BT126" s="260"/>
      <c r="BU126" s="1026"/>
      <c r="BV126" s="249"/>
      <c r="BW126" s="260"/>
      <c r="BX126" s="1026"/>
      <c r="BY126" s="249"/>
      <c r="BZ126" s="260"/>
      <c r="CA126" s="1026"/>
      <c r="CB126" s="249"/>
      <c r="CC126" s="260"/>
      <c r="CD126" s="1026"/>
      <c r="CE126" s="1269"/>
      <c r="CF126" s="1270"/>
      <c r="CG126" s="1026"/>
      <c r="CH126" s="293"/>
      <c r="CI126" s="326"/>
      <c r="CJ126" s="1027"/>
      <c r="CK126" s="249"/>
      <c r="CL126" s="260"/>
      <c r="CM126" s="1028"/>
      <c r="CN126" s="249"/>
      <c r="CO126" s="216"/>
      <c r="CP126" s="1029"/>
      <c r="CQ126" s="249"/>
      <c r="CR126" s="216"/>
      <c r="CS126" s="1029"/>
      <c r="CT126" s="249"/>
      <c r="CU126" s="216"/>
      <c r="CV126" s="1027"/>
      <c r="CW126" s="394"/>
      <c r="CX126" s="347"/>
      <c r="CY126" s="1027"/>
      <c r="CZ126" s="249"/>
      <c r="DA126" s="216"/>
      <c r="DB126" s="1027" t="str">
        <f t="shared" si="21"/>
        <v/>
      </c>
      <c r="DC126" s="249"/>
      <c r="DD126" s="2519" t="str">
        <f t="shared" si="20"/>
        <v/>
      </c>
      <c r="DE126" s="1027"/>
      <c r="DF126" s="1556"/>
      <c r="DG126" s="1557"/>
      <c r="DH126" s="1027"/>
      <c r="DI126" s="1556"/>
      <c r="DJ126" s="1558"/>
      <c r="DK126" s="1027"/>
      <c r="DL126" s="249"/>
      <c r="DM126" s="216"/>
      <c r="DN126" s="313"/>
      <c r="DO126" s="249"/>
      <c r="DP126" s="216"/>
      <c r="DQ126" s="313"/>
      <c r="DR126" s="249"/>
      <c r="DS126" s="221"/>
      <c r="DT126" s="313"/>
      <c r="DU126" s="249"/>
      <c r="DV126" s="221"/>
      <c r="DW126" s="305"/>
      <c r="DX126" s="249"/>
      <c r="DY126" s="260"/>
      <c r="DZ126" s="350"/>
      <c r="EA126" s="249"/>
      <c r="EB126" s="221"/>
      <c r="EC126" s="313"/>
      <c r="ED126" s="249"/>
      <c r="EE126" s="221"/>
      <c r="EF126" s="313"/>
      <c r="EG126" s="249"/>
      <c r="EH126" s="221"/>
      <c r="EI126" s="313"/>
      <c r="EJ126" s="249"/>
      <c r="EK126" s="216"/>
      <c r="EL126" s="1435"/>
      <c r="EM126" s="1619"/>
      <c r="EN126" s="1268"/>
      <c r="EO126" s="1563"/>
      <c r="EP126" s="1268"/>
      <c r="EQ126" s="1563"/>
      <c r="ER126" s="1268"/>
      <c r="ES126" s="1563"/>
      <c r="ET126" s="1268"/>
      <c r="EU126" s="1682"/>
      <c r="EV126" s="1683"/>
      <c r="EW126" s="1684"/>
      <c r="EX126" s="1685"/>
      <c r="EY126" s="1030"/>
      <c r="EZ126" s="349"/>
      <c r="FA126" s="395"/>
      <c r="FB126" s="223"/>
      <c r="FC126" s="1030"/>
      <c r="FD126" s="349"/>
      <c r="FE126" s="1031"/>
      <c r="FF126" s="358"/>
      <c r="FG126" s="256"/>
      <c r="FH126" s="256"/>
      <c r="FI126" s="256"/>
      <c r="FJ126" s="256"/>
      <c r="FK126" s="19"/>
      <c r="FL126" s="126"/>
      <c r="FM126" s="126"/>
      <c r="FN126" s="126"/>
      <c r="FO126" s="957"/>
      <c r="FQ126" s="358"/>
      <c r="FR126" s="1190"/>
      <c r="FS126" s="1190"/>
      <c r="FT126" s="64"/>
      <c r="FU126" s="2879"/>
      <c r="FV126" s="2880"/>
      <c r="FW126" s="2881"/>
    </row>
    <row r="127" spans="1:179">
      <c r="A127" s="1023"/>
      <c r="B127" s="1023"/>
      <c r="C127" s="1023"/>
      <c r="T127" s="1186"/>
      <c r="U127" s="233"/>
      <c r="V127" s="216"/>
      <c r="W127" s="218"/>
      <c r="X127" s="218"/>
      <c r="Y127" s="216"/>
      <c r="Z127" s="216"/>
      <c r="AA127" s="1024"/>
      <c r="AB127" s="252"/>
      <c r="AC127" s="252"/>
      <c r="AD127" s="253"/>
      <c r="AE127" s="252"/>
      <c r="AF127" s="252"/>
      <c r="AG127" s="252"/>
      <c r="AH127" s="252"/>
      <c r="AI127" s="252"/>
      <c r="AJ127" s="252"/>
      <c r="AK127" s="253"/>
      <c r="AL127" s="252"/>
      <c r="AM127" s="252"/>
      <c r="AN127" s="252"/>
      <c r="AO127" s="252"/>
      <c r="AP127" s="1192"/>
      <c r="AQ127" s="252"/>
      <c r="AR127" s="252"/>
      <c r="AS127" s="252"/>
      <c r="AT127" s="252"/>
      <c r="AU127" s="252"/>
      <c r="AV127" s="1025"/>
      <c r="AW127" s="359"/>
      <c r="AX127" s="217"/>
      <c r="AY127" s="305"/>
      <c r="AZ127" s="249"/>
      <c r="BA127" s="221"/>
      <c r="BB127" s="300"/>
      <c r="BC127" s="217"/>
      <c r="BD127" s="219"/>
      <c r="BE127" s="1263"/>
      <c r="BF127" s="249"/>
      <c r="BG127" s="252"/>
      <c r="BH127" s="1543"/>
      <c r="BI127" s="1544"/>
      <c r="BJ127" s="1543"/>
      <c r="BK127" s="1545"/>
      <c r="BL127" s="260"/>
      <c r="BM127" s="217"/>
      <c r="BN127" s="220"/>
      <c r="BO127" s="220"/>
      <c r="BP127" s="355"/>
      <c r="BQ127" s="217"/>
      <c r="BR127" s="1026"/>
      <c r="BS127" s="249"/>
      <c r="BT127" s="260"/>
      <c r="BU127" s="1026"/>
      <c r="BV127" s="249"/>
      <c r="BW127" s="260"/>
      <c r="BX127" s="1026"/>
      <c r="BY127" s="249"/>
      <c r="BZ127" s="260"/>
      <c r="CA127" s="1026"/>
      <c r="CB127" s="249"/>
      <c r="CC127" s="260"/>
      <c r="CD127" s="1026"/>
      <c r="CE127" s="1269"/>
      <c r="CF127" s="1270"/>
      <c r="CG127" s="1026"/>
      <c r="CH127" s="293"/>
      <c r="CI127" s="326"/>
      <c r="CJ127" s="1027"/>
      <c r="CK127" s="249"/>
      <c r="CL127" s="260"/>
      <c r="CM127" s="1028"/>
      <c r="CN127" s="249"/>
      <c r="CO127" s="216"/>
      <c r="CP127" s="1029"/>
      <c r="CQ127" s="249"/>
      <c r="CR127" s="216"/>
      <c r="CS127" s="1029"/>
      <c r="CT127" s="249"/>
      <c r="CU127" s="216"/>
      <c r="CV127" s="1027"/>
      <c r="CW127" s="394"/>
      <c r="CX127" s="347"/>
      <c r="CY127" s="1027"/>
      <c r="CZ127" s="249"/>
      <c r="DA127" s="216"/>
      <c r="DB127" s="1027" t="str">
        <f t="shared" si="21"/>
        <v/>
      </c>
      <c r="DC127" s="249"/>
      <c r="DD127" s="2519" t="str">
        <f t="shared" si="20"/>
        <v/>
      </c>
      <c r="DE127" s="1027"/>
      <c r="DF127" s="1556"/>
      <c r="DG127" s="1557"/>
      <c r="DH127" s="1027"/>
      <c r="DI127" s="1556"/>
      <c r="DJ127" s="1558"/>
      <c r="DK127" s="1027"/>
      <c r="DL127" s="249"/>
      <c r="DM127" s="216"/>
      <c r="DN127" s="313"/>
      <c r="DO127" s="249"/>
      <c r="DP127" s="216"/>
      <c r="DQ127" s="313"/>
      <c r="DR127" s="249"/>
      <c r="DS127" s="221"/>
      <c r="DT127" s="313"/>
      <c r="DU127" s="249"/>
      <c r="DV127" s="221"/>
      <c r="DW127" s="305"/>
      <c r="DX127" s="249"/>
      <c r="DY127" s="260"/>
      <c r="DZ127" s="350"/>
      <c r="EA127" s="249"/>
      <c r="EB127" s="221"/>
      <c r="EC127" s="313"/>
      <c r="ED127" s="249"/>
      <c r="EE127" s="221"/>
      <c r="EF127" s="313"/>
      <c r="EG127" s="249"/>
      <c r="EH127" s="221"/>
      <c r="EI127" s="313"/>
      <c r="EJ127" s="249"/>
      <c r="EK127" s="216"/>
      <c r="EL127" s="1435"/>
      <c r="EM127" s="1619"/>
      <c r="EN127" s="1268"/>
      <c r="EO127" s="1563"/>
      <c r="EP127" s="1268"/>
      <c r="EQ127" s="1563"/>
      <c r="ER127" s="1268"/>
      <c r="ES127" s="1563"/>
      <c r="ET127" s="1268"/>
      <c r="EU127" s="1682"/>
      <c r="EV127" s="1683"/>
      <c r="EW127" s="1684"/>
      <c r="EX127" s="1685"/>
      <c r="EY127" s="1030"/>
      <c r="EZ127" s="349"/>
      <c r="FA127" s="395"/>
      <c r="FB127" s="223"/>
      <c r="FC127" s="1030"/>
      <c r="FD127" s="349"/>
      <c r="FE127" s="1031"/>
      <c r="FF127" s="358"/>
      <c r="FG127" s="256"/>
      <c r="FH127" s="256"/>
      <c r="FI127" s="256"/>
      <c r="FJ127" s="256"/>
      <c r="FK127" s="19"/>
      <c r="FL127" s="126"/>
      <c r="FM127" s="126"/>
      <c r="FN127" s="126"/>
      <c r="FO127" s="957"/>
      <c r="FQ127" s="358"/>
      <c r="FR127" s="1190"/>
      <c r="FS127" s="1190"/>
      <c r="FT127" s="64"/>
      <c r="FU127" s="2879"/>
      <c r="FV127" s="2880"/>
      <c r="FW127" s="2881"/>
    </row>
    <row r="128" spans="1:179">
      <c r="A128" s="1023"/>
      <c r="B128" s="1023"/>
      <c r="C128" s="1023"/>
      <c r="T128" s="1186"/>
      <c r="U128" s="233"/>
      <c r="V128" s="216"/>
      <c r="W128" s="218"/>
      <c r="X128" s="218"/>
      <c r="Y128" s="216"/>
      <c r="Z128" s="216"/>
      <c r="AA128" s="1024"/>
      <c r="AB128" s="252"/>
      <c r="AC128" s="252"/>
      <c r="AD128" s="253"/>
      <c r="AE128" s="252"/>
      <c r="AF128" s="252"/>
      <c r="AG128" s="252"/>
      <c r="AH128" s="252"/>
      <c r="AI128" s="252"/>
      <c r="AJ128" s="252"/>
      <c r="AK128" s="253"/>
      <c r="AL128" s="252"/>
      <c r="AM128" s="252"/>
      <c r="AN128" s="252"/>
      <c r="AO128" s="252"/>
      <c r="AP128" s="1192"/>
      <c r="AQ128" s="252"/>
      <c r="AR128" s="252"/>
      <c r="AS128" s="252"/>
      <c r="AT128" s="252"/>
      <c r="AU128" s="252"/>
      <c r="AV128" s="1025"/>
      <c r="AW128" s="359"/>
      <c r="AX128" s="217"/>
      <c r="AY128" s="305"/>
      <c r="AZ128" s="249"/>
      <c r="BA128" s="221"/>
      <c r="BB128" s="300"/>
      <c r="BC128" s="217"/>
      <c r="BD128" s="219"/>
      <c r="BE128" s="1263"/>
      <c r="BF128" s="249"/>
      <c r="BG128" s="252"/>
      <c r="BH128" s="1543"/>
      <c r="BI128" s="1544"/>
      <c r="BJ128" s="1543"/>
      <c r="BK128" s="1545"/>
      <c r="BL128" s="260"/>
      <c r="BM128" s="217"/>
      <c r="BN128" s="220"/>
      <c r="BO128" s="220"/>
      <c r="BP128" s="355"/>
      <c r="BQ128" s="217"/>
      <c r="BR128" s="1026"/>
      <c r="BS128" s="249"/>
      <c r="BT128" s="260"/>
      <c r="BU128" s="1026"/>
      <c r="BV128" s="249"/>
      <c r="BW128" s="260"/>
      <c r="BX128" s="1026"/>
      <c r="BY128" s="249"/>
      <c r="BZ128" s="260"/>
      <c r="CA128" s="1026"/>
      <c r="CB128" s="249"/>
      <c r="CC128" s="260"/>
      <c r="CD128" s="1026"/>
      <c r="CE128" s="1269"/>
      <c r="CF128" s="1270"/>
      <c r="CG128" s="1026"/>
      <c r="CH128" s="293"/>
      <c r="CI128" s="326"/>
      <c r="CJ128" s="1027"/>
      <c r="CK128" s="249"/>
      <c r="CL128" s="260"/>
      <c r="CM128" s="1028"/>
      <c r="CN128" s="249"/>
      <c r="CO128" s="216"/>
      <c r="CP128" s="1029"/>
      <c r="CQ128" s="249"/>
      <c r="CR128" s="216"/>
      <c r="CS128" s="1029"/>
      <c r="CT128" s="249"/>
      <c r="CU128" s="216"/>
      <c r="CV128" s="1027"/>
      <c r="CW128" s="394"/>
      <c r="CX128" s="347"/>
      <c r="CY128" s="1027"/>
      <c r="CZ128" s="249"/>
      <c r="DA128" s="216"/>
      <c r="DB128" s="1027" t="str">
        <f t="shared" si="21"/>
        <v/>
      </c>
      <c r="DC128" s="249"/>
      <c r="DD128" s="2519" t="str">
        <f t="shared" si="20"/>
        <v/>
      </c>
      <c r="DE128" s="1027"/>
      <c r="DF128" s="1556"/>
      <c r="DG128" s="1557"/>
      <c r="DH128" s="1027"/>
      <c r="DI128" s="1556"/>
      <c r="DJ128" s="1558"/>
      <c r="DK128" s="1027"/>
      <c r="DL128" s="249"/>
      <c r="DM128" s="216"/>
      <c r="DN128" s="313"/>
      <c r="DO128" s="249"/>
      <c r="DP128" s="216"/>
      <c r="DQ128" s="313"/>
      <c r="DR128" s="249"/>
      <c r="DS128" s="221"/>
      <c r="DT128" s="313"/>
      <c r="DU128" s="249"/>
      <c r="DV128" s="221"/>
      <c r="DW128" s="305"/>
      <c r="DX128" s="249"/>
      <c r="DY128" s="260"/>
      <c r="DZ128" s="350"/>
      <c r="EA128" s="249"/>
      <c r="EB128" s="221"/>
      <c r="EC128" s="313"/>
      <c r="ED128" s="249"/>
      <c r="EE128" s="221"/>
      <c r="EF128" s="313"/>
      <c r="EG128" s="249"/>
      <c r="EH128" s="221"/>
      <c r="EI128" s="313"/>
      <c r="EJ128" s="249"/>
      <c r="EK128" s="216"/>
      <c r="EL128" s="1435"/>
      <c r="EM128" s="1619"/>
      <c r="EN128" s="1268"/>
      <c r="EO128" s="1563"/>
      <c r="EP128" s="1268"/>
      <c r="EQ128" s="1563"/>
      <c r="ER128" s="1268"/>
      <c r="ES128" s="1563"/>
      <c r="ET128" s="1268"/>
      <c r="EU128" s="1682"/>
      <c r="EV128" s="1683"/>
      <c r="EW128" s="1684"/>
      <c r="EX128" s="1685"/>
      <c r="EY128" s="1030"/>
      <c r="EZ128" s="349"/>
      <c r="FA128" s="395"/>
      <c r="FB128" s="223"/>
      <c r="FC128" s="1030"/>
      <c r="FD128" s="349"/>
      <c r="FE128" s="1031"/>
      <c r="FF128" s="358"/>
      <c r="FG128" s="256"/>
      <c r="FH128" s="256"/>
      <c r="FI128" s="256"/>
      <c r="FJ128" s="256"/>
      <c r="FK128" s="19"/>
      <c r="FL128" s="126"/>
      <c r="FM128" s="126"/>
      <c r="FN128" s="126"/>
      <c r="FO128" s="957"/>
      <c r="FQ128" s="358"/>
      <c r="FR128" s="1190"/>
      <c r="FS128" s="1190"/>
      <c r="FT128" s="64"/>
      <c r="FU128" s="2879"/>
      <c r="FV128" s="2880"/>
      <c r="FW128" s="2881"/>
    </row>
    <row r="129" spans="1:179">
      <c r="A129" s="1023"/>
      <c r="B129" s="1023"/>
      <c r="C129" s="1023"/>
      <c r="T129" s="1186"/>
      <c r="U129" s="233"/>
      <c r="V129" s="216"/>
      <c r="W129" s="218"/>
      <c r="X129" s="218"/>
      <c r="Y129" s="216"/>
      <c r="Z129" s="216"/>
      <c r="AA129" s="1024"/>
      <c r="AB129" s="252"/>
      <c r="AC129" s="252"/>
      <c r="AD129" s="253"/>
      <c r="AE129" s="252"/>
      <c r="AF129" s="252"/>
      <c r="AG129" s="252"/>
      <c r="AH129" s="252"/>
      <c r="AI129" s="252"/>
      <c r="AJ129" s="252"/>
      <c r="AK129" s="253"/>
      <c r="AL129" s="252"/>
      <c r="AM129" s="252"/>
      <c r="AN129" s="252"/>
      <c r="AO129" s="252"/>
      <c r="AP129" s="1192"/>
      <c r="AQ129" s="252"/>
      <c r="AR129" s="252"/>
      <c r="AS129" s="252"/>
      <c r="AT129" s="252"/>
      <c r="AU129" s="252"/>
      <c r="AV129" s="1025"/>
      <c r="AW129" s="359"/>
      <c r="AX129" s="217"/>
      <c r="AY129" s="305"/>
      <c r="AZ129" s="249"/>
      <c r="BA129" s="221"/>
      <c r="BB129" s="300"/>
      <c r="BC129" s="217"/>
      <c r="BD129" s="219"/>
      <c r="BE129" s="1263"/>
      <c r="BF129" s="249"/>
      <c r="BG129" s="252"/>
      <c r="BH129" s="1543"/>
      <c r="BI129" s="1544"/>
      <c r="BJ129" s="1543"/>
      <c r="BK129" s="1545"/>
      <c r="BL129" s="260"/>
      <c r="BM129" s="217"/>
      <c r="BN129" s="220"/>
      <c r="BO129" s="220"/>
      <c r="BP129" s="355"/>
      <c r="BQ129" s="217"/>
      <c r="BR129" s="1026"/>
      <c r="BS129" s="249"/>
      <c r="BT129" s="260"/>
      <c r="BU129" s="1026"/>
      <c r="BV129" s="249"/>
      <c r="BW129" s="260"/>
      <c r="BX129" s="1026"/>
      <c r="BY129" s="249"/>
      <c r="BZ129" s="260"/>
      <c r="CA129" s="1026"/>
      <c r="CB129" s="249"/>
      <c r="CC129" s="260"/>
      <c r="CD129" s="1026"/>
      <c r="CE129" s="1269"/>
      <c r="CF129" s="1270"/>
      <c r="CG129" s="1026"/>
      <c r="CH129" s="293"/>
      <c r="CI129" s="326"/>
      <c r="CJ129" s="1027"/>
      <c r="CK129" s="249"/>
      <c r="CL129" s="260"/>
      <c r="CM129" s="1028"/>
      <c r="CN129" s="249"/>
      <c r="CO129" s="216"/>
      <c r="CP129" s="1029"/>
      <c r="CQ129" s="249"/>
      <c r="CR129" s="216"/>
      <c r="CS129" s="1029"/>
      <c r="CT129" s="249"/>
      <c r="CU129" s="216"/>
      <c r="CV129" s="1027"/>
      <c r="CW129" s="394"/>
      <c r="CX129" s="347"/>
      <c r="CY129" s="1027"/>
      <c r="CZ129" s="249"/>
      <c r="DA129" s="216"/>
      <c r="DB129" s="1027" t="str">
        <f t="shared" si="21"/>
        <v/>
      </c>
      <c r="DC129" s="249"/>
      <c r="DD129" s="2519" t="str">
        <f t="shared" si="20"/>
        <v/>
      </c>
      <c r="DE129" s="1027"/>
      <c r="DF129" s="1556"/>
      <c r="DG129" s="1557"/>
      <c r="DH129" s="1027"/>
      <c r="DI129" s="1556"/>
      <c r="DJ129" s="1558"/>
      <c r="DK129" s="1027"/>
      <c r="DL129" s="249"/>
      <c r="DM129" s="216"/>
      <c r="DN129" s="313"/>
      <c r="DO129" s="249"/>
      <c r="DP129" s="216"/>
      <c r="DQ129" s="313"/>
      <c r="DR129" s="249"/>
      <c r="DS129" s="221"/>
      <c r="DT129" s="313"/>
      <c r="DU129" s="249"/>
      <c r="DV129" s="221"/>
      <c r="DW129" s="305"/>
      <c r="DX129" s="249"/>
      <c r="DY129" s="260"/>
      <c r="DZ129" s="350"/>
      <c r="EA129" s="249"/>
      <c r="EB129" s="221"/>
      <c r="EC129" s="313"/>
      <c r="ED129" s="249"/>
      <c r="EE129" s="221"/>
      <c r="EF129" s="313"/>
      <c r="EG129" s="249"/>
      <c r="EH129" s="221"/>
      <c r="EI129" s="313"/>
      <c r="EJ129" s="249"/>
      <c r="EK129" s="216"/>
      <c r="EL129" s="1435"/>
      <c r="EM129" s="1619"/>
      <c r="EN129" s="1268"/>
      <c r="EO129" s="1563"/>
      <c r="EP129" s="1268"/>
      <c r="EQ129" s="1563"/>
      <c r="ER129" s="1268"/>
      <c r="ES129" s="1563"/>
      <c r="ET129" s="1268"/>
      <c r="EU129" s="1682"/>
      <c r="EV129" s="1683"/>
      <c r="EW129" s="1684"/>
      <c r="EX129" s="1685"/>
      <c r="EY129" s="1030"/>
      <c r="EZ129" s="349"/>
      <c r="FA129" s="395"/>
      <c r="FB129" s="223"/>
      <c r="FC129" s="1030"/>
      <c r="FD129" s="349"/>
      <c r="FE129" s="1031"/>
      <c r="FF129" s="358"/>
      <c r="FG129" s="256"/>
      <c r="FH129" s="256"/>
      <c r="FI129" s="256"/>
      <c r="FJ129" s="256"/>
      <c r="FK129" s="19"/>
      <c r="FL129" s="126"/>
      <c r="FM129" s="126"/>
      <c r="FN129" s="126"/>
      <c r="FO129" s="957"/>
      <c r="FQ129" s="358"/>
      <c r="FR129" s="1190"/>
      <c r="FS129" s="1190"/>
      <c r="FT129" s="64"/>
      <c r="FU129" s="2879"/>
      <c r="FV129" s="2880"/>
      <c r="FW129" s="2881"/>
    </row>
    <row r="130" spans="1:179">
      <c r="A130" s="1023"/>
      <c r="B130" s="1023"/>
      <c r="C130" s="1023"/>
      <c r="T130" s="1186"/>
      <c r="U130" s="233"/>
      <c r="V130" s="216"/>
      <c r="W130" s="218"/>
      <c r="X130" s="218"/>
      <c r="Y130" s="216"/>
      <c r="Z130" s="216"/>
      <c r="AA130" s="1024"/>
      <c r="AB130" s="252"/>
      <c r="AC130" s="252"/>
      <c r="AD130" s="253"/>
      <c r="AE130" s="252"/>
      <c r="AF130" s="252"/>
      <c r="AG130" s="252"/>
      <c r="AH130" s="252"/>
      <c r="AI130" s="252"/>
      <c r="AJ130" s="252"/>
      <c r="AK130" s="253"/>
      <c r="AL130" s="252"/>
      <c r="AM130" s="252"/>
      <c r="AN130" s="252"/>
      <c r="AO130" s="252"/>
      <c r="AP130" s="1192"/>
      <c r="AQ130" s="252"/>
      <c r="AR130" s="252"/>
      <c r="AS130" s="252"/>
      <c r="AT130" s="252"/>
      <c r="AU130" s="252"/>
      <c r="AV130" s="1025"/>
      <c r="AW130" s="359"/>
      <c r="AX130" s="217"/>
      <c r="AY130" s="305"/>
      <c r="AZ130" s="249"/>
      <c r="BA130" s="221"/>
      <c r="BB130" s="300"/>
      <c r="BC130" s="217"/>
      <c r="BD130" s="219"/>
      <c r="BE130" s="1263"/>
      <c r="BF130" s="249"/>
      <c r="BG130" s="252"/>
      <c r="BH130" s="1543"/>
      <c r="BI130" s="1544"/>
      <c r="BJ130" s="1543"/>
      <c r="BK130" s="1545"/>
      <c r="BL130" s="260"/>
      <c r="BM130" s="217"/>
      <c r="BN130" s="220"/>
      <c r="BO130" s="220"/>
      <c r="BP130" s="355"/>
      <c r="BQ130" s="217"/>
      <c r="BR130" s="1026"/>
      <c r="BS130" s="249"/>
      <c r="BT130" s="260"/>
      <c r="BU130" s="1026"/>
      <c r="BV130" s="249"/>
      <c r="BW130" s="260"/>
      <c r="BX130" s="1026"/>
      <c r="BY130" s="249"/>
      <c r="BZ130" s="260"/>
      <c r="CA130" s="1026"/>
      <c r="CB130" s="249"/>
      <c r="CC130" s="260"/>
      <c r="CD130" s="1026"/>
      <c r="CE130" s="1269"/>
      <c r="CF130" s="1270"/>
      <c r="CG130" s="1026"/>
      <c r="CH130" s="293"/>
      <c r="CI130" s="326"/>
      <c r="CJ130" s="1027"/>
      <c r="CK130" s="249"/>
      <c r="CL130" s="260"/>
      <c r="CM130" s="1028"/>
      <c r="CN130" s="249"/>
      <c r="CO130" s="216"/>
      <c r="CP130" s="1029"/>
      <c r="CQ130" s="249"/>
      <c r="CR130" s="216"/>
      <c r="CS130" s="1029"/>
      <c r="CT130" s="249"/>
      <c r="CU130" s="216"/>
      <c r="CV130" s="1027"/>
      <c r="CW130" s="394"/>
      <c r="CX130" s="347"/>
      <c r="CY130" s="1027"/>
      <c r="CZ130" s="249"/>
      <c r="DA130" s="216"/>
      <c r="DB130" s="1027" t="str">
        <f t="shared" si="21"/>
        <v/>
      </c>
      <c r="DC130" s="249"/>
      <c r="DD130" s="2519" t="str">
        <f t="shared" si="20"/>
        <v/>
      </c>
      <c r="DE130" s="1027"/>
      <c r="DF130" s="1556"/>
      <c r="DG130" s="1557"/>
      <c r="DH130" s="1027"/>
      <c r="DI130" s="1556"/>
      <c r="DJ130" s="1558"/>
      <c r="DK130" s="1027"/>
      <c r="DL130" s="249"/>
      <c r="DM130" s="216"/>
      <c r="DN130" s="313"/>
      <c r="DO130" s="249"/>
      <c r="DP130" s="216"/>
      <c r="DQ130" s="313"/>
      <c r="DR130" s="249"/>
      <c r="DS130" s="221"/>
      <c r="DT130" s="313"/>
      <c r="DU130" s="249"/>
      <c r="DV130" s="221"/>
      <c r="DW130" s="305"/>
      <c r="DX130" s="249"/>
      <c r="DY130" s="260"/>
      <c r="DZ130" s="350"/>
      <c r="EA130" s="249"/>
      <c r="EB130" s="221"/>
      <c r="EC130" s="313"/>
      <c r="ED130" s="249"/>
      <c r="EE130" s="221"/>
      <c r="EF130" s="313"/>
      <c r="EG130" s="249"/>
      <c r="EH130" s="221"/>
      <c r="EI130" s="313"/>
      <c r="EJ130" s="249"/>
      <c r="EK130" s="216"/>
      <c r="EL130" s="1435"/>
      <c r="EM130" s="1619"/>
      <c r="EN130" s="1268"/>
      <c r="EO130" s="1563"/>
      <c r="EP130" s="1268"/>
      <c r="EQ130" s="1563"/>
      <c r="ER130" s="1268"/>
      <c r="ES130" s="1563"/>
      <c r="ET130" s="1268"/>
      <c r="EU130" s="1682"/>
      <c r="EV130" s="1683"/>
      <c r="EW130" s="1684"/>
      <c r="EX130" s="1685"/>
      <c r="EY130" s="1030"/>
      <c r="EZ130" s="349"/>
      <c r="FA130" s="395"/>
      <c r="FB130" s="223"/>
      <c r="FC130" s="1030"/>
      <c r="FD130" s="349"/>
      <c r="FE130" s="1031"/>
      <c r="FF130" s="358"/>
      <c r="FG130" s="256"/>
      <c r="FH130" s="256"/>
      <c r="FI130" s="256"/>
      <c r="FJ130" s="256"/>
      <c r="FK130" s="19"/>
      <c r="FL130" s="126"/>
      <c r="FM130" s="126"/>
      <c r="FN130" s="126"/>
      <c r="FO130" s="957"/>
      <c r="FQ130" s="358"/>
      <c r="FR130" s="1190"/>
      <c r="FS130" s="1190"/>
      <c r="FT130" s="64"/>
      <c r="FU130" s="2879"/>
      <c r="FV130" s="2880"/>
      <c r="FW130" s="2881"/>
    </row>
    <row r="131" spans="1:179">
      <c r="A131" s="1023"/>
      <c r="B131" s="1023"/>
      <c r="C131" s="1023"/>
      <c r="T131" s="1186"/>
      <c r="U131" s="233"/>
      <c r="V131" s="216"/>
      <c r="W131" s="218"/>
      <c r="X131" s="218"/>
      <c r="Y131" s="216"/>
      <c r="Z131" s="216"/>
      <c r="AA131" s="1024"/>
      <c r="AB131" s="252"/>
      <c r="AC131" s="252"/>
      <c r="AD131" s="253"/>
      <c r="AE131" s="252"/>
      <c r="AF131" s="252"/>
      <c r="AG131" s="252"/>
      <c r="AH131" s="252"/>
      <c r="AI131" s="252"/>
      <c r="AJ131" s="252"/>
      <c r="AK131" s="253"/>
      <c r="AL131" s="252"/>
      <c r="AM131" s="252"/>
      <c r="AN131" s="252"/>
      <c r="AO131" s="252"/>
      <c r="AP131" s="1192"/>
      <c r="AQ131" s="252"/>
      <c r="AR131" s="252"/>
      <c r="AS131" s="252"/>
      <c r="AT131" s="252"/>
      <c r="AU131" s="252"/>
      <c r="AV131" s="1025"/>
      <c r="AW131" s="359"/>
      <c r="AX131" s="217"/>
      <c r="AY131" s="305"/>
      <c r="AZ131" s="249"/>
      <c r="BA131" s="221"/>
      <c r="BB131" s="300"/>
      <c r="BC131" s="217"/>
      <c r="BD131" s="219"/>
      <c r="BE131" s="1263"/>
      <c r="BF131" s="249"/>
      <c r="BG131" s="252"/>
      <c r="BH131" s="1543"/>
      <c r="BI131" s="1544"/>
      <c r="BJ131" s="1543"/>
      <c r="BK131" s="1545"/>
      <c r="BL131" s="260"/>
      <c r="BM131" s="217"/>
      <c r="BN131" s="220"/>
      <c r="BO131" s="220"/>
      <c r="BP131" s="355"/>
      <c r="BQ131" s="217"/>
      <c r="BR131" s="1026"/>
      <c r="BS131" s="249"/>
      <c r="BT131" s="260"/>
      <c r="BU131" s="1026"/>
      <c r="BV131" s="249"/>
      <c r="BW131" s="260"/>
      <c r="BX131" s="1026"/>
      <c r="BY131" s="249"/>
      <c r="BZ131" s="260"/>
      <c r="CA131" s="1026"/>
      <c r="CB131" s="249"/>
      <c r="CC131" s="260"/>
      <c r="CD131" s="1026"/>
      <c r="CE131" s="1269"/>
      <c r="CF131" s="1270"/>
      <c r="CG131" s="1026"/>
      <c r="CH131" s="293"/>
      <c r="CI131" s="326"/>
      <c r="CJ131" s="1027"/>
      <c r="CK131" s="249"/>
      <c r="CL131" s="260"/>
      <c r="CM131" s="1028"/>
      <c r="CN131" s="249"/>
      <c r="CO131" s="216"/>
      <c r="CP131" s="1029"/>
      <c r="CQ131" s="249"/>
      <c r="CR131" s="216"/>
      <c r="CS131" s="1029"/>
      <c r="CT131" s="249"/>
      <c r="CU131" s="216"/>
      <c r="CV131" s="1027"/>
      <c r="CW131" s="394"/>
      <c r="CX131" s="347"/>
      <c r="CY131" s="1027"/>
      <c r="CZ131" s="249"/>
      <c r="DA131" s="216"/>
      <c r="DB131" s="1027" t="str">
        <f t="shared" si="21"/>
        <v/>
      </c>
      <c r="DC131" s="249"/>
      <c r="DD131" s="2519" t="str">
        <f t="shared" si="20"/>
        <v/>
      </c>
      <c r="DE131" s="1027"/>
      <c r="DF131" s="1556"/>
      <c r="DG131" s="1557"/>
      <c r="DH131" s="1027"/>
      <c r="DI131" s="1556"/>
      <c r="DJ131" s="1558"/>
      <c r="DK131" s="1027"/>
      <c r="DL131" s="249"/>
      <c r="DM131" s="216"/>
      <c r="DN131" s="313"/>
      <c r="DO131" s="249"/>
      <c r="DP131" s="216"/>
      <c r="DQ131" s="313"/>
      <c r="DR131" s="249"/>
      <c r="DS131" s="221"/>
      <c r="DT131" s="313"/>
      <c r="DU131" s="249"/>
      <c r="DV131" s="221"/>
      <c r="DW131" s="305"/>
      <c r="DX131" s="249"/>
      <c r="DY131" s="260"/>
      <c r="DZ131" s="350"/>
      <c r="EA131" s="249"/>
      <c r="EB131" s="221"/>
      <c r="EC131" s="313"/>
      <c r="ED131" s="249"/>
      <c r="EE131" s="221"/>
      <c r="EF131" s="313"/>
      <c r="EG131" s="249"/>
      <c r="EH131" s="221"/>
      <c r="EI131" s="313"/>
      <c r="EJ131" s="249"/>
      <c r="EK131" s="216"/>
      <c r="EL131" s="1435"/>
      <c r="EM131" s="1619"/>
      <c r="EN131" s="1268"/>
      <c r="EO131" s="1563"/>
      <c r="EP131" s="1268"/>
      <c r="EQ131" s="1563"/>
      <c r="ER131" s="1268"/>
      <c r="ES131" s="1563"/>
      <c r="ET131" s="1268"/>
      <c r="EU131" s="1682"/>
      <c r="EV131" s="1683"/>
      <c r="EW131" s="1684"/>
      <c r="EX131" s="1685"/>
      <c r="EY131" s="1030"/>
      <c r="EZ131" s="349"/>
      <c r="FA131" s="395"/>
      <c r="FB131" s="223"/>
      <c r="FC131" s="1030"/>
      <c r="FD131" s="349"/>
      <c r="FE131" s="1031"/>
      <c r="FF131" s="358"/>
      <c r="FG131" s="256"/>
      <c r="FH131" s="256"/>
      <c r="FI131" s="256"/>
      <c r="FJ131" s="256"/>
      <c r="FK131" s="19"/>
      <c r="FL131" s="126"/>
      <c r="FM131" s="126"/>
      <c r="FN131" s="126"/>
      <c r="FO131" s="957"/>
      <c r="FQ131" s="358"/>
      <c r="FR131" s="1190"/>
      <c r="FS131" s="1190"/>
      <c r="FT131" s="64"/>
      <c r="FU131" s="2879"/>
      <c r="FV131" s="2880"/>
      <c r="FW131" s="2881"/>
    </row>
    <row r="132" spans="1:179">
      <c r="A132" s="1023"/>
      <c r="B132" s="1023"/>
      <c r="C132" s="1023"/>
      <c r="T132" s="1186"/>
      <c r="U132" s="233"/>
      <c r="V132" s="216"/>
      <c r="W132" s="218"/>
      <c r="X132" s="218"/>
      <c r="Y132" s="216"/>
      <c r="Z132" s="216"/>
      <c r="AA132" s="1024"/>
      <c r="AB132" s="252"/>
      <c r="AC132" s="252"/>
      <c r="AD132" s="253"/>
      <c r="AE132" s="252"/>
      <c r="AF132" s="252"/>
      <c r="AG132" s="252"/>
      <c r="AH132" s="252"/>
      <c r="AI132" s="252"/>
      <c r="AJ132" s="252"/>
      <c r="AK132" s="253"/>
      <c r="AL132" s="252"/>
      <c r="AM132" s="252"/>
      <c r="AN132" s="252"/>
      <c r="AO132" s="252"/>
      <c r="AP132" s="1192"/>
      <c r="AQ132" s="252"/>
      <c r="AR132" s="252"/>
      <c r="AS132" s="252"/>
      <c r="AT132" s="252"/>
      <c r="AU132" s="252"/>
      <c r="AV132" s="1025"/>
      <c r="AW132" s="359"/>
      <c r="AX132" s="217"/>
      <c r="AY132" s="305"/>
      <c r="AZ132" s="249"/>
      <c r="BA132" s="221"/>
      <c r="BB132" s="300"/>
      <c r="BC132" s="217"/>
      <c r="BD132" s="219"/>
      <c r="BE132" s="1263"/>
      <c r="BF132" s="249"/>
      <c r="BG132" s="252"/>
      <c r="BH132" s="1543"/>
      <c r="BI132" s="1544"/>
      <c r="BJ132" s="1543"/>
      <c r="BK132" s="1545"/>
      <c r="BL132" s="260"/>
      <c r="BM132" s="217"/>
      <c r="BN132" s="220"/>
      <c r="BO132" s="220"/>
      <c r="BP132" s="355"/>
      <c r="BQ132" s="217"/>
      <c r="BR132" s="1026"/>
      <c r="BS132" s="249"/>
      <c r="BT132" s="260"/>
      <c r="BU132" s="1026"/>
      <c r="BV132" s="249"/>
      <c r="BW132" s="260"/>
      <c r="BX132" s="1026"/>
      <c r="BY132" s="249"/>
      <c r="BZ132" s="260"/>
      <c r="CA132" s="1026"/>
      <c r="CB132" s="249"/>
      <c r="CC132" s="260"/>
      <c r="CD132" s="1026"/>
      <c r="CE132" s="1269"/>
      <c r="CF132" s="1270"/>
      <c r="CG132" s="1026"/>
      <c r="CH132" s="293"/>
      <c r="CI132" s="326"/>
      <c r="CJ132" s="1027"/>
      <c r="CK132" s="249"/>
      <c r="CL132" s="260"/>
      <c r="CM132" s="1028"/>
      <c r="CN132" s="249"/>
      <c r="CO132" s="216"/>
      <c r="CP132" s="1029"/>
      <c r="CQ132" s="249"/>
      <c r="CR132" s="216"/>
      <c r="CS132" s="1029"/>
      <c r="CT132" s="249"/>
      <c r="CU132" s="216"/>
      <c r="CV132" s="1027"/>
      <c r="CW132" s="394"/>
      <c r="CX132" s="347"/>
      <c r="CY132" s="1027"/>
      <c r="CZ132" s="249"/>
      <c r="DA132" s="216"/>
      <c r="DB132" s="1027" t="str">
        <f t="shared" si="21"/>
        <v/>
      </c>
      <c r="DC132" s="249"/>
      <c r="DD132" s="2519" t="str">
        <f t="shared" si="20"/>
        <v/>
      </c>
      <c r="DE132" s="1027"/>
      <c r="DF132" s="1556"/>
      <c r="DG132" s="1557"/>
      <c r="DH132" s="1027"/>
      <c r="DI132" s="1556"/>
      <c r="DJ132" s="1558"/>
      <c r="DK132" s="1027"/>
      <c r="DL132" s="249"/>
      <c r="DM132" s="216"/>
      <c r="DN132" s="313"/>
      <c r="DO132" s="249"/>
      <c r="DP132" s="216"/>
      <c r="DQ132" s="313"/>
      <c r="DR132" s="249"/>
      <c r="DS132" s="221"/>
      <c r="DT132" s="313"/>
      <c r="DU132" s="249"/>
      <c r="DV132" s="221"/>
      <c r="DW132" s="305"/>
      <c r="DX132" s="249"/>
      <c r="DY132" s="260"/>
      <c r="DZ132" s="350"/>
      <c r="EA132" s="249"/>
      <c r="EB132" s="221"/>
      <c r="EC132" s="313"/>
      <c r="ED132" s="249"/>
      <c r="EE132" s="221"/>
      <c r="EF132" s="313"/>
      <c r="EG132" s="249"/>
      <c r="EH132" s="221"/>
      <c r="EI132" s="313"/>
      <c r="EJ132" s="249"/>
      <c r="EK132" s="216"/>
      <c r="EL132" s="1435"/>
      <c r="EM132" s="1619"/>
      <c r="EN132" s="1268"/>
      <c r="EO132" s="1563"/>
      <c r="EP132" s="1268"/>
      <c r="EQ132" s="1563"/>
      <c r="ER132" s="1268"/>
      <c r="ES132" s="1563"/>
      <c r="ET132" s="1268"/>
      <c r="EU132" s="1682"/>
      <c r="EV132" s="1683"/>
      <c r="EW132" s="1684"/>
      <c r="EX132" s="1685"/>
      <c r="EY132" s="1030"/>
      <c r="EZ132" s="349"/>
      <c r="FA132" s="395"/>
      <c r="FB132" s="223"/>
      <c r="FC132" s="1030"/>
      <c r="FD132" s="349"/>
      <c r="FE132" s="1031"/>
      <c r="FF132" s="358"/>
      <c r="FG132" s="256"/>
      <c r="FH132" s="256"/>
      <c r="FI132" s="256"/>
      <c r="FJ132" s="256"/>
      <c r="FK132" s="19"/>
      <c r="FL132" s="126"/>
      <c r="FM132" s="126"/>
      <c r="FN132" s="126"/>
      <c r="FO132" s="957"/>
      <c r="FQ132" s="358"/>
      <c r="FR132" s="1190"/>
      <c r="FS132" s="1190"/>
      <c r="FT132" s="64"/>
      <c r="FU132" s="2879"/>
      <c r="FV132" s="2880"/>
      <c r="FW132" s="2881"/>
    </row>
    <row r="133" spans="1:179">
      <c r="A133" s="1023"/>
      <c r="B133" s="1023"/>
      <c r="C133" s="1023"/>
      <c r="T133" s="1186"/>
      <c r="U133" s="233"/>
      <c r="V133" s="216"/>
      <c r="W133" s="218"/>
      <c r="X133" s="218"/>
      <c r="Y133" s="216"/>
      <c r="Z133" s="216"/>
      <c r="AA133" s="1024"/>
      <c r="AB133" s="252"/>
      <c r="AC133" s="252"/>
      <c r="AD133" s="253"/>
      <c r="AE133" s="252"/>
      <c r="AF133" s="252"/>
      <c r="AG133" s="252"/>
      <c r="AH133" s="252"/>
      <c r="AI133" s="252"/>
      <c r="AJ133" s="252"/>
      <c r="AK133" s="253"/>
      <c r="AL133" s="252"/>
      <c r="AM133" s="252"/>
      <c r="AN133" s="252"/>
      <c r="AO133" s="252"/>
      <c r="AP133" s="1192"/>
      <c r="AQ133" s="252"/>
      <c r="AR133" s="252"/>
      <c r="AS133" s="252"/>
      <c r="AT133" s="252"/>
      <c r="AU133" s="252"/>
      <c r="AV133" s="1025"/>
      <c r="AW133" s="359"/>
      <c r="AX133" s="217"/>
      <c r="AY133" s="305"/>
      <c r="AZ133" s="249"/>
      <c r="BA133" s="221"/>
      <c r="BB133" s="300"/>
      <c r="BC133" s="217"/>
      <c r="BD133" s="219"/>
      <c r="BE133" s="1263"/>
      <c r="BF133" s="249"/>
      <c r="BG133" s="252"/>
      <c r="BH133" s="1543"/>
      <c r="BI133" s="1544"/>
      <c r="BJ133" s="1543"/>
      <c r="BK133" s="1545"/>
      <c r="BL133" s="260"/>
      <c r="BM133" s="217"/>
      <c r="BN133" s="220"/>
      <c r="BO133" s="220"/>
      <c r="BP133" s="355"/>
      <c r="BQ133" s="217"/>
      <c r="BR133" s="1026"/>
      <c r="BS133" s="249"/>
      <c r="BT133" s="260"/>
      <c r="BU133" s="1026"/>
      <c r="BV133" s="249"/>
      <c r="BW133" s="260"/>
      <c r="BX133" s="1026"/>
      <c r="BY133" s="249"/>
      <c r="BZ133" s="260"/>
      <c r="CA133" s="1026"/>
      <c r="CB133" s="249"/>
      <c r="CC133" s="260"/>
      <c r="CD133" s="1026"/>
      <c r="CE133" s="1269"/>
      <c r="CF133" s="1270"/>
      <c r="CG133" s="1026"/>
      <c r="CH133" s="293"/>
      <c r="CI133" s="326"/>
      <c r="CJ133" s="1027"/>
      <c r="CK133" s="249"/>
      <c r="CL133" s="260"/>
      <c r="CM133" s="1028"/>
      <c r="CN133" s="249"/>
      <c r="CO133" s="216"/>
      <c r="CP133" s="1029"/>
      <c r="CQ133" s="249"/>
      <c r="CR133" s="216"/>
      <c r="CS133" s="1029"/>
      <c r="CT133" s="249"/>
      <c r="CU133" s="216"/>
      <c r="CV133" s="1027"/>
      <c r="CW133" s="394"/>
      <c r="CX133" s="347"/>
      <c r="CY133" s="1027"/>
      <c r="CZ133" s="249"/>
      <c r="DA133" s="216"/>
      <c r="DB133" s="1027" t="str">
        <f t="shared" si="21"/>
        <v/>
      </c>
      <c r="DC133" s="249"/>
      <c r="DD133" s="2519" t="str">
        <f t="shared" si="20"/>
        <v/>
      </c>
      <c r="DE133" s="1027"/>
      <c r="DF133" s="1556"/>
      <c r="DG133" s="1557"/>
      <c r="DH133" s="1027"/>
      <c r="DI133" s="1556"/>
      <c r="DJ133" s="1558"/>
      <c r="DK133" s="1027"/>
      <c r="DL133" s="249"/>
      <c r="DM133" s="216"/>
      <c r="DN133" s="313"/>
      <c r="DO133" s="249"/>
      <c r="DP133" s="216"/>
      <c r="DQ133" s="313"/>
      <c r="DR133" s="249"/>
      <c r="DS133" s="221"/>
      <c r="DT133" s="313"/>
      <c r="DU133" s="249"/>
      <c r="DV133" s="221"/>
      <c r="DW133" s="305"/>
      <c r="DX133" s="249"/>
      <c r="DY133" s="260"/>
      <c r="DZ133" s="350"/>
      <c r="EA133" s="249"/>
      <c r="EB133" s="221"/>
      <c r="EC133" s="313"/>
      <c r="ED133" s="249"/>
      <c r="EE133" s="221"/>
      <c r="EF133" s="313"/>
      <c r="EG133" s="249"/>
      <c r="EH133" s="221"/>
      <c r="EI133" s="313"/>
      <c r="EJ133" s="249"/>
      <c r="EK133" s="216"/>
      <c r="EL133" s="1435"/>
      <c r="EM133" s="1619"/>
      <c r="EN133" s="1268"/>
      <c r="EO133" s="1563"/>
      <c r="EP133" s="1268"/>
      <c r="EQ133" s="1563"/>
      <c r="ER133" s="1268"/>
      <c r="ES133" s="1563"/>
      <c r="ET133" s="1268"/>
      <c r="EU133" s="1682"/>
      <c r="EV133" s="1683"/>
      <c r="EW133" s="1684"/>
      <c r="EX133" s="1685"/>
      <c r="EY133" s="1030"/>
      <c r="EZ133" s="349"/>
      <c r="FA133" s="395"/>
      <c r="FB133" s="223"/>
      <c r="FC133" s="1030"/>
      <c r="FD133" s="349"/>
      <c r="FE133" s="1031"/>
      <c r="FF133" s="358"/>
      <c r="FG133" s="256"/>
      <c r="FH133" s="256"/>
      <c r="FI133" s="256"/>
      <c r="FJ133" s="256"/>
      <c r="FK133" s="19"/>
      <c r="FL133" s="126"/>
      <c r="FM133" s="126"/>
      <c r="FN133" s="126"/>
      <c r="FO133" s="957"/>
      <c r="FQ133" s="358"/>
      <c r="FR133" s="1190"/>
      <c r="FS133" s="1190"/>
      <c r="FT133" s="64"/>
      <c r="FU133" s="2879"/>
      <c r="FV133" s="2880"/>
      <c r="FW133" s="2881"/>
    </row>
    <row r="134" spans="1:179">
      <c r="A134" s="1023"/>
      <c r="B134" s="1023"/>
      <c r="C134" s="1023"/>
      <c r="T134" s="1186"/>
      <c r="U134" s="233"/>
      <c r="V134" s="216"/>
      <c r="W134" s="218"/>
      <c r="X134" s="218"/>
      <c r="Y134" s="216"/>
      <c r="Z134" s="216"/>
      <c r="AA134" s="1024"/>
      <c r="AB134" s="252"/>
      <c r="AC134" s="252"/>
      <c r="AD134" s="253"/>
      <c r="AE134" s="252"/>
      <c r="AF134" s="252"/>
      <c r="AG134" s="252"/>
      <c r="AH134" s="252"/>
      <c r="AI134" s="252"/>
      <c r="AJ134" s="252"/>
      <c r="AK134" s="253"/>
      <c r="AL134" s="252"/>
      <c r="AM134" s="252"/>
      <c r="AN134" s="252"/>
      <c r="AO134" s="252"/>
      <c r="AP134" s="1192"/>
      <c r="AQ134" s="252"/>
      <c r="AR134" s="252"/>
      <c r="AS134" s="252"/>
      <c r="AT134" s="252"/>
      <c r="AU134" s="252"/>
      <c r="AV134" s="1025"/>
      <c r="AW134" s="359"/>
      <c r="AX134" s="217"/>
      <c r="AY134" s="305"/>
      <c r="AZ134" s="249"/>
      <c r="BA134" s="221"/>
      <c r="BB134" s="300"/>
      <c r="BC134" s="217"/>
      <c r="BD134" s="219"/>
      <c r="BE134" s="1263"/>
      <c r="BF134" s="249"/>
      <c r="BG134" s="252"/>
      <c r="BH134" s="1543"/>
      <c r="BI134" s="1544"/>
      <c r="BJ134" s="1543"/>
      <c r="BK134" s="1545"/>
      <c r="BL134" s="260"/>
      <c r="BM134" s="217"/>
      <c r="BN134" s="220"/>
      <c r="BO134" s="220"/>
      <c r="BP134" s="355"/>
      <c r="BQ134" s="217"/>
      <c r="BR134" s="1026"/>
      <c r="BS134" s="249"/>
      <c r="BT134" s="260"/>
      <c r="BU134" s="1026"/>
      <c r="BV134" s="249"/>
      <c r="BW134" s="260"/>
      <c r="BX134" s="1026"/>
      <c r="BY134" s="249"/>
      <c r="BZ134" s="260"/>
      <c r="CA134" s="1026"/>
      <c r="CB134" s="249"/>
      <c r="CC134" s="260"/>
      <c r="CD134" s="1026"/>
      <c r="CE134" s="1269"/>
      <c r="CF134" s="1270"/>
      <c r="CG134" s="1026"/>
      <c r="CH134" s="293"/>
      <c r="CI134" s="326"/>
      <c r="CJ134" s="1027"/>
      <c r="CK134" s="249"/>
      <c r="CL134" s="260"/>
      <c r="CM134" s="1028"/>
      <c r="CN134" s="249"/>
      <c r="CO134" s="216"/>
      <c r="CP134" s="1029"/>
      <c r="CQ134" s="249"/>
      <c r="CR134" s="216"/>
      <c r="CS134" s="1029"/>
      <c r="CT134" s="249"/>
      <c r="CU134" s="216"/>
      <c r="CV134" s="1027"/>
      <c r="CW134" s="394"/>
      <c r="CX134" s="347"/>
      <c r="CY134" s="1027"/>
      <c r="CZ134" s="249"/>
      <c r="DA134" s="216"/>
      <c r="DB134" s="1027" t="str">
        <f t="shared" si="21"/>
        <v/>
      </c>
      <c r="DC134" s="249"/>
      <c r="DD134" s="2519" t="str">
        <f t="shared" si="20"/>
        <v/>
      </c>
      <c r="DE134" s="1027"/>
      <c r="DF134" s="1556"/>
      <c r="DG134" s="1557"/>
      <c r="DH134" s="1027"/>
      <c r="DI134" s="1556"/>
      <c r="DJ134" s="1558"/>
      <c r="DK134" s="1027"/>
      <c r="DL134" s="249"/>
      <c r="DM134" s="216"/>
      <c r="DN134" s="313"/>
      <c r="DO134" s="249"/>
      <c r="DP134" s="216"/>
      <c r="DQ134" s="313"/>
      <c r="DR134" s="249"/>
      <c r="DS134" s="221"/>
      <c r="DT134" s="313"/>
      <c r="DU134" s="249"/>
      <c r="DV134" s="221"/>
      <c r="DW134" s="305"/>
      <c r="DX134" s="249"/>
      <c r="DY134" s="260"/>
      <c r="DZ134" s="350"/>
      <c r="EA134" s="249"/>
      <c r="EB134" s="221"/>
      <c r="EC134" s="313"/>
      <c r="ED134" s="249"/>
      <c r="EE134" s="221"/>
      <c r="EF134" s="313"/>
      <c r="EG134" s="249"/>
      <c r="EH134" s="221"/>
      <c r="EI134" s="313"/>
      <c r="EJ134" s="249"/>
      <c r="EK134" s="216"/>
      <c r="EL134" s="1435"/>
      <c r="EM134" s="1619"/>
      <c r="EN134" s="1268"/>
      <c r="EO134" s="1563"/>
      <c r="EP134" s="1268"/>
      <c r="EQ134" s="1563"/>
      <c r="ER134" s="1268"/>
      <c r="ES134" s="1563"/>
      <c r="ET134" s="1268"/>
      <c r="EU134" s="1682"/>
      <c r="EV134" s="1683"/>
      <c r="EW134" s="1684"/>
      <c r="EX134" s="1685"/>
      <c r="EY134" s="1030"/>
      <c r="EZ134" s="349"/>
      <c r="FA134" s="395"/>
      <c r="FB134" s="223"/>
      <c r="FC134" s="1030"/>
      <c r="FD134" s="349"/>
      <c r="FE134" s="1031"/>
      <c r="FF134" s="358"/>
      <c r="FG134" s="256"/>
      <c r="FH134" s="256"/>
      <c r="FI134" s="256"/>
      <c r="FJ134" s="256"/>
      <c r="FK134" s="19"/>
      <c r="FL134" s="126"/>
      <c r="FM134" s="126"/>
      <c r="FN134" s="126"/>
      <c r="FO134" s="957"/>
      <c r="FQ134" s="358"/>
      <c r="FR134" s="1190"/>
      <c r="FS134" s="1190"/>
      <c r="FT134" s="64"/>
      <c r="FU134" s="2879"/>
      <c r="FV134" s="2880"/>
      <c r="FW134" s="2881"/>
    </row>
    <row r="135" spans="1:179">
      <c r="A135" s="1023"/>
      <c r="B135" s="1023"/>
      <c r="C135" s="1023"/>
      <c r="T135" s="1186"/>
      <c r="U135" s="233"/>
      <c r="V135" s="216"/>
      <c r="W135" s="218"/>
      <c r="X135" s="218"/>
      <c r="Y135" s="216"/>
      <c r="Z135" s="216"/>
      <c r="AA135" s="1024"/>
      <c r="AB135" s="252"/>
      <c r="AC135" s="252"/>
      <c r="AD135" s="253"/>
      <c r="AE135" s="252"/>
      <c r="AF135" s="252"/>
      <c r="AG135" s="252"/>
      <c r="AH135" s="252"/>
      <c r="AI135" s="252"/>
      <c r="AJ135" s="252"/>
      <c r="AK135" s="253"/>
      <c r="AL135" s="252"/>
      <c r="AM135" s="252"/>
      <c r="AN135" s="252"/>
      <c r="AO135" s="252"/>
      <c r="AP135" s="1192"/>
      <c r="AQ135" s="252"/>
      <c r="AR135" s="252"/>
      <c r="AS135" s="252"/>
      <c r="AT135" s="252"/>
      <c r="AU135" s="252"/>
      <c r="AV135" s="1025"/>
      <c r="AW135" s="359"/>
      <c r="AX135" s="217"/>
      <c r="AY135" s="305"/>
      <c r="AZ135" s="249"/>
      <c r="BA135" s="221"/>
      <c r="BB135" s="300"/>
      <c r="BC135" s="217"/>
      <c r="BD135" s="219"/>
      <c r="BE135" s="1263"/>
      <c r="BF135" s="249"/>
      <c r="BG135" s="252"/>
      <c r="BH135" s="1543"/>
      <c r="BI135" s="1544"/>
      <c r="BJ135" s="1543"/>
      <c r="BK135" s="1545"/>
      <c r="BL135" s="260"/>
      <c r="BM135" s="217"/>
      <c r="BN135" s="220"/>
      <c r="BO135" s="220"/>
      <c r="BP135" s="355"/>
      <c r="BQ135" s="217"/>
      <c r="BR135" s="1026"/>
      <c r="BS135" s="249"/>
      <c r="BT135" s="260"/>
      <c r="BU135" s="1026"/>
      <c r="BV135" s="249"/>
      <c r="BW135" s="260"/>
      <c r="BX135" s="1026"/>
      <c r="BY135" s="249"/>
      <c r="BZ135" s="260"/>
      <c r="CA135" s="1026"/>
      <c r="CB135" s="249"/>
      <c r="CC135" s="260"/>
      <c r="CD135" s="1026"/>
      <c r="CE135" s="1269"/>
      <c r="CF135" s="1270"/>
      <c r="CG135" s="1026"/>
      <c r="CH135" s="293"/>
      <c r="CI135" s="326"/>
      <c r="CJ135" s="1027"/>
      <c r="CK135" s="249"/>
      <c r="CL135" s="260"/>
      <c r="CM135" s="1028"/>
      <c r="CN135" s="249"/>
      <c r="CO135" s="216"/>
      <c r="CP135" s="1029"/>
      <c r="CQ135" s="249"/>
      <c r="CR135" s="216"/>
      <c r="CS135" s="1029"/>
      <c r="CT135" s="249"/>
      <c r="CU135" s="216"/>
      <c r="CV135" s="1027"/>
      <c r="CW135" s="394"/>
      <c r="CX135" s="347"/>
      <c r="CY135" s="1027"/>
      <c r="CZ135" s="249"/>
      <c r="DA135" s="216"/>
      <c r="DB135" s="1027" t="str">
        <f t="shared" si="21"/>
        <v/>
      </c>
      <c r="DC135" s="249"/>
      <c r="DD135" s="2519" t="str">
        <f t="shared" si="20"/>
        <v/>
      </c>
      <c r="DE135" s="1027"/>
      <c r="DF135" s="1556"/>
      <c r="DG135" s="1557"/>
      <c r="DH135" s="1027"/>
      <c r="DI135" s="1556"/>
      <c r="DJ135" s="1558"/>
      <c r="DK135" s="1027"/>
      <c r="DL135" s="249"/>
      <c r="DM135" s="216"/>
      <c r="DN135" s="313"/>
      <c r="DO135" s="249"/>
      <c r="DP135" s="216"/>
      <c r="DQ135" s="313"/>
      <c r="DR135" s="249"/>
      <c r="DS135" s="221"/>
      <c r="DT135" s="313"/>
      <c r="DU135" s="249"/>
      <c r="DV135" s="221"/>
      <c r="DW135" s="305"/>
      <c r="DX135" s="249"/>
      <c r="DY135" s="260"/>
      <c r="DZ135" s="350"/>
      <c r="EA135" s="249"/>
      <c r="EB135" s="221"/>
      <c r="EC135" s="313"/>
      <c r="ED135" s="249"/>
      <c r="EE135" s="221"/>
      <c r="EF135" s="313"/>
      <c r="EG135" s="249"/>
      <c r="EH135" s="221"/>
      <c r="EI135" s="313"/>
      <c r="EJ135" s="249"/>
      <c r="EK135" s="216"/>
      <c r="EL135" s="1435"/>
      <c r="EM135" s="1619"/>
      <c r="EN135" s="1268"/>
      <c r="EO135" s="1563"/>
      <c r="EP135" s="1268"/>
      <c r="EQ135" s="1563"/>
      <c r="ER135" s="1268"/>
      <c r="ES135" s="1563"/>
      <c r="ET135" s="1268"/>
      <c r="EU135" s="1682"/>
      <c r="EV135" s="1683"/>
      <c r="EW135" s="1684"/>
      <c r="EX135" s="1685"/>
      <c r="EY135" s="1030"/>
      <c r="EZ135" s="349"/>
      <c r="FA135" s="395"/>
      <c r="FB135" s="223"/>
      <c r="FC135" s="1030"/>
      <c r="FD135" s="349"/>
      <c r="FE135" s="1031"/>
      <c r="FF135" s="358"/>
      <c r="FG135" s="256"/>
      <c r="FH135" s="256"/>
      <c r="FI135" s="256"/>
      <c r="FJ135" s="256"/>
      <c r="FK135" s="19"/>
      <c r="FL135" s="126"/>
      <c r="FM135" s="126"/>
      <c r="FN135" s="126"/>
      <c r="FO135" s="957"/>
      <c r="FQ135" s="358"/>
      <c r="FR135" s="1190"/>
      <c r="FS135" s="1190"/>
      <c r="FT135" s="64"/>
      <c r="FU135" s="2879"/>
      <c r="FV135" s="2880"/>
      <c r="FW135" s="2881"/>
    </row>
    <row r="136" spans="1:179">
      <c r="A136" s="1023"/>
      <c r="B136" s="1023"/>
      <c r="C136" s="1023"/>
      <c r="T136" s="1186"/>
      <c r="U136" s="233"/>
      <c r="V136" s="216"/>
      <c r="W136" s="218"/>
      <c r="X136" s="218"/>
      <c r="Y136" s="216"/>
      <c r="Z136" s="216"/>
      <c r="AA136" s="1024"/>
      <c r="AB136" s="252"/>
      <c r="AC136" s="252"/>
      <c r="AD136" s="253"/>
      <c r="AE136" s="252"/>
      <c r="AF136" s="252"/>
      <c r="AG136" s="252"/>
      <c r="AH136" s="252"/>
      <c r="AI136" s="252"/>
      <c r="AJ136" s="252"/>
      <c r="AK136" s="253"/>
      <c r="AL136" s="252"/>
      <c r="AM136" s="252"/>
      <c r="AN136" s="252"/>
      <c r="AO136" s="252"/>
      <c r="AP136" s="1192"/>
      <c r="AQ136" s="252"/>
      <c r="AR136" s="252"/>
      <c r="AS136" s="252"/>
      <c r="AT136" s="252"/>
      <c r="AU136" s="252"/>
      <c r="AV136" s="1025"/>
      <c r="AW136" s="359"/>
      <c r="AX136" s="217"/>
      <c r="AY136" s="305"/>
      <c r="AZ136" s="249"/>
      <c r="BA136" s="221"/>
      <c r="BB136" s="300"/>
      <c r="BC136" s="217"/>
      <c r="BD136" s="219"/>
      <c r="BE136" s="1263"/>
      <c r="BF136" s="249"/>
      <c r="BG136" s="252"/>
      <c r="BH136" s="1543"/>
      <c r="BI136" s="1544"/>
      <c r="BJ136" s="1543"/>
      <c r="BK136" s="1545"/>
      <c r="BL136" s="260"/>
      <c r="BM136" s="217"/>
      <c r="BN136" s="220"/>
      <c r="BO136" s="220"/>
      <c r="BP136" s="355"/>
      <c r="BQ136" s="217"/>
      <c r="BR136" s="1026"/>
      <c r="BS136" s="249"/>
      <c r="BT136" s="260"/>
      <c r="BU136" s="1026"/>
      <c r="BV136" s="249"/>
      <c r="BW136" s="260"/>
      <c r="BX136" s="1026"/>
      <c r="BY136" s="249"/>
      <c r="BZ136" s="260"/>
      <c r="CA136" s="1026"/>
      <c r="CB136" s="249"/>
      <c r="CC136" s="260"/>
      <c r="CD136" s="1026"/>
      <c r="CE136" s="1269"/>
      <c r="CF136" s="1270"/>
      <c r="CG136" s="1026"/>
      <c r="CH136" s="293"/>
      <c r="CI136" s="326"/>
      <c r="CJ136" s="1027"/>
      <c r="CK136" s="249"/>
      <c r="CL136" s="260"/>
      <c r="CM136" s="1028"/>
      <c r="CN136" s="249"/>
      <c r="CO136" s="216"/>
      <c r="CP136" s="1029"/>
      <c r="CQ136" s="249"/>
      <c r="CR136" s="216"/>
      <c r="CS136" s="1029"/>
      <c r="CT136" s="249"/>
      <c r="CU136" s="216"/>
      <c r="CV136" s="1027"/>
      <c r="CW136" s="394"/>
      <c r="CX136" s="347"/>
      <c r="CY136" s="1027"/>
      <c r="CZ136" s="249"/>
      <c r="DA136" s="216"/>
      <c r="DB136" s="1027" t="str">
        <f t="shared" si="21"/>
        <v/>
      </c>
      <c r="DC136" s="249"/>
      <c r="DD136" s="2519" t="str">
        <f t="shared" si="20"/>
        <v/>
      </c>
      <c r="DE136" s="1027"/>
      <c r="DF136" s="1556"/>
      <c r="DG136" s="1557"/>
      <c r="DH136" s="1027"/>
      <c r="DI136" s="1556"/>
      <c r="DJ136" s="1558"/>
      <c r="DK136" s="1027"/>
      <c r="DL136" s="249"/>
      <c r="DM136" s="216"/>
      <c r="DN136" s="313"/>
      <c r="DO136" s="249"/>
      <c r="DP136" s="216"/>
      <c r="DQ136" s="313"/>
      <c r="DR136" s="249"/>
      <c r="DS136" s="221"/>
      <c r="DT136" s="313"/>
      <c r="DU136" s="249"/>
      <c r="DV136" s="221"/>
      <c r="DW136" s="305"/>
      <c r="DX136" s="249"/>
      <c r="DY136" s="260"/>
      <c r="DZ136" s="350"/>
      <c r="EA136" s="249"/>
      <c r="EB136" s="221"/>
      <c r="EC136" s="313"/>
      <c r="ED136" s="249"/>
      <c r="EE136" s="221"/>
      <c r="EF136" s="313"/>
      <c r="EG136" s="249"/>
      <c r="EH136" s="221"/>
      <c r="EI136" s="313"/>
      <c r="EJ136" s="249"/>
      <c r="EK136" s="216"/>
      <c r="EL136" s="1435"/>
      <c r="EM136" s="1619"/>
      <c r="EN136" s="1268"/>
      <c r="EO136" s="1563"/>
      <c r="EP136" s="1268"/>
      <c r="EQ136" s="1563"/>
      <c r="ER136" s="1268"/>
      <c r="ES136" s="1563"/>
      <c r="ET136" s="1268"/>
      <c r="EU136" s="1682"/>
      <c r="EV136" s="1683"/>
      <c r="EW136" s="1684"/>
      <c r="EX136" s="1685"/>
      <c r="EY136" s="1030"/>
      <c r="EZ136" s="349"/>
      <c r="FA136" s="395"/>
      <c r="FB136" s="223"/>
      <c r="FC136" s="1030"/>
      <c r="FD136" s="349"/>
      <c r="FE136" s="1031"/>
      <c r="FF136" s="358"/>
      <c r="FG136" s="256"/>
      <c r="FH136" s="256"/>
      <c r="FI136" s="256"/>
      <c r="FJ136" s="256"/>
      <c r="FK136" s="19"/>
      <c r="FL136" s="126"/>
      <c r="FM136" s="126"/>
      <c r="FN136" s="126"/>
      <c r="FO136" s="957"/>
      <c r="FQ136" s="358"/>
      <c r="FR136" s="1190"/>
      <c r="FS136" s="1190"/>
      <c r="FT136" s="64"/>
      <c r="FU136" s="2879"/>
      <c r="FV136" s="2880"/>
      <c r="FW136" s="2881"/>
    </row>
    <row r="137" spans="1:179">
      <c r="A137" s="1023"/>
      <c r="B137" s="1023"/>
      <c r="C137" s="1023"/>
      <c r="T137" s="1186"/>
      <c r="U137" s="233"/>
      <c r="V137" s="216"/>
      <c r="W137" s="218"/>
      <c r="X137" s="218"/>
      <c r="Y137" s="216"/>
      <c r="Z137" s="216"/>
      <c r="AA137" s="1024"/>
      <c r="AB137" s="252"/>
      <c r="AC137" s="252"/>
      <c r="AD137" s="253"/>
      <c r="AE137" s="252"/>
      <c r="AF137" s="252"/>
      <c r="AG137" s="252"/>
      <c r="AH137" s="252"/>
      <c r="AI137" s="252"/>
      <c r="AJ137" s="252"/>
      <c r="AK137" s="253"/>
      <c r="AL137" s="252"/>
      <c r="AM137" s="252"/>
      <c r="AN137" s="252"/>
      <c r="AO137" s="252"/>
      <c r="AP137" s="1192"/>
      <c r="AQ137" s="252"/>
      <c r="AR137" s="252"/>
      <c r="AS137" s="252"/>
      <c r="AT137" s="252"/>
      <c r="AU137" s="252"/>
      <c r="AV137" s="1025"/>
      <c r="AW137" s="359"/>
      <c r="AX137" s="217"/>
      <c r="AY137" s="305"/>
      <c r="AZ137" s="249"/>
      <c r="BA137" s="221"/>
      <c r="BB137" s="300"/>
      <c r="BC137" s="217"/>
      <c r="BD137" s="219"/>
      <c r="BE137" s="1263"/>
      <c r="BF137" s="249"/>
      <c r="BG137" s="252"/>
      <c r="BH137" s="1543"/>
      <c r="BI137" s="1544"/>
      <c r="BJ137" s="1543"/>
      <c r="BK137" s="1545"/>
      <c r="BL137" s="260"/>
      <c r="BM137" s="217"/>
      <c r="BN137" s="220"/>
      <c r="BO137" s="220"/>
      <c r="BP137" s="355"/>
      <c r="BQ137" s="217"/>
      <c r="BR137" s="1026"/>
      <c r="BS137" s="249"/>
      <c r="BT137" s="260"/>
      <c r="BU137" s="1026"/>
      <c r="BV137" s="249"/>
      <c r="BW137" s="260"/>
      <c r="BX137" s="1026"/>
      <c r="BY137" s="249"/>
      <c r="BZ137" s="260"/>
      <c r="CA137" s="1026"/>
      <c r="CB137" s="249"/>
      <c r="CC137" s="260"/>
      <c r="CD137" s="1026"/>
      <c r="CE137" s="1269"/>
      <c r="CF137" s="1270"/>
      <c r="CG137" s="1026"/>
      <c r="CH137" s="293"/>
      <c r="CI137" s="326"/>
      <c r="CJ137" s="1027"/>
      <c r="CK137" s="249"/>
      <c r="CL137" s="260"/>
      <c r="CM137" s="1028"/>
      <c r="CN137" s="249"/>
      <c r="CO137" s="216"/>
      <c r="CP137" s="1029"/>
      <c r="CQ137" s="249"/>
      <c r="CR137" s="216"/>
      <c r="CS137" s="1029"/>
      <c r="CT137" s="249"/>
      <c r="CU137" s="216"/>
      <c r="CV137" s="1027"/>
      <c r="CW137" s="394"/>
      <c r="CX137" s="347"/>
      <c r="CY137" s="1027"/>
      <c r="CZ137" s="249"/>
      <c r="DA137" s="216"/>
      <c r="DB137" s="1027" t="str">
        <f t="shared" si="21"/>
        <v/>
      </c>
      <c r="DC137" s="249"/>
      <c r="DD137" s="2519" t="str">
        <f t="shared" si="20"/>
        <v/>
      </c>
      <c r="DE137" s="1027"/>
      <c r="DF137" s="1556"/>
      <c r="DG137" s="1557"/>
      <c r="DH137" s="1027"/>
      <c r="DI137" s="1556"/>
      <c r="DJ137" s="1558"/>
      <c r="DK137" s="1027"/>
      <c r="DL137" s="249"/>
      <c r="DM137" s="216"/>
      <c r="DN137" s="313"/>
      <c r="DO137" s="249"/>
      <c r="DP137" s="216"/>
      <c r="DQ137" s="313"/>
      <c r="DR137" s="249"/>
      <c r="DS137" s="221"/>
      <c r="DT137" s="313"/>
      <c r="DU137" s="249"/>
      <c r="DV137" s="221"/>
      <c r="DW137" s="305"/>
      <c r="DX137" s="249"/>
      <c r="DY137" s="260"/>
      <c r="DZ137" s="350"/>
      <c r="EA137" s="249"/>
      <c r="EB137" s="221"/>
      <c r="EC137" s="313"/>
      <c r="ED137" s="249"/>
      <c r="EE137" s="221"/>
      <c r="EF137" s="313"/>
      <c r="EG137" s="249"/>
      <c r="EH137" s="221"/>
      <c r="EI137" s="313"/>
      <c r="EJ137" s="249"/>
      <c r="EK137" s="216"/>
      <c r="EL137" s="1435"/>
      <c r="EM137" s="1619"/>
      <c r="EN137" s="1268"/>
      <c r="EO137" s="1563"/>
      <c r="EP137" s="1268"/>
      <c r="EQ137" s="1563"/>
      <c r="ER137" s="1268"/>
      <c r="ES137" s="1563"/>
      <c r="ET137" s="1268"/>
      <c r="EU137" s="1682"/>
      <c r="EV137" s="1683"/>
      <c r="EW137" s="1684"/>
      <c r="EX137" s="1685"/>
      <c r="EY137" s="1030"/>
      <c r="EZ137" s="349"/>
      <c r="FA137" s="395"/>
      <c r="FB137" s="223"/>
      <c r="FC137" s="1030"/>
      <c r="FD137" s="349"/>
      <c r="FE137" s="1031"/>
      <c r="FF137" s="358"/>
      <c r="FG137" s="256"/>
      <c r="FH137" s="256"/>
      <c r="FI137" s="256"/>
      <c r="FJ137" s="256"/>
      <c r="FK137" s="19"/>
      <c r="FL137" s="126"/>
      <c r="FM137" s="126"/>
      <c r="FN137" s="126"/>
      <c r="FO137" s="957"/>
      <c r="FQ137" s="358"/>
      <c r="FR137" s="1190"/>
      <c r="FS137" s="1190"/>
      <c r="FT137" s="64"/>
      <c r="FU137" s="2879"/>
      <c r="FV137" s="2880"/>
      <c r="FW137" s="2881"/>
    </row>
    <row r="138" spans="1:179">
      <c r="A138" s="1023"/>
      <c r="B138" s="1023"/>
      <c r="C138" s="1023"/>
      <c r="T138" s="1186"/>
      <c r="U138" s="233"/>
      <c r="V138" s="216"/>
      <c r="W138" s="218"/>
      <c r="X138" s="218"/>
      <c r="Y138" s="216"/>
      <c r="Z138" s="216"/>
      <c r="AA138" s="1024"/>
      <c r="AB138" s="252"/>
      <c r="AC138" s="252"/>
      <c r="AD138" s="253"/>
      <c r="AE138" s="252"/>
      <c r="AF138" s="252"/>
      <c r="AG138" s="252"/>
      <c r="AH138" s="252"/>
      <c r="AI138" s="252"/>
      <c r="AJ138" s="252"/>
      <c r="AK138" s="253"/>
      <c r="AL138" s="252"/>
      <c r="AM138" s="252"/>
      <c r="AN138" s="252"/>
      <c r="AO138" s="252"/>
      <c r="AP138" s="1192"/>
      <c r="AQ138" s="252"/>
      <c r="AR138" s="252"/>
      <c r="AS138" s="252"/>
      <c r="AT138" s="252"/>
      <c r="AU138" s="252"/>
      <c r="AV138" s="1025"/>
      <c r="AW138" s="359"/>
      <c r="AX138" s="217"/>
      <c r="AY138" s="305"/>
      <c r="AZ138" s="249"/>
      <c r="BA138" s="221"/>
      <c r="BB138" s="300"/>
      <c r="BC138" s="217"/>
      <c r="BD138" s="219"/>
      <c r="BE138" s="1263"/>
      <c r="BF138" s="249"/>
      <c r="BG138" s="252"/>
      <c r="BH138" s="1543"/>
      <c r="BI138" s="1544"/>
      <c r="BJ138" s="1543"/>
      <c r="BK138" s="1545"/>
      <c r="BL138" s="260"/>
      <c r="BM138" s="217"/>
      <c r="BN138" s="220"/>
      <c r="BO138" s="220"/>
      <c r="BP138" s="355"/>
      <c r="BQ138" s="217"/>
      <c r="BR138" s="1026"/>
      <c r="BS138" s="249"/>
      <c r="BT138" s="260"/>
      <c r="BU138" s="1026"/>
      <c r="BV138" s="249"/>
      <c r="BW138" s="260"/>
      <c r="BX138" s="1026"/>
      <c r="BY138" s="249"/>
      <c r="BZ138" s="260"/>
      <c r="CA138" s="1026"/>
      <c r="CB138" s="249"/>
      <c r="CC138" s="260"/>
      <c r="CD138" s="1026"/>
      <c r="CE138" s="1269"/>
      <c r="CF138" s="1270"/>
      <c r="CG138" s="1026"/>
      <c r="CH138" s="293"/>
      <c r="CI138" s="326"/>
      <c r="CJ138" s="1027"/>
      <c r="CK138" s="249"/>
      <c r="CL138" s="260"/>
      <c r="CM138" s="1028"/>
      <c r="CN138" s="249"/>
      <c r="CO138" s="216"/>
      <c r="CP138" s="1029"/>
      <c r="CQ138" s="249"/>
      <c r="CR138" s="216"/>
      <c r="CS138" s="1029"/>
      <c r="CT138" s="249"/>
      <c r="CU138" s="216"/>
      <c r="CV138" s="1027"/>
      <c r="CW138" s="394"/>
      <c r="CX138" s="347"/>
      <c r="CY138" s="1027"/>
      <c r="CZ138" s="249"/>
      <c r="DA138" s="216"/>
      <c r="DB138" s="1027" t="str">
        <f t="shared" si="21"/>
        <v/>
      </c>
      <c r="DC138" s="249"/>
      <c r="DD138" s="2519" t="str">
        <f t="shared" si="20"/>
        <v/>
      </c>
      <c r="DE138" s="1027"/>
      <c r="DF138" s="1556"/>
      <c r="DG138" s="1557"/>
      <c r="DH138" s="1027"/>
      <c r="DI138" s="1556"/>
      <c r="DJ138" s="1558"/>
      <c r="DK138" s="1027"/>
      <c r="DL138" s="249"/>
      <c r="DM138" s="216"/>
      <c r="DN138" s="313"/>
      <c r="DO138" s="249"/>
      <c r="DP138" s="216"/>
      <c r="DQ138" s="313"/>
      <c r="DR138" s="249"/>
      <c r="DS138" s="221"/>
      <c r="DT138" s="313"/>
      <c r="DU138" s="249"/>
      <c r="DV138" s="221"/>
      <c r="DW138" s="305"/>
      <c r="DX138" s="249"/>
      <c r="DY138" s="260"/>
      <c r="DZ138" s="350"/>
      <c r="EA138" s="249"/>
      <c r="EB138" s="221"/>
      <c r="EC138" s="313"/>
      <c r="ED138" s="249"/>
      <c r="EE138" s="221"/>
      <c r="EF138" s="313"/>
      <c r="EG138" s="249"/>
      <c r="EH138" s="221"/>
      <c r="EI138" s="313"/>
      <c r="EJ138" s="249"/>
      <c r="EK138" s="216"/>
      <c r="EL138" s="1435"/>
      <c r="EM138" s="1619"/>
      <c r="EN138" s="1268"/>
      <c r="EO138" s="1563"/>
      <c r="EP138" s="1268"/>
      <c r="EQ138" s="1563"/>
      <c r="ER138" s="1268"/>
      <c r="ES138" s="1563"/>
      <c r="ET138" s="1268"/>
      <c r="EU138" s="1682"/>
      <c r="EV138" s="1683"/>
      <c r="EW138" s="1684"/>
      <c r="EX138" s="1685"/>
      <c r="EY138" s="1030"/>
      <c r="EZ138" s="349"/>
      <c r="FA138" s="395"/>
      <c r="FB138" s="223"/>
      <c r="FC138" s="1030"/>
      <c r="FD138" s="349"/>
      <c r="FE138" s="1031"/>
      <c r="FF138" s="358"/>
      <c r="FG138" s="256"/>
      <c r="FH138" s="256"/>
      <c r="FI138" s="256"/>
      <c r="FJ138" s="256"/>
      <c r="FK138" s="19"/>
      <c r="FL138" s="126"/>
      <c r="FM138" s="126"/>
      <c r="FN138" s="126"/>
      <c r="FO138" s="957"/>
      <c r="FQ138" s="358"/>
      <c r="FR138" s="1190"/>
      <c r="FS138" s="1190"/>
      <c r="FT138" s="64"/>
      <c r="FU138" s="2879"/>
      <c r="FV138" s="2880"/>
      <c r="FW138" s="2881"/>
    </row>
    <row r="139" spans="1:179">
      <c r="A139" s="1023"/>
      <c r="B139" s="1023"/>
      <c r="C139" s="1023"/>
      <c r="T139" s="1186"/>
      <c r="U139" s="233"/>
      <c r="V139" s="216"/>
      <c r="W139" s="218"/>
      <c r="X139" s="218"/>
      <c r="Y139" s="216"/>
      <c r="Z139" s="216"/>
      <c r="AA139" s="1024"/>
      <c r="AB139" s="252"/>
      <c r="AC139" s="252"/>
      <c r="AD139" s="253"/>
      <c r="AE139" s="252"/>
      <c r="AF139" s="252"/>
      <c r="AG139" s="252"/>
      <c r="AH139" s="252"/>
      <c r="AI139" s="252"/>
      <c r="AJ139" s="252"/>
      <c r="AK139" s="253"/>
      <c r="AL139" s="252"/>
      <c r="AM139" s="252"/>
      <c r="AN139" s="252"/>
      <c r="AO139" s="252"/>
      <c r="AP139" s="1192"/>
      <c r="AQ139" s="252"/>
      <c r="AR139" s="252"/>
      <c r="AS139" s="252"/>
      <c r="AT139" s="252"/>
      <c r="AU139" s="252"/>
      <c r="AV139" s="1025"/>
      <c r="AW139" s="359"/>
      <c r="AX139" s="217"/>
      <c r="AY139" s="305"/>
      <c r="AZ139" s="249"/>
      <c r="BA139" s="221"/>
      <c r="BB139" s="300"/>
      <c r="BC139" s="217"/>
      <c r="BD139" s="219"/>
      <c r="BE139" s="1263"/>
      <c r="BF139" s="249"/>
      <c r="BG139" s="252"/>
      <c r="BH139" s="1543"/>
      <c r="BI139" s="1544"/>
      <c r="BJ139" s="1543"/>
      <c r="BK139" s="1545"/>
      <c r="BL139" s="260"/>
      <c r="BM139" s="217"/>
      <c r="BN139" s="220"/>
      <c r="BO139" s="220"/>
      <c r="BP139" s="355"/>
      <c r="BQ139" s="217"/>
      <c r="BR139" s="1026"/>
      <c r="BS139" s="249"/>
      <c r="BT139" s="260"/>
      <c r="BU139" s="1026"/>
      <c r="BV139" s="249"/>
      <c r="BW139" s="260"/>
      <c r="BX139" s="1026"/>
      <c r="BY139" s="249"/>
      <c r="BZ139" s="260"/>
      <c r="CA139" s="1026"/>
      <c r="CB139" s="249"/>
      <c r="CC139" s="260"/>
      <c r="CD139" s="1026"/>
      <c r="CE139" s="1269"/>
      <c r="CF139" s="1270"/>
      <c r="CG139" s="1026"/>
      <c r="CH139" s="293"/>
      <c r="CI139" s="326"/>
      <c r="CJ139" s="1027"/>
      <c r="CK139" s="249"/>
      <c r="CL139" s="260"/>
      <c r="CM139" s="1028"/>
      <c r="CN139" s="249"/>
      <c r="CO139" s="216"/>
      <c r="CP139" s="1029"/>
      <c r="CQ139" s="249"/>
      <c r="CR139" s="216"/>
      <c r="CS139" s="1029"/>
      <c r="CT139" s="249"/>
      <c r="CU139" s="216"/>
      <c r="CV139" s="1027"/>
      <c r="CW139" s="394"/>
      <c r="CX139" s="347"/>
      <c r="CY139" s="1027"/>
      <c r="CZ139" s="249"/>
      <c r="DA139" s="216"/>
      <c r="DB139" s="1027" t="str">
        <f t="shared" si="21"/>
        <v/>
      </c>
      <c r="DC139" s="249"/>
      <c r="DD139" s="2519" t="str">
        <f t="shared" si="20"/>
        <v/>
      </c>
      <c r="DE139" s="1027"/>
      <c r="DF139" s="1556"/>
      <c r="DG139" s="1557"/>
      <c r="DH139" s="1027"/>
      <c r="DI139" s="1556"/>
      <c r="DJ139" s="1558"/>
      <c r="DK139" s="1027"/>
      <c r="DL139" s="249"/>
      <c r="DM139" s="216"/>
      <c r="DN139" s="313"/>
      <c r="DO139" s="249"/>
      <c r="DP139" s="216"/>
      <c r="DQ139" s="313"/>
      <c r="DR139" s="249"/>
      <c r="DS139" s="221"/>
      <c r="DT139" s="313"/>
      <c r="DU139" s="249"/>
      <c r="DV139" s="221"/>
      <c r="DW139" s="305"/>
      <c r="DX139" s="249"/>
      <c r="DY139" s="260"/>
      <c r="DZ139" s="350"/>
      <c r="EA139" s="249"/>
      <c r="EB139" s="221"/>
      <c r="EC139" s="313"/>
      <c r="ED139" s="249"/>
      <c r="EE139" s="221"/>
      <c r="EF139" s="313"/>
      <c r="EG139" s="249"/>
      <c r="EH139" s="221"/>
      <c r="EI139" s="313"/>
      <c r="EJ139" s="249"/>
      <c r="EK139" s="216"/>
      <c r="EL139" s="1435"/>
      <c r="EM139" s="1619"/>
      <c r="EN139" s="1268"/>
      <c r="EO139" s="1563"/>
      <c r="EP139" s="1268"/>
      <c r="EQ139" s="1563"/>
      <c r="ER139" s="1268"/>
      <c r="ES139" s="1563"/>
      <c r="ET139" s="1268"/>
      <c r="EU139" s="1682"/>
      <c r="EV139" s="1683"/>
      <c r="EW139" s="1684"/>
      <c r="EX139" s="1685"/>
      <c r="EY139" s="1030"/>
      <c r="EZ139" s="349"/>
      <c r="FA139" s="395"/>
      <c r="FB139" s="223"/>
      <c r="FC139" s="1030"/>
      <c r="FD139" s="349"/>
      <c r="FE139" s="1031"/>
      <c r="FF139" s="358"/>
      <c r="FG139" s="256"/>
      <c r="FH139" s="256"/>
      <c r="FI139" s="256"/>
      <c r="FJ139" s="256"/>
      <c r="FK139" s="19"/>
      <c r="FL139" s="126"/>
      <c r="FM139" s="126"/>
      <c r="FN139" s="126"/>
      <c r="FO139" s="957"/>
      <c r="FQ139" s="358"/>
      <c r="FR139" s="1190"/>
      <c r="FS139" s="1190"/>
      <c r="FT139" s="64"/>
      <c r="FU139" s="2879"/>
      <c r="FV139" s="2880"/>
      <c r="FW139" s="2881"/>
    </row>
    <row r="140" spans="1:179">
      <c r="A140" s="1023"/>
      <c r="B140" s="1023"/>
      <c r="C140" s="1023"/>
      <c r="T140" s="1186"/>
      <c r="U140" s="233"/>
      <c r="V140" s="216"/>
      <c r="W140" s="218"/>
      <c r="X140" s="218"/>
      <c r="Y140" s="216"/>
      <c r="Z140" s="216"/>
      <c r="AA140" s="1024"/>
      <c r="AB140" s="252"/>
      <c r="AC140" s="252"/>
      <c r="AD140" s="253"/>
      <c r="AE140" s="252"/>
      <c r="AF140" s="252"/>
      <c r="AG140" s="252"/>
      <c r="AH140" s="252"/>
      <c r="AI140" s="252"/>
      <c r="AJ140" s="252"/>
      <c r="AK140" s="253"/>
      <c r="AL140" s="252"/>
      <c r="AM140" s="252"/>
      <c r="AN140" s="252"/>
      <c r="AO140" s="252"/>
      <c r="AP140" s="1192"/>
      <c r="AQ140" s="252"/>
      <c r="AR140" s="252"/>
      <c r="AS140" s="252"/>
      <c r="AT140" s="252"/>
      <c r="AU140" s="252"/>
      <c r="AV140" s="1025"/>
      <c r="AW140" s="359"/>
      <c r="AX140" s="217"/>
      <c r="AY140" s="305"/>
      <c r="AZ140" s="249"/>
      <c r="BA140" s="221"/>
      <c r="BB140" s="300"/>
      <c r="BC140" s="217"/>
      <c r="BD140" s="219"/>
      <c r="BE140" s="1263"/>
      <c r="BF140" s="249"/>
      <c r="BG140" s="252"/>
      <c r="BH140" s="1543"/>
      <c r="BI140" s="1544"/>
      <c r="BJ140" s="1543"/>
      <c r="BK140" s="1545"/>
      <c r="BL140" s="260"/>
      <c r="BM140" s="217"/>
      <c r="BN140" s="220"/>
      <c r="BO140" s="220"/>
      <c r="BP140" s="355"/>
      <c r="BQ140" s="217"/>
      <c r="BR140" s="1026"/>
      <c r="BS140" s="249"/>
      <c r="BT140" s="260"/>
      <c r="BU140" s="1026"/>
      <c r="BV140" s="249"/>
      <c r="BW140" s="260"/>
      <c r="BX140" s="1026"/>
      <c r="BY140" s="249"/>
      <c r="BZ140" s="260"/>
      <c r="CA140" s="1026"/>
      <c r="CB140" s="249"/>
      <c r="CC140" s="260"/>
      <c r="CD140" s="1026"/>
      <c r="CE140" s="1269"/>
      <c r="CF140" s="1270"/>
      <c r="CG140" s="1026"/>
      <c r="CH140" s="293"/>
      <c r="CI140" s="326"/>
      <c r="CJ140" s="1027"/>
      <c r="CK140" s="249"/>
      <c r="CL140" s="260"/>
      <c r="CM140" s="1028"/>
      <c r="CN140" s="249"/>
      <c r="CO140" s="216"/>
      <c r="CP140" s="1029"/>
      <c r="CQ140" s="249"/>
      <c r="CR140" s="216"/>
      <c r="CS140" s="1029"/>
      <c r="CT140" s="249"/>
      <c r="CU140" s="216"/>
      <c r="CV140" s="1027"/>
      <c r="CW140" s="394"/>
      <c r="CX140" s="347"/>
      <c r="CY140" s="1027"/>
      <c r="CZ140" s="249"/>
      <c r="DA140" s="216"/>
      <c r="DB140" s="1027" t="str">
        <f t="shared" si="21"/>
        <v/>
      </c>
      <c r="DC140" s="249"/>
      <c r="DD140" s="2519" t="str">
        <f t="shared" si="20"/>
        <v/>
      </c>
      <c r="DE140" s="1027"/>
      <c r="DF140" s="1556"/>
      <c r="DG140" s="1557"/>
      <c r="DH140" s="1027"/>
      <c r="DI140" s="1556"/>
      <c r="DJ140" s="1558"/>
      <c r="DK140" s="1027"/>
      <c r="DL140" s="249"/>
      <c r="DM140" s="216"/>
      <c r="DN140" s="313"/>
      <c r="DO140" s="249"/>
      <c r="DP140" s="216"/>
      <c r="DQ140" s="313"/>
      <c r="DR140" s="249"/>
      <c r="DS140" s="221"/>
      <c r="DT140" s="313"/>
      <c r="DU140" s="249"/>
      <c r="DV140" s="221"/>
      <c r="DW140" s="305"/>
      <c r="DX140" s="249"/>
      <c r="DY140" s="260"/>
      <c r="DZ140" s="350"/>
      <c r="EA140" s="249"/>
      <c r="EB140" s="221"/>
      <c r="EC140" s="313"/>
      <c r="ED140" s="249"/>
      <c r="EE140" s="221"/>
      <c r="EF140" s="313"/>
      <c r="EG140" s="249"/>
      <c r="EH140" s="221"/>
      <c r="EI140" s="313"/>
      <c r="EJ140" s="249"/>
      <c r="EK140" s="216"/>
      <c r="EL140" s="1435"/>
      <c r="EM140" s="1619"/>
      <c r="EN140" s="1268"/>
      <c r="EO140" s="1563"/>
      <c r="EP140" s="1268"/>
      <c r="EQ140" s="1563"/>
      <c r="ER140" s="1268"/>
      <c r="ES140" s="1563"/>
      <c r="ET140" s="1268"/>
      <c r="EU140" s="1682"/>
      <c r="EV140" s="1683"/>
      <c r="EW140" s="1684"/>
      <c r="EX140" s="1685"/>
      <c r="EY140" s="1030"/>
      <c r="EZ140" s="349"/>
      <c r="FA140" s="395"/>
      <c r="FB140" s="223"/>
      <c r="FC140" s="1030"/>
      <c r="FD140" s="349"/>
      <c r="FE140" s="1031"/>
      <c r="FF140" s="358"/>
      <c r="FG140" s="256"/>
      <c r="FH140" s="256"/>
      <c r="FI140" s="256"/>
      <c r="FJ140" s="256"/>
      <c r="FK140" s="19"/>
      <c r="FL140" s="126"/>
      <c r="FM140" s="126"/>
      <c r="FN140" s="126"/>
      <c r="FO140" s="957"/>
      <c r="FQ140" s="358"/>
      <c r="FR140" s="1190"/>
      <c r="FS140" s="1190"/>
      <c r="FT140" s="64"/>
      <c r="FU140" s="2879"/>
      <c r="FV140" s="2880"/>
      <c r="FW140" s="2881"/>
    </row>
    <row r="141" spans="1:179">
      <c r="A141" s="1023"/>
      <c r="B141" s="1023"/>
      <c r="C141" s="1023"/>
      <c r="T141" s="1186"/>
      <c r="U141" s="233"/>
      <c r="V141" s="216"/>
      <c r="W141" s="218"/>
      <c r="X141" s="218"/>
      <c r="Y141" s="216"/>
      <c r="Z141" s="216"/>
      <c r="AA141" s="1024"/>
      <c r="AB141" s="252"/>
      <c r="AC141" s="252"/>
      <c r="AD141" s="253"/>
      <c r="AE141" s="252"/>
      <c r="AF141" s="252"/>
      <c r="AG141" s="252"/>
      <c r="AH141" s="252"/>
      <c r="AI141" s="252"/>
      <c r="AJ141" s="252"/>
      <c r="AK141" s="253"/>
      <c r="AL141" s="252"/>
      <c r="AM141" s="252"/>
      <c r="AN141" s="252"/>
      <c r="AO141" s="252"/>
      <c r="AP141" s="1192"/>
      <c r="AQ141" s="252"/>
      <c r="AR141" s="252"/>
      <c r="AS141" s="252"/>
      <c r="AT141" s="252"/>
      <c r="AU141" s="252"/>
      <c r="AV141" s="1025"/>
      <c r="AW141" s="359"/>
      <c r="AX141" s="217"/>
      <c r="AY141" s="305"/>
      <c r="AZ141" s="249"/>
      <c r="BA141" s="221"/>
      <c r="BB141" s="300"/>
      <c r="BC141" s="217"/>
      <c r="BD141" s="219"/>
      <c r="BE141" s="1263"/>
      <c r="BF141" s="249"/>
      <c r="BG141" s="252"/>
      <c r="BH141" s="1543"/>
      <c r="BI141" s="1544"/>
      <c r="BJ141" s="1543"/>
      <c r="BK141" s="1545"/>
      <c r="BL141" s="260"/>
      <c r="BM141" s="217"/>
      <c r="BN141" s="220"/>
      <c r="BO141" s="220"/>
      <c r="BP141" s="355"/>
      <c r="BQ141" s="217"/>
      <c r="BR141" s="1026"/>
      <c r="BS141" s="249"/>
      <c r="BT141" s="260"/>
      <c r="BU141" s="1026"/>
      <c r="BV141" s="249"/>
      <c r="BW141" s="260"/>
      <c r="BX141" s="1026"/>
      <c r="BY141" s="249"/>
      <c r="BZ141" s="260"/>
      <c r="CA141" s="1026"/>
      <c r="CB141" s="249"/>
      <c r="CC141" s="260"/>
      <c r="CD141" s="1026"/>
      <c r="CE141" s="1269"/>
      <c r="CF141" s="1270"/>
      <c r="CG141" s="1026"/>
      <c r="CH141" s="293"/>
      <c r="CI141" s="326"/>
      <c r="CJ141" s="1027"/>
      <c r="CK141" s="249"/>
      <c r="CL141" s="260"/>
      <c r="CM141" s="1028"/>
      <c r="CN141" s="249"/>
      <c r="CO141" s="216"/>
      <c r="CP141" s="1029"/>
      <c r="CQ141" s="249"/>
      <c r="CR141" s="216"/>
      <c r="CS141" s="1029"/>
      <c r="CT141" s="249"/>
      <c r="CU141" s="216"/>
      <c r="CV141" s="1027"/>
      <c r="CW141" s="394"/>
      <c r="CX141" s="347"/>
      <c r="CY141" s="1027"/>
      <c r="CZ141" s="249"/>
      <c r="DA141" s="216"/>
      <c r="DB141" s="1027" t="str">
        <f t="shared" si="21"/>
        <v/>
      </c>
      <c r="DC141" s="249"/>
      <c r="DD141" s="2519" t="str">
        <f t="shared" si="20"/>
        <v/>
      </c>
      <c r="DE141" s="1027"/>
      <c r="DF141" s="1556"/>
      <c r="DG141" s="1557"/>
      <c r="DH141" s="1027"/>
      <c r="DI141" s="1556"/>
      <c r="DJ141" s="1558"/>
      <c r="DK141" s="1027"/>
      <c r="DL141" s="249"/>
      <c r="DM141" s="216"/>
      <c r="DN141" s="313"/>
      <c r="DO141" s="249"/>
      <c r="DP141" s="216"/>
      <c r="DQ141" s="313"/>
      <c r="DR141" s="249"/>
      <c r="DS141" s="221"/>
      <c r="DT141" s="313"/>
      <c r="DU141" s="249"/>
      <c r="DV141" s="221"/>
      <c r="DW141" s="305"/>
      <c r="DX141" s="249"/>
      <c r="DY141" s="260"/>
      <c r="DZ141" s="350"/>
      <c r="EA141" s="249"/>
      <c r="EB141" s="221"/>
      <c r="EC141" s="313"/>
      <c r="ED141" s="249"/>
      <c r="EE141" s="221"/>
      <c r="EF141" s="313"/>
      <c r="EG141" s="249"/>
      <c r="EH141" s="221"/>
      <c r="EI141" s="313"/>
      <c r="EJ141" s="249"/>
      <c r="EK141" s="216"/>
      <c r="EL141" s="1435"/>
      <c r="EM141" s="1619"/>
      <c r="EN141" s="1268"/>
      <c r="EO141" s="1563"/>
      <c r="EP141" s="1268"/>
      <c r="EQ141" s="1563"/>
      <c r="ER141" s="1268"/>
      <c r="ES141" s="1563"/>
      <c r="ET141" s="1268"/>
      <c r="EU141" s="1682"/>
      <c r="EV141" s="1683"/>
      <c r="EW141" s="1684"/>
      <c r="EX141" s="1685"/>
      <c r="EY141" s="1030"/>
      <c r="EZ141" s="349"/>
      <c r="FA141" s="395"/>
      <c r="FB141" s="223"/>
      <c r="FC141" s="1030"/>
      <c r="FD141" s="349"/>
      <c r="FE141" s="1031"/>
      <c r="FF141" s="358"/>
      <c r="FG141" s="256"/>
      <c r="FH141" s="256"/>
      <c r="FI141" s="256"/>
      <c r="FJ141" s="256"/>
      <c r="FK141" s="19"/>
      <c r="FL141" s="126"/>
      <c r="FM141" s="126"/>
      <c r="FN141" s="126"/>
      <c r="FO141" s="957"/>
      <c r="FQ141" s="358"/>
      <c r="FR141" s="1190"/>
      <c r="FS141" s="1190"/>
      <c r="FT141" s="64"/>
      <c r="FU141" s="2879"/>
      <c r="FV141" s="2880"/>
      <c r="FW141" s="2881"/>
    </row>
    <row r="142" spans="1:179">
      <c r="A142" s="1023"/>
      <c r="B142" s="1023"/>
      <c r="C142" s="1023"/>
      <c r="T142" s="1186"/>
      <c r="U142" s="233"/>
      <c r="V142" s="216"/>
      <c r="W142" s="218"/>
      <c r="X142" s="218"/>
      <c r="Y142" s="216"/>
      <c r="Z142" s="216"/>
      <c r="AA142" s="1024"/>
      <c r="AB142" s="252"/>
      <c r="AC142" s="252"/>
      <c r="AD142" s="253"/>
      <c r="AE142" s="252"/>
      <c r="AF142" s="252"/>
      <c r="AG142" s="252"/>
      <c r="AH142" s="252"/>
      <c r="AI142" s="252"/>
      <c r="AJ142" s="252"/>
      <c r="AK142" s="253"/>
      <c r="AL142" s="252"/>
      <c r="AM142" s="252"/>
      <c r="AN142" s="252"/>
      <c r="AO142" s="252"/>
      <c r="AP142" s="1192"/>
      <c r="AQ142" s="252"/>
      <c r="AR142" s="252"/>
      <c r="AS142" s="252"/>
      <c r="AT142" s="252"/>
      <c r="AU142" s="252"/>
      <c r="AV142" s="1025"/>
      <c r="AW142" s="359"/>
      <c r="AX142" s="217"/>
      <c r="AY142" s="305"/>
      <c r="AZ142" s="249"/>
      <c r="BA142" s="221"/>
      <c r="BB142" s="300"/>
      <c r="BC142" s="217"/>
      <c r="BD142" s="219"/>
      <c r="BE142" s="1263"/>
      <c r="BF142" s="249"/>
      <c r="BG142" s="252"/>
      <c r="BH142" s="1543"/>
      <c r="BI142" s="1544"/>
      <c r="BJ142" s="1543"/>
      <c r="BK142" s="1545"/>
      <c r="BL142" s="260"/>
      <c r="BM142" s="217"/>
      <c r="BN142" s="220"/>
      <c r="BO142" s="220"/>
      <c r="BP142" s="355"/>
      <c r="BQ142" s="217"/>
      <c r="BR142" s="1026"/>
      <c r="BS142" s="249"/>
      <c r="BT142" s="260"/>
      <c r="BU142" s="1026"/>
      <c r="BV142" s="249"/>
      <c r="BW142" s="260"/>
      <c r="BX142" s="1026"/>
      <c r="BY142" s="249"/>
      <c r="BZ142" s="260"/>
      <c r="CA142" s="1026"/>
      <c r="CB142" s="249"/>
      <c r="CC142" s="260"/>
      <c r="CD142" s="1026"/>
      <c r="CE142" s="1269"/>
      <c r="CF142" s="1270"/>
      <c r="CG142" s="1026"/>
      <c r="CH142" s="293"/>
      <c r="CI142" s="326"/>
      <c r="CJ142" s="1027"/>
      <c r="CK142" s="249"/>
      <c r="CL142" s="260"/>
      <c r="CM142" s="1028"/>
      <c r="CN142" s="249"/>
      <c r="CO142" s="216"/>
      <c r="CP142" s="1029"/>
      <c r="CQ142" s="249"/>
      <c r="CR142" s="216"/>
      <c r="CS142" s="1029"/>
      <c r="CT142" s="249"/>
      <c r="CU142" s="216"/>
      <c r="CV142" s="1027"/>
      <c r="CW142" s="394"/>
      <c r="CX142" s="347"/>
      <c r="CY142" s="1027"/>
      <c r="CZ142" s="249"/>
      <c r="DA142" s="216"/>
      <c r="DB142" s="1027" t="str">
        <f t="shared" si="21"/>
        <v/>
      </c>
      <c r="DC142" s="249"/>
      <c r="DD142" s="2519" t="str">
        <f t="shared" si="20"/>
        <v/>
      </c>
      <c r="DE142" s="1027"/>
      <c r="DF142" s="1556"/>
      <c r="DG142" s="1557"/>
      <c r="DH142" s="1027"/>
      <c r="DI142" s="1556"/>
      <c r="DJ142" s="1558"/>
      <c r="DK142" s="1027"/>
      <c r="DL142" s="249"/>
      <c r="DM142" s="216"/>
      <c r="DN142" s="313"/>
      <c r="DO142" s="249"/>
      <c r="DP142" s="216"/>
      <c r="DQ142" s="313"/>
      <c r="DR142" s="249"/>
      <c r="DS142" s="221"/>
      <c r="DT142" s="313"/>
      <c r="DU142" s="249"/>
      <c r="DV142" s="221"/>
      <c r="DW142" s="305"/>
      <c r="DX142" s="249"/>
      <c r="DY142" s="260"/>
      <c r="DZ142" s="350"/>
      <c r="EA142" s="249"/>
      <c r="EB142" s="221"/>
      <c r="EC142" s="313"/>
      <c r="ED142" s="249"/>
      <c r="EE142" s="221"/>
      <c r="EF142" s="313"/>
      <c r="EG142" s="249"/>
      <c r="EH142" s="221"/>
      <c r="EI142" s="313"/>
      <c r="EJ142" s="249"/>
      <c r="EK142" s="216"/>
      <c r="EL142" s="1435"/>
      <c r="EM142" s="1619"/>
      <c r="EN142" s="1268"/>
      <c r="EO142" s="1563"/>
      <c r="EP142" s="1268"/>
      <c r="EQ142" s="1563"/>
      <c r="ER142" s="1268"/>
      <c r="ES142" s="1563"/>
      <c r="ET142" s="1268"/>
      <c r="EU142" s="1682"/>
      <c r="EV142" s="1683"/>
      <c r="EW142" s="1684"/>
      <c r="EX142" s="1685"/>
      <c r="EY142" s="1030"/>
      <c r="EZ142" s="349"/>
      <c r="FA142" s="395"/>
      <c r="FB142" s="223"/>
      <c r="FC142" s="1030"/>
      <c r="FD142" s="349"/>
      <c r="FE142" s="1031"/>
      <c r="FF142" s="358"/>
      <c r="FG142" s="256"/>
      <c r="FH142" s="256"/>
      <c r="FI142" s="256"/>
      <c r="FJ142" s="256"/>
      <c r="FK142" s="19"/>
      <c r="FL142" s="126"/>
      <c r="FM142" s="126"/>
      <c r="FN142" s="126"/>
      <c r="FO142" s="957"/>
      <c r="FQ142" s="358"/>
      <c r="FR142" s="1190"/>
      <c r="FS142" s="1190"/>
      <c r="FT142" s="64"/>
      <c r="FU142" s="2879"/>
      <c r="FV142" s="2880"/>
      <c r="FW142" s="2881"/>
    </row>
    <row r="143" spans="1:179">
      <c r="A143" s="1023"/>
      <c r="B143" s="1023"/>
      <c r="C143" s="1023"/>
      <c r="T143" s="1186"/>
      <c r="U143" s="233"/>
      <c r="V143" s="216"/>
      <c r="W143" s="218"/>
      <c r="X143" s="218"/>
      <c r="Y143" s="216"/>
      <c r="Z143" s="216"/>
      <c r="AA143" s="1024"/>
      <c r="AB143" s="252"/>
      <c r="AC143" s="252"/>
      <c r="AD143" s="253"/>
      <c r="AE143" s="252"/>
      <c r="AF143" s="252"/>
      <c r="AG143" s="252"/>
      <c r="AH143" s="252"/>
      <c r="AI143" s="252"/>
      <c r="AJ143" s="252"/>
      <c r="AK143" s="253"/>
      <c r="AL143" s="252"/>
      <c r="AM143" s="252"/>
      <c r="AN143" s="252"/>
      <c r="AO143" s="252"/>
      <c r="AP143" s="1192"/>
      <c r="AQ143" s="252"/>
      <c r="AR143" s="252"/>
      <c r="AS143" s="252"/>
      <c r="AT143" s="252"/>
      <c r="AU143" s="252"/>
      <c r="AV143" s="1025"/>
      <c r="AW143" s="359"/>
      <c r="AX143" s="217"/>
      <c r="AY143" s="305"/>
      <c r="AZ143" s="249"/>
      <c r="BA143" s="221"/>
      <c r="BB143" s="300"/>
      <c r="BC143" s="217"/>
      <c r="BD143" s="219"/>
      <c r="BE143" s="1263"/>
      <c r="BF143" s="249"/>
      <c r="BG143" s="252"/>
      <c r="BH143" s="1543"/>
      <c r="BI143" s="1544"/>
      <c r="BJ143" s="1543"/>
      <c r="BK143" s="1545"/>
      <c r="BL143" s="260"/>
      <c r="BM143" s="217"/>
      <c r="BN143" s="220"/>
      <c r="BO143" s="220"/>
      <c r="BP143" s="355"/>
      <c r="BQ143" s="217"/>
      <c r="BR143" s="1026"/>
      <c r="BS143" s="249"/>
      <c r="BT143" s="260"/>
      <c r="BU143" s="1026"/>
      <c r="BV143" s="249"/>
      <c r="BW143" s="260"/>
      <c r="BX143" s="1026"/>
      <c r="BY143" s="249"/>
      <c r="BZ143" s="260"/>
      <c r="CA143" s="1026"/>
      <c r="CB143" s="249"/>
      <c r="CC143" s="260"/>
      <c r="CD143" s="1026"/>
      <c r="CE143" s="1269"/>
      <c r="CF143" s="1270"/>
      <c r="CG143" s="1026"/>
      <c r="CH143" s="293"/>
      <c r="CI143" s="326"/>
      <c r="CJ143" s="1027"/>
      <c r="CK143" s="249"/>
      <c r="CL143" s="260"/>
      <c r="CM143" s="1028"/>
      <c r="CN143" s="249"/>
      <c r="CO143" s="216"/>
      <c r="CP143" s="1029"/>
      <c r="CQ143" s="249"/>
      <c r="CR143" s="216"/>
      <c r="CS143" s="1029"/>
      <c r="CT143" s="249"/>
      <c r="CU143" s="216"/>
      <c r="CV143" s="1027"/>
      <c r="CW143" s="394"/>
      <c r="CX143" s="347"/>
      <c r="CY143" s="1027"/>
      <c r="CZ143" s="249"/>
      <c r="DA143" s="216"/>
      <c r="DB143" s="1027" t="str">
        <f t="shared" si="21"/>
        <v/>
      </c>
      <c r="DC143" s="249"/>
      <c r="DD143" s="2519" t="str">
        <f t="shared" ref="DD143:DD174" si="22">IF(DB143="","",ROUND(IF(W143=1,T_DirAnti,T_DirPost)*$U143,2))</f>
        <v/>
      </c>
      <c r="DE143" s="1027"/>
      <c r="DF143" s="1556"/>
      <c r="DG143" s="1557"/>
      <c r="DH143" s="1027"/>
      <c r="DI143" s="1556"/>
      <c r="DJ143" s="1558"/>
      <c r="DK143" s="1027"/>
      <c r="DL143" s="249"/>
      <c r="DM143" s="216"/>
      <c r="DN143" s="313"/>
      <c r="DO143" s="249"/>
      <c r="DP143" s="216"/>
      <c r="DQ143" s="313"/>
      <c r="DR143" s="249"/>
      <c r="DS143" s="221"/>
      <c r="DT143" s="313"/>
      <c r="DU143" s="249"/>
      <c r="DV143" s="221"/>
      <c r="DW143" s="305"/>
      <c r="DX143" s="249"/>
      <c r="DY143" s="260"/>
      <c r="DZ143" s="350"/>
      <c r="EA143" s="249"/>
      <c r="EB143" s="221"/>
      <c r="EC143" s="313"/>
      <c r="ED143" s="249"/>
      <c r="EE143" s="221"/>
      <c r="EF143" s="313"/>
      <c r="EG143" s="249"/>
      <c r="EH143" s="221"/>
      <c r="EI143" s="313"/>
      <c r="EJ143" s="249"/>
      <c r="EK143" s="216"/>
      <c r="EL143" s="1435"/>
      <c r="EM143" s="1619"/>
      <c r="EN143" s="1268"/>
      <c r="EO143" s="1563"/>
      <c r="EP143" s="1268"/>
      <c r="EQ143" s="1563"/>
      <c r="ER143" s="1268"/>
      <c r="ES143" s="1563"/>
      <c r="ET143" s="1268"/>
      <c r="EU143" s="1682"/>
      <c r="EV143" s="1683"/>
      <c r="EW143" s="1684"/>
      <c r="EX143" s="1685"/>
      <c r="EY143" s="1030"/>
      <c r="EZ143" s="349"/>
      <c r="FA143" s="395"/>
      <c r="FB143" s="223"/>
      <c r="FC143" s="1030"/>
      <c r="FD143" s="349"/>
      <c r="FE143" s="1031"/>
      <c r="FF143" s="358"/>
      <c r="FG143" s="256"/>
      <c r="FH143" s="256"/>
      <c r="FI143" s="256"/>
      <c r="FJ143" s="256"/>
      <c r="FK143" s="19"/>
      <c r="FL143" s="126"/>
      <c r="FM143" s="126"/>
      <c r="FN143" s="126"/>
      <c r="FO143" s="957"/>
      <c r="FQ143" s="358"/>
      <c r="FR143" s="1190"/>
      <c r="FS143" s="1190"/>
      <c r="FT143" s="64"/>
      <c r="FU143" s="2879"/>
      <c r="FV143" s="2880"/>
      <c r="FW143" s="2881"/>
    </row>
    <row r="144" spans="1:179">
      <c r="A144" s="1023"/>
      <c r="B144" s="1023"/>
      <c r="C144" s="1023"/>
      <c r="T144" s="1186"/>
      <c r="U144" s="233"/>
      <c r="V144" s="216"/>
      <c r="W144" s="218"/>
      <c r="X144" s="218"/>
      <c r="Y144" s="216"/>
      <c r="Z144" s="216"/>
      <c r="AA144" s="1024"/>
      <c r="AB144" s="252"/>
      <c r="AC144" s="252"/>
      <c r="AD144" s="253"/>
      <c r="AE144" s="252"/>
      <c r="AF144" s="252"/>
      <c r="AG144" s="252"/>
      <c r="AH144" s="252"/>
      <c r="AI144" s="252"/>
      <c r="AJ144" s="252"/>
      <c r="AK144" s="253"/>
      <c r="AL144" s="252"/>
      <c r="AM144" s="252"/>
      <c r="AN144" s="252"/>
      <c r="AO144" s="252"/>
      <c r="AP144" s="1192"/>
      <c r="AQ144" s="252"/>
      <c r="AR144" s="252"/>
      <c r="AS144" s="252"/>
      <c r="AT144" s="252"/>
      <c r="AU144" s="252"/>
      <c r="AV144" s="1025"/>
      <c r="AW144" s="359"/>
      <c r="AX144" s="217"/>
      <c r="AY144" s="305"/>
      <c r="AZ144" s="249"/>
      <c r="BA144" s="221"/>
      <c r="BB144" s="300"/>
      <c r="BC144" s="217"/>
      <c r="BD144" s="219"/>
      <c r="BE144" s="1263"/>
      <c r="BF144" s="249"/>
      <c r="BG144" s="252"/>
      <c r="BH144" s="1543"/>
      <c r="BI144" s="1544"/>
      <c r="BJ144" s="1543"/>
      <c r="BK144" s="1545"/>
      <c r="BL144" s="260"/>
      <c r="BM144" s="217"/>
      <c r="BN144" s="220"/>
      <c r="BO144" s="220"/>
      <c r="BP144" s="355"/>
      <c r="BQ144" s="217"/>
      <c r="BR144" s="1026"/>
      <c r="BS144" s="249"/>
      <c r="BT144" s="260"/>
      <c r="BU144" s="1026"/>
      <c r="BV144" s="249"/>
      <c r="BW144" s="260"/>
      <c r="BX144" s="1026"/>
      <c r="BY144" s="249"/>
      <c r="BZ144" s="260"/>
      <c r="CA144" s="1026"/>
      <c r="CB144" s="249"/>
      <c r="CC144" s="260"/>
      <c r="CD144" s="1026"/>
      <c r="CE144" s="1269"/>
      <c r="CF144" s="1270"/>
      <c r="CG144" s="1026"/>
      <c r="CH144" s="293"/>
      <c r="CI144" s="326"/>
      <c r="CJ144" s="1027"/>
      <c r="CK144" s="249"/>
      <c r="CL144" s="260"/>
      <c r="CM144" s="1028"/>
      <c r="CN144" s="249"/>
      <c r="CO144" s="216"/>
      <c r="CP144" s="1029"/>
      <c r="CQ144" s="249"/>
      <c r="CR144" s="216"/>
      <c r="CS144" s="1029"/>
      <c r="CT144" s="249"/>
      <c r="CU144" s="216"/>
      <c r="CV144" s="1027"/>
      <c r="CW144" s="394"/>
      <c r="CX144" s="347"/>
      <c r="CY144" s="1027"/>
      <c r="CZ144" s="249"/>
      <c r="DA144" s="216"/>
      <c r="DB144" s="1027" t="str">
        <f t="shared" si="21"/>
        <v/>
      </c>
      <c r="DC144" s="249"/>
      <c r="DD144" s="2519" t="str">
        <f t="shared" si="22"/>
        <v/>
      </c>
      <c r="DE144" s="1027"/>
      <c r="DF144" s="1556"/>
      <c r="DG144" s="1557"/>
      <c r="DH144" s="1027"/>
      <c r="DI144" s="1556"/>
      <c r="DJ144" s="1558"/>
      <c r="DK144" s="1027"/>
      <c r="DL144" s="249"/>
      <c r="DM144" s="216"/>
      <c r="DN144" s="313"/>
      <c r="DO144" s="249"/>
      <c r="DP144" s="216"/>
      <c r="DQ144" s="313"/>
      <c r="DR144" s="249"/>
      <c r="DS144" s="221"/>
      <c r="DT144" s="313"/>
      <c r="DU144" s="249"/>
      <c r="DV144" s="221"/>
      <c r="DW144" s="305"/>
      <c r="DX144" s="249"/>
      <c r="DY144" s="260"/>
      <c r="DZ144" s="350"/>
      <c r="EA144" s="249"/>
      <c r="EB144" s="221"/>
      <c r="EC144" s="313"/>
      <c r="ED144" s="249"/>
      <c r="EE144" s="221"/>
      <c r="EF144" s="313"/>
      <c r="EG144" s="249"/>
      <c r="EH144" s="221"/>
      <c r="EI144" s="313"/>
      <c r="EJ144" s="249"/>
      <c r="EK144" s="216"/>
      <c r="EL144" s="1435"/>
      <c r="EM144" s="1619"/>
      <c r="EN144" s="1268"/>
      <c r="EO144" s="1563"/>
      <c r="EP144" s="1268"/>
      <c r="EQ144" s="1563"/>
      <c r="ER144" s="1268"/>
      <c r="ES144" s="1563"/>
      <c r="ET144" s="1268"/>
      <c r="EU144" s="1682"/>
      <c r="EV144" s="1683"/>
      <c r="EW144" s="1684"/>
      <c r="EX144" s="1685"/>
      <c r="EY144" s="1030"/>
      <c r="EZ144" s="349"/>
      <c r="FA144" s="395"/>
      <c r="FB144" s="223"/>
      <c r="FC144" s="1030"/>
      <c r="FD144" s="349"/>
      <c r="FE144" s="1031"/>
      <c r="FF144" s="358"/>
      <c r="FG144" s="256"/>
      <c r="FH144" s="256"/>
      <c r="FI144" s="256"/>
      <c r="FJ144" s="256"/>
      <c r="FK144" s="19"/>
      <c r="FL144" s="126"/>
      <c r="FM144" s="126"/>
      <c r="FN144" s="126"/>
      <c r="FO144" s="957"/>
      <c r="FQ144" s="358"/>
      <c r="FR144" s="1190"/>
      <c r="FS144" s="1190"/>
      <c r="FT144" s="64"/>
      <c r="FU144" s="2879"/>
      <c r="FV144" s="2880"/>
      <c r="FW144" s="2881"/>
    </row>
    <row r="145" spans="1:179">
      <c r="A145" s="1023"/>
      <c r="B145" s="1023"/>
      <c r="C145" s="1023"/>
      <c r="T145" s="1186"/>
      <c r="U145" s="233"/>
      <c r="V145" s="216"/>
      <c r="W145" s="218"/>
      <c r="X145" s="218"/>
      <c r="Y145" s="216"/>
      <c r="Z145" s="216"/>
      <c r="AA145" s="1024"/>
      <c r="AB145" s="252"/>
      <c r="AC145" s="252"/>
      <c r="AD145" s="253"/>
      <c r="AE145" s="252"/>
      <c r="AF145" s="252"/>
      <c r="AG145" s="252"/>
      <c r="AH145" s="252"/>
      <c r="AI145" s="252"/>
      <c r="AJ145" s="252"/>
      <c r="AK145" s="253"/>
      <c r="AL145" s="252"/>
      <c r="AM145" s="252"/>
      <c r="AN145" s="252"/>
      <c r="AO145" s="252"/>
      <c r="AP145" s="1192"/>
      <c r="AQ145" s="252"/>
      <c r="AR145" s="252"/>
      <c r="AS145" s="252"/>
      <c r="AT145" s="252"/>
      <c r="AU145" s="252"/>
      <c r="AV145" s="1025"/>
      <c r="AW145" s="359"/>
      <c r="AX145" s="217"/>
      <c r="AY145" s="305"/>
      <c r="AZ145" s="249"/>
      <c r="BA145" s="221"/>
      <c r="BB145" s="300"/>
      <c r="BC145" s="217"/>
      <c r="BD145" s="219"/>
      <c r="BE145" s="1263"/>
      <c r="BF145" s="249"/>
      <c r="BG145" s="252"/>
      <c r="BH145" s="1543"/>
      <c r="BI145" s="1544"/>
      <c r="BJ145" s="1543"/>
      <c r="BK145" s="1545"/>
      <c r="BL145" s="260"/>
      <c r="BM145" s="217"/>
      <c r="BN145" s="220"/>
      <c r="BO145" s="220"/>
      <c r="BP145" s="355"/>
      <c r="BQ145" s="217"/>
      <c r="BR145" s="1026"/>
      <c r="BS145" s="249"/>
      <c r="BT145" s="260"/>
      <c r="BU145" s="1026"/>
      <c r="BV145" s="249"/>
      <c r="BW145" s="260"/>
      <c r="BX145" s="1026"/>
      <c r="BY145" s="249"/>
      <c r="BZ145" s="260"/>
      <c r="CA145" s="1026"/>
      <c r="CB145" s="249"/>
      <c r="CC145" s="260"/>
      <c r="CD145" s="1026"/>
      <c r="CE145" s="1269"/>
      <c r="CF145" s="1270"/>
      <c r="CG145" s="1026"/>
      <c r="CH145" s="293"/>
      <c r="CI145" s="326"/>
      <c r="CJ145" s="1027"/>
      <c r="CK145" s="249"/>
      <c r="CL145" s="260"/>
      <c r="CM145" s="1028"/>
      <c r="CN145" s="249"/>
      <c r="CO145" s="216"/>
      <c r="CP145" s="1029"/>
      <c r="CQ145" s="249"/>
      <c r="CR145" s="216"/>
      <c r="CS145" s="1029"/>
      <c r="CT145" s="249"/>
      <c r="CU145" s="216"/>
      <c r="CV145" s="1027"/>
      <c r="CW145" s="394"/>
      <c r="CX145" s="347"/>
      <c r="CY145" s="1027"/>
      <c r="CZ145" s="249"/>
      <c r="DA145" s="216"/>
      <c r="DB145" s="1027" t="str">
        <f t="shared" si="21"/>
        <v/>
      </c>
      <c r="DC145" s="249"/>
      <c r="DD145" s="2519" t="str">
        <f t="shared" si="22"/>
        <v/>
      </c>
      <c r="DE145" s="1027"/>
      <c r="DF145" s="1556"/>
      <c r="DG145" s="1557"/>
      <c r="DH145" s="1027"/>
      <c r="DI145" s="1556"/>
      <c r="DJ145" s="1558"/>
      <c r="DK145" s="1027"/>
      <c r="DL145" s="249"/>
      <c r="DM145" s="216"/>
      <c r="DN145" s="313"/>
      <c r="DO145" s="249"/>
      <c r="DP145" s="216"/>
      <c r="DQ145" s="313"/>
      <c r="DR145" s="249"/>
      <c r="DS145" s="221"/>
      <c r="DT145" s="313"/>
      <c r="DU145" s="249"/>
      <c r="DV145" s="221"/>
      <c r="DW145" s="305"/>
      <c r="DX145" s="249"/>
      <c r="DY145" s="260"/>
      <c r="DZ145" s="350"/>
      <c r="EA145" s="249"/>
      <c r="EB145" s="221"/>
      <c r="EC145" s="313"/>
      <c r="ED145" s="249"/>
      <c r="EE145" s="221"/>
      <c r="EF145" s="313"/>
      <c r="EG145" s="249"/>
      <c r="EH145" s="221"/>
      <c r="EI145" s="313"/>
      <c r="EJ145" s="249"/>
      <c r="EK145" s="216"/>
      <c r="EL145" s="1435"/>
      <c r="EM145" s="1619"/>
      <c r="EN145" s="1268"/>
      <c r="EO145" s="1563"/>
      <c r="EP145" s="1268"/>
      <c r="EQ145" s="1563"/>
      <c r="ER145" s="1268"/>
      <c r="ES145" s="1563"/>
      <c r="ET145" s="1268"/>
      <c r="EU145" s="1682"/>
      <c r="EV145" s="1683"/>
      <c r="EW145" s="1684"/>
      <c r="EX145" s="1685"/>
      <c r="EY145" s="1030"/>
      <c r="EZ145" s="349"/>
      <c r="FA145" s="395"/>
      <c r="FB145" s="223"/>
      <c r="FC145" s="1030"/>
      <c r="FD145" s="349"/>
      <c r="FE145" s="1031"/>
      <c r="FF145" s="358"/>
      <c r="FG145" s="256"/>
      <c r="FH145" s="256"/>
      <c r="FI145" s="256"/>
      <c r="FJ145" s="256"/>
      <c r="FK145" s="19"/>
      <c r="FL145" s="126"/>
      <c r="FM145" s="126"/>
      <c r="FN145" s="126"/>
      <c r="FO145" s="957"/>
      <c r="FQ145" s="358"/>
      <c r="FR145" s="1190"/>
      <c r="FS145" s="1190"/>
      <c r="FT145" s="64"/>
      <c r="FU145" s="2879"/>
      <c r="FV145" s="2880"/>
      <c r="FW145" s="2881"/>
    </row>
    <row r="146" spans="1:179">
      <c r="A146" s="1023"/>
      <c r="B146" s="1023"/>
      <c r="C146" s="1023"/>
      <c r="T146" s="1186"/>
      <c r="U146" s="233"/>
      <c r="V146" s="216"/>
      <c r="W146" s="218"/>
      <c r="X146" s="218"/>
      <c r="Y146" s="216"/>
      <c r="Z146" s="216"/>
      <c r="AA146" s="1024"/>
      <c r="AB146" s="252"/>
      <c r="AC146" s="252"/>
      <c r="AD146" s="253"/>
      <c r="AE146" s="252"/>
      <c r="AF146" s="252"/>
      <c r="AG146" s="252"/>
      <c r="AH146" s="252"/>
      <c r="AI146" s="252"/>
      <c r="AJ146" s="252"/>
      <c r="AK146" s="253"/>
      <c r="AL146" s="252"/>
      <c r="AM146" s="252"/>
      <c r="AN146" s="252"/>
      <c r="AO146" s="252"/>
      <c r="AP146" s="1192"/>
      <c r="AQ146" s="252"/>
      <c r="AR146" s="252"/>
      <c r="AS146" s="252"/>
      <c r="AT146" s="252"/>
      <c r="AU146" s="252"/>
      <c r="AV146" s="1025"/>
      <c r="AW146" s="359"/>
      <c r="AX146" s="217"/>
      <c r="AY146" s="305"/>
      <c r="AZ146" s="249"/>
      <c r="BA146" s="221"/>
      <c r="BB146" s="300"/>
      <c r="BC146" s="217"/>
      <c r="BD146" s="219"/>
      <c r="BE146" s="1263"/>
      <c r="BF146" s="249"/>
      <c r="BG146" s="252"/>
      <c r="BH146" s="1543"/>
      <c r="BI146" s="1544"/>
      <c r="BJ146" s="1543"/>
      <c r="BK146" s="1545"/>
      <c r="BL146" s="260"/>
      <c r="BM146" s="217"/>
      <c r="BN146" s="220"/>
      <c r="BO146" s="220"/>
      <c r="BP146" s="355"/>
      <c r="BQ146" s="217"/>
      <c r="BR146" s="1026"/>
      <c r="BS146" s="249"/>
      <c r="BT146" s="260"/>
      <c r="BU146" s="1026"/>
      <c r="BV146" s="249"/>
      <c r="BW146" s="260"/>
      <c r="BX146" s="1026"/>
      <c r="BY146" s="249"/>
      <c r="BZ146" s="260"/>
      <c r="CA146" s="1026"/>
      <c r="CB146" s="249"/>
      <c r="CC146" s="260"/>
      <c r="CD146" s="1026"/>
      <c r="CE146" s="1269"/>
      <c r="CF146" s="1270"/>
      <c r="CG146" s="1026"/>
      <c r="CH146" s="293"/>
      <c r="CI146" s="326"/>
      <c r="CJ146" s="1027"/>
      <c r="CK146" s="249"/>
      <c r="CL146" s="260"/>
      <c r="CM146" s="1028"/>
      <c r="CN146" s="249"/>
      <c r="CO146" s="216"/>
      <c r="CP146" s="1029"/>
      <c r="CQ146" s="249"/>
      <c r="CR146" s="216"/>
      <c r="CS146" s="1029"/>
      <c r="CT146" s="249"/>
      <c r="CU146" s="216"/>
      <c r="CV146" s="1027"/>
      <c r="CW146" s="394"/>
      <c r="CX146" s="347"/>
      <c r="CY146" s="1027"/>
      <c r="CZ146" s="249"/>
      <c r="DA146" s="216"/>
      <c r="DB146" s="1027" t="str">
        <f t="shared" ref="DB146:DB177" si="23">IF(OR(FT146=0,FG146=""),"",IF(VLOOKUP(F146,Zk_PrestAll,62,0)=0,"",VLOOKUP(F146,Zk_PrestAll,62,0)))</f>
        <v/>
      </c>
      <c r="DC146" s="249"/>
      <c r="DD146" s="2519" t="str">
        <f t="shared" si="22"/>
        <v/>
      </c>
      <c r="DE146" s="1027"/>
      <c r="DF146" s="1556"/>
      <c r="DG146" s="1557"/>
      <c r="DH146" s="1027"/>
      <c r="DI146" s="1556"/>
      <c r="DJ146" s="1558"/>
      <c r="DK146" s="1027"/>
      <c r="DL146" s="249"/>
      <c r="DM146" s="216"/>
      <c r="DN146" s="313"/>
      <c r="DO146" s="249"/>
      <c r="DP146" s="216"/>
      <c r="DQ146" s="313"/>
      <c r="DR146" s="249"/>
      <c r="DS146" s="221"/>
      <c r="DT146" s="313"/>
      <c r="DU146" s="249"/>
      <c r="DV146" s="221"/>
      <c r="DW146" s="305"/>
      <c r="DX146" s="249"/>
      <c r="DY146" s="260"/>
      <c r="DZ146" s="350"/>
      <c r="EA146" s="249"/>
      <c r="EB146" s="221"/>
      <c r="EC146" s="313"/>
      <c r="ED146" s="249"/>
      <c r="EE146" s="221"/>
      <c r="EF146" s="313"/>
      <c r="EG146" s="249"/>
      <c r="EH146" s="221"/>
      <c r="EI146" s="313"/>
      <c r="EJ146" s="249"/>
      <c r="EK146" s="216"/>
      <c r="EL146" s="1435"/>
      <c r="EM146" s="1619"/>
      <c r="EN146" s="1268"/>
      <c r="EO146" s="1563"/>
      <c r="EP146" s="1268"/>
      <c r="EQ146" s="1563"/>
      <c r="ER146" s="1268"/>
      <c r="ES146" s="1563"/>
      <c r="ET146" s="1268"/>
      <c r="EU146" s="1682"/>
      <c r="EV146" s="1683"/>
      <c r="EW146" s="1684"/>
      <c r="EX146" s="1685"/>
      <c r="EY146" s="1030"/>
      <c r="EZ146" s="349"/>
      <c r="FA146" s="395"/>
      <c r="FB146" s="223"/>
      <c r="FC146" s="1030"/>
      <c r="FD146" s="349"/>
      <c r="FE146" s="1031"/>
      <c r="FF146" s="358"/>
      <c r="FG146" s="256"/>
      <c r="FH146" s="256"/>
      <c r="FI146" s="256"/>
      <c r="FJ146" s="256"/>
      <c r="FK146" s="19"/>
      <c r="FL146" s="126"/>
      <c r="FM146" s="126"/>
      <c r="FN146" s="126"/>
      <c r="FO146" s="957"/>
      <c r="FQ146" s="358"/>
      <c r="FR146" s="1190"/>
      <c r="FS146" s="1190"/>
      <c r="FT146" s="64"/>
      <c r="FU146" s="2879"/>
      <c r="FV146" s="2880"/>
      <c r="FW146" s="2881"/>
    </row>
    <row r="147" spans="1:179">
      <c r="A147" s="1023"/>
      <c r="B147" s="1023"/>
      <c r="C147" s="1023"/>
      <c r="T147" s="1186"/>
      <c r="U147" s="233"/>
      <c r="V147" s="216"/>
      <c r="W147" s="218"/>
      <c r="X147" s="218"/>
      <c r="Y147" s="216"/>
      <c r="Z147" s="216"/>
      <c r="AA147" s="1024"/>
      <c r="AB147" s="252"/>
      <c r="AC147" s="252"/>
      <c r="AD147" s="253"/>
      <c r="AE147" s="252"/>
      <c r="AF147" s="252"/>
      <c r="AG147" s="252"/>
      <c r="AH147" s="252"/>
      <c r="AI147" s="252"/>
      <c r="AJ147" s="252"/>
      <c r="AK147" s="253"/>
      <c r="AL147" s="252"/>
      <c r="AM147" s="252"/>
      <c r="AN147" s="252"/>
      <c r="AO147" s="252"/>
      <c r="AP147" s="1192"/>
      <c r="AQ147" s="252"/>
      <c r="AR147" s="252"/>
      <c r="AS147" s="252"/>
      <c r="AT147" s="252"/>
      <c r="AU147" s="252"/>
      <c r="AV147" s="1025"/>
      <c r="AW147" s="359"/>
      <c r="AX147" s="217"/>
      <c r="AY147" s="305"/>
      <c r="AZ147" s="249"/>
      <c r="BA147" s="221"/>
      <c r="BB147" s="300"/>
      <c r="BC147" s="217"/>
      <c r="BD147" s="219"/>
      <c r="BE147" s="1263"/>
      <c r="BF147" s="249"/>
      <c r="BG147" s="252"/>
      <c r="BH147" s="1543"/>
      <c r="BI147" s="1544"/>
      <c r="BJ147" s="1543"/>
      <c r="BK147" s="1545"/>
      <c r="BL147" s="260"/>
      <c r="BM147" s="217"/>
      <c r="BN147" s="220"/>
      <c r="BO147" s="220"/>
      <c r="BP147" s="355"/>
      <c r="BQ147" s="217"/>
      <c r="BR147" s="1026"/>
      <c r="BS147" s="249"/>
      <c r="BT147" s="260"/>
      <c r="BU147" s="1026"/>
      <c r="BV147" s="249"/>
      <c r="BW147" s="260"/>
      <c r="BX147" s="1026"/>
      <c r="BY147" s="249"/>
      <c r="BZ147" s="260"/>
      <c r="CA147" s="1026"/>
      <c r="CB147" s="249"/>
      <c r="CC147" s="260"/>
      <c r="CD147" s="1026"/>
      <c r="CE147" s="1269"/>
      <c r="CF147" s="1270"/>
      <c r="CG147" s="1026"/>
      <c r="CH147" s="293"/>
      <c r="CI147" s="326"/>
      <c r="CJ147" s="1027"/>
      <c r="CK147" s="249"/>
      <c r="CL147" s="260"/>
      <c r="CM147" s="1028"/>
      <c r="CN147" s="249"/>
      <c r="CO147" s="216"/>
      <c r="CP147" s="1029"/>
      <c r="CQ147" s="249"/>
      <c r="CR147" s="216"/>
      <c r="CS147" s="1029"/>
      <c r="CT147" s="249"/>
      <c r="CU147" s="216"/>
      <c r="CV147" s="1027"/>
      <c r="CW147" s="394"/>
      <c r="CX147" s="347"/>
      <c r="CY147" s="1027"/>
      <c r="CZ147" s="249"/>
      <c r="DA147" s="216"/>
      <c r="DB147" s="1027" t="str">
        <f t="shared" si="23"/>
        <v/>
      </c>
      <c r="DC147" s="249"/>
      <c r="DD147" s="2519" t="str">
        <f t="shared" si="22"/>
        <v/>
      </c>
      <c r="DE147" s="1027"/>
      <c r="DF147" s="1556"/>
      <c r="DG147" s="1557"/>
      <c r="DH147" s="1027"/>
      <c r="DI147" s="1556"/>
      <c r="DJ147" s="1558"/>
      <c r="DK147" s="1027"/>
      <c r="DL147" s="249"/>
      <c r="DM147" s="216"/>
      <c r="DN147" s="313"/>
      <c r="DO147" s="249"/>
      <c r="DP147" s="216"/>
      <c r="DQ147" s="313"/>
      <c r="DR147" s="249"/>
      <c r="DS147" s="221"/>
      <c r="DT147" s="313"/>
      <c r="DU147" s="249"/>
      <c r="DV147" s="221"/>
      <c r="DW147" s="305"/>
      <c r="DX147" s="249"/>
      <c r="DY147" s="260"/>
      <c r="DZ147" s="350"/>
      <c r="EA147" s="249"/>
      <c r="EB147" s="221"/>
      <c r="EC147" s="313"/>
      <c r="ED147" s="249"/>
      <c r="EE147" s="221"/>
      <c r="EF147" s="313"/>
      <c r="EG147" s="249"/>
      <c r="EH147" s="221"/>
      <c r="EI147" s="313"/>
      <c r="EJ147" s="249"/>
      <c r="EK147" s="216"/>
      <c r="EL147" s="1435"/>
      <c r="EM147" s="1619"/>
      <c r="EN147" s="1268"/>
      <c r="EO147" s="1563"/>
      <c r="EP147" s="1268"/>
      <c r="EQ147" s="1563"/>
      <c r="ER147" s="1268"/>
      <c r="ES147" s="1563"/>
      <c r="ET147" s="1268"/>
      <c r="EU147" s="1682"/>
      <c r="EV147" s="1683"/>
      <c r="EW147" s="1684"/>
      <c r="EX147" s="1685"/>
      <c r="EY147" s="1030"/>
      <c r="EZ147" s="349"/>
      <c r="FA147" s="395"/>
      <c r="FB147" s="223"/>
      <c r="FC147" s="1030"/>
      <c r="FD147" s="349"/>
      <c r="FE147" s="1031"/>
      <c r="FF147" s="358"/>
      <c r="FG147" s="256"/>
      <c r="FH147" s="256"/>
      <c r="FI147" s="256"/>
      <c r="FJ147" s="256"/>
      <c r="FK147" s="19"/>
      <c r="FL147" s="126"/>
      <c r="FM147" s="126"/>
      <c r="FN147" s="126"/>
      <c r="FO147" s="957"/>
      <c r="FQ147" s="358"/>
      <c r="FR147" s="1190"/>
      <c r="FS147" s="1190"/>
      <c r="FT147" s="64"/>
      <c r="FU147" s="2879"/>
      <c r="FV147" s="2880"/>
      <c r="FW147" s="2881"/>
    </row>
    <row r="148" spans="1:179">
      <c r="A148" s="1023"/>
      <c r="B148" s="1023"/>
      <c r="C148" s="1023"/>
      <c r="T148" s="1186"/>
      <c r="U148" s="233"/>
      <c r="V148" s="216"/>
      <c r="W148" s="218"/>
      <c r="X148" s="218"/>
      <c r="Y148" s="216"/>
      <c r="Z148" s="216"/>
      <c r="AA148" s="1024"/>
      <c r="AB148" s="252"/>
      <c r="AC148" s="252"/>
      <c r="AD148" s="253"/>
      <c r="AE148" s="252"/>
      <c r="AF148" s="252"/>
      <c r="AG148" s="252"/>
      <c r="AH148" s="252"/>
      <c r="AI148" s="252"/>
      <c r="AJ148" s="252"/>
      <c r="AK148" s="253"/>
      <c r="AL148" s="252"/>
      <c r="AM148" s="252"/>
      <c r="AN148" s="252"/>
      <c r="AO148" s="252"/>
      <c r="AP148" s="1192"/>
      <c r="AQ148" s="252"/>
      <c r="AR148" s="252"/>
      <c r="AS148" s="252"/>
      <c r="AT148" s="252"/>
      <c r="AU148" s="252"/>
      <c r="AV148" s="1025"/>
      <c r="AW148" s="359"/>
      <c r="AX148" s="217"/>
      <c r="AY148" s="305"/>
      <c r="AZ148" s="249"/>
      <c r="BA148" s="221"/>
      <c r="BB148" s="300"/>
      <c r="BC148" s="217"/>
      <c r="BD148" s="219"/>
      <c r="BE148" s="1263"/>
      <c r="BF148" s="249"/>
      <c r="BG148" s="252"/>
      <c r="BH148" s="1543"/>
      <c r="BI148" s="1544"/>
      <c r="BJ148" s="1543"/>
      <c r="BK148" s="1545"/>
      <c r="BL148" s="260"/>
      <c r="BM148" s="217"/>
      <c r="BN148" s="220"/>
      <c r="BO148" s="220"/>
      <c r="BP148" s="355"/>
      <c r="BQ148" s="217"/>
      <c r="BR148" s="1026"/>
      <c r="BS148" s="249"/>
      <c r="BT148" s="260"/>
      <c r="BU148" s="1026"/>
      <c r="BV148" s="249"/>
      <c r="BW148" s="260"/>
      <c r="BX148" s="1026"/>
      <c r="BY148" s="249"/>
      <c r="BZ148" s="260"/>
      <c r="CA148" s="1026"/>
      <c r="CB148" s="249"/>
      <c r="CC148" s="260"/>
      <c r="CD148" s="1026"/>
      <c r="CE148" s="1269"/>
      <c r="CF148" s="1270"/>
      <c r="CG148" s="1026"/>
      <c r="CH148" s="293"/>
      <c r="CI148" s="326"/>
      <c r="CJ148" s="1027"/>
      <c r="CK148" s="249"/>
      <c r="CL148" s="260"/>
      <c r="CM148" s="1028"/>
      <c r="CN148" s="249"/>
      <c r="CO148" s="216"/>
      <c r="CP148" s="1029"/>
      <c r="CQ148" s="249"/>
      <c r="CR148" s="216"/>
      <c r="CS148" s="1029"/>
      <c r="CT148" s="249"/>
      <c r="CU148" s="216"/>
      <c r="CV148" s="1027"/>
      <c r="CW148" s="394"/>
      <c r="CX148" s="347"/>
      <c r="CY148" s="1027"/>
      <c r="CZ148" s="249"/>
      <c r="DA148" s="216"/>
      <c r="DB148" s="1027" t="str">
        <f t="shared" si="23"/>
        <v/>
      </c>
      <c r="DC148" s="249"/>
      <c r="DD148" s="2519" t="str">
        <f t="shared" si="22"/>
        <v/>
      </c>
      <c r="DE148" s="1027"/>
      <c r="DF148" s="1556"/>
      <c r="DG148" s="1557"/>
      <c r="DH148" s="1027"/>
      <c r="DI148" s="1556"/>
      <c r="DJ148" s="1558"/>
      <c r="DK148" s="1027"/>
      <c r="DL148" s="249"/>
      <c r="DM148" s="216"/>
      <c r="DN148" s="313"/>
      <c r="DO148" s="249"/>
      <c r="DP148" s="216"/>
      <c r="DQ148" s="313"/>
      <c r="DR148" s="249"/>
      <c r="DS148" s="221"/>
      <c r="DT148" s="313"/>
      <c r="DU148" s="249"/>
      <c r="DV148" s="221"/>
      <c r="DW148" s="305"/>
      <c r="DX148" s="249"/>
      <c r="DY148" s="260"/>
      <c r="DZ148" s="350"/>
      <c r="EA148" s="249"/>
      <c r="EB148" s="221"/>
      <c r="EC148" s="313"/>
      <c r="ED148" s="249"/>
      <c r="EE148" s="221"/>
      <c r="EF148" s="313"/>
      <c r="EG148" s="249"/>
      <c r="EH148" s="221"/>
      <c r="EI148" s="313"/>
      <c r="EJ148" s="249"/>
      <c r="EK148" s="216"/>
      <c r="EL148" s="1435"/>
      <c r="EM148" s="1619"/>
      <c r="EN148" s="1268"/>
      <c r="EO148" s="1563"/>
      <c r="EP148" s="1268"/>
      <c r="EQ148" s="1563"/>
      <c r="ER148" s="1268"/>
      <c r="ES148" s="1563"/>
      <c r="ET148" s="1268"/>
      <c r="EU148" s="1682"/>
      <c r="EV148" s="1683"/>
      <c r="EW148" s="1684"/>
      <c r="EX148" s="1685"/>
      <c r="EY148" s="1030"/>
      <c r="EZ148" s="349"/>
      <c r="FA148" s="395"/>
      <c r="FB148" s="223"/>
      <c r="FC148" s="1030"/>
      <c r="FD148" s="349"/>
      <c r="FE148" s="1031"/>
      <c r="FF148" s="358"/>
      <c r="FG148" s="256"/>
      <c r="FH148" s="256"/>
      <c r="FI148" s="256"/>
      <c r="FJ148" s="256"/>
      <c r="FK148" s="19"/>
      <c r="FL148" s="126"/>
      <c r="FM148" s="126"/>
      <c r="FN148" s="126"/>
      <c r="FO148" s="957"/>
      <c r="FQ148" s="358"/>
      <c r="FR148" s="1190"/>
      <c r="FS148" s="1190"/>
      <c r="FT148" s="64"/>
      <c r="FU148" s="2879"/>
      <c r="FV148" s="2880"/>
      <c r="FW148" s="2881"/>
    </row>
    <row r="149" spans="1:179">
      <c r="A149" s="1023"/>
      <c r="B149" s="1023"/>
      <c r="C149" s="1023"/>
      <c r="T149" s="1186"/>
      <c r="U149" s="233"/>
      <c r="V149" s="216"/>
      <c r="W149" s="218"/>
      <c r="X149" s="218"/>
      <c r="Y149" s="216"/>
      <c r="Z149" s="216"/>
      <c r="AA149" s="1024"/>
      <c r="AB149" s="252"/>
      <c r="AC149" s="252"/>
      <c r="AD149" s="253"/>
      <c r="AE149" s="252"/>
      <c r="AF149" s="252"/>
      <c r="AG149" s="252"/>
      <c r="AH149" s="252"/>
      <c r="AI149" s="252"/>
      <c r="AJ149" s="252"/>
      <c r="AK149" s="253"/>
      <c r="AL149" s="252"/>
      <c r="AM149" s="252"/>
      <c r="AN149" s="252"/>
      <c r="AO149" s="252"/>
      <c r="AP149" s="1192"/>
      <c r="AQ149" s="252"/>
      <c r="AR149" s="252"/>
      <c r="AS149" s="252"/>
      <c r="AT149" s="252"/>
      <c r="AU149" s="252"/>
      <c r="AV149" s="1025"/>
      <c r="AW149" s="359"/>
      <c r="AX149" s="217"/>
      <c r="AY149" s="305"/>
      <c r="AZ149" s="249"/>
      <c r="BA149" s="221"/>
      <c r="BB149" s="300"/>
      <c r="BC149" s="217"/>
      <c r="BD149" s="219"/>
      <c r="BE149" s="1263"/>
      <c r="BF149" s="249"/>
      <c r="BG149" s="252"/>
      <c r="BH149" s="1543"/>
      <c r="BI149" s="1544"/>
      <c r="BJ149" s="1543"/>
      <c r="BK149" s="1545"/>
      <c r="BL149" s="260"/>
      <c r="BM149" s="217"/>
      <c r="BN149" s="220"/>
      <c r="BO149" s="220"/>
      <c r="BP149" s="355"/>
      <c r="BQ149" s="217"/>
      <c r="BR149" s="1026"/>
      <c r="BS149" s="249"/>
      <c r="BT149" s="260"/>
      <c r="BU149" s="1026"/>
      <c r="BV149" s="249"/>
      <c r="BW149" s="260"/>
      <c r="BX149" s="1026"/>
      <c r="BY149" s="249"/>
      <c r="BZ149" s="260"/>
      <c r="CA149" s="1026"/>
      <c r="CB149" s="249"/>
      <c r="CC149" s="260"/>
      <c r="CD149" s="1026"/>
      <c r="CE149" s="1269"/>
      <c r="CF149" s="1270"/>
      <c r="CG149" s="1026"/>
      <c r="CH149" s="293"/>
      <c r="CI149" s="326"/>
      <c r="CJ149" s="1027"/>
      <c r="CK149" s="249"/>
      <c r="CL149" s="260"/>
      <c r="CM149" s="1028"/>
      <c r="CN149" s="249"/>
      <c r="CO149" s="216"/>
      <c r="CP149" s="1029"/>
      <c r="CQ149" s="249"/>
      <c r="CR149" s="216"/>
      <c r="CS149" s="1029"/>
      <c r="CT149" s="249"/>
      <c r="CU149" s="216"/>
      <c r="CV149" s="1027"/>
      <c r="CW149" s="394"/>
      <c r="CX149" s="347"/>
      <c r="CY149" s="1027"/>
      <c r="CZ149" s="249"/>
      <c r="DA149" s="216"/>
      <c r="DB149" s="1027" t="str">
        <f t="shared" si="23"/>
        <v/>
      </c>
      <c r="DC149" s="249"/>
      <c r="DD149" s="2519" t="str">
        <f t="shared" si="22"/>
        <v/>
      </c>
      <c r="DE149" s="1027"/>
      <c r="DF149" s="1556"/>
      <c r="DG149" s="1557"/>
      <c r="DH149" s="1027"/>
      <c r="DI149" s="1556"/>
      <c r="DJ149" s="1558"/>
      <c r="DK149" s="1027"/>
      <c r="DL149" s="249"/>
      <c r="DM149" s="216"/>
      <c r="DN149" s="313"/>
      <c r="DO149" s="249"/>
      <c r="DP149" s="216"/>
      <c r="DQ149" s="313"/>
      <c r="DR149" s="249"/>
      <c r="DS149" s="221"/>
      <c r="DT149" s="313"/>
      <c r="DU149" s="249"/>
      <c r="DV149" s="221"/>
      <c r="DW149" s="305"/>
      <c r="DX149" s="249"/>
      <c r="DY149" s="260"/>
      <c r="DZ149" s="350"/>
      <c r="EA149" s="249"/>
      <c r="EB149" s="221"/>
      <c r="EC149" s="313"/>
      <c r="ED149" s="249"/>
      <c r="EE149" s="221"/>
      <c r="EF149" s="313"/>
      <c r="EG149" s="249"/>
      <c r="EH149" s="221"/>
      <c r="EI149" s="313"/>
      <c r="EJ149" s="249"/>
      <c r="EK149" s="216"/>
      <c r="EL149" s="1435"/>
      <c r="EM149" s="1619"/>
      <c r="EN149" s="1268"/>
      <c r="EO149" s="1563"/>
      <c r="EP149" s="1268"/>
      <c r="EQ149" s="1563"/>
      <c r="ER149" s="1268"/>
      <c r="ES149" s="1563"/>
      <c r="ET149" s="1268"/>
      <c r="EU149" s="1682"/>
      <c r="EV149" s="1683"/>
      <c r="EW149" s="1684"/>
      <c r="EX149" s="1685"/>
      <c r="EY149" s="1030"/>
      <c r="EZ149" s="349"/>
      <c r="FA149" s="395"/>
      <c r="FB149" s="223"/>
      <c r="FC149" s="1030"/>
      <c r="FD149" s="349"/>
      <c r="FE149" s="1031"/>
      <c r="FF149" s="358"/>
      <c r="FG149" s="256"/>
      <c r="FH149" s="256"/>
      <c r="FI149" s="256"/>
      <c r="FJ149" s="256"/>
      <c r="FK149" s="19"/>
      <c r="FL149" s="126"/>
      <c r="FM149" s="126"/>
      <c r="FN149" s="126"/>
      <c r="FO149" s="957"/>
      <c r="FQ149" s="358"/>
      <c r="FR149" s="1190"/>
      <c r="FS149" s="1190"/>
      <c r="FT149" s="64"/>
      <c r="FU149" s="2879"/>
      <c r="FV149" s="2880"/>
      <c r="FW149" s="2881"/>
    </row>
    <row r="150" spans="1:179">
      <c r="A150" s="1023"/>
      <c r="B150" s="1023"/>
      <c r="C150" s="1023"/>
      <c r="T150" s="1186"/>
      <c r="U150" s="233"/>
      <c r="V150" s="216"/>
      <c r="W150" s="218"/>
      <c r="X150" s="218"/>
      <c r="Y150" s="216"/>
      <c r="Z150" s="216"/>
      <c r="AA150" s="1024"/>
      <c r="AB150" s="252"/>
      <c r="AC150" s="252"/>
      <c r="AD150" s="253"/>
      <c r="AE150" s="252"/>
      <c r="AF150" s="252"/>
      <c r="AG150" s="252"/>
      <c r="AH150" s="252"/>
      <c r="AI150" s="252"/>
      <c r="AJ150" s="252"/>
      <c r="AK150" s="253"/>
      <c r="AL150" s="252"/>
      <c r="AM150" s="252"/>
      <c r="AN150" s="252"/>
      <c r="AO150" s="252"/>
      <c r="AP150" s="1192"/>
      <c r="AQ150" s="252"/>
      <c r="AR150" s="252"/>
      <c r="AS150" s="252"/>
      <c r="AT150" s="252"/>
      <c r="AU150" s="252"/>
      <c r="AV150" s="1025"/>
      <c r="AW150" s="359"/>
      <c r="AX150" s="217"/>
      <c r="AY150" s="305"/>
      <c r="AZ150" s="249"/>
      <c r="BA150" s="221"/>
      <c r="BB150" s="300"/>
      <c r="BC150" s="217"/>
      <c r="BD150" s="219"/>
      <c r="BE150" s="1263"/>
      <c r="BF150" s="249"/>
      <c r="BG150" s="252"/>
      <c r="BH150" s="1543"/>
      <c r="BI150" s="1544"/>
      <c r="BJ150" s="1543"/>
      <c r="BK150" s="1545"/>
      <c r="BL150" s="260"/>
      <c r="BM150" s="217"/>
      <c r="BN150" s="220"/>
      <c r="BO150" s="220"/>
      <c r="BP150" s="355"/>
      <c r="BQ150" s="217"/>
      <c r="BR150" s="1026"/>
      <c r="BS150" s="249"/>
      <c r="BT150" s="260"/>
      <c r="BU150" s="1026"/>
      <c r="BV150" s="249"/>
      <c r="BW150" s="260"/>
      <c r="BX150" s="1026"/>
      <c r="BY150" s="249"/>
      <c r="BZ150" s="260"/>
      <c r="CA150" s="1026"/>
      <c r="CB150" s="249"/>
      <c r="CC150" s="260"/>
      <c r="CD150" s="1026"/>
      <c r="CE150" s="1269"/>
      <c r="CF150" s="1270"/>
      <c r="CG150" s="1026"/>
      <c r="CH150" s="293"/>
      <c r="CI150" s="326"/>
      <c r="CJ150" s="1027"/>
      <c r="CK150" s="249"/>
      <c r="CL150" s="260"/>
      <c r="CM150" s="1028"/>
      <c r="CN150" s="249"/>
      <c r="CO150" s="216"/>
      <c r="CP150" s="1029"/>
      <c r="CQ150" s="249"/>
      <c r="CR150" s="216"/>
      <c r="CS150" s="1029"/>
      <c r="CT150" s="249"/>
      <c r="CU150" s="216"/>
      <c r="CV150" s="1027"/>
      <c r="CW150" s="394"/>
      <c r="CX150" s="347"/>
      <c r="CY150" s="1027"/>
      <c r="CZ150" s="249"/>
      <c r="DA150" s="216"/>
      <c r="DB150" s="1027" t="str">
        <f t="shared" si="23"/>
        <v/>
      </c>
      <c r="DC150" s="249"/>
      <c r="DD150" s="2519" t="str">
        <f t="shared" si="22"/>
        <v/>
      </c>
      <c r="DE150" s="1027"/>
      <c r="DF150" s="1556"/>
      <c r="DG150" s="1557"/>
      <c r="DH150" s="1027"/>
      <c r="DI150" s="1556"/>
      <c r="DJ150" s="1558"/>
      <c r="DK150" s="1027"/>
      <c r="DL150" s="249"/>
      <c r="DM150" s="216"/>
      <c r="DN150" s="313"/>
      <c r="DO150" s="249"/>
      <c r="DP150" s="216"/>
      <c r="DQ150" s="313"/>
      <c r="DR150" s="249"/>
      <c r="DS150" s="221"/>
      <c r="DT150" s="313"/>
      <c r="DU150" s="249"/>
      <c r="DV150" s="221"/>
      <c r="DW150" s="305"/>
      <c r="DX150" s="249"/>
      <c r="DY150" s="260"/>
      <c r="DZ150" s="350"/>
      <c r="EA150" s="249"/>
      <c r="EB150" s="221"/>
      <c r="EC150" s="313"/>
      <c r="ED150" s="249"/>
      <c r="EE150" s="221"/>
      <c r="EF150" s="313"/>
      <c r="EG150" s="249"/>
      <c r="EH150" s="221"/>
      <c r="EI150" s="313"/>
      <c r="EJ150" s="249"/>
      <c r="EK150" s="216"/>
      <c r="EL150" s="1435"/>
      <c r="EM150" s="1619"/>
      <c r="EN150" s="1268"/>
      <c r="EO150" s="1563"/>
      <c r="EP150" s="1268"/>
      <c r="EQ150" s="1563"/>
      <c r="ER150" s="1268"/>
      <c r="ES150" s="1563"/>
      <c r="ET150" s="1268"/>
      <c r="EU150" s="1682"/>
      <c r="EV150" s="1683"/>
      <c r="EW150" s="1684"/>
      <c r="EX150" s="1685"/>
      <c r="EY150" s="1030"/>
      <c r="EZ150" s="349"/>
      <c r="FA150" s="395"/>
      <c r="FB150" s="223"/>
      <c r="FC150" s="1030"/>
      <c r="FD150" s="349"/>
      <c r="FE150" s="1031"/>
      <c r="FF150" s="358"/>
      <c r="FG150" s="256"/>
      <c r="FH150" s="256"/>
      <c r="FI150" s="256"/>
      <c r="FJ150" s="256"/>
      <c r="FK150" s="19"/>
      <c r="FL150" s="126"/>
      <c r="FM150" s="126"/>
      <c r="FN150" s="126"/>
      <c r="FO150" s="957"/>
      <c r="FQ150" s="358"/>
      <c r="FR150" s="1190"/>
      <c r="FS150" s="1190"/>
      <c r="FT150" s="64"/>
      <c r="FU150" s="2879"/>
      <c r="FV150" s="2880"/>
      <c r="FW150" s="2881"/>
    </row>
    <row r="151" spans="1:179">
      <c r="A151" s="1023"/>
      <c r="B151" s="1023"/>
      <c r="C151" s="1023"/>
      <c r="T151" s="1186"/>
      <c r="U151" s="233"/>
      <c r="V151" s="216"/>
      <c r="W151" s="218"/>
      <c r="X151" s="218"/>
      <c r="Y151" s="216"/>
      <c r="Z151" s="216"/>
      <c r="AA151" s="1024"/>
      <c r="AB151" s="252"/>
      <c r="AC151" s="252"/>
      <c r="AD151" s="253"/>
      <c r="AE151" s="252"/>
      <c r="AF151" s="252"/>
      <c r="AG151" s="252"/>
      <c r="AH151" s="252"/>
      <c r="AI151" s="252"/>
      <c r="AJ151" s="252"/>
      <c r="AK151" s="253"/>
      <c r="AL151" s="252"/>
      <c r="AM151" s="252"/>
      <c r="AN151" s="252"/>
      <c r="AO151" s="252"/>
      <c r="AP151" s="1192"/>
      <c r="AQ151" s="252"/>
      <c r="AR151" s="252"/>
      <c r="AS151" s="252"/>
      <c r="AT151" s="252"/>
      <c r="AU151" s="252"/>
      <c r="AV151" s="1025"/>
      <c r="AW151" s="359"/>
      <c r="AX151" s="217"/>
      <c r="AY151" s="305"/>
      <c r="AZ151" s="249"/>
      <c r="BA151" s="221"/>
      <c r="BB151" s="300"/>
      <c r="BC151" s="217"/>
      <c r="BD151" s="219"/>
      <c r="BE151" s="1263"/>
      <c r="BF151" s="249"/>
      <c r="BG151" s="252"/>
      <c r="BH151" s="1543"/>
      <c r="BI151" s="1544"/>
      <c r="BJ151" s="1543"/>
      <c r="BK151" s="1545"/>
      <c r="BL151" s="260"/>
      <c r="BM151" s="217"/>
      <c r="BN151" s="220"/>
      <c r="BO151" s="220"/>
      <c r="BP151" s="355"/>
      <c r="BQ151" s="217"/>
      <c r="BR151" s="1026"/>
      <c r="BS151" s="249"/>
      <c r="BT151" s="260"/>
      <c r="BU151" s="1026"/>
      <c r="BV151" s="249"/>
      <c r="BW151" s="260"/>
      <c r="BX151" s="1026"/>
      <c r="BY151" s="249"/>
      <c r="BZ151" s="260"/>
      <c r="CA151" s="1026"/>
      <c r="CB151" s="249"/>
      <c r="CC151" s="260"/>
      <c r="CD151" s="1026"/>
      <c r="CE151" s="1269"/>
      <c r="CF151" s="1270"/>
      <c r="CG151" s="1026"/>
      <c r="CH151" s="293"/>
      <c r="CI151" s="326"/>
      <c r="CJ151" s="1027"/>
      <c r="CK151" s="249"/>
      <c r="CL151" s="260"/>
      <c r="CM151" s="1028"/>
      <c r="CN151" s="249"/>
      <c r="CO151" s="216"/>
      <c r="CP151" s="1029"/>
      <c r="CQ151" s="249"/>
      <c r="CR151" s="216"/>
      <c r="CS151" s="1029"/>
      <c r="CT151" s="249"/>
      <c r="CU151" s="216"/>
      <c r="CV151" s="1027"/>
      <c r="CW151" s="394"/>
      <c r="CX151" s="347"/>
      <c r="CY151" s="1027"/>
      <c r="CZ151" s="249"/>
      <c r="DA151" s="216"/>
      <c r="DB151" s="1027" t="str">
        <f t="shared" si="23"/>
        <v/>
      </c>
      <c r="DC151" s="249"/>
      <c r="DD151" s="2519" t="str">
        <f t="shared" si="22"/>
        <v/>
      </c>
      <c r="DE151" s="1027"/>
      <c r="DF151" s="1556"/>
      <c r="DG151" s="1557"/>
      <c r="DH151" s="1027"/>
      <c r="DI151" s="1556"/>
      <c r="DJ151" s="1558"/>
      <c r="DK151" s="1027"/>
      <c r="DL151" s="249"/>
      <c r="DM151" s="216"/>
      <c r="DN151" s="313"/>
      <c r="DO151" s="249"/>
      <c r="DP151" s="216"/>
      <c r="DQ151" s="313"/>
      <c r="DR151" s="249"/>
      <c r="DS151" s="221"/>
      <c r="DT151" s="313"/>
      <c r="DU151" s="249"/>
      <c r="DV151" s="221"/>
      <c r="DW151" s="305"/>
      <c r="DX151" s="249"/>
      <c r="DY151" s="260"/>
      <c r="DZ151" s="350"/>
      <c r="EA151" s="249"/>
      <c r="EB151" s="221"/>
      <c r="EC151" s="313"/>
      <c r="ED151" s="249"/>
      <c r="EE151" s="221"/>
      <c r="EF151" s="313"/>
      <c r="EG151" s="249"/>
      <c r="EH151" s="221"/>
      <c r="EI151" s="313"/>
      <c r="EJ151" s="249"/>
      <c r="EK151" s="216"/>
      <c r="EL151" s="1435"/>
      <c r="EM151" s="1619"/>
      <c r="EN151" s="1268"/>
      <c r="EO151" s="1563"/>
      <c r="EP151" s="1268"/>
      <c r="EQ151" s="1563"/>
      <c r="ER151" s="1268"/>
      <c r="ES151" s="1563"/>
      <c r="ET151" s="1268"/>
      <c r="EU151" s="1682"/>
      <c r="EV151" s="1683"/>
      <c r="EW151" s="1684"/>
      <c r="EX151" s="1685"/>
      <c r="EY151" s="1030"/>
      <c r="EZ151" s="349"/>
      <c r="FA151" s="395"/>
      <c r="FB151" s="223"/>
      <c r="FC151" s="1030"/>
      <c r="FD151" s="349"/>
      <c r="FE151" s="1031"/>
      <c r="FF151" s="358"/>
      <c r="FG151" s="256"/>
      <c r="FH151" s="256"/>
      <c r="FI151" s="256"/>
      <c r="FJ151" s="256"/>
      <c r="FK151" s="19"/>
      <c r="FL151" s="126"/>
      <c r="FM151" s="126"/>
      <c r="FN151" s="126"/>
      <c r="FO151" s="957"/>
      <c r="FQ151" s="358"/>
      <c r="FR151" s="1190"/>
      <c r="FS151" s="1190"/>
      <c r="FT151" s="64"/>
      <c r="FU151" s="2879"/>
      <c r="FV151" s="2880"/>
      <c r="FW151" s="2881"/>
    </row>
    <row r="152" spans="1:179">
      <c r="A152" s="1023"/>
      <c r="B152" s="1023"/>
      <c r="C152" s="1023"/>
      <c r="T152" s="1186"/>
      <c r="U152" s="233"/>
      <c r="V152" s="216"/>
      <c r="W152" s="218"/>
      <c r="X152" s="218"/>
      <c r="Y152" s="216"/>
      <c r="Z152" s="216"/>
      <c r="AA152" s="1024"/>
      <c r="AB152" s="252"/>
      <c r="AC152" s="252"/>
      <c r="AD152" s="253"/>
      <c r="AE152" s="252"/>
      <c r="AF152" s="252"/>
      <c r="AG152" s="252"/>
      <c r="AH152" s="252"/>
      <c r="AI152" s="252"/>
      <c r="AJ152" s="252"/>
      <c r="AK152" s="253"/>
      <c r="AL152" s="252"/>
      <c r="AM152" s="252"/>
      <c r="AN152" s="252"/>
      <c r="AO152" s="252"/>
      <c r="AP152" s="1192"/>
      <c r="AQ152" s="252"/>
      <c r="AR152" s="252"/>
      <c r="AS152" s="252"/>
      <c r="AT152" s="252"/>
      <c r="AU152" s="252"/>
      <c r="AV152" s="1025"/>
      <c r="AW152" s="359"/>
      <c r="AX152" s="217"/>
      <c r="AY152" s="305"/>
      <c r="AZ152" s="249"/>
      <c r="BA152" s="221"/>
      <c r="BB152" s="300"/>
      <c r="BC152" s="217"/>
      <c r="BD152" s="219"/>
      <c r="BE152" s="1263"/>
      <c r="BF152" s="249"/>
      <c r="BG152" s="252"/>
      <c r="BH152" s="1543"/>
      <c r="BI152" s="1544"/>
      <c r="BJ152" s="1543"/>
      <c r="BK152" s="1545"/>
      <c r="BL152" s="260"/>
      <c r="BM152" s="217"/>
      <c r="BN152" s="220"/>
      <c r="BO152" s="220"/>
      <c r="BP152" s="355"/>
      <c r="BQ152" s="217"/>
      <c r="BR152" s="1026"/>
      <c r="BS152" s="249"/>
      <c r="BT152" s="260"/>
      <c r="BU152" s="1026"/>
      <c r="BV152" s="249"/>
      <c r="BW152" s="260"/>
      <c r="BX152" s="1026"/>
      <c r="BY152" s="249"/>
      <c r="BZ152" s="260"/>
      <c r="CA152" s="1026"/>
      <c r="CB152" s="249"/>
      <c r="CC152" s="260"/>
      <c r="CD152" s="1026"/>
      <c r="CE152" s="1269"/>
      <c r="CF152" s="1270"/>
      <c r="CG152" s="1026"/>
      <c r="CH152" s="293"/>
      <c r="CI152" s="326"/>
      <c r="CJ152" s="1027"/>
      <c r="CK152" s="249"/>
      <c r="CL152" s="260"/>
      <c r="CM152" s="1028"/>
      <c r="CN152" s="249"/>
      <c r="CO152" s="216"/>
      <c r="CP152" s="1029"/>
      <c r="CQ152" s="249"/>
      <c r="CR152" s="216"/>
      <c r="CS152" s="1029"/>
      <c r="CT152" s="249"/>
      <c r="CU152" s="216"/>
      <c r="CV152" s="1027"/>
      <c r="CW152" s="394"/>
      <c r="CX152" s="347"/>
      <c r="CY152" s="1027"/>
      <c r="CZ152" s="249"/>
      <c r="DA152" s="216"/>
      <c r="DB152" s="1027" t="str">
        <f t="shared" si="23"/>
        <v/>
      </c>
      <c r="DC152" s="249"/>
      <c r="DD152" s="2519" t="str">
        <f t="shared" si="22"/>
        <v/>
      </c>
      <c r="DE152" s="1027"/>
      <c r="DF152" s="1556"/>
      <c r="DG152" s="1557"/>
      <c r="DH152" s="1027"/>
      <c r="DI152" s="1556"/>
      <c r="DJ152" s="1558"/>
      <c r="DK152" s="1027"/>
      <c r="DL152" s="249"/>
      <c r="DM152" s="216"/>
      <c r="DN152" s="313"/>
      <c r="DO152" s="249"/>
      <c r="DP152" s="216"/>
      <c r="DQ152" s="313"/>
      <c r="DR152" s="249"/>
      <c r="DS152" s="221"/>
      <c r="DT152" s="313"/>
      <c r="DU152" s="249"/>
      <c r="DV152" s="221"/>
      <c r="DW152" s="305"/>
      <c r="DX152" s="249"/>
      <c r="DY152" s="260"/>
      <c r="DZ152" s="350"/>
      <c r="EA152" s="249"/>
      <c r="EB152" s="221"/>
      <c r="EC152" s="313"/>
      <c r="ED152" s="249"/>
      <c r="EE152" s="221"/>
      <c r="EF152" s="313"/>
      <c r="EG152" s="249"/>
      <c r="EH152" s="221"/>
      <c r="EI152" s="313"/>
      <c r="EJ152" s="249"/>
      <c r="EK152" s="216"/>
      <c r="EL152" s="1435"/>
      <c r="EM152" s="1619"/>
      <c r="EN152" s="1268"/>
      <c r="EO152" s="1563"/>
      <c r="EP152" s="1268"/>
      <c r="EQ152" s="1563"/>
      <c r="ER152" s="1268"/>
      <c r="ES152" s="1563"/>
      <c r="ET152" s="1268"/>
      <c r="EU152" s="1682"/>
      <c r="EV152" s="1683"/>
      <c r="EW152" s="1684"/>
      <c r="EX152" s="1685"/>
      <c r="EY152" s="1030"/>
      <c r="EZ152" s="349"/>
      <c r="FA152" s="395"/>
      <c r="FB152" s="223"/>
      <c r="FC152" s="1030"/>
      <c r="FD152" s="349"/>
      <c r="FE152" s="1031"/>
      <c r="FF152" s="358"/>
      <c r="FG152" s="256"/>
      <c r="FH152" s="256"/>
      <c r="FI152" s="256"/>
      <c r="FJ152" s="256"/>
      <c r="FK152" s="19"/>
      <c r="FL152" s="126"/>
      <c r="FM152" s="126"/>
      <c r="FN152" s="126"/>
      <c r="FO152" s="957"/>
      <c r="FQ152" s="358"/>
      <c r="FR152" s="1190"/>
      <c r="FS152" s="1190"/>
      <c r="FT152" s="64"/>
      <c r="FU152" s="2879"/>
      <c r="FV152" s="2880"/>
      <c r="FW152" s="2881"/>
    </row>
    <row r="153" spans="1:179">
      <c r="A153" s="1023"/>
      <c r="B153" s="1023"/>
      <c r="C153" s="1023"/>
      <c r="T153" s="1186"/>
      <c r="U153" s="233"/>
      <c r="V153" s="216"/>
      <c r="W153" s="218"/>
      <c r="X153" s="218"/>
      <c r="Y153" s="216"/>
      <c r="Z153" s="216"/>
      <c r="AA153" s="1024"/>
      <c r="AB153" s="252"/>
      <c r="AC153" s="252"/>
      <c r="AD153" s="253"/>
      <c r="AE153" s="252"/>
      <c r="AF153" s="252"/>
      <c r="AG153" s="252"/>
      <c r="AH153" s="252"/>
      <c r="AI153" s="252"/>
      <c r="AJ153" s="252"/>
      <c r="AK153" s="253"/>
      <c r="AL153" s="252"/>
      <c r="AM153" s="252"/>
      <c r="AN153" s="252"/>
      <c r="AO153" s="252"/>
      <c r="AP153" s="1192"/>
      <c r="AQ153" s="252"/>
      <c r="AR153" s="252"/>
      <c r="AS153" s="252"/>
      <c r="AT153" s="252"/>
      <c r="AU153" s="252"/>
      <c r="AV153" s="1025"/>
      <c r="AW153" s="359"/>
      <c r="AX153" s="217"/>
      <c r="AY153" s="305"/>
      <c r="AZ153" s="249"/>
      <c r="BA153" s="221"/>
      <c r="BB153" s="300"/>
      <c r="BC153" s="217"/>
      <c r="BD153" s="219"/>
      <c r="BE153" s="1263"/>
      <c r="BF153" s="249"/>
      <c r="BG153" s="252"/>
      <c r="BH153" s="1543"/>
      <c r="BI153" s="1544"/>
      <c r="BJ153" s="1543"/>
      <c r="BK153" s="1545"/>
      <c r="BL153" s="260"/>
      <c r="BM153" s="217"/>
      <c r="BN153" s="220"/>
      <c r="BO153" s="220"/>
      <c r="BP153" s="355"/>
      <c r="BQ153" s="217"/>
      <c r="BR153" s="1026"/>
      <c r="BS153" s="249"/>
      <c r="BT153" s="260"/>
      <c r="BU153" s="1026"/>
      <c r="BV153" s="249"/>
      <c r="BW153" s="260"/>
      <c r="BX153" s="1026"/>
      <c r="BY153" s="249"/>
      <c r="BZ153" s="260"/>
      <c r="CA153" s="1026"/>
      <c r="CB153" s="249"/>
      <c r="CC153" s="260"/>
      <c r="CD153" s="1026"/>
      <c r="CE153" s="1269"/>
      <c r="CF153" s="1270"/>
      <c r="CG153" s="1026"/>
      <c r="CH153" s="293"/>
      <c r="CI153" s="326"/>
      <c r="CJ153" s="1027"/>
      <c r="CK153" s="249"/>
      <c r="CL153" s="260"/>
      <c r="CM153" s="1028"/>
      <c r="CN153" s="249"/>
      <c r="CO153" s="216"/>
      <c r="CP153" s="1029"/>
      <c r="CQ153" s="249"/>
      <c r="CR153" s="216"/>
      <c r="CS153" s="1029"/>
      <c r="CT153" s="249"/>
      <c r="CU153" s="216"/>
      <c r="CV153" s="1027"/>
      <c r="CW153" s="394"/>
      <c r="CX153" s="347"/>
      <c r="CY153" s="1027"/>
      <c r="CZ153" s="249"/>
      <c r="DA153" s="216"/>
      <c r="DB153" s="1027" t="str">
        <f t="shared" si="23"/>
        <v/>
      </c>
      <c r="DC153" s="249"/>
      <c r="DD153" s="2519" t="str">
        <f t="shared" si="22"/>
        <v/>
      </c>
      <c r="DE153" s="1027"/>
      <c r="DF153" s="1556"/>
      <c r="DG153" s="1557"/>
      <c r="DH153" s="1027"/>
      <c r="DI153" s="1556"/>
      <c r="DJ153" s="1558"/>
      <c r="DK153" s="1027"/>
      <c r="DL153" s="249"/>
      <c r="DM153" s="216"/>
      <c r="DN153" s="313"/>
      <c r="DO153" s="249"/>
      <c r="DP153" s="216"/>
      <c r="DQ153" s="313"/>
      <c r="DR153" s="249"/>
      <c r="DS153" s="221"/>
      <c r="DT153" s="313"/>
      <c r="DU153" s="249"/>
      <c r="DV153" s="221"/>
      <c r="DW153" s="305"/>
      <c r="DX153" s="249"/>
      <c r="DY153" s="260"/>
      <c r="DZ153" s="350"/>
      <c r="EA153" s="249"/>
      <c r="EB153" s="221"/>
      <c r="EC153" s="313"/>
      <c r="ED153" s="249"/>
      <c r="EE153" s="221"/>
      <c r="EF153" s="313"/>
      <c r="EG153" s="249"/>
      <c r="EH153" s="221"/>
      <c r="EI153" s="313"/>
      <c r="EJ153" s="249"/>
      <c r="EK153" s="216"/>
      <c r="EL153" s="1435"/>
      <c r="EM153" s="1619"/>
      <c r="EN153" s="1268"/>
      <c r="EO153" s="1563"/>
      <c r="EP153" s="1268"/>
      <c r="EQ153" s="1563"/>
      <c r="ER153" s="1268"/>
      <c r="ES153" s="1563"/>
      <c r="ET153" s="1268"/>
      <c r="EU153" s="1682"/>
      <c r="EV153" s="1683"/>
      <c r="EW153" s="1684"/>
      <c r="EX153" s="1685"/>
      <c r="EY153" s="1030"/>
      <c r="EZ153" s="349"/>
      <c r="FA153" s="395"/>
      <c r="FB153" s="223"/>
      <c r="FC153" s="1030"/>
      <c r="FD153" s="349"/>
      <c r="FE153" s="1031"/>
      <c r="FF153" s="358"/>
      <c r="FG153" s="256"/>
      <c r="FH153" s="256"/>
      <c r="FI153" s="256"/>
      <c r="FJ153" s="256"/>
      <c r="FK153" s="19"/>
      <c r="FL153" s="126"/>
      <c r="FM153" s="126"/>
      <c r="FN153" s="126"/>
      <c r="FO153" s="957"/>
      <c r="FQ153" s="358"/>
      <c r="FR153" s="1190"/>
      <c r="FS153" s="1190"/>
      <c r="FT153" s="64"/>
      <c r="FU153" s="2879"/>
      <c r="FV153" s="2880"/>
      <c r="FW153" s="2881"/>
    </row>
    <row r="154" spans="1:179">
      <c r="A154" s="1023"/>
      <c r="B154" s="1023"/>
      <c r="C154" s="1023"/>
      <c r="T154" s="1186"/>
      <c r="U154" s="233"/>
      <c r="V154" s="216"/>
      <c r="W154" s="218"/>
      <c r="X154" s="218"/>
      <c r="Y154" s="216"/>
      <c r="Z154" s="216"/>
      <c r="AA154" s="1024"/>
      <c r="AB154" s="252"/>
      <c r="AC154" s="252"/>
      <c r="AD154" s="253"/>
      <c r="AE154" s="252"/>
      <c r="AF154" s="252"/>
      <c r="AG154" s="252"/>
      <c r="AH154" s="252"/>
      <c r="AI154" s="252"/>
      <c r="AJ154" s="252"/>
      <c r="AK154" s="253"/>
      <c r="AL154" s="252"/>
      <c r="AM154" s="252"/>
      <c r="AN154" s="252"/>
      <c r="AO154" s="252"/>
      <c r="AP154" s="1192"/>
      <c r="AQ154" s="252"/>
      <c r="AR154" s="252"/>
      <c r="AS154" s="252"/>
      <c r="AT154" s="252"/>
      <c r="AU154" s="252"/>
      <c r="AV154" s="1025"/>
      <c r="AW154" s="359"/>
      <c r="AX154" s="217"/>
      <c r="AY154" s="305"/>
      <c r="AZ154" s="249"/>
      <c r="BA154" s="221"/>
      <c r="BB154" s="300"/>
      <c r="BC154" s="217"/>
      <c r="BD154" s="219"/>
      <c r="BE154" s="1263"/>
      <c r="BF154" s="249"/>
      <c r="BG154" s="252"/>
      <c r="BH154" s="1543"/>
      <c r="BI154" s="1544"/>
      <c r="BJ154" s="1543"/>
      <c r="BK154" s="1545"/>
      <c r="BL154" s="260"/>
      <c r="BM154" s="217"/>
      <c r="BN154" s="220"/>
      <c r="BO154" s="220"/>
      <c r="BP154" s="355"/>
      <c r="BQ154" s="217"/>
      <c r="BR154" s="1026"/>
      <c r="BS154" s="249"/>
      <c r="BT154" s="260"/>
      <c r="BU154" s="1026"/>
      <c r="BV154" s="249"/>
      <c r="BW154" s="260"/>
      <c r="BX154" s="1026"/>
      <c r="BY154" s="249"/>
      <c r="BZ154" s="260"/>
      <c r="CA154" s="1026"/>
      <c r="CB154" s="249"/>
      <c r="CC154" s="260"/>
      <c r="CD154" s="1026"/>
      <c r="CE154" s="1269"/>
      <c r="CF154" s="1270"/>
      <c r="CG154" s="1026"/>
      <c r="CH154" s="293"/>
      <c r="CI154" s="326"/>
      <c r="CJ154" s="1027"/>
      <c r="CK154" s="249"/>
      <c r="CL154" s="260"/>
      <c r="CM154" s="1028"/>
      <c r="CN154" s="249"/>
      <c r="CO154" s="216"/>
      <c r="CP154" s="1029"/>
      <c r="CQ154" s="249"/>
      <c r="CR154" s="216"/>
      <c r="CS154" s="1029"/>
      <c r="CT154" s="249"/>
      <c r="CU154" s="216"/>
      <c r="CV154" s="1027"/>
      <c r="CW154" s="394"/>
      <c r="CX154" s="347"/>
      <c r="CY154" s="1027"/>
      <c r="CZ154" s="249"/>
      <c r="DA154" s="216"/>
      <c r="DB154" s="1027" t="str">
        <f t="shared" si="23"/>
        <v/>
      </c>
      <c r="DC154" s="249"/>
      <c r="DD154" s="2519" t="str">
        <f t="shared" si="22"/>
        <v/>
      </c>
      <c r="DE154" s="1027"/>
      <c r="DF154" s="1556"/>
      <c r="DG154" s="1557"/>
      <c r="DH154" s="1027"/>
      <c r="DI154" s="1556"/>
      <c r="DJ154" s="1558"/>
      <c r="DK154" s="1027"/>
      <c r="DL154" s="249"/>
      <c r="DM154" s="216"/>
      <c r="DN154" s="313"/>
      <c r="DO154" s="249"/>
      <c r="DP154" s="216"/>
      <c r="DQ154" s="313"/>
      <c r="DR154" s="249"/>
      <c r="DS154" s="221"/>
      <c r="DT154" s="313"/>
      <c r="DU154" s="249"/>
      <c r="DV154" s="221"/>
      <c r="DW154" s="305"/>
      <c r="DX154" s="249"/>
      <c r="DY154" s="260"/>
      <c r="DZ154" s="350"/>
      <c r="EA154" s="249"/>
      <c r="EB154" s="221"/>
      <c r="EC154" s="313"/>
      <c r="ED154" s="249"/>
      <c r="EE154" s="221"/>
      <c r="EF154" s="313"/>
      <c r="EG154" s="249"/>
      <c r="EH154" s="221"/>
      <c r="EI154" s="313"/>
      <c r="EJ154" s="249"/>
      <c r="EK154" s="216"/>
      <c r="EL154" s="1435"/>
      <c r="EM154" s="1619"/>
      <c r="EN154" s="1268"/>
      <c r="EO154" s="1563"/>
      <c r="EP154" s="1268"/>
      <c r="EQ154" s="1563"/>
      <c r="ER154" s="1268"/>
      <c r="ES154" s="1563"/>
      <c r="ET154" s="1268"/>
      <c r="EU154" s="1682"/>
      <c r="EV154" s="1683"/>
      <c r="EW154" s="1684"/>
      <c r="EX154" s="1685"/>
      <c r="EY154" s="1030"/>
      <c r="EZ154" s="349"/>
      <c r="FA154" s="395"/>
      <c r="FB154" s="223"/>
      <c r="FC154" s="1030"/>
      <c r="FD154" s="349"/>
      <c r="FE154" s="1031"/>
      <c r="FF154" s="358"/>
      <c r="FG154" s="256"/>
      <c r="FH154" s="256"/>
      <c r="FI154" s="256"/>
      <c r="FJ154" s="256"/>
      <c r="FK154" s="19"/>
      <c r="FL154" s="126"/>
      <c r="FM154" s="126"/>
      <c r="FN154" s="126"/>
      <c r="FO154" s="957"/>
      <c r="FQ154" s="358"/>
      <c r="FR154" s="1190"/>
      <c r="FS154" s="1190"/>
      <c r="FT154" s="64"/>
      <c r="FU154" s="2879"/>
      <c r="FV154" s="2880"/>
      <c r="FW154" s="2881"/>
    </row>
    <row r="155" spans="1:179">
      <c r="A155" s="1023"/>
      <c r="B155" s="1023"/>
      <c r="C155" s="1023"/>
      <c r="T155" s="1186"/>
      <c r="U155" s="233"/>
      <c r="V155" s="216"/>
      <c r="W155" s="218"/>
      <c r="X155" s="218"/>
      <c r="Y155" s="216"/>
      <c r="Z155" s="216"/>
      <c r="AA155" s="1024"/>
      <c r="AB155" s="252"/>
      <c r="AC155" s="252"/>
      <c r="AD155" s="253"/>
      <c r="AE155" s="252"/>
      <c r="AF155" s="252"/>
      <c r="AG155" s="252"/>
      <c r="AH155" s="252"/>
      <c r="AI155" s="252"/>
      <c r="AJ155" s="252"/>
      <c r="AK155" s="253"/>
      <c r="AL155" s="252"/>
      <c r="AM155" s="252"/>
      <c r="AN155" s="252"/>
      <c r="AO155" s="252"/>
      <c r="AP155" s="1192"/>
      <c r="AQ155" s="252"/>
      <c r="AR155" s="252"/>
      <c r="AS155" s="252"/>
      <c r="AT155" s="252"/>
      <c r="AU155" s="252"/>
      <c r="AV155" s="1025"/>
      <c r="AW155" s="359"/>
      <c r="AX155" s="217"/>
      <c r="AY155" s="305"/>
      <c r="AZ155" s="249"/>
      <c r="BA155" s="221"/>
      <c r="BB155" s="300"/>
      <c r="BC155" s="217"/>
      <c r="BD155" s="219"/>
      <c r="BE155" s="1263"/>
      <c r="BF155" s="249"/>
      <c r="BG155" s="252"/>
      <c r="BH155" s="1543"/>
      <c r="BI155" s="1544"/>
      <c r="BJ155" s="1543"/>
      <c r="BK155" s="1545"/>
      <c r="BL155" s="260"/>
      <c r="BM155" s="217"/>
      <c r="BN155" s="220"/>
      <c r="BO155" s="220"/>
      <c r="BP155" s="355"/>
      <c r="BQ155" s="217"/>
      <c r="BR155" s="1026"/>
      <c r="BS155" s="249"/>
      <c r="BT155" s="260"/>
      <c r="BU155" s="1026"/>
      <c r="BV155" s="249"/>
      <c r="BW155" s="260"/>
      <c r="BX155" s="1026"/>
      <c r="BY155" s="249"/>
      <c r="BZ155" s="260"/>
      <c r="CA155" s="1026"/>
      <c r="CB155" s="249"/>
      <c r="CC155" s="260"/>
      <c r="CD155" s="1026"/>
      <c r="CE155" s="1269"/>
      <c r="CF155" s="1270"/>
      <c r="CG155" s="1026"/>
      <c r="CH155" s="293"/>
      <c r="CI155" s="326"/>
      <c r="CJ155" s="1027"/>
      <c r="CK155" s="249"/>
      <c r="CL155" s="260"/>
      <c r="CM155" s="1028"/>
      <c r="CN155" s="249"/>
      <c r="CO155" s="216"/>
      <c r="CP155" s="1029"/>
      <c r="CQ155" s="249"/>
      <c r="CR155" s="216"/>
      <c r="CS155" s="1029"/>
      <c r="CT155" s="249"/>
      <c r="CU155" s="216"/>
      <c r="CV155" s="1027"/>
      <c r="CW155" s="394"/>
      <c r="CX155" s="347"/>
      <c r="CY155" s="1027"/>
      <c r="CZ155" s="249"/>
      <c r="DA155" s="216"/>
      <c r="DB155" s="1027" t="str">
        <f t="shared" si="23"/>
        <v/>
      </c>
      <c r="DC155" s="249"/>
      <c r="DD155" s="2519" t="str">
        <f t="shared" si="22"/>
        <v/>
      </c>
      <c r="DE155" s="1027"/>
      <c r="DF155" s="1556"/>
      <c r="DG155" s="1557"/>
      <c r="DH155" s="1027"/>
      <c r="DI155" s="1556"/>
      <c r="DJ155" s="1558"/>
      <c r="DK155" s="1027"/>
      <c r="DL155" s="249"/>
      <c r="DM155" s="216"/>
      <c r="DN155" s="313"/>
      <c r="DO155" s="249"/>
      <c r="DP155" s="216"/>
      <c r="DQ155" s="313"/>
      <c r="DR155" s="249"/>
      <c r="DS155" s="221"/>
      <c r="DT155" s="313"/>
      <c r="DU155" s="249"/>
      <c r="DV155" s="221"/>
      <c r="DW155" s="305"/>
      <c r="DX155" s="249"/>
      <c r="DY155" s="260"/>
      <c r="DZ155" s="350"/>
      <c r="EA155" s="249"/>
      <c r="EB155" s="221"/>
      <c r="EC155" s="313"/>
      <c r="ED155" s="249"/>
      <c r="EE155" s="221"/>
      <c r="EF155" s="313"/>
      <c r="EG155" s="249"/>
      <c r="EH155" s="221"/>
      <c r="EI155" s="313"/>
      <c r="EJ155" s="249"/>
      <c r="EK155" s="216"/>
      <c r="EL155" s="1435"/>
      <c r="EM155" s="1619"/>
      <c r="EN155" s="1268"/>
      <c r="EO155" s="1563"/>
      <c r="EP155" s="1268"/>
      <c r="EQ155" s="1563"/>
      <c r="ER155" s="1268"/>
      <c r="ES155" s="1563"/>
      <c r="ET155" s="1268"/>
      <c r="EU155" s="1682"/>
      <c r="EV155" s="1683"/>
      <c r="EW155" s="1684"/>
      <c r="EX155" s="1685"/>
      <c r="EY155" s="1030"/>
      <c r="EZ155" s="349"/>
      <c r="FA155" s="395"/>
      <c r="FB155" s="223"/>
      <c r="FC155" s="1030"/>
      <c r="FD155" s="349"/>
      <c r="FE155" s="1031"/>
      <c r="FF155" s="358"/>
      <c r="FG155" s="256"/>
      <c r="FH155" s="256"/>
      <c r="FI155" s="256"/>
      <c r="FJ155" s="256"/>
      <c r="FK155" s="19"/>
      <c r="FL155" s="126"/>
      <c r="FM155" s="126"/>
      <c r="FN155" s="126"/>
      <c r="FO155" s="957"/>
      <c r="FQ155" s="358"/>
      <c r="FR155" s="1190"/>
      <c r="FS155" s="1190"/>
      <c r="FT155" s="64"/>
      <c r="FU155" s="2879"/>
      <c r="FV155" s="2880"/>
      <c r="FW155" s="2881"/>
    </row>
    <row r="156" spans="1:179">
      <c r="A156" s="1023"/>
      <c r="B156" s="1023"/>
      <c r="C156" s="1023"/>
      <c r="T156" s="1186"/>
      <c r="U156" s="233"/>
      <c r="V156" s="216"/>
      <c r="W156" s="218"/>
      <c r="X156" s="218"/>
      <c r="Y156" s="216"/>
      <c r="Z156" s="216"/>
      <c r="AA156" s="1024"/>
      <c r="AB156" s="252"/>
      <c r="AC156" s="252"/>
      <c r="AD156" s="253"/>
      <c r="AE156" s="252"/>
      <c r="AF156" s="252"/>
      <c r="AG156" s="252"/>
      <c r="AH156" s="252"/>
      <c r="AI156" s="252"/>
      <c r="AJ156" s="252"/>
      <c r="AK156" s="253"/>
      <c r="AL156" s="252"/>
      <c r="AM156" s="252"/>
      <c r="AN156" s="252"/>
      <c r="AO156" s="252"/>
      <c r="AP156" s="1192"/>
      <c r="AQ156" s="252"/>
      <c r="AR156" s="252"/>
      <c r="AS156" s="252"/>
      <c r="AT156" s="252"/>
      <c r="AU156" s="252"/>
      <c r="AV156" s="1025"/>
      <c r="AW156" s="359"/>
      <c r="AX156" s="217"/>
      <c r="AY156" s="305"/>
      <c r="AZ156" s="249"/>
      <c r="BA156" s="221"/>
      <c r="BB156" s="300"/>
      <c r="BC156" s="217"/>
      <c r="BD156" s="219"/>
      <c r="BE156" s="1263"/>
      <c r="BF156" s="249"/>
      <c r="BG156" s="252"/>
      <c r="BH156" s="1543"/>
      <c r="BI156" s="1544"/>
      <c r="BJ156" s="1543"/>
      <c r="BK156" s="1545"/>
      <c r="BL156" s="260"/>
      <c r="BM156" s="217"/>
      <c r="BN156" s="220"/>
      <c r="BO156" s="220"/>
      <c r="BP156" s="355"/>
      <c r="BQ156" s="217"/>
      <c r="BR156" s="1026"/>
      <c r="BS156" s="249"/>
      <c r="BT156" s="260"/>
      <c r="BU156" s="1026"/>
      <c r="BV156" s="249"/>
      <c r="BW156" s="260"/>
      <c r="BX156" s="1026"/>
      <c r="BY156" s="249"/>
      <c r="BZ156" s="260"/>
      <c r="CA156" s="1026"/>
      <c r="CB156" s="249"/>
      <c r="CC156" s="260"/>
      <c r="CD156" s="1026"/>
      <c r="CE156" s="1269"/>
      <c r="CF156" s="1270"/>
      <c r="CG156" s="1026"/>
      <c r="CH156" s="293"/>
      <c r="CI156" s="326"/>
      <c r="CJ156" s="1027"/>
      <c r="CK156" s="249"/>
      <c r="CL156" s="260"/>
      <c r="CM156" s="1028"/>
      <c r="CN156" s="249"/>
      <c r="CO156" s="216"/>
      <c r="CP156" s="1029"/>
      <c r="CQ156" s="249"/>
      <c r="CR156" s="216"/>
      <c r="CS156" s="1029"/>
      <c r="CT156" s="249"/>
      <c r="CU156" s="216"/>
      <c r="CV156" s="1027"/>
      <c r="CW156" s="394"/>
      <c r="CX156" s="347"/>
      <c r="CY156" s="1027"/>
      <c r="CZ156" s="249"/>
      <c r="DA156" s="216"/>
      <c r="DB156" s="1027" t="str">
        <f t="shared" si="23"/>
        <v/>
      </c>
      <c r="DC156" s="249"/>
      <c r="DD156" s="2519" t="str">
        <f t="shared" si="22"/>
        <v/>
      </c>
      <c r="DE156" s="1027"/>
      <c r="DF156" s="1556"/>
      <c r="DG156" s="1557"/>
      <c r="DH156" s="1027"/>
      <c r="DI156" s="1556"/>
      <c r="DJ156" s="1558"/>
      <c r="DK156" s="1027"/>
      <c r="DL156" s="249"/>
      <c r="DM156" s="216"/>
      <c r="DN156" s="313"/>
      <c r="DO156" s="249"/>
      <c r="DP156" s="216"/>
      <c r="DQ156" s="313"/>
      <c r="DR156" s="249"/>
      <c r="DS156" s="221"/>
      <c r="DT156" s="313"/>
      <c r="DU156" s="249"/>
      <c r="DV156" s="221"/>
      <c r="DW156" s="305"/>
      <c r="DX156" s="249"/>
      <c r="DY156" s="260"/>
      <c r="DZ156" s="350"/>
      <c r="EA156" s="249"/>
      <c r="EB156" s="221"/>
      <c r="EC156" s="313"/>
      <c r="ED156" s="249"/>
      <c r="EE156" s="221"/>
      <c r="EF156" s="313"/>
      <c r="EG156" s="249"/>
      <c r="EH156" s="221"/>
      <c r="EI156" s="313"/>
      <c r="EJ156" s="249"/>
      <c r="EK156" s="216"/>
      <c r="EL156" s="1435"/>
      <c r="EM156" s="1619"/>
      <c r="EN156" s="1268"/>
      <c r="EO156" s="1563"/>
      <c r="EP156" s="1268"/>
      <c r="EQ156" s="1563"/>
      <c r="ER156" s="1268"/>
      <c r="ES156" s="1563"/>
      <c r="ET156" s="1268"/>
      <c r="EU156" s="1682"/>
      <c r="EV156" s="1683"/>
      <c r="EW156" s="1684"/>
      <c r="EX156" s="1685"/>
      <c r="EY156" s="1030"/>
      <c r="EZ156" s="349"/>
      <c r="FA156" s="395"/>
      <c r="FB156" s="223"/>
      <c r="FC156" s="1030"/>
      <c r="FD156" s="349"/>
      <c r="FE156" s="1031"/>
      <c r="FF156" s="358"/>
      <c r="FG156" s="256"/>
      <c r="FH156" s="256"/>
      <c r="FI156" s="256"/>
      <c r="FJ156" s="256"/>
      <c r="FK156" s="19"/>
      <c r="FL156" s="126"/>
      <c r="FM156" s="126"/>
      <c r="FN156" s="126"/>
      <c r="FO156" s="957"/>
      <c r="FQ156" s="358"/>
      <c r="FR156" s="1190"/>
      <c r="FS156" s="1190"/>
      <c r="FT156" s="64"/>
      <c r="FU156" s="2879"/>
      <c r="FV156" s="2880"/>
      <c r="FW156" s="2881"/>
    </row>
    <row r="157" spans="1:179">
      <c r="A157" s="1023"/>
      <c r="B157" s="1023"/>
      <c r="C157" s="1023"/>
      <c r="T157" s="1186"/>
      <c r="U157" s="233"/>
      <c r="V157" s="216"/>
      <c r="W157" s="218"/>
      <c r="X157" s="218"/>
      <c r="Y157" s="216"/>
      <c r="Z157" s="216"/>
      <c r="AA157" s="1024"/>
      <c r="AB157" s="252"/>
      <c r="AC157" s="252"/>
      <c r="AD157" s="253"/>
      <c r="AE157" s="252"/>
      <c r="AF157" s="252"/>
      <c r="AG157" s="252"/>
      <c r="AH157" s="252"/>
      <c r="AI157" s="252"/>
      <c r="AJ157" s="252"/>
      <c r="AK157" s="253"/>
      <c r="AL157" s="252"/>
      <c r="AM157" s="252"/>
      <c r="AN157" s="252"/>
      <c r="AO157" s="252"/>
      <c r="AP157" s="1192"/>
      <c r="AQ157" s="252"/>
      <c r="AR157" s="252"/>
      <c r="AS157" s="252"/>
      <c r="AT157" s="252"/>
      <c r="AU157" s="252"/>
      <c r="AV157" s="1025"/>
      <c r="AW157" s="359"/>
      <c r="AX157" s="217"/>
      <c r="AY157" s="305"/>
      <c r="AZ157" s="249"/>
      <c r="BA157" s="221"/>
      <c r="BB157" s="300"/>
      <c r="BC157" s="217"/>
      <c r="BD157" s="219"/>
      <c r="BE157" s="1263"/>
      <c r="BF157" s="249"/>
      <c r="BG157" s="252"/>
      <c r="BH157" s="1543"/>
      <c r="BI157" s="1544"/>
      <c r="BJ157" s="1543"/>
      <c r="BK157" s="1545"/>
      <c r="BL157" s="260"/>
      <c r="BM157" s="217"/>
      <c r="BN157" s="220"/>
      <c r="BO157" s="220"/>
      <c r="BP157" s="355"/>
      <c r="BQ157" s="217"/>
      <c r="BR157" s="1026"/>
      <c r="BS157" s="249"/>
      <c r="BT157" s="260"/>
      <c r="BU157" s="1026"/>
      <c r="BV157" s="249"/>
      <c r="BW157" s="260"/>
      <c r="BX157" s="1026"/>
      <c r="BY157" s="249"/>
      <c r="BZ157" s="260"/>
      <c r="CA157" s="1026"/>
      <c r="CB157" s="249"/>
      <c r="CC157" s="260"/>
      <c r="CD157" s="1026"/>
      <c r="CE157" s="1269"/>
      <c r="CF157" s="1270"/>
      <c r="CG157" s="1026"/>
      <c r="CH157" s="293"/>
      <c r="CI157" s="326"/>
      <c r="CJ157" s="1027"/>
      <c r="CK157" s="249"/>
      <c r="CL157" s="260"/>
      <c r="CM157" s="1028"/>
      <c r="CN157" s="249"/>
      <c r="CO157" s="216"/>
      <c r="CP157" s="1029"/>
      <c r="CQ157" s="249"/>
      <c r="CR157" s="216"/>
      <c r="CS157" s="1029"/>
      <c r="CT157" s="249"/>
      <c r="CU157" s="216"/>
      <c r="CV157" s="1027"/>
      <c r="CW157" s="394"/>
      <c r="CX157" s="347"/>
      <c r="CY157" s="1027"/>
      <c r="CZ157" s="249"/>
      <c r="DA157" s="216"/>
      <c r="DB157" s="1027" t="str">
        <f t="shared" si="23"/>
        <v/>
      </c>
      <c r="DC157" s="249"/>
      <c r="DD157" s="2519" t="str">
        <f t="shared" si="22"/>
        <v/>
      </c>
      <c r="DE157" s="1027"/>
      <c r="DF157" s="1556"/>
      <c r="DG157" s="1557"/>
      <c r="DH157" s="1027"/>
      <c r="DI157" s="1556"/>
      <c r="DJ157" s="1558"/>
      <c r="DK157" s="1027"/>
      <c r="DL157" s="249"/>
      <c r="DM157" s="216"/>
      <c r="DN157" s="313"/>
      <c r="DO157" s="249"/>
      <c r="DP157" s="216"/>
      <c r="DQ157" s="313"/>
      <c r="DR157" s="249"/>
      <c r="DS157" s="221"/>
      <c r="DT157" s="313"/>
      <c r="DU157" s="249"/>
      <c r="DV157" s="221"/>
      <c r="DW157" s="305"/>
      <c r="DX157" s="249"/>
      <c r="DY157" s="260"/>
      <c r="DZ157" s="350"/>
      <c r="EA157" s="249"/>
      <c r="EB157" s="221"/>
      <c r="EC157" s="313"/>
      <c r="ED157" s="249"/>
      <c r="EE157" s="221"/>
      <c r="EF157" s="313"/>
      <c r="EG157" s="249"/>
      <c r="EH157" s="221"/>
      <c r="EI157" s="313"/>
      <c r="EJ157" s="249"/>
      <c r="EK157" s="216"/>
      <c r="EL157" s="1435"/>
      <c r="EM157" s="1619"/>
      <c r="EN157" s="1268"/>
      <c r="EO157" s="1563"/>
      <c r="EP157" s="1268"/>
      <c r="EQ157" s="1563"/>
      <c r="ER157" s="1268"/>
      <c r="ES157" s="1563"/>
      <c r="ET157" s="1268"/>
      <c r="EU157" s="1682"/>
      <c r="EV157" s="1683"/>
      <c r="EW157" s="1684"/>
      <c r="EX157" s="1685"/>
      <c r="EY157" s="1030"/>
      <c r="EZ157" s="349"/>
      <c r="FA157" s="395"/>
      <c r="FB157" s="223"/>
      <c r="FC157" s="1030"/>
      <c r="FD157" s="349"/>
      <c r="FE157" s="1031"/>
      <c r="FF157" s="358"/>
      <c r="FG157" s="256"/>
      <c r="FH157" s="256"/>
      <c r="FI157" s="256"/>
      <c r="FJ157" s="256"/>
      <c r="FK157" s="19"/>
      <c r="FL157" s="126"/>
      <c r="FM157" s="126"/>
      <c r="FN157" s="126"/>
      <c r="FO157" s="957"/>
      <c r="FQ157" s="358"/>
      <c r="FR157" s="1190"/>
      <c r="FS157" s="1190"/>
      <c r="FT157" s="64"/>
      <c r="FU157" s="2879"/>
      <c r="FV157" s="2880"/>
      <c r="FW157" s="2881"/>
    </row>
    <row r="158" spans="1:179">
      <c r="A158" s="1023"/>
      <c r="B158" s="1023"/>
      <c r="C158" s="1023"/>
      <c r="T158" s="1186"/>
      <c r="U158" s="233"/>
      <c r="V158" s="216"/>
      <c r="W158" s="218"/>
      <c r="X158" s="218"/>
      <c r="Y158" s="216"/>
      <c r="Z158" s="216"/>
      <c r="AA158" s="1024"/>
      <c r="AB158" s="252"/>
      <c r="AC158" s="252"/>
      <c r="AD158" s="253"/>
      <c r="AE158" s="252"/>
      <c r="AF158" s="252"/>
      <c r="AG158" s="252"/>
      <c r="AH158" s="252"/>
      <c r="AI158" s="252"/>
      <c r="AJ158" s="252"/>
      <c r="AK158" s="253"/>
      <c r="AL158" s="252"/>
      <c r="AM158" s="252"/>
      <c r="AN158" s="252"/>
      <c r="AO158" s="252"/>
      <c r="AP158" s="1192"/>
      <c r="AQ158" s="252"/>
      <c r="AR158" s="252"/>
      <c r="AS158" s="252"/>
      <c r="AT158" s="252"/>
      <c r="AU158" s="252"/>
      <c r="AV158" s="1025"/>
      <c r="AW158" s="359"/>
      <c r="AX158" s="217"/>
      <c r="AY158" s="305"/>
      <c r="AZ158" s="249"/>
      <c r="BA158" s="221"/>
      <c r="BB158" s="300"/>
      <c r="BC158" s="217"/>
      <c r="BD158" s="219"/>
      <c r="BE158" s="1263"/>
      <c r="BF158" s="249"/>
      <c r="BG158" s="252"/>
      <c r="BH158" s="1543"/>
      <c r="BI158" s="1544"/>
      <c r="BJ158" s="1543"/>
      <c r="BK158" s="1545"/>
      <c r="BL158" s="260"/>
      <c r="BM158" s="217"/>
      <c r="BN158" s="220"/>
      <c r="BO158" s="220"/>
      <c r="BP158" s="355"/>
      <c r="BQ158" s="217"/>
      <c r="BR158" s="1026"/>
      <c r="BS158" s="249"/>
      <c r="BT158" s="260"/>
      <c r="BU158" s="1026"/>
      <c r="BV158" s="249"/>
      <c r="BW158" s="260"/>
      <c r="BX158" s="1026"/>
      <c r="BY158" s="249"/>
      <c r="BZ158" s="260"/>
      <c r="CA158" s="1026"/>
      <c r="CB158" s="249"/>
      <c r="CC158" s="260"/>
      <c r="CD158" s="1026"/>
      <c r="CE158" s="1269"/>
      <c r="CF158" s="1270"/>
      <c r="CG158" s="1026"/>
      <c r="CH158" s="293"/>
      <c r="CI158" s="326"/>
      <c r="CJ158" s="1027"/>
      <c r="CK158" s="249"/>
      <c r="CL158" s="260"/>
      <c r="CM158" s="1028"/>
      <c r="CN158" s="249"/>
      <c r="CO158" s="216"/>
      <c r="CP158" s="1029"/>
      <c r="CQ158" s="249"/>
      <c r="CR158" s="216"/>
      <c r="CS158" s="1029"/>
      <c r="CT158" s="249"/>
      <c r="CU158" s="216"/>
      <c r="CV158" s="1027"/>
      <c r="CW158" s="394"/>
      <c r="CX158" s="347"/>
      <c r="CY158" s="1027"/>
      <c r="CZ158" s="249"/>
      <c r="DA158" s="216"/>
      <c r="DB158" s="1027" t="str">
        <f t="shared" si="23"/>
        <v/>
      </c>
      <c r="DC158" s="249"/>
      <c r="DD158" s="2519" t="str">
        <f t="shared" si="22"/>
        <v/>
      </c>
      <c r="DE158" s="1027"/>
      <c r="DF158" s="1556"/>
      <c r="DG158" s="1557"/>
      <c r="DH158" s="1027"/>
      <c r="DI158" s="1556"/>
      <c r="DJ158" s="1558"/>
      <c r="DK158" s="1027"/>
      <c r="DL158" s="249"/>
      <c r="DM158" s="216"/>
      <c r="DN158" s="313"/>
      <c r="DO158" s="249"/>
      <c r="DP158" s="216"/>
      <c r="DQ158" s="313"/>
      <c r="DR158" s="249"/>
      <c r="DS158" s="221"/>
      <c r="DT158" s="313"/>
      <c r="DU158" s="249"/>
      <c r="DV158" s="221"/>
      <c r="DW158" s="305"/>
      <c r="DX158" s="249"/>
      <c r="DY158" s="260"/>
      <c r="DZ158" s="350"/>
      <c r="EA158" s="249"/>
      <c r="EB158" s="221"/>
      <c r="EC158" s="313"/>
      <c r="ED158" s="249"/>
      <c r="EE158" s="221"/>
      <c r="EF158" s="313"/>
      <c r="EG158" s="249"/>
      <c r="EH158" s="221"/>
      <c r="EI158" s="313"/>
      <c r="EJ158" s="249"/>
      <c r="EK158" s="216"/>
      <c r="EL158" s="1435"/>
      <c r="EM158" s="1619"/>
      <c r="EN158" s="1268"/>
      <c r="EO158" s="1563"/>
      <c r="EP158" s="1268"/>
      <c r="EQ158" s="1563"/>
      <c r="ER158" s="1268"/>
      <c r="ES158" s="1563"/>
      <c r="ET158" s="1268"/>
      <c r="EU158" s="1682"/>
      <c r="EV158" s="1683"/>
      <c r="EW158" s="1684"/>
      <c r="EX158" s="1685"/>
      <c r="EY158" s="1030"/>
      <c r="EZ158" s="349"/>
      <c r="FA158" s="395"/>
      <c r="FB158" s="223"/>
      <c r="FC158" s="1030"/>
      <c r="FD158" s="349"/>
      <c r="FE158" s="1031"/>
      <c r="FF158" s="358"/>
      <c r="FG158" s="256"/>
      <c r="FH158" s="256"/>
      <c r="FI158" s="256"/>
      <c r="FJ158" s="256"/>
      <c r="FK158" s="19"/>
      <c r="FL158" s="126"/>
      <c r="FM158" s="126"/>
      <c r="FN158" s="126"/>
      <c r="FO158" s="957"/>
      <c r="FQ158" s="358"/>
      <c r="FR158" s="1190"/>
      <c r="FS158" s="1190"/>
      <c r="FT158" s="64"/>
      <c r="FU158" s="2879"/>
      <c r="FV158" s="2880"/>
      <c r="FW158" s="2881"/>
    </row>
    <row r="159" spans="1:179">
      <c r="A159" s="1023"/>
      <c r="B159" s="1023"/>
      <c r="C159" s="1023"/>
      <c r="T159" s="1186"/>
      <c r="U159" s="233"/>
      <c r="V159" s="216"/>
      <c r="W159" s="218"/>
      <c r="X159" s="218"/>
      <c r="Y159" s="216"/>
      <c r="Z159" s="216"/>
      <c r="AA159" s="1024"/>
      <c r="AB159" s="252"/>
      <c r="AC159" s="252"/>
      <c r="AD159" s="253"/>
      <c r="AE159" s="252"/>
      <c r="AF159" s="252"/>
      <c r="AG159" s="252"/>
      <c r="AH159" s="252"/>
      <c r="AI159" s="252"/>
      <c r="AJ159" s="252"/>
      <c r="AK159" s="253"/>
      <c r="AL159" s="252"/>
      <c r="AM159" s="252"/>
      <c r="AN159" s="252"/>
      <c r="AO159" s="252"/>
      <c r="AP159" s="1192"/>
      <c r="AQ159" s="252"/>
      <c r="AR159" s="252"/>
      <c r="AS159" s="252"/>
      <c r="AT159" s="252"/>
      <c r="AU159" s="252"/>
      <c r="AV159" s="1025"/>
      <c r="AW159" s="359"/>
      <c r="AX159" s="217"/>
      <c r="AY159" s="305"/>
      <c r="AZ159" s="249"/>
      <c r="BA159" s="221"/>
      <c r="BB159" s="300"/>
      <c r="BC159" s="217"/>
      <c r="BD159" s="219"/>
      <c r="BE159" s="1263"/>
      <c r="BF159" s="249"/>
      <c r="BG159" s="252"/>
      <c r="BH159" s="1543"/>
      <c r="BI159" s="1544"/>
      <c r="BJ159" s="1543"/>
      <c r="BK159" s="1545"/>
      <c r="BL159" s="260"/>
      <c r="BM159" s="217"/>
      <c r="BN159" s="220"/>
      <c r="BO159" s="220"/>
      <c r="BP159" s="355"/>
      <c r="BQ159" s="217"/>
      <c r="BR159" s="1026"/>
      <c r="BS159" s="249"/>
      <c r="BT159" s="260"/>
      <c r="BU159" s="1026"/>
      <c r="BV159" s="249"/>
      <c r="BW159" s="260"/>
      <c r="BX159" s="1026"/>
      <c r="BY159" s="249"/>
      <c r="BZ159" s="260"/>
      <c r="CA159" s="1026"/>
      <c r="CB159" s="249"/>
      <c r="CC159" s="260"/>
      <c r="CD159" s="1026"/>
      <c r="CE159" s="1269"/>
      <c r="CF159" s="1270"/>
      <c r="CG159" s="1026"/>
      <c r="CH159" s="293"/>
      <c r="CI159" s="326"/>
      <c r="CJ159" s="1027"/>
      <c r="CK159" s="249"/>
      <c r="CL159" s="260"/>
      <c r="CM159" s="1028"/>
      <c r="CN159" s="249"/>
      <c r="CO159" s="216"/>
      <c r="CP159" s="1029"/>
      <c r="CQ159" s="249"/>
      <c r="CR159" s="216"/>
      <c r="CS159" s="1029"/>
      <c r="CT159" s="249"/>
      <c r="CU159" s="216"/>
      <c r="CV159" s="1027"/>
      <c r="CW159" s="394"/>
      <c r="CX159" s="347"/>
      <c r="CY159" s="1027"/>
      <c r="CZ159" s="249"/>
      <c r="DA159" s="216"/>
      <c r="DB159" s="1027" t="str">
        <f t="shared" si="23"/>
        <v/>
      </c>
      <c r="DC159" s="249"/>
      <c r="DD159" s="2519" t="str">
        <f t="shared" si="22"/>
        <v/>
      </c>
      <c r="DE159" s="1027"/>
      <c r="DF159" s="1556"/>
      <c r="DG159" s="1557"/>
      <c r="DH159" s="1027"/>
      <c r="DI159" s="1556"/>
      <c r="DJ159" s="1558"/>
      <c r="DK159" s="1027"/>
      <c r="DL159" s="249"/>
      <c r="DM159" s="216"/>
      <c r="DN159" s="313"/>
      <c r="DO159" s="249"/>
      <c r="DP159" s="216"/>
      <c r="DQ159" s="313"/>
      <c r="DR159" s="249"/>
      <c r="DS159" s="221"/>
      <c r="DT159" s="313"/>
      <c r="DU159" s="249"/>
      <c r="DV159" s="221"/>
      <c r="DW159" s="305"/>
      <c r="DX159" s="249"/>
      <c r="DY159" s="260"/>
      <c r="DZ159" s="350"/>
      <c r="EA159" s="249"/>
      <c r="EB159" s="221"/>
      <c r="EC159" s="313"/>
      <c r="ED159" s="249"/>
      <c r="EE159" s="221"/>
      <c r="EF159" s="313"/>
      <c r="EG159" s="249"/>
      <c r="EH159" s="221"/>
      <c r="EI159" s="313"/>
      <c r="EJ159" s="249"/>
      <c r="EK159" s="216"/>
      <c r="EL159" s="1435"/>
      <c r="EM159" s="1619"/>
      <c r="EN159" s="1268"/>
      <c r="EO159" s="1563"/>
      <c r="EP159" s="1268"/>
      <c r="EQ159" s="1563"/>
      <c r="ER159" s="1268"/>
      <c r="ES159" s="1563"/>
      <c r="ET159" s="1268"/>
      <c r="EU159" s="1682"/>
      <c r="EV159" s="1683"/>
      <c r="EW159" s="1684"/>
      <c r="EX159" s="1685"/>
      <c r="EY159" s="1030"/>
      <c r="EZ159" s="349"/>
      <c r="FA159" s="395"/>
      <c r="FB159" s="223"/>
      <c r="FC159" s="1030"/>
      <c r="FD159" s="349"/>
      <c r="FE159" s="1031"/>
      <c r="FF159" s="358"/>
      <c r="FG159" s="256"/>
      <c r="FH159" s="256"/>
      <c r="FI159" s="256"/>
      <c r="FJ159" s="256"/>
      <c r="FK159" s="19"/>
      <c r="FL159" s="126"/>
      <c r="FM159" s="126"/>
      <c r="FN159" s="126"/>
      <c r="FO159" s="957"/>
      <c r="FQ159" s="358"/>
      <c r="FR159" s="1190"/>
      <c r="FS159" s="1190"/>
      <c r="FT159" s="64"/>
      <c r="FU159" s="2879"/>
      <c r="FV159" s="2880"/>
      <c r="FW159" s="2881"/>
    </row>
    <row r="160" spans="1:179">
      <c r="A160" s="1023"/>
      <c r="B160" s="1023"/>
      <c r="C160" s="1023"/>
      <c r="T160" s="1186"/>
      <c r="U160" s="233"/>
      <c r="V160" s="216"/>
      <c r="W160" s="218"/>
      <c r="X160" s="218"/>
      <c r="Y160" s="216"/>
      <c r="Z160" s="216"/>
      <c r="AA160" s="1024"/>
      <c r="AB160" s="252"/>
      <c r="AC160" s="252"/>
      <c r="AD160" s="253"/>
      <c r="AE160" s="252"/>
      <c r="AF160" s="252"/>
      <c r="AG160" s="252"/>
      <c r="AH160" s="252"/>
      <c r="AI160" s="252"/>
      <c r="AJ160" s="252"/>
      <c r="AK160" s="253"/>
      <c r="AL160" s="252"/>
      <c r="AM160" s="252"/>
      <c r="AN160" s="252"/>
      <c r="AO160" s="252"/>
      <c r="AP160" s="1192"/>
      <c r="AQ160" s="252"/>
      <c r="AR160" s="252"/>
      <c r="AS160" s="252"/>
      <c r="AT160" s="252"/>
      <c r="AU160" s="252"/>
      <c r="AV160" s="1025"/>
      <c r="AW160" s="359"/>
      <c r="AX160" s="217"/>
      <c r="AY160" s="305"/>
      <c r="AZ160" s="249"/>
      <c r="BA160" s="221"/>
      <c r="BB160" s="300"/>
      <c r="BC160" s="217"/>
      <c r="BD160" s="219"/>
      <c r="BE160" s="1263"/>
      <c r="BF160" s="249"/>
      <c r="BG160" s="252"/>
      <c r="BH160" s="1543"/>
      <c r="BI160" s="1544"/>
      <c r="BJ160" s="1543"/>
      <c r="BK160" s="1545"/>
      <c r="BL160" s="260"/>
      <c r="BM160" s="217"/>
      <c r="BN160" s="220"/>
      <c r="BO160" s="220"/>
      <c r="BP160" s="355"/>
      <c r="BQ160" s="217"/>
      <c r="BR160" s="1026"/>
      <c r="BS160" s="249"/>
      <c r="BT160" s="260"/>
      <c r="BU160" s="1026"/>
      <c r="BV160" s="249"/>
      <c r="BW160" s="260"/>
      <c r="BX160" s="1026"/>
      <c r="BY160" s="249"/>
      <c r="BZ160" s="260"/>
      <c r="CA160" s="1026"/>
      <c r="CB160" s="249"/>
      <c r="CC160" s="260"/>
      <c r="CD160" s="1026"/>
      <c r="CE160" s="1269"/>
      <c r="CF160" s="1270"/>
      <c r="CG160" s="1026"/>
      <c r="CH160" s="293"/>
      <c r="CI160" s="326"/>
      <c r="CJ160" s="1027"/>
      <c r="CK160" s="249"/>
      <c r="CL160" s="260"/>
      <c r="CM160" s="1028"/>
      <c r="CN160" s="249"/>
      <c r="CO160" s="216"/>
      <c r="CP160" s="1029"/>
      <c r="CQ160" s="249"/>
      <c r="CR160" s="216"/>
      <c r="CS160" s="1029"/>
      <c r="CT160" s="249"/>
      <c r="CU160" s="216"/>
      <c r="CV160" s="1027"/>
      <c r="CW160" s="394"/>
      <c r="CX160" s="347"/>
      <c r="CY160" s="1027"/>
      <c r="CZ160" s="249"/>
      <c r="DA160" s="216"/>
      <c r="DB160" s="1027" t="str">
        <f t="shared" si="23"/>
        <v/>
      </c>
      <c r="DC160" s="249"/>
      <c r="DD160" s="2519" t="str">
        <f t="shared" si="22"/>
        <v/>
      </c>
      <c r="DE160" s="1027"/>
      <c r="DF160" s="1556"/>
      <c r="DG160" s="1557"/>
      <c r="DH160" s="1027"/>
      <c r="DI160" s="1556"/>
      <c r="DJ160" s="1558"/>
      <c r="DK160" s="1027"/>
      <c r="DL160" s="249"/>
      <c r="DM160" s="216"/>
      <c r="DN160" s="313"/>
      <c r="DO160" s="249"/>
      <c r="DP160" s="216"/>
      <c r="DQ160" s="313"/>
      <c r="DR160" s="249"/>
      <c r="DS160" s="221"/>
      <c r="DT160" s="313"/>
      <c r="DU160" s="249"/>
      <c r="DV160" s="221"/>
      <c r="DW160" s="305"/>
      <c r="DX160" s="249"/>
      <c r="DY160" s="260"/>
      <c r="DZ160" s="350"/>
      <c r="EA160" s="249"/>
      <c r="EB160" s="221"/>
      <c r="EC160" s="313"/>
      <c r="ED160" s="249"/>
      <c r="EE160" s="221"/>
      <c r="EF160" s="313"/>
      <c r="EG160" s="249"/>
      <c r="EH160" s="221"/>
      <c r="EI160" s="313"/>
      <c r="EJ160" s="249"/>
      <c r="EK160" s="216"/>
      <c r="EL160" s="1435"/>
      <c r="EM160" s="1619"/>
      <c r="EN160" s="1268"/>
      <c r="EO160" s="1563"/>
      <c r="EP160" s="1268"/>
      <c r="EQ160" s="1563"/>
      <c r="ER160" s="1268"/>
      <c r="ES160" s="1563"/>
      <c r="ET160" s="1268"/>
      <c r="EU160" s="1682"/>
      <c r="EV160" s="1683"/>
      <c r="EW160" s="1684"/>
      <c r="EX160" s="1685"/>
      <c r="EY160" s="1030"/>
      <c r="EZ160" s="349"/>
      <c r="FA160" s="395"/>
      <c r="FB160" s="223"/>
      <c r="FC160" s="1030"/>
      <c r="FD160" s="349"/>
      <c r="FE160" s="1031"/>
      <c r="FF160" s="358"/>
      <c r="FG160" s="256"/>
      <c r="FH160" s="256"/>
      <c r="FI160" s="256"/>
      <c r="FJ160" s="256"/>
      <c r="FK160" s="19"/>
      <c r="FL160" s="126"/>
      <c r="FM160" s="126"/>
      <c r="FN160" s="126"/>
      <c r="FO160" s="957"/>
      <c r="FQ160" s="358"/>
      <c r="FR160" s="1190"/>
      <c r="FS160" s="1190"/>
      <c r="FT160" s="64"/>
      <c r="FU160" s="2879"/>
      <c r="FV160" s="2880"/>
      <c r="FW160" s="2881"/>
    </row>
    <row r="161" spans="1:179">
      <c r="A161" s="1023"/>
      <c r="B161" s="1023"/>
      <c r="C161" s="1023"/>
      <c r="T161" s="1186"/>
      <c r="U161" s="233"/>
      <c r="V161" s="216"/>
      <c r="W161" s="218"/>
      <c r="X161" s="218"/>
      <c r="Y161" s="216"/>
      <c r="Z161" s="216"/>
      <c r="AA161" s="1024"/>
      <c r="AB161" s="252"/>
      <c r="AC161" s="252"/>
      <c r="AD161" s="253"/>
      <c r="AE161" s="252"/>
      <c r="AF161" s="252"/>
      <c r="AG161" s="252"/>
      <c r="AH161" s="252"/>
      <c r="AI161" s="252"/>
      <c r="AJ161" s="252"/>
      <c r="AK161" s="253"/>
      <c r="AL161" s="252"/>
      <c r="AM161" s="252"/>
      <c r="AN161" s="252"/>
      <c r="AO161" s="252"/>
      <c r="AP161" s="1192"/>
      <c r="AQ161" s="252"/>
      <c r="AR161" s="252"/>
      <c r="AS161" s="252"/>
      <c r="AT161" s="252"/>
      <c r="AU161" s="252"/>
      <c r="AV161" s="1025"/>
      <c r="AW161" s="359"/>
      <c r="AX161" s="217"/>
      <c r="AY161" s="305"/>
      <c r="AZ161" s="249"/>
      <c r="BA161" s="221"/>
      <c r="BB161" s="300"/>
      <c r="BC161" s="217"/>
      <c r="BD161" s="219"/>
      <c r="BE161" s="1263"/>
      <c r="BF161" s="249"/>
      <c r="BG161" s="252"/>
      <c r="BH161" s="1543"/>
      <c r="BI161" s="1544"/>
      <c r="BJ161" s="1543"/>
      <c r="BK161" s="1545"/>
      <c r="BL161" s="260"/>
      <c r="BM161" s="217"/>
      <c r="BN161" s="220"/>
      <c r="BO161" s="220"/>
      <c r="BP161" s="355"/>
      <c r="BQ161" s="217"/>
      <c r="BR161" s="1026"/>
      <c r="BS161" s="249"/>
      <c r="BT161" s="260"/>
      <c r="BU161" s="1026"/>
      <c r="BV161" s="249"/>
      <c r="BW161" s="260"/>
      <c r="BX161" s="1026"/>
      <c r="BY161" s="249"/>
      <c r="BZ161" s="260"/>
      <c r="CA161" s="1026"/>
      <c r="CB161" s="249"/>
      <c r="CC161" s="260"/>
      <c r="CD161" s="1026"/>
      <c r="CE161" s="1269"/>
      <c r="CF161" s="1270"/>
      <c r="CG161" s="1026"/>
      <c r="CH161" s="293"/>
      <c r="CI161" s="326"/>
      <c r="CJ161" s="1027"/>
      <c r="CK161" s="249"/>
      <c r="CL161" s="260"/>
      <c r="CM161" s="1028"/>
      <c r="CN161" s="249"/>
      <c r="CO161" s="216"/>
      <c r="CP161" s="1029"/>
      <c r="CQ161" s="249"/>
      <c r="CR161" s="216"/>
      <c r="CS161" s="1029"/>
      <c r="CT161" s="249"/>
      <c r="CU161" s="216"/>
      <c r="CV161" s="1027"/>
      <c r="CW161" s="394"/>
      <c r="CX161" s="347"/>
      <c r="CY161" s="1027"/>
      <c r="CZ161" s="249"/>
      <c r="DA161" s="216"/>
      <c r="DB161" s="1027" t="str">
        <f t="shared" si="23"/>
        <v/>
      </c>
      <c r="DC161" s="249"/>
      <c r="DD161" s="2519" t="str">
        <f t="shared" si="22"/>
        <v/>
      </c>
      <c r="DE161" s="1027"/>
      <c r="DF161" s="1556"/>
      <c r="DG161" s="1557"/>
      <c r="DH161" s="1027"/>
      <c r="DI161" s="1556"/>
      <c r="DJ161" s="1558"/>
      <c r="DK161" s="1027"/>
      <c r="DL161" s="249"/>
      <c r="DM161" s="216"/>
      <c r="DN161" s="313"/>
      <c r="DO161" s="249"/>
      <c r="DP161" s="216"/>
      <c r="DQ161" s="313"/>
      <c r="DR161" s="249"/>
      <c r="DS161" s="221"/>
      <c r="DT161" s="313"/>
      <c r="DU161" s="249"/>
      <c r="DV161" s="221"/>
      <c r="DW161" s="305"/>
      <c r="DX161" s="249"/>
      <c r="DY161" s="260"/>
      <c r="DZ161" s="350"/>
      <c r="EA161" s="249"/>
      <c r="EB161" s="221"/>
      <c r="EC161" s="313"/>
      <c r="ED161" s="249"/>
      <c r="EE161" s="221"/>
      <c r="EF161" s="313"/>
      <c r="EG161" s="249"/>
      <c r="EH161" s="221"/>
      <c r="EI161" s="313"/>
      <c r="EJ161" s="249"/>
      <c r="EK161" s="216"/>
      <c r="EL161" s="1435"/>
      <c r="EM161" s="1619"/>
      <c r="EN161" s="1268"/>
      <c r="EO161" s="1563"/>
      <c r="EP161" s="1268"/>
      <c r="EQ161" s="1563"/>
      <c r="ER161" s="1268"/>
      <c r="ES161" s="1563"/>
      <c r="ET161" s="1268"/>
      <c r="EU161" s="1682"/>
      <c r="EV161" s="1683"/>
      <c r="EW161" s="1684"/>
      <c r="EX161" s="1685"/>
      <c r="EY161" s="1030"/>
      <c r="EZ161" s="349"/>
      <c r="FA161" s="395"/>
      <c r="FB161" s="223"/>
      <c r="FC161" s="1030"/>
      <c r="FD161" s="349"/>
      <c r="FE161" s="1031"/>
      <c r="FF161" s="358"/>
      <c r="FG161" s="256"/>
      <c r="FH161" s="256"/>
      <c r="FI161" s="256"/>
      <c r="FJ161" s="256"/>
      <c r="FK161" s="19"/>
      <c r="FL161" s="126"/>
      <c r="FM161" s="126"/>
      <c r="FN161" s="126"/>
      <c r="FO161" s="957"/>
      <c r="FQ161" s="358"/>
      <c r="FR161" s="1190"/>
      <c r="FS161" s="1190"/>
      <c r="FT161" s="64"/>
      <c r="FU161" s="2879"/>
      <c r="FV161" s="2880"/>
      <c r="FW161" s="2881"/>
    </row>
    <row r="162" spans="1:179">
      <c r="A162" s="1023"/>
      <c r="B162" s="1023"/>
      <c r="C162" s="1023"/>
      <c r="T162" s="1186"/>
      <c r="U162" s="233"/>
      <c r="V162" s="216"/>
      <c r="W162" s="218"/>
      <c r="X162" s="218"/>
      <c r="Y162" s="216"/>
      <c r="Z162" s="216"/>
      <c r="AA162" s="1024"/>
      <c r="AB162" s="252"/>
      <c r="AC162" s="252"/>
      <c r="AD162" s="253"/>
      <c r="AE162" s="252"/>
      <c r="AF162" s="252"/>
      <c r="AG162" s="252"/>
      <c r="AH162" s="252"/>
      <c r="AI162" s="252"/>
      <c r="AJ162" s="252"/>
      <c r="AK162" s="253"/>
      <c r="AL162" s="252"/>
      <c r="AM162" s="252"/>
      <c r="AN162" s="252"/>
      <c r="AO162" s="252"/>
      <c r="AP162" s="1192"/>
      <c r="AQ162" s="252"/>
      <c r="AR162" s="252"/>
      <c r="AS162" s="252"/>
      <c r="AT162" s="252"/>
      <c r="AU162" s="252"/>
      <c r="AV162" s="1025"/>
      <c r="AW162" s="359"/>
      <c r="AX162" s="217"/>
      <c r="AY162" s="305"/>
      <c r="AZ162" s="249"/>
      <c r="BA162" s="221"/>
      <c r="BB162" s="300"/>
      <c r="BC162" s="217"/>
      <c r="BD162" s="219"/>
      <c r="BE162" s="1263"/>
      <c r="BF162" s="249"/>
      <c r="BG162" s="252"/>
      <c r="BH162" s="1543"/>
      <c r="BI162" s="1544"/>
      <c r="BJ162" s="1543"/>
      <c r="BK162" s="1545"/>
      <c r="BL162" s="260"/>
      <c r="BM162" s="217"/>
      <c r="BN162" s="220"/>
      <c r="BO162" s="220"/>
      <c r="BP162" s="355"/>
      <c r="BQ162" s="217"/>
      <c r="BR162" s="1026"/>
      <c r="BS162" s="249"/>
      <c r="BT162" s="260"/>
      <c r="BU162" s="1026"/>
      <c r="BV162" s="249"/>
      <c r="BW162" s="260"/>
      <c r="BX162" s="1026"/>
      <c r="BY162" s="249"/>
      <c r="BZ162" s="260"/>
      <c r="CA162" s="1026"/>
      <c r="CB162" s="249"/>
      <c r="CC162" s="260"/>
      <c r="CD162" s="1026"/>
      <c r="CE162" s="1269"/>
      <c r="CF162" s="1270"/>
      <c r="CG162" s="1026"/>
      <c r="CH162" s="293"/>
      <c r="CI162" s="326"/>
      <c r="CJ162" s="1027"/>
      <c r="CK162" s="249"/>
      <c r="CL162" s="260"/>
      <c r="CM162" s="1028"/>
      <c r="CN162" s="249"/>
      <c r="CO162" s="216"/>
      <c r="CP162" s="1029"/>
      <c r="CQ162" s="249"/>
      <c r="CR162" s="216"/>
      <c r="CS162" s="1029"/>
      <c r="CT162" s="249"/>
      <c r="CU162" s="216"/>
      <c r="CV162" s="1027"/>
      <c r="CW162" s="394"/>
      <c r="CX162" s="347"/>
      <c r="CY162" s="1027"/>
      <c r="CZ162" s="249"/>
      <c r="DA162" s="216"/>
      <c r="DB162" s="1027" t="str">
        <f t="shared" si="23"/>
        <v/>
      </c>
      <c r="DC162" s="249"/>
      <c r="DD162" s="2519" t="str">
        <f t="shared" si="22"/>
        <v/>
      </c>
      <c r="DE162" s="1027"/>
      <c r="DF162" s="1556"/>
      <c r="DG162" s="1557"/>
      <c r="DH162" s="1027"/>
      <c r="DI162" s="1556"/>
      <c r="DJ162" s="1558"/>
      <c r="DK162" s="1027"/>
      <c r="DL162" s="249"/>
      <c r="DM162" s="216"/>
      <c r="DN162" s="313"/>
      <c r="DO162" s="249"/>
      <c r="DP162" s="216"/>
      <c r="DQ162" s="313"/>
      <c r="DR162" s="249"/>
      <c r="DS162" s="221"/>
      <c r="DT162" s="313"/>
      <c r="DU162" s="249"/>
      <c r="DV162" s="221"/>
      <c r="DW162" s="305"/>
      <c r="DX162" s="249"/>
      <c r="DY162" s="260"/>
      <c r="DZ162" s="350"/>
      <c r="EA162" s="249"/>
      <c r="EB162" s="221"/>
      <c r="EC162" s="313"/>
      <c r="ED162" s="249"/>
      <c r="EE162" s="221"/>
      <c r="EF162" s="313"/>
      <c r="EG162" s="249"/>
      <c r="EH162" s="221"/>
      <c r="EI162" s="313"/>
      <c r="EJ162" s="249"/>
      <c r="EK162" s="216"/>
      <c r="EL162" s="1435"/>
      <c r="EM162" s="1619"/>
      <c r="EN162" s="1268"/>
      <c r="EO162" s="1563"/>
      <c r="EP162" s="1268"/>
      <c r="EQ162" s="1563"/>
      <c r="ER162" s="1268"/>
      <c r="ES162" s="1563"/>
      <c r="ET162" s="1268"/>
      <c r="EU162" s="1682"/>
      <c r="EV162" s="1683"/>
      <c r="EW162" s="1684"/>
      <c r="EX162" s="1685"/>
      <c r="EY162" s="1030"/>
      <c r="EZ162" s="349"/>
      <c r="FA162" s="395"/>
      <c r="FB162" s="223"/>
      <c r="FC162" s="1030"/>
      <c r="FD162" s="349"/>
      <c r="FE162" s="1031"/>
      <c r="FF162" s="358"/>
      <c r="FG162" s="256"/>
      <c r="FH162" s="256"/>
      <c r="FI162" s="256"/>
      <c r="FJ162" s="256"/>
      <c r="FK162" s="19"/>
      <c r="FL162" s="126"/>
      <c r="FM162" s="126"/>
      <c r="FN162" s="126"/>
      <c r="FO162" s="957"/>
      <c r="FQ162" s="358"/>
      <c r="FR162" s="1190"/>
      <c r="FS162" s="1190"/>
      <c r="FT162" s="64"/>
      <c r="FU162" s="2879"/>
      <c r="FV162" s="2880"/>
      <c r="FW162" s="2881"/>
    </row>
    <row r="163" spans="1:179">
      <c r="A163" s="1023"/>
      <c r="B163" s="1023"/>
      <c r="C163" s="1023"/>
      <c r="T163" s="1186"/>
      <c r="U163" s="233"/>
      <c r="V163" s="216"/>
      <c r="W163" s="218"/>
      <c r="X163" s="218"/>
      <c r="Y163" s="216"/>
      <c r="Z163" s="216"/>
      <c r="AA163" s="1024"/>
      <c r="AB163" s="252"/>
      <c r="AC163" s="252"/>
      <c r="AD163" s="253"/>
      <c r="AE163" s="252"/>
      <c r="AF163" s="252"/>
      <c r="AG163" s="252"/>
      <c r="AH163" s="252"/>
      <c r="AI163" s="252"/>
      <c r="AJ163" s="252"/>
      <c r="AK163" s="253"/>
      <c r="AL163" s="252"/>
      <c r="AM163" s="252"/>
      <c r="AN163" s="252"/>
      <c r="AO163" s="252"/>
      <c r="AP163" s="1192"/>
      <c r="AQ163" s="252"/>
      <c r="AR163" s="252"/>
      <c r="AS163" s="252"/>
      <c r="AT163" s="252"/>
      <c r="AU163" s="252"/>
      <c r="AV163" s="1025"/>
      <c r="AW163" s="359"/>
      <c r="AX163" s="217"/>
      <c r="AY163" s="305"/>
      <c r="AZ163" s="249"/>
      <c r="BA163" s="221"/>
      <c r="BB163" s="300"/>
      <c r="BC163" s="217"/>
      <c r="BD163" s="219"/>
      <c r="BE163" s="1263"/>
      <c r="BF163" s="249"/>
      <c r="BG163" s="252"/>
      <c r="BH163" s="1543"/>
      <c r="BI163" s="1544"/>
      <c r="BJ163" s="1543"/>
      <c r="BK163" s="1545"/>
      <c r="BL163" s="260"/>
      <c r="BM163" s="217"/>
      <c r="BN163" s="220"/>
      <c r="BO163" s="220"/>
      <c r="BP163" s="355"/>
      <c r="BQ163" s="217"/>
      <c r="BR163" s="1026"/>
      <c r="BS163" s="249"/>
      <c r="BT163" s="260"/>
      <c r="BU163" s="1026"/>
      <c r="BV163" s="249"/>
      <c r="BW163" s="260"/>
      <c r="BX163" s="1026"/>
      <c r="BY163" s="249"/>
      <c r="BZ163" s="260"/>
      <c r="CA163" s="1026"/>
      <c r="CB163" s="249"/>
      <c r="CC163" s="260"/>
      <c r="CD163" s="1026"/>
      <c r="CE163" s="1269"/>
      <c r="CF163" s="1270"/>
      <c r="CG163" s="1026"/>
      <c r="CH163" s="293"/>
      <c r="CI163" s="326"/>
      <c r="CJ163" s="1027"/>
      <c r="CK163" s="249"/>
      <c r="CL163" s="260"/>
      <c r="CM163" s="1028"/>
      <c r="CN163" s="249"/>
      <c r="CO163" s="216"/>
      <c r="CP163" s="1029"/>
      <c r="CQ163" s="249"/>
      <c r="CR163" s="216"/>
      <c r="CS163" s="1029"/>
      <c r="CT163" s="249"/>
      <c r="CU163" s="216"/>
      <c r="CV163" s="1027"/>
      <c r="CW163" s="394"/>
      <c r="CX163" s="347"/>
      <c r="CY163" s="1027"/>
      <c r="CZ163" s="249"/>
      <c r="DA163" s="216"/>
      <c r="DB163" s="1027" t="str">
        <f t="shared" si="23"/>
        <v/>
      </c>
      <c r="DC163" s="249"/>
      <c r="DD163" s="2519" t="str">
        <f t="shared" si="22"/>
        <v/>
      </c>
      <c r="DE163" s="1027"/>
      <c r="DF163" s="1556"/>
      <c r="DG163" s="1557"/>
      <c r="DH163" s="1027"/>
      <c r="DI163" s="1556"/>
      <c r="DJ163" s="1558"/>
      <c r="DK163" s="1027"/>
      <c r="DL163" s="249"/>
      <c r="DM163" s="216"/>
      <c r="DN163" s="313"/>
      <c r="DO163" s="249"/>
      <c r="DP163" s="216"/>
      <c r="DQ163" s="313"/>
      <c r="DR163" s="249"/>
      <c r="DS163" s="221"/>
      <c r="DT163" s="313"/>
      <c r="DU163" s="249"/>
      <c r="DV163" s="221"/>
      <c r="DW163" s="305"/>
      <c r="DX163" s="249"/>
      <c r="DY163" s="260"/>
      <c r="DZ163" s="350"/>
      <c r="EA163" s="249"/>
      <c r="EB163" s="221"/>
      <c r="EC163" s="313"/>
      <c r="ED163" s="249"/>
      <c r="EE163" s="221"/>
      <c r="EF163" s="313"/>
      <c r="EG163" s="249"/>
      <c r="EH163" s="221"/>
      <c r="EI163" s="313"/>
      <c r="EJ163" s="249"/>
      <c r="EK163" s="216"/>
      <c r="EL163" s="1435"/>
      <c r="EM163" s="1619"/>
      <c r="EN163" s="1268"/>
      <c r="EO163" s="1563"/>
      <c r="EP163" s="1268"/>
      <c r="EQ163" s="1563"/>
      <c r="ER163" s="1268"/>
      <c r="ES163" s="1563"/>
      <c r="ET163" s="1268"/>
      <c r="EU163" s="1682"/>
      <c r="EV163" s="1683"/>
      <c r="EW163" s="1684"/>
      <c r="EX163" s="1685"/>
      <c r="EY163" s="1030"/>
      <c r="EZ163" s="349"/>
      <c r="FA163" s="395"/>
      <c r="FB163" s="223"/>
      <c r="FC163" s="1030"/>
      <c r="FD163" s="349"/>
      <c r="FE163" s="1031"/>
      <c r="FF163" s="358"/>
      <c r="FG163" s="256"/>
      <c r="FH163" s="256"/>
      <c r="FI163" s="256"/>
      <c r="FJ163" s="256"/>
      <c r="FK163" s="19"/>
      <c r="FL163" s="126"/>
      <c r="FM163" s="126"/>
      <c r="FN163" s="126"/>
      <c r="FO163" s="957"/>
      <c r="FQ163" s="358"/>
      <c r="FR163" s="1190"/>
      <c r="FS163" s="1190"/>
      <c r="FT163" s="64"/>
      <c r="FU163" s="2879"/>
      <c r="FV163" s="2880"/>
      <c r="FW163" s="2881"/>
    </row>
    <row r="164" spans="1:179">
      <c r="A164" s="1023"/>
      <c r="B164" s="1023"/>
      <c r="C164" s="1023"/>
      <c r="T164" s="1186"/>
      <c r="U164" s="233"/>
      <c r="V164" s="216"/>
      <c r="W164" s="218"/>
      <c r="X164" s="218"/>
      <c r="Y164" s="216"/>
      <c r="Z164" s="216"/>
      <c r="AA164" s="1024"/>
      <c r="AB164" s="252"/>
      <c r="AC164" s="252"/>
      <c r="AD164" s="253"/>
      <c r="AE164" s="252"/>
      <c r="AF164" s="252"/>
      <c r="AG164" s="252"/>
      <c r="AH164" s="252"/>
      <c r="AI164" s="252"/>
      <c r="AJ164" s="252"/>
      <c r="AK164" s="253"/>
      <c r="AL164" s="252"/>
      <c r="AM164" s="252"/>
      <c r="AN164" s="252"/>
      <c r="AO164" s="252"/>
      <c r="AP164" s="1192"/>
      <c r="AQ164" s="252"/>
      <c r="AR164" s="252"/>
      <c r="AS164" s="252"/>
      <c r="AT164" s="252"/>
      <c r="AU164" s="252"/>
      <c r="AV164" s="1025"/>
      <c r="AW164" s="359"/>
      <c r="AX164" s="217"/>
      <c r="AY164" s="305"/>
      <c r="AZ164" s="249"/>
      <c r="BA164" s="221"/>
      <c r="BB164" s="300"/>
      <c r="BC164" s="217"/>
      <c r="BD164" s="219"/>
      <c r="BE164" s="1263"/>
      <c r="BF164" s="249"/>
      <c r="BG164" s="252"/>
      <c r="BH164" s="1543"/>
      <c r="BI164" s="1544"/>
      <c r="BJ164" s="1543"/>
      <c r="BK164" s="1545"/>
      <c r="BL164" s="260"/>
      <c r="BM164" s="217"/>
      <c r="BN164" s="220"/>
      <c r="BO164" s="220"/>
      <c r="BP164" s="355"/>
      <c r="BQ164" s="217"/>
      <c r="BR164" s="1026"/>
      <c r="BS164" s="249"/>
      <c r="BT164" s="260"/>
      <c r="BU164" s="1026"/>
      <c r="BV164" s="249"/>
      <c r="BW164" s="260"/>
      <c r="BX164" s="1026"/>
      <c r="BY164" s="249"/>
      <c r="BZ164" s="260"/>
      <c r="CA164" s="1026"/>
      <c r="CB164" s="249"/>
      <c r="CC164" s="260"/>
      <c r="CD164" s="1026"/>
      <c r="CE164" s="1269"/>
      <c r="CF164" s="1270"/>
      <c r="CG164" s="1026"/>
      <c r="CH164" s="293"/>
      <c r="CI164" s="326"/>
      <c r="CJ164" s="1027"/>
      <c r="CK164" s="249"/>
      <c r="CL164" s="260"/>
      <c r="CM164" s="1028"/>
      <c r="CN164" s="249"/>
      <c r="CO164" s="216"/>
      <c r="CP164" s="1029"/>
      <c r="CQ164" s="249"/>
      <c r="CR164" s="216"/>
      <c r="CS164" s="1029"/>
      <c r="CT164" s="249"/>
      <c r="CU164" s="216"/>
      <c r="CV164" s="1027"/>
      <c r="CW164" s="394"/>
      <c r="CX164" s="347"/>
      <c r="CY164" s="1027"/>
      <c r="CZ164" s="249"/>
      <c r="DA164" s="216"/>
      <c r="DB164" s="1027" t="str">
        <f t="shared" si="23"/>
        <v/>
      </c>
      <c r="DC164" s="249"/>
      <c r="DD164" s="2519" t="str">
        <f t="shared" si="22"/>
        <v/>
      </c>
      <c r="DE164" s="1027"/>
      <c r="DF164" s="1556"/>
      <c r="DG164" s="1557"/>
      <c r="DH164" s="1027"/>
      <c r="DI164" s="1556"/>
      <c r="DJ164" s="1558"/>
      <c r="DK164" s="1027"/>
      <c r="DL164" s="249"/>
      <c r="DM164" s="216"/>
      <c r="DN164" s="313"/>
      <c r="DO164" s="249"/>
      <c r="DP164" s="216"/>
      <c r="DQ164" s="313"/>
      <c r="DR164" s="249"/>
      <c r="DS164" s="221"/>
      <c r="DT164" s="313"/>
      <c r="DU164" s="249"/>
      <c r="DV164" s="221"/>
      <c r="DW164" s="305"/>
      <c r="DX164" s="249"/>
      <c r="DY164" s="260"/>
      <c r="DZ164" s="350"/>
      <c r="EA164" s="249"/>
      <c r="EB164" s="221"/>
      <c r="EC164" s="313"/>
      <c r="ED164" s="249"/>
      <c r="EE164" s="221"/>
      <c r="EF164" s="313"/>
      <c r="EG164" s="249"/>
      <c r="EH164" s="221"/>
      <c r="EI164" s="313"/>
      <c r="EJ164" s="249"/>
      <c r="EK164" s="216"/>
      <c r="EL164" s="1435"/>
      <c r="EM164" s="1619"/>
      <c r="EN164" s="1268"/>
      <c r="EO164" s="1563"/>
      <c r="EP164" s="1268"/>
      <c r="EQ164" s="1563"/>
      <c r="ER164" s="1268"/>
      <c r="ES164" s="1563"/>
      <c r="ET164" s="1268"/>
      <c r="EU164" s="1682"/>
      <c r="EV164" s="1683"/>
      <c r="EW164" s="1684"/>
      <c r="EX164" s="1685"/>
      <c r="EY164" s="1030"/>
      <c r="EZ164" s="349"/>
      <c r="FA164" s="395"/>
      <c r="FB164" s="223"/>
      <c r="FC164" s="1030"/>
      <c r="FD164" s="349"/>
      <c r="FE164" s="1031"/>
      <c r="FF164" s="358"/>
      <c r="FG164" s="256"/>
      <c r="FH164" s="256"/>
      <c r="FI164" s="256"/>
      <c r="FJ164" s="256"/>
      <c r="FK164" s="19"/>
      <c r="FL164" s="126"/>
      <c r="FM164" s="126"/>
      <c r="FN164" s="126"/>
      <c r="FO164" s="957"/>
      <c r="FQ164" s="358"/>
      <c r="FR164" s="1190"/>
      <c r="FS164" s="1190"/>
      <c r="FT164" s="64"/>
      <c r="FU164" s="2879"/>
      <c r="FV164" s="2880"/>
      <c r="FW164" s="2881"/>
    </row>
    <row r="165" spans="1:179">
      <c r="A165" s="1023"/>
      <c r="B165" s="1023"/>
      <c r="C165" s="1023"/>
      <c r="T165" s="1186"/>
      <c r="U165" s="233"/>
      <c r="V165" s="216"/>
      <c r="W165" s="218"/>
      <c r="X165" s="218"/>
      <c r="Y165" s="216"/>
      <c r="Z165" s="216"/>
      <c r="AA165" s="1024"/>
      <c r="AB165" s="252"/>
      <c r="AC165" s="252"/>
      <c r="AD165" s="253"/>
      <c r="AE165" s="252"/>
      <c r="AF165" s="252"/>
      <c r="AG165" s="252"/>
      <c r="AH165" s="252"/>
      <c r="AI165" s="252"/>
      <c r="AJ165" s="252"/>
      <c r="AK165" s="253"/>
      <c r="AL165" s="252"/>
      <c r="AM165" s="252"/>
      <c r="AN165" s="252"/>
      <c r="AO165" s="252"/>
      <c r="AP165" s="1192"/>
      <c r="AQ165" s="252"/>
      <c r="AR165" s="252"/>
      <c r="AS165" s="252"/>
      <c r="AT165" s="252"/>
      <c r="AU165" s="252"/>
      <c r="AV165" s="1025"/>
      <c r="AW165" s="359"/>
      <c r="AX165" s="217"/>
      <c r="AY165" s="305"/>
      <c r="AZ165" s="249"/>
      <c r="BA165" s="221"/>
      <c r="BB165" s="300"/>
      <c r="BC165" s="217"/>
      <c r="BD165" s="219"/>
      <c r="BE165" s="1263"/>
      <c r="BF165" s="249"/>
      <c r="BG165" s="252"/>
      <c r="BH165" s="1543"/>
      <c r="BI165" s="1544"/>
      <c r="BJ165" s="1543"/>
      <c r="BK165" s="1545"/>
      <c r="BL165" s="260"/>
      <c r="BM165" s="217"/>
      <c r="BN165" s="220"/>
      <c r="BO165" s="220"/>
      <c r="BP165" s="355"/>
      <c r="BQ165" s="217"/>
      <c r="BR165" s="1026"/>
      <c r="BS165" s="249"/>
      <c r="BT165" s="260"/>
      <c r="BU165" s="1026"/>
      <c r="BV165" s="249"/>
      <c r="BW165" s="260"/>
      <c r="BX165" s="1026"/>
      <c r="BY165" s="249"/>
      <c r="BZ165" s="260"/>
      <c r="CA165" s="1026"/>
      <c r="CB165" s="249"/>
      <c r="CC165" s="260"/>
      <c r="CD165" s="1026"/>
      <c r="CE165" s="1269"/>
      <c r="CF165" s="1270"/>
      <c r="CG165" s="1026"/>
      <c r="CH165" s="293"/>
      <c r="CI165" s="326"/>
      <c r="CJ165" s="1027"/>
      <c r="CK165" s="249"/>
      <c r="CL165" s="260"/>
      <c r="CM165" s="1028"/>
      <c r="CN165" s="249"/>
      <c r="CO165" s="216"/>
      <c r="CP165" s="1029"/>
      <c r="CQ165" s="249"/>
      <c r="CR165" s="216"/>
      <c r="CS165" s="1029"/>
      <c r="CT165" s="249"/>
      <c r="CU165" s="216"/>
      <c r="CV165" s="1027"/>
      <c r="CW165" s="394"/>
      <c r="CX165" s="347"/>
      <c r="CY165" s="1027"/>
      <c r="CZ165" s="249"/>
      <c r="DA165" s="216"/>
      <c r="DB165" s="1027" t="str">
        <f t="shared" si="23"/>
        <v/>
      </c>
      <c r="DC165" s="249"/>
      <c r="DD165" s="2519" t="str">
        <f t="shared" si="22"/>
        <v/>
      </c>
      <c r="DE165" s="1027"/>
      <c r="DF165" s="1556"/>
      <c r="DG165" s="1557"/>
      <c r="DH165" s="1027"/>
      <c r="DI165" s="1556"/>
      <c r="DJ165" s="1558"/>
      <c r="DK165" s="1027"/>
      <c r="DL165" s="249"/>
      <c r="DM165" s="216"/>
      <c r="DN165" s="313"/>
      <c r="DO165" s="249"/>
      <c r="DP165" s="216"/>
      <c r="DQ165" s="313"/>
      <c r="DR165" s="249"/>
      <c r="DS165" s="221"/>
      <c r="DT165" s="313"/>
      <c r="DU165" s="249"/>
      <c r="DV165" s="221"/>
      <c r="DW165" s="305"/>
      <c r="DX165" s="249"/>
      <c r="DY165" s="260"/>
      <c r="DZ165" s="350"/>
      <c r="EA165" s="249"/>
      <c r="EB165" s="221"/>
      <c r="EC165" s="313"/>
      <c r="ED165" s="249"/>
      <c r="EE165" s="221"/>
      <c r="EF165" s="313"/>
      <c r="EG165" s="249"/>
      <c r="EH165" s="221"/>
      <c r="EI165" s="313"/>
      <c r="EJ165" s="249"/>
      <c r="EK165" s="216"/>
      <c r="EL165" s="1435"/>
      <c r="EM165" s="1619"/>
      <c r="EN165" s="1268"/>
      <c r="EO165" s="1563"/>
      <c r="EP165" s="1268"/>
      <c r="EQ165" s="1563"/>
      <c r="ER165" s="1268"/>
      <c r="ES165" s="1563"/>
      <c r="ET165" s="1268"/>
      <c r="EU165" s="1682"/>
      <c r="EV165" s="1683"/>
      <c r="EW165" s="1684"/>
      <c r="EX165" s="1685"/>
      <c r="EY165" s="1030"/>
      <c r="EZ165" s="349"/>
      <c r="FA165" s="395"/>
      <c r="FB165" s="223"/>
      <c r="FC165" s="1030"/>
      <c r="FD165" s="349"/>
      <c r="FE165" s="1031"/>
      <c r="FF165" s="358"/>
      <c r="FG165" s="256"/>
      <c r="FH165" s="256"/>
      <c r="FI165" s="256"/>
      <c r="FJ165" s="256"/>
      <c r="FK165" s="19"/>
      <c r="FL165" s="126"/>
      <c r="FM165" s="126"/>
      <c r="FN165" s="126"/>
      <c r="FO165" s="957"/>
      <c r="FQ165" s="358"/>
      <c r="FR165" s="1190"/>
      <c r="FS165" s="1190"/>
      <c r="FT165" s="64"/>
      <c r="FU165" s="2879"/>
      <c r="FV165" s="2880"/>
      <c r="FW165" s="2881"/>
    </row>
    <row r="166" spans="1:179">
      <c r="A166" s="1023"/>
      <c r="B166" s="1023"/>
      <c r="C166" s="1023"/>
      <c r="T166" s="1186"/>
      <c r="U166" s="233"/>
      <c r="V166" s="216"/>
      <c r="W166" s="218"/>
      <c r="X166" s="218"/>
      <c r="Y166" s="216"/>
      <c r="Z166" s="216"/>
      <c r="AA166" s="1024"/>
      <c r="AB166" s="252"/>
      <c r="AC166" s="252"/>
      <c r="AD166" s="253"/>
      <c r="AE166" s="252"/>
      <c r="AF166" s="252"/>
      <c r="AG166" s="252"/>
      <c r="AH166" s="252"/>
      <c r="AI166" s="252"/>
      <c r="AJ166" s="252"/>
      <c r="AK166" s="253"/>
      <c r="AL166" s="252"/>
      <c r="AM166" s="252"/>
      <c r="AN166" s="252"/>
      <c r="AO166" s="252"/>
      <c r="AP166" s="1192"/>
      <c r="AQ166" s="252"/>
      <c r="AR166" s="252"/>
      <c r="AS166" s="252"/>
      <c r="AT166" s="252"/>
      <c r="AU166" s="252"/>
      <c r="AV166" s="1025"/>
      <c r="AW166" s="359"/>
      <c r="AX166" s="217"/>
      <c r="AY166" s="305"/>
      <c r="AZ166" s="249"/>
      <c r="BA166" s="221"/>
      <c r="BB166" s="300"/>
      <c r="BC166" s="217"/>
      <c r="BD166" s="219"/>
      <c r="BE166" s="1263"/>
      <c r="BF166" s="249"/>
      <c r="BG166" s="252"/>
      <c r="BH166" s="1543"/>
      <c r="BI166" s="1544"/>
      <c r="BJ166" s="1543"/>
      <c r="BK166" s="1545"/>
      <c r="BL166" s="260"/>
      <c r="BM166" s="217"/>
      <c r="BN166" s="220"/>
      <c r="BO166" s="220"/>
      <c r="BP166" s="355"/>
      <c r="BQ166" s="217"/>
      <c r="BR166" s="1026"/>
      <c r="BS166" s="249"/>
      <c r="BT166" s="260"/>
      <c r="BU166" s="1026"/>
      <c r="BV166" s="249"/>
      <c r="BW166" s="260"/>
      <c r="BX166" s="1026"/>
      <c r="BY166" s="249"/>
      <c r="BZ166" s="260"/>
      <c r="CA166" s="1026"/>
      <c r="CB166" s="249"/>
      <c r="CC166" s="260"/>
      <c r="CD166" s="1026"/>
      <c r="CE166" s="1269"/>
      <c r="CF166" s="1270"/>
      <c r="CG166" s="1026"/>
      <c r="CH166" s="293"/>
      <c r="CI166" s="326"/>
      <c r="CJ166" s="1027"/>
      <c r="CK166" s="249"/>
      <c r="CL166" s="260"/>
      <c r="CM166" s="1028"/>
      <c r="CN166" s="249"/>
      <c r="CO166" s="216"/>
      <c r="CP166" s="1029"/>
      <c r="CQ166" s="249"/>
      <c r="CR166" s="216"/>
      <c r="CS166" s="1029"/>
      <c r="CT166" s="249"/>
      <c r="CU166" s="216"/>
      <c r="CV166" s="1027"/>
      <c r="CW166" s="394"/>
      <c r="CX166" s="347"/>
      <c r="CY166" s="1027"/>
      <c r="CZ166" s="249"/>
      <c r="DA166" s="216"/>
      <c r="DB166" s="1027" t="str">
        <f t="shared" si="23"/>
        <v/>
      </c>
      <c r="DC166" s="249"/>
      <c r="DD166" s="2519" t="str">
        <f t="shared" si="22"/>
        <v/>
      </c>
      <c r="DE166" s="1027"/>
      <c r="DF166" s="1556"/>
      <c r="DG166" s="1557"/>
      <c r="DH166" s="1027"/>
      <c r="DI166" s="1556"/>
      <c r="DJ166" s="1558"/>
      <c r="DK166" s="1027"/>
      <c r="DL166" s="249"/>
      <c r="DM166" s="216"/>
      <c r="DN166" s="313"/>
      <c r="DO166" s="249"/>
      <c r="DP166" s="216"/>
      <c r="DQ166" s="313"/>
      <c r="DR166" s="249"/>
      <c r="DS166" s="221"/>
      <c r="DT166" s="313"/>
      <c r="DU166" s="249"/>
      <c r="DV166" s="221"/>
      <c r="DW166" s="305"/>
      <c r="DX166" s="249"/>
      <c r="DY166" s="260"/>
      <c r="DZ166" s="350"/>
      <c r="EA166" s="249"/>
      <c r="EB166" s="221"/>
      <c r="EC166" s="313"/>
      <c r="ED166" s="249"/>
      <c r="EE166" s="221"/>
      <c r="EF166" s="313"/>
      <c r="EG166" s="249"/>
      <c r="EH166" s="221"/>
      <c r="EI166" s="313"/>
      <c r="EJ166" s="249"/>
      <c r="EK166" s="216"/>
      <c r="EL166" s="1435"/>
      <c r="EM166" s="1619"/>
      <c r="EN166" s="1268"/>
      <c r="EO166" s="1563"/>
      <c r="EP166" s="1268"/>
      <c r="EQ166" s="1563"/>
      <c r="ER166" s="1268"/>
      <c r="ES166" s="1563"/>
      <c r="ET166" s="1268"/>
      <c r="EU166" s="1682"/>
      <c r="EV166" s="1683"/>
      <c r="EW166" s="1684"/>
      <c r="EX166" s="1685"/>
      <c r="EY166" s="1030"/>
      <c r="EZ166" s="349"/>
      <c r="FA166" s="395"/>
      <c r="FB166" s="223"/>
      <c r="FC166" s="1030"/>
      <c r="FD166" s="349"/>
      <c r="FE166" s="1031"/>
      <c r="FF166" s="358"/>
      <c r="FG166" s="256"/>
      <c r="FH166" s="256"/>
      <c r="FI166" s="256"/>
      <c r="FJ166" s="256"/>
      <c r="FK166" s="19"/>
      <c r="FL166" s="126"/>
      <c r="FM166" s="126"/>
      <c r="FN166" s="126"/>
      <c r="FO166" s="957"/>
      <c r="FQ166" s="358"/>
      <c r="FR166" s="1190"/>
      <c r="FS166" s="1190"/>
      <c r="FT166" s="64"/>
      <c r="FU166" s="2879"/>
      <c r="FV166" s="2880"/>
      <c r="FW166" s="2881"/>
    </row>
    <row r="167" spans="1:179">
      <c r="A167" s="1023"/>
      <c r="B167" s="1023"/>
      <c r="C167" s="1023"/>
      <c r="T167" s="1186"/>
      <c r="U167" s="233"/>
      <c r="V167" s="216"/>
      <c r="W167" s="218"/>
      <c r="X167" s="218"/>
      <c r="Y167" s="216"/>
      <c r="Z167" s="216"/>
      <c r="AA167" s="1024"/>
      <c r="AB167" s="252"/>
      <c r="AC167" s="252"/>
      <c r="AD167" s="253"/>
      <c r="AE167" s="252"/>
      <c r="AF167" s="252"/>
      <c r="AG167" s="252"/>
      <c r="AH167" s="252"/>
      <c r="AI167" s="252"/>
      <c r="AJ167" s="252"/>
      <c r="AK167" s="253"/>
      <c r="AL167" s="252"/>
      <c r="AM167" s="252"/>
      <c r="AN167" s="252"/>
      <c r="AO167" s="252"/>
      <c r="AP167" s="1192"/>
      <c r="AQ167" s="252"/>
      <c r="AR167" s="252"/>
      <c r="AS167" s="252"/>
      <c r="AT167" s="252"/>
      <c r="AU167" s="252"/>
      <c r="AV167" s="1025"/>
      <c r="AW167" s="359"/>
      <c r="AX167" s="217"/>
      <c r="AY167" s="305"/>
      <c r="AZ167" s="249"/>
      <c r="BA167" s="221"/>
      <c r="BB167" s="300"/>
      <c r="BC167" s="217"/>
      <c r="BD167" s="219"/>
      <c r="BE167" s="1263"/>
      <c r="BF167" s="249"/>
      <c r="BG167" s="252"/>
      <c r="BH167" s="1543"/>
      <c r="BI167" s="1544"/>
      <c r="BJ167" s="1543"/>
      <c r="BK167" s="1545"/>
      <c r="BL167" s="260"/>
      <c r="BM167" s="217"/>
      <c r="BN167" s="220"/>
      <c r="BO167" s="220"/>
      <c r="BP167" s="355"/>
      <c r="BQ167" s="217"/>
      <c r="BR167" s="1026"/>
      <c r="BS167" s="249"/>
      <c r="BT167" s="260"/>
      <c r="BU167" s="1026"/>
      <c r="BV167" s="249"/>
      <c r="BW167" s="260"/>
      <c r="BX167" s="1026"/>
      <c r="BY167" s="249"/>
      <c r="BZ167" s="260"/>
      <c r="CA167" s="1026"/>
      <c r="CB167" s="249"/>
      <c r="CC167" s="260"/>
      <c r="CD167" s="1026"/>
      <c r="CE167" s="1269"/>
      <c r="CF167" s="1270"/>
      <c r="CG167" s="1026"/>
      <c r="CH167" s="293"/>
      <c r="CI167" s="326"/>
      <c r="CJ167" s="1027"/>
      <c r="CK167" s="249"/>
      <c r="CL167" s="260"/>
      <c r="CM167" s="1028"/>
      <c r="CN167" s="249"/>
      <c r="CO167" s="216"/>
      <c r="CP167" s="1029"/>
      <c r="CQ167" s="249"/>
      <c r="CR167" s="216"/>
      <c r="CS167" s="1029"/>
      <c r="CT167" s="249"/>
      <c r="CU167" s="216"/>
      <c r="CV167" s="1027"/>
      <c r="CW167" s="394"/>
      <c r="CX167" s="347"/>
      <c r="CY167" s="1027"/>
      <c r="CZ167" s="249"/>
      <c r="DA167" s="216"/>
      <c r="DB167" s="1027" t="str">
        <f t="shared" si="23"/>
        <v/>
      </c>
      <c r="DC167" s="249"/>
      <c r="DD167" s="2519" t="str">
        <f t="shared" si="22"/>
        <v/>
      </c>
      <c r="DE167" s="1027"/>
      <c r="DF167" s="1556"/>
      <c r="DG167" s="1557"/>
      <c r="DH167" s="1027"/>
      <c r="DI167" s="1556"/>
      <c r="DJ167" s="1558"/>
      <c r="DK167" s="1027"/>
      <c r="DL167" s="249"/>
      <c r="DM167" s="216"/>
      <c r="DN167" s="313"/>
      <c r="DO167" s="249"/>
      <c r="DP167" s="216"/>
      <c r="DQ167" s="313"/>
      <c r="DR167" s="249"/>
      <c r="DS167" s="221"/>
      <c r="DT167" s="313"/>
      <c r="DU167" s="249"/>
      <c r="DV167" s="221"/>
      <c r="DW167" s="305"/>
      <c r="DX167" s="249"/>
      <c r="DY167" s="260"/>
      <c r="DZ167" s="350"/>
      <c r="EA167" s="249"/>
      <c r="EB167" s="221"/>
      <c r="EC167" s="313"/>
      <c r="ED167" s="249"/>
      <c r="EE167" s="221"/>
      <c r="EF167" s="313"/>
      <c r="EG167" s="249"/>
      <c r="EH167" s="221"/>
      <c r="EI167" s="313"/>
      <c r="EJ167" s="249"/>
      <c r="EK167" s="216"/>
      <c r="EL167" s="1435"/>
      <c r="EM167" s="1619"/>
      <c r="EN167" s="1268"/>
      <c r="EO167" s="1563"/>
      <c r="EP167" s="1268"/>
      <c r="EQ167" s="1563"/>
      <c r="ER167" s="1268"/>
      <c r="ES167" s="1563"/>
      <c r="ET167" s="1268"/>
      <c r="EU167" s="1682"/>
      <c r="EV167" s="1683"/>
      <c r="EW167" s="1684"/>
      <c r="EX167" s="1685"/>
      <c r="EY167" s="1030"/>
      <c r="EZ167" s="349"/>
      <c r="FA167" s="395"/>
      <c r="FB167" s="223"/>
      <c r="FC167" s="1030"/>
      <c r="FD167" s="349"/>
      <c r="FE167" s="1031"/>
      <c r="FF167" s="358"/>
      <c r="FG167" s="256"/>
      <c r="FH167" s="256"/>
      <c r="FI167" s="256"/>
      <c r="FJ167" s="256"/>
      <c r="FK167" s="19"/>
      <c r="FL167" s="126"/>
      <c r="FM167" s="126"/>
      <c r="FN167" s="126"/>
      <c r="FO167" s="957"/>
      <c r="FQ167" s="358"/>
      <c r="FR167" s="1190"/>
      <c r="FS167" s="1190"/>
      <c r="FT167" s="64"/>
      <c r="FU167" s="2879"/>
      <c r="FV167" s="2880"/>
      <c r="FW167" s="2881"/>
    </row>
    <row r="168" spans="1:179">
      <c r="A168" s="1023"/>
      <c r="B168" s="1023"/>
      <c r="C168" s="1023"/>
      <c r="T168" s="1186"/>
      <c r="U168" s="233"/>
      <c r="V168" s="216"/>
      <c r="W168" s="218"/>
      <c r="X168" s="218"/>
      <c r="Y168" s="216"/>
      <c r="Z168" s="216"/>
      <c r="AA168" s="1024"/>
      <c r="AB168" s="252"/>
      <c r="AC168" s="252"/>
      <c r="AD168" s="253"/>
      <c r="AE168" s="252"/>
      <c r="AF168" s="252"/>
      <c r="AG168" s="252"/>
      <c r="AH168" s="252"/>
      <c r="AI168" s="252"/>
      <c r="AJ168" s="252"/>
      <c r="AK168" s="253"/>
      <c r="AL168" s="252"/>
      <c r="AM168" s="252"/>
      <c r="AN168" s="252"/>
      <c r="AO168" s="252"/>
      <c r="AP168" s="1192"/>
      <c r="AQ168" s="252"/>
      <c r="AR168" s="252"/>
      <c r="AS168" s="252"/>
      <c r="AT168" s="252"/>
      <c r="AU168" s="252"/>
      <c r="AV168" s="1025"/>
      <c r="AW168" s="359"/>
      <c r="AX168" s="217"/>
      <c r="AY168" s="305"/>
      <c r="AZ168" s="249"/>
      <c r="BA168" s="221"/>
      <c r="BB168" s="300"/>
      <c r="BC168" s="217"/>
      <c r="BD168" s="219"/>
      <c r="BE168" s="1263"/>
      <c r="BF168" s="249"/>
      <c r="BG168" s="252"/>
      <c r="BH168" s="1543"/>
      <c r="BI168" s="1544"/>
      <c r="BJ168" s="1543"/>
      <c r="BK168" s="1545"/>
      <c r="BL168" s="260"/>
      <c r="BM168" s="217"/>
      <c r="BN168" s="220"/>
      <c r="BO168" s="220"/>
      <c r="BP168" s="355"/>
      <c r="BQ168" s="217"/>
      <c r="BR168" s="1026"/>
      <c r="BS168" s="249"/>
      <c r="BT168" s="260"/>
      <c r="BU168" s="1026"/>
      <c r="BV168" s="249"/>
      <c r="BW168" s="260"/>
      <c r="BX168" s="1026"/>
      <c r="BY168" s="249"/>
      <c r="BZ168" s="260"/>
      <c r="CA168" s="1026"/>
      <c r="CB168" s="249"/>
      <c r="CC168" s="260"/>
      <c r="CD168" s="1026"/>
      <c r="CE168" s="1269"/>
      <c r="CF168" s="1270"/>
      <c r="CG168" s="1026"/>
      <c r="CH168" s="293"/>
      <c r="CI168" s="326"/>
      <c r="CJ168" s="1027"/>
      <c r="CK168" s="249"/>
      <c r="CL168" s="260"/>
      <c r="CM168" s="1028"/>
      <c r="CN168" s="249"/>
      <c r="CO168" s="216"/>
      <c r="CP168" s="1029"/>
      <c r="CQ168" s="249"/>
      <c r="CR168" s="216"/>
      <c r="CS168" s="1029"/>
      <c r="CT168" s="249"/>
      <c r="CU168" s="216"/>
      <c r="CV168" s="1027"/>
      <c r="CW168" s="394"/>
      <c r="CX168" s="347"/>
      <c r="CY168" s="1027"/>
      <c r="CZ168" s="249"/>
      <c r="DA168" s="216"/>
      <c r="DB168" s="1027" t="str">
        <f t="shared" si="23"/>
        <v/>
      </c>
      <c r="DC168" s="249"/>
      <c r="DD168" s="2519" t="str">
        <f t="shared" si="22"/>
        <v/>
      </c>
      <c r="DE168" s="1027"/>
      <c r="DF168" s="1556"/>
      <c r="DG168" s="1557"/>
      <c r="DH168" s="1027"/>
      <c r="DI168" s="1556"/>
      <c r="DJ168" s="1558"/>
      <c r="DK168" s="1027"/>
      <c r="DL168" s="249"/>
      <c r="DM168" s="216"/>
      <c r="DN168" s="313"/>
      <c r="DO168" s="249"/>
      <c r="DP168" s="216"/>
      <c r="DQ168" s="313"/>
      <c r="DR168" s="249"/>
      <c r="DS168" s="221"/>
      <c r="DT168" s="313"/>
      <c r="DU168" s="249"/>
      <c r="DV168" s="221"/>
      <c r="DW168" s="305"/>
      <c r="DX168" s="249"/>
      <c r="DY168" s="260"/>
      <c r="DZ168" s="350"/>
      <c r="EA168" s="249"/>
      <c r="EB168" s="221"/>
      <c r="EC168" s="313"/>
      <c r="ED168" s="249"/>
      <c r="EE168" s="221"/>
      <c r="EF168" s="313"/>
      <c r="EG168" s="249"/>
      <c r="EH168" s="221"/>
      <c r="EI168" s="313"/>
      <c r="EJ168" s="249"/>
      <c r="EK168" s="216"/>
      <c r="EL168" s="1435"/>
      <c r="EM168" s="1619"/>
      <c r="EN168" s="1268"/>
      <c r="EO168" s="1563"/>
      <c r="EP168" s="1268"/>
      <c r="EQ168" s="1563"/>
      <c r="ER168" s="1268"/>
      <c r="ES168" s="1563"/>
      <c r="ET168" s="1268"/>
      <c r="EU168" s="1682"/>
      <c r="EV168" s="1683"/>
      <c r="EW168" s="1684"/>
      <c r="EX168" s="1685"/>
      <c r="EY168" s="1030"/>
      <c r="EZ168" s="349"/>
      <c r="FA168" s="395"/>
      <c r="FB168" s="223"/>
      <c r="FC168" s="1030"/>
      <c r="FD168" s="349"/>
      <c r="FE168" s="1031"/>
      <c r="FF168" s="358"/>
      <c r="FG168" s="256"/>
      <c r="FH168" s="256"/>
      <c r="FI168" s="256"/>
      <c r="FJ168" s="256"/>
      <c r="FK168" s="19"/>
      <c r="FL168" s="126"/>
      <c r="FM168" s="126"/>
      <c r="FN168" s="126"/>
      <c r="FO168" s="957"/>
      <c r="FQ168" s="358"/>
      <c r="FR168" s="1190"/>
      <c r="FS168" s="1190"/>
      <c r="FT168" s="64"/>
      <c r="FU168" s="2879"/>
      <c r="FV168" s="2880"/>
      <c r="FW168" s="2881"/>
    </row>
    <row r="169" spans="1:179">
      <c r="A169" s="1023"/>
      <c r="B169" s="1023"/>
      <c r="C169" s="1023"/>
      <c r="T169" s="1186"/>
      <c r="U169" s="233"/>
      <c r="V169" s="216"/>
      <c r="W169" s="218"/>
      <c r="X169" s="218"/>
      <c r="Y169" s="216"/>
      <c r="Z169" s="216"/>
      <c r="AA169" s="1024"/>
      <c r="AB169" s="252"/>
      <c r="AC169" s="252"/>
      <c r="AD169" s="253"/>
      <c r="AE169" s="252"/>
      <c r="AF169" s="252"/>
      <c r="AG169" s="252"/>
      <c r="AH169" s="252"/>
      <c r="AI169" s="252"/>
      <c r="AJ169" s="252"/>
      <c r="AK169" s="253"/>
      <c r="AL169" s="252"/>
      <c r="AM169" s="252"/>
      <c r="AN169" s="252"/>
      <c r="AO169" s="252"/>
      <c r="AP169" s="1192"/>
      <c r="AQ169" s="252"/>
      <c r="AR169" s="252"/>
      <c r="AS169" s="252"/>
      <c r="AT169" s="252"/>
      <c r="AU169" s="252"/>
      <c r="AV169" s="1025"/>
      <c r="AW169" s="359"/>
      <c r="AX169" s="217"/>
      <c r="AY169" s="305"/>
      <c r="AZ169" s="249"/>
      <c r="BA169" s="221"/>
      <c r="BB169" s="300"/>
      <c r="BC169" s="217"/>
      <c r="BD169" s="219"/>
      <c r="BE169" s="1263"/>
      <c r="BF169" s="249"/>
      <c r="BG169" s="252"/>
      <c r="BH169" s="1543"/>
      <c r="BI169" s="1544"/>
      <c r="BJ169" s="1543"/>
      <c r="BK169" s="1545"/>
      <c r="BL169" s="260"/>
      <c r="BM169" s="217"/>
      <c r="BN169" s="220"/>
      <c r="BO169" s="220"/>
      <c r="BP169" s="355"/>
      <c r="BQ169" s="217"/>
      <c r="BR169" s="1026"/>
      <c r="BS169" s="249"/>
      <c r="BT169" s="260"/>
      <c r="BU169" s="1026"/>
      <c r="BV169" s="249"/>
      <c r="BW169" s="260"/>
      <c r="BX169" s="1026"/>
      <c r="BY169" s="249"/>
      <c r="BZ169" s="260"/>
      <c r="CA169" s="1026"/>
      <c r="CB169" s="249"/>
      <c r="CC169" s="260"/>
      <c r="CD169" s="1026"/>
      <c r="CE169" s="1269"/>
      <c r="CF169" s="1270"/>
      <c r="CG169" s="1026"/>
      <c r="CH169" s="293"/>
      <c r="CI169" s="326"/>
      <c r="CJ169" s="1027"/>
      <c r="CK169" s="249"/>
      <c r="CL169" s="260"/>
      <c r="CM169" s="1028"/>
      <c r="CN169" s="249"/>
      <c r="CO169" s="216"/>
      <c r="CP169" s="1029"/>
      <c r="CQ169" s="249"/>
      <c r="CR169" s="216"/>
      <c r="CS169" s="1029"/>
      <c r="CT169" s="249"/>
      <c r="CU169" s="216"/>
      <c r="CV169" s="1027"/>
      <c r="CW169" s="394"/>
      <c r="CX169" s="347"/>
      <c r="CY169" s="1027"/>
      <c r="CZ169" s="249"/>
      <c r="DA169" s="216"/>
      <c r="DB169" s="1027" t="str">
        <f t="shared" si="23"/>
        <v/>
      </c>
      <c r="DC169" s="249"/>
      <c r="DD169" s="2519" t="str">
        <f t="shared" si="22"/>
        <v/>
      </c>
      <c r="DE169" s="1027"/>
      <c r="DF169" s="1556"/>
      <c r="DG169" s="1557"/>
      <c r="DH169" s="1027"/>
      <c r="DI169" s="1556"/>
      <c r="DJ169" s="1558"/>
      <c r="DK169" s="1027"/>
      <c r="DL169" s="249"/>
      <c r="DM169" s="216"/>
      <c r="DN169" s="313"/>
      <c r="DO169" s="249"/>
      <c r="DP169" s="216"/>
      <c r="DQ169" s="313"/>
      <c r="DR169" s="249"/>
      <c r="DS169" s="221"/>
      <c r="DT169" s="313"/>
      <c r="DU169" s="249"/>
      <c r="DV169" s="221"/>
      <c r="DW169" s="305"/>
      <c r="DX169" s="249"/>
      <c r="DY169" s="260"/>
      <c r="DZ169" s="350"/>
      <c r="EA169" s="249"/>
      <c r="EB169" s="221"/>
      <c r="EC169" s="313"/>
      <c r="ED169" s="249"/>
      <c r="EE169" s="221"/>
      <c r="EF169" s="313"/>
      <c r="EG169" s="249"/>
      <c r="EH169" s="221"/>
      <c r="EI169" s="313"/>
      <c r="EJ169" s="249"/>
      <c r="EK169" s="216"/>
      <c r="EL169" s="1435"/>
      <c r="EM169" s="1619"/>
      <c r="EN169" s="1268"/>
      <c r="EO169" s="1563"/>
      <c r="EP169" s="1268"/>
      <c r="EQ169" s="1563"/>
      <c r="ER169" s="1268"/>
      <c r="ES169" s="1563"/>
      <c r="ET169" s="1268"/>
      <c r="EU169" s="1682"/>
      <c r="EV169" s="1683"/>
      <c r="EW169" s="1684"/>
      <c r="EX169" s="1685"/>
      <c r="EY169" s="1030"/>
      <c r="EZ169" s="349"/>
      <c r="FA169" s="395"/>
      <c r="FB169" s="223"/>
      <c r="FC169" s="1030"/>
      <c r="FD169" s="349"/>
      <c r="FE169" s="1031"/>
      <c r="FF169" s="358"/>
      <c r="FG169" s="256"/>
      <c r="FH169" s="256"/>
      <c r="FI169" s="256"/>
      <c r="FJ169" s="256"/>
      <c r="FK169" s="19"/>
      <c r="FL169" s="126"/>
      <c r="FM169" s="126"/>
      <c r="FN169" s="126"/>
      <c r="FO169" s="957"/>
      <c r="FQ169" s="358"/>
      <c r="FR169" s="1190"/>
      <c r="FS169" s="1190"/>
      <c r="FT169" s="64"/>
      <c r="FU169" s="2879"/>
      <c r="FV169" s="2880"/>
      <c r="FW169" s="2881"/>
    </row>
    <row r="170" spans="1:179">
      <c r="A170" s="1023"/>
      <c r="B170" s="1023"/>
      <c r="C170" s="1023"/>
      <c r="T170" s="1186"/>
      <c r="U170" s="233"/>
      <c r="V170" s="216"/>
      <c r="W170" s="218"/>
      <c r="X170" s="218"/>
      <c r="Y170" s="216"/>
      <c r="Z170" s="216"/>
      <c r="AA170" s="1024"/>
      <c r="AB170" s="252"/>
      <c r="AC170" s="252"/>
      <c r="AD170" s="253"/>
      <c r="AE170" s="252"/>
      <c r="AF170" s="252"/>
      <c r="AG170" s="252"/>
      <c r="AH170" s="252"/>
      <c r="AI170" s="252"/>
      <c r="AJ170" s="252"/>
      <c r="AK170" s="253"/>
      <c r="AL170" s="252"/>
      <c r="AM170" s="252"/>
      <c r="AN170" s="252"/>
      <c r="AO170" s="252"/>
      <c r="AP170" s="1192"/>
      <c r="AQ170" s="252"/>
      <c r="AR170" s="252"/>
      <c r="AS170" s="252"/>
      <c r="AT170" s="252"/>
      <c r="AU170" s="252"/>
      <c r="AV170" s="1025"/>
      <c r="AW170" s="359"/>
      <c r="AX170" s="217"/>
      <c r="AY170" s="305"/>
      <c r="AZ170" s="249"/>
      <c r="BA170" s="221"/>
      <c r="BB170" s="300"/>
      <c r="BC170" s="217"/>
      <c r="BD170" s="219"/>
      <c r="BE170" s="1263"/>
      <c r="BF170" s="249"/>
      <c r="BG170" s="252"/>
      <c r="BH170" s="1543"/>
      <c r="BI170" s="1544"/>
      <c r="BJ170" s="1543"/>
      <c r="BK170" s="1545"/>
      <c r="BL170" s="260"/>
      <c r="BM170" s="217"/>
      <c r="BN170" s="220"/>
      <c r="BO170" s="220"/>
      <c r="BP170" s="355"/>
      <c r="BQ170" s="217"/>
      <c r="BR170" s="1026"/>
      <c r="BS170" s="249"/>
      <c r="BT170" s="260"/>
      <c r="BU170" s="1026"/>
      <c r="BV170" s="249"/>
      <c r="BW170" s="260"/>
      <c r="BX170" s="1026"/>
      <c r="BY170" s="249"/>
      <c r="BZ170" s="260"/>
      <c r="CA170" s="1026"/>
      <c r="CB170" s="249"/>
      <c r="CC170" s="260"/>
      <c r="CD170" s="1026"/>
      <c r="CE170" s="1269"/>
      <c r="CF170" s="1270"/>
      <c r="CG170" s="1026"/>
      <c r="CH170" s="293"/>
      <c r="CI170" s="326"/>
      <c r="CJ170" s="1027"/>
      <c r="CK170" s="249"/>
      <c r="CL170" s="260"/>
      <c r="CM170" s="1028"/>
      <c r="CN170" s="249"/>
      <c r="CO170" s="216"/>
      <c r="CP170" s="1029"/>
      <c r="CQ170" s="249"/>
      <c r="CR170" s="216"/>
      <c r="CS170" s="1029"/>
      <c r="CT170" s="249"/>
      <c r="CU170" s="216"/>
      <c r="CV170" s="1027"/>
      <c r="CW170" s="394"/>
      <c r="CX170" s="347"/>
      <c r="CY170" s="1027"/>
      <c r="CZ170" s="249"/>
      <c r="DA170" s="216"/>
      <c r="DB170" s="1027" t="str">
        <f t="shared" si="23"/>
        <v/>
      </c>
      <c r="DC170" s="249"/>
      <c r="DD170" s="2519" t="str">
        <f t="shared" si="22"/>
        <v/>
      </c>
      <c r="DE170" s="1027"/>
      <c r="DF170" s="1556"/>
      <c r="DG170" s="1557"/>
      <c r="DH170" s="1027"/>
      <c r="DI170" s="1556"/>
      <c r="DJ170" s="1558"/>
      <c r="DK170" s="1027"/>
      <c r="DL170" s="249"/>
      <c r="DM170" s="216"/>
      <c r="DN170" s="313"/>
      <c r="DO170" s="249"/>
      <c r="DP170" s="216"/>
      <c r="DQ170" s="313"/>
      <c r="DR170" s="249"/>
      <c r="DS170" s="221"/>
      <c r="DT170" s="313"/>
      <c r="DU170" s="249"/>
      <c r="DV170" s="221"/>
      <c r="DW170" s="305"/>
      <c r="DX170" s="249"/>
      <c r="DY170" s="260"/>
      <c r="DZ170" s="350"/>
      <c r="EA170" s="249"/>
      <c r="EB170" s="221"/>
      <c r="EC170" s="313"/>
      <c r="ED170" s="249"/>
      <c r="EE170" s="221"/>
      <c r="EF170" s="313"/>
      <c r="EG170" s="249"/>
      <c r="EH170" s="221"/>
      <c r="EI170" s="313"/>
      <c r="EJ170" s="249"/>
      <c r="EK170" s="216"/>
      <c r="EL170" s="1435"/>
      <c r="EM170" s="1619"/>
      <c r="EN170" s="1268"/>
      <c r="EO170" s="1563"/>
      <c r="EP170" s="1268"/>
      <c r="EQ170" s="1563"/>
      <c r="ER170" s="1268"/>
      <c r="ES170" s="1563"/>
      <c r="ET170" s="1268"/>
      <c r="EU170" s="1682"/>
      <c r="EV170" s="1683"/>
      <c r="EW170" s="1684"/>
      <c r="EX170" s="1685"/>
      <c r="EY170" s="1030"/>
      <c r="EZ170" s="349"/>
      <c r="FA170" s="395"/>
      <c r="FB170" s="223"/>
      <c r="FC170" s="1030"/>
      <c r="FD170" s="349"/>
      <c r="FE170" s="1031"/>
      <c r="FF170" s="358"/>
      <c r="FG170" s="256"/>
      <c r="FH170" s="256"/>
      <c r="FI170" s="256"/>
      <c r="FJ170" s="256"/>
      <c r="FK170" s="19"/>
      <c r="FL170" s="126"/>
      <c r="FM170" s="126"/>
      <c r="FN170" s="126"/>
      <c r="FO170" s="957"/>
      <c r="FQ170" s="358"/>
      <c r="FR170" s="1190"/>
      <c r="FS170" s="1190"/>
      <c r="FT170" s="64"/>
      <c r="FU170" s="2879"/>
      <c r="FV170" s="2880"/>
      <c r="FW170" s="2881"/>
    </row>
    <row r="171" spans="1:179">
      <c r="A171" s="1023"/>
      <c r="B171" s="1023"/>
      <c r="C171" s="1023"/>
      <c r="T171" s="1186"/>
      <c r="U171" s="233"/>
      <c r="V171" s="216"/>
      <c r="W171" s="218"/>
      <c r="X171" s="218"/>
      <c r="Y171" s="216"/>
      <c r="Z171" s="216"/>
      <c r="AA171" s="1024"/>
      <c r="AB171" s="252"/>
      <c r="AC171" s="252"/>
      <c r="AD171" s="253"/>
      <c r="AE171" s="252"/>
      <c r="AF171" s="252"/>
      <c r="AG171" s="252"/>
      <c r="AH171" s="252"/>
      <c r="AI171" s="252"/>
      <c r="AJ171" s="252"/>
      <c r="AK171" s="253"/>
      <c r="AL171" s="252"/>
      <c r="AM171" s="252"/>
      <c r="AN171" s="252"/>
      <c r="AO171" s="252"/>
      <c r="AP171" s="1192"/>
      <c r="AQ171" s="252"/>
      <c r="AR171" s="252"/>
      <c r="AS171" s="252"/>
      <c r="AT171" s="252"/>
      <c r="AU171" s="252"/>
      <c r="AV171" s="1025"/>
      <c r="AW171" s="359"/>
      <c r="AX171" s="217"/>
      <c r="AY171" s="305"/>
      <c r="AZ171" s="249"/>
      <c r="BA171" s="221"/>
      <c r="BB171" s="300"/>
      <c r="BC171" s="217"/>
      <c r="BD171" s="219"/>
      <c r="BE171" s="1263"/>
      <c r="BF171" s="249"/>
      <c r="BG171" s="252"/>
      <c r="BH171" s="1543"/>
      <c r="BI171" s="1544"/>
      <c r="BJ171" s="1543"/>
      <c r="BK171" s="1545"/>
      <c r="BL171" s="260"/>
      <c r="BM171" s="217"/>
      <c r="BN171" s="220"/>
      <c r="BO171" s="220"/>
      <c r="BP171" s="355"/>
      <c r="BQ171" s="217"/>
      <c r="BR171" s="1026"/>
      <c r="BS171" s="249"/>
      <c r="BT171" s="260"/>
      <c r="BU171" s="1026"/>
      <c r="BV171" s="249"/>
      <c r="BW171" s="260"/>
      <c r="BX171" s="1026"/>
      <c r="BY171" s="249"/>
      <c r="BZ171" s="260"/>
      <c r="CA171" s="1026"/>
      <c r="CB171" s="249"/>
      <c r="CC171" s="260"/>
      <c r="CD171" s="1026"/>
      <c r="CE171" s="1269"/>
      <c r="CF171" s="1270"/>
      <c r="CG171" s="1026"/>
      <c r="CH171" s="293"/>
      <c r="CI171" s="326"/>
      <c r="CJ171" s="1027"/>
      <c r="CK171" s="249"/>
      <c r="CL171" s="260"/>
      <c r="CM171" s="1028"/>
      <c r="CN171" s="249"/>
      <c r="CO171" s="216"/>
      <c r="CP171" s="1029"/>
      <c r="CQ171" s="249"/>
      <c r="CR171" s="216"/>
      <c r="CS171" s="1029"/>
      <c r="CT171" s="249"/>
      <c r="CU171" s="216"/>
      <c r="CV171" s="1027"/>
      <c r="CW171" s="394"/>
      <c r="CX171" s="347"/>
      <c r="CY171" s="1027"/>
      <c r="CZ171" s="249"/>
      <c r="DA171" s="216"/>
      <c r="DB171" s="1027" t="str">
        <f t="shared" si="23"/>
        <v/>
      </c>
      <c r="DC171" s="249"/>
      <c r="DD171" s="2519" t="str">
        <f t="shared" si="22"/>
        <v/>
      </c>
      <c r="DE171" s="1027"/>
      <c r="DF171" s="1556"/>
      <c r="DG171" s="1557"/>
      <c r="DH171" s="1027"/>
      <c r="DI171" s="1556"/>
      <c r="DJ171" s="1558"/>
      <c r="DK171" s="1027"/>
      <c r="DL171" s="249"/>
      <c r="DM171" s="216"/>
      <c r="DN171" s="313"/>
      <c r="DO171" s="249"/>
      <c r="DP171" s="216"/>
      <c r="DQ171" s="313"/>
      <c r="DR171" s="249"/>
      <c r="DS171" s="221"/>
      <c r="DT171" s="313"/>
      <c r="DU171" s="249"/>
      <c r="DV171" s="221"/>
      <c r="DW171" s="305"/>
      <c r="DX171" s="249"/>
      <c r="DY171" s="260"/>
      <c r="DZ171" s="350"/>
      <c r="EA171" s="249"/>
      <c r="EB171" s="221"/>
      <c r="EC171" s="313"/>
      <c r="ED171" s="249"/>
      <c r="EE171" s="221"/>
      <c r="EF171" s="313"/>
      <c r="EG171" s="249"/>
      <c r="EH171" s="221"/>
      <c r="EI171" s="313"/>
      <c r="EJ171" s="249"/>
      <c r="EK171" s="216"/>
      <c r="EL171" s="1435"/>
      <c r="EM171" s="1619"/>
      <c r="EN171" s="1268"/>
      <c r="EO171" s="1563"/>
      <c r="EP171" s="1268"/>
      <c r="EQ171" s="1563"/>
      <c r="ER171" s="1268"/>
      <c r="ES171" s="1563"/>
      <c r="ET171" s="1268"/>
      <c r="EU171" s="1682"/>
      <c r="EV171" s="1683"/>
      <c r="EW171" s="1684"/>
      <c r="EX171" s="1685"/>
      <c r="EY171" s="1030"/>
      <c r="EZ171" s="349"/>
      <c r="FA171" s="395"/>
      <c r="FB171" s="223"/>
      <c r="FC171" s="1030"/>
      <c r="FD171" s="349"/>
      <c r="FE171" s="1031"/>
      <c r="FF171" s="358"/>
      <c r="FG171" s="256"/>
      <c r="FH171" s="256"/>
      <c r="FI171" s="256"/>
      <c r="FJ171" s="256"/>
      <c r="FK171" s="19"/>
      <c r="FL171" s="126"/>
      <c r="FM171" s="126"/>
      <c r="FN171" s="126"/>
      <c r="FO171" s="957"/>
      <c r="FQ171" s="358"/>
      <c r="FR171" s="1190"/>
      <c r="FS171" s="1190"/>
      <c r="FT171" s="64"/>
      <c r="FU171" s="2879"/>
      <c r="FV171" s="2880"/>
      <c r="FW171" s="2881"/>
    </row>
    <row r="172" spans="1:179">
      <c r="A172" s="1023"/>
      <c r="B172" s="1023"/>
      <c r="C172" s="1023"/>
      <c r="T172" s="1186"/>
      <c r="U172" s="233"/>
      <c r="V172" s="216"/>
      <c r="W172" s="218"/>
      <c r="X172" s="218"/>
      <c r="Y172" s="216"/>
      <c r="Z172" s="216"/>
      <c r="AA172" s="1024"/>
      <c r="AB172" s="252"/>
      <c r="AC172" s="252"/>
      <c r="AD172" s="253"/>
      <c r="AE172" s="252"/>
      <c r="AF172" s="252"/>
      <c r="AG172" s="252"/>
      <c r="AH172" s="252"/>
      <c r="AI172" s="252"/>
      <c r="AJ172" s="252"/>
      <c r="AK172" s="253"/>
      <c r="AL172" s="252"/>
      <c r="AM172" s="252"/>
      <c r="AN172" s="252"/>
      <c r="AO172" s="252"/>
      <c r="AP172" s="1192"/>
      <c r="AQ172" s="252"/>
      <c r="AR172" s="252"/>
      <c r="AS172" s="252"/>
      <c r="AT172" s="252"/>
      <c r="AU172" s="252"/>
      <c r="AV172" s="1025"/>
      <c r="AW172" s="359"/>
      <c r="AX172" s="217"/>
      <c r="AY172" s="305"/>
      <c r="AZ172" s="249"/>
      <c r="BA172" s="221"/>
      <c r="BB172" s="300"/>
      <c r="BC172" s="217"/>
      <c r="BD172" s="219"/>
      <c r="BE172" s="1263"/>
      <c r="BF172" s="249"/>
      <c r="BG172" s="252"/>
      <c r="BH172" s="1543"/>
      <c r="BI172" s="1544"/>
      <c r="BJ172" s="1543"/>
      <c r="BK172" s="1545"/>
      <c r="BL172" s="260"/>
      <c r="BM172" s="217"/>
      <c r="BN172" s="220"/>
      <c r="BO172" s="220"/>
      <c r="BP172" s="355"/>
      <c r="BQ172" s="217"/>
      <c r="BR172" s="1026"/>
      <c r="BS172" s="249"/>
      <c r="BT172" s="260"/>
      <c r="BU172" s="1026"/>
      <c r="BV172" s="249"/>
      <c r="BW172" s="260"/>
      <c r="BX172" s="1026"/>
      <c r="BY172" s="249"/>
      <c r="BZ172" s="260"/>
      <c r="CA172" s="1026"/>
      <c r="CB172" s="249"/>
      <c r="CC172" s="260"/>
      <c r="CD172" s="1026"/>
      <c r="CE172" s="1269"/>
      <c r="CF172" s="1270"/>
      <c r="CG172" s="1026"/>
      <c r="CH172" s="293"/>
      <c r="CI172" s="326"/>
      <c r="CJ172" s="1027"/>
      <c r="CK172" s="249"/>
      <c r="CL172" s="260"/>
      <c r="CM172" s="1028"/>
      <c r="CN172" s="249"/>
      <c r="CO172" s="216"/>
      <c r="CP172" s="1029"/>
      <c r="CQ172" s="249"/>
      <c r="CR172" s="216"/>
      <c r="CS172" s="1029"/>
      <c r="CT172" s="249"/>
      <c r="CU172" s="216"/>
      <c r="CV172" s="1027"/>
      <c r="CW172" s="394"/>
      <c r="CX172" s="347"/>
      <c r="CY172" s="1027"/>
      <c r="CZ172" s="249"/>
      <c r="DA172" s="216"/>
      <c r="DB172" s="1027" t="str">
        <f t="shared" si="23"/>
        <v/>
      </c>
      <c r="DC172" s="249"/>
      <c r="DD172" s="2519" t="str">
        <f t="shared" si="22"/>
        <v/>
      </c>
      <c r="DE172" s="1027"/>
      <c r="DF172" s="1556"/>
      <c r="DG172" s="1557"/>
      <c r="DH172" s="1027"/>
      <c r="DI172" s="1556"/>
      <c r="DJ172" s="1558"/>
      <c r="DK172" s="1027"/>
      <c r="DL172" s="249"/>
      <c r="DM172" s="216"/>
      <c r="DN172" s="313"/>
      <c r="DO172" s="249"/>
      <c r="DP172" s="216"/>
      <c r="DQ172" s="313"/>
      <c r="DR172" s="249"/>
      <c r="DS172" s="221"/>
      <c r="DT172" s="313"/>
      <c r="DU172" s="249"/>
      <c r="DV172" s="221"/>
      <c r="DW172" s="305"/>
      <c r="DX172" s="249"/>
      <c r="DY172" s="260"/>
      <c r="DZ172" s="350"/>
      <c r="EA172" s="249"/>
      <c r="EB172" s="221"/>
      <c r="EC172" s="313"/>
      <c r="ED172" s="249"/>
      <c r="EE172" s="221"/>
      <c r="EF172" s="313"/>
      <c r="EG172" s="249"/>
      <c r="EH172" s="221"/>
      <c r="EI172" s="313"/>
      <c r="EJ172" s="249"/>
      <c r="EK172" s="216"/>
      <c r="EL172" s="1435"/>
      <c r="EM172" s="1619"/>
      <c r="EN172" s="1268"/>
      <c r="EO172" s="1563"/>
      <c r="EP172" s="1268"/>
      <c r="EQ172" s="1563"/>
      <c r="ER172" s="1268"/>
      <c r="ES172" s="1563"/>
      <c r="ET172" s="1268"/>
      <c r="EU172" s="1682"/>
      <c r="EV172" s="1683"/>
      <c r="EW172" s="1684"/>
      <c r="EX172" s="1685"/>
      <c r="EY172" s="1030"/>
      <c r="EZ172" s="349"/>
      <c r="FA172" s="395"/>
      <c r="FB172" s="223"/>
      <c r="FC172" s="1030"/>
      <c r="FD172" s="349"/>
      <c r="FE172" s="1031"/>
      <c r="FF172" s="358"/>
      <c r="FG172" s="256"/>
      <c r="FH172" s="256"/>
      <c r="FI172" s="256"/>
      <c r="FJ172" s="256"/>
      <c r="FK172" s="19"/>
      <c r="FL172" s="126"/>
      <c r="FM172" s="126"/>
      <c r="FN172" s="126"/>
      <c r="FO172" s="957"/>
      <c r="FQ172" s="358"/>
      <c r="FR172" s="1190"/>
      <c r="FS172" s="1190"/>
      <c r="FT172" s="64"/>
      <c r="FU172" s="2879"/>
      <c r="FV172" s="2880"/>
      <c r="FW172" s="2881"/>
    </row>
    <row r="173" spans="1:179">
      <c r="A173" s="1023"/>
      <c r="B173" s="1023"/>
      <c r="C173" s="1023"/>
      <c r="T173" s="1186"/>
      <c r="U173" s="233"/>
      <c r="V173" s="216"/>
      <c r="W173" s="218"/>
      <c r="X173" s="218"/>
      <c r="Y173" s="216"/>
      <c r="Z173" s="216"/>
      <c r="AA173" s="1024"/>
      <c r="AB173" s="252"/>
      <c r="AC173" s="252"/>
      <c r="AD173" s="253"/>
      <c r="AE173" s="252"/>
      <c r="AF173" s="252"/>
      <c r="AG173" s="252"/>
      <c r="AH173" s="252"/>
      <c r="AI173" s="252"/>
      <c r="AJ173" s="252"/>
      <c r="AK173" s="253"/>
      <c r="AL173" s="252"/>
      <c r="AM173" s="252"/>
      <c r="AN173" s="252"/>
      <c r="AO173" s="252"/>
      <c r="AP173" s="1192"/>
      <c r="AQ173" s="252"/>
      <c r="AR173" s="252"/>
      <c r="AS173" s="252"/>
      <c r="AT173" s="252"/>
      <c r="AU173" s="252"/>
      <c r="AV173" s="1025"/>
      <c r="AW173" s="359"/>
      <c r="AX173" s="217"/>
      <c r="AY173" s="305"/>
      <c r="AZ173" s="249"/>
      <c r="BA173" s="221"/>
      <c r="BB173" s="300"/>
      <c r="BC173" s="217"/>
      <c r="BD173" s="219"/>
      <c r="BE173" s="1263"/>
      <c r="BF173" s="249"/>
      <c r="BG173" s="252"/>
      <c r="BH173" s="1543"/>
      <c r="BI173" s="1544"/>
      <c r="BJ173" s="1543"/>
      <c r="BK173" s="1545"/>
      <c r="BL173" s="260"/>
      <c r="BM173" s="217"/>
      <c r="BN173" s="220"/>
      <c r="BO173" s="220"/>
      <c r="BP173" s="355"/>
      <c r="BQ173" s="217"/>
      <c r="BR173" s="1026"/>
      <c r="BS173" s="249"/>
      <c r="BT173" s="260"/>
      <c r="BU173" s="1026"/>
      <c r="BV173" s="249"/>
      <c r="BW173" s="260"/>
      <c r="BX173" s="1026"/>
      <c r="BY173" s="249"/>
      <c r="BZ173" s="260"/>
      <c r="CA173" s="1026"/>
      <c r="CB173" s="249"/>
      <c r="CC173" s="260"/>
      <c r="CD173" s="1026"/>
      <c r="CE173" s="1269"/>
      <c r="CF173" s="1270"/>
      <c r="CG173" s="1026"/>
      <c r="CH173" s="293"/>
      <c r="CI173" s="326"/>
      <c r="CJ173" s="1027"/>
      <c r="CK173" s="249"/>
      <c r="CL173" s="260"/>
      <c r="CM173" s="1028"/>
      <c r="CN173" s="249"/>
      <c r="CO173" s="216"/>
      <c r="CP173" s="1029"/>
      <c r="CQ173" s="249"/>
      <c r="CR173" s="216"/>
      <c r="CS173" s="1029"/>
      <c r="CT173" s="249"/>
      <c r="CU173" s="216"/>
      <c r="CV173" s="1027"/>
      <c r="CW173" s="394"/>
      <c r="CX173" s="347"/>
      <c r="CY173" s="1027"/>
      <c r="CZ173" s="249"/>
      <c r="DA173" s="216"/>
      <c r="DB173" s="1027" t="str">
        <f t="shared" si="23"/>
        <v/>
      </c>
      <c r="DC173" s="249"/>
      <c r="DD173" s="2519" t="str">
        <f t="shared" si="22"/>
        <v/>
      </c>
      <c r="DE173" s="1027"/>
      <c r="DF173" s="1556"/>
      <c r="DG173" s="1557"/>
      <c r="DH173" s="1027"/>
      <c r="DI173" s="1556"/>
      <c r="DJ173" s="1558"/>
      <c r="DK173" s="1027"/>
      <c r="DL173" s="249"/>
      <c r="DM173" s="216"/>
      <c r="DN173" s="313"/>
      <c r="DO173" s="249"/>
      <c r="DP173" s="216"/>
      <c r="DQ173" s="313"/>
      <c r="DR173" s="249"/>
      <c r="DS173" s="221"/>
      <c r="DT173" s="313"/>
      <c r="DU173" s="249"/>
      <c r="DV173" s="221"/>
      <c r="DW173" s="305"/>
      <c r="DX173" s="249"/>
      <c r="DY173" s="260"/>
      <c r="DZ173" s="350"/>
      <c r="EA173" s="249"/>
      <c r="EB173" s="221"/>
      <c r="EC173" s="313"/>
      <c r="ED173" s="249"/>
      <c r="EE173" s="221"/>
      <c r="EF173" s="313"/>
      <c r="EG173" s="249"/>
      <c r="EH173" s="221"/>
      <c r="EI173" s="313"/>
      <c r="EJ173" s="249"/>
      <c r="EK173" s="216"/>
      <c r="EL173" s="1435"/>
      <c r="EM173" s="1619"/>
      <c r="EN173" s="1268"/>
      <c r="EO173" s="1563"/>
      <c r="EP173" s="1268"/>
      <c r="EQ173" s="1563"/>
      <c r="ER173" s="1268"/>
      <c r="ES173" s="1563"/>
      <c r="ET173" s="1268"/>
      <c r="EU173" s="1682"/>
      <c r="EV173" s="1683"/>
      <c r="EW173" s="1684"/>
      <c r="EX173" s="1685"/>
      <c r="EY173" s="1030"/>
      <c r="EZ173" s="349"/>
      <c r="FA173" s="395"/>
      <c r="FB173" s="223"/>
      <c r="FC173" s="1030"/>
      <c r="FD173" s="349"/>
      <c r="FE173" s="1031"/>
      <c r="FF173" s="358"/>
      <c r="FG173" s="256"/>
      <c r="FH173" s="256"/>
      <c r="FI173" s="256"/>
      <c r="FJ173" s="256"/>
      <c r="FK173" s="19"/>
      <c r="FL173" s="126"/>
      <c r="FM173" s="126"/>
      <c r="FN173" s="126"/>
      <c r="FO173" s="957"/>
      <c r="FQ173" s="358"/>
      <c r="FR173" s="1190"/>
      <c r="FS173" s="1190"/>
      <c r="FT173" s="64"/>
      <c r="FU173" s="2879"/>
      <c r="FV173" s="2880"/>
      <c r="FW173" s="2881"/>
    </row>
    <row r="174" spans="1:179">
      <c r="A174" s="1023"/>
      <c r="B174" s="1023"/>
      <c r="C174" s="1023"/>
      <c r="T174" s="1186"/>
      <c r="U174" s="233"/>
      <c r="V174" s="216"/>
      <c r="W174" s="218"/>
      <c r="X174" s="218"/>
      <c r="Y174" s="216"/>
      <c r="Z174" s="216"/>
      <c r="AA174" s="1024"/>
      <c r="AB174" s="252"/>
      <c r="AC174" s="252"/>
      <c r="AD174" s="253"/>
      <c r="AE174" s="252"/>
      <c r="AF174" s="252"/>
      <c r="AG174" s="252"/>
      <c r="AH174" s="252"/>
      <c r="AI174" s="252"/>
      <c r="AJ174" s="252"/>
      <c r="AK174" s="253"/>
      <c r="AL174" s="252"/>
      <c r="AM174" s="252"/>
      <c r="AN174" s="252"/>
      <c r="AO174" s="252"/>
      <c r="AP174" s="1192"/>
      <c r="AQ174" s="252"/>
      <c r="AR174" s="252"/>
      <c r="AS174" s="252"/>
      <c r="AT174" s="252"/>
      <c r="AU174" s="252"/>
      <c r="AV174" s="1025"/>
      <c r="AW174" s="359"/>
      <c r="AX174" s="217"/>
      <c r="AY174" s="305"/>
      <c r="AZ174" s="249"/>
      <c r="BA174" s="221"/>
      <c r="BB174" s="300"/>
      <c r="BC174" s="217"/>
      <c r="BD174" s="219"/>
      <c r="BE174" s="1263"/>
      <c r="BF174" s="249"/>
      <c r="BG174" s="252"/>
      <c r="BH174" s="1543"/>
      <c r="BI174" s="1544"/>
      <c r="BJ174" s="1543"/>
      <c r="BK174" s="1545"/>
      <c r="BL174" s="260"/>
      <c r="BM174" s="217"/>
      <c r="BN174" s="220"/>
      <c r="BO174" s="220"/>
      <c r="BP174" s="355"/>
      <c r="BQ174" s="217"/>
      <c r="BR174" s="1026"/>
      <c r="BS174" s="249"/>
      <c r="BT174" s="260"/>
      <c r="BU174" s="1026"/>
      <c r="BV174" s="249"/>
      <c r="BW174" s="260"/>
      <c r="BX174" s="1026"/>
      <c r="BY174" s="249"/>
      <c r="BZ174" s="260"/>
      <c r="CA174" s="1026"/>
      <c r="CB174" s="249"/>
      <c r="CC174" s="260"/>
      <c r="CD174" s="1026"/>
      <c r="CE174" s="1269"/>
      <c r="CF174" s="1270"/>
      <c r="CG174" s="1026"/>
      <c r="CH174" s="293"/>
      <c r="CI174" s="326"/>
      <c r="CJ174" s="1027"/>
      <c r="CK174" s="249"/>
      <c r="CL174" s="260"/>
      <c r="CM174" s="1028"/>
      <c r="CN174" s="249"/>
      <c r="CO174" s="216"/>
      <c r="CP174" s="1029"/>
      <c r="CQ174" s="249"/>
      <c r="CR174" s="216"/>
      <c r="CS174" s="1029"/>
      <c r="CT174" s="249"/>
      <c r="CU174" s="216"/>
      <c r="CV174" s="1027"/>
      <c r="CW174" s="394"/>
      <c r="CX174" s="347"/>
      <c r="CY174" s="1027"/>
      <c r="CZ174" s="249"/>
      <c r="DA174" s="216"/>
      <c r="DB174" s="1027" t="str">
        <f t="shared" si="23"/>
        <v/>
      </c>
      <c r="DC174" s="249"/>
      <c r="DD174" s="2519" t="str">
        <f t="shared" si="22"/>
        <v/>
      </c>
      <c r="DE174" s="1027"/>
      <c r="DF174" s="1556"/>
      <c r="DG174" s="1557"/>
      <c r="DH174" s="1027"/>
      <c r="DI174" s="1556"/>
      <c r="DJ174" s="1558"/>
      <c r="DK174" s="1027"/>
      <c r="DL174" s="249"/>
      <c r="DM174" s="216"/>
      <c r="DN174" s="313"/>
      <c r="DO174" s="249"/>
      <c r="DP174" s="216"/>
      <c r="DQ174" s="313"/>
      <c r="DR174" s="249"/>
      <c r="DS174" s="221"/>
      <c r="DT174" s="313"/>
      <c r="DU174" s="249"/>
      <c r="DV174" s="221"/>
      <c r="DW174" s="305"/>
      <c r="DX174" s="249"/>
      <c r="DY174" s="260"/>
      <c r="DZ174" s="350"/>
      <c r="EA174" s="249"/>
      <c r="EB174" s="221"/>
      <c r="EC174" s="313"/>
      <c r="ED174" s="249"/>
      <c r="EE174" s="221"/>
      <c r="EF174" s="313"/>
      <c r="EG174" s="249"/>
      <c r="EH174" s="221"/>
      <c r="EI174" s="313"/>
      <c r="EJ174" s="249"/>
      <c r="EK174" s="216"/>
      <c r="EL174" s="1435"/>
      <c r="EM174" s="1619"/>
      <c r="EN174" s="1268"/>
      <c r="EO174" s="1563"/>
      <c r="EP174" s="1268"/>
      <c r="EQ174" s="1563"/>
      <c r="ER174" s="1268"/>
      <c r="ES174" s="1563"/>
      <c r="ET174" s="1268"/>
      <c r="EU174" s="1682"/>
      <c r="EV174" s="1683"/>
      <c r="EW174" s="1684"/>
      <c r="EX174" s="1685"/>
      <c r="EY174" s="1030"/>
      <c r="EZ174" s="349"/>
      <c r="FA174" s="395"/>
      <c r="FB174" s="223"/>
      <c r="FC174" s="1030"/>
      <c r="FD174" s="349"/>
      <c r="FE174" s="1031"/>
      <c r="FF174" s="358"/>
      <c r="FG174" s="256"/>
      <c r="FH174" s="256"/>
      <c r="FI174" s="256"/>
      <c r="FJ174" s="256"/>
      <c r="FK174" s="19"/>
      <c r="FL174" s="126"/>
      <c r="FM174" s="126"/>
      <c r="FN174" s="126"/>
      <c r="FO174" s="957"/>
      <c r="FQ174" s="358"/>
      <c r="FR174" s="1190"/>
      <c r="FS174" s="1190"/>
      <c r="FT174" s="64"/>
      <c r="FU174" s="2879"/>
      <c r="FV174" s="2880"/>
      <c r="FW174" s="2881"/>
    </row>
    <row r="175" spans="1:179">
      <c r="A175" s="1023"/>
      <c r="B175" s="1023"/>
      <c r="C175" s="1023"/>
      <c r="T175" s="1186"/>
      <c r="U175" s="233"/>
      <c r="V175" s="216"/>
      <c r="W175" s="218"/>
      <c r="X175" s="218"/>
      <c r="Y175" s="216"/>
      <c r="Z175" s="216"/>
      <c r="AA175" s="1024"/>
      <c r="AB175" s="252"/>
      <c r="AC175" s="252"/>
      <c r="AD175" s="253"/>
      <c r="AE175" s="252"/>
      <c r="AF175" s="252"/>
      <c r="AG175" s="252"/>
      <c r="AH175" s="252"/>
      <c r="AI175" s="252"/>
      <c r="AJ175" s="252"/>
      <c r="AK175" s="253"/>
      <c r="AL175" s="252"/>
      <c r="AM175" s="252"/>
      <c r="AN175" s="252"/>
      <c r="AO175" s="252"/>
      <c r="AP175" s="1192"/>
      <c r="AQ175" s="252"/>
      <c r="AR175" s="252"/>
      <c r="AS175" s="252"/>
      <c r="AT175" s="252"/>
      <c r="AU175" s="252"/>
      <c r="AV175" s="1025"/>
      <c r="AW175" s="359"/>
      <c r="AX175" s="217"/>
      <c r="AY175" s="305"/>
      <c r="AZ175" s="249"/>
      <c r="BA175" s="221"/>
      <c r="BB175" s="300"/>
      <c r="BC175" s="217"/>
      <c r="BD175" s="219"/>
      <c r="BE175" s="1263"/>
      <c r="BF175" s="249"/>
      <c r="BG175" s="252"/>
      <c r="BH175" s="1543"/>
      <c r="BI175" s="1544"/>
      <c r="BJ175" s="1543"/>
      <c r="BK175" s="1545"/>
      <c r="BL175" s="260"/>
      <c r="BM175" s="217"/>
      <c r="BN175" s="220"/>
      <c r="BO175" s="220"/>
      <c r="BP175" s="355"/>
      <c r="BQ175" s="217"/>
      <c r="BR175" s="1026"/>
      <c r="BS175" s="249"/>
      <c r="BT175" s="260"/>
      <c r="BU175" s="1026"/>
      <c r="BV175" s="249"/>
      <c r="BW175" s="260"/>
      <c r="BX175" s="1026"/>
      <c r="BY175" s="249"/>
      <c r="BZ175" s="260"/>
      <c r="CA175" s="1026"/>
      <c r="CB175" s="249"/>
      <c r="CC175" s="260"/>
      <c r="CD175" s="1026"/>
      <c r="CE175" s="1269"/>
      <c r="CF175" s="1270"/>
      <c r="CG175" s="1026"/>
      <c r="CH175" s="293"/>
      <c r="CI175" s="326"/>
      <c r="CJ175" s="1027"/>
      <c r="CK175" s="249"/>
      <c r="CL175" s="260"/>
      <c r="CM175" s="1028"/>
      <c r="CN175" s="249"/>
      <c r="CO175" s="216"/>
      <c r="CP175" s="1029"/>
      <c r="CQ175" s="249"/>
      <c r="CR175" s="216"/>
      <c r="CS175" s="1029"/>
      <c r="CT175" s="249"/>
      <c r="CU175" s="216"/>
      <c r="CV175" s="1027"/>
      <c r="CW175" s="394"/>
      <c r="CX175" s="347"/>
      <c r="CY175" s="1027"/>
      <c r="CZ175" s="249"/>
      <c r="DA175" s="216"/>
      <c r="DB175" s="1027" t="str">
        <f t="shared" si="23"/>
        <v/>
      </c>
      <c r="DC175" s="249"/>
      <c r="DD175" s="2519" t="str">
        <f t="shared" ref="DD175:DD199" si="24">IF(DB175="","",ROUND(IF(W175=1,T_DirAnti,T_DirPost)*$U175,2))</f>
        <v/>
      </c>
      <c r="DE175" s="1027"/>
      <c r="DF175" s="1556"/>
      <c r="DG175" s="1557"/>
      <c r="DH175" s="1027"/>
      <c r="DI175" s="1556"/>
      <c r="DJ175" s="1558"/>
      <c r="DK175" s="1027"/>
      <c r="DL175" s="249"/>
      <c r="DM175" s="216"/>
      <c r="DN175" s="313"/>
      <c r="DO175" s="249"/>
      <c r="DP175" s="216"/>
      <c r="DQ175" s="313"/>
      <c r="DR175" s="249"/>
      <c r="DS175" s="221"/>
      <c r="DT175" s="313"/>
      <c r="DU175" s="249"/>
      <c r="DV175" s="221"/>
      <c r="DW175" s="305"/>
      <c r="DX175" s="249"/>
      <c r="DY175" s="260"/>
      <c r="DZ175" s="350"/>
      <c r="EA175" s="249"/>
      <c r="EB175" s="221"/>
      <c r="EC175" s="313"/>
      <c r="ED175" s="249"/>
      <c r="EE175" s="221"/>
      <c r="EF175" s="313"/>
      <c r="EG175" s="249"/>
      <c r="EH175" s="221"/>
      <c r="EI175" s="313"/>
      <c r="EJ175" s="249"/>
      <c r="EK175" s="216"/>
      <c r="EL175" s="1435"/>
      <c r="EM175" s="1619"/>
      <c r="EN175" s="1268"/>
      <c r="EO175" s="1563"/>
      <c r="EP175" s="1268"/>
      <c r="EQ175" s="1563"/>
      <c r="ER175" s="1268"/>
      <c r="ES175" s="1563"/>
      <c r="ET175" s="1268"/>
      <c r="EU175" s="1682"/>
      <c r="EV175" s="1683"/>
      <c r="EW175" s="1684"/>
      <c r="EX175" s="1685"/>
      <c r="EY175" s="1030"/>
      <c r="EZ175" s="349"/>
      <c r="FA175" s="395"/>
      <c r="FB175" s="223"/>
      <c r="FC175" s="1030"/>
      <c r="FD175" s="349"/>
      <c r="FE175" s="1031"/>
      <c r="FF175" s="358"/>
      <c r="FG175" s="256"/>
      <c r="FH175" s="256"/>
      <c r="FI175" s="256"/>
      <c r="FJ175" s="256"/>
      <c r="FK175" s="19"/>
      <c r="FL175" s="126"/>
      <c r="FM175" s="126"/>
      <c r="FN175" s="126"/>
      <c r="FO175" s="957"/>
      <c r="FQ175" s="358"/>
      <c r="FR175" s="1190"/>
      <c r="FS175" s="1190"/>
      <c r="FT175" s="64"/>
      <c r="FU175" s="2879"/>
      <c r="FV175" s="2880"/>
      <c r="FW175" s="2881"/>
    </row>
    <row r="176" spans="1:179">
      <c r="A176" s="1023"/>
      <c r="B176" s="1023"/>
      <c r="C176" s="1023"/>
      <c r="T176" s="1186"/>
      <c r="U176" s="233"/>
      <c r="V176" s="216"/>
      <c r="W176" s="218"/>
      <c r="X176" s="218"/>
      <c r="Y176" s="216"/>
      <c r="Z176" s="216"/>
      <c r="AA176" s="1024"/>
      <c r="AB176" s="252"/>
      <c r="AC176" s="252"/>
      <c r="AD176" s="253"/>
      <c r="AE176" s="252"/>
      <c r="AF176" s="252"/>
      <c r="AG176" s="252"/>
      <c r="AH176" s="252"/>
      <c r="AI176" s="252"/>
      <c r="AJ176" s="252"/>
      <c r="AK176" s="253"/>
      <c r="AL176" s="252"/>
      <c r="AM176" s="252"/>
      <c r="AN176" s="252"/>
      <c r="AO176" s="252"/>
      <c r="AP176" s="1192"/>
      <c r="AQ176" s="252"/>
      <c r="AR176" s="252"/>
      <c r="AS176" s="252"/>
      <c r="AT176" s="252"/>
      <c r="AU176" s="252"/>
      <c r="AV176" s="1025"/>
      <c r="AW176" s="359"/>
      <c r="AX176" s="217"/>
      <c r="AY176" s="305"/>
      <c r="AZ176" s="249"/>
      <c r="BA176" s="221"/>
      <c r="BB176" s="300"/>
      <c r="BC176" s="217"/>
      <c r="BD176" s="219"/>
      <c r="BE176" s="1263"/>
      <c r="BF176" s="249"/>
      <c r="BG176" s="252"/>
      <c r="BH176" s="1543"/>
      <c r="BI176" s="1544"/>
      <c r="BJ176" s="1543"/>
      <c r="BK176" s="1545"/>
      <c r="BL176" s="260"/>
      <c r="BM176" s="217"/>
      <c r="BN176" s="220"/>
      <c r="BO176" s="220"/>
      <c r="BP176" s="355"/>
      <c r="BQ176" s="217"/>
      <c r="BR176" s="1026"/>
      <c r="BS176" s="249"/>
      <c r="BT176" s="260"/>
      <c r="BU176" s="1026"/>
      <c r="BV176" s="249"/>
      <c r="BW176" s="260"/>
      <c r="BX176" s="1026"/>
      <c r="BY176" s="249"/>
      <c r="BZ176" s="260"/>
      <c r="CA176" s="1026"/>
      <c r="CB176" s="249"/>
      <c r="CC176" s="260"/>
      <c r="CD176" s="1026"/>
      <c r="CE176" s="1269"/>
      <c r="CF176" s="1270"/>
      <c r="CG176" s="1026"/>
      <c r="CH176" s="293"/>
      <c r="CI176" s="326"/>
      <c r="CJ176" s="1027"/>
      <c r="CK176" s="249"/>
      <c r="CL176" s="260"/>
      <c r="CM176" s="1028"/>
      <c r="CN176" s="249"/>
      <c r="CO176" s="216"/>
      <c r="CP176" s="1029"/>
      <c r="CQ176" s="249"/>
      <c r="CR176" s="216"/>
      <c r="CS176" s="1029"/>
      <c r="CT176" s="249"/>
      <c r="CU176" s="216"/>
      <c r="CV176" s="1027"/>
      <c r="CW176" s="394"/>
      <c r="CX176" s="347"/>
      <c r="CY176" s="1027"/>
      <c r="CZ176" s="249"/>
      <c r="DA176" s="216"/>
      <c r="DB176" s="1027" t="str">
        <f t="shared" si="23"/>
        <v/>
      </c>
      <c r="DC176" s="249"/>
      <c r="DD176" s="2519" t="str">
        <f t="shared" si="24"/>
        <v/>
      </c>
      <c r="DE176" s="1027"/>
      <c r="DF176" s="1556"/>
      <c r="DG176" s="1557"/>
      <c r="DH176" s="1027"/>
      <c r="DI176" s="1556"/>
      <c r="DJ176" s="1558"/>
      <c r="DK176" s="1027"/>
      <c r="DL176" s="249"/>
      <c r="DM176" s="216"/>
      <c r="DN176" s="313"/>
      <c r="DO176" s="249"/>
      <c r="DP176" s="216"/>
      <c r="DQ176" s="313"/>
      <c r="DR176" s="249"/>
      <c r="DS176" s="221"/>
      <c r="DT176" s="313"/>
      <c r="DU176" s="249"/>
      <c r="DV176" s="221"/>
      <c r="DW176" s="305"/>
      <c r="DX176" s="249"/>
      <c r="DY176" s="260"/>
      <c r="DZ176" s="350"/>
      <c r="EA176" s="249"/>
      <c r="EB176" s="221"/>
      <c r="EC176" s="313"/>
      <c r="ED176" s="249"/>
      <c r="EE176" s="221"/>
      <c r="EF176" s="313"/>
      <c r="EG176" s="249"/>
      <c r="EH176" s="221"/>
      <c r="EI176" s="313"/>
      <c r="EJ176" s="249"/>
      <c r="EK176" s="216"/>
      <c r="EL176" s="1435"/>
      <c r="EM176" s="1619"/>
      <c r="EN176" s="1268"/>
      <c r="EO176" s="1563"/>
      <c r="EP176" s="1268"/>
      <c r="EQ176" s="1563"/>
      <c r="ER176" s="1268"/>
      <c r="ES176" s="1563"/>
      <c r="ET176" s="1268"/>
      <c r="EU176" s="1682"/>
      <c r="EV176" s="1683"/>
      <c r="EW176" s="1684"/>
      <c r="EX176" s="1685"/>
      <c r="EY176" s="1030"/>
      <c r="EZ176" s="349"/>
      <c r="FA176" s="395"/>
      <c r="FB176" s="223"/>
      <c r="FC176" s="1030"/>
      <c r="FD176" s="349"/>
      <c r="FE176" s="1031"/>
      <c r="FF176" s="358"/>
      <c r="FG176" s="256"/>
      <c r="FH176" s="256"/>
      <c r="FI176" s="256"/>
      <c r="FJ176" s="256"/>
      <c r="FK176" s="19"/>
      <c r="FL176" s="126"/>
      <c r="FM176" s="126"/>
      <c r="FN176" s="126"/>
      <c r="FO176" s="957"/>
      <c r="FQ176" s="358"/>
      <c r="FR176" s="1190"/>
      <c r="FS176" s="1190"/>
      <c r="FT176" s="64"/>
      <c r="FU176" s="2879"/>
      <c r="FV176" s="2880"/>
      <c r="FW176" s="2881"/>
    </row>
    <row r="177" spans="1:179">
      <c r="A177" s="1023"/>
      <c r="B177" s="1023"/>
      <c r="C177" s="1023"/>
      <c r="T177" s="1186"/>
      <c r="U177" s="233"/>
      <c r="V177" s="216"/>
      <c r="W177" s="218"/>
      <c r="X177" s="218"/>
      <c r="Y177" s="216"/>
      <c r="Z177" s="216"/>
      <c r="AA177" s="1024"/>
      <c r="AB177" s="252"/>
      <c r="AC177" s="252"/>
      <c r="AD177" s="253"/>
      <c r="AE177" s="252"/>
      <c r="AF177" s="252"/>
      <c r="AG177" s="252"/>
      <c r="AH177" s="252"/>
      <c r="AI177" s="252"/>
      <c r="AJ177" s="252"/>
      <c r="AK177" s="253"/>
      <c r="AL177" s="252"/>
      <c r="AM177" s="252"/>
      <c r="AN177" s="252"/>
      <c r="AO177" s="252"/>
      <c r="AP177" s="1192"/>
      <c r="AQ177" s="252"/>
      <c r="AR177" s="252"/>
      <c r="AS177" s="252"/>
      <c r="AT177" s="252"/>
      <c r="AU177" s="252"/>
      <c r="AV177" s="1025"/>
      <c r="AW177" s="359"/>
      <c r="AX177" s="217"/>
      <c r="AY177" s="305"/>
      <c r="AZ177" s="249"/>
      <c r="BA177" s="221"/>
      <c r="BB177" s="300"/>
      <c r="BC177" s="217"/>
      <c r="BD177" s="219"/>
      <c r="BE177" s="1263"/>
      <c r="BF177" s="249"/>
      <c r="BG177" s="252"/>
      <c r="BH177" s="1543"/>
      <c r="BI177" s="1544"/>
      <c r="BJ177" s="1543"/>
      <c r="BK177" s="1545"/>
      <c r="BL177" s="260"/>
      <c r="BM177" s="217"/>
      <c r="BN177" s="220"/>
      <c r="BO177" s="220"/>
      <c r="BP177" s="355"/>
      <c r="BQ177" s="217"/>
      <c r="BR177" s="1026"/>
      <c r="BS177" s="249"/>
      <c r="BT177" s="260"/>
      <c r="BU177" s="1026"/>
      <c r="BV177" s="249"/>
      <c r="BW177" s="260"/>
      <c r="BX177" s="1026"/>
      <c r="BY177" s="249"/>
      <c r="BZ177" s="260"/>
      <c r="CA177" s="1026"/>
      <c r="CB177" s="249"/>
      <c r="CC177" s="260"/>
      <c r="CD177" s="1026"/>
      <c r="CE177" s="1269"/>
      <c r="CF177" s="1270"/>
      <c r="CG177" s="1026"/>
      <c r="CH177" s="293"/>
      <c r="CI177" s="326"/>
      <c r="CJ177" s="1027"/>
      <c r="CK177" s="249"/>
      <c r="CL177" s="260"/>
      <c r="CM177" s="1028"/>
      <c r="CN177" s="249"/>
      <c r="CO177" s="216"/>
      <c r="CP177" s="1029"/>
      <c r="CQ177" s="249"/>
      <c r="CR177" s="216"/>
      <c r="CS177" s="1029"/>
      <c r="CT177" s="249"/>
      <c r="CU177" s="216"/>
      <c r="CV177" s="1027"/>
      <c r="CW177" s="394"/>
      <c r="CX177" s="347"/>
      <c r="CY177" s="1027"/>
      <c r="CZ177" s="249"/>
      <c r="DA177" s="216"/>
      <c r="DB177" s="1027" t="str">
        <f t="shared" si="23"/>
        <v/>
      </c>
      <c r="DC177" s="249"/>
      <c r="DD177" s="2519" t="str">
        <f t="shared" si="24"/>
        <v/>
      </c>
      <c r="DE177" s="1027"/>
      <c r="DF177" s="1556"/>
      <c r="DG177" s="1557"/>
      <c r="DH177" s="1027"/>
      <c r="DI177" s="1556"/>
      <c r="DJ177" s="1558"/>
      <c r="DK177" s="1027"/>
      <c r="DL177" s="249"/>
      <c r="DM177" s="216"/>
      <c r="DN177" s="313"/>
      <c r="DO177" s="249"/>
      <c r="DP177" s="216"/>
      <c r="DQ177" s="313"/>
      <c r="DR177" s="249"/>
      <c r="DS177" s="221"/>
      <c r="DT177" s="313"/>
      <c r="DU177" s="249"/>
      <c r="DV177" s="221"/>
      <c r="DW177" s="305"/>
      <c r="DX177" s="249"/>
      <c r="DY177" s="260"/>
      <c r="DZ177" s="350"/>
      <c r="EA177" s="249"/>
      <c r="EB177" s="221"/>
      <c r="EC177" s="313"/>
      <c r="ED177" s="249"/>
      <c r="EE177" s="221"/>
      <c r="EF177" s="313"/>
      <c r="EG177" s="249"/>
      <c r="EH177" s="221"/>
      <c r="EI177" s="313"/>
      <c r="EJ177" s="249"/>
      <c r="EK177" s="216"/>
      <c r="EL177" s="1435"/>
      <c r="EM177" s="1619"/>
      <c r="EN177" s="1268"/>
      <c r="EO177" s="1563"/>
      <c r="EP177" s="1268"/>
      <c r="EQ177" s="1563"/>
      <c r="ER177" s="1268"/>
      <c r="ES177" s="1563"/>
      <c r="ET177" s="1268"/>
      <c r="EU177" s="1682"/>
      <c r="EV177" s="1683"/>
      <c r="EW177" s="1684"/>
      <c r="EX177" s="1685"/>
      <c r="EY177" s="1030"/>
      <c r="EZ177" s="349"/>
      <c r="FA177" s="395"/>
      <c r="FB177" s="223"/>
      <c r="FC177" s="1030"/>
      <c r="FD177" s="349"/>
      <c r="FE177" s="1031"/>
      <c r="FF177" s="358"/>
      <c r="FG177" s="256"/>
      <c r="FH177" s="256"/>
      <c r="FI177" s="256"/>
      <c r="FJ177" s="256"/>
      <c r="FK177" s="19"/>
      <c r="FL177" s="126"/>
      <c r="FM177" s="126"/>
      <c r="FN177" s="126"/>
      <c r="FO177" s="957"/>
      <c r="FQ177" s="358"/>
      <c r="FR177" s="1190"/>
      <c r="FS177" s="1190"/>
      <c r="FT177" s="64"/>
      <c r="FU177" s="2879"/>
      <c r="FV177" s="2880"/>
      <c r="FW177" s="2881"/>
    </row>
    <row r="178" spans="1:179">
      <c r="A178" s="1023"/>
      <c r="B178" s="1023"/>
      <c r="C178" s="1023"/>
      <c r="T178" s="1186"/>
      <c r="U178" s="233"/>
      <c r="V178" s="216"/>
      <c r="W178" s="218"/>
      <c r="X178" s="218"/>
      <c r="Y178" s="216"/>
      <c r="Z178" s="216"/>
      <c r="AA178" s="1024"/>
      <c r="AB178" s="252"/>
      <c r="AC178" s="252"/>
      <c r="AD178" s="253"/>
      <c r="AE178" s="252"/>
      <c r="AF178" s="252"/>
      <c r="AG178" s="252"/>
      <c r="AH178" s="252"/>
      <c r="AI178" s="252"/>
      <c r="AJ178" s="252"/>
      <c r="AK178" s="253"/>
      <c r="AL178" s="252"/>
      <c r="AM178" s="252"/>
      <c r="AN178" s="252"/>
      <c r="AO178" s="252"/>
      <c r="AP178" s="1192"/>
      <c r="AQ178" s="252"/>
      <c r="AR178" s="252"/>
      <c r="AS178" s="252"/>
      <c r="AT178" s="252"/>
      <c r="AU178" s="252"/>
      <c r="AV178" s="1025"/>
      <c r="AW178" s="359"/>
      <c r="AX178" s="217"/>
      <c r="AY178" s="305"/>
      <c r="AZ178" s="249"/>
      <c r="BA178" s="221"/>
      <c r="BB178" s="300"/>
      <c r="BC178" s="217"/>
      <c r="BD178" s="219"/>
      <c r="BE178" s="1263"/>
      <c r="BF178" s="249"/>
      <c r="BG178" s="252"/>
      <c r="BH178" s="1543"/>
      <c r="BI178" s="1544"/>
      <c r="BJ178" s="1543"/>
      <c r="BK178" s="1545"/>
      <c r="BL178" s="260"/>
      <c r="BM178" s="217"/>
      <c r="BN178" s="220"/>
      <c r="BO178" s="220"/>
      <c r="BP178" s="355"/>
      <c r="BQ178" s="217"/>
      <c r="BR178" s="1026"/>
      <c r="BS178" s="249"/>
      <c r="BT178" s="260"/>
      <c r="BU178" s="1026"/>
      <c r="BV178" s="249"/>
      <c r="BW178" s="260"/>
      <c r="BX178" s="1026"/>
      <c r="BY178" s="249"/>
      <c r="BZ178" s="260"/>
      <c r="CA178" s="1026"/>
      <c r="CB178" s="249"/>
      <c r="CC178" s="260"/>
      <c r="CD178" s="1026"/>
      <c r="CE178" s="1269"/>
      <c r="CF178" s="1270"/>
      <c r="CG178" s="1026"/>
      <c r="CH178" s="293"/>
      <c r="CI178" s="326"/>
      <c r="CJ178" s="1027"/>
      <c r="CK178" s="249"/>
      <c r="CL178" s="260"/>
      <c r="CM178" s="1028"/>
      <c r="CN178" s="249"/>
      <c r="CO178" s="216"/>
      <c r="CP178" s="1029"/>
      <c r="CQ178" s="249"/>
      <c r="CR178" s="216"/>
      <c r="CS178" s="1029"/>
      <c r="CT178" s="249"/>
      <c r="CU178" s="216"/>
      <c r="CV178" s="1027"/>
      <c r="CW178" s="394"/>
      <c r="CX178" s="347"/>
      <c r="CY178" s="1027"/>
      <c r="CZ178" s="249"/>
      <c r="DA178" s="216"/>
      <c r="DB178" s="1027" t="str">
        <f t="shared" ref="DB178:DB199" si="25">IF(OR(FT178=0,FG178=""),"",IF(VLOOKUP(F178,Zk_PrestAll,62,0)=0,"",VLOOKUP(F178,Zk_PrestAll,62,0)))</f>
        <v/>
      </c>
      <c r="DC178" s="249"/>
      <c r="DD178" s="2519" t="str">
        <f t="shared" si="24"/>
        <v/>
      </c>
      <c r="DE178" s="1027"/>
      <c r="DF178" s="1556"/>
      <c r="DG178" s="1557"/>
      <c r="DH178" s="1027"/>
      <c r="DI178" s="1556"/>
      <c r="DJ178" s="1558"/>
      <c r="DK178" s="1027"/>
      <c r="DL178" s="249"/>
      <c r="DM178" s="216"/>
      <c r="DN178" s="313"/>
      <c r="DO178" s="249"/>
      <c r="DP178" s="216"/>
      <c r="DQ178" s="313"/>
      <c r="DR178" s="249"/>
      <c r="DS178" s="221"/>
      <c r="DT178" s="313"/>
      <c r="DU178" s="249"/>
      <c r="DV178" s="221"/>
      <c r="DW178" s="305"/>
      <c r="DX178" s="249"/>
      <c r="DY178" s="260"/>
      <c r="DZ178" s="350"/>
      <c r="EA178" s="249"/>
      <c r="EB178" s="221"/>
      <c r="EC178" s="313"/>
      <c r="ED178" s="249"/>
      <c r="EE178" s="221"/>
      <c r="EF178" s="313"/>
      <c r="EG178" s="249"/>
      <c r="EH178" s="221"/>
      <c r="EI178" s="313"/>
      <c r="EJ178" s="249"/>
      <c r="EK178" s="216"/>
      <c r="EL178" s="1435"/>
      <c r="EM178" s="1619"/>
      <c r="EN178" s="1268"/>
      <c r="EO178" s="1563"/>
      <c r="EP178" s="1268"/>
      <c r="EQ178" s="1563"/>
      <c r="ER178" s="1268"/>
      <c r="ES178" s="1563"/>
      <c r="ET178" s="1268"/>
      <c r="EU178" s="1682"/>
      <c r="EV178" s="1683"/>
      <c r="EW178" s="1684"/>
      <c r="EX178" s="1685"/>
      <c r="EY178" s="1030"/>
      <c r="EZ178" s="349"/>
      <c r="FA178" s="395"/>
      <c r="FB178" s="223"/>
      <c r="FC178" s="1030"/>
      <c r="FD178" s="349"/>
      <c r="FE178" s="1031"/>
      <c r="FF178" s="358"/>
      <c r="FG178" s="256"/>
      <c r="FH178" s="256"/>
      <c r="FI178" s="256"/>
      <c r="FJ178" s="256"/>
      <c r="FK178" s="19"/>
      <c r="FL178" s="126"/>
      <c r="FM178" s="126"/>
      <c r="FN178" s="126"/>
      <c r="FO178" s="957"/>
      <c r="FQ178" s="358"/>
      <c r="FR178" s="1190"/>
      <c r="FS178" s="1190"/>
      <c r="FT178" s="64"/>
      <c r="FU178" s="2879"/>
      <c r="FV178" s="2880"/>
      <c r="FW178" s="2881"/>
    </row>
    <row r="179" spans="1:179">
      <c r="A179" s="1023"/>
      <c r="B179" s="1023"/>
      <c r="C179" s="1023"/>
      <c r="T179" s="1186"/>
      <c r="U179" s="233"/>
      <c r="V179" s="216"/>
      <c r="W179" s="218"/>
      <c r="X179" s="218"/>
      <c r="Y179" s="216"/>
      <c r="Z179" s="216"/>
      <c r="AA179" s="1024"/>
      <c r="AB179" s="252"/>
      <c r="AC179" s="252"/>
      <c r="AD179" s="253"/>
      <c r="AE179" s="252"/>
      <c r="AF179" s="252"/>
      <c r="AG179" s="252"/>
      <c r="AH179" s="252"/>
      <c r="AI179" s="252"/>
      <c r="AJ179" s="252"/>
      <c r="AK179" s="253"/>
      <c r="AL179" s="252"/>
      <c r="AM179" s="252"/>
      <c r="AN179" s="252"/>
      <c r="AO179" s="252"/>
      <c r="AP179" s="1192"/>
      <c r="AQ179" s="252"/>
      <c r="AR179" s="252"/>
      <c r="AS179" s="252"/>
      <c r="AT179" s="252"/>
      <c r="AU179" s="252"/>
      <c r="AV179" s="1025"/>
      <c r="AW179" s="359"/>
      <c r="AX179" s="217"/>
      <c r="AY179" s="305"/>
      <c r="AZ179" s="249"/>
      <c r="BA179" s="221"/>
      <c r="BB179" s="300"/>
      <c r="BC179" s="217"/>
      <c r="BD179" s="219"/>
      <c r="BE179" s="1263"/>
      <c r="BF179" s="249"/>
      <c r="BG179" s="252"/>
      <c r="BH179" s="1543"/>
      <c r="BI179" s="1544"/>
      <c r="BJ179" s="1543"/>
      <c r="BK179" s="1545"/>
      <c r="BL179" s="260"/>
      <c r="BM179" s="217"/>
      <c r="BN179" s="220"/>
      <c r="BO179" s="220"/>
      <c r="BP179" s="355"/>
      <c r="BQ179" s="217"/>
      <c r="BR179" s="1026"/>
      <c r="BS179" s="249"/>
      <c r="BT179" s="260"/>
      <c r="BU179" s="1026"/>
      <c r="BV179" s="249"/>
      <c r="BW179" s="260"/>
      <c r="BX179" s="1026"/>
      <c r="BY179" s="249"/>
      <c r="BZ179" s="260"/>
      <c r="CA179" s="1026"/>
      <c r="CB179" s="249"/>
      <c r="CC179" s="260"/>
      <c r="CD179" s="1026"/>
      <c r="CE179" s="1269"/>
      <c r="CF179" s="1270"/>
      <c r="CG179" s="1026"/>
      <c r="CH179" s="293"/>
      <c r="CI179" s="326"/>
      <c r="CJ179" s="1027"/>
      <c r="CK179" s="249"/>
      <c r="CL179" s="260"/>
      <c r="CM179" s="1028"/>
      <c r="CN179" s="249"/>
      <c r="CO179" s="216"/>
      <c r="CP179" s="1029"/>
      <c r="CQ179" s="249"/>
      <c r="CR179" s="216"/>
      <c r="CS179" s="1029"/>
      <c r="CT179" s="249"/>
      <c r="CU179" s="216"/>
      <c r="CV179" s="1027"/>
      <c r="CW179" s="394"/>
      <c r="CX179" s="347"/>
      <c r="CY179" s="1027"/>
      <c r="CZ179" s="249"/>
      <c r="DA179" s="216"/>
      <c r="DB179" s="1027" t="str">
        <f t="shared" si="25"/>
        <v/>
      </c>
      <c r="DC179" s="249"/>
      <c r="DD179" s="2519" t="str">
        <f t="shared" si="24"/>
        <v/>
      </c>
      <c r="DE179" s="1027"/>
      <c r="DF179" s="1556"/>
      <c r="DG179" s="1557"/>
      <c r="DH179" s="1027"/>
      <c r="DI179" s="1556"/>
      <c r="DJ179" s="1558"/>
      <c r="DK179" s="1027"/>
      <c r="DL179" s="249"/>
      <c r="DM179" s="216"/>
      <c r="DN179" s="313"/>
      <c r="DO179" s="249"/>
      <c r="DP179" s="216"/>
      <c r="DQ179" s="313"/>
      <c r="DR179" s="249"/>
      <c r="DS179" s="221"/>
      <c r="DT179" s="313"/>
      <c r="DU179" s="249"/>
      <c r="DV179" s="221"/>
      <c r="DW179" s="305"/>
      <c r="DX179" s="249"/>
      <c r="DY179" s="260"/>
      <c r="DZ179" s="350"/>
      <c r="EA179" s="249"/>
      <c r="EB179" s="221"/>
      <c r="EC179" s="313"/>
      <c r="ED179" s="249"/>
      <c r="EE179" s="221"/>
      <c r="EF179" s="313"/>
      <c r="EG179" s="249"/>
      <c r="EH179" s="221"/>
      <c r="EI179" s="313"/>
      <c r="EJ179" s="249"/>
      <c r="EK179" s="216"/>
      <c r="EL179" s="1435"/>
      <c r="EM179" s="1619"/>
      <c r="EN179" s="1268"/>
      <c r="EO179" s="1563"/>
      <c r="EP179" s="1268"/>
      <c r="EQ179" s="1563"/>
      <c r="ER179" s="1268"/>
      <c r="ES179" s="1563"/>
      <c r="ET179" s="1268"/>
      <c r="EU179" s="1682"/>
      <c r="EV179" s="1683"/>
      <c r="EW179" s="1684"/>
      <c r="EX179" s="1685"/>
      <c r="EY179" s="1030"/>
      <c r="EZ179" s="349"/>
      <c r="FA179" s="395"/>
      <c r="FB179" s="223"/>
      <c r="FC179" s="1030"/>
      <c r="FD179" s="349"/>
      <c r="FE179" s="1031"/>
      <c r="FF179" s="358"/>
      <c r="FG179" s="256"/>
      <c r="FH179" s="256"/>
      <c r="FI179" s="256"/>
      <c r="FJ179" s="256"/>
      <c r="FK179" s="19"/>
      <c r="FL179" s="126"/>
      <c r="FM179" s="126"/>
      <c r="FN179" s="126"/>
      <c r="FO179" s="957"/>
      <c r="FQ179" s="358"/>
      <c r="FR179" s="1190"/>
      <c r="FS179" s="1190"/>
      <c r="FT179" s="64"/>
      <c r="FU179" s="2879"/>
      <c r="FV179" s="2880"/>
      <c r="FW179" s="2881"/>
    </row>
    <row r="180" spans="1:179">
      <c r="A180" s="1023"/>
      <c r="B180" s="1023"/>
      <c r="C180" s="1023"/>
      <c r="T180" s="1186"/>
      <c r="U180" s="233"/>
      <c r="V180" s="216"/>
      <c r="W180" s="218"/>
      <c r="X180" s="218"/>
      <c r="Y180" s="216"/>
      <c r="Z180" s="216"/>
      <c r="AA180" s="1024"/>
      <c r="AB180" s="252"/>
      <c r="AC180" s="252"/>
      <c r="AD180" s="253"/>
      <c r="AE180" s="252"/>
      <c r="AF180" s="252"/>
      <c r="AG180" s="252"/>
      <c r="AH180" s="252"/>
      <c r="AI180" s="252"/>
      <c r="AJ180" s="252"/>
      <c r="AK180" s="253"/>
      <c r="AL180" s="252"/>
      <c r="AM180" s="252"/>
      <c r="AN180" s="252"/>
      <c r="AO180" s="252"/>
      <c r="AP180" s="1192"/>
      <c r="AQ180" s="252"/>
      <c r="AR180" s="252"/>
      <c r="AS180" s="252"/>
      <c r="AT180" s="252"/>
      <c r="AU180" s="252"/>
      <c r="AV180" s="1025"/>
      <c r="AW180" s="359"/>
      <c r="AX180" s="217"/>
      <c r="AY180" s="305"/>
      <c r="AZ180" s="249"/>
      <c r="BA180" s="221"/>
      <c r="BB180" s="300"/>
      <c r="BC180" s="217"/>
      <c r="BD180" s="219"/>
      <c r="BE180" s="1263"/>
      <c r="BF180" s="249"/>
      <c r="BG180" s="252"/>
      <c r="BH180" s="1543"/>
      <c r="BI180" s="1544"/>
      <c r="BJ180" s="1543"/>
      <c r="BK180" s="1545"/>
      <c r="BL180" s="260"/>
      <c r="BM180" s="217"/>
      <c r="BN180" s="220"/>
      <c r="BO180" s="220"/>
      <c r="BP180" s="355"/>
      <c r="BQ180" s="217"/>
      <c r="BR180" s="1026"/>
      <c r="BS180" s="249"/>
      <c r="BT180" s="260"/>
      <c r="BU180" s="1026"/>
      <c r="BV180" s="249"/>
      <c r="BW180" s="260"/>
      <c r="BX180" s="1026"/>
      <c r="BY180" s="249"/>
      <c r="BZ180" s="260"/>
      <c r="CA180" s="1026"/>
      <c r="CB180" s="249"/>
      <c r="CC180" s="260"/>
      <c r="CD180" s="1026"/>
      <c r="CE180" s="1269"/>
      <c r="CF180" s="1270"/>
      <c r="CG180" s="1026"/>
      <c r="CH180" s="293"/>
      <c r="CI180" s="326"/>
      <c r="CJ180" s="1027"/>
      <c r="CK180" s="249"/>
      <c r="CL180" s="260"/>
      <c r="CM180" s="1028"/>
      <c r="CN180" s="249"/>
      <c r="CO180" s="216"/>
      <c r="CP180" s="1029"/>
      <c r="CQ180" s="249"/>
      <c r="CR180" s="216"/>
      <c r="CS180" s="1029"/>
      <c r="CT180" s="249"/>
      <c r="CU180" s="216"/>
      <c r="CV180" s="1027"/>
      <c r="CW180" s="394"/>
      <c r="CX180" s="347"/>
      <c r="CY180" s="1027"/>
      <c r="CZ180" s="249"/>
      <c r="DA180" s="216"/>
      <c r="DB180" s="1027" t="str">
        <f t="shared" si="25"/>
        <v/>
      </c>
      <c r="DC180" s="249"/>
      <c r="DD180" s="2519" t="str">
        <f t="shared" si="24"/>
        <v/>
      </c>
      <c r="DE180" s="1027"/>
      <c r="DF180" s="1556"/>
      <c r="DG180" s="1557"/>
      <c r="DH180" s="1027"/>
      <c r="DI180" s="1556"/>
      <c r="DJ180" s="1558"/>
      <c r="DK180" s="1027"/>
      <c r="DL180" s="249"/>
      <c r="DM180" s="216"/>
      <c r="DN180" s="313"/>
      <c r="DO180" s="249"/>
      <c r="DP180" s="216"/>
      <c r="DQ180" s="313"/>
      <c r="DR180" s="249"/>
      <c r="DS180" s="221"/>
      <c r="DT180" s="313"/>
      <c r="DU180" s="249"/>
      <c r="DV180" s="221"/>
      <c r="DW180" s="305"/>
      <c r="DX180" s="249"/>
      <c r="DY180" s="260"/>
      <c r="DZ180" s="350"/>
      <c r="EA180" s="249"/>
      <c r="EB180" s="221"/>
      <c r="EC180" s="313"/>
      <c r="ED180" s="249"/>
      <c r="EE180" s="221"/>
      <c r="EF180" s="313"/>
      <c r="EG180" s="249"/>
      <c r="EH180" s="221"/>
      <c r="EI180" s="313"/>
      <c r="EJ180" s="249"/>
      <c r="EK180" s="216"/>
      <c r="EL180" s="1435"/>
      <c r="EM180" s="1619"/>
      <c r="EN180" s="1268"/>
      <c r="EO180" s="1563"/>
      <c r="EP180" s="1268"/>
      <c r="EQ180" s="1563"/>
      <c r="ER180" s="1268"/>
      <c r="ES180" s="1563"/>
      <c r="ET180" s="1268"/>
      <c r="EU180" s="1682"/>
      <c r="EV180" s="1683"/>
      <c r="EW180" s="1684"/>
      <c r="EX180" s="1685"/>
      <c r="EY180" s="1030"/>
      <c r="EZ180" s="349"/>
      <c r="FA180" s="395"/>
      <c r="FB180" s="223"/>
      <c r="FC180" s="1030"/>
      <c r="FD180" s="349"/>
      <c r="FE180" s="1031"/>
      <c r="FF180" s="358"/>
      <c r="FG180" s="256"/>
      <c r="FH180" s="256"/>
      <c r="FI180" s="256"/>
      <c r="FJ180" s="256"/>
      <c r="FK180" s="19"/>
      <c r="FL180" s="126"/>
      <c r="FM180" s="126"/>
      <c r="FN180" s="126"/>
      <c r="FO180" s="957"/>
      <c r="FQ180" s="358"/>
      <c r="FR180" s="1190"/>
      <c r="FS180" s="1190"/>
      <c r="FT180" s="64"/>
      <c r="FU180" s="2879"/>
      <c r="FV180" s="2880"/>
      <c r="FW180" s="2881"/>
    </row>
    <row r="181" spans="1:179">
      <c r="A181" s="1023"/>
      <c r="B181" s="1023"/>
      <c r="C181" s="1023"/>
      <c r="T181" s="1186"/>
      <c r="U181" s="233"/>
      <c r="V181" s="216"/>
      <c r="W181" s="218"/>
      <c r="X181" s="218"/>
      <c r="Y181" s="216"/>
      <c r="Z181" s="216"/>
      <c r="AA181" s="1024"/>
      <c r="AB181" s="252"/>
      <c r="AC181" s="252"/>
      <c r="AD181" s="253"/>
      <c r="AE181" s="252"/>
      <c r="AF181" s="252"/>
      <c r="AG181" s="252"/>
      <c r="AH181" s="252"/>
      <c r="AI181" s="252"/>
      <c r="AJ181" s="252"/>
      <c r="AK181" s="253"/>
      <c r="AL181" s="252"/>
      <c r="AM181" s="252"/>
      <c r="AN181" s="252"/>
      <c r="AO181" s="252"/>
      <c r="AP181" s="1192"/>
      <c r="AQ181" s="252"/>
      <c r="AR181" s="252"/>
      <c r="AS181" s="252"/>
      <c r="AT181" s="252"/>
      <c r="AU181" s="252"/>
      <c r="AV181" s="1025"/>
      <c r="AW181" s="359"/>
      <c r="AX181" s="217"/>
      <c r="AY181" s="305"/>
      <c r="AZ181" s="249"/>
      <c r="BA181" s="221"/>
      <c r="BB181" s="300"/>
      <c r="BC181" s="217"/>
      <c r="BD181" s="219"/>
      <c r="BE181" s="1263"/>
      <c r="BF181" s="249"/>
      <c r="BG181" s="252"/>
      <c r="BH181" s="1543"/>
      <c r="BI181" s="1544"/>
      <c r="BJ181" s="1543"/>
      <c r="BK181" s="1545"/>
      <c r="BL181" s="260"/>
      <c r="BM181" s="217"/>
      <c r="BN181" s="220"/>
      <c r="BO181" s="220"/>
      <c r="BP181" s="355"/>
      <c r="BQ181" s="217"/>
      <c r="BR181" s="1026"/>
      <c r="BS181" s="249"/>
      <c r="BT181" s="260"/>
      <c r="BU181" s="1026"/>
      <c r="BV181" s="249"/>
      <c r="BW181" s="260"/>
      <c r="BX181" s="1026"/>
      <c r="BY181" s="249"/>
      <c r="BZ181" s="260"/>
      <c r="CA181" s="1026"/>
      <c r="CB181" s="249"/>
      <c r="CC181" s="260"/>
      <c r="CD181" s="1026"/>
      <c r="CE181" s="1269"/>
      <c r="CF181" s="1270"/>
      <c r="CG181" s="1026"/>
      <c r="CH181" s="293"/>
      <c r="CI181" s="326"/>
      <c r="CJ181" s="1027"/>
      <c r="CK181" s="249"/>
      <c r="CL181" s="260"/>
      <c r="CM181" s="1028"/>
      <c r="CN181" s="249"/>
      <c r="CO181" s="216"/>
      <c r="CP181" s="1029"/>
      <c r="CQ181" s="249"/>
      <c r="CR181" s="216"/>
      <c r="CS181" s="1029"/>
      <c r="CT181" s="249"/>
      <c r="CU181" s="216"/>
      <c r="CV181" s="1027"/>
      <c r="CW181" s="394"/>
      <c r="CX181" s="347"/>
      <c r="CY181" s="1027"/>
      <c r="CZ181" s="249"/>
      <c r="DA181" s="216"/>
      <c r="DB181" s="1027" t="str">
        <f t="shared" si="25"/>
        <v/>
      </c>
      <c r="DC181" s="249"/>
      <c r="DD181" s="2519" t="str">
        <f t="shared" si="24"/>
        <v/>
      </c>
      <c r="DE181" s="1027"/>
      <c r="DF181" s="1556"/>
      <c r="DG181" s="1557"/>
      <c r="DH181" s="1027"/>
      <c r="DI181" s="1556"/>
      <c r="DJ181" s="1558"/>
      <c r="DK181" s="1027"/>
      <c r="DL181" s="249"/>
      <c r="DM181" s="216"/>
      <c r="DN181" s="313"/>
      <c r="DO181" s="249"/>
      <c r="DP181" s="216"/>
      <c r="DQ181" s="313"/>
      <c r="DR181" s="249"/>
      <c r="DS181" s="221"/>
      <c r="DT181" s="313"/>
      <c r="DU181" s="249"/>
      <c r="DV181" s="221"/>
      <c r="DW181" s="305"/>
      <c r="DX181" s="249"/>
      <c r="DY181" s="260"/>
      <c r="DZ181" s="350"/>
      <c r="EA181" s="249"/>
      <c r="EB181" s="221"/>
      <c r="EC181" s="313"/>
      <c r="ED181" s="249"/>
      <c r="EE181" s="221"/>
      <c r="EF181" s="313"/>
      <c r="EG181" s="249"/>
      <c r="EH181" s="221"/>
      <c r="EI181" s="313"/>
      <c r="EJ181" s="249"/>
      <c r="EK181" s="216"/>
      <c r="EL181" s="1435"/>
      <c r="EM181" s="1619"/>
      <c r="EN181" s="1268"/>
      <c r="EO181" s="1563"/>
      <c r="EP181" s="1268"/>
      <c r="EQ181" s="1563"/>
      <c r="ER181" s="1268"/>
      <c r="ES181" s="1563"/>
      <c r="ET181" s="1268"/>
      <c r="EU181" s="1682"/>
      <c r="EV181" s="1683"/>
      <c r="EW181" s="1684"/>
      <c r="EX181" s="1685"/>
      <c r="EY181" s="1030"/>
      <c r="EZ181" s="349"/>
      <c r="FA181" s="395"/>
      <c r="FB181" s="223"/>
      <c r="FC181" s="1030"/>
      <c r="FD181" s="349"/>
      <c r="FE181" s="1031"/>
      <c r="FF181" s="358"/>
      <c r="FG181" s="256"/>
      <c r="FH181" s="256"/>
      <c r="FI181" s="256"/>
      <c r="FJ181" s="256"/>
      <c r="FK181" s="19"/>
      <c r="FL181" s="126"/>
      <c r="FM181" s="126"/>
      <c r="FN181" s="126"/>
      <c r="FO181" s="957"/>
      <c r="FQ181" s="358"/>
      <c r="FR181" s="1190"/>
      <c r="FS181" s="1190"/>
      <c r="FT181" s="64"/>
      <c r="FU181" s="2879"/>
      <c r="FV181" s="2880"/>
      <c r="FW181" s="2881"/>
    </row>
    <row r="182" spans="1:179">
      <c r="A182" s="1023"/>
      <c r="B182" s="1023"/>
      <c r="C182" s="1023"/>
      <c r="T182" s="1186"/>
      <c r="U182" s="233"/>
      <c r="V182" s="216"/>
      <c r="W182" s="218"/>
      <c r="X182" s="218"/>
      <c r="Y182" s="216"/>
      <c r="Z182" s="216"/>
      <c r="AA182" s="1024"/>
      <c r="AB182" s="252"/>
      <c r="AC182" s="252"/>
      <c r="AD182" s="253"/>
      <c r="AE182" s="252"/>
      <c r="AF182" s="252"/>
      <c r="AG182" s="252"/>
      <c r="AH182" s="252"/>
      <c r="AI182" s="252"/>
      <c r="AJ182" s="252"/>
      <c r="AK182" s="253"/>
      <c r="AL182" s="252"/>
      <c r="AM182" s="252"/>
      <c r="AN182" s="252"/>
      <c r="AO182" s="252"/>
      <c r="AP182" s="1192"/>
      <c r="AQ182" s="252"/>
      <c r="AR182" s="252"/>
      <c r="AS182" s="252"/>
      <c r="AT182" s="252"/>
      <c r="AU182" s="252"/>
      <c r="AV182" s="1025"/>
      <c r="AW182" s="359"/>
      <c r="AX182" s="217"/>
      <c r="AY182" s="305"/>
      <c r="AZ182" s="249"/>
      <c r="BA182" s="221"/>
      <c r="BB182" s="300"/>
      <c r="BC182" s="217"/>
      <c r="BD182" s="219"/>
      <c r="BE182" s="1263"/>
      <c r="BF182" s="249"/>
      <c r="BG182" s="252"/>
      <c r="BH182" s="1543"/>
      <c r="BI182" s="1544"/>
      <c r="BJ182" s="1543"/>
      <c r="BK182" s="1545"/>
      <c r="BL182" s="260"/>
      <c r="BM182" s="217"/>
      <c r="BN182" s="220"/>
      <c r="BO182" s="220"/>
      <c r="BP182" s="355"/>
      <c r="BQ182" s="217"/>
      <c r="BR182" s="1026"/>
      <c r="BS182" s="249"/>
      <c r="BT182" s="260"/>
      <c r="BU182" s="1026"/>
      <c r="BV182" s="249"/>
      <c r="BW182" s="260"/>
      <c r="BX182" s="1026"/>
      <c r="BY182" s="249"/>
      <c r="BZ182" s="260"/>
      <c r="CA182" s="1026"/>
      <c r="CB182" s="249"/>
      <c r="CC182" s="260"/>
      <c r="CD182" s="1026"/>
      <c r="CE182" s="1269"/>
      <c r="CF182" s="1270"/>
      <c r="CG182" s="1026"/>
      <c r="CH182" s="293"/>
      <c r="CI182" s="326"/>
      <c r="CJ182" s="1027"/>
      <c r="CK182" s="249"/>
      <c r="CL182" s="260"/>
      <c r="CM182" s="1028"/>
      <c r="CN182" s="249"/>
      <c r="CO182" s="216"/>
      <c r="CP182" s="1029"/>
      <c r="CQ182" s="249"/>
      <c r="CR182" s="216"/>
      <c r="CS182" s="1029"/>
      <c r="CT182" s="249"/>
      <c r="CU182" s="216"/>
      <c r="CV182" s="1027"/>
      <c r="CW182" s="394"/>
      <c r="CX182" s="347"/>
      <c r="CY182" s="1027"/>
      <c r="CZ182" s="249"/>
      <c r="DA182" s="216"/>
      <c r="DB182" s="1027" t="str">
        <f t="shared" si="25"/>
        <v/>
      </c>
      <c r="DC182" s="249"/>
      <c r="DD182" s="2519" t="str">
        <f t="shared" si="24"/>
        <v/>
      </c>
      <c r="DE182" s="1027"/>
      <c r="DF182" s="1556"/>
      <c r="DG182" s="1557"/>
      <c r="DH182" s="1027"/>
      <c r="DI182" s="1556"/>
      <c r="DJ182" s="1558"/>
      <c r="DK182" s="1027"/>
      <c r="DL182" s="249"/>
      <c r="DM182" s="216"/>
      <c r="DN182" s="313"/>
      <c r="DO182" s="249"/>
      <c r="DP182" s="216"/>
      <c r="DQ182" s="313"/>
      <c r="DR182" s="249"/>
      <c r="DS182" s="221"/>
      <c r="DT182" s="313"/>
      <c r="DU182" s="249"/>
      <c r="DV182" s="221"/>
      <c r="DW182" s="305"/>
      <c r="DX182" s="249"/>
      <c r="DY182" s="260"/>
      <c r="DZ182" s="350"/>
      <c r="EA182" s="249"/>
      <c r="EB182" s="221"/>
      <c r="EC182" s="313"/>
      <c r="ED182" s="249"/>
      <c r="EE182" s="221"/>
      <c r="EF182" s="313"/>
      <c r="EG182" s="249"/>
      <c r="EH182" s="221"/>
      <c r="EI182" s="313"/>
      <c r="EJ182" s="249"/>
      <c r="EK182" s="216"/>
      <c r="EL182" s="1435"/>
      <c r="EM182" s="1619"/>
      <c r="EN182" s="1268"/>
      <c r="EO182" s="1563"/>
      <c r="EP182" s="1268"/>
      <c r="EQ182" s="1563"/>
      <c r="ER182" s="1268"/>
      <c r="ES182" s="1563"/>
      <c r="ET182" s="1268"/>
      <c r="EU182" s="1682"/>
      <c r="EV182" s="1683"/>
      <c r="EW182" s="1684"/>
      <c r="EX182" s="1685"/>
      <c r="EY182" s="1030"/>
      <c r="EZ182" s="349"/>
      <c r="FA182" s="395"/>
      <c r="FB182" s="223"/>
      <c r="FC182" s="1030"/>
      <c r="FD182" s="349"/>
      <c r="FE182" s="1031"/>
      <c r="FF182" s="358"/>
      <c r="FG182" s="256"/>
      <c r="FH182" s="256"/>
      <c r="FI182" s="256"/>
      <c r="FJ182" s="256"/>
      <c r="FK182" s="19"/>
      <c r="FL182" s="126"/>
      <c r="FM182" s="126"/>
      <c r="FN182" s="126"/>
      <c r="FO182" s="957"/>
      <c r="FQ182" s="358"/>
      <c r="FR182" s="1190"/>
      <c r="FS182" s="1190"/>
      <c r="FT182" s="64"/>
      <c r="FU182" s="2879"/>
      <c r="FV182" s="2880"/>
      <c r="FW182" s="2881"/>
    </row>
    <row r="183" spans="1:179">
      <c r="A183" s="1023"/>
      <c r="B183" s="1023"/>
      <c r="C183" s="1023"/>
      <c r="T183" s="1186"/>
      <c r="U183" s="233"/>
      <c r="V183" s="216"/>
      <c r="W183" s="218"/>
      <c r="X183" s="218"/>
      <c r="Y183" s="216"/>
      <c r="Z183" s="216"/>
      <c r="AA183" s="1024"/>
      <c r="AB183" s="252"/>
      <c r="AC183" s="252"/>
      <c r="AD183" s="253"/>
      <c r="AE183" s="252"/>
      <c r="AF183" s="252"/>
      <c r="AG183" s="252"/>
      <c r="AH183" s="252"/>
      <c r="AI183" s="252"/>
      <c r="AJ183" s="252"/>
      <c r="AK183" s="253"/>
      <c r="AL183" s="252"/>
      <c r="AM183" s="252"/>
      <c r="AN183" s="252"/>
      <c r="AO183" s="252"/>
      <c r="AP183" s="1192"/>
      <c r="AQ183" s="252"/>
      <c r="AR183" s="252"/>
      <c r="AS183" s="252"/>
      <c r="AT183" s="252"/>
      <c r="AU183" s="252"/>
      <c r="AV183" s="1025"/>
      <c r="AW183" s="359"/>
      <c r="AX183" s="217"/>
      <c r="AY183" s="305"/>
      <c r="AZ183" s="249"/>
      <c r="BA183" s="221"/>
      <c r="BB183" s="300"/>
      <c r="BC183" s="217"/>
      <c r="BD183" s="219"/>
      <c r="BE183" s="1263"/>
      <c r="BF183" s="249"/>
      <c r="BG183" s="252"/>
      <c r="BH183" s="1543"/>
      <c r="BI183" s="1544"/>
      <c r="BJ183" s="1543"/>
      <c r="BK183" s="1545"/>
      <c r="BL183" s="260"/>
      <c r="BM183" s="217"/>
      <c r="BN183" s="220"/>
      <c r="BO183" s="220"/>
      <c r="BP183" s="355"/>
      <c r="BQ183" s="217"/>
      <c r="BR183" s="1026"/>
      <c r="BS183" s="249"/>
      <c r="BT183" s="260"/>
      <c r="BU183" s="1026"/>
      <c r="BV183" s="249"/>
      <c r="BW183" s="260"/>
      <c r="BX183" s="1026"/>
      <c r="BY183" s="249"/>
      <c r="BZ183" s="260"/>
      <c r="CA183" s="1026"/>
      <c r="CB183" s="249"/>
      <c r="CC183" s="260"/>
      <c r="CD183" s="1026"/>
      <c r="CE183" s="1269"/>
      <c r="CF183" s="1270"/>
      <c r="CG183" s="1026"/>
      <c r="CH183" s="293"/>
      <c r="CI183" s="326"/>
      <c r="CJ183" s="1027"/>
      <c r="CK183" s="249"/>
      <c r="CL183" s="260"/>
      <c r="CM183" s="1028"/>
      <c r="CN183" s="249"/>
      <c r="CO183" s="216"/>
      <c r="CP183" s="1029"/>
      <c r="CQ183" s="249"/>
      <c r="CR183" s="216"/>
      <c r="CS183" s="1029"/>
      <c r="CT183" s="249"/>
      <c r="CU183" s="216"/>
      <c r="CV183" s="1027"/>
      <c r="CW183" s="394"/>
      <c r="CX183" s="347"/>
      <c r="CY183" s="1027"/>
      <c r="CZ183" s="249"/>
      <c r="DA183" s="216"/>
      <c r="DB183" s="1027" t="str">
        <f t="shared" si="25"/>
        <v/>
      </c>
      <c r="DC183" s="249"/>
      <c r="DD183" s="2519" t="str">
        <f t="shared" si="24"/>
        <v/>
      </c>
      <c r="DE183" s="1027"/>
      <c r="DF183" s="1556"/>
      <c r="DG183" s="1557"/>
      <c r="DH183" s="1027"/>
      <c r="DI183" s="1556"/>
      <c r="DJ183" s="1558"/>
      <c r="DK183" s="1027"/>
      <c r="DL183" s="249"/>
      <c r="DM183" s="216"/>
      <c r="DN183" s="313"/>
      <c r="DO183" s="249"/>
      <c r="DP183" s="216"/>
      <c r="DQ183" s="313"/>
      <c r="DR183" s="249"/>
      <c r="DS183" s="221"/>
      <c r="DT183" s="313"/>
      <c r="DU183" s="249"/>
      <c r="DV183" s="221"/>
      <c r="DW183" s="305"/>
      <c r="DX183" s="249"/>
      <c r="DY183" s="260"/>
      <c r="DZ183" s="350"/>
      <c r="EA183" s="249"/>
      <c r="EB183" s="221"/>
      <c r="EC183" s="313"/>
      <c r="ED183" s="249"/>
      <c r="EE183" s="221"/>
      <c r="EF183" s="313"/>
      <c r="EG183" s="249"/>
      <c r="EH183" s="221"/>
      <c r="EI183" s="313"/>
      <c r="EJ183" s="249"/>
      <c r="EK183" s="216"/>
      <c r="EL183" s="1435"/>
      <c r="EM183" s="1619"/>
      <c r="EN183" s="1268"/>
      <c r="EO183" s="1563"/>
      <c r="EP183" s="1268"/>
      <c r="EQ183" s="1563"/>
      <c r="ER183" s="1268"/>
      <c r="ES183" s="1563"/>
      <c r="ET183" s="1268"/>
      <c r="EU183" s="1682"/>
      <c r="EV183" s="1683"/>
      <c r="EW183" s="1684"/>
      <c r="EX183" s="1685"/>
      <c r="EY183" s="1030"/>
      <c r="EZ183" s="349"/>
      <c r="FA183" s="395"/>
      <c r="FB183" s="223"/>
      <c r="FC183" s="1030"/>
      <c r="FD183" s="349"/>
      <c r="FE183" s="1031"/>
      <c r="FF183" s="358"/>
      <c r="FG183" s="256"/>
      <c r="FH183" s="256"/>
      <c r="FI183" s="256"/>
      <c r="FJ183" s="256"/>
      <c r="FK183" s="19"/>
      <c r="FL183" s="126"/>
      <c r="FM183" s="126"/>
      <c r="FN183" s="126"/>
      <c r="FO183" s="957"/>
      <c r="FQ183" s="358"/>
      <c r="FR183" s="1190"/>
      <c r="FS183" s="1190"/>
      <c r="FT183" s="64"/>
      <c r="FU183" s="2879"/>
      <c r="FV183" s="2880"/>
      <c r="FW183" s="2881"/>
    </row>
    <row r="184" spans="1:179">
      <c r="A184" s="1023"/>
      <c r="B184" s="1023"/>
      <c r="C184" s="1023"/>
      <c r="T184" s="1186"/>
      <c r="U184" s="233"/>
      <c r="V184" s="216"/>
      <c r="W184" s="218"/>
      <c r="X184" s="218"/>
      <c r="Y184" s="216"/>
      <c r="Z184" s="216"/>
      <c r="AA184" s="1024"/>
      <c r="AB184" s="252"/>
      <c r="AC184" s="252"/>
      <c r="AD184" s="253"/>
      <c r="AE184" s="252"/>
      <c r="AF184" s="252"/>
      <c r="AG184" s="252"/>
      <c r="AH184" s="252"/>
      <c r="AI184" s="252"/>
      <c r="AJ184" s="252"/>
      <c r="AK184" s="253"/>
      <c r="AL184" s="252"/>
      <c r="AM184" s="252"/>
      <c r="AN184" s="252"/>
      <c r="AO184" s="252"/>
      <c r="AP184" s="1192"/>
      <c r="AQ184" s="252"/>
      <c r="AR184" s="252"/>
      <c r="AS184" s="252"/>
      <c r="AT184" s="252"/>
      <c r="AU184" s="252"/>
      <c r="AV184" s="1025"/>
      <c r="AW184" s="359"/>
      <c r="AX184" s="217"/>
      <c r="AY184" s="305"/>
      <c r="AZ184" s="249"/>
      <c r="BA184" s="221"/>
      <c r="BB184" s="300"/>
      <c r="BC184" s="217"/>
      <c r="BD184" s="219"/>
      <c r="BE184" s="1263"/>
      <c r="BF184" s="249"/>
      <c r="BG184" s="252"/>
      <c r="BH184" s="1543"/>
      <c r="BI184" s="1544"/>
      <c r="BJ184" s="1543"/>
      <c r="BK184" s="1545"/>
      <c r="BL184" s="260"/>
      <c r="BM184" s="217"/>
      <c r="BN184" s="220"/>
      <c r="BO184" s="220"/>
      <c r="BP184" s="355"/>
      <c r="BQ184" s="217"/>
      <c r="BR184" s="1026"/>
      <c r="BS184" s="249"/>
      <c r="BT184" s="260"/>
      <c r="BU184" s="1026"/>
      <c r="BV184" s="249"/>
      <c r="BW184" s="260"/>
      <c r="BX184" s="1026"/>
      <c r="BY184" s="249"/>
      <c r="BZ184" s="260"/>
      <c r="CA184" s="1026"/>
      <c r="CB184" s="249"/>
      <c r="CC184" s="260"/>
      <c r="CD184" s="1026"/>
      <c r="CE184" s="1269"/>
      <c r="CF184" s="1270"/>
      <c r="CG184" s="1026"/>
      <c r="CH184" s="293"/>
      <c r="CI184" s="326"/>
      <c r="CJ184" s="1027"/>
      <c r="CK184" s="249"/>
      <c r="CL184" s="260"/>
      <c r="CM184" s="1028"/>
      <c r="CN184" s="249"/>
      <c r="CO184" s="216"/>
      <c r="CP184" s="1029"/>
      <c r="CQ184" s="249"/>
      <c r="CR184" s="216"/>
      <c r="CS184" s="1029"/>
      <c r="CT184" s="249"/>
      <c r="CU184" s="216"/>
      <c r="CV184" s="1027"/>
      <c r="CW184" s="394"/>
      <c r="CX184" s="347"/>
      <c r="CY184" s="1027"/>
      <c r="CZ184" s="249"/>
      <c r="DA184" s="216"/>
      <c r="DB184" s="1027" t="str">
        <f t="shared" si="25"/>
        <v/>
      </c>
      <c r="DC184" s="249"/>
      <c r="DD184" s="2519" t="str">
        <f t="shared" si="24"/>
        <v/>
      </c>
      <c r="DE184" s="1027"/>
      <c r="DF184" s="1556"/>
      <c r="DG184" s="1557"/>
      <c r="DH184" s="1027"/>
      <c r="DI184" s="1556"/>
      <c r="DJ184" s="1558"/>
      <c r="DK184" s="1027"/>
      <c r="DL184" s="249"/>
      <c r="DM184" s="216"/>
      <c r="DN184" s="313"/>
      <c r="DO184" s="249"/>
      <c r="DP184" s="216"/>
      <c r="DQ184" s="313"/>
      <c r="DR184" s="249"/>
      <c r="DS184" s="221"/>
      <c r="DT184" s="313"/>
      <c r="DU184" s="249"/>
      <c r="DV184" s="221"/>
      <c r="DW184" s="305"/>
      <c r="DX184" s="249"/>
      <c r="DY184" s="260"/>
      <c r="DZ184" s="350"/>
      <c r="EA184" s="249"/>
      <c r="EB184" s="221"/>
      <c r="EC184" s="313"/>
      <c r="ED184" s="249"/>
      <c r="EE184" s="221"/>
      <c r="EF184" s="313"/>
      <c r="EG184" s="249"/>
      <c r="EH184" s="221"/>
      <c r="EI184" s="313"/>
      <c r="EJ184" s="249"/>
      <c r="EK184" s="216"/>
      <c r="EL184" s="1435"/>
      <c r="EM184" s="1619"/>
      <c r="EN184" s="1268"/>
      <c r="EO184" s="1563"/>
      <c r="EP184" s="1268"/>
      <c r="EQ184" s="1563"/>
      <c r="ER184" s="1268"/>
      <c r="ES184" s="1563"/>
      <c r="ET184" s="1268"/>
      <c r="EU184" s="1682"/>
      <c r="EV184" s="1683"/>
      <c r="EW184" s="1684"/>
      <c r="EX184" s="1685"/>
      <c r="EY184" s="1030"/>
      <c r="EZ184" s="349"/>
      <c r="FA184" s="395"/>
      <c r="FB184" s="223"/>
      <c r="FC184" s="1030"/>
      <c r="FD184" s="349"/>
      <c r="FE184" s="1031"/>
      <c r="FF184" s="358"/>
      <c r="FG184" s="256"/>
      <c r="FH184" s="256"/>
      <c r="FI184" s="256"/>
      <c r="FJ184" s="256"/>
      <c r="FK184" s="19"/>
      <c r="FL184" s="126"/>
      <c r="FM184" s="126"/>
      <c r="FN184" s="126"/>
      <c r="FO184" s="957"/>
      <c r="FQ184" s="358"/>
      <c r="FR184" s="1190"/>
      <c r="FS184" s="1190"/>
      <c r="FT184" s="64"/>
      <c r="FU184" s="2879"/>
      <c r="FV184" s="2880"/>
      <c r="FW184" s="2881"/>
    </row>
    <row r="185" spans="1:179">
      <c r="A185" s="1023"/>
      <c r="B185" s="1023"/>
      <c r="C185" s="1023"/>
      <c r="T185" s="1186"/>
      <c r="U185" s="233"/>
      <c r="V185" s="216"/>
      <c r="W185" s="218"/>
      <c r="X185" s="218"/>
      <c r="Y185" s="216"/>
      <c r="Z185" s="216"/>
      <c r="AA185" s="1024"/>
      <c r="AB185" s="252"/>
      <c r="AC185" s="252"/>
      <c r="AD185" s="253"/>
      <c r="AE185" s="252"/>
      <c r="AF185" s="252"/>
      <c r="AG185" s="252"/>
      <c r="AH185" s="252"/>
      <c r="AI185" s="252"/>
      <c r="AJ185" s="252"/>
      <c r="AK185" s="253"/>
      <c r="AL185" s="252"/>
      <c r="AM185" s="252"/>
      <c r="AN185" s="252"/>
      <c r="AO185" s="252"/>
      <c r="AP185" s="1192"/>
      <c r="AQ185" s="252"/>
      <c r="AR185" s="252"/>
      <c r="AS185" s="252"/>
      <c r="AT185" s="252"/>
      <c r="AU185" s="252"/>
      <c r="AV185" s="1025"/>
      <c r="AW185" s="359"/>
      <c r="AX185" s="217"/>
      <c r="AY185" s="305"/>
      <c r="AZ185" s="249"/>
      <c r="BA185" s="221"/>
      <c r="BB185" s="300"/>
      <c r="BC185" s="217"/>
      <c r="BD185" s="219"/>
      <c r="BE185" s="1263"/>
      <c r="BF185" s="249"/>
      <c r="BG185" s="252"/>
      <c r="BH185" s="1543"/>
      <c r="BI185" s="1544"/>
      <c r="BJ185" s="1543"/>
      <c r="BK185" s="1545"/>
      <c r="BL185" s="260"/>
      <c r="BM185" s="217"/>
      <c r="BN185" s="220"/>
      <c r="BO185" s="220"/>
      <c r="BP185" s="355"/>
      <c r="BQ185" s="217"/>
      <c r="BR185" s="1026"/>
      <c r="BS185" s="249"/>
      <c r="BT185" s="260"/>
      <c r="BU185" s="1026"/>
      <c r="BV185" s="249"/>
      <c r="BW185" s="260"/>
      <c r="BX185" s="1026"/>
      <c r="BY185" s="249"/>
      <c r="BZ185" s="260"/>
      <c r="CA185" s="1026"/>
      <c r="CB185" s="249"/>
      <c r="CC185" s="260"/>
      <c r="CD185" s="1026"/>
      <c r="CE185" s="1269"/>
      <c r="CF185" s="1270"/>
      <c r="CG185" s="1026"/>
      <c r="CH185" s="293"/>
      <c r="CI185" s="326"/>
      <c r="CJ185" s="1027"/>
      <c r="CK185" s="249"/>
      <c r="CL185" s="260"/>
      <c r="CM185" s="1028"/>
      <c r="CN185" s="249"/>
      <c r="CO185" s="216"/>
      <c r="CP185" s="1029"/>
      <c r="CQ185" s="249"/>
      <c r="CR185" s="216"/>
      <c r="CS185" s="1029"/>
      <c r="CT185" s="249"/>
      <c r="CU185" s="216"/>
      <c r="CV185" s="1027"/>
      <c r="CW185" s="394"/>
      <c r="CX185" s="347"/>
      <c r="CY185" s="1027"/>
      <c r="CZ185" s="249"/>
      <c r="DA185" s="216"/>
      <c r="DB185" s="1027" t="str">
        <f t="shared" si="25"/>
        <v/>
      </c>
      <c r="DC185" s="249"/>
      <c r="DD185" s="2519" t="str">
        <f t="shared" si="24"/>
        <v/>
      </c>
      <c r="DE185" s="1027"/>
      <c r="DF185" s="1556"/>
      <c r="DG185" s="1557"/>
      <c r="DH185" s="1027"/>
      <c r="DI185" s="1556"/>
      <c r="DJ185" s="1558"/>
      <c r="DK185" s="1027"/>
      <c r="DL185" s="249"/>
      <c r="DM185" s="216"/>
      <c r="DN185" s="313"/>
      <c r="DO185" s="249"/>
      <c r="DP185" s="216"/>
      <c r="DQ185" s="313"/>
      <c r="DR185" s="249"/>
      <c r="DS185" s="221"/>
      <c r="DT185" s="313"/>
      <c r="DU185" s="249"/>
      <c r="DV185" s="221"/>
      <c r="DW185" s="305"/>
      <c r="DX185" s="249"/>
      <c r="DY185" s="260"/>
      <c r="DZ185" s="350"/>
      <c r="EA185" s="249"/>
      <c r="EB185" s="221"/>
      <c r="EC185" s="313"/>
      <c r="ED185" s="249"/>
      <c r="EE185" s="221"/>
      <c r="EF185" s="313"/>
      <c r="EG185" s="249"/>
      <c r="EH185" s="221"/>
      <c r="EI185" s="313"/>
      <c r="EJ185" s="249"/>
      <c r="EK185" s="216"/>
      <c r="EL185" s="1435"/>
      <c r="EM185" s="1619"/>
      <c r="EN185" s="1268"/>
      <c r="EO185" s="1563"/>
      <c r="EP185" s="1268"/>
      <c r="EQ185" s="1563"/>
      <c r="ER185" s="1268"/>
      <c r="ES185" s="1563"/>
      <c r="ET185" s="1268"/>
      <c r="EU185" s="1682"/>
      <c r="EV185" s="1683"/>
      <c r="EW185" s="1684"/>
      <c r="EX185" s="1685"/>
      <c r="EY185" s="1030"/>
      <c r="EZ185" s="349"/>
      <c r="FA185" s="395"/>
      <c r="FB185" s="223"/>
      <c r="FC185" s="1030"/>
      <c r="FD185" s="349"/>
      <c r="FE185" s="1031"/>
      <c r="FF185" s="358"/>
      <c r="FG185" s="256"/>
      <c r="FH185" s="256"/>
      <c r="FI185" s="256"/>
      <c r="FJ185" s="256"/>
      <c r="FK185" s="19"/>
      <c r="FL185" s="126"/>
      <c r="FM185" s="126"/>
      <c r="FN185" s="126"/>
      <c r="FO185" s="957"/>
      <c r="FQ185" s="358"/>
      <c r="FR185" s="1190"/>
      <c r="FS185" s="1190"/>
      <c r="FT185" s="64"/>
      <c r="FU185" s="2879"/>
      <c r="FV185" s="2880"/>
      <c r="FW185" s="2881"/>
    </row>
    <row r="186" spans="1:179">
      <c r="A186" s="1023"/>
      <c r="B186" s="1023"/>
      <c r="C186" s="1023"/>
      <c r="T186" s="1186"/>
      <c r="U186" s="233"/>
      <c r="V186" s="216"/>
      <c r="W186" s="218"/>
      <c r="X186" s="218"/>
      <c r="Y186" s="216"/>
      <c r="Z186" s="216"/>
      <c r="AA186" s="1024"/>
      <c r="AB186" s="252"/>
      <c r="AC186" s="252"/>
      <c r="AD186" s="253"/>
      <c r="AE186" s="252"/>
      <c r="AF186" s="252"/>
      <c r="AG186" s="252"/>
      <c r="AH186" s="252"/>
      <c r="AI186" s="252"/>
      <c r="AJ186" s="252"/>
      <c r="AK186" s="253"/>
      <c r="AL186" s="252"/>
      <c r="AM186" s="252"/>
      <c r="AN186" s="252"/>
      <c r="AO186" s="252"/>
      <c r="AP186" s="1192"/>
      <c r="AQ186" s="252"/>
      <c r="AR186" s="252"/>
      <c r="AS186" s="252"/>
      <c r="AT186" s="252"/>
      <c r="AU186" s="252"/>
      <c r="AV186" s="1025"/>
      <c r="AW186" s="359"/>
      <c r="AX186" s="217"/>
      <c r="AY186" s="305"/>
      <c r="AZ186" s="249"/>
      <c r="BA186" s="221"/>
      <c r="BB186" s="300"/>
      <c r="BC186" s="217"/>
      <c r="BD186" s="219"/>
      <c r="BE186" s="1263"/>
      <c r="BF186" s="249"/>
      <c r="BG186" s="252"/>
      <c r="BH186" s="1543"/>
      <c r="BI186" s="1544"/>
      <c r="BJ186" s="1543"/>
      <c r="BK186" s="1545"/>
      <c r="BL186" s="260"/>
      <c r="BM186" s="217"/>
      <c r="BN186" s="220"/>
      <c r="BO186" s="220"/>
      <c r="BP186" s="355"/>
      <c r="BQ186" s="217"/>
      <c r="BR186" s="1026"/>
      <c r="BS186" s="249"/>
      <c r="BT186" s="260"/>
      <c r="BU186" s="1026"/>
      <c r="BV186" s="249"/>
      <c r="BW186" s="260"/>
      <c r="BX186" s="1026"/>
      <c r="BY186" s="249"/>
      <c r="BZ186" s="260"/>
      <c r="CA186" s="1026"/>
      <c r="CB186" s="249"/>
      <c r="CC186" s="260"/>
      <c r="CD186" s="1026"/>
      <c r="CE186" s="1269"/>
      <c r="CF186" s="1270"/>
      <c r="CG186" s="1026"/>
      <c r="CH186" s="293"/>
      <c r="CI186" s="326"/>
      <c r="CJ186" s="1027"/>
      <c r="CK186" s="249"/>
      <c r="CL186" s="260"/>
      <c r="CM186" s="1028"/>
      <c r="CN186" s="249"/>
      <c r="CO186" s="216"/>
      <c r="CP186" s="1029"/>
      <c r="CQ186" s="249"/>
      <c r="CR186" s="216"/>
      <c r="CS186" s="1029"/>
      <c r="CT186" s="249"/>
      <c r="CU186" s="216"/>
      <c r="CV186" s="1027"/>
      <c r="CW186" s="394"/>
      <c r="CX186" s="347"/>
      <c r="CY186" s="1027"/>
      <c r="CZ186" s="249"/>
      <c r="DA186" s="216"/>
      <c r="DB186" s="1027" t="str">
        <f t="shared" si="25"/>
        <v/>
      </c>
      <c r="DC186" s="249"/>
      <c r="DD186" s="2519" t="str">
        <f t="shared" si="24"/>
        <v/>
      </c>
      <c r="DE186" s="1027"/>
      <c r="DF186" s="1556"/>
      <c r="DG186" s="1557"/>
      <c r="DH186" s="1027"/>
      <c r="DI186" s="1556"/>
      <c r="DJ186" s="1558"/>
      <c r="DK186" s="1027"/>
      <c r="DL186" s="249"/>
      <c r="DM186" s="216"/>
      <c r="DN186" s="313"/>
      <c r="DO186" s="249"/>
      <c r="DP186" s="216"/>
      <c r="DQ186" s="313"/>
      <c r="DR186" s="249"/>
      <c r="DS186" s="221"/>
      <c r="DT186" s="313"/>
      <c r="DU186" s="249"/>
      <c r="DV186" s="221"/>
      <c r="DW186" s="305"/>
      <c r="DX186" s="249"/>
      <c r="DY186" s="260"/>
      <c r="DZ186" s="350"/>
      <c r="EA186" s="249"/>
      <c r="EB186" s="221"/>
      <c r="EC186" s="313"/>
      <c r="ED186" s="249"/>
      <c r="EE186" s="221"/>
      <c r="EF186" s="313"/>
      <c r="EG186" s="249"/>
      <c r="EH186" s="221"/>
      <c r="EI186" s="313"/>
      <c r="EJ186" s="249"/>
      <c r="EK186" s="216"/>
      <c r="EL186" s="1435"/>
      <c r="EM186" s="1619"/>
      <c r="EN186" s="1268"/>
      <c r="EO186" s="1563"/>
      <c r="EP186" s="1268"/>
      <c r="EQ186" s="1563"/>
      <c r="ER186" s="1268"/>
      <c r="ES186" s="1563"/>
      <c r="ET186" s="1268"/>
      <c r="EU186" s="1682"/>
      <c r="EV186" s="1683"/>
      <c r="EW186" s="1684"/>
      <c r="EX186" s="1685"/>
      <c r="EY186" s="1030"/>
      <c r="EZ186" s="349"/>
      <c r="FA186" s="395"/>
      <c r="FB186" s="223"/>
      <c r="FC186" s="1030"/>
      <c r="FD186" s="349"/>
      <c r="FE186" s="1031"/>
      <c r="FF186" s="358"/>
      <c r="FG186" s="256"/>
      <c r="FH186" s="256"/>
      <c r="FI186" s="256"/>
      <c r="FJ186" s="256"/>
      <c r="FK186" s="19"/>
      <c r="FL186" s="126"/>
      <c r="FM186" s="126"/>
      <c r="FN186" s="126"/>
      <c r="FO186" s="957"/>
      <c r="FQ186" s="358"/>
      <c r="FR186" s="1190"/>
      <c r="FS186" s="1190"/>
      <c r="FT186" s="64"/>
      <c r="FU186" s="2879"/>
      <c r="FV186" s="2880"/>
      <c r="FW186" s="2881"/>
    </row>
    <row r="187" spans="1:179">
      <c r="A187" s="1023"/>
      <c r="B187" s="1023"/>
      <c r="C187" s="1023"/>
      <c r="T187" s="1186"/>
      <c r="U187" s="233"/>
      <c r="V187" s="216"/>
      <c r="W187" s="218"/>
      <c r="X187" s="218"/>
      <c r="Y187" s="216"/>
      <c r="Z187" s="216"/>
      <c r="AA187" s="1024"/>
      <c r="AB187" s="252"/>
      <c r="AC187" s="252"/>
      <c r="AD187" s="253"/>
      <c r="AE187" s="252"/>
      <c r="AF187" s="252"/>
      <c r="AG187" s="252"/>
      <c r="AH187" s="252"/>
      <c r="AI187" s="252"/>
      <c r="AJ187" s="252"/>
      <c r="AK187" s="253"/>
      <c r="AL187" s="252"/>
      <c r="AM187" s="252"/>
      <c r="AN187" s="252"/>
      <c r="AO187" s="252"/>
      <c r="AP187" s="1192"/>
      <c r="AQ187" s="252"/>
      <c r="AR187" s="252"/>
      <c r="AS187" s="252"/>
      <c r="AT187" s="252"/>
      <c r="AU187" s="252"/>
      <c r="AV187" s="1025"/>
      <c r="AW187" s="359"/>
      <c r="AX187" s="217"/>
      <c r="AY187" s="305"/>
      <c r="AZ187" s="249"/>
      <c r="BA187" s="221"/>
      <c r="BB187" s="300"/>
      <c r="BC187" s="217"/>
      <c r="BD187" s="219"/>
      <c r="BE187" s="1263"/>
      <c r="BF187" s="249"/>
      <c r="BG187" s="252"/>
      <c r="BH187" s="1543"/>
      <c r="BI187" s="1544"/>
      <c r="BJ187" s="1543"/>
      <c r="BK187" s="1545"/>
      <c r="BL187" s="260"/>
      <c r="BM187" s="217"/>
      <c r="BN187" s="220"/>
      <c r="BO187" s="220"/>
      <c r="BP187" s="355"/>
      <c r="BQ187" s="217"/>
      <c r="BR187" s="1026"/>
      <c r="BS187" s="249"/>
      <c r="BT187" s="260"/>
      <c r="BU187" s="1026"/>
      <c r="BV187" s="249"/>
      <c r="BW187" s="260"/>
      <c r="BX187" s="1026"/>
      <c r="BY187" s="249"/>
      <c r="BZ187" s="260"/>
      <c r="CA187" s="1026"/>
      <c r="CB187" s="249"/>
      <c r="CC187" s="260"/>
      <c r="CD187" s="1026"/>
      <c r="CE187" s="1269"/>
      <c r="CF187" s="1270"/>
      <c r="CG187" s="1026"/>
      <c r="CH187" s="293"/>
      <c r="CI187" s="326"/>
      <c r="CJ187" s="1027"/>
      <c r="CK187" s="249"/>
      <c r="CL187" s="260"/>
      <c r="CM187" s="1028"/>
      <c r="CN187" s="249"/>
      <c r="CO187" s="216"/>
      <c r="CP187" s="1029"/>
      <c r="CQ187" s="249"/>
      <c r="CR187" s="216"/>
      <c r="CS187" s="1029"/>
      <c r="CT187" s="249"/>
      <c r="CU187" s="216"/>
      <c r="CV187" s="1027"/>
      <c r="CW187" s="394"/>
      <c r="CX187" s="347"/>
      <c r="CY187" s="1027"/>
      <c r="CZ187" s="249"/>
      <c r="DA187" s="216"/>
      <c r="DB187" s="1027" t="str">
        <f t="shared" si="25"/>
        <v/>
      </c>
      <c r="DC187" s="249"/>
      <c r="DD187" s="2519" t="str">
        <f t="shared" si="24"/>
        <v/>
      </c>
      <c r="DE187" s="1027"/>
      <c r="DF187" s="1556"/>
      <c r="DG187" s="1557"/>
      <c r="DH187" s="1027"/>
      <c r="DI187" s="1556"/>
      <c r="DJ187" s="1558"/>
      <c r="DK187" s="1027"/>
      <c r="DL187" s="249"/>
      <c r="DM187" s="216"/>
      <c r="DN187" s="313"/>
      <c r="DO187" s="249"/>
      <c r="DP187" s="216"/>
      <c r="DQ187" s="313"/>
      <c r="DR187" s="249"/>
      <c r="DS187" s="221"/>
      <c r="DT187" s="313"/>
      <c r="DU187" s="249"/>
      <c r="DV187" s="221"/>
      <c r="DW187" s="305"/>
      <c r="DX187" s="249"/>
      <c r="DY187" s="260"/>
      <c r="DZ187" s="350"/>
      <c r="EA187" s="249"/>
      <c r="EB187" s="221"/>
      <c r="EC187" s="313"/>
      <c r="ED187" s="249"/>
      <c r="EE187" s="221"/>
      <c r="EF187" s="313"/>
      <c r="EG187" s="249"/>
      <c r="EH187" s="221"/>
      <c r="EI187" s="313"/>
      <c r="EJ187" s="249"/>
      <c r="EK187" s="216"/>
      <c r="EL187" s="1435"/>
      <c r="EM187" s="1619"/>
      <c r="EN187" s="1268"/>
      <c r="EO187" s="1563"/>
      <c r="EP187" s="1268"/>
      <c r="EQ187" s="1563"/>
      <c r="ER187" s="1268"/>
      <c r="ES187" s="1563"/>
      <c r="ET187" s="1268"/>
      <c r="EU187" s="1682"/>
      <c r="EV187" s="1683"/>
      <c r="EW187" s="1684"/>
      <c r="EX187" s="1685"/>
      <c r="EY187" s="1030"/>
      <c r="EZ187" s="349"/>
      <c r="FA187" s="395"/>
      <c r="FB187" s="223"/>
      <c r="FC187" s="1030"/>
      <c r="FD187" s="349"/>
      <c r="FE187" s="1031"/>
      <c r="FF187" s="358"/>
      <c r="FG187" s="256"/>
      <c r="FH187" s="256"/>
      <c r="FI187" s="256"/>
      <c r="FJ187" s="256"/>
      <c r="FK187" s="19"/>
      <c r="FL187" s="126"/>
      <c r="FM187" s="126"/>
      <c r="FN187" s="126"/>
      <c r="FO187" s="957"/>
      <c r="FQ187" s="358"/>
      <c r="FR187" s="1190"/>
      <c r="FS187" s="1190"/>
      <c r="FT187" s="64"/>
      <c r="FU187" s="2879"/>
      <c r="FV187" s="2880"/>
      <c r="FW187" s="2881"/>
    </row>
    <row r="188" spans="1:179">
      <c r="A188" s="1023"/>
      <c r="B188" s="1023"/>
      <c r="C188" s="1023"/>
      <c r="T188" s="1186"/>
      <c r="U188" s="233"/>
      <c r="V188" s="216"/>
      <c r="W188" s="218"/>
      <c r="X188" s="218"/>
      <c r="Y188" s="216"/>
      <c r="Z188" s="216"/>
      <c r="AA188" s="1024"/>
      <c r="AB188" s="252"/>
      <c r="AC188" s="252"/>
      <c r="AD188" s="253"/>
      <c r="AE188" s="252"/>
      <c r="AF188" s="252"/>
      <c r="AG188" s="252"/>
      <c r="AH188" s="252"/>
      <c r="AI188" s="252"/>
      <c r="AJ188" s="252"/>
      <c r="AK188" s="253"/>
      <c r="AL188" s="252"/>
      <c r="AM188" s="252"/>
      <c r="AN188" s="252"/>
      <c r="AO188" s="252"/>
      <c r="AP188" s="1192"/>
      <c r="AQ188" s="252"/>
      <c r="AR188" s="252"/>
      <c r="AS188" s="252"/>
      <c r="AT188" s="252"/>
      <c r="AU188" s="252"/>
      <c r="AV188" s="1025"/>
      <c r="AW188" s="359"/>
      <c r="AX188" s="217"/>
      <c r="AY188" s="305"/>
      <c r="AZ188" s="249"/>
      <c r="BA188" s="221"/>
      <c r="BB188" s="300"/>
      <c r="BC188" s="217"/>
      <c r="BD188" s="219"/>
      <c r="BE188" s="1263"/>
      <c r="BF188" s="249"/>
      <c r="BG188" s="252"/>
      <c r="BH188" s="1543"/>
      <c r="BI188" s="1544"/>
      <c r="BJ188" s="1543"/>
      <c r="BK188" s="1545"/>
      <c r="BL188" s="260"/>
      <c r="BM188" s="217"/>
      <c r="BN188" s="220"/>
      <c r="BO188" s="220"/>
      <c r="BP188" s="355"/>
      <c r="BQ188" s="217"/>
      <c r="BR188" s="1026"/>
      <c r="BS188" s="249"/>
      <c r="BT188" s="260"/>
      <c r="BU188" s="1026"/>
      <c r="BV188" s="249"/>
      <c r="BW188" s="260"/>
      <c r="BX188" s="1026"/>
      <c r="BY188" s="249"/>
      <c r="BZ188" s="260"/>
      <c r="CA188" s="1026"/>
      <c r="CB188" s="249"/>
      <c r="CC188" s="260"/>
      <c r="CD188" s="1026"/>
      <c r="CE188" s="1269"/>
      <c r="CF188" s="1270"/>
      <c r="CG188" s="1026"/>
      <c r="CH188" s="293"/>
      <c r="CI188" s="326"/>
      <c r="CJ188" s="1027"/>
      <c r="CK188" s="249"/>
      <c r="CL188" s="260"/>
      <c r="CM188" s="1028"/>
      <c r="CN188" s="249"/>
      <c r="CO188" s="216"/>
      <c r="CP188" s="1029"/>
      <c r="CQ188" s="249"/>
      <c r="CR188" s="216"/>
      <c r="CS188" s="1029"/>
      <c r="CT188" s="249"/>
      <c r="CU188" s="216"/>
      <c r="CV188" s="1027"/>
      <c r="CW188" s="394"/>
      <c r="CX188" s="347"/>
      <c r="CY188" s="1027"/>
      <c r="CZ188" s="249"/>
      <c r="DA188" s="216"/>
      <c r="DB188" s="1027" t="str">
        <f t="shared" si="25"/>
        <v/>
      </c>
      <c r="DC188" s="249"/>
      <c r="DD188" s="2519" t="str">
        <f t="shared" si="24"/>
        <v/>
      </c>
      <c r="DE188" s="1027"/>
      <c r="DF188" s="1556"/>
      <c r="DG188" s="1557"/>
      <c r="DH188" s="1027"/>
      <c r="DI188" s="1556"/>
      <c r="DJ188" s="1558"/>
      <c r="DK188" s="1027"/>
      <c r="DL188" s="249"/>
      <c r="DM188" s="216"/>
      <c r="DN188" s="313"/>
      <c r="DO188" s="249"/>
      <c r="DP188" s="216"/>
      <c r="DQ188" s="313"/>
      <c r="DR188" s="249"/>
      <c r="DS188" s="221"/>
      <c r="DT188" s="313"/>
      <c r="DU188" s="249"/>
      <c r="DV188" s="221"/>
      <c r="DW188" s="305"/>
      <c r="DX188" s="249"/>
      <c r="DY188" s="260"/>
      <c r="DZ188" s="350"/>
      <c r="EA188" s="249"/>
      <c r="EB188" s="221"/>
      <c r="EC188" s="313"/>
      <c r="ED188" s="249"/>
      <c r="EE188" s="221"/>
      <c r="EF188" s="313"/>
      <c r="EG188" s="249"/>
      <c r="EH188" s="221"/>
      <c r="EI188" s="313"/>
      <c r="EJ188" s="249"/>
      <c r="EK188" s="216"/>
      <c r="EL188" s="1435"/>
      <c r="EM188" s="1619"/>
      <c r="EN188" s="1268"/>
      <c r="EO188" s="1563"/>
      <c r="EP188" s="1268"/>
      <c r="EQ188" s="1563"/>
      <c r="ER188" s="1268"/>
      <c r="ES188" s="1563"/>
      <c r="ET188" s="1268"/>
      <c r="EU188" s="1682"/>
      <c r="EV188" s="1683"/>
      <c r="EW188" s="1684"/>
      <c r="EX188" s="1685"/>
      <c r="EY188" s="1030"/>
      <c r="EZ188" s="349"/>
      <c r="FA188" s="395"/>
      <c r="FB188" s="223"/>
      <c r="FC188" s="1030"/>
      <c r="FD188" s="349"/>
      <c r="FE188" s="1031"/>
      <c r="FF188" s="358"/>
      <c r="FG188" s="256"/>
      <c r="FH188" s="256"/>
      <c r="FI188" s="256"/>
      <c r="FJ188" s="256"/>
      <c r="FK188" s="19"/>
      <c r="FL188" s="126"/>
      <c r="FM188" s="126"/>
      <c r="FN188" s="126"/>
      <c r="FO188" s="957"/>
      <c r="FQ188" s="358"/>
      <c r="FR188" s="1190"/>
      <c r="FS188" s="1190"/>
      <c r="FT188" s="64"/>
      <c r="FU188" s="2879"/>
      <c r="FV188" s="2880"/>
      <c r="FW188" s="2881"/>
    </row>
    <row r="189" spans="1:179">
      <c r="A189" s="1023"/>
      <c r="B189" s="1023"/>
      <c r="C189" s="1023"/>
      <c r="T189" s="1186"/>
      <c r="U189" s="233"/>
      <c r="V189" s="216"/>
      <c r="W189" s="218"/>
      <c r="X189" s="218"/>
      <c r="Y189" s="216"/>
      <c r="Z189" s="216"/>
      <c r="AA189" s="1024"/>
      <c r="AB189" s="252"/>
      <c r="AC189" s="252"/>
      <c r="AD189" s="253"/>
      <c r="AE189" s="252"/>
      <c r="AF189" s="252"/>
      <c r="AG189" s="252"/>
      <c r="AH189" s="252"/>
      <c r="AI189" s="252"/>
      <c r="AJ189" s="252"/>
      <c r="AK189" s="253"/>
      <c r="AL189" s="252"/>
      <c r="AM189" s="252"/>
      <c r="AN189" s="252"/>
      <c r="AO189" s="252"/>
      <c r="AP189" s="1192"/>
      <c r="AQ189" s="252"/>
      <c r="AR189" s="252"/>
      <c r="AS189" s="252"/>
      <c r="AT189" s="252"/>
      <c r="AU189" s="252"/>
      <c r="AV189" s="1025"/>
      <c r="AW189" s="359"/>
      <c r="AX189" s="217"/>
      <c r="AY189" s="305"/>
      <c r="AZ189" s="249"/>
      <c r="BA189" s="221"/>
      <c r="BB189" s="300"/>
      <c r="BC189" s="217"/>
      <c r="BD189" s="219"/>
      <c r="BE189" s="1263"/>
      <c r="BF189" s="249"/>
      <c r="BG189" s="252"/>
      <c r="BH189" s="1543"/>
      <c r="BI189" s="1544"/>
      <c r="BJ189" s="1543"/>
      <c r="BK189" s="1545"/>
      <c r="BL189" s="260"/>
      <c r="BM189" s="217"/>
      <c r="BN189" s="220"/>
      <c r="BO189" s="220"/>
      <c r="BP189" s="355"/>
      <c r="BQ189" s="217"/>
      <c r="BR189" s="1026"/>
      <c r="BS189" s="249"/>
      <c r="BT189" s="260"/>
      <c r="BU189" s="1026"/>
      <c r="BV189" s="249"/>
      <c r="BW189" s="260"/>
      <c r="BX189" s="1026"/>
      <c r="BY189" s="249"/>
      <c r="BZ189" s="260"/>
      <c r="CA189" s="1026"/>
      <c r="CB189" s="249"/>
      <c r="CC189" s="260"/>
      <c r="CD189" s="1026"/>
      <c r="CE189" s="1269"/>
      <c r="CF189" s="1270"/>
      <c r="CG189" s="1026"/>
      <c r="CH189" s="293"/>
      <c r="CI189" s="326"/>
      <c r="CJ189" s="1027"/>
      <c r="CK189" s="249"/>
      <c r="CL189" s="260"/>
      <c r="CM189" s="1028"/>
      <c r="CN189" s="249"/>
      <c r="CO189" s="216"/>
      <c r="CP189" s="1029"/>
      <c r="CQ189" s="249"/>
      <c r="CR189" s="216"/>
      <c r="CS189" s="1029"/>
      <c r="CT189" s="249"/>
      <c r="CU189" s="216"/>
      <c r="CV189" s="1027"/>
      <c r="CW189" s="394"/>
      <c r="CX189" s="347"/>
      <c r="CY189" s="1027"/>
      <c r="CZ189" s="249"/>
      <c r="DA189" s="216"/>
      <c r="DB189" s="1027" t="str">
        <f t="shared" si="25"/>
        <v/>
      </c>
      <c r="DC189" s="249"/>
      <c r="DD189" s="2519" t="str">
        <f t="shared" si="24"/>
        <v/>
      </c>
      <c r="DE189" s="1027"/>
      <c r="DF189" s="1556"/>
      <c r="DG189" s="1557"/>
      <c r="DH189" s="1027"/>
      <c r="DI189" s="1556"/>
      <c r="DJ189" s="1558"/>
      <c r="DK189" s="1027"/>
      <c r="DL189" s="249"/>
      <c r="DM189" s="216"/>
      <c r="DN189" s="313"/>
      <c r="DO189" s="249"/>
      <c r="DP189" s="216"/>
      <c r="DQ189" s="313"/>
      <c r="DR189" s="249"/>
      <c r="DS189" s="221"/>
      <c r="DT189" s="313"/>
      <c r="DU189" s="249"/>
      <c r="DV189" s="221"/>
      <c r="DW189" s="305"/>
      <c r="DX189" s="249"/>
      <c r="DY189" s="260"/>
      <c r="DZ189" s="350"/>
      <c r="EA189" s="249"/>
      <c r="EB189" s="221"/>
      <c r="EC189" s="313"/>
      <c r="ED189" s="249"/>
      <c r="EE189" s="221"/>
      <c r="EF189" s="313"/>
      <c r="EG189" s="249"/>
      <c r="EH189" s="221"/>
      <c r="EI189" s="313"/>
      <c r="EJ189" s="249"/>
      <c r="EK189" s="216"/>
      <c r="EL189" s="1435"/>
      <c r="EM189" s="1619"/>
      <c r="EN189" s="1268"/>
      <c r="EO189" s="1563"/>
      <c r="EP189" s="1268"/>
      <c r="EQ189" s="1563"/>
      <c r="ER189" s="1268"/>
      <c r="ES189" s="1563"/>
      <c r="ET189" s="1268"/>
      <c r="EU189" s="1682"/>
      <c r="EV189" s="1683"/>
      <c r="EW189" s="1684"/>
      <c r="EX189" s="1685"/>
      <c r="EY189" s="1030"/>
      <c r="EZ189" s="349"/>
      <c r="FA189" s="395"/>
      <c r="FB189" s="223"/>
      <c r="FC189" s="1030"/>
      <c r="FD189" s="349"/>
      <c r="FE189" s="1031"/>
      <c r="FF189" s="358"/>
      <c r="FG189" s="256"/>
      <c r="FH189" s="256"/>
      <c r="FI189" s="256"/>
      <c r="FJ189" s="256"/>
      <c r="FK189" s="19"/>
      <c r="FL189" s="126"/>
      <c r="FM189" s="126"/>
      <c r="FN189" s="126"/>
      <c r="FO189" s="957"/>
      <c r="FQ189" s="358"/>
      <c r="FR189" s="1190"/>
      <c r="FS189" s="1190"/>
      <c r="FT189" s="64"/>
      <c r="FU189" s="2879"/>
      <c r="FV189" s="2880"/>
      <c r="FW189" s="2881"/>
    </row>
    <row r="190" spans="1:179">
      <c r="A190" s="1023"/>
      <c r="B190" s="1023"/>
      <c r="C190" s="1023"/>
      <c r="T190" s="1186"/>
      <c r="U190" s="233"/>
      <c r="V190" s="216"/>
      <c r="W190" s="218"/>
      <c r="X190" s="218"/>
      <c r="Y190" s="216"/>
      <c r="Z190" s="216"/>
      <c r="AA190" s="1024"/>
      <c r="AB190" s="252"/>
      <c r="AC190" s="252"/>
      <c r="AD190" s="253"/>
      <c r="AE190" s="252"/>
      <c r="AF190" s="252"/>
      <c r="AG190" s="252"/>
      <c r="AH190" s="252"/>
      <c r="AI190" s="252"/>
      <c r="AJ190" s="252"/>
      <c r="AK190" s="253"/>
      <c r="AL190" s="252"/>
      <c r="AM190" s="252"/>
      <c r="AN190" s="252"/>
      <c r="AO190" s="252"/>
      <c r="AP190" s="1192"/>
      <c r="AQ190" s="252"/>
      <c r="AR190" s="252"/>
      <c r="AS190" s="252"/>
      <c r="AT190" s="252"/>
      <c r="AU190" s="252"/>
      <c r="AV190" s="1025"/>
      <c r="AW190" s="359"/>
      <c r="AX190" s="217"/>
      <c r="AY190" s="305"/>
      <c r="AZ190" s="249"/>
      <c r="BA190" s="221"/>
      <c r="BB190" s="300"/>
      <c r="BC190" s="217"/>
      <c r="BD190" s="219"/>
      <c r="BE190" s="1263"/>
      <c r="BF190" s="249"/>
      <c r="BG190" s="252"/>
      <c r="BH190" s="1543"/>
      <c r="BI190" s="1544"/>
      <c r="BJ190" s="1543"/>
      <c r="BK190" s="1545"/>
      <c r="BL190" s="260"/>
      <c r="BM190" s="217"/>
      <c r="BN190" s="220"/>
      <c r="BO190" s="220"/>
      <c r="BP190" s="355"/>
      <c r="BQ190" s="217"/>
      <c r="BR190" s="1026"/>
      <c r="BS190" s="249"/>
      <c r="BT190" s="260"/>
      <c r="BU190" s="1026"/>
      <c r="BV190" s="249"/>
      <c r="BW190" s="260"/>
      <c r="BX190" s="1026"/>
      <c r="BY190" s="249"/>
      <c r="BZ190" s="260"/>
      <c r="CA190" s="1026"/>
      <c r="CB190" s="249"/>
      <c r="CC190" s="260"/>
      <c r="CD190" s="1026"/>
      <c r="CE190" s="1269"/>
      <c r="CF190" s="1270"/>
      <c r="CG190" s="1026"/>
      <c r="CH190" s="293"/>
      <c r="CI190" s="326"/>
      <c r="CJ190" s="1027"/>
      <c r="CK190" s="249"/>
      <c r="CL190" s="260"/>
      <c r="CM190" s="1028"/>
      <c r="CN190" s="249"/>
      <c r="CO190" s="216"/>
      <c r="CP190" s="1029"/>
      <c r="CQ190" s="249"/>
      <c r="CR190" s="216"/>
      <c r="CS190" s="1029"/>
      <c r="CT190" s="249"/>
      <c r="CU190" s="216"/>
      <c r="CV190" s="1027"/>
      <c r="CW190" s="394"/>
      <c r="CX190" s="347"/>
      <c r="CY190" s="1027"/>
      <c r="CZ190" s="249"/>
      <c r="DA190" s="216"/>
      <c r="DB190" s="1027" t="str">
        <f t="shared" si="25"/>
        <v/>
      </c>
      <c r="DC190" s="249"/>
      <c r="DD190" s="2519" t="str">
        <f t="shared" si="24"/>
        <v/>
      </c>
      <c r="DE190" s="1027"/>
      <c r="DF190" s="1556"/>
      <c r="DG190" s="1557"/>
      <c r="DH190" s="1027"/>
      <c r="DI190" s="1556"/>
      <c r="DJ190" s="1558"/>
      <c r="DK190" s="1027"/>
      <c r="DL190" s="249"/>
      <c r="DM190" s="216"/>
      <c r="DN190" s="313"/>
      <c r="DO190" s="249"/>
      <c r="DP190" s="216"/>
      <c r="DQ190" s="313"/>
      <c r="DR190" s="249"/>
      <c r="DS190" s="221"/>
      <c r="DT190" s="313"/>
      <c r="DU190" s="249"/>
      <c r="DV190" s="221"/>
      <c r="DW190" s="305"/>
      <c r="DX190" s="249"/>
      <c r="DY190" s="260"/>
      <c r="DZ190" s="350"/>
      <c r="EA190" s="249"/>
      <c r="EB190" s="221"/>
      <c r="EC190" s="313"/>
      <c r="ED190" s="249"/>
      <c r="EE190" s="221"/>
      <c r="EF190" s="313"/>
      <c r="EG190" s="249"/>
      <c r="EH190" s="221"/>
      <c r="EI190" s="313"/>
      <c r="EJ190" s="249"/>
      <c r="EK190" s="216"/>
      <c r="EL190" s="1435"/>
      <c r="EM190" s="1619"/>
      <c r="EN190" s="1268"/>
      <c r="EO190" s="1563"/>
      <c r="EP190" s="1268"/>
      <c r="EQ190" s="1563"/>
      <c r="ER190" s="1268"/>
      <c r="ES190" s="1563"/>
      <c r="ET190" s="1268"/>
      <c r="EU190" s="1682"/>
      <c r="EV190" s="1683"/>
      <c r="EW190" s="1684"/>
      <c r="EX190" s="1685"/>
      <c r="EY190" s="1030"/>
      <c r="EZ190" s="349"/>
      <c r="FA190" s="395"/>
      <c r="FB190" s="223"/>
      <c r="FC190" s="1030"/>
      <c r="FD190" s="349"/>
      <c r="FE190" s="1031"/>
      <c r="FF190" s="358"/>
      <c r="FG190" s="256"/>
      <c r="FH190" s="256"/>
      <c r="FI190" s="256"/>
      <c r="FJ190" s="256"/>
      <c r="FK190" s="19"/>
      <c r="FL190" s="126"/>
      <c r="FM190" s="126"/>
      <c r="FN190" s="126"/>
      <c r="FO190" s="957"/>
      <c r="FQ190" s="358"/>
      <c r="FR190" s="1190"/>
      <c r="FS190" s="1190"/>
      <c r="FT190" s="64"/>
      <c r="FU190" s="2879"/>
      <c r="FV190" s="2880"/>
      <c r="FW190" s="2881"/>
    </row>
    <row r="191" spans="1:179">
      <c r="A191" s="1023"/>
      <c r="B191" s="1023"/>
      <c r="C191" s="1023"/>
      <c r="T191" s="1186"/>
      <c r="U191" s="233"/>
      <c r="V191" s="216"/>
      <c r="W191" s="218"/>
      <c r="X191" s="218"/>
      <c r="Y191" s="216"/>
      <c r="Z191" s="216"/>
      <c r="AA191" s="1024"/>
      <c r="AB191" s="252"/>
      <c r="AC191" s="252"/>
      <c r="AD191" s="253"/>
      <c r="AE191" s="252"/>
      <c r="AF191" s="252"/>
      <c r="AG191" s="252"/>
      <c r="AH191" s="252"/>
      <c r="AI191" s="252"/>
      <c r="AJ191" s="252"/>
      <c r="AK191" s="253"/>
      <c r="AL191" s="252"/>
      <c r="AM191" s="252"/>
      <c r="AN191" s="252"/>
      <c r="AO191" s="252"/>
      <c r="AP191" s="1192"/>
      <c r="AQ191" s="252"/>
      <c r="AR191" s="252"/>
      <c r="AS191" s="252"/>
      <c r="AT191" s="252"/>
      <c r="AU191" s="252"/>
      <c r="AV191" s="1025"/>
      <c r="AW191" s="359"/>
      <c r="AX191" s="217"/>
      <c r="AY191" s="305"/>
      <c r="AZ191" s="249"/>
      <c r="BA191" s="221"/>
      <c r="BB191" s="300"/>
      <c r="BC191" s="217"/>
      <c r="BD191" s="219"/>
      <c r="BE191" s="1263"/>
      <c r="BF191" s="249"/>
      <c r="BG191" s="252"/>
      <c r="BH191" s="1543"/>
      <c r="BI191" s="1544"/>
      <c r="BJ191" s="1543"/>
      <c r="BK191" s="1545"/>
      <c r="BL191" s="260"/>
      <c r="BM191" s="217"/>
      <c r="BN191" s="220"/>
      <c r="BO191" s="220"/>
      <c r="BP191" s="355"/>
      <c r="BQ191" s="217"/>
      <c r="BR191" s="1026"/>
      <c r="BS191" s="249"/>
      <c r="BT191" s="260"/>
      <c r="BU191" s="1026"/>
      <c r="BV191" s="249"/>
      <c r="BW191" s="260"/>
      <c r="BX191" s="1026"/>
      <c r="BY191" s="249"/>
      <c r="BZ191" s="260"/>
      <c r="CA191" s="1026"/>
      <c r="CB191" s="249"/>
      <c r="CC191" s="260"/>
      <c r="CD191" s="1026"/>
      <c r="CE191" s="1269"/>
      <c r="CF191" s="1270"/>
      <c r="CG191" s="1026"/>
      <c r="CH191" s="293"/>
      <c r="CI191" s="326"/>
      <c r="CJ191" s="1027"/>
      <c r="CK191" s="249"/>
      <c r="CL191" s="260"/>
      <c r="CM191" s="1028"/>
      <c r="CN191" s="249"/>
      <c r="CO191" s="216"/>
      <c r="CP191" s="1029"/>
      <c r="CQ191" s="249"/>
      <c r="CR191" s="216"/>
      <c r="CS191" s="1029"/>
      <c r="CT191" s="249"/>
      <c r="CU191" s="216"/>
      <c r="CV191" s="1027"/>
      <c r="CW191" s="394"/>
      <c r="CX191" s="347"/>
      <c r="CY191" s="1027"/>
      <c r="CZ191" s="249"/>
      <c r="DA191" s="216"/>
      <c r="DB191" s="1027" t="str">
        <f t="shared" si="25"/>
        <v/>
      </c>
      <c r="DC191" s="249"/>
      <c r="DD191" s="2519" t="str">
        <f t="shared" si="24"/>
        <v/>
      </c>
      <c r="DE191" s="1027"/>
      <c r="DF191" s="1556"/>
      <c r="DG191" s="1557"/>
      <c r="DH191" s="1027"/>
      <c r="DI191" s="1556"/>
      <c r="DJ191" s="1558"/>
      <c r="DK191" s="1027"/>
      <c r="DL191" s="249"/>
      <c r="DM191" s="216"/>
      <c r="DN191" s="313"/>
      <c r="DO191" s="249"/>
      <c r="DP191" s="216"/>
      <c r="DQ191" s="313"/>
      <c r="DR191" s="249"/>
      <c r="DS191" s="221"/>
      <c r="DT191" s="313"/>
      <c r="DU191" s="249"/>
      <c r="DV191" s="221"/>
      <c r="DW191" s="305"/>
      <c r="DX191" s="249"/>
      <c r="DY191" s="260"/>
      <c r="DZ191" s="350"/>
      <c r="EA191" s="249"/>
      <c r="EB191" s="221"/>
      <c r="EC191" s="313"/>
      <c r="ED191" s="249"/>
      <c r="EE191" s="221"/>
      <c r="EF191" s="313"/>
      <c r="EG191" s="249"/>
      <c r="EH191" s="221"/>
      <c r="EI191" s="313"/>
      <c r="EJ191" s="249"/>
      <c r="EK191" s="216"/>
      <c r="EL191" s="1435"/>
      <c r="EM191" s="1619"/>
      <c r="EN191" s="1268"/>
      <c r="EO191" s="1563"/>
      <c r="EP191" s="1268"/>
      <c r="EQ191" s="1563"/>
      <c r="ER191" s="1268"/>
      <c r="ES191" s="1563"/>
      <c r="ET191" s="1268"/>
      <c r="EU191" s="1682"/>
      <c r="EV191" s="1683"/>
      <c r="EW191" s="1684"/>
      <c r="EX191" s="1685"/>
      <c r="EY191" s="1030"/>
      <c r="EZ191" s="349"/>
      <c r="FA191" s="395"/>
      <c r="FB191" s="223"/>
      <c r="FC191" s="1030"/>
      <c r="FD191" s="349"/>
      <c r="FE191" s="1031"/>
      <c r="FF191" s="358"/>
      <c r="FG191" s="256"/>
      <c r="FH191" s="256"/>
      <c r="FI191" s="256"/>
      <c r="FJ191" s="256"/>
      <c r="FK191" s="19"/>
      <c r="FL191" s="126"/>
      <c r="FM191" s="126"/>
      <c r="FN191" s="126"/>
      <c r="FO191" s="957"/>
      <c r="FQ191" s="358"/>
      <c r="FR191" s="1190"/>
      <c r="FS191" s="1190"/>
      <c r="FT191" s="64"/>
      <c r="FU191" s="2879"/>
      <c r="FV191" s="2880"/>
      <c r="FW191" s="2881"/>
    </row>
    <row r="192" spans="1:179">
      <c r="A192" s="1023"/>
      <c r="B192" s="1023"/>
      <c r="C192" s="1023"/>
      <c r="T192" s="1186"/>
      <c r="U192" s="233"/>
      <c r="V192" s="216"/>
      <c r="W192" s="218"/>
      <c r="X192" s="218"/>
      <c r="Y192" s="216"/>
      <c r="Z192" s="216"/>
      <c r="AA192" s="1024"/>
      <c r="AB192" s="252"/>
      <c r="AC192" s="252"/>
      <c r="AD192" s="253"/>
      <c r="AE192" s="252"/>
      <c r="AF192" s="252"/>
      <c r="AG192" s="252"/>
      <c r="AH192" s="252"/>
      <c r="AI192" s="252"/>
      <c r="AJ192" s="252"/>
      <c r="AK192" s="253"/>
      <c r="AL192" s="252"/>
      <c r="AM192" s="252"/>
      <c r="AN192" s="252"/>
      <c r="AO192" s="252"/>
      <c r="AP192" s="1192"/>
      <c r="AQ192" s="252"/>
      <c r="AR192" s="252"/>
      <c r="AS192" s="252"/>
      <c r="AT192" s="252"/>
      <c r="AU192" s="252"/>
      <c r="AV192" s="1025"/>
      <c r="AW192" s="359"/>
      <c r="AX192" s="217"/>
      <c r="AY192" s="305"/>
      <c r="AZ192" s="249"/>
      <c r="BA192" s="221"/>
      <c r="BB192" s="300"/>
      <c r="BC192" s="217"/>
      <c r="BD192" s="219"/>
      <c r="BE192" s="1263"/>
      <c r="BF192" s="249"/>
      <c r="BG192" s="252"/>
      <c r="BH192" s="1543"/>
      <c r="BI192" s="1544"/>
      <c r="BJ192" s="1543"/>
      <c r="BK192" s="1545"/>
      <c r="BL192" s="260"/>
      <c r="BM192" s="217"/>
      <c r="BN192" s="220"/>
      <c r="BO192" s="220"/>
      <c r="BP192" s="355"/>
      <c r="BQ192" s="217"/>
      <c r="BR192" s="1026"/>
      <c r="BS192" s="249"/>
      <c r="BT192" s="260"/>
      <c r="BU192" s="1026"/>
      <c r="BV192" s="249"/>
      <c r="BW192" s="260"/>
      <c r="BX192" s="1026"/>
      <c r="BY192" s="249"/>
      <c r="BZ192" s="260"/>
      <c r="CA192" s="1026"/>
      <c r="CB192" s="249"/>
      <c r="CC192" s="260"/>
      <c r="CD192" s="1026"/>
      <c r="CE192" s="1269"/>
      <c r="CF192" s="1270"/>
      <c r="CG192" s="1026"/>
      <c r="CH192" s="293"/>
      <c r="CI192" s="326"/>
      <c r="CJ192" s="1027"/>
      <c r="CK192" s="249"/>
      <c r="CL192" s="260"/>
      <c r="CM192" s="1028"/>
      <c r="CN192" s="249"/>
      <c r="CO192" s="216"/>
      <c r="CP192" s="1029"/>
      <c r="CQ192" s="249"/>
      <c r="CR192" s="216"/>
      <c r="CS192" s="1029"/>
      <c r="CT192" s="249"/>
      <c r="CU192" s="216"/>
      <c r="CV192" s="1027"/>
      <c r="CW192" s="394"/>
      <c r="CX192" s="347"/>
      <c r="CY192" s="1027"/>
      <c r="CZ192" s="249"/>
      <c r="DA192" s="216"/>
      <c r="DB192" s="1027" t="str">
        <f t="shared" si="25"/>
        <v/>
      </c>
      <c r="DC192" s="249"/>
      <c r="DD192" s="2519" t="str">
        <f t="shared" si="24"/>
        <v/>
      </c>
      <c r="DE192" s="1027"/>
      <c r="DF192" s="1556"/>
      <c r="DG192" s="1557"/>
      <c r="DH192" s="1027"/>
      <c r="DI192" s="1556"/>
      <c r="DJ192" s="1558"/>
      <c r="DK192" s="1027"/>
      <c r="DL192" s="249"/>
      <c r="DM192" s="216"/>
      <c r="DN192" s="313"/>
      <c r="DO192" s="249"/>
      <c r="DP192" s="216"/>
      <c r="DQ192" s="313"/>
      <c r="DR192" s="249"/>
      <c r="DS192" s="221"/>
      <c r="DT192" s="313"/>
      <c r="DU192" s="249"/>
      <c r="DV192" s="221"/>
      <c r="DW192" s="305"/>
      <c r="DX192" s="249"/>
      <c r="DY192" s="260"/>
      <c r="DZ192" s="350"/>
      <c r="EA192" s="249"/>
      <c r="EB192" s="221"/>
      <c r="EC192" s="313"/>
      <c r="ED192" s="249"/>
      <c r="EE192" s="221"/>
      <c r="EF192" s="313"/>
      <c r="EG192" s="249"/>
      <c r="EH192" s="221"/>
      <c r="EI192" s="313"/>
      <c r="EJ192" s="249"/>
      <c r="EK192" s="216"/>
      <c r="EL192" s="1435"/>
      <c r="EM192" s="1619"/>
      <c r="EN192" s="1268"/>
      <c r="EO192" s="1563"/>
      <c r="EP192" s="1268"/>
      <c r="EQ192" s="1563"/>
      <c r="ER192" s="1268"/>
      <c r="ES192" s="1563"/>
      <c r="ET192" s="1268"/>
      <c r="EU192" s="1682"/>
      <c r="EV192" s="1683"/>
      <c r="EW192" s="1684"/>
      <c r="EX192" s="1685"/>
      <c r="EY192" s="1030"/>
      <c r="EZ192" s="349"/>
      <c r="FA192" s="395"/>
      <c r="FB192" s="223"/>
      <c r="FC192" s="1030"/>
      <c r="FD192" s="349"/>
      <c r="FE192" s="1031"/>
      <c r="FF192" s="358"/>
      <c r="FG192" s="256"/>
      <c r="FH192" s="256"/>
      <c r="FI192" s="256"/>
      <c r="FJ192" s="256"/>
      <c r="FK192" s="19"/>
      <c r="FL192" s="126"/>
      <c r="FM192" s="126"/>
      <c r="FN192" s="126"/>
      <c r="FO192" s="957"/>
      <c r="FQ192" s="358"/>
      <c r="FR192" s="1190"/>
      <c r="FS192" s="1190"/>
      <c r="FT192" s="64"/>
      <c r="FU192" s="2879"/>
      <c r="FV192" s="2880"/>
      <c r="FW192" s="2881"/>
    </row>
    <row r="193" spans="1:179">
      <c r="A193" s="1023"/>
      <c r="B193" s="1023"/>
      <c r="C193" s="1023"/>
      <c r="T193" s="1186"/>
      <c r="U193" s="233"/>
      <c r="V193" s="216"/>
      <c r="W193" s="218"/>
      <c r="X193" s="218"/>
      <c r="Y193" s="216"/>
      <c r="Z193" s="216"/>
      <c r="AA193" s="1024"/>
      <c r="AB193" s="252"/>
      <c r="AC193" s="252"/>
      <c r="AD193" s="253"/>
      <c r="AE193" s="252"/>
      <c r="AF193" s="252"/>
      <c r="AG193" s="252"/>
      <c r="AH193" s="252"/>
      <c r="AI193" s="252"/>
      <c r="AJ193" s="252"/>
      <c r="AK193" s="253"/>
      <c r="AL193" s="252"/>
      <c r="AM193" s="252"/>
      <c r="AN193" s="252"/>
      <c r="AO193" s="252"/>
      <c r="AP193" s="1192"/>
      <c r="AQ193" s="252"/>
      <c r="AR193" s="252"/>
      <c r="AS193" s="252"/>
      <c r="AT193" s="252"/>
      <c r="AU193" s="252"/>
      <c r="AV193" s="1025"/>
      <c r="AW193" s="359"/>
      <c r="AX193" s="217"/>
      <c r="AY193" s="305"/>
      <c r="AZ193" s="249"/>
      <c r="BA193" s="221"/>
      <c r="BB193" s="300"/>
      <c r="BC193" s="217"/>
      <c r="BD193" s="219"/>
      <c r="BE193" s="1263"/>
      <c r="BF193" s="249"/>
      <c r="BG193" s="252"/>
      <c r="BH193" s="1543"/>
      <c r="BI193" s="1544"/>
      <c r="BJ193" s="1543"/>
      <c r="BK193" s="1545"/>
      <c r="BL193" s="260"/>
      <c r="BM193" s="217"/>
      <c r="BN193" s="220"/>
      <c r="BO193" s="220"/>
      <c r="BP193" s="355"/>
      <c r="BQ193" s="217"/>
      <c r="BR193" s="1026"/>
      <c r="BS193" s="249"/>
      <c r="BT193" s="260"/>
      <c r="BU193" s="1026"/>
      <c r="BV193" s="249"/>
      <c r="BW193" s="260"/>
      <c r="BX193" s="1026"/>
      <c r="BY193" s="249"/>
      <c r="BZ193" s="260"/>
      <c r="CA193" s="1026"/>
      <c r="CB193" s="249"/>
      <c r="CC193" s="260"/>
      <c r="CD193" s="1026"/>
      <c r="CE193" s="1269"/>
      <c r="CF193" s="1270"/>
      <c r="CG193" s="1026"/>
      <c r="CH193" s="293"/>
      <c r="CI193" s="326"/>
      <c r="CJ193" s="1027"/>
      <c r="CK193" s="249"/>
      <c r="CL193" s="260"/>
      <c r="CM193" s="1028"/>
      <c r="CN193" s="249"/>
      <c r="CO193" s="216"/>
      <c r="CP193" s="1029"/>
      <c r="CQ193" s="249"/>
      <c r="CR193" s="216"/>
      <c r="CS193" s="1029"/>
      <c r="CT193" s="249"/>
      <c r="CU193" s="216"/>
      <c r="CV193" s="1027"/>
      <c r="CW193" s="394"/>
      <c r="CX193" s="347"/>
      <c r="CY193" s="1027"/>
      <c r="CZ193" s="249"/>
      <c r="DA193" s="216"/>
      <c r="DB193" s="1027" t="str">
        <f t="shared" si="25"/>
        <v/>
      </c>
      <c r="DC193" s="249"/>
      <c r="DD193" s="2519" t="str">
        <f t="shared" si="24"/>
        <v/>
      </c>
      <c r="DE193" s="1027"/>
      <c r="DF193" s="1556"/>
      <c r="DG193" s="1557"/>
      <c r="DH193" s="1027"/>
      <c r="DI193" s="1556"/>
      <c r="DJ193" s="1558"/>
      <c r="DK193" s="1027"/>
      <c r="DL193" s="249"/>
      <c r="DM193" s="216"/>
      <c r="DN193" s="313"/>
      <c r="DO193" s="249"/>
      <c r="DP193" s="216"/>
      <c r="DQ193" s="313"/>
      <c r="DR193" s="249"/>
      <c r="DS193" s="221"/>
      <c r="DT193" s="313"/>
      <c r="DU193" s="249"/>
      <c r="DV193" s="221"/>
      <c r="DW193" s="305"/>
      <c r="DX193" s="249"/>
      <c r="DY193" s="260"/>
      <c r="DZ193" s="350"/>
      <c r="EA193" s="249"/>
      <c r="EB193" s="221"/>
      <c r="EC193" s="313"/>
      <c r="ED193" s="249"/>
      <c r="EE193" s="221"/>
      <c r="EF193" s="313"/>
      <c r="EG193" s="249"/>
      <c r="EH193" s="221"/>
      <c r="EI193" s="313"/>
      <c r="EJ193" s="249"/>
      <c r="EK193" s="216"/>
      <c r="EL193" s="1435"/>
      <c r="EM193" s="1619"/>
      <c r="EN193" s="1268"/>
      <c r="EO193" s="1563"/>
      <c r="EP193" s="1268"/>
      <c r="EQ193" s="1563"/>
      <c r="ER193" s="1268"/>
      <c r="ES193" s="1563"/>
      <c r="ET193" s="1268"/>
      <c r="EU193" s="1682"/>
      <c r="EV193" s="1683"/>
      <c r="EW193" s="1684"/>
      <c r="EX193" s="1685"/>
      <c r="EY193" s="1030"/>
      <c r="EZ193" s="349"/>
      <c r="FA193" s="395"/>
      <c r="FB193" s="223"/>
      <c r="FC193" s="1030"/>
      <c r="FD193" s="349"/>
      <c r="FE193" s="1031"/>
      <c r="FF193" s="358"/>
      <c r="FG193" s="256"/>
      <c r="FH193" s="256"/>
      <c r="FI193" s="256"/>
      <c r="FJ193" s="256"/>
      <c r="FK193" s="19"/>
      <c r="FL193" s="126"/>
      <c r="FM193" s="126"/>
      <c r="FN193" s="126"/>
      <c r="FO193" s="957"/>
      <c r="FQ193" s="358"/>
      <c r="FR193" s="1190"/>
      <c r="FS193" s="1190"/>
      <c r="FT193" s="64"/>
      <c r="FU193" s="2879"/>
      <c r="FV193" s="2880"/>
      <c r="FW193" s="2881"/>
    </row>
    <row r="194" spans="1:179">
      <c r="A194" s="1023"/>
      <c r="B194" s="1023"/>
      <c r="C194" s="1023"/>
      <c r="T194" s="1186"/>
      <c r="U194" s="233"/>
      <c r="V194" s="216"/>
      <c r="W194" s="218"/>
      <c r="X194" s="218"/>
      <c r="Y194" s="216"/>
      <c r="Z194" s="216"/>
      <c r="AA194" s="1024"/>
      <c r="AB194" s="252"/>
      <c r="AC194" s="252"/>
      <c r="AD194" s="253"/>
      <c r="AE194" s="252"/>
      <c r="AF194" s="252"/>
      <c r="AG194" s="252"/>
      <c r="AH194" s="252"/>
      <c r="AI194" s="252"/>
      <c r="AJ194" s="252"/>
      <c r="AK194" s="253"/>
      <c r="AL194" s="252"/>
      <c r="AM194" s="252"/>
      <c r="AN194" s="252"/>
      <c r="AO194" s="252"/>
      <c r="AP194" s="1192"/>
      <c r="AQ194" s="252"/>
      <c r="AR194" s="252"/>
      <c r="AS194" s="252"/>
      <c r="AT194" s="252"/>
      <c r="AU194" s="252"/>
      <c r="AV194" s="1025"/>
      <c r="AW194" s="359"/>
      <c r="AX194" s="217"/>
      <c r="AY194" s="305"/>
      <c r="AZ194" s="249"/>
      <c r="BA194" s="221"/>
      <c r="BB194" s="300"/>
      <c r="BC194" s="217"/>
      <c r="BD194" s="219"/>
      <c r="BE194" s="1263"/>
      <c r="BF194" s="249"/>
      <c r="BG194" s="252"/>
      <c r="BH194" s="1543"/>
      <c r="BI194" s="1544"/>
      <c r="BJ194" s="1543"/>
      <c r="BK194" s="1545"/>
      <c r="BL194" s="260"/>
      <c r="BM194" s="217"/>
      <c r="BN194" s="220"/>
      <c r="BO194" s="220"/>
      <c r="BP194" s="355"/>
      <c r="BQ194" s="217"/>
      <c r="BR194" s="1026"/>
      <c r="BS194" s="249"/>
      <c r="BT194" s="260"/>
      <c r="BU194" s="1026"/>
      <c r="BV194" s="249"/>
      <c r="BW194" s="260"/>
      <c r="BX194" s="1026"/>
      <c r="BY194" s="249"/>
      <c r="BZ194" s="260"/>
      <c r="CA194" s="1026"/>
      <c r="CB194" s="249"/>
      <c r="CC194" s="260"/>
      <c r="CD194" s="1026"/>
      <c r="CE194" s="1269"/>
      <c r="CF194" s="1270"/>
      <c r="CG194" s="1026"/>
      <c r="CH194" s="293"/>
      <c r="CI194" s="326"/>
      <c r="CJ194" s="1027"/>
      <c r="CK194" s="249"/>
      <c r="CL194" s="260"/>
      <c r="CM194" s="1028"/>
      <c r="CN194" s="249"/>
      <c r="CO194" s="216"/>
      <c r="CP194" s="1029"/>
      <c r="CQ194" s="249"/>
      <c r="CR194" s="216"/>
      <c r="CS194" s="1029"/>
      <c r="CT194" s="249"/>
      <c r="CU194" s="216"/>
      <c r="CV194" s="1027"/>
      <c r="CW194" s="394"/>
      <c r="CX194" s="347"/>
      <c r="CY194" s="1027"/>
      <c r="CZ194" s="249"/>
      <c r="DA194" s="216"/>
      <c r="DB194" s="1027" t="str">
        <f t="shared" si="25"/>
        <v/>
      </c>
      <c r="DC194" s="249"/>
      <c r="DD194" s="2519" t="str">
        <f t="shared" si="24"/>
        <v/>
      </c>
      <c r="DE194" s="1027"/>
      <c r="DF194" s="1556"/>
      <c r="DG194" s="1557"/>
      <c r="DH194" s="1027"/>
      <c r="DI194" s="1556"/>
      <c r="DJ194" s="1558"/>
      <c r="DK194" s="1027"/>
      <c r="DL194" s="249"/>
      <c r="DM194" s="216"/>
      <c r="DN194" s="313"/>
      <c r="DO194" s="249"/>
      <c r="DP194" s="216"/>
      <c r="DQ194" s="313"/>
      <c r="DR194" s="249"/>
      <c r="DS194" s="221"/>
      <c r="DT194" s="313"/>
      <c r="DU194" s="249"/>
      <c r="DV194" s="221"/>
      <c r="DW194" s="305"/>
      <c r="DX194" s="249"/>
      <c r="DY194" s="260"/>
      <c r="DZ194" s="350"/>
      <c r="EA194" s="249"/>
      <c r="EB194" s="221"/>
      <c r="EC194" s="313"/>
      <c r="ED194" s="249"/>
      <c r="EE194" s="221"/>
      <c r="EF194" s="313"/>
      <c r="EG194" s="249"/>
      <c r="EH194" s="221"/>
      <c r="EI194" s="313"/>
      <c r="EJ194" s="249"/>
      <c r="EK194" s="216"/>
      <c r="EL194" s="1435"/>
      <c r="EM194" s="1619"/>
      <c r="EN194" s="1268"/>
      <c r="EO194" s="1563"/>
      <c r="EP194" s="1268"/>
      <c r="EQ194" s="1563"/>
      <c r="ER194" s="1268"/>
      <c r="ES194" s="1563"/>
      <c r="ET194" s="1268"/>
      <c r="EU194" s="1682"/>
      <c r="EV194" s="1683"/>
      <c r="EW194" s="1684"/>
      <c r="EX194" s="1685"/>
      <c r="EY194" s="1030"/>
      <c r="EZ194" s="349"/>
      <c r="FA194" s="395"/>
      <c r="FB194" s="223"/>
      <c r="FC194" s="1030"/>
      <c r="FD194" s="349"/>
      <c r="FE194" s="1031"/>
      <c r="FF194" s="358"/>
      <c r="FG194" s="256"/>
      <c r="FH194" s="256"/>
      <c r="FI194" s="256"/>
      <c r="FJ194" s="256"/>
      <c r="FK194" s="19"/>
      <c r="FL194" s="126"/>
      <c r="FM194" s="126"/>
      <c r="FN194" s="126"/>
      <c r="FO194" s="957"/>
      <c r="FQ194" s="358"/>
      <c r="FR194" s="1190"/>
      <c r="FS194" s="1190"/>
      <c r="FT194" s="64"/>
      <c r="FU194" s="2879"/>
      <c r="FV194" s="2880"/>
      <c r="FW194" s="2881"/>
    </row>
    <row r="195" spans="1:179">
      <c r="A195" s="1023"/>
      <c r="B195" s="1023"/>
      <c r="C195" s="1023"/>
      <c r="T195" s="1186"/>
      <c r="U195" s="233"/>
      <c r="V195" s="216"/>
      <c r="W195" s="218"/>
      <c r="X195" s="218"/>
      <c r="Y195" s="216"/>
      <c r="Z195" s="216"/>
      <c r="AA195" s="1024"/>
      <c r="AB195" s="252"/>
      <c r="AC195" s="252"/>
      <c r="AD195" s="253"/>
      <c r="AE195" s="252"/>
      <c r="AF195" s="252"/>
      <c r="AG195" s="252"/>
      <c r="AH195" s="252"/>
      <c r="AI195" s="252"/>
      <c r="AJ195" s="252"/>
      <c r="AK195" s="253"/>
      <c r="AL195" s="252"/>
      <c r="AM195" s="252"/>
      <c r="AN195" s="252"/>
      <c r="AO195" s="252"/>
      <c r="AP195" s="1192"/>
      <c r="AQ195" s="252"/>
      <c r="AR195" s="252"/>
      <c r="AS195" s="252"/>
      <c r="AT195" s="252"/>
      <c r="AU195" s="252"/>
      <c r="AV195" s="1025"/>
      <c r="AW195" s="359"/>
      <c r="AX195" s="217"/>
      <c r="AY195" s="305"/>
      <c r="AZ195" s="249"/>
      <c r="BA195" s="221"/>
      <c r="BB195" s="300"/>
      <c r="BC195" s="217"/>
      <c r="BD195" s="219"/>
      <c r="BE195" s="1263"/>
      <c r="BF195" s="249"/>
      <c r="BG195" s="252"/>
      <c r="BH195" s="1543"/>
      <c r="BI195" s="1544"/>
      <c r="BJ195" s="1543"/>
      <c r="BK195" s="1545"/>
      <c r="BL195" s="260"/>
      <c r="BM195" s="217"/>
      <c r="BN195" s="220"/>
      <c r="BO195" s="220"/>
      <c r="BP195" s="355"/>
      <c r="BQ195" s="217"/>
      <c r="BR195" s="1026"/>
      <c r="BS195" s="249"/>
      <c r="BT195" s="260"/>
      <c r="BU195" s="1026"/>
      <c r="BV195" s="249"/>
      <c r="BW195" s="260"/>
      <c r="BX195" s="1026"/>
      <c r="BY195" s="249"/>
      <c r="BZ195" s="260"/>
      <c r="CA195" s="1026"/>
      <c r="CB195" s="249"/>
      <c r="CC195" s="260"/>
      <c r="CD195" s="1026"/>
      <c r="CE195" s="1269"/>
      <c r="CF195" s="1270"/>
      <c r="CG195" s="1026"/>
      <c r="CH195" s="293"/>
      <c r="CI195" s="326"/>
      <c r="CJ195" s="1027"/>
      <c r="CK195" s="249"/>
      <c r="CL195" s="260"/>
      <c r="CM195" s="1028"/>
      <c r="CN195" s="249"/>
      <c r="CO195" s="216"/>
      <c r="CP195" s="1029"/>
      <c r="CQ195" s="249"/>
      <c r="CR195" s="216"/>
      <c r="CS195" s="1029"/>
      <c r="CT195" s="249"/>
      <c r="CU195" s="216"/>
      <c r="CV195" s="1027"/>
      <c r="CW195" s="394"/>
      <c r="CX195" s="347"/>
      <c r="CY195" s="1027"/>
      <c r="CZ195" s="249"/>
      <c r="DA195" s="216"/>
      <c r="DB195" s="1027" t="str">
        <f t="shared" si="25"/>
        <v/>
      </c>
      <c r="DC195" s="249"/>
      <c r="DD195" s="2519" t="str">
        <f t="shared" si="24"/>
        <v/>
      </c>
      <c r="DE195" s="1027"/>
      <c r="DF195" s="1556"/>
      <c r="DG195" s="1557"/>
      <c r="DH195" s="1027"/>
      <c r="DI195" s="1556"/>
      <c r="DJ195" s="1558"/>
      <c r="DK195" s="1027"/>
      <c r="DL195" s="249"/>
      <c r="DM195" s="216"/>
      <c r="DN195" s="313"/>
      <c r="DO195" s="249"/>
      <c r="DP195" s="216"/>
      <c r="DQ195" s="313"/>
      <c r="DR195" s="249"/>
      <c r="DS195" s="221"/>
      <c r="DT195" s="313"/>
      <c r="DU195" s="249"/>
      <c r="DV195" s="221"/>
      <c r="DW195" s="305"/>
      <c r="DX195" s="249"/>
      <c r="DY195" s="260"/>
      <c r="DZ195" s="350"/>
      <c r="EA195" s="249"/>
      <c r="EB195" s="221"/>
      <c r="EC195" s="313"/>
      <c r="ED195" s="249"/>
      <c r="EE195" s="221"/>
      <c r="EF195" s="313"/>
      <c r="EG195" s="249"/>
      <c r="EH195" s="221"/>
      <c r="EI195" s="313"/>
      <c r="EJ195" s="249"/>
      <c r="EK195" s="216"/>
      <c r="EL195" s="1435"/>
      <c r="EM195" s="1619"/>
      <c r="EN195" s="1268"/>
      <c r="EO195" s="1563"/>
      <c r="EP195" s="1268"/>
      <c r="EQ195" s="1563"/>
      <c r="ER195" s="1268"/>
      <c r="ES195" s="1563"/>
      <c r="ET195" s="1268"/>
      <c r="EU195" s="1682"/>
      <c r="EV195" s="1683"/>
      <c r="EW195" s="1684"/>
      <c r="EX195" s="1685"/>
      <c r="EY195" s="1030"/>
      <c r="EZ195" s="349"/>
      <c r="FA195" s="395"/>
      <c r="FB195" s="223"/>
      <c r="FC195" s="1030"/>
      <c r="FD195" s="349"/>
      <c r="FE195" s="1031"/>
      <c r="FF195" s="358"/>
      <c r="FG195" s="256"/>
      <c r="FH195" s="256"/>
      <c r="FI195" s="256"/>
      <c r="FJ195" s="256"/>
      <c r="FK195" s="19"/>
      <c r="FL195" s="126"/>
      <c r="FM195" s="126"/>
      <c r="FN195" s="126"/>
      <c r="FO195" s="957"/>
      <c r="FQ195" s="358"/>
      <c r="FR195" s="1190"/>
      <c r="FS195" s="1190"/>
      <c r="FT195" s="64"/>
      <c r="FU195" s="2879"/>
      <c r="FV195" s="2880"/>
      <c r="FW195" s="2881"/>
    </row>
    <row r="196" spans="1:179">
      <c r="A196" s="1023"/>
      <c r="B196" s="1023"/>
      <c r="C196" s="1023"/>
      <c r="T196" s="1186"/>
      <c r="U196" s="233"/>
      <c r="V196" s="216"/>
      <c r="W196" s="218"/>
      <c r="X196" s="218"/>
      <c r="Y196" s="216"/>
      <c r="Z196" s="216"/>
      <c r="AA196" s="1024"/>
      <c r="AB196" s="252"/>
      <c r="AC196" s="252"/>
      <c r="AD196" s="253"/>
      <c r="AE196" s="252"/>
      <c r="AF196" s="252"/>
      <c r="AG196" s="252"/>
      <c r="AH196" s="252"/>
      <c r="AI196" s="252"/>
      <c r="AJ196" s="252"/>
      <c r="AK196" s="253"/>
      <c r="AL196" s="252"/>
      <c r="AM196" s="252"/>
      <c r="AN196" s="252"/>
      <c r="AO196" s="252"/>
      <c r="AP196" s="1192"/>
      <c r="AQ196" s="252"/>
      <c r="AR196" s="252"/>
      <c r="AS196" s="252"/>
      <c r="AT196" s="252"/>
      <c r="AU196" s="252"/>
      <c r="AV196" s="1025"/>
      <c r="AW196" s="359"/>
      <c r="AX196" s="217"/>
      <c r="AY196" s="305"/>
      <c r="AZ196" s="249"/>
      <c r="BA196" s="221"/>
      <c r="BB196" s="300"/>
      <c r="BC196" s="217"/>
      <c r="BD196" s="219"/>
      <c r="BE196" s="1263"/>
      <c r="BF196" s="249"/>
      <c r="BG196" s="252"/>
      <c r="BH196" s="1543"/>
      <c r="BI196" s="1544"/>
      <c r="BJ196" s="1543"/>
      <c r="BK196" s="1545"/>
      <c r="BL196" s="260"/>
      <c r="BM196" s="217"/>
      <c r="BN196" s="220"/>
      <c r="BO196" s="220"/>
      <c r="BP196" s="355"/>
      <c r="BQ196" s="217"/>
      <c r="BR196" s="1026"/>
      <c r="BS196" s="249"/>
      <c r="BT196" s="260"/>
      <c r="BU196" s="1026"/>
      <c r="BV196" s="249"/>
      <c r="BW196" s="260"/>
      <c r="BX196" s="1026"/>
      <c r="BY196" s="249"/>
      <c r="BZ196" s="260"/>
      <c r="CA196" s="1026"/>
      <c r="CB196" s="249"/>
      <c r="CC196" s="260"/>
      <c r="CD196" s="1026"/>
      <c r="CE196" s="1269"/>
      <c r="CF196" s="1270"/>
      <c r="CG196" s="1026"/>
      <c r="CH196" s="293"/>
      <c r="CI196" s="326"/>
      <c r="CJ196" s="1027"/>
      <c r="CK196" s="249"/>
      <c r="CL196" s="260"/>
      <c r="CM196" s="1028"/>
      <c r="CN196" s="249"/>
      <c r="CO196" s="216"/>
      <c r="CP196" s="1029"/>
      <c r="CQ196" s="249"/>
      <c r="CR196" s="216"/>
      <c r="CS196" s="1029"/>
      <c r="CT196" s="249"/>
      <c r="CU196" s="216"/>
      <c r="CV196" s="1027"/>
      <c r="CW196" s="394"/>
      <c r="CX196" s="347"/>
      <c r="CY196" s="1027"/>
      <c r="CZ196" s="249"/>
      <c r="DA196" s="216"/>
      <c r="DB196" s="1027" t="str">
        <f t="shared" si="25"/>
        <v/>
      </c>
      <c r="DC196" s="249"/>
      <c r="DD196" s="2519" t="str">
        <f t="shared" si="24"/>
        <v/>
      </c>
      <c r="DE196" s="1027"/>
      <c r="DF196" s="1556"/>
      <c r="DG196" s="1557"/>
      <c r="DH196" s="1027"/>
      <c r="DI196" s="1556"/>
      <c r="DJ196" s="1558"/>
      <c r="DK196" s="1027"/>
      <c r="DL196" s="249"/>
      <c r="DM196" s="216"/>
      <c r="DN196" s="313"/>
      <c r="DO196" s="249"/>
      <c r="DP196" s="216"/>
      <c r="DQ196" s="313"/>
      <c r="DR196" s="249"/>
      <c r="DS196" s="221"/>
      <c r="DT196" s="313"/>
      <c r="DU196" s="249"/>
      <c r="DV196" s="221"/>
      <c r="DW196" s="305"/>
      <c r="DX196" s="249"/>
      <c r="DY196" s="260"/>
      <c r="DZ196" s="350"/>
      <c r="EA196" s="249"/>
      <c r="EB196" s="221"/>
      <c r="EC196" s="313"/>
      <c r="ED196" s="249"/>
      <c r="EE196" s="221"/>
      <c r="EF196" s="313"/>
      <c r="EG196" s="249"/>
      <c r="EH196" s="221"/>
      <c r="EI196" s="313"/>
      <c r="EJ196" s="249"/>
      <c r="EK196" s="216"/>
      <c r="EL196" s="1435"/>
      <c r="EM196" s="1619"/>
      <c r="EN196" s="1268"/>
      <c r="EO196" s="1563"/>
      <c r="EP196" s="1268"/>
      <c r="EQ196" s="1563"/>
      <c r="ER196" s="1268"/>
      <c r="ES196" s="1563"/>
      <c r="ET196" s="1268"/>
      <c r="EU196" s="1682"/>
      <c r="EV196" s="1683"/>
      <c r="EW196" s="1684"/>
      <c r="EX196" s="1685"/>
      <c r="EY196" s="1030"/>
      <c r="EZ196" s="349"/>
      <c r="FA196" s="395"/>
      <c r="FB196" s="223"/>
      <c r="FC196" s="1030"/>
      <c r="FD196" s="349"/>
      <c r="FE196" s="1031"/>
      <c r="FF196" s="358"/>
      <c r="FG196" s="256"/>
      <c r="FH196" s="256"/>
      <c r="FI196" s="256"/>
      <c r="FJ196" s="256"/>
      <c r="FK196" s="19"/>
      <c r="FL196" s="126"/>
      <c r="FM196" s="126"/>
      <c r="FN196" s="126"/>
      <c r="FO196" s="957"/>
      <c r="FQ196" s="358"/>
      <c r="FR196" s="1190"/>
      <c r="FS196" s="1190"/>
      <c r="FT196" s="64"/>
      <c r="FU196" s="2879"/>
      <c r="FV196" s="2880"/>
      <c r="FW196" s="2881"/>
    </row>
    <row r="197" spans="1:179">
      <c r="A197" s="1023"/>
      <c r="B197" s="1023"/>
      <c r="C197" s="1023"/>
      <c r="T197" s="1186"/>
      <c r="U197" s="233"/>
      <c r="V197" s="216"/>
      <c r="W197" s="218"/>
      <c r="X197" s="218"/>
      <c r="Y197" s="216"/>
      <c r="Z197" s="216"/>
      <c r="AA197" s="1024"/>
      <c r="AB197" s="252"/>
      <c r="AC197" s="252"/>
      <c r="AD197" s="253"/>
      <c r="AE197" s="252"/>
      <c r="AF197" s="252"/>
      <c r="AG197" s="252"/>
      <c r="AH197" s="252"/>
      <c r="AI197" s="252"/>
      <c r="AJ197" s="252"/>
      <c r="AK197" s="253"/>
      <c r="AL197" s="252"/>
      <c r="AM197" s="252"/>
      <c r="AN197" s="252"/>
      <c r="AO197" s="252"/>
      <c r="AP197" s="1192"/>
      <c r="AQ197" s="252"/>
      <c r="AR197" s="252"/>
      <c r="AS197" s="252"/>
      <c r="AT197" s="252"/>
      <c r="AU197" s="252"/>
      <c r="AV197" s="1025"/>
      <c r="AW197" s="359"/>
      <c r="AX197" s="217"/>
      <c r="AY197" s="305"/>
      <c r="AZ197" s="249"/>
      <c r="BA197" s="221"/>
      <c r="BB197" s="300"/>
      <c r="BC197" s="217"/>
      <c r="BD197" s="219"/>
      <c r="BE197" s="1263"/>
      <c r="BF197" s="249"/>
      <c r="BG197" s="252"/>
      <c r="BH197" s="1543"/>
      <c r="BI197" s="1544"/>
      <c r="BJ197" s="1543"/>
      <c r="BK197" s="1545"/>
      <c r="BL197" s="260"/>
      <c r="BM197" s="217"/>
      <c r="BN197" s="220"/>
      <c r="BO197" s="220"/>
      <c r="BP197" s="355"/>
      <c r="BQ197" s="217"/>
      <c r="BR197" s="1026"/>
      <c r="BS197" s="249"/>
      <c r="BT197" s="260"/>
      <c r="BU197" s="1026"/>
      <c r="BV197" s="249"/>
      <c r="BW197" s="260"/>
      <c r="BX197" s="1026"/>
      <c r="BY197" s="249"/>
      <c r="BZ197" s="260"/>
      <c r="CA197" s="1026"/>
      <c r="CB197" s="249"/>
      <c r="CC197" s="260"/>
      <c r="CD197" s="1026"/>
      <c r="CE197" s="1269"/>
      <c r="CF197" s="1270"/>
      <c r="CG197" s="1026"/>
      <c r="CH197" s="293"/>
      <c r="CI197" s="326"/>
      <c r="CJ197" s="1027"/>
      <c r="CK197" s="249"/>
      <c r="CL197" s="260"/>
      <c r="CM197" s="1028"/>
      <c r="CN197" s="249"/>
      <c r="CO197" s="216"/>
      <c r="CP197" s="1029"/>
      <c r="CQ197" s="249"/>
      <c r="CR197" s="216"/>
      <c r="CS197" s="1029"/>
      <c r="CT197" s="249"/>
      <c r="CU197" s="216"/>
      <c r="CV197" s="1027"/>
      <c r="CW197" s="394"/>
      <c r="CX197" s="347"/>
      <c r="CY197" s="1027"/>
      <c r="CZ197" s="249"/>
      <c r="DA197" s="216"/>
      <c r="DB197" s="1027" t="str">
        <f t="shared" si="25"/>
        <v/>
      </c>
      <c r="DC197" s="249"/>
      <c r="DD197" s="2519" t="str">
        <f t="shared" si="24"/>
        <v/>
      </c>
      <c r="DE197" s="1027"/>
      <c r="DF197" s="1556"/>
      <c r="DG197" s="1557"/>
      <c r="DH197" s="1027"/>
      <c r="DI197" s="1556"/>
      <c r="DJ197" s="1558"/>
      <c r="DK197" s="1027"/>
      <c r="DL197" s="249"/>
      <c r="DM197" s="216"/>
      <c r="DN197" s="313"/>
      <c r="DO197" s="249"/>
      <c r="DP197" s="216"/>
      <c r="DQ197" s="313"/>
      <c r="DR197" s="249"/>
      <c r="DS197" s="221"/>
      <c r="DT197" s="313"/>
      <c r="DU197" s="249"/>
      <c r="DV197" s="221"/>
      <c r="DW197" s="305"/>
      <c r="DX197" s="249"/>
      <c r="DY197" s="260"/>
      <c r="DZ197" s="350"/>
      <c r="EA197" s="249"/>
      <c r="EB197" s="221"/>
      <c r="EC197" s="313"/>
      <c r="ED197" s="249"/>
      <c r="EE197" s="221"/>
      <c r="EF197" s="313"/>
      <c r="EG197" s="249"/>
      <c r="EH197" s="221"/>
      <c r="EI197" s="313"/>
      <c r="EJ197" s="249"/>
      <c r="EK197" s="216"/>
      <c r="EL197" s="1435"/>
      <c r="EM197" s="1619"/>
      <c r="EN197" s="1268"/>
      <c r="EO197" s="1563"/>
      <c r="EP197" s="1268"/>
      <c r="EQ197" s="1563"/>
      <c r="ER197" s="1268"/>
      <c r="ES197" s="1563"/>
      <c r="ET197" s="1268"/>
      <c r="EU197" s="1682"/>
      <c r="EV197" s="1683"/>
      <c r="EW197" s="1684"/>
      <c r="EX197" s="1685"/>
      <c r="EY197" s="1030"/>
      <c r="EZ197" s="349"/>
      <c r="FA197" s="395"/>
      <c r="FB197" s="223"/>
      <c r="FC197" s="1030"/>
      <c r="FD197" s="349"/>
      <c r="FE197" s="1031"/>
      <c r="FF197" s="358"/>
      <c r="FG197" s="256"/>
      <c r="FH197" s="256"/>
      <c r="FI197" s="256"/>
      <c r="FJ197" s="256"/>
      <c r="FK197" s="19"/>
      <c r="FL197" s="126"/>
      <c r="FM197" s="126"/>
      <c r="FN197" s="126"/>
      <c r="FO197" s="957"/>
      <c r="FQ197" s="358"/>
      <c r="FR197" s="1190"/>
      <c r="FS197" s="1190"/>
      <c r="FT197" s="64"/>
      <c r="FU197" s="2879"/>
      <c r="FV197" s="2880"/>
      <c r="FW197" s="2881"/>
    </row>
    <row r="198" spans="1:179">
      <c r="A198" s="1023"/>
      <c r="B198" s="1023"/>
      <c r="C198" s="1023"/>
      <c r="T198" s="1186"/>
      <c r="U198" s="233"/>
      <c r="V198" s="216"/>
      <c r="W198" s="218"/>
      <c r="X198" s="218"/>
      <c r="Y198" s="216"/>
      <c r="Z198" s="216"/>
      <c r="AA198" s="1024"/>
      <c r="AB198" s="252"/>
      <c r="AC198" s="252"/>
      <c r="AD198" s="253"/>
      <c r="AE198" s="252"/>
      <c r="AF198" s="252"/>
      <c r="AG198" s="252"/>
      <c r="AH198" s="252"/>
      <c r="AI198" s="252"/>
      <c r="AJ198" s="252"/>
      <c r="AK198" s="253"/>
      <c r="AL198" s="252"/>
      <c r="AM198" s="252"/>
      <c r="AN198" s="252"/>
      <c r="AO198" s="252"/>
      <c r="AP198" s="1192"/>
      <c r="AQ198" s="252"/>
      <c r="AR198" s="252"/>
      <c r="AS198" s="252"/>
      <c r="AT198" s="252"/>
      <c r="AU198" s="252"/>
      <c r="AV198" s="1025"/>
      <c r="AW198" s="359"/>
      <c r="AX198" s="217"/>
      <c r="AY198" s="305"/>
      <c r="AZ198" s="249"/>
      <c r="BA198" s="221"/>
      <c r="BB198" s="300"/>
      <c r="BC198" s="217"/>
      <c r="BD198" s="219"/>
      <c r="BE198" s="1263"/>
      <c r="BF198" s="249"/>
      <c r="BG198" s="252"/>
      <c r="BH198" s="1543"/>
      <c r="BI198" s="1544"/>
      <c r="BJ198" s="1543"/>
      <c r="BK198" s="1545"/>
      <c r="BL198" s="260"/>
      <c r="BM198" s="217"/>
      <c r="BN198" s="220"/>
      <c r="BO198" s="220"/>
      <c r="BP198" s="355"/>
      <c r="BQ198" s="217"/>
      <c r="BR198" s="1026"/>
      <c r="BS198" s="249"/>
      <c r="BT198" s="260"/>
      <c r="BU198" s="1026"/>
      <c r="BV198" s="249"/>
      <c r="BW198" s="260"/>
      <c r="BX198" s="1026"/>
      <c r="BY198" s="249"/>
      <c r="BZ198" s="260"/>
      <c r="CA198" s="1026"/>
      <c r="CB198" s="249"/>
      <c r="CC198" s="260"/>
      <c r="CD198" s="1026"/>
      <c r="CE198" s="1269"/>
      <c r="CF198" s="1270"/>
      <c r="CG198" s="1026"/>
      <c r="CH198" s="293"/>
      <c r="CI198" s="326"/>
      <c r="CJ198" s="1027"/>
      <c r="CK198" s="249"/>
      <c r="CL198" s="260"/>
      <c r="CM198" s="1028"/>
      <c r="CN198" s="249"/>
      <c r="CO198" s="216"/>
      <c r="CP198" s="1029"/>
      <c r="CQ198" s="249"/>
      <c r="CR198" s="216"/>
      <c r="CS198" s="1029"/>
      <c r="CT198" s="249"/>
      <c r="CU198" s="216"/>
      <c r="CV198" s="1027"/>
      <c r="CW198" s="394"/>
      <c r="CX198" s="347"/>
      <c r="CY198" s="1027"/>
      <c r="CZ198" s="249"/>
      <c r="DA198" s="216"/>
      <c r="DB198" s="1027" t="str">
        <f t="shared" si="25"/>
        <v/>
      </c>
      <c r="DC198" s="249"/>
      <c r="DD198" s="2519" t="str">
        <f t="shared" si="24"/>
        <v/>
      </c>
      <c r="DE198" s="1027"/>
      <c r="DF198" s="1556"/>
      <c r="DG198" s="1557"/>
      <c r="DH198" s="1027"/>
      <c r="DI198" s="1556"/>
      <c r="DJ198" s="1558"/>
      <c r="DK198" s="1027"/>
      <c r="DL198" s="249"/>
      <c r="DM198" s="216"/>
      <c r="DN198" s="313"/>
      <c r="DO198" s="249"/>
      <c r="DP198" s="216"/>
      <c r="DQ198" s="313"/>
      <c r="DR198" s="249"/>
      <c r="DS198" s="221"/>
      <c r="DT198" s="313"/>
      <c r="DU198" s="249"/>
      <c r="DV198" s="221"/>
      <c r="DW198" s="305"/>
      <c r="DX198" s="249"/>
      <c r="DY198" s="260"/>
      <c r="DZ198" s="350"/>
      <c r="EA198" s="249"/>
      <c r="EB198" s="221"/>
      <c r="EC198" s="313"/>
      <c r="ED198" s="249"/>
      <c r="EE198" s="221"/>
      <c r="EF198" s="313"/>
      <c r="EG198" s="249"/>
      <c r="EH198" s="221"/>
      <c r="EI198" s="313"/>
      <c r="EJ198" s="249"/>
      <c r="EK198" s="216"/>
      <c r="EL198" s="1435"/>
      <c r="EM198" s="1619"/>
      <c r="EN198" s="1268"/>
      <c r="EO198" s="1563"/>
      <c r="EP198" s="1268"/>
      <c r="EQ198" s="1563"/>
      <c r="ER198" s="1268"/>
      <c r="ES198" s="1563"/>
      <c r="ET198" s="1268"/>
      <c r="EU198" s="1682"/>
      <c r="EV198" s="1683"/>
      <c r="EW198" s="1684"/>
      <c r="EX198" s="1685"/>
      <c r="EY198" s="1030"/>
      <c r="EZ198" s="349"/>
      <c r="FA198" s="395"/>
      <c r="FB198" s="223"/>
      <c r="FC198" s="1030"/>
      <c r="FD198" s="349"/>
      <c r="FE198" s="1031"/>
      <c r="FF198" s="358"/>
      <c r="FG198" s="256"/>
      <c r="FH198" s="256"/>
      <c r="FI198" s="256"/>
      <c r="FJ198" s="256"/>
      <c r="FK198" s="19"/>
      <c r="FL198" s="126"/>
      <c r="FM198" s="126"/>
      <c r="FN198" s="126"/>
      <c r="FO198" s="957"/>
      <c r="FQ198" s="358"/>
      <c r="FR198" s="1190"/>
      <c r="FS198" s="1190"/>
      <c r="FT198" s="64"/>
      <c r="FU198" s="2879"/>
      <c r="FV198" s="2880"/>
      <c r="FW198" s="2881"/>
    </row>
    <row r="199" spans="1:179">
      <c r="A199" s="1023"/>
      <c r="B199" s="1023"/>
      <c r="C199" s="1023"/>
      <c r="T199" s="1186"/>
      <c r="U199" s="233"/>
      <c r="V199" s="216"/>
      <c r="W199" s="218"/>
      <c r="X199" s="218"/>
      <c r="Y199" s="216"/>
      <c r="Z199" s="216"/>
      <c r="AA199" s="1024"/>
      <c r="AB199" s="252"/>
      <c r="AC199" s="252"/>
      <c r="AD199" s="253"/>
      <c r="AE199" s="252"/>
      <c r="AF199" s="252"/>
      <c r="AG199" s="252"/>
      <c r="AH199" s="252"/>
      <c r="AI199" s="252"/>
      <c r="AJ199" s="252"/>
      <c r="AK199" s="253"/>
      <c r="AL199" s="252"/>
      <c r="AM199" s="252"/>
      <c r="AN199" s="252"/>
      <c r="AO199" s="252"/>
      <c r="AP199" s="1192"/>
      <c r="AQ199" s="252"/>
      <c r="AR199" s="252"/>
      <c r="AS199" s="252"/>
      <c r="AT199" s="252"/>
      <c r="AU199" s="252"/>
      <c r="AV199" s="1025"/>
      <c r="AW199" s="359"/>
      <c r="AX199" s="217"/>
      <c r="AY199" s="305"/>
      <c r="AZ199" s="249"/>
      <c r="BA199" s="221"/>
      <c r="BB199" s="300"/>
      <c r="BC199" s="217"/>
      <c r="BD199" s="219"/>
      <c r="BE199" s="1263"/>
      <c r="BF199" s="249"/>
      <c r="BG199" s="252"/>
      <c r="BH199" s="1543"/>
      <c r="BI199" s="1544"/>
      <c r="BJ199" s="1543"/>
      <c r="BK199" s="1545"/>
      <c r="BL199" s="260"/>
      <c r="BM199" s="217"/>
      <c r="BN199" s="220"/>
      <c r="BO199" s="220"/>
      <c r="BP199" s="355"/>
      <c r="BQ199" s="217"/>
      <c r="BR199" s="1026"/>
      <c r="BS199" s="249"/>
      <c r="BT199" s="260"/>
      <c r="BU199" s="1026"/>
      <c r="BV199" s="249"/>
      <c r="BW199" s="260"/>
      <c r="BX199" s="1026"/>
      <c r="BY199" s="249"/>
      <c r="BZ199" s="260"/>
      <c r="CA199" s="1026"/>
      <c r="CB199" s="249"/>
      <c r="CC199" s="260"/>
      <c r="CD199" s="1026"/>
      <c r="CE199" s="1269"/>
      <c r="CF199" s="1270"/>
      <c r="CG199" s="1026"/>
      <c r="CH199" s="293"/>
      <c r="CI199" s="326"/>
      <c r="CJ199" s="1027"/>
      <c r="CK199" s="249"/>
      <c r="CL199" s="260"/>
      <c r="CM199" s="1028"/>
      <c r="CN199" s="249"/>
      <c r="CO199" s="216"/>
      <c r="CP199" s="1029"/>
      <c r="CQ199" s="249"/>
      <c r="CR199" s="216"/>
      <c r="CS199" s="1029"/>
      <c r="CT199" s="249"/>
      <c r="CU199" s="216"/>
      <c r="CV199" s="1027"/>
      <c r="CW199" s="394"/>
      <c r="CX199" s="347"/>
      <c r="CY199" s="1027"/>
      <c r="CZ199" s="249"/>
      <c r="DA199" s="216"/>
      <c r="DB199" s="1027" t="str">
        <f t="shared" si="25"/>
        <v/>
      </c>
      <c r="DC199" s="249"/>
      <c r="DD199" s="2519" t="str">
        <f t="shared" si="24"/>
        <v/>
      </c>
      <c r="DE199" s="1027"/>
      <c r="DF199" s="1556"/>
      <c r="DG199" s="1557"/>
      <c r="DH199" s="1027"/>
      <c r="DI199" s="1556"/>
      <c r="DJ199" s="1558"/>
      <c r="DK199" s="1027"/>
      <c r="DL199" s="249"/>
      <c r="DM199" s="216"/>
      <c r="DN199" s="313"/>
      <c r="DO199" s="249"/>
      <c r="DP199" s="216"/>
      <c r="DQ199" s="313"/>
      <c r="DR199" s="249"/>
      <c r="DS199" s="221"/>
      <c r="DT199" s="313"/>
      <c r="DU199" s="249"/>
      <c r="DV199" s="221"/>
      <c r="DW199" s="305"/>
      <c r="DX199" s="249"/>
      <c r="DY199" s="260"/>
      <c r="DZ199" s="350"/>
      <c r="EA199" s="249"/>
      <c r="EB199" s="221"/>
      <c r="EC199" s="313"/>
      <c r="ED199" s="249"/>
      <c r="EE199" s="221"/>
      <c r="EF199" s="313"/>
      <c r="EG199" s="249"/>
      <c r="EH199" s="221"/>
      <c r="EI199" s="313"/>
      <c r="EJ199" s="249"/>
      <c r="EK199" s="216"/>
      <c r="EL199" s="1435"/>
      <c r="EM199" s="1619"/>
      <c r="EN199" s="1268"/>
      <c r="EO199" s="1563"/>
      <c r="EP199" s="1268"/>
      <c r="EQ199" s="1563"/>
      <c r="ER199" s="1268"/>
      <c r="ES199" s="1563"/>
      <c r="ET199" s="1268"/>
      <c r="EU199" s="1682"/>
      <c r="EV199" s="1683"/>
      <c r="EW199" s="1684"/>
      <c r="EX199" s="1685"/>
      <c r="EY199" s="1030"/>
      <c r="EZ199" s="349"/>
      <c r="FA199" s="395"/>
      <c r="FB199" s="223"/>
      <c r="FC199" s="1030"/>
      <c r="FD199" s="349"/>
      <c r="FE199" s="1031"/>
      <c r="FF199" s="358"/>
      <c r="FG199" s="256"/>
      <c r="FH199" s="256"/>
      <c r="FI199" s="256"/>
      <c r="FJ199" s="256"/>
      <c r="FK199" s="19"/>
      <c r="FL199" s="126"/>
      <c r="FM199" s="126"/>
      <c r="FN199" s="126"/>
      <c r="FO199" s="957"/>
      <c r="FQ199" s="358"/>
      <c r="FR199" s="1190"/>
      <c r="FS199" s="1190"/>
      <c r="FT199" s="64"/>
    </row>
    <row r="200" spans="1:179">
      <c r="BS200" s="28"/>
      <c r="BV200" s="28"/>
      <c r="DN200" s="449"/>
      <c r="DQ200" s="449"/>
      <c r="DT200" s="449"/>
      <c r="DZ200" s="449"/>
      <c r="EC200" s="449"/>
      <c r="EF200" s="449"/>
      <c r="EI200" s="449"/>
    </row>
    <row r="201" spans="1:179">
      <c r="BS201" s="28"/>
      <c r="BV201" s="28"/>
      <c r="DN201" s="449"/>
      <c r="DQ201" s="449"/>
      <c r="DT201" s="449"/>
      <c r="DZ201" s="449"/>
      <c r="EC201" s="449"/>
      <c r="EF201" s="449"/>
      <c r="EI201" s="449"/>
    </row>
    <row r="202" spans="1:179">
      <c r="BS202" s="28"/>
      <c r="BV202" s="28"/>
      <c r="DN202" s="449"/>
      <c r="DQ202" s="449"/>
      <c r="DT202" s="449"/>
      <c r="DZ202" s="449"/>
      <c r="EC202" s="449"/>
      <c r="EF202" s="449"/>
      <c r="EI202" s="449"/>
    </row>
    <row r="203" spans="1:179">
      <c r="BS203" s="28"/>
      <c r="BV203" s="28"/>
      <c r="DN203" s="449"/>
      <c r="DQ203" s="449"/>
      <c r="DT203" s="449"/>
      <c r="DZ203" s="449"/>
      <c r="EC203" s="449"/>
      <c r="EF203" s="449"/>
      <c r="EI203" s="449"/>
    </row>
    <row r="204" spans="1:179">
      <c r="BS204" s="28"/>
      <c r="BV204" s="28"/>
      <c r="DN204" s="449"/>
      <c r="DQ204" s="449"/>
      <c r="DT204" s="449"/>
      <c r="DZ204" s="449"/>
      <c r="EC204" s="449"/>
      <c r="EF204" s="449"/>
      <c r="EI204" s="449"/>
    </row>
    <row r="205" spans="1:179">
      <c r="BS205" s="28"/>
      <c r="BV205" s="28"/>
      <c r="DN205" s="449"/>
      <c r="DQ205" s="449"/>
      <c r="DT205" s="449"/>
      <c r="DZ205" s="449"/>
      <c r="EC205" s="449"/>
      <c r="EF205" s="449"/>
      <c r="EI205" s="449"/>
    </row>
    <row r="206" spans="1:179">
      <c r="BS206" s="28"/>
      <c r="BV206" s="28"/>
      <c r="DN206" s="449"/>
      <c r="DQ206" s="449"/>
      <c r="DT206" s="449"/>
      <c r="DZ206" s="449"/>
      <c r="EC206" s="449"/>
      <c r="EF206" s="449"/>
      <c r="EI206" s="449"/>
    </row>
    <row r="207" spans="1:179">
      <c r="BS207" s="28"/>
      <c r="BV207" s="28"/>
      <c r="DN207" s="449"/>
      <c r="DQ207" s="449"/>
      <c r="DT207" s="449"/>
      <c r="DZ207" s="449"/>
      <c r="EC207" s="449"/>
      <c r="EF207" s="449"/>
      <c r="EI207" s="449"/>
    </row>
    <row r="208" spans="1:179">
      <c r="BS208" s="28"/>
      <c r="BV208" s="28"/>
      <c r="DN208" s="449"/>
      <c r="DQ208" s="449"/>
      <c r="DT208" s="449"/>
      <c r="DZ208" s="449"/>
      <c r="EC208" s="449"/>
      <c r="EF208" s="449"/>
      <c r="EI208" s="449"/>
    </row>
    <row r="209" spans="71:139">
      <c r="BS209" s="28"/>
      <c r="BV209" s="28"/>
      <c r="DN209" s="449"/>
      <c r="DQ209" s="449"/>
      <c r="DT209" s="449"/>
      <c r="DZ209" s="449"/>
      <c r="EC209" s="449"/>
      <c r="EF209" s="449"/>
      <c r="EI209" s="449"/>
    </row>
    <row r="210" spans="71:139">
      <c r="BS210" s="28"/>
      <c r="BV210" s="28"/>
      <c r="DN210" s="449"/>
      <c r="DQ210" s="449"/>
      <c r="DT210" s="449"/>
      <c r="DZ210" s="449"/>
      <c r="EC210" s="449"/>
      <c r="EF210" s="449"/>
      <c r="EI210" s="449"/>
    </row>
    <row r="211" spans="71:139">
      <c r="BS211" s="28"/>
      <c r="BV211" s="28"/>
      <c r="DN211" s="449"/>
      <c r="DQ211" s="449"/>
      <c r="DT211" s="449"/>
      <c r="DZ211" s="449"/>
      <c r="EC211" s="449"/>
      <c r="EF211" s="449"/>
      <c r="EI211" s="449"/>
    </row>
    <row r="212" spans="71:139">
      <c r="BS212" s="28"/>
      <c r="BV212" s="28"/>
      <c r="DN212" s="449"/>
      <c r="DQ212" s="449"/>
      <c r="DT212" s="449"/>
      <c r="DZ212" s="449"/>
      <c r="EC212" s="449"/>
      <c r="EF212" s="449"/>
      <c r="EI212" s="449"/>
    </row>
    <row r="213" spans="71:139">
      <c r="BS213" s="28"/>
      <c r="BV213" s="28"/>
      <c r="DN213" s="449"/>
      <c r="DQ213" s="449"/>
      <c r="DT213" s="449"/>
      <c r="DZ213" s="449"/>
      <c r="EC213" s="449"/>
      <c r="EF213" s="449"/>
      <c r="EI213" s="449"/>
    </row>
    <row r="214" spans="71:139">
      <c r="BS214" s="28"/>
      <c r="BV214" s="28"/>
      <c r="DN214" s="449"/>
      <c r="DQ214" s="449"/>
      <c r="DT214" s="449"/>
      <c r="DZ214" s="449"/>
      <c r="EC214" s="449"/>
      <c r="EF214" s="449"/>
      <c r="EI214" s="449"/>
    </row>
    <row r="215" spans="71:139">
      <c r="BS215" s="28"/>
      <c r="BV215" s="28"/>
      <c r="DN215" s="449"/>
      <c r="DQ215" s="449"/>
      <c r="DT215" s="449"/>
      <c r="DZ215" s="449"/>
      <c r="EC215" s="449"/>
      <c r="EF215" s="449"/>
      <c r="EI215" s="449"/>
    </row>
    <row r="216" spans="71:139">
      <c r="BS216" s="28"/>
      <c r="BV216" s="28"/>
      <c r="DN216" s="449"/>
      <c r="DQ216" s="449"/>
      <c r="DT216" s="449"/>
      <c r="DZ216" s="449"/>
      <c r="EC216" s="449"/>
      <c r="EF216" s="449"/>
      <c r="EI216" s="449"/>
    </row>
    <row r="217" spans="71:139">
      <c r="BS217" s="28"/>
      <c r="BV217" s="28"/>
      <c r="DN217" s="449"/>
      <c r="DQ217" s="449"/>
      <c r="DT217" s="449"/>
      <c r="DZ217" s="449"/>
      <c r="EC217" s="449"/>
      <c r="EF217" s="449"/>
      <c r="EI217" s="449"/>
    </row>
    <row r="218" spans="71:139">
      <c r="BS218" s="28"/>
      <c r="BV218" s="28"/>
      <c r="DN218" s="449"/>
      <c r="DQ218" s="449"/>
      <c r="DT218" s="449"/>
      <c r="DZ218" s="449"/>
      <c r="EC218" s="449"/>
      <c r="EF218" s="449"/>
      <c r="EI218" s="449"/>
    </row>
    <row r="219" spans="71:139">
      <c r="BS219" s="28"/>
      <c r="BV219" s="28"/>
      <c r="DN219" s="449"/>
      <c r="DQ219" s="449"/>
      <c r="DT219" s="449"/>
      <c r="DZ219" s="449"/>
      <c r="EC219" s="449"/>
      <c r="EF219" s="449"/>
      <c r="EI219" s="449"/>
    </row>
    <row r="220" spans="71:139">
      <c r="BS220" s="28"/>
      <c r="BV220" s="28"/>
      <c r="DN220" s="449"/>
      <c r="DQ220" s="449"/>
      <c r="DT220" s="449"/>
      <c r="DZ220" s="449"/>
      <c r="EC220" s="449"/>
      <c r="EF220" s="449"/>
      <c r="EI220" s="449"/>
    </row>
    <row r="221" spans="71:139">
      <c r="BS221" s="28"/>
      <c r="BV221" s="28"/>
      <c r="DN221" s="449"/>
      <c r="DQ221" s="449"/>
      <c r="DT221" s="449"/>
      <c r="DZ221" s="449"/>
      <c r="EC221" s="449"/>
      <c r="EF221" s="449"/>
      <c r="EI221" s="449"/>
    </row>
    <row r="222" spans="71:139">
      <c r="BS222" s="28"/>
      <c r="BV222" s="28"/>
      <c r="DN222" s="449"/>
      <c r="DQ222" s="449"/>
      <c r="DT222" s="449"/>
      <c r="DZ222" s="449"/>
      <c r="EC222" s="449"/>
      <c r="EF222" s="449"/>
      <c r="EI222" s="449"/>
    </row>
    <row r="223" spans="71:139">
      <c r="BS223" s="28"/>
      <c r="BV223" s="28"/>
      <c r="DN223" s="449"/>
      <c r="DQ223" s="449"/>
      <c r="DT223" s="449"/>
      <c r="DZ223" s="449"/>
      <c r="EC223" s="449"/>
      <c r="EF223" s="449"/>
      <c r="EI223" s="449"/>
    </row>
    <row r="224" spans="71:139">
      <c r="BS224" s="28"/>
      <c r="BV224" s="28"/>
      <c r="DN224" s="449"/>
      <c r="DQ224" s="449"/>
      <c r="DT224" s="449"/>
      <c r="DZ224" s="449"/>
      <c r="EC224" s="449"/>
      <c r="EF224" s="449"/>
      <c r="EI224" s="449"/>
    </row>
    <row r="225" spans="71:139">
      <c r="BS225" s="28"/>
      <c r="BV225" s="28"/>
      <c r="DN225" s="449"/>
      <c r="DQ225" s="449"/>
      <c r="DT225" s="449"/>
      <c r="DZ225" s="449"/>
      <c r="EC225" s="449"/>
      <c r="EF225" s="449"/>
      <c r="EI225" s="449"/>
    </row>
    <row r="226" spans="71:139">
      <c r="BS226" s="28"/>
      <c r="BV226" s="28"/>
      <c r="DN226" s="449"/>
      <c r="DQ226" s="449"/>
      <c r="DT226" s="449"/>
      <c r="DZ226" s="449"/>
      <c r="EC226" s="449"/>
      <c r="EF226" s="449"/>
      <c r="EI226" s="449"/>
    </row>
    <row r="227" spans="71:139">
      <c r="BS227" s="28"/>
      <c r="BV227" s="28"/>
      <c r="DN227" s="449"/>
      <c r="DQ227" s="449"/>
      <c r="DT227" s="449"/>
      <c r="DZ227" s="449"/>
      <c r="EC227" s="449"/>
      <c r="EF227" s="449"/>
      <c r="EI227" s="449"/>
    </row>
    <row r="228" spans="71:139">
      <c r="BS228" s="28"/>
      <c r="BV228" s="28"/>
      <c r="DN228" s="449"/>
      <c r="DQ228" s="449"/>
      <c r="DT228" s="449"/>
      <c r="DZ228" s="449"/>
      <c r="EC228" s="449"/>
      <c r="EF228" s="449"/>
      <c r="EI228" s="449"/>
    </row>
    <row r="229" spans="71:139">
      <c r="BS229" s="28"/>
      <c r="BV229" s="28"/>
      <c r="DN229" s="449"/>
      <c r="DQ229" s="449"/>
      <c r="DT229" s="449"/>
      <c r="DZ229" s="449"/>
      <c r="EC229" s="449"/>
      <c r="EF229" s="449"/>
      <c r="EI229" s="449"/>
    </row>
    <row r="230" spans="71:139">
      <c r="BS230" s="28"/>
      <c r="BV230" s="28"/>
      <c r="DN230" s="449"/>
      <c r="DQ230" s="449"/>
      <c r="DT230" s="449"/>
      <c r="DZ230" s="449"/>
      <c r="EC230" s="449"/>
      <c r="EF230" s="449"/>
      <c r="EI230" s="449"/>
    </row>
    <row r="231" spans="71:139">
      <c r="BS231" s="28"/>
      <c r="BV231" s="28"/>
      <c r="DN231" s="449"/>
      <c r="DQ231" s="449"/>
      <c r="DT231" s="449"/>
      <c r="DZ231" s="449"/>
      <c r="EC231" s="449"/>
      <c r="EF231" s="449"/>
      <c r="EI231" s="449"/>
    </row>
    <row r="232" spans="71:139">
      <c r="BS232" s="28"/>
      <c r="BV232" s="28"/>
      <c r="DN232" s="449"/>
      <c r="DQ232" s="449"/>
      <c r="DT232" s="449"/>
      <c r="DZ232" s="449"/>
      <c r="EC232" s="449"/>
      <c r="EF232" s="449"/>
      <c r="EI232" s="449"/>
    </row>
    <row r="233" spans="71:139">
      <c r="BS233" s="28"/>
      <c r="BV233" s="28"/>
      <c r="DN233" s="449"/>
      <c r="DQ233" s="449"/>
      <c r="DT233" s="449"/>
      <c r="DZ233" s="449"/>
      <c r="EC233" s="449"/>
      <c r="EF233" s="449"/>
      <c r="EI233" s="449"/>
    </row>
    <row r="234" spans="71:139">
      <c r="BS234" s="28"/>
      <c r="BV234" s="28"/>
      <c r="DN234" s="449"/>
      <c r="DQ234" s="449"/>
      <c r="DT234" s="449"/>
      <c r="DZ234" s="449"/>
      <c r="EC234" s="449"/>
      <c r="EF234" s="449"/>
      <c r="EI234" s="449"/>
    </row>
    <row r="235" spans="71:139">
      <c r="BS235" s="28"/>
      <c r="BV235" s="28"/>
      <c r="DN235" s="449"/>
      <c r="DQ235" s="449"/>
      <c r="DT235" s="449"/>
      <c r="DZ235" s="449"/>
      <c r="EC235" s="449"/>
      <c r="EF235" s="449"/>
      <c r="EI235" s="449"/>
    </row>
    <row r="236" spans="71:139">
      <c r="BS236" s="28"/>
      <c r="BV236" s="28"/>
      <c r="DN236" s="449"/>
      <c r="DQ236" s="449"/>
      <c r="DT236" s="449"/>
      <c r="DZ236" s="449"/>
      <c r="EC236" s="449"/>
      <c r="EF236" s="449"/>
      <c r="EI236" s="449"/>
    </row>
    <row r="237" spans="71:139">
      <c r="BS237" s="28"/>
      <c r="BV237" s="28"/>
      <c r="DN237" s="449"/>
      <c r="DQ237" s="449"/>
      <c r="DT237" s="449"/>
      <c r="DZ237" s="449"/>
      <c r="EC237" s="449"/>
      <c r="EF237" s="449"/>
      <c r="EI237" s="449"/>
    </row>
    <row r="238" spans="71:139">
      <c r="BS238" s="28"/>
      <c r="BV238" s="28"/>
      <c r="DN238" s="449"/>
      <c r="DQ238" s="449"/>
      <c r="DT238" s="449"/>
      <c r="DZ238" s="449"/>
      <c r="EC238" s="449"/>
      <c r="EF238" s="449"/>
      <c r="EI238" s="449"/>
    </row>
    <row r="239" spans="71:139">
      <c r="BS239" s="28"/>
      <c r="BV239" s="28"/>
      <c r="DN239" s="449"/>
      <c r="DQ239" s="449"/>
      <c r="DT239" s="449"/>
      <c r="DZ239" s="449"/>
      <c r="EC239" s="449"/>
      <c r="EF239" s="449"/>
      <c r="EI239" s="449"/>
    </row>
    <row r="240" spans="71:139">
      <c r="BS240" s="28"/>
      <c r="BV240" s="28"/>
      <c r="DN240" s="449"/>
      <c r="DQ240" s="449"/>
      <c r="DT240" s="449"/>
      <c r="DZ240" s="449"/>
      <c r="EC240" s="449"/>
      <c r="EF240" s="449"/>
      <c r="EI240" s="449"/>
    </row>
    <row r="241" spans="71:139">
      <c r="BS241" s="28"/>
      <c r="BV241" s="28"/>
      <c r="DN241" s="449"/>
      <c r="DQ241" s="449"/>
      <c r="DT241" s="449"/>
      <c r="DZ241" s="449"/>
      <c r="EC241" s="449"/>
      <c r="EF241" s="449"/>
      <c r="EI241" s="449"/>
    </row>
    <row r="242" spans="71:139">
      <c r="BS242" s="28"/>
      <c r="BV242" s="28"/>
      <c r="DN242" s="449"/>
      <c r="DQ242" s="449"/>
      <c r="DT242" s="449"/>
      <c r="DZ242" s="449"/>
      <c r="EC242" s="449"/>
      <c r="EF242" s="449"/>
      <c r="EI242" s="449"/>
    </row>
    <row r="243" spans="71:139">
      <c r="BS243" s="28"/>
      <c r="BV243" s="28"/>
      <c r="DN243" s="449"/>
      <c r="DQ243" s="449"/>
      <c r="DT243" s="449"/>
      <c r="DZ243" s="449"/>
      <c r="EC243" s="449"/>
      <c r="EF243" s="449"/>
      <c r="EI243" s="449"/>
    </row>
    <row r="244" spans="71:139">
      <c r="BS244" s="28"/>
      <c r="BV244" s="28"/>
      <c r="DN244" s="449"/>
      <c r="DQ244" s="449"/>
      <c r="DT244" s="449"/>
      <c r="DZ244" s="449"/>
      <c r="EC244" s="449"/>
      <c r="EF244" s="449"/>
      <c r="EI244" s="449"/>
    </row>
    <row r="245" spans="71:139">
      <c r="BS245" s="28"/>
      <c r="BV245" s="28"/>
      <c r="DN245" s="449"/>
      <c r="DQ245" s="449"/>
      <c r="DT245" s="449"/>
      <c r="DZ245" s="449"/>
      <c r="EC245" s="449"/>
      <c r="EF245" s="449"/>
      <c r="EI245" s="449"/>
    </row>
    <row r="246" spans="71:139">
      <c r="BS246" s="28"/>
      <c r="BV246" s="28"/>
      <c r="DN246" s="449"/>
      <c r="DQ246" s="449"/>
      <c r="DT246" s="449"/>
      <c r="DZ246" s="449"/>
      <c r="EC246" s="449"/>
      <c r="EF246" s="449"/>
      <c r="EI246" s="449"/>
    </row>
    <row r="247" spans="71:139">
      <c r="BS247" s="28"/>
      <c r="BV247" s="28"/>
      <c r="DN247" s="449"/>
      <c r="DQ247" s="449"/>
      <c r="DT247" s="449"/>
      <c r="DZ247" s="449"/>
      <c r="EC247" s="449"/>
      <c r="EF247" s="449"/>
      <c r="EI247" s="449"/>
    </row>
    <row r="248" spans="71:139">
      <c r="BS248" s="28"/>
      <c r="BV248" s="28"/>
      <c r="DN248" s="449"/>
      <c r="DQ248" s="449"/>
      <c r="DT248" s="449"/>
      <c r="DZ248" s="449"/>
      <c r="EC248" s="449"/>
      <c r="EF248" s="449"/>
      <c r="EI248" s="449"/>
    </row>
    <row r="249" spans="71:139">
      <c r="BS249" s="28"/>
      <c r="BV249" s="28"/>
      <c r="DN249" s="449"/>
      <c r="DQ249" s="449"/>
      <c r="DT249" s="449"/>
      <c r="DZ249" s="449"/>
      <c r="EC249" s="449"/>
      <c r="EF249" s="449"/>
      <c r="EI249" s="449"/>
    </row>
    <row r="250" spans="71:139">
      <c r="BS250" s="28"/>
      <c r="BV250" s="28"/>
      <c r="DN250" s="449"/>
      <c r="DQ250" s="449"/>
      <c r="DT250" s="449"/>
      <c r="DZ250" s="449"/>
      <c r="EC250" s="449"/>
      <c r="EF250" s="449"/>
      <c r="EI250" s="449"/>
    </row>
    <row r="251" spans="71:139">
      <c r="BS251" s="28"/>
      <c r="BV251" s="28"/>
      <c r="DN251" s="449"/>
      <c r="DQ251" s="449"/>
      <c r="DT251" s="449"/>
      <c r="DZ251" s="449"/>
      <c r="EC251" s="449"/>
      <c r="EF251" s="449"/>
      <c r="EI251" s="449"/>
    </row>
    <row r="252" spans="71:139">
      <c r="BS252" s="28"/>
      <c r="BV252" s="28"/>
      <c r="DN252" s="449"/>
      <c r="DQ252" s="449"/>
      <c r="DT252" s="449"/>
      <c r="DZ252" s="449"/>
      <c r="EC252" s="449"/>
      <c r="EF252" s="449"/>
      <c r="EI252" s="449"/>
    </row>
    <row r="253" spans="71:139">
      <c r="BS253" s="28"/>
      <c r="BV253" s="28"/>
      <c r="DN253" s="449"/>
      <c r="DQ253" s="449"/>
      <c r="DT253" s="449"/>
      <c r="DZ253" s="449"/>
      <c r="EC253" s="449"/>
      <c r="EF253" s="449"/>
      <c r="EI253" s="449"/>
    </row>
    <row r="254" spans="71:139">
      <c r="BS254" s="28"/>
      <c r="BV254" s="28"/>
      <c r="DN254" s="449"/>
      <c r="DQ254" s="449"/>
      <c r="DT254" s="449"/>
      <c r="DZ254" s="449"/>
      <c r="EC254" s="449"/>
      <c r="EF254" s="449"/>
      <c r="EI254" s="449"/>
    </row>
    <row r="255" spans="71:139">
      <c r="BS255" s="28"/>
      <c r="BV255" s="28"/>
      <c r="DN255" s="449"/>
      <c r="DQ255" s="449"/>
      <c r="DT255" s="449"/>
      <c r="DZ255" s="449"/>
      <c r="EC255" s="449"/>
      <c r="EF255" s="449"/>
      <c r="EI255" s="449"/>
    </row>
    <row r="256" spans="71:139">
      <c r="BS256" s="28"/>
      <c r="BV256" s="28"/>
      <c r="DN256" s="449"/>
      <c r="DQ256" s="449"/>
      <c r="DT256" s="449"/>
      <c r="DZ256" s="449"/>
      <c r="EC256" s="449"/>
      <c r="EF256" s="449"/>
      <c r="EI256" s="449"/>
    </row>
    <row r="257" spans="71:139">
      <c r="BS257" s="28"/>
      <c r="BV257" s="28"/>
      <c r="DN257" s="449"/>
      <c r="DQ257" s="449"/>
      <c r="DT257" s="449"/>
      <c r="DZ257" s="449"/>
      <c r="EC257" s="449"/>
      <c r="EF257" s="449"/>
      <c r="EI257" s="449"/>
    </row>
    <row r="258" spans="71:139">
      <c r="BS258" s="28"/>
      <c r="BV258" s="28"/>
      <c r="DN258" s="449"/>
      <c r="DQ258" s="449"/>
      <c r="DT258" s="449"/>
      <c r="DZ258" s="449"/>
      <c r="EC258" s="449"/>
      <c r="EF258" s="449"/>
      <c r="EI258" s="449"/>
    </row>
    <row r="259" spans="71:139">
      <c r="BS259" s="28"/>
      <c r="BV259" s="28"/>
      <c r="DN259" s="449"/>
      <c r="DQ259" s="449"/>
      <c r="DT259" s="449"/>
      <c r="DZ259" s="449"/>
      <c r="EC259" s="449"/>
      <c r="EF259" s="449"/>
      <c r="EI259" s="449"/>
    </row>
    <row r="260" spans="71:139">
      <c r="BS260" s="28"/>
      <c r="BV260" s="28"/>
      <c r="DN260" s="449"/>
      <c r="DQ260" s="449"/>
      <c r="DT260" s="449"/>
      <c r="DZ260" s="449"/>
      <c r="EC260" s="449"/>
      <c r="EF260" s="449"/>
      <c r="EI260" s="449"/>
    </row>
    <row r="261" spans="71:139">
      <c r="BS261" s="28"/>
      <c r="BV261" s="28"/>
      <c r="DN261" s="449"/>
      <c r="DQ261" s="449"/>
      <c r="DT261" s="449"/>
      <c r="DZ261" s="449"/>
      <c r="EC261" s="449"/>
      <c r="EF261" s="449"/>
      <c r="EI261" s="449"/>
    </row>
    <row r="262" spans="71:139">
      <c r="BS262" s="28"/>
      <c r="BV262" s="28"/>
      <c r="DN262" s="449"/>
      <c r="DQ262" s="449"/>
      <c r="DT262" s="449"/>
      <c r="DZ262" s="449"/>
      <c r="EC262" s="449"/>
      <c r="EF262" s="449"/>
      <c r="EI262" s="449"/>
    </row>
    <row r="263" spans="71:139">
      <c r="BS263" s="28"/>
      <c r="BV263" s="28"/>
      <c r="DN263" s="449"/>
      <c r="DQ263" s="449"/>
      <c r="DT263" s="449"/>
      <c r="DZ263" s="449"/>
      <c r="EC263" s="449"/>
      <c r="EF263" s="449"/>
      <c r="EI263" s="449"/>
    </row>
    <row r="264" spans="71:139">
      <c r="BS264" s="28"/>
      <c r="BV264" s="28"/>
      <c r="DN264" s="449"/>
      <c r="DQ264" s="449"/>
      <c r="DT264" s="449"/>
      <c r="DZ264" s="449"/>
      <c r="EC264" s="449"/>
      <c r="EF264" s="449"/>
      <c r="EI264" s="449"/>
    </row>
    <row r="265" spans="71:139">
      <c r="BS265" s="28"/>
      <c r="BV265" s="28"/>
      <c r="DN265" s="449"/>
      <c r="DQ265" s="449"/>
      <c r="DT265" s="449"/>
      <c r="DZ265" s="449"/>
      <c r="EC265" s="449"/>
      <c r="EF265" s="449"/>
      <c r="EI265" s="449"/>
    </row>
    <row r="266" spans="71:139">
      <c r="BS266" s="28"/>
      <c r="BV266" s="28"/>
      <c r="DN266" s="449"/>
      <c r="DQ266" s="449"/>
      <c r="DT266" s="449"/>
      <c r="DZ266" s="449"/>
      <c r="EC266" s="449"/>
      <c r="EF266" s="449"/>
      <c r="EI266" s="449"/>
    </row>
    <row r="267" spans="71:139">
      <c r="BS267" s="28"/>
      <c r="BV267" s="28"/>
      <c r="DN267" s="449"/>
      <c r="DQ267" s="449"/>
      <c r="DT267" s="449"/>
      <c r="DZ267" s="449"/>
      <c r="EC267" s="449"/>
      <c r="EF267" s="449"/>
      <c r="EI267" s="449"/>
    </row>
    <row r="268" spans="71:139">
      <c r="BS268" s="28"/>
      <c r="BV268" s="28"/>
      <c r="DN268" s="449"/>
      <c r="DQ268" s="449"/>
      <c r="DT268" s="449"/>
      <c r="DZ268" s="449"/>
      <c r="EC268" s="449"/>
      <c r="EF268" s="449"/>
      <c r="EI268" s="449"/>
    </row>
    <row r="269" spans="71:139">
      <c r="BS269" s="28"/>
      <c r="BV269" s="28"/>
      <c r="DN269" s="449"/>
      <c r="DQ269" s="449"/>
      <c r="DT269" s="449"/>
      <c r="DZ269" s="449"/>
      <c r="EC269" s="449"/>
      <c r="EF269" s="449"/>
      <c r="EI269" s="449"/>
    </row>
    <row r="270" spans="71:139">
      <c r="BS270" s="28"/>
      <c r="BV270" s="28"/>
      <c r="DN270" s="449"/>
      <c r="DQ270" s="449"/>
      <c r="DT270" s="449"/>
      <c r="DZ270" s="449"/>
      <c r="EC270" s="449"/>
      <c r="EF270" s="449"/>
      <c r="EI270" s="449"/>
    </row>
    <row r="271" spans="71:139">
      <c r="BS271" s="28"/>
      <c r="BV271" s="28"/>
      <c r="DN271" s="449"/>
      <c r="DQ271" s="449"/>
      <c r="DT271" s="449"/>
      <c r="DZ271" s="449"/>
      <c r="EC271" s="449"/>
      <c r="EF271" s="449"/>
      <c r="EI271" s="449"/>
    </row>
    <row r="272" spans="71:139">
      <c r="BS272" s="28"/>
      <c r="BV272" s="28"/>
      <c r="DN272" s="449"/>
      <c r="DQ272" s="449"/>
      <c r="DT272" s="449"/>
      <c r="DZ272" s="449"/>
      <c r="EC272" s="449"/>
      <c r="EF272" s="449"/>
      <c r="EI272" s="449"/>
    </row>
    <row r="273" spans="71:139">
      <c r="BS273" s="28"/>
      <c r="BV273" s="28"/>
      <c r="DN273" s="449"/>
      <c r="DQ273" s="449"/>
      <c r="DT273" s="449"/>
      <c r="DZ273" s="449"/>
      <c r="EC273" s="449"/>
      <c r="EF273" s="449"/>
      <c r="EI273" s="449"/>
    </row>
    <row r="274" spans="71:139">
      <c r="BS274" s="28"/>
      <c r="BV274" s="28"/>
      <c r="DN274" s="449"/>
      <c r="DQ274" s="449"/>
      <c r="DT274" s="449"/>
      <c r="DZ274" s="449"/>
      <c r="EC274" s="449"/>
      <c r="EF274" s="449"/>
      <c r="EI274" s="449"/>
    </row>
    <row r="275" spans="71:139">
      <c r="BS275" s="28"/>
      <c r="BV275" s="28"/>
      <c r="DN275" s="449"/>
      <c r="DQ275" s="449"/>
      <c r="DT275" s="449"/>
      <c r="DZ275" s="449"/>
      <c r="EC275" s="449"/>
      <c r="EF275" s="449"/>
      <c r="EI275" s="449"/>
    </row>
    <row r="276" spans="71:139">
      <c r="BS276" s="28"/>
      <c r="BV276" s="28"/>
      <c r="DN276" s="449"/>
      <c r="DQ276" s="449"/>
      <c r="DT276" s="449"/>
      <c r="DZ276" s="449"/>
      <c r="EC276" s="449"/>
      <c r="EF276" s="449"/>
      <c r="EI276" s="449"/>
    </row>
    <row r="277" spans="71:139">
      <c r="BS277" s="28"/>
      <c r="BV277" s="28"/>
      <c r="DN277" s="449"/>
      <c r="DQ277" s="449"/>
      <c r="DT277" s="449"/>
      <c r="DZ277" s="449"/>
      <c r="EC277" s="449"/>
      <c r="EF277" s="449"/>
      <c r="EI277" s="449"/>
    </row>
    <row r="278" spans="71:139">
      <c r="BS278" s="28"/>
      <c r="BV278" s="28"/>
      <c r="DN278" s="449"/>
      <c r="DQ278" s="449"/>
      <c r="DT278" s="449"/>
      <c r="DZ278" s="449"/>
      <c r="EC278" s="449"/>
      <c r="EF278" s="449"/>
      <c r="EI278" s="449"/>
    </row>
    <row r="279" spans="71:139">
      <c r="BS279" s="28"/>
      <c r="BV279" s="28"/>
      <c r="DN279" s="449"/>
      <c r="DQ279" s="449"/>
      <c r="DT279" s="449"/>
      <c r="DZ279" s="449"/>
      <c r="EC279" s="449"/>
      <c r="EF279" s="449"/>
      <c r="EI279" s="449"/>
    </row>
    <row r="280" spans="71:139">
      <c r="BS280" s="28"/>
      <c r="BV280" s="28"/>
      <c r="DN280" s="449"/>
      <c r="DQ280" s="449"/>
      <c r="DT280" s="449"/>
      <c r="DZ280" s="449"/>
      <c r="EC280" s="449"/>
      <c r="EF280" s="449"/>
      <c r="EI280" s="449"/>
    </row>
    <row r="281" spans="71:139">
      <c r="BS281" s="28"/>
      <c r="BV281" s="28"/>
      <c r="DN281" s="449"/>
      <c r="DQ281" s="449"/>
      <c r="DT281" s="449"/>
      <c r="DZ281" s="449"/>
      <c r="EC281" s="449"/>
      <c r="EF281" s="449"/>
      <c r="EI281" s="449"/>
    </row>
    <row r="282" spans="71:139">
      <c r="BS282" s="28"/>
      <c r="BV282" s="28"/>
      <c r="DN282" s="449"/>
      <c r="DQ282" s="449"/>
      <c r="DT282" s="449"/>
      <c r="DZ282" s="449"/>
      <c r="EC282" s="449"/>
      <c r="EF282" s="449"/>
      <c r="EI282" s="449"/>
    </row>
    <row r="283" spans="71:139">
      <c r="BS283" s="28"/>
      <c r="BV283" s="28"/>
      <c r="DN283" s="449"/>
      <c r="DQ283" s="449"/>
      <c r="DT283" s="449"/>
      <c r="DZ283" s="449"/>
      <c r="EC283" s="449"/>
      <c r="EF283" s="449"/>
      <c r="EI283" s="449"/>
    </row>
    <row r="284" spans="71:139">
      <c r="BS284" s="28"/>
      <c r="BV284" s="28"/>
      <c r="DN284" s="449"/>
      <c r="DQ284" s="449"/>
      <c r="DT284" s="449"/>
      <c r="DZ284" s="449"/>
      <c r="EC284" s="449"/>
      <c r="EF284" s="449"/>
      <c r="EI284" s="449"/>
    </row>
    <row r="285" spans="71:139">
      <c r="BS285" s="28"/>
      <c r="BV285" s="28"/>
      <c r="DN285" s="449"/>
      <c r="DQ285" s="449"/>
      <c r="DT285" s="449"/>
      <c r="DZ285" s="449"/>
      <c r="EC285" s="449"/>
      <c r="EF285" s="449"/>
      <c r="EI285" s="449"/>
    </row>
    <row r="286" spans="71:139">
      <c r="BS286" s="28"/>
      <c r="BV286" s="28"/>
      <c r="DN286" s="449"/>
      <c r="DQ286" s="449"/>
      <c r="DT286" s="449"/>
      <c r="DZ286" s="449"/>
      <c r="EC286" s="449"/>
      <c r="EF286" s="449"/>
      <c r="EI286" s="449"/>
    </row>
    <row r="287" spans="71:139">
      <c r="BS287" s="28"/>
      <c r="BV287" s="28"/>
      <c r="DN287" s="449"/>
      <c r="DQ287" s="449"/>
      <c r="DT287" s="449"/>
      <c r="DZ287" s="449"/>
      <c r="EC287" s="449"/>
      <c r="EF287" s="449"/>
      <c r="EI287" s="449"/>
    </row>
    <row r="288" spans="71:139">
      <c r="BS288" s="28"/>
      <c r="BV288" s="28"/>
      <c r="DN288" s="449"/>
      <c r="DQ288" s="449"/>
      <c r="DT288" s="449"/>
      <c r="DZ288" s="449"/>
      <c r="EC288" s="449"/>
      <c r="EF288" s="449"/>
      <c r="EI288" s="449"/>
    </row>
    <row r="289" spans="71:139">
      <c r="BS289" s="28"/>
      <c r="BV289" s="28"/>
      <c r="DN289" s="449"/>
      <c r="DQ289" s="449"/>
      <c r="DT289" s="449"/>
      <c r="DZ289" s="449"/>
      <c r="EC289" s="449"/>
      <c r="EF289" s="449"/>
      <c r="EI289" s="449"/>
    </row>
    <row r="290" spans="71:139">
      <c r="BS290" s="28"/>
      <c r="BV290" s="28"/>
      <c r="DN290" s="449"/>
      <c r="DQ290" s="449"/>
      <c r="DT290" s="449"/>
      <c r="DZ290" s="449"/>
      <c r="EC290" s="449"/>
      <c r="EF290" s="449"/>
      <c r="EI290" s="449"/>
    </row>
    <row r="291" spans="71:139">
      <c r="BS291" s="28"/>
      <c r="BV291" s="28"/>
      <c r="DN291" s="449"/>
      <c r="DQ291" s="449"/>
      <c r="DT291" s="449"/>
      <c r="DZ291" s="449"/>
      <c r="EC291" s="449"/>
      <c r="EF291" s="449"/>
      <c r="EI291" s="449"/>
    </row>
    <row r="292" spans="71:139">
      <c r="BS292" s="28"/>
      <c r="BV292" s="28"/>
      <c r="DN292" s="449"/>
      <c r="DQ292" s="449"/>
      <c r="DT292" s="449"/>
      <c r="DZ292" s="449"/>
      <c r="EC292" s="449"/>
      <c r="EF292" s="449"/>
      <c r="EI292" s="449"/>
    </row>
    <row r="293" spans="71:139">
      <c r="BS293" s="28"/>
      <c r="BV293" s="28"/>
      <c r="DN293" s="449"/>
      <c r="DQ293" s="449"/>
      <c r="DT293" s="449"/>
      <c r="DZ293" s="449"/>
      <c r="EC293" s="449"/>
      <c r="EF293" s="449"/>
      <c r="EI293" s="449"/>
    </row>
    <row r="294" spans="71:139">
      <c r="BS294" s="28"/>
      <c r="BV294" s="28"/>
      <c r="DN294" s="449"/>
      <c r="DQ294" s="449"/>
      <c r="DT294" s="449"/>
      <c r="DZ294" s="449"/>
      <c r="EC294" s="449"/>
      <c r="EF294" s="449"/>
      <c r="EI294" s="449"/>
    </row>
    <row r="295" spans="71:139">
      <c r="BS295" s="28"/>
      <c r="BV295" s="28"/>
      <c r="DN295" s="449"/>
      <c r="DQ295" s="449"/>
      <c r="DT295" s="449"/>
      <c r="DZ295" s="449"/>
      <c r="EC295" s="449"/>
      <c r="EF295" s="449"/>
      <c r="EI295" s="449"/>
    </row>
    <row r="296" spans="71:139">
      <c r="BS296" s="28"/>
      <c r="BV296" s="28"/>
      <c r="DN296" s="449"/>
      <c r="DQ296" s="449"/>
      <c r="DT296" s="449"/>
      <c r="DZ296" s="449"/>
      <c r="EC296" s="449"/>
      <c r="EF296" s="449"/>
      <c r="EI296" s="449"/>
    </row>
    <row r="297" spans="71:139">
      <c r="BS297" s="28"/>
      <c r="BV297" s="28"/>
      <c r="DN297" s="449"/>
      <c r="DQ297" s="449"/>
      <c r="DT297" s="449"/>
      <c r="DZ297" s="449"/>
      <c r="EC297" s="449"/>
      <c r="EF297" s="449"/>
      <c r="EI297" s="449"/>
    </row>
    <row r="298" spans="71:139">
      <c r="BS298" s="28"/>
      <c r="BV298" s="28"/>
      <c r="DN298" s="449"/>
      <c r="DQ298" s="449"/>
      <c r="DT298" s="449"/>
      <c r="DZ298" s="449"/>
      <c r="EC298" s="449"/>
      <c r="EF298" s="449"/>
      <c r="EI298" s="449"/>
    </row>
    <row r="299" spans="71:139">
      <c r="BS299" s="28"/>
      <c r="BV299" s="28"/>
      <c r="DN299" s="449"/>
      <c r="DQ299" s="449"/>
      <c r="DT299" s="449"/>
      <c r="DZ299" s="449"/>
      <c r="EC299" s="449"/>
      <c r="EF299" s="449"/>
      <c r="EI299" s="449"/>
    </row>
    <row r="300" spans="71:139">
      <c r="BS300" s="28"/>
      <c r="BV300" s="28"/>
      <c r="DN300" s="449"/>
      <c r="DQ300" s="449"/>
      <c r="DT300" s="449"/>
      <c r="DZ300" s="449"/>
      <c r="EC300" s="449"/>
      <c r="EF300" s="449"/>
      <c r="EI300" s="449"/>
    </row>
    <row r="301" spans="71:139">
      <c r="BS301" s="28"/>
      <c r="BV301" s="28"/>
      <c r="DN301" s="449"/>
      <c r="DQ301" s="449"/>
      <c r="DT301" s="449"/>
      <c r="DZ301" s="449"/>
      <c r="EC301" s="449"/>
      <c r="EF301" s="449"/>
      <c r="EI301" s="449"/>
    </row>
    <row r="302" spans="71:139">
      <c r="BS302" s="28"/>
      <c r="BV302" s="28"/>
      <c r="DN302" s="449"/>
      <c r="DQ302" s="449"/>
      <c r="DT302" s="449"/>
      <c r="DZ302" s="449"/>
      <c r="EC302" s="449"/>
      <c r="EF302" s="449"/>
      <c r="EI302" s="449"/>
    </row>
    <row r="303" spans="71:139">
      <c r="BS303" s="28"/>
      <c r="BV303" s="28"/>
      <c r="DN303" s="449"/>
      <c r="DQ303" s="449"/>
      <c r="DT303" s="449"/>
      <c r="DZ303" s="449"/>
      <c r="EC303" s="449"/>
      <c r="EF303" s="449"/>
      <c r="EI303" s="449"/>
    </row>
    <row r="304" spans="71:139">
      <c r="BS304" s="28"/>
      <c r="BV304" s="28"/>
      <c r="DN304" s="449"/>
      <c r="DQ304" s="449"/>
      <c r="DT304" s="449"/>
      <c r="DZ304" s="449"/>
      <c r="EC304" s="449"/>
      <c r="EF304" s="449"/>
      <c r="EI304" s="449"/>
    </row>
    <row r="305" spans="71:139">
      <c r="BS305" s="28"/>
      <c r="BV305" s="28"/>
      <c r="DN305" s="449"/>
      <c r="DQ305" s="449"/>
      <c r="DT305" s="449"/>
      <c r="DZ305" s="449"/>
      <c r="EC305" s="449"/>
      <c r="EF305" s="449"/>
      <c r="EI305" s="449"/>
    </row>
    <row r="306" spans="71:139">
      <c r="BS306" s="28"/>
      <c r="BV306" s="28"/>
      <c r="DN306" s="449"/>
      <c r="DQ306" s="449"/>
      <c r="DT306" s="449"/>
      <c r="DZ306" s="449"/>
      <c r="EC306" s="449"/>
      <c r="EF306" s="449"/>
      <c r="EI306" s="449"/>
    </row>
    <row r="307" spans="71:139">
      <c r="BS307" s="28"/>
      <c r="BV307" s="28"/>
      <c r="DN307" s="449"/>
      <c r="DQ307" s="449"/>
      <c r="DT307" s="449"/>
      <c r="DZ307" s="449"/>
      <c r="EC307" s="449"/>
      <c r="EF307" s="449"/>
      <c r="EI307" s="449"/>
    </row>
    <row r="308" spans="71:139">
      <c r="BS308" s="28"/>
      <c r="BV308" s="28"/>
      <c r="DN308" s="449"/>
      <c r="DQ308" s="449"/>
      <c r="DT308" s="449"/>
      <c r="DZ308" s="449"/>
      <c r="EC308" s="449"/>
      <c r="EF308" s="449"/>
      <c r="EI308" s="449"/>
    </row>
    <row r="309" spans="71:139">
      <c r="BS309" s="28"/>
      <c r="BV309" s="28"/>
      <c r="DN309" s="449"/>
      <c r="DQ309" s="449"/>
      <c r="DT309" s="449"/>
      <c r="DZ309" s="449"/>
      <c r="EC309" s="449"/>
      <c r="EF309" s="449"/>
      <c r="EI309" s="449"/>
    </row>
    <row r="310" spans="71:139">
      <c r="BS310" s="28"/>
      <c r="BV310" s="28"/>
      <c r="DN310" s="449"/>
      <c r="DQ310" s="449"/>
      <c r="DT310" s="449"/>
      <c r="DZ310" s="449"/>
      <c r="EC310" s="449"/>
      <c r="EF310" s="449"/>
      <c r="EI310" s="449"/>
    </row>
    <row r="311" spans="71:139">
      <c r="BS311" s="28"/>
      <c r="BV311" s="28"/>
      <c r="DN311" s="449"/>
      <c r="DQ311" s="449"/>
      <c r="DT311" s="449"/>
      <c r="DZ311" s="449"/>
      <c r="EC311" s="449"/>
      <c r="EF311" s="449"/>
      <c r="EI311" s="449"/>
    </row>
    <row r="312" spans="71:139">
      <c r="BS312" s="28"/>
      <c r="BV312" s="28"/>
      <c r="DN312" s="449"/>
      <c r="DQ312" s="449"/>
      <c r="DT312" s="449"/>
      <c r="DZ312" s="449"/>
      <c r="EC312" s="449"/>
      <c r="EF312" s="449"/>
      <c r="EI312" s="449"/>
    </row>
    <row r="313" spans="71:139">
      <c r="BS313" s="28"/>
      <c r="BV313" s="28"/>
      <c r="DN313" s="449"/>
      <c r="DQ313" s="449"/>
      <c r="DT313" s="449"/>
      <c r="DZ313" s="449"/>
      <c r="EC313" s="449"/>
      <c r="EF313" s="449"/>
      <c r="EI313" s="449"/>
    </row>
    <row r="314" spans="71:139">
      <c r="BS314" s="28"/>
      <c r="BV314" s="28"/>
      <c r="DN314" s="449"/>
      <c r="DQ314" s="449"/>
      <c r="DT314" s="449"/>
      <c r="DZ314" s="449"/>
      <c r="EC314" s="449"/>
      <c r="EF314" s="449"/>
      <c r="EI314" s="449"/>
    </row>
    <row r="315" spans="71:139">
      <c r="BS315" s="28"/>
      <c r="BV315" s="28"/>
      <c r="DN315" s="449"/>
      <c r="DQ315" s="449"/>
      <c r="DT315" s="449"/>
      <c r="DZ315" s="449"/>
      <c r="EC315" s="449"/>
      <c r="EF315" s="449"/>
      <c r="EI315" s="449"/>
    </row>
    <row r="316" spans="71:139">
      <c r="BS316" s="28"/>
      <c r="BV316" s="28"/>
      <c r="DN316" s="449"/>
      <c r="DQ316" s="449"/>
      <c r="DT316" s="449"/>
      <c r="DZ316" s="449"/>
      <c r="EC316" s="449"/>
      <c r="EF316" s="449"/>
      <c r="EI316" s="449"/>
    </row>
    <row r="317" spans="71:139">
      <c r="BV317" s="28"/>
      <c r="DN317" s="449"/>
      <c r="DQ317" s="449"/>
      <c r="DT317" s="449"/>
      <c r="DZ317" s="449"/>
      <c r="EC317" s="449"/>
      <c r="EF317" s="449"/>
      <c r="EI317" s="449"/>
    </row>
    <row r="318" spans="71:139">
      <c r="BV318" s="28"/>
      <c r="DN318" s="449"/>
      <c r="DQ318" s="449"/>
      <c r="DT318" s="449"/>
      <c r="DZ318" s="449"/>
      <c r="EC318" s="449"/>
      <c r="EF318" s="449"/>
      <c r="EI318" s="449"/>
    </row>
  </sheetData>
  <mergeCells count="186">
    <mergeCell ref="A6:C6"/>
    <mergeCell ref="A7:C7"/>
    <mergeCell ref="A8:C8"/>
    <mergeCell ref="EC12:EE12"/>
    <mergeCell ref="DR11:DS11"/>
    <mergeCell ref="DN12:DP12"/>
    <mergeCell ref="CV10:CV11"/>
    <mergeCell ref="BU9:BW9"/>
    <mergeCell ref="AY10:BA10"/>
    <mergeCell ref="BF12:BG12"/>
    <mergeCell ref="BD10:BD11"/>
    <mergeCell ref="BB11:BC11"/>
    <mergeCell ref="CH10:CI10"/>
    <mergeCell ref="CE10:CF10"/>
    <mergeCell ref="CG12:CI12"/>
    <mergeCell ref="CQ9:CR9"/>
    <mergeCell ref="BH12:BI12"/>
    <mergeCell ref="CB10:CC10"/>
    <mergeCell ref="CA11:CC11"/>
    <mergeCell ref="CA12:CC12"/>
    <mergeCell ref="BH10:BH11"/>
    <mergeCell ref="BI10:BI11"/>
    <mergeCell ref="BE11:BG11"/>
    <mergeCell ref="BE10:BG10"/>
    <mergeCell ref="FA7:FF7"/>
    <mergeCell ref="FA8:FF8"/>
    <mergeCell ref="FA9:FF9"/>
    <mergeCell ref="FA2:FF2"/>
    <mergeCell ref="FA3:FF3"/>
    <mergeCell ref="FA4:FF4"/>
    <mergeCell ref="FA5:FF5"/>
    <mergeCell ref="EL11:EM11"/>
    <mergeCell ref="DO10:DP10"/>
    <mergeCell ref="EV10:EW12"/>
    <mergeCell ref="DZ10:DZ11"/>
    <mergeCell ref="DR10:DS10"/>
    <mergeCell ref="EP12:EQ12"/>
    <mergeCell ref="ER12:ES12"/>
    <mergeCell ref="EL10:EM10"/>
    <mergeCell ref="EN10:EO10"/>
    <mergeCell ref="EP10:EQ10"/>
    <mergeCell ref="EC10:EC11"/>
    <mergeCell ref="EG11:EH11"/>
    <mergeCell ref="EI11:EK11"/>
    <mergeCell ref="EF10:EF11"/>
    <mergeCell ref="ED10:EE10"/>
    <mergeCell ref="ED11:EE11"/>
    <mergeCell ref="EN11:EO11"/>
    <mergeCell ref="A10:A11"/>
    <mergeCell ref="B10:B11"/>
    <mergeCell ref="E10:E11"/>
    <mergeCell ref="D10:D11"/>
    <mergeCell ref="C10:C11"/>
    <mergeCell ref="J10:J11"/>
    <mergeCell ref="AH10:AH11"/>
    <mergeCell ref="BB10:BC10"/>
    <mergeCell ref="AW12:AX12"/>
    <mergeCell ref="BB12:BC12"/>
    <mergeCell ref="AW10:AW11"/>
    <mergeCell ref="AX10:AX11"/>
    <mergeCell ref="AV10:AV11"/>
    <mergeCell ref="AY11:BA11"/>
    <mergeCell ref="AZ12:BA12"/>
    <mergeCell ref="R12:U12"/>
    <mergeCell ref="Z10:Z11"/>
    <mergeCell ref="W10:W11"/>
    <mergeCell ref="V10:V11"/>
    <mergeCell ref="AO10:AO11"/>
    <mergeCell ref="AM10:AM11"/>
    <mergeCell ref="AL10:AL11"/>
    <mergeCell ref="AN10:AN11"/>
    <mergeCell ref="AF10:AF11"/>
    <mergeCell ref="X10:X11"/>
    <mergeCell ref="Y10:Y11"/>
    <mergeCell ref="R10:R11"/>
    <mergeCell ref="AE10:AE11"/>
    <mergeCell ref="DT10:DT11"/>
    <mergeCell ref="DQ10:DQ11"/>
    <mergeCell ref="DB10:DB11"/>
    <mergeCell ref="DC10:DD11"/>
    <mergeCell ref="DB12:DD12"/>
    <mergeCell ref="DE10:DE11"/>
    <mergeCell ref="DN10:DN11"/>
    <mergeCell ref="CP10:CP11"/>
    <mergeCell ref="CQ11:CR11"/>
    <mergeCell ref="DF11:DG11"/>
    <mergeCell ref="DI11:DJ11"/>
    <mergeCell ref="DQ12:DS12"/>
    <mergeCell ref="CW10:CX11"/>
    <mergeCell ref="CZ10:DA10"/>
    <mergeCell ref="CS11:CU11"/>
    <mergeCell ref="CV12:CX12"/>
    <mergeCell ref="CM12:CO12"/>
    <mergeCell ref="CK11:CL11"/>
    <mergeCell ref="CK10:CL10"/>
    <mergeCell ref="DH12:DJ12"/>
    <mergeCell ref="AJ10:AJ11"/>
    <mergeCell ref="AI10:AI11"/>
    <mergeCell ref="DW12:DY12"/>
    <mergeCell ref="DU10:DV10"/>
    <mergeCell ref="CJ12:CL12"/>
    <mergeCell ref="DE12:DG12"/>
    <mergeCell ref="DK11:DM11"/>
    <mergeCell ref="CT9:CU9"/>
    <mergeCell ref="FE11:FF11"/>
    <mergeCell ref="FC11:FD11"/>
    <mergeCell ref="ET11:EU11"/>
    <mergeCell ref="ER11:ES11"/>
    <mergeCell ref="FA11:FB11"/>
    <mergeCell ref="EY11:EZ11"/>
    <mergeCell ref="DK10:DM10"/>
    <mergeCell ref="CG11:CI11"/>
    <mergeCell ref="ET10:EU10"/>
    <mergeCell ref="EY10:EZ10"/>
    <mergeCell ref="EX10:EX11"/>
    <mergeCell ref="ER10:ES10"/>
    <mergeCell ref="CN11:CO11"/>
    <mergeCell ref="CN10:CO10"/>
    <mergeCell ref="DU11:DV11"/>
    <mergeCell ref="DW11:DY11"/>
    <mergeCell ref="ET12:EU12"/>
    <mergeCell ref="BJ10:BJ11"/>
    <mergeCell ref="EL12:EM12"/>
    <mergeCell ref="DZ12:EB12"/>
    <mergeCell ref="CP12:CR12"/>
    <mergeCell ref="EI12:EK12"/>
    <mergeCell ref="EN12:EO12"/>
    <mergeCell ref="EF12:EH12"/>
    <mergeCell ref="DT12:DV12"/>
    <mergeCell ref="EG10:EH10"/>
    <mergeCell ref="EA11:EB11"/>
    <mergeCell ref="EA10:EB10"/>
    <mergeCell ref="EP11:EQ11"/>
    <mergeCell ref="DO11:DP11"/>
    <mergeCell ref="DX10:DY10"/>
    <mergeCell ref="CY10:CY11"/>
    <mergeCell ref="CZ11:DA11"/>
    <mergeCell ref="BX12:BZ12"/>
    <mergeCell ref="BK14:BL14"/>
    <mergeCell ref="BK11:BL11"/>
    <mergeCell ref="F1:F2"/>
    <mergeCell ref="G10:G11"/>
    <mergeCell ref="F10:F11"/>
    <mergeCell ref="I2:S2"/>
    <mergeCell ref="S10:S11"/>
    <mergeCell ref="T10:T11"/>
    <mergeCell ref="M10:M11"/>
    <mergeCell ref="Q10:Q11"/>
    <mergeCell ref="K10:K11"/>
    <mergeCell ref="I3:S3"/>
    <mergeCell ref="I4:S4"/>
    <mergeCell ref="I5:S5"/>
    <mergeCell ref="O10:O11"/>
    <mergeCell ref="N10:N11"/>
    <mergeCell ref="P10:P11"/>
    <mergeCell ref="AA9:AH9"/>
    <mergeCell ref="AG10:AG11"/>
    <mergeCell ref="AD10:AD11"/>
    <mergeCell ref="AA10:AA11"/>
    <mergeCell ref="AI9:AO9"/>
    <mergeCell ref="AP9:AU9"/>
    <mergeCell ref="AK10:AK11"/>
    <mergeCell ref="FU9:FU11"/>
    <mergeCell ref="FV10:FW10"/>
    <mergeCell ref="BR9:BT9"/>
    <mergeCell ref="CG9:CI9"/>
    <mergeCell ref="CM9:CO9"/>
    <mergeCell ref="BU12:BW12"/>
    <mergeCell ref="BX9:BZ9"/>
    <mergeCell ref="BJ12:BL12"/>
    <mergeCell ref="CD12:CF12"/>
    <mergeCell ref="CA9:CC9"/>
    <mergeCell ref="CD9:CF9"/>
    <mergeCell ref="BR12:BT12"/>
    <mergeCell ref="BS10:BT10"/>
    <mergeCell ref="BR11:BT11"/>
    <mergeCell ref="CD11:CF11"/>
    <mergeCell ref="BU11:BW11"/>
    <mergeCell ref="BY10:BZ10"/>
    <mergeCell ref="BX11:BZ11"/>
    <mergeCell ref="DH10:DH11"/>
    <mergeCell ref="CS12:CU12"/>
    <mergeCell ref="DL12:DM12"/>
    <mergeCell ref="CT10:CU10"/>
    <mergeCell ref="CY12:DA12"/>
    <mergeCell ref="BV10:BW10"/>
  </mergeCells>
  <phoneticPr fontId="38" type="noConversion"/>
  <conditionalFormatting sqref="R15:R96 I15:I96 L15:L96 O15:O96 F15:F96">
    <cfRule type="expression" dxfId="7" priority="1" stopIfTrue="1">
      <formula>AND(LEN($A15)=0,LEN($B15)&gt;0)</formula>
    </cfRule>
  </conditionalFormatting>
  <printOptions horizontalCentered="1" headings="1"/>
  <pageMargins left="0.19685039370078741" right="0.19685039370078741" top="0.4" bottom="0.37" header="0.17" footer="0.17"/>
  <pageSetup paperSize="9" scale="64" fitToWidth="5" pageOrder="overThenDown" orientation="landscape" horizontalDpi="4294967293" r:id="rId1"/>
  <headerFooter alignWithMargins="0">
    <oddHeader>&amp;C&amp;F-&amp;A</oddHeader>
    <oddFooter>&amp;C&amp;P/&amp;N</oddFooter>
  </headerFooter>
  <colBreaks count="5" manualBreakCount="5">
    <brk id="24" max="39" man="1"/>
    <brk id="69" max="39" man="1"/>
    <brk id="90" max="39" man="1"/>
    <brk id="117" max="39" man="1"/>
    <brk id="141" max="39" man="1"/>
  </col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ExtrFiltre"/>
  <dimension ref="A1:B107"/>
  <sheetViews>
    <sheetView topLeftCell="A19" workbookViewId="0">
      <selection activeCell="B8" sqref="B8"/>
    </sheetView>
  </sheetViews>
  <sheetFormatPr defaultColWidth="11.42578125" defaultRowHeight="12.75"/>
  <cols>
    <col min="1" max="1" width="46.42578125" style="29" bestFit="1" customWidth="1"/>
    <col min="2" max="2" width="15.7109375" style="29" customWidth="1"/>
    <col min="3" max="16384" width="11.42578125" style="56"/>
  </cols>
  <sheetData>
    <row r="1" spans="1:2" ht="51.75" customHeight="1">
      <c r="A1" s="256" t="s">
        <v>94</v>
      </c>
      <c r="B1" s="139" t="str">
        <f>IF(TitFilt="CALog",CONCATENATE(Calog!I3," ",Calog!I4," ",Calog!I5),CONCATENATE(Ops!I3," ",Ops!I4," ",Ops!I5))</f>
        <v xml:space="preserve">Aucun filtre est appliqué  </v>
      </c>
    </row>
    <row r="2" spans="1:2" ht="13.5" thickBot="1">
      <c r="A2" s="138" t="s">
        <v>5251</v>
      </c>
      <c r="B2" s="1908" t="s">
        <v>1898</v>
      </c>
    </row>
    <row r="3" spans="1:2">
      <c r="A3" s="140" t="s">
        <v>737</v>
      </c>
      <c r="B3" s="141">
        <f>HLOOKUP(TitFilt,FiltOCResult,OpsCalog!E3,0)</f>
        <v>2</v>
      </c>
    </row>
    <row r="4" spans="1:2" ht="13.5" thickBot="1">
      <c r="A4" s="142" t="s">
        <v>2556</v>
      </c>
      <c r="B4" s="143" t="str">
        <f>HLOOKUP(TitFilt,FiltOCResult,OpsCalog!E4,0)</f>
        <v>1 Ops + 1 CALog = 2</v>
      </c>
    </row>
    <row r="5" spans="1:2" ht="13.5" thickBot="1">
      <c r="A5" s="1906" t="s">
        <v>2998</v>
      </c>
      <c r="B5" s="1907" t="e">
        <f>HLOOKUP(TitFilt,FiltOCResult,OpsCalog!E5,0)</f>
        <v>#N/A</v>
      </c>
    </row>
    <row r="6" spans="1:2" ht="13.5" thickBot="1">
      <c r="A6" s="144" t="s">
        <v>3526</v>
      </c>
      <c r="B6" s="1909" t="e">
        <f>HLOOKUP(TitFilt,FiltOCResult,OpsCalog!E6,0)</f>
        <v>#N/A</v>
      </c>
    </row>
    <row r="7" spans="1:2">
      <c r="A7" s="29" t="s">
        <v>3527</v>
      </c>
      <c r="B7" s="145">
        <f>HLOOKUP(TitFilt,FiltOCResult,OpsCalog!E7,0)</f>
        <v>0</v>
      </c>
    </row>
    <row r="8" spans="1:2">
      <c r="A8" s="29" t="s">
        <v>3528</v>
      </c>
      <c r="B8" s="147">
        <f>HLOOKUP(TitFilt,FiltOCResult,OpsCalog!E8,0)</f>
        <v>0</v>
      </c>
    </row>
    <row r="9" spans="1:2">
      <c r="A9" s="29" t="s">
        <v>1373</v>
      </c>
      <c r="B9" s="1850">
        <f>HLOOKUP(TitFilt,FiltOCResult,OpsCalog!E9,0)</f>
        <v>0</v>
      </c>
    </row>
    <row r="10" spans="1:2" ht="13.5" thickBot="1">
      <c r="A10" s="160" t="s">
        <v>551</v>
      </c>
      <c r="B10" s="488">
        <f>HLOOKUP(TitFilt,FiltOCResult,OpsCalog!E10,0)</f>
        <v>0</v>
      </c>
    </row>
    <row r="11" spans="1:2" ht="13.5" thickTop="1">
      <c r="A11" s="29" t="s">
        <v>3145</v>
      </c>
      <c r="B11" s="145">
        <f>HLOOKUP(TitFilt,FiltOCResult,OpsCalog!E11,0)</f>
        <v>0</v>
      </c>
    </row>
    <row r="12" spans="1:2">
      <c r="A12" s="29" t="s">
        <v>864</v>
      </c>
      <c r="B12" s="146">
        <f>HLOOKUP(TitFilt,FiltOCResult,OpsCalog!E12,0)</f>
        <v>0</v>
      </c>
    </row>
    <row r="13" spans="1:2">
      <c r="A13" s="29" t="s">
        <v>4309</v>
      </c>
      <c r="B13" s="1851">
        <f>HLOOKUP(TitFilt,FiltOCResult,OpsCalog!E13,0)</f>
        <v>0</v>
      </c>
    </row>
    <row r="14" spans="1:2">
      <c r="A14" s="29" t="s">
        <v>2999</v>
      </c>
      <c r="B14" s="1851">
        <f>HLOOKUP(TitFilt,FiltOCResult,OpsCalog!E14,0)</f>
        <v>0</v>
      </c>
    </row>
    <row r="15" spans="1:2" ht="13.5" thickBot="1">
      <c r="A15" s="160" t="s">
        <v>3188</v>
      </c>
      <c r="B15" s="488">
        <f>HLOOKUP(TitFilt,FiltOCResult,OpsCalog!E15,0)</f>
        <v>0</v>
      </c>
    </row>
    <row r="16" spans="1:2" ht="13.5" thickTop="1">
      <c r="A16" s="29" t="s">
        <v>3558</v>
      </c>
      <c r="B16" s="146">
        <f>HLOOKUP(TitFilt,FiltOCResult,OpsCalog!E16,0)</f>
        <v>0</v>
      </c>
    </row>
    <row r="17" spans="1:2">
      <c r="A17" s="29" t="s">
        <v>2957</v>
      </c>
      <c r="B17" s="146">
        <f>HLOOKUP(TitFilt,FiltOCResult,OpsCalog!E17,0)</f>
        <v>0</v>
      </c>
    </row>
    <row r="18" spans="1:2">
      <c r="A18" s="29" t="s">
        <v>4311</v>
      </c>
      <c r="B18" s="1850">
        <f>HLOOKUP(TitFilt,FiltOCResult,OpsCalog!E18,0)</f>
        <v>0</v>
      </c>
    </row>
    <row r="19" spans="1:2">
      <c r="A19" s="29" t="s">
        <v>3034</v>
      </c>
      <c r="B19" s="1850">
        <f>HLOOKUP(TitFilt,FiltOCResult,OpsCalog!E19,0)</f>
        <v>0</v>
      </c>
    </row>
    <row r="20" spans="1:2">
      <c r="A20" s="29" t="s">
        <v>324</v>
      </c>
      <c r="B20" s="146">
        <f>HLOOKUP(TitFilt,FiltOCResult,OpsCalog!E20,0)</f>
        <v>0</v>
      </c>
    </row>
    <row r="21" spans="1:2">
      <c r="A21" s="29" t="s">
        <v>325</v>
      </c>
      <c r="B21" s="1850">
        <f>HLOOKUP(TitFilt,FiltOCResult,OpsCalog!E21,0)</f>
        <v>0</v>
      </c>
    </row>
    <row r="22" spans="1:2">
      <c r="A22" s="29" t="s">
        <v>326</v>
      </c>
      <c r="B22" s="1850">
        <f>HLOOKUP(TitFilt,FiltOCResult,OpsCalog!E22,0)</f>
        <v>0</v>
      </c>
    </row>
    <row r="23" spans="1:2">
      <c r="A23" s="29" t="s">
        <v>2792</v>
      </c>
      <c r="B23" s="146">
        <f>HLOOKUP(TitFilt,FiltOCResult,OpsCalog!E23,0)</f>
        <v>0</v>
      </c>
    </row>
    <row r="24" spans="1:2">
      <c r="A24" s="29" t="s">
        <v>2793</v>
      </c>
      <c r="B24" s="1850">
        <f>HLOOKUP(TitFilt,FiltOCResult,OpsCalog!E24,0)</f>
        <v>0</v>
      </c>
    </row>
    <row r="25" spans="1:2">
      <c r="A25" s="29" t="s">
        <v>3609</v>
      </c>
      <c r="B25" s="146">
        <f>HLOOKUP(TitFilt,FiltOCResult,OpsCalog!E25,0)</f>
        <v>0</v>
      </c>
    </row>
    <row r="26" spans="1:2">
      <c r="A26" s="29" t="s">
        <v>2794</v>
      </c>
      <c r="B26" s="146">
        <f>HLOOKUP(TitFilt,FiltOCResult,OpsCalog!E26,0)</f>
        <v>0</v>
      </c>
    </row>
    <row r="27" spans="1:2">
      <c r="A27" s="29" t="s">
        <v>4312</v>
      </c>
      <c r="B27" s="1852">
        <f>HLOOKUP(TitFilt,FiltOCResult,OpsCalog!E27,0)</f>
        <v>0</v>
      </c>
    </row>
    <row r="28" spans="1:2">
      <c r="A28" s="29" t="s">
        <v>4313</v>
      </c>
      <c r="B28" s="1852">
        <f>HLOOKUP(TitFilt,FiltOCResult,OpsCalog!E28,0)</f>
        <v>0</v>
      </c>
    </row>
    <row r="29" spans="1:2">
      <c r="A29" s="29" t="str">
        <f>OpsCalog!A29</f>
        <v>Allocation Fonction Directeur</v>
      </c>
      <c r="B29" s="146" t="e">
        <f>HLOOKUP(TitFilt,FiltOCResult,OpsCalog!E29,0)</f>
        <v>#N/A</v>
      </c>
    </row>
    <row r="30" spans="1:2" s="137" customFormat="1">
      <c r="A30" s="490" t="str">
        <f>FormAide!D41</f>
        <v>Allocation "Fixe"  Montant indexé du moteur salariale</v>
      </c>
      <c r="B30" s="146">
        <f>HLOOKUP(TitFilt,FiltOCResult,OpsCalog!E30,0)</f>
        <v>0</v>
      </c>
    </row>
    <row r="31" spans="1:2" ht="13.5" thickBot="1">
      <c r="A31" s="160" t="s">
        <v>3696</v>
      </c>
      <c r="B31" s="488" t="e">
        <f>HLOOKUP(TitFilt,FiltOCResult,OpsCalog!E31,0)</f>
        <v>#N/A</v>
      </c>
    </row>
    <row r="32" spans="1:2" ht="13.5" thickTop="1">
      <c r="A32" s="29" t="s">
        <v>3238</v>
      </c>
      <c r="B32" s="146">
        <f>HLOOKUP(TitFilt,FiltOCResult,OpsCalog!E32,0)</f>
        <v>0</v>
      </c>
    </row>
    <row r="33" spans="1:2">
      <c r="A33" s="29" t="s">
        <v>2795</v>
      </c>
      <c r="B33" s="1850">
        <f>HLOOKUP(TitFilt,FiltOCResult,OpsCalog!E33,0)</f>
        <v>0</v>
      </c>
    </row>
    <row r="34" spans="1:2">
      <c r="A34" s="29" t="str">
        <f>FormAide!D45</f>
        <v>Indemnité enquête judiciaire - Mensuel</v>
      </c>
      <c r="B34" s="1850">
        <f>HLOOKUP(TitFilt,FiltOCResult,OpsCalog!E34,0)</f>
        <v>0</v>
      </c>
    </row>
    <row r="35" spans="1:2">
      <c r="A35" s="29" t="str">
        <f>FormAide!D46</f>
        <v>Indemnité pour chien policier</v>
      </c>
      <c r="B35" s="1850">
        <f>HLOOKUP(TitFilt,FiltOCResult,OpsCalog!E35,0)</f>
        <v>0</v>
      </c>
    </row>
    <row r="36" spans="1:2" ht="13.5" thickBot="1">
      <c r="A36" s="160" t="s">
        <v>3305</v>
      </c>
      <c r="B36" s="488">
        <f>HLOOKUP(TitFilt,FiltOCResult,OpsCalog!E36,0)</f>
        <v>0</v>
      </c>
    </row>
    <row r="37" spans="1:2" ht="13.5" thickTop="1">
      <c r="A37" s="29" t="s">
        <v>1236</v>
      </c>
      <c r="B37" s="146">
        <f>HLOOKUP(TitFilt,FiltOCResult,OpsCalog!E37,0)</f>
        <v>0</v>
      </c>
    </row>
    <row r="38" spans="1:2">
      <c r="A38" s="29" t="s">
        <v>2796</v>
      </c>
      <c r="B38" s="146">
        <f>HLOOKUP(TitFilt,FiltOCResult,OpsCalog!E38,0)</f>
        <v>0</v>
      </c>
    </row>
    <row r="39" spans="1:2">
      <c r="A39" s="29" t="s">
        <v>212</v>
      </c>
      <c r="B39" s="146">
        <f>HLOOKUP(TitFilt,FiltOCResult,OpsCalog!E39,0)</f>
        <v>0</v>
      </c>
    </row>
    <row r="40" spans="1:2">
      <c r="A40" s="29" t="s">
        <v>213</v>
      </c>
      <c r="B40" s="146">
        <f>HLOOKUP(TitFilt,FiltOCResult,OpsCalog!E40,0)</f>
        <v>0</v>
      </c>
    </row>
    <row r="41" spans="1:2">
      <c r="A41" s="29" t="s">
        <v>2578</v>
      </c>
      <c r="B41" s="146">
        <f>HLOOKUP(TitFilt,FiltOCResult,OpsCalog!E41,0)</f>
        <v>0</v>
      </c>
    </row>
    <row r="42" spans="1:2">
      <c r="A42" s="29" t="s">
        <v>214</v>
      </c>
      <c r="B42" s="1850">
        <f>HLOOKUP(TitFilt,FiltOCResult,OpsCalog!E42,0)</f>
        <v>0</v>
      </c>
    </row>
    <row r="43" spans="1:2">
      <c r="A43" s="29" t="s">
        <v>479</v>
      </c>
      <c r="B43" s="1850">
        <f>HLOOKUP(TitFilt,FiltOCResult,OpsCalog!E43,0)</f>
        <v>0</v>
      </c>
    </row>
    <row r="44" spans="1:2">
      <c r="A44" s="29" t="s">
        <v>3695</v>
      </c>
      <c r="B44" s="1850">
        <f>HLOOKUP(TitFilt,FiltOCResult,OpsCalog!E44,0)</f>
        <v>0</v>
      </c>
    </row>
    <row r="45" spans="1:2">
      <c r="A45" s="29" t="s">
        <v>478</v>
      </c>
      <c r="B45" s="146">
        <f>HLOOKUP(TitFilt,FiltOCResult,OpsCalog!E45,0)</f>
        <v>0</v>
      </c>
    </row>
    <row r="46" spans="1:2" ht="13.5" thickBot="1">
      <c r="A46" s="160" t="s">
        <v>3697</v>
      </c>
      <c r="B46" s="488">
        <f>HLOOKUP(TitFilt,FiltOCResult,OpsCalog!E46,0)</f>
        <v>0</v>
      </c>
    </row>
    <row r="47" spans="1:2" s="137" customFormat="1" ht="13.5" thickTop="1">
      <c r="A47" s="29" t="str">
        <f>FormAide!D48</f>
        <v>Indemnités de déplacement  lieu de travail/maison/ KM</v>
      </c>
      <c r="B47" s="146" t="e">
        <f>HLOOKUP(TitFilt,FiltOCResult,OpsCalog!E47,0)</f>
        <v>#N/A</v>
      </c>
    </row>
    <row r="48" spans="1:2">
      <c r="A48" s="29" t="str">
        <f>FormAide!D49</f>
        <v>Indemnités de déplacement  lieu de travail/maison/ Abt Soc</v>
      </c>
      <c r="B48" s="146" t="e">
        <f>HLOOKUP(TitFilt,FiltOCResult,OpsCalog!E48,0)</f>
        <v>#N/A</v>
      </c>
    </row>
    <row r="49" spans="1:2">
      <c r="A49" s="29" t="str">
        <f>FormAide!D50</f>
        <v>Indemnités de déplacement  (Frais de voyage) L021 - L096</v>
      </c>
      <c r="B49" s="146" t="e">
        <f>HLOOKUP(TitFilt,FiltOCResult,OpsCalog!E49,0)</f>
        <v>#N/A</v>
      </c>
    </row>
    <row r="50" spans="1:2">
      <c r="A50" s="29" t="str">
        <f>FormAide!D51</f>
        <v>Indemnité enquête judiciaire - Journalier</v>
      </c>
      <c r="B50" s="1850">
        <f>HLOOKUP(TitFilt,FiltOCResult,OpsCalog!E50,0)</f>
        <v>0</v>
      </c>
    </row>
    <row r="51" spans="1:2">
      <c r="A51" s="29" t="str">
        <f>FormAide!D52</f>
        <v>Indemnités de repas: Modèle 9BIS</v>
      </c>
      <c r="B51" s="146">
        <f>HLOOKUP(TitFilt,FiltOCResult,OpsCalog!E51,0)</f>
        <v>0</v>
      </c>
    </row>
    <row r="52" spans="1:2">
      <c r="A52" s="29" t="str">
        <f>FormAide!D53</f>
        <v>Indemnités de repas &amp; frais de séjour : L021 - L096</v>
      </c>
      <c r="B52" s="146">
        <f>HLOOKUP(TitFilt,FiltOCResult,OpsCalog!E52,0)</f>
        <v>0</v>
      </c>
    </row>
    <row r="53" spans="1:2">
      <c r="A53" s="29" t="s">
        <v>1657</v>
      </c>
      <c r="B53" s="146">
        <f>HLOOKUP(TitFilt,FiltOCResult,OpsCalog!E53,0)</f>
        <v>0</v>
      </c>
    </row>
    <row r="54" spans="1:2">
      <c r="A54" s="29" t="str">
        <f>FormAide!D55</f>
        <v>Autres Indemnités</v>
      </c>
      <c r="B54" s="146">
        <f>HLOOKUP(TitFilt,FiltOCResult,OpsCalog!E54,0)</f>
        <v>0</v>
      </c>
    </row>
    <row r="55" spans="1:2" ht="13.5" thickBot="1">
      <c r="A55" s="160" t="s">
        <v>4040</v>
      </c>
      <c r="B55" s="488" t="e">
        <f>HLOOKUP(TitFilt,FiltOCResult,OpsCalog!E55,0)</f>
        <v>#N/A</v>
      </c>
    </row>
    <row r="56" spans="1:2" ht="13.5" thickTop="1">
      <c r="A56" s="1842" t="s">
        <v>3699</v>
      </c>
      <c r="B56" s="1843" t="e">
        <f>HLOOKUP(TitFilt,FiltOCResult,OpsCalog!E56,0)</f>
        <v>#N/A</v>
      </c>
    </row>
    <row r="57" spans="1:2">
      <c r="A57" s="1844" t="s">
        <v>3698</v>
      </c>
      <c r="B57" s="1845" t="e">
        <f>HLOOKUP(TitFilt,FiltOCResult,OpsCalog!E57,0)</f>
        <v>#N/A</v>
      </c>
    </row>
    <row r="58" spans="1:2">
      <c r="A58" s="1846" t="s">
        <v>3249</v>
      </c>
      <c r="B58" s="1847" t="e">
        <f>HLOOKUP(TitFilt,FiltOCResult,OpsCalog!E58,0)</f>
        <v>#N/A</v>
      </c>
    </row>
    <row r="59" spans="1:2" ht="13.5" thickBot="1">
      <c r="A59" s="1848" t="s">
        <v>3250</v>
      </c>
      <c r="B59" s="1849" t="e">
        <f>HLOOKUP(TitFilt,FiltOCResult,OpsCalog!E59,0)</f>
        <v>#N/A</v>
      </c>
    </row>
    <row r="60" spans="1:2" ht="13.5" thickTop="1">
      <c r="A60" s="29" t="s">
        <v>3251</v>
      </c>
      <c r="B60" s="441">
        <f>HLOOKUP(TitFilt,FiltOCResult,OpsCalog!E60,0)</f>
        <v>0</v>
      </c>
    </row>
    <row r="61" spans="1:2">
      <c r="A61" s="29" t="s">
        <v>3326</v>
      </c>
      <c r="B61" s="430">
        <f>HLOOKUP(TitFilt,FiltOCResult,OpsCalog!E61,0)</f>
        <v>0</v>
      </c>
    </row>
    <row r="62" spans="1:2">
      <c r="A62" s="29" t="s">
        <v>3327</v>
      </c>
      <c r="B62" s="430">
        <f>HLOOKUP(TitFilt,FiltOCResult,OpsCalog!E62,0)</f>
        <v>0</v>
      </c>
    </row>
    <row r="63" spans="1:2">
      <c r="A63" s="29" t="s">
        <v>1723</v>
      </c>
      <c r="B63" s="489">
        <f>HLOOKUP(TitFilt,FiltOCResult,OpsCalog!E63,0)</f>
        <v>0</v>
      </c>
    </row>
    <row r="64" spans="1:2">
      <c r="A64" s="29" t="s">
        <v>1722</v>
      </c>
      <c r="B64" s="430">
        <f>HLOOKUP(TitFilt,FiltOCResult,OpsCalog!E64,0)</f>
        <v>0</v>
      </c>
    </row>
    <row r="65" spans="1:2" ht="13.5" thickBot="1">
      <c r="A65" s="160" t="s">
        <v>1724</v>
      </c>
      <c r="B65" s="488">
        <f>HLOOKUP(TitFilt,FiltOCResult,OpsCalog!E65,0)</f>
        <v>0</v>
      </c>
    </row>
    <row r="66" spans="1:2" ht="23.25" thickTop="1">
      <c r="A66" s="161" t="s">
        <v>2353</v>
      </c>
      <c r="B66" s="431" t="e">
        <f>HLOOKUP(TitFilt,FiltOCResult,OpsCalog!E66,0)</f>
        <v>#DIV/0!</v>
      </c>
    </row>
    <row r="67" spans="1:2" ht="22.5">
      <c r="A67" s="1899" t="s">
        <v>3557</v>
      </c>
      <c r="B67" s="544">
        <f>HLOOKUP(TitFilt,FiltOCResult,OpsCalog!E67,0)</f>
        <v>0</v>
      </c>
    </row>
    <row r="68" spans="1:2" ht="33.75">
      <c r="A68" s="1899" t="s">
        <v>1207</v>
      </c>
      <c r="B68" s="432">
        <f>HLOOKUP(TitFilt,FiltOCResult,OpsCalog!E68,0)</f>
        <v>0</v>
      </c>
    </row>
    <row r="69" spans="1:2" ht="13.5" thickBot="1">
      <c r="A69" s="1911" t="s">
        <v>3000</v>
      </c>
      <c r="B69" s="1910" t="e">
        <f>HLOOKUP(TitFilt,FiltOCResult,OpsCalog!E69,0)</f>
        <v>#N/A</v>
      </c>
    </row>
    <row r="70" spans="1:2" ht="14.25" thickTop="1" thickBot="1">
      <c r="A70" s="1900" t="s">
        <v>2557</v>
      </c>
      <c r="B70" s="169">
        <f>HLOOKUP(TitFilt,FiltOCResult,OpsCalog!E70,0)</f>
        <v>0</v>
      </c>
    </row>
    <row r="71" spans="1:2" ht="13.5" thickTop="1">
      <c r="A71" s="1853" t="e">
        <f>IF((B10+B15+B31+B36+B46+B55+B65)=B70,"",B10+B15+B31+B36+B46+B55+B65)</f>
        <v>#N/A</v>
      </c>
      <c r="B71" s="443">
        <f>HLOOKUP(TitFilt,FiltOCResult,OpsCalog!E71,0)</f>
        <v>0</v>
      </c>
    </row>
    <row r="72" spans="1:2">
      <c r="A72" s="442" t="s">
        <v>2002</v>
      </c>
      <c r="B72" s="1853" t="e">
        <f>HLOOKUP(TitFilt,FiltOCResult,OpsCalog!E72,0)</f>
        <v>#N/A</v>
      </c>
    </row>
    <row r="73" spans="1:2">
      <c r="A73" s="1894" t="s">
        <v>2003</v>
      </c>
      <c r="B73" s="1895" t="e">
        <f>HLOOKUP(TitFilt,FiltOCResult,OpsCalog!E73,0)</f>
        <v>#N/A</v>
      </c>
    </row>
    <row r="74" spans="1:2">
      <c r="A74" s="1894" t="s">
        <v>2004</v>
      </c>
      <c r="B74" s="1895" t="e">
        <f>HLOOKUP(TitFilt,FiltOCResult,OpsCalog!E74,0)</f>
        <v>#N/A</v>
      </c>
    </row>
    <row r="75" spans="1:2">
      <c r="A75" s="1894" t="s">
        <v>2005</v>
      </c>
      <c r="B75" s="1895" t="e">
        <f>HLOOKUP(TitFilt,FiltOCResult,OpsCalog!E75,0)</f>
        <v>#DIV/0!</v>
      </c>
    </row>
    <row r="76" spans="1:2">
      <c r="A76" s="1894" t="s">
        <v>2006</v>
      </c>
      <c r="B76" s="1895" t="e">
        <f>HLOOKUP(TitFilt,FiltOCResult,OpsCalog!E76,0)</f>
        <v>#DIV/0!</v>
      </c>
    </row>
    <row r="77" spans="1:2">
      <c r="A77" s="1896" t="s">
        <v>41</v>
      </c>
      <c r="B77" s="1897" t="e">
        <f>HLOOKUP(TitFilt,FiltOCResult,OpsCalog!E77,0)</f>
        <v>#N/A</v>
      </c>
    </row>
    <row r="78" spans="1:2" ht="13.5" thickBot="1">
      <c r="A78" s="1896"/>
      <c r="B78" s="1898" t="e">
        <f>HLOOKUP(TitFilt,FiltOCResult,OpsCalog!E78,0)</f>
        <v>#N/A</v>
      </c>
    </row>
    <row r="79" spans="1:2" ht="13.5" thickBot="1">
      <c r="A79" s="148" t="s">
        <v>1208</v>
      </c>
      <c r="B79" s="149">
        <f>HLOOKUP(TitFilt,FiltOCResult,OpsCalog!E79,0)</f>
        <v>0</v>
      </c>
    </row>
    <row r="80" spans="1:2">
      <c r="A80" s="2236" t="s">
        <v>5246</v>
      </c>
      <c r="B80" s="145" t="e">
        <f>HLOOKUP(TitFilt,FiltOCResult,OpsCalog!E80,0)</f>
        <v>#N/A</v>
      </c>
    </row>
    <row r="81" spans="1:2">
      <c r="A81" s="2236" t="s">
        <v>5247</v>
      </c>
      <c r="B81" s="146" t="e">
        <f>HLOOKUP(TitFilt,FiltOCResult,OpsCalog!E81,0)</f>
        <v>#N/A</v>
      </c>
    </row>
    <row r="82" spans="1:2">
      <c r="A82" s="2236" t="s">
        <v>5248</v>
      </c>
      <c r="B82" s="146" t="e">
        <f>HLOOKUP(TitFilt,FiltOCResult,OpsCalog!E82,0)</f>
        <v>#N/A</v>
      </c>
    </row>
    <row r="83" spans="1:2">
      <c r="A83" s="2236" t="s">
        <v>5249</v>
      </c>
      <c r="B83" s="146" t="e">
        <f>HLOOKUP(TitFilt,FiltOCResult,OpsCalog!E83,0)</f>
        <v>#N/A</v>
      </c>
    </row>
    <row r="84" spans="1:2">
      <c r="A84" s="2236" t="s">
        <v>5250</v>
      </c>
      <c r="B84" s="146" t="e">
        <f>HLOOKUP(TitFilt,FiltOCResult,OpsCalog!E84,0)</f>
        <v>#N/A</v>
      </c>
    </row>
    <row r="85" spans="1:2">
      <c r="A85" s="150" t="s">
        <v>2015</v>
      </c>
      <c r="B85" s="1850" t="e">
        <f>HLOOKUP(TitFilt,FiltOCResult,OpsCalog!E85,0)</f>
        <v>#N/A</v>
      </c>
    </row>
    <row r="86" spans="1:2" ht="13.5" thickBot="1">
      <c r="A86" s="150" t="s">
        <v>1841</v>
      </c>
      <c r="B86" s="1850" t="e">
        <f>HLOOKUP(TitFilt,FiltOCResult,OpsCalog!E86,0)</f>
        <v>#N/A</v>
      </c>
    </row>
    <row r="87" spans="1:2">
      <c r="A87" s="151" t="s">
        <v>1842</v>
      </c>
      <c r="B87" s="152">
        <f>HLOOKUP(TitFilt,FiltOCResult,OpsCalog!E87,0)</f>
        <v>0</v>
      </c>
    </row>
    <row r="88" spans="1:2">
      <c r="A88" s="153" t="s">
        <v>1941</v>
      </c>
      <c r="B88" s="154">
        <f>HLOOKUP(TitFilt,FiltOCResult,OpsCalog!E88,0)</f>
        <v>1</v>
      </c>
    </row>
    <row r="89" spans="1:2">
      <c r="A89" s="155" t="s">
        <v>3717</v>
      </c>
      <c r="B89" s="156" t="e">
        <f>HLOOKUP(TitFilt,FiltOCResult,OpsCalog!E89,0)</f>
        <v>#N/A</v>
      </c>
    </row>
    <row r="90" spans="1:2">
      <c r="A90" s="150" t="s">
        <v>5258</v>
      </c>
      <c r="B90" s="157">
        <f>HLOOKUP(TitFilt,FiltOCResult,OpsCalog!E90,0)</f>
        <v>0</v>
      </c>
    </row>
    <row r="91" spans="1:2">
      <c r="A91" s="150" t="s">
        <v>5257</v>
      </c>
      <c r="B91" s="157">
        <f>HLOOKUP(TitFilt,FiltOCResult,OpsCalog!E91,0)</f>
        <v>0</v>
      </c>
    </row>
    <row r="92" spans="1:2">
      <c r="A92" s="150" t="s">
        <v>5256</v>
      </c>
      <c r="B92" s="157">
        <f>HLOOKUP(TitFilt,FiltOCResult,OpsCalog!E92,0)</f>
        <v>0</v>
      </c>
    </row>
    <row r="93" spans="1:2">
      <c r="A93" s="150" t="s">
        <v>5255</v>
      </c>
      <c r="B93" s="157">
        <f>HLOOKUP(TitFilt,FiltOCResult,OpsCalog!E93,0)</f>
        <v>0</v>
      </c>
    </row>
    <row r="94" spans="1:2" ht="13.5" thickBot="1">
      <c r="A94" s="150" t="s">
        <v>5254</v>
      </c>
      <c r="B94" s="158">
        <f>HLOOKUP(TitFilt,FiltOCResult,OpsCalog!E94,0)</f>
        <v>0</v>
      </c>
    </row>
    <row r="95" spans="1:2" ht="13.5" thickBot="1">
      <c r="A95" s="162" t="s">
        <v>2508</v>
      </c>
      <c r="B95" s="163">
        <f>HLOOKUP(TitFilt,FiltOCResult,OpsCalog!E95,0)</f>
        <v>0</v>
      </c>
    </row>
    <row r="96" spans="1:2">
      <c r="A96" s="150" t="s">
        <v>2337</v>
      </c>
      <c r="B96" s="145">
        <f>HLOOKUP(TitFilt,FiltOCResult,OpsCalog!E96,0)</f>
        <v>0</v>
      </c>
    </row>
    <row r="97" spans="1:2">
      <c r="A97" s="150" t="s">
        <v>2049</v>
      </c>
      <c r="B97" s="146">
        <f>HLOOKUP(TitFilt,FiltOCResult,OpsCalog!E97,0)</f>
        <v>0</v>
      </c>
    </row>
    <row r="98" spans="1:2">
      <c r="A98" s="150" t="s">
        <v>2050</v>
      </c>
      <c r="B98" s="146">
        <f>HLOOKUP(TitFilt,FiltOCResult,OpsCalog!E98,0)</f>
        <v>0</v>
      </c>
    </row>
    <row r="99" spans="1:2">
      <c r="A99" s="150" t="s">
        <v>2051</v>
      </c>
      <c r="B99" s="146">
        <f>HLOOKUP(TitFilt,FiltOCResult,OpsCalog!E99,0)</f>
        <v>0</v>
      </c>
    </row>
    <row r="100" spans="1:2">
      <c r="A100" s="150" t="s">
        <v>3509</v>
      </c>
      <c r="B100" s="146">
        <f>HLOOKUP(TitFilt,FiltOCResult,OpsCalog!E100,0)</f>
        <v>0</v>
      </c>
    </row>
    <row r="101" spans="1:2">
      <c r="A101" s="150" t="s">
        <v>2015</v>
      </c>
      <c r="B101" s="146">
        <f>HLOOKUP(TitFilt,FiltOCResult,OpsCalog!E101,0)</f>
        <v>0</v>
      </c>
    </row>
    <row r="102" spans="1:2">
      <c r="A102" s="150" t="s">
        <v>2509</v>
      </c>
      <c r="B102" s="146">
        <f>HLOOKUP(TitFilt,FiltOCResult,OpsCalog!E102,0)</f>
        <v>0</v>
      </c>
    </row>
    <row r="103" spans="1:2" ht="13.5" thickBot="1">
      <c r="A103" s="150"/>
      <c r="B103" s="56"/>
    </row>
    <row r="104" spans="1:2">
      <c r="A104" s="2475">
        <f>+Ctl_FiltC</f>
        <v>1</v>
      </c>
      <c r="B104" s="56"/>
    </row>
    <row r="105" spans="1:2">
      <c r="A105" s="2476">
        <f>+Ctl_FiltO</f>
        <v>1</v>
      </c>
      <c r="B105" s="56"/>
    </row>
    <row r="106" spans="1:2" ht="13.5" thickBot="1">
      <c r="A106" s="2477">
        <f>SUM(A104:A105)</f>
        <v>2</v>
      </c>
      <c r="B106" s="56"/>
    </row>
    <row r="107" spans="1:2">
      <c r="B107" s="56"/>
    </row>
  </sheetData>
  <phoneticPr fontId="38" type="noConversion"/>
  <pageMargins left="0.75" right="0.75" top="1" bottom="1" header="0.5" footer="0.5"/>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Calog"/>
  <dimension ref="A1:H107"/>
  <sheetViews>
    <sheetView workbookViewId="0">
      <selection activeCell="F12" sqref="F12"/>
    </sheetView>
  </sheetViews>
  <sheetFormatPr defaultColWidth="11.42578125" defaultRowHeight="12.75"/>
  <cols>
    <col min="1" max="1" width="46.42578125" style="29" bestFit="1" customWidth="1"/>
    <col min="2" max="2" width="15.7109375" style="29" customWidth="1"/>
    <col min="3" max="4" width="23.5703125" style="56" customWidth="1"/>
    <col min="5" max="5" width="4" style="56" bestFit="1" customWidth="1"/>
    <col min="6" max="6" width="15" style="56" customWidth="1"/>
    <col min="7" max="16384" width="11.42578125" style="56"/>
  </cols>
  <sheetData>
    <row r="1" spans="1:5">
      <c r="A1" s="138" t="s">
        <v>250</v>
      </c>
      <c r="B1" s="139" t="s">
        <v>646</v>
      </c>
      <c r="C1" s="139" t="s">
        <v>4355</v>
      </c>
      <c r="D1" s="139" t="s">
        <v>1898</v>
      </c>
      <c r="E1" s="56">
        <v>1</v>
      </c>
    </row>
    <row r="2" spans="1:5" ht="23.25" thickBot="1">
      <c r="A2" s="138"/>
      <c r="B2" s="1827" t="str">
        <f>CONCATENATE(Ops!I3,"             ",Ops!I4,"             ",Ops!I5)</f>
        <v xml:space="preserve">Aucun filtre est appliqué                          </v>
      </c>
      <c r="C2" s="1827" t="str">
        <f>CONCATENATE(Calog!I3,"             ",Calog!I4,"             ",Calog!J5)</f>
        <v xml:space="preserve">Aucun filtre est appliqué                          </v>
      </c>
      <c r="D2" s="1827" t="str">
        <f>CONCATENATE("-",B2," -",C2)</f>
        <v xml:space="preserve">-Aucun filtre est appliqué                           -Aucun filtre est appliqué                          </v>
      </c>
      <c r="E2" s="56">
        <v>2</v>
      </c>
    </row>
    <row r="3" spans="1:5">
      <c r="A3" s="140" t="s">
        <v>737</v>
      </c>
      <c r="B3" s="141">
        <f>Ops!D1</f>
        <v>1</v>
      </c>
      <c r="C3" s="141">
        <f>Calog!D1</f>
        <v>1</v>
      </c>
      <c r="D3" s="2238">
        <f>SUM(B3:C3)</f>
        <v>2</v>
      </c>
      <c r="E3" s="56">
        <v>3</v>
      </c>
    </row>
    <row r="4" spans="1:5" ht="13.5" thickBot="1">
      <c r="A4" s="142" t="s">
        <v>2556</v>
      </c>
      <c r="B4" s="143">
        <f>Ops!D8</f>
        <v>1</v>
      </c>
      <c r="C4" s="143">
        <f>Calog!D8</f>
        <v>1</v>
      </c>
      <c r="D4" s="2237" t="str">
        <f>CONCATENATE(B4," ",B1," + ",C4," ",C1," = ",SUM(B4:C4))</f>
        <v>1 Ops + 1 CALog = 2</v>
      </c>
      <c r="E4" s="56">
        <v>4</v>
      </c>
    </row>
    <row r="5" spans="1:5" ht="13.5" thickBot="1">
      <c r="A5" s="1906" t="s">
        <v>2998</v>
      </c>
      <c r="B5" s="1912"/>
      <c r="C5" s="1912"/>
      <c r="D5" s="1912" t="e">
        <f>SUM(Ops!FT9:FU9)</f>
        <v>#N/A</v>
      </c>
      <c r="E5" s="56">
        <v>5</v>
      </c>
    </row>
    <row r="6" spans="1:5" ht="13.5" thickBot="1">
      <c r="A6" s="144" t="s">
        <v>3526</v>
      </c>
      <c r="B6" s="1909" t="e">
        <f>SUM(Ops!AW1:AX1)</f>
        <v>#N/A</v>
      </c>
      <c r="C6" s="1909" t="e">
        <f>SUM(Calog!AW1:AX1)</f>
        <v>#N/A</v>
      </c>
      <c r="D6" s="1909" t="e">
        <f t="shared" ref="D6:D65" si="0">SUM(B6:C6)</f>
        <v>#N/A</v>
      </c>
      <c r="E6" s="56">
        <v>6</v>
      </c>
    </row>
    <row r="7" spans="1:5">
      <c r="A7" s="29" t="s">
        <v>3527</v>
      </c>
      <c r="B7" s="145" t="str">
        <f>Ops!AV3</f>
        <v/>
      </c>
      <c r="C7" s="145" t="str">
        <f>Calog!AV3</f>
        <v/>
      </c>
      <c r="D7" s="145">
        <f t="shared" si="0"/>
        <v>0</v>
      </c>
      <c r="E7" s="56">
        <v>7</v>
      </c>
    </row>
    <row r="8" spans="1:5">
      <c r="A8" s="29" t="s">
        <v>3528</v>
      </c>
      <c r="B8" s="147">
        <f>SUM(Ops!AW3:AX3)</f>
        <v>0</v>
      </c>
      <c r="C8" s="147">
        <f>SUM(Calog!AW3:AX3)</f>
        <v>0</v>
      </c>
      <c r="D8" s="147">
        <f t="shared" si="0"/>
        <v>0</v>
      </c>
      <c r="E8" s="56">
        <v>8</v>
      </c>
    </row>
    <row r="9" spans="1:5">
      <c r="A9" s="29" t="s">
        <v>1373</v>
      </c>
      <c r="B9" s="1850">
        <f>SUM(Ops!BN3:BO3)</f>
        <v>0</v>
      </c>
      <c r="C9" s="1850"/>
      <c r="D9" s="1850">
        <f t="shared" si="0"/>
        <v>0</v>
      </c>
      <c r="E9" s="56">
        <v>9</v>
      </c>
    </row>
    <row r="10" spans="1:5" ht="13.5" thickBot="1">
      <c r="A10" s="160" t="s">
        <v>551</v>
      </c>
      <c r="B10" s="488">
        <f>B8+B9</f>
        <v>0</v>
      </c>
      <c r="C10" s="488">
        <f>C8+C9</f>
        <v>0</v>
      </c>
      <c r="D10" s="488">
        <f t="shared" si="0"/>
        <v>0</v>
      </c>
      <c r="E10" s="56">
        <v>10</v>
      </c>
    </row>
    <row r="11" spans="1:5" ht="13.5" thickTop="1">
      <c r="A11" s="29" t="s">
        <v>3145</v>
      </c>
      <c r="B11" s="145">
        <f>SUM(Ops!BH3:BI3)</f>
        <v>0</v>
      </c>
      <c r="C11" s="145">
        <f>SUM(Calog!BH3:BI3)</f>
        <v>0</v>
      </c>
      <c r="D11" s="145">
        <f t="shared" si="0"/>
        <v>0</v>
      </c>
      <c r="E11" s="56">
        <v>11</v>
      </c>
    </row>
    <row r="12" spans="1:5">
      <c r="A12" s="29" t="s">
        <v>864</v>
      </c>
      <c r="B12" s="146">
        <f>SUM(Ops!BJ3:BL3)</f>
        <v>0</v>
      </c>
      <c r="C12" s="146">
        <f>SUM(Calog!BK3:BL3)</f>
        <v>0</v>
      </c>
      <c r="D12" s="146">
        <f t="shared" si="0"/>
        <v>0</v>
      </c>
      <c r="E12" s="56">
        <v>12</v>
      </c>
    </row>
    <row r="13" spans="1:5">
      <c r="A13" s="29" t="s">
        <v>4309</v>
      </c>
      <c r="B13" s="1851"/>
      <c r="C13" s="1851">
        <f>SUM(Calog!DF3:DG3)</f>
        <v>0</v>
      </c>
      <c r="D13" s="1851">
        <f t="shared" si="0"/>
        <v>0</v>
      </c>
      <c r="E13" s="56">
        <v>13</v>
      </c>
    </row>
    <row r="14" spans="1:5">
      <c r="A14" s="29" t="s">
        <v>2999</v>
      </c>
      <c r="B14" s="1851"/>
      <c r="C14" s="1851">
        <f>SUM(Calog!DI3:DJ3)</f>
        <v>0</v>
      </c>
      <c r="D14" s="1851">
        <f t="shared" si="0"/>
        <v>0</v>
      </c>
      <c r="E14" s="56">
        <v>14</v>
      </c>
    </row>
    <row r="15" spans="1:5" ht="13.5" thickBot="1">
      <c r="A15" s="160" t="s">
        <v>4310</v>
      </c>
      <c r="B15" s="488">
        <f>SUM(B11:B14)</f>
        <v>0</v>
      </c>
      <c r="C15" s="488">
        <f>SUM(C11:C14)</f>
        <v>0</v>
      </c>
      <c r="D15" s="488">
        <f t="shared" si="0"/>
        <v>0</v>
      </c>
      <c r="E15" s="56">
        <v>15</v>
      </c>
    </row>
    <row r="16" spans="1:5" ht="13.5" thickTop="1">
      <c r="A16" s="29" t="s">
        <v>3558</v>
      </c>
      <c r="B16" s="146">
        <f>SUM(Ops!BB3:BC3)</f>
        <v>0</v>
      </c>
      <c r="C16" s="146">
        <f>SUM(Calog!BB3:BC3)</f>
        <v>0</v>
      </c>
      <c r="D16" s="146">
        <f t="shared" si="0"/>
        <v>0</v>
      </c>
      <c r="E16" s="56">
        <v>16</v>
      </c>
    </row>
    <row r="17" spans="1:6">
      <c r="A17" s="29" t="s">
        <v>2957</v>
      </c>
      <c r="B17" s="146">
        <f>SUM(Ops!BF3:BG3)</f>
        <v>0</v>
      </c>
      <c r="C17" s="146">
        <f>SUM(Calog!BF3:BG3)</f>
        <v>0</v>
      </c>
      <c r="D17" s="146">
        <f t="shared" si="0"/>
        <v>0</v>
      </c>
      <c r="E17" s="56">
        <v>17</v>
      </c>
    </row>
    <row r="18" spans="1:6">
      <c r="A18" s="29" t="s">
        <v>4311</v>
      </c>
      <c r="B18" s="1850">
        <f>SUM(Ops!CT3:CU3)</f>
        <v>0</v>
      </c>
      <c r="C18" s="1850"/>
      <c r="D18" s="1850">
        <f t="shared" si="0"/>
        <v>0</v>
      </c>
      <c r="E18" s="56">
        <v>18</v>
      </c>
    </row>
    <row r="19" spans="1:6">
      <c r="A19" s="29" t="s">
        <v>3034</v>
      </c>
      <c r="B19" s="1850">
        <f>SUM(Ops!CW3:CX3)</f>
        <v>0</v>
      </c>
      <c r="C19" s="1850"/>
      <c r="D19" s="1850">
        <f t="shared" si="0"/>
        <v>0</v>
      </c>
      <c r="E19" s="56">
        <v>19</v>
      </c>
    </row>
    <row r="20" spans="1:6">
      <c r="A20" s="29" t="s">
        <v>324</v>
      </c>
      <c r="B20" s="146">
        <f>SUM(Ops!CZ3:DA3)</f>
        <v>0</v>
      </c>
      <c r="C20" s="146">
        <f>SUM(Calog!CK3:CL3)</f>
        <v>0</v>
      </c>
      <c r="D20" s="146">
        <f t="shared" si="0"/>
        <v>0</v>
      </c>
      <c r="E20" s="56">
        <v>20</v>
      </c>
    </row>
    <row r="21" spans="1:6">
      <c r="A21" s="29" t="s">
        <v>325</v>
      </c>
      <c r="B21" s="1850">
        <f>SUM(Ops!DC3:DD3)</f>
        <v>0</v>
      </c>
      <c r="C21" s="1850"/>
      <c r="D21" s="1850">
        <f t="shared" si="0"/>
        <v>0</v>
      </c>
      <c r="E21" s="56">
        <v>21</v>
      </c>
    </row>
    <row r="22" spans="1:6">
      <c r="A22" s="29" t="s">
        <v>326</v>
      </c>
      <c r="B22" s="1850">
        <f>SUM(Ops!DF3:DG3)</f>
        <v>0</v>
      </c>
      <c r="C22" s="1850"/>
      <c r="D22" s="1850">
        <f t="shared" si="0"/>
        <v>0</v>
      </c>
      <c r="E22" s="56">
        <v>22</v>
      </c>
    </row>
    <row r="23" spans="1:6">
      <c r="A23" s="29" t="s">
        <v>2792</v>
      </c>
      <c r="B23" s="146">
        <f>SUM(Ops!DI3:DJ3)</f>
        <v>0</v>
      </c>
      <c r="C23" s="146">
        <f>SUM(Calog!CN3:CO3)</f>
        <v>0</v>
      </c>
      <c r="D23" s="146">
        <f t="shared" si="0"/>
        <v>0</v>
      </c>
      <c r="E23" s="56">
        <v>23</v>
      </c>
    </row>
    <row r="24" spans="1:6">
      <c r="A24" s="29" t="s">
        <v>2793</v>
      </c>
      <c r="B24" s="1850">
        <f>SUM(Ops!DL3:DM3)</f>
        <v>0</v>
      </c>
      <c r="C24" s="1850">
        <v>0</v>
      </c>
      <c r="D24" s="1850">
        <f t="shared" si="0"/>
        <v>0</v>
      </c>
      <c r="E24" s="56">
        <v>24</v>
      </c>
    </row>
    <row r="25" spans="1:6">
      <c r="A25" s="29" t="s">
        <v>3609</v>
      </c>
      <c r="B25" s="146">
        <f>SUM(Ops!DP3:DQ3)</f>
        <v>0</v>
      </c>
      <c r="C25" s="146">
        <f>SUM(Calog!CT3:CU3)</f>
        <v>0</v>
      </c>
      <c r="D25" s="146">
        <f t="shared" si="0"/>
        <v>0</v>
      </c>
      <c r="E25" s="56">
        <v>25</v>
      </c>
    </row>
    <row r="26" spans="1:6">
      <c r="A26" s="29" t="s">
        <v>2794</v>
      </c>
      <c r="B26" s="146">
        <f>SUM(Ops!DS3:DT3)</f>
        <v>0</v>
      </c>
      <c r="C26" s="146">
        <f>SUM(Calog!CQ3:CR3)</f>
        <v>0</v>
      </c>
      <c r="D26" s="146">
        <f t="shared" si="0"/>
        <v>0</v>
      </c>
      <c r="E26" s="56">
        <v>26</v>
      </c>
    </row>
    <row r="27" spans="1:6">
      <c r="A27" s="29" t="s">
        <v>4312</v>
      </c>
      <c r="B27" s="1852"/>
      <c r="C27" s="1852">
        <f>SUM(Calog!CW3:CX3)</f>
        <v>0</v>
      </c>
      <c r="D27" s="1852">
        <f t="shared" si="0"/>
        <v>0</v>
      </c>
      <c r="E27" s="56">
        <v>27</v>
      </c>
    </row>
    <row r="28" spans="1:6">
      <c r="A28" s="29" t="s">
        <v>4313</v>
      </c>
      <c r="B28" s="1852"/>
      <c r="C28" s="1852">
        <f>SUM(Calog!CZ3:DA3)</f>
        <v>0</v>
      </c>
      <c r="D28" s="1852">
        <f t="shared" si="0"/>
        <v>0</v>
      </c>
      <c r="E28" s="56">
        <v>28</v>
      </c>
    </row>
    <row r="29" spans="1:6">
      <c r="A29" s="29" t="s">
        <v>5295</v>
      </c>
      <c r="B29" s="146" t="e">
        <f>SUM(Ops!DV1:DW1)</f>
        <v>#N/A</v>
      </c>
      <c r="C29" s="146" t="e">
        <f>SUM(Calog!DC1:DD1)</f>
        <v>#N/A</v>
      </c>
      <c r="D29" s="146" t="e">
        <f>SUM(B29:C29)</f>
        <v>#N/A</v>
      </c>
      <c r="E29" s="56">
        <v>29</v>
      </c>
    </row>
    <row r="30" spans="1:6" s="137" customFormat="1">
      <c r="A30" s="490" t="str">
        <f>FormAide!D41</f>
        <v>Allocation "Fixe"  Montant indexé du moteur salariale</v>
      </c>
      <c r="B30" s="146">
        <f>SUM(Ops!DY3:DZ3)</f>
        <v>0</v>
      </c>
      <c r="C30" s="146">
        <f>SUM(Calog!DL3:DM3)</f>
        <v>0</v>
      </c>
      <c r="D30" s="146">
        <f t="shared" si="0"/>
        <v>0</v>
      </c>
      <c r="E30" s="56">
        <v>30</v>
      </c>
      <c r="F30" s="56"/>
    </row>
    <row r="31" spans="1:6" ht="13.5" thickBot="1">
      <c r="A31" s="160" t="s">
        <v>3696</v>
      </c>
      <c r="B31" s="488" t="e">
        <f>SUM(B16:B30)</f>
        <v>#N/A</v>
      </c>
      <c r="C31" s="488" t="e">
        <f>SUM(C16:C30)</f>
        <v>#N/A</v>
      </c>
      <c r="D31" s="488" t="e">
        <f t="shared" si="0"/>
        <v>#N/A</v>
      </c>
      <c r="E31" s="56">
        <v>31</v>
      </c>
    </row>
    <row r="32" spans="1:6" ht="13.5" thickTop="1">
      <c r="A32" s="29" t="s">
        <v>3238</v>
      </c>
      <c r="B32" s="146">
        <f>SUM(Ops!EE3:EF3)</f>
        <v>0</v>
      </c>
      <c r="C32" s="146">
        <f>SUM(Calog!DX3:DY3)</f>
        <v>0</v>
      </c>
      <c r="D32" s="146">
        <f t="shared" si="0"/>
        <v>0</v>
      </c>
      <c r="E32" s="56">
        <v>32</v>
      </c>
    </row>
    <row r="33" spans="1:6">
      <c r="A33" s="29" t="s">
        <v>2795</v>
      </c>
      <c r="B33" s="1850">
        <f>SUM(Ops!EB3:EC3)</f>
        <v>0</v>
      </c>
      <c r="C33" s="1850"/>
      <c r="D33" s="1850">
        <f t="shared" si="0"/>
        <v>0</v>
      </c>
      <c r="E33" s="56">
        <v>33</v>
      </c>
    </row>
    <row r="34" spans="1:6">
      <c r="A34" s="29" t="str">
        <f>FormAide!D45</f>
        <v>Indemnité enquête judiciaire - Mensuel</v>
      </c>
      <c r="B34" s="1850">
        <f>SUM(Ops!EG3:EH3)</f>
        <v>0</v>
      </c>
      <c r="C34" s="1850"/>
      <c r="D34" s="1850">
        <f t="shared" si="0"/>
        <v>0</v>
      </c>
      <c r="E34" s="56">
        <v>34</v>
      </c>
    </row>
    <row r="35" spans="1:6">
      <c r="A35" s="29" t="str">
        <f>FormAide!D46</f>
        <v>Indemnité pour chien policier</v>
      </c>
      <c r="B35" s="1850">
        <f>SUM(Ops!EM3:EN3)</f>
        <v>0</v>
      </c>
      <c r="C35" s="1850"/>
      <c r="D35" s="1850">
        <f t="shared" si="0"/>
        <v>0</v>
      </c>
      <c r="E35" s="56">
        <v>35</v>
      </c>
    </row>
    <row r="36" spans="1:6" ht="13.5" thickBot="1">
      <c r="A36" s="160" t="s">
        <v>3305</v>
      </c>
      <c r="B36" s="488">
        <f>SUM(B32:B35)</f>
        <v>0</v>
      </c>
      <c r="C36" s="488">
        <f>SUM(C32:C35)</f>
        <v>0</v>
      </c>
      <c r="D36" s="488">
        <f t="shared" si="0"/>
        <v>0</v>
      </c>
      <c r="E36" s="56">
        <v>36</v>
      </c>
    </row>
    <row r="37" spans="1:6" ht="13.5" thickTop="1">
      <c r="A37" s="29" t="s">
        <v>1236</v>
      </c>
      <c r="B37" s="146">
        <f>SUM(Ops!BS3:BT3)</f>
        <v>0</v>
      </c>
      <c r="C37" s="146">
        <f>SUM(Calog!BS3:BT3)</f>
        <v>0</v>
      </c>
      <c r="D37" s="146">
        <f t="shared" si="0"/>
        <v>0</v>
      </c>
      <c r="E37" s="56">
        <v>37</v>
      </c>
    </row>
    <row r="38" spans="1:6">
      <c r="A38" s="29" t="s">
        <v>2796</v>
      </c>
      <c r="B38" s="146">
        <f>SUM(Ops!BV3:BW3)</f>
        <v>0</v>
      </c>
      <c r="C38" s="146">
        <f>SUM(Calog!BV3:BW3)</f>
        <v>0</v>
      </c>
      <c r="D38" s="146">
        <f t="shared" si="0"/>
        <v>0</v>
      </c>
      <c r="E38" s="56">
        <v>38</v>
      </c>
    </row>
    <row r="39" spans="1:6">
      <c r="A39" s="29" t="s">
        <v>212</v>
      </c>
      <c r="B39" s="146">
        <f>SUM(Ops!BY3:BZ3)</f>
        <v>0</v>
      </c>
      <c r="C39" s="146">
        <f>SUM(Calog!BY3:BZ3)</f>
        <v>0</v>
      </c>
      <c r="D39" s="146">
        <f t="shared" si="0"/>
        <v>0</v>
      </c>
      <c r="E39" s="56">
        <v>39</v>
      </c>
    </row>
    <row r="40" spans="1:6">
      <c r="A40" s="29" t="s">
        <v>213</v>
      </c>
      <c r="B40" s="146">
        <f>SUM(Ops!CB3:CC3)</f>
        <v>0</v>
      </c>
      <c r="C40" s="146">
        <f>SUM(Calog!CB3:CC3)</f>
        <v>0</v>
      </c>
      <c r="D40" s="146">
        <f t="shared" si="0"/>
        <v>0</v>
      </c>
      <c r="E40" s="56">
        <v>40</v>
      </c>
    </row>
    <row r="41" spans="1:6">
      <c r="A41" s="29" t="s">
        <v>2578</v>
      </c>
      <c r="B41" s="146">
        <f>SUM(Ops!CE3:CF3)</f>
        <v>0</v>
      </c>
      <c r="C41" s="146">
        <f>SUM(Calog!CE3:CF3)</f>
        <v>0</v>
      </c>
      <c r="D41" s="146">
        <f t="shared" si="0"/>
        <v>0</v>
      </c>
      <c r="E41" s="56">
        <v>41</v>
      </c>
    </row>
    <row r="42" spans="1:6">
      <c r="A42" s="29" t="s">
        <v>214</v>
      </c>
      <c r="B42" s="1850">
        <f>SUM(Ops!CH3:CI3)</f>
        <v>0</v>
      </c>
      <c r="C42" s="1850"/>
      <c r="D42" s="1850">
        <f t="shared" si="0"/>
        <v>0</v>
      </c>
      <c r="E42" s="56">
        <v>42</v>
      </c>
    </row>
    <row r="43" spans="1:6">
      <c r="A43" s="29" t="s">
        <v>479</v>
      </c>
      <c r="B43" s="1850">
        <f>SUM(Ops!CK3:CL3)</f>
        <v>0</v>
      </c>
      <c r="C43" s="1850"/>
      <c r="D43" s="1850">
        <f t="shared" si="0"/>
        <v>0</v>
      </c>
      <c r="E43" s="56">
        <v>43</v>
      </c>
    </row>
    <row r="44" spans="1:6">
      <c r="A44" s="29" t="s">
        <v>3695</v>
      </c>
      <c r="B44" s="1850">
        <f>SUM(Ops!CN3:CO3)</f>
        <v>0</v>
      </c>
      <c r="C44" s="1850"/>
      <c r="D44" s="1850">
        <f t="shared" si="0"/>
        <v>0</v>
      </c>
      <c r="E44" s="56">
        <v>44</v>
      </c>
    </row>
    <row r="45" spans="1:6">
      <c r="A45" s="29" t="s">
        <v>478</v>
      </c>
      <c r="B45" s="146">
        <f>SUM(Ops!CQ3:CR3)</f>
        <v>0</v>
      </c>
      <c r="C45" s="146">
        <f>SUM(Calog!CH3:CI3)</f>
        <v>0</v>
      </c>
      <c r="D45" s="146">
        <f>SUM(B45:C45)</f>
        <v>0</v>
      </c>
      <c r="E45" s="56">
        <v>45</v>
      </c>
    </row>
    <row r="46" spans="1:6" ht="13.5" thickBot="1">
      <c r="A46" s="160" t="s">
        <v>3697</v>
      </c>
      <c r="B46" s="488">
        <f>SUM(B37:B45)</f>
        <v>0</v>
      </c>
      <c r="C46" s="488">
        <f>SUM(C37:C45)</f>
        <v>0</v>
      </c>
      <c r="D46" s="488">
        <f t="shared" si="0"/>
        <v>0</v>
      </c>
      <c r="E46" s="56">
        <v>46</v>
      </c>
    </row>
    <row r="47" spans="1:6" s="137" customFormat="1" ht="13.5" thickTop="1">
      <c r="A47" s="29" t="str">
        <f>FormAide!D48</f>
        <v>Indemnités de déplacement  lieu de travail/maison/ KM</v>
      </c>
      <c r="B47" s="146" t="e">
        <f>SUM(Ops!EP3:EQ3)</f>
        <v>#N/A</v>
      </c>
      <c r="C47" s="146">
        <f>SUM(Calog!DO3:DP3)</f>
        <v>0</v>
      </c>
      <c r="D47" s="146" t="e">
        <f>SUM(B47:C47)</f>
        <v>#N/A</v>
      </c>
      <c r="E47" s="56">
        <v>47</v>
      </c>
      <c r="F47" s="56"/>
    </row>
    <row r="48" spans="1:6">
      <c r="A48" s="29" t="str">
        <f>FormAide!D49</f>
        <v>Indemnités de déplacement  lieu de travail/maison/ Abt Soc</v>
      </c>
      <c r="B48" s="146" t="e">
        <f>SUM(Ops!ES3:ET3)</f>
        <v>#N/A</v>
      </c>
      <c r="C48" s="146">
        <f>SUM(Calog!DR3:DS3)</f>
        <v>0</v>
      </c>
      <c r="D48" s="146" t="e">
        <f>SUM(B48:C48)</f>
        <v>#N/A</v>
      </c>
      <c r="E48" s="56">
        <v>48</v>
      </c>
    </row>
    <row r="49" spans="1:8">
      <c r="A49" s="29" t="str">
        <f>FormAide!D50</f>
        <v>Indemnités de déplacement  (Frais de voyage) L021 - L096</v>
      </c>
      <c r="B49" s="146" t="e">
        <f>SUM(Ops!EV3:EW3)</f>
        <v>#N/A</v>
      </c>
      <c r="C49" s="146">
        <f>SUM(Calog!DU3:DV3)</f>
        <v>0</v>
      </c>
      <c r="D49" s="146" t="e">
        <f>SUM(B49:C49)</f>
        <v>#N/A</v>
      </c>
      <c r="E49" s="56">
        <v>49</v>
      </c>
    </row>
    <row r="50" spans="1:8">
      <c r="A50" s="29" t="str">
        <f>FormAide!D51</f>
        <v>Indemnité enquête judiciaire - Journalier</v>
      </c>
      <c r="B50" s="1850">
        <f>SUM(Ops!EJ3:EK3)</f>
        <v>0</v>
      </c>
      <c r="C50" s="1850"/>
      <c r="D50" s="1850">
        <f t="shared" si="0"/>
        <v>0</v>
      </c>
      <c r="E50" s="56">
        <v>50</v>
      </c>
    </row>
    <row r="51" spans="1:8">
      <c r="A51" s="29" t="str">
        <f>FormAide!D52</f>
        <v>Indemnités de repas: Modèle 9BIS</v>
      </c>
      <c r="B51" s="146">
        <f>SUM(Ops!EY3:EZ3)</f>
        <v>0</v>
      </c>
      <c r="C51" s="146">
        <f>SUM(Calog!EA3:EB3)</f>
        <v>0</v>
      </c>
      <c r="D51" s="146">
        <f>SUM(B51:C51)</f>
        <v>0</v>
      </c>
      <c r="E51" s="56">
        <v>51</v>
      </c>
    </row>
    <row r="52" spans="1:8">
      <c r="A52" s="29" t="str">
        <f>FormAide!D53</f>
        <v>Indemnités de repas &amp; frais de séjour : L021 - L096</v>
      </c>
      <c r="B52" s="146">
        <f>SUM(Ops!FB3:FC3)</f>
        <v>0</v>
      </c>
      <c r="C52" s="146">
        <f>SUM(Calog!ED3:EE3)</f>
        <v>0</v>
      </c>
      <c r="D52" s="146">
        <f t="shared" si="0"/>
        <v>0</v>
      </c>
      <c r="E52" s="56">
        <v>52</v>
      </c>
    </row>
    <row r="53" spans="1:8">
      <c r="A53" s="29" t="s">
        <v>1657</v>
      </c>
      <c r="B53" s="146">
        <f>SUM(Ops!FE3:FF3)</f>
        <v>0</v>
      </c>
      <c r="C53" s="146">
        <f>SUM(Calog!EG3:EH3)</f>
        <v>0</v>
      </c>
      <c r="D53" s="146">
        <f t="shared" si="0"/>
        <v>0</v>
      </c>
      <c r="E53" s="56">
        <v>53</v>
      </c>
    </row>
    <row r="54" spans="1:8">
      <c r="A54" s="29" t="str">
        <f>FormAide!D55</f>
        <v>Autres Indemnités</v>
      </c>
      <c r="B54" s="146">
        <f>SUM(Ops!FH3:FI3)</f>
        <v>0</v>
      </c>
      <c r="C54" s="146">
        <f>SUM(Calog!EJ3:EK3)</f>
        <v>0</v>
      </c>
      <c r="D54" s="146">
        <f t="shared" si="0"/>
        <v>0</v>
      </c>
      <c r="E54" s="56">
        <v>54</v>
      </c>
    </row>
    <row r="55" spans="1:8" ht="13.5" thickBot="1">
      <c r="A55" s="160" t="s">
        <v>4040</v>
      </c>
      <c r="B55" s="488" t="e">
        <f>SUM(B47:B54)</f>
        <v>#N/A</v>
      </c>
      <c r="C55" s="488">
        <f>SUM(C47:C54)</f>
        <v>0</v>
      </c>
      <c r="D55" s="488" t="e">
        <f t="shared" si="0"/>
        <v>#N/A</v>
      </c>
      <c r="E55" s="56">
        <v>55</v>
      </c>
      <c r="H55" s="904"/>
    </row>
    <row r="56" spans="1:8" ht="13.5" thickTop="1">
      <c r="A56" s="1842" t="s">
        <v>3699</v>
      </c>
      <c r="B56" s="1843">
        <f>SUM(Ops!FW15:FX15)</f>
        <v>0</v>
      </c>
      <c r="C56" s="1843" t="e">
        <f>SUM(Calog!EY12:EZ12)</f>
        <v>#N/A</v>
      </c>
      <c r="D56" s="1843" t="e">
        <f t="shared" si="0"/>
        <v>#N/A</v>
      </c>
      <c r="E56" s="56">
        <v>56</v>
      </c>
    </row>
    <row r="57" spans="1:8">
      <c r="A57" s="1844" t="s">
        <v>3698</v>
      </c>
      <c r="B57" s="1845">
        <f>SUM(Ops!GA15:GB15)</f>
        <v>0</v>
      </c>
      <c r="C57" s="1845" t="e">
        <f>SUM(Calog!FC12:FD12)</f>
        <v>#N/A</v>
      </c>
      <c r="D57" s="1845" t="e">
        <f t="shared" si="0"/>
        <v>#N/A</v>
      </c>
      <c r="E57" s="56">
        <v>57</v>
      </c>
    </row>
    <row r="58" spans="1:8">
      <c r="A58" s="1846" t="s">
        <v>3249</v>
      </c>
      <c r="B58" s="1847">
        <f>SUM(Ops!FY15:FZ15)</f>
        <v>0</v>
      </c>
      <c r="C58" s="1847" t="e">
        <f>SUM(Calog!FA12:FB12)</f>
        <v>#N/A</v>
      </c>
      <c r="D58" s="1847" t="e">
        <f t="shared" si="0"/>
        <v>#N/A</v>
      </c>
      <c r="E58" s="56">
        <v>58</v>
      </c>
    </row>
    <row r="59" spans="1:8" ht="13.5" thickBot="1">
      <c r="A59" s="1848" t="s">
        <v>3250</v>
      </c>
      <c r="B59" s="1849">
        <f>SUM(Ops!GC15:GD15)</f>
        <v>0</v>
      </c>
      <c r="C59" s="1849" t="e">
        <f>SUM(Calog!FE12:FF12)</f>
        <v>#N/A</v>
      </c>
      <c r="D59" s="1849" t="e">
        <f t="shared" si="0"/>
        <v>#N/A</v>
      </c>
      <c r="E59" s="56">
        <v>59</v>
      </c>
    </row>
    <row r="60" spans="1:8" ht="13.5" thickTop="1">
      <c r="A60" s="29" t="s">
        <v>3251</v>
      </c>
      <c r="B60" s="441">
        <f>SUM(Ops!FJ3:FK3)</f>
        <v>0</v>
      </c>
      <c r="C60" s="441">
        <f>SUM(Calog!EL3:EM3)</f>
        <v>0</v>
      </c>
      <c r="D60" s="441">
        <f t="shared" si="0"/>
        <v>0</v>
      </c>
      <c r="E60" s="56">
        <v>60</v>
      </c>
    </row>
    <row r="61" spans="1:8">
      <c r="A61" s="29" t="s">
        <v>3326</v>
      </c>
      <c r="B61" s="430">
        <f>SUM(Ops!FL3:FM3)</f>
        <v>0</v>
      </c>
      <c r="C61" s="430">
        <f>SUM(Calog!EN3:EO3)</f>
        <v>0</v>
      </c>
      <c r="D61" s="430">
        <f t="shared" si="0"/>
        <v>0</v>
      </c>
      <c r="E61" s="56">
        <v>61</v>
      </c>
    </row>
    <row r="62" spans="1:8">
      <c r="A62" s="29" t="s">
        <v>3327</v>
      </c>
      <c r="B62" s="430">
        <f>SUM(Ops!FN3:FO3)</f>
        <v>0</v>
      </c>
      <c r="C62" s="430">
        <f>SUM(Calog!EP3:EQ3)</f>
        <v>0</v>
      </c>
      <c r="D62" s="430">
        <f t="shared" si="0"/>
        <v>0</v>
      </c>
      <c r="E62" s="56">
        <v>62</v>
      </c>
    </row>
    <row r="63" spans="1:8">
      <c r="A63" s="29" t="s">
        <v>1723</v>
      </c>
      <c r="B63" s="489">
        <f>SUM(Ops!FP3:FQ3)</f>
        <v>0</v>
      </c>
      <c r="C63" s="489">
        <f>SUM(Calog!ER3:ES3)</f>
        <v>0</v>
      </c>
      <c r="D63" s="489">
        <f t="shared" si="0"/>
        <v>0</v>
      </c>
      <c r="E63" s="56">
        <v>63</v>
      </c>
    </row>
    <row r="64" spans="1:8">
      <c r="A64" s="29" t="s">
        <v>5253</v>
      </c>
      <c r="B64" s="430">
        <f>SUM(Ops!FR3:FS3)</f>
        <v>0</v>
      </c>
      <c r="C64" s="430">
        <f>SUM(Calog!ET3:EU3)</f>
        <v>0</v>
      </c>
      <c r="D64" s="430">
        <f t="shared" si="0"/>
        <v>0</v>
      </c>
      <c r="E64" s="56">
        <v>64</v>
      </c>
    </row>
    <row r="65" spans="1:5" ht="13.5" thickBot="1">
      <c r="A65" s="160" t="s">
        <v>1724</v>
      </c>
      <c r="B65" s="488">
        <f>SUM(B60:B64)</f>
        <v>0</v>
      </c>
      <c r="C65" s="488">
        <f>SUM(C60:C64)</f>
        <v>0</v>
      </c>
      <c r="D65" s="488">
        <f t="shared" si="0"/>
        <v>0</v>
      </c>
      <c r="E65" s="56">
        <v>65</v>
      </c>
    </row>
    <row r="66" spans="1:5" ht="23.25" thickTop="1">
      <c r="A66" s="161" t="s">
        <v>2353</v>
      </c>
      <c r="B66" s="431" t="e">
        <f>(AVERAGE(Ops!BP5:BQ5))</f>
        <v>#DIV/0!</v>
      </c>
      <c r="C66" s="431" t="e">
        <f>AVERAGE(Calog!BP5:BQ5)</f>
        <v>#DIV/0!</v>
      </c>
      <c r="D66" s="431" t="e">
        <f>SUM(B66:C66)/2</f>
        <v>#DIV/0!</v>
      </c>
      <c r="E66" s="56">
        <v>66</v>
      </c>
    </row>
    <row r="67" spans="1:5" ht="22.5">
      <c r="A67" s="1899" t="s">
        <v>3557</v>
      </c>
      <c r="B67" s="544">
        <f>B70/B4/1976</f>
        <v>0</v>
      </c>
      <c r="C67" s="544">
        <f>C70/C4/1976</f>
        <v>0</v>
      </c>
      <c r="D67" s="544">
        <f>D70/(B4+C4)/1976</f>
        <v>0</v>
      </c>
      <c r="E67" s="56">
        <v>67</v>
      </c>
    </row>
    <row r="68" spans="1:5" ht="33.75">
      <c r="A68" s="1899" t="s">
        <v>1207</v>
      </c>
      <c r="B68" s="432" t="str">
        <f>Ops!GM5</f>
        <v/>
      </c>
      <c r="C68" s="432" t="str">
        <f>Calog!FO5</f>
        <v/>
      </c>
      <c r="D68" s="432">
        <f>SUM(B68:C68)/2</f>
        <v>0</v>
      </c>
      <c r="E68" s="56">
        <v>68</v>
      </c>
    </row>
    <row r="69" spans="1:5" ht="13.5" thickBot="1">
      <c r="A69" s="1911" t="s">
        <v>3000</v>
      </c>
      <c r="B69" s="1910" t="e">
        <f>SUM(Ops!FT1:FU1)</f>
        <v>#N/A</v>
      </c>
      <c r="C69" s="1910" t="e">
        <f>SUM(Calog!EV1:EW1)</f>
        <v>#N/A</v>
      </c>
      <c r="D69" s="1910" t="e">
        <f>SUM(B69:C69)+D5</f>
        <v>#N/A</v>
      </c>
      <c r="E69" s="56">
        <v>69</v>
      </c>
    </row>
    <row r="70" spans="1:5" ht="14.25" thickTop="1" thickBot="1">
      <c r="A70" s="1900" t="s">
        <v>2557</v>
      </c>
      <c r="B70" s="169">
        <f>SUM(Ops!FT3:FU3)</f>
        <v>0</v>
      </c>
      <c r="C70" s="169">
        <f>SUM(Calog!EV3:EW3)</f>
        <v>0</v>
      </c>
      <c r="D70" s="169">
        <f>SUM(B70:C70)</f>
        <v>0</v>
      </c>
      <c r="E70" s="56">
        <v>70</v>
      </c>
    </row>
    <row r="71" spans="1:5" ht="13.5" thickTop="1">
      <c r="A71" s="1853" t="e">
        <f>IF((B10+B15+B31+B36+B46+B55+B65)=B70,"",B10+B15+B31+B36+B46+B55+B65)</f>
        <v>#N/A</v>
      </c>
      <c r="B71" s="443" t="e">
        <f>IF((B10+B15+B31+B36+B46+B55+B65)=B70,"",B10+B15+B31+B36+B46+B55+B65)</f>
        <v>#N/A</v>
      </c>
      <c r="C71" s="443" t="e">
        <f>IF((C10+C15+C31+C36+C46+C55+C65)=C70,"",C10+C15+C31+C36+C46+C55+C65)</f>
        <v>#N/A</v>
      </c>
      <c r="D71" s="443"/>
      <c r="E71" s="56">
        <v>71</v>
      </c>
    </row>
    <row r="72" spans="1:5">
      <c r="A72" s="442" t="s">
        <v>2002</v>
      </c>
      <c r="B72" s="1853" t="e">
        <f>SUM(B73:B76)</f>
        <v>#N/A</v>
      </c>
      <c r="C72" s="1853" t="e">
        <f>SUM(C73:C76)</f>
        <v>#N/A</v>
      </c>
      <c r="D72" s="1853" t="e">
        <f>SUM(D73:D76)</f>
        <v>#N/A</v>
      </c>
      <c r="E72" s="56">
        <v>72</v>
      </c>
    </row>
    <row r="73" spans="1:5">
      <c r="A73" s="1894" t="s">
        <v>2003</v>
      </c>
      <c r="B73" s="1895" t="e">
        <f>SUM(B10,B31,B36)/B70</f>
        <v>#N/A</v>
      </c>
      <c r="C73" s="1895" t="e">
        <f>SUM(C10,C31,C36)/C70</f>
        <v>#N/A</v>
      </c>
      <c r="D73" s="1895" t="e">
        <f>(D10+D31+D36)/D70</f>
        <v>#N/A</v>
      </c>
      <c r="E73" s="56">
        <v>73</v>
      </c>
    </row>
    <row r="74" spans="1:5">
      <c r="A74" s="1894" t="s">
        <v>2004</v>
      </c>
      <c r="B74" s="1895" t="e">
        <f>(B46+B55)/B70</f>
        <v>#N/A</v>
      </c>
      <c r="C74" s="1895" t="e">
        <f>(C46+C55)/C70</f>
        <v>#DIV/0!</v>
      </c>
      <c r="D74" s="1895" t="e">
        <f>(D46+D55)/D70</f>
        <v>#N/A</v>
      </c>
      <c r="E74" s="56">
        <v>74</v>
      </c>
    </row>
    <row r="75" spans="1:5">
      <c r="A75" s="1894" t="s">
        <v>2005</v>
      </c>
      <c r="B75" s="1895" t="e">
        <f>B15/B70</f>
        <v>#DIV/0!</v>
      </c>
      <c r="C75" s="1895" t="e">
        <f>C15/C70</f>
        <v>#DIV/0!</v>
      </c>
      <c r="D75" s="1895" t="e">
        <f>D15/D70</f>
        <v>#DIV/0!</v>
      </c>
      <c r="E75" s="56">
        <v>75</v>
      </c>
    </row>
    <row r="76" spans="1:5">
      <c r="A76" s="1894" t="s">
        <v>2006</v>
      </c>
      <c r="B76" s="1895" t="e">
        <f>B65/B70</f>
        <v>#DIV/0!</v>
      </c>
      <c r="C76" s="1895" t="e">
        <f>C65/C70</f>
        <v>#DIV/0!</v>
      </c>
      <c r="D76" s="1895" t="e">
        <f>D65/D70</f>
        <v>#DIV/0!</v>
      </c>
      <c r="E76" s="56">
        <v>76</v>
      </c>
    </row>
    <row r="77" spans="1:5">
      <c r="A77" s="1896" t="s">
        <v>41</v>
      </c>
      <c r="B77" s="1897">
        <f>SUM(Ops!FY15:FZ15)</f>
        <v>0</v>
      </c>
      <c r="C77" s="1897" t="e">
        <f>SUM(Calog!FA12:FB12)</f>
        <v>#N/A</v>
      </c>
      <c r="D77" s="1897" t="e">
        <f>SUM(B77:C77)-TotalGeneral!G64</f>
        <v>#N/A</v>
      </c>
      <c r="E77" s="56">
        <v>77</v>
      </c>
    </row>
    <row r="78" spans="1:5" ht="13.5" thickBot="1">
      <c r="A78" s="1896"/>
      <c r="B78" s="1898" t="e">
        <f>B77/B70</f>
        <v>#DIV/0!</v>
      </c>
      <c r="C78" s="1898" t="e">
        <f>C77/C70</f>
        <v>#N/A</v>
      </c>
      <c r="D78" s="1898" t="e">
        <f>D77/D70</f>
        <v>#N/A</v>
      </c>
      <c r="E78" s="56">
        <v>78</v>
      </c>
    </row>
    <row r="79" spans="1:5" ht="13.5" thickBot="1">
      <c r="A79" s="148" t="s">
        <v>1208</v>
      </c>
      <c r="B79" s="149"/>
      <c r="C79" s="149"/>
      <c r="D79" s="149">
        <f t="shared" ref="D79:D86" si="1">SUM(B79:C79)</f>
        <v>0</v>
      </c>
      <c r="E79" s="56">
        <v>79</v>
      </c>
    </row>
    <row r="80" spans="1:5">
      <c r="A80" s="2236" t="s">
        <v>5246</v>
      </c>
      <c r="B80" s="145" t="e">
        <f>Ops!BR3</f>
        <v>#N/A</v>
      </c>
      <c r="C80" s="145">
        <f>Calog!BR3</f>
        <v>0</v>
      </c>
      <c r="D80" s="145" t="e">
        <f t="shared" si="1"/>
        <v>#N/A</v>
      </c>
      <c r="E80" s="56">
        <v>80</v>
      </c>
    </row>
    <row r="81" spans="1:5">
      <c r="A81" s="2236" t="s">
        <v>5247</v>
      </c>
      <c r="B81" s="146" t="e">
        <f>Ops!BU3</f>
        <v>#N/A</v>
      </c>
      <c r="C81" s="146">
        <f>Calog!BU3</f>
        <v>0</v>
      </c>
      <c r="D81" s="146" t="e">
        <f t="shared" si="1"/>
        <v>#N/A</v>
      </c>
      <c r="E81" s="56">
        <v>81</v>
      </c>
    </row>
    <row r="82" spans="1:5">
      <c r="A82" s="2236" t="s">
        <v>5248</v>
      </c>
      <c r="B82" s="146" t="e">
        <f>Ops!BX3</f>
        <v>#N/A</v>
      </c>
      <c r="C82" s="146">
        <f>Calog!BX3</f>
        <v>0</v>
      </c>
      <c r="D82" s="146" t="e">
        <f t="shared" si="1"/>
        <v>#N/A</v>
      </c>
      <c r="E82" s="56">
        <v>82</v>
      </c>
    </row>
    <row r="83" spans="1:5">
      <c r="A83" s="2236" t="s">
        <v>5249</v>
      </c>
      <c r="B83" s="146" t="e">
        <f>Ops!CA3</f>
        <v>#N/A</v>
      </c>
      <c r="C83" s="146">
        <f>Calog!CA3</f>
        <v>0</v>
      </c>
      <c r="D83" s="146" t="e">
        <f t="shared" si="1"/>
        <v>#N/A</v>
      </c>
      <c r="E83" s="56">
        <v>83</v>
      </c>
    </row>
    <row r="84" spans="1:5">
      <c r="A84" s="2236" t="s">
        <v>5250</v>
      </c>
      <c r="B84" s="146" t="e">
        <f>Ops!CD3</f>
        <v>#N/A</v>
      </c>
      <c r="C84" s="146">
        <f>Calog!CD3</f>
        <v>0</v>
      </c>
      <c r="D84" s="146" t="e">
        <f t="shared" si="1"/>
        <v>#N/A</v>
      </c>
      <c r="E84" s="56">
        <v>84</v>
      </c>
    </row>
    <row r="85" spans="1:5">
      <c r="A85" s="150" t="s">
        <v>2015</v>
      </c>
      <c r="B85" s="1850" t="e">
        <f>Ops!CJ3</f>
        <v>#N/A</v>
      </c>
      <c r="C85" s="1850">
        <v>0</v>
      </c>
      <c r="D85" s="1850" t="e">
        <f t="shared" si="1"/>
        <v>#N/A</v>
      </c>
      <c r="E85" s="56">
        <v>85</v>
      </c>
    </row>
    <row r="86" spans="1:5" ht="13.5" thickBot="1">
      <c r="A86" s="150" t="s">
        <v>1841</v>
      </c>
      <c r="B86" s="1850" t="e">
        <f>Ops!EI3</f>
        <v>#N/A</v>
      </c>
      <c r="C86" s="1850">
        <v>0</v>
      </c>
      <c r="D86" s="1850" t="e">
        <f t="shared" si="1"/>
        <v>#N/A</v>
      </c>
      <c r="E86" s="56">
        <v>86</v>
      </c>
    </row>
    <row r="87" spans="1:5">
      <c r="A87" s="151" t="s">
        <v>1842</v>
      </c>
      <c r="B87" s="152"/>
      <c r="C87" s="152"/>
      <c r="D87" s="152"/>
      <c r="E87" s="56">
        <v>87</v>
      </c>
    </row>
    <row r="88" spans="1:5">
      <c r="A88" s="153" t="s">
        <v>1941</v>
      </c>
      <c r="B88" s="154">
        <f>B4/B3</f>
        <v>1</v>
      </c>
      <c r="C88" s="154">
        <f>C4/C3</f>
        <v>1</v>
      </c>
      <c r="D88" s="154">
        <f>IF(TitFilt="ZP",(B4+C4),D4)/D3</f>
        <v>1</v>
      </c>
      <c r="E88" s="56">
        <v>88</v>
      </c>
    </row>
    <row r="89" spans="1:5">
      <c r="A89" s="155" t="s">
        <v>3717</v>
      </c>
      <c r="B89" s="156" t="e">
        <f>B70/B69</f>
        <v>#N/A</v>
      </c>
      <c r="C89" s="156" t="e">
        <f>C70/C69</f>
        <v>#N/A</v>
      </c>
      <c r="D89" s="156" t="e">
        <f>D70/D69</f>
        <v>#N/A</v>
      </c>
      <c r="E89" s="56">
        <v>89</v>
      </c>
    </row>
    <row r="90" spans="1:5">
      <c r="A90" s="150" t="s">
        <v>5258</v>
      </c>
      <c r="B90" s="157" t="e">
        <f>Ops!BR4</f>
        <v>#N/A</v>
      </c>
      <c r="C90" s="157" t="e">
        <f>Calog!BR4</f>
        <v>#N/A</v>
      </c>
      <c r="D90" s="157"/>
      <c r="E90" s="56">
        <v>90</v>
      </c>
    </row>
    <row r="91" spans="1:5">
      <c r="A91" s="150" t="s">
        <v>5257</v>
      </c>
      <c r="B91" s="157" t="e">
        <f>Ops!BU4</f>
        <v>#N/A</v>
      </c>
      <c r="C91" s="157" t="e">
        <f>Calog!BU4</f>
        <v>#N/A</v>
      </c>
      <c r="D91" s="157"/>
      <c r="E91" s="56">
        <v>91</v>
      </c>
    </row>
    <row r="92" spans="1:5">
      <c r="A92" s="150" t="s">
        <v>5256</v>
      </c>
      <c r="B92" s="157" t="e">
        <f>Ops!BX4</f>
        <v>#N/A</v>
      </c>
      <c r="C92" s="157" t="e">
        <f>Calog!BX4</f>
        <v>#N/A</v>
      </c>
      <c r="D92" s="157"/>
      <c r="E92" s="56">
        <v>92</v>
      </c>
    </row>
    <row r="93" spans="1:5">
      <c r="A93" s="150" t="s">
        <v>5255</v>
      </c>
      <c r="B93" s="157" t="e">
        <f>Ops!BX4</f>
        <v>#N/A</v>
      </c>
      <c r="C93" s="157" t="e">
        <f>Calog!CA4</f>
        <v>#N/A</v>
      </c>
      <c r="D93" s="157"/>
      <c r="E93" s="56">
        <v>93</v>
      </c>
    </row>
    <row r="94" spans="1:5" ht="13.5" thickBot="1">
      <c r="A94" s="150" t="s">
        <v>5254</v>
      </c>
      <c r="B94" s="158" t="e">
        <f>Ops!CD4</f>
        <v>#N/A</v>
      </c>
      <c r="C94" s="157" t="e">
        <f>Calog!CD4</f>
        <v>#N/A</v>
      </c>
      <c r="D94" s="157"/>
      <c r="E94" s="56">
        <v>94</v>
      </c>
    </row>
    <row r="95" spans="1:5" ht="13.5" thickBot="1">
      <c r="A95" s="162" t="s">
        <v>2508</v>
      </c>
      <c r="B95" s="163"/>
      <c r="C95" s="163"/>
      <c r="D95" s="163">
        <f t="shared" ref="D95:D102" si="2">SUM(B95:C95)</f>
        <v>0</v>
      </c>
      <c r="E95" s="56">
        <v>95</v>
      </c>
    </row>
    <row r="96" spans="1:5">
      <c r="A96" s="150" t="s">
        <v>2337</v>
      </c>
      <c r="B96" s="145" t="str">
        <f>Ops!BR5</f>
        <v/>
      </c>
      <c r="C96" s="145" t="str">
        <f>Calog!BR5</f>
        <v/>
      </c>
      <c r="D96" s="145">
        <f t="shared" si="2"/>
        <v>0</v>
      </c>
      <c r="E96" s="56">
        <v>96</v>
      </c>
    </row>
    <row r="97" spans="1:6">
      <c r="A97" s="150" t="s">
        <v>2049</v>
      </c>
      <c r="B97" s="146" t="str">
        <f>Ops!BU5</f>
        <v/>
      </c>
      <c r="C97" s="145" t="str">
        <f>Calog!BU5</f>
        <v/>
      </c>
      <c r="D97" s="145">
        <f t="shared" si="2"/>
        <v>0</v>
      </c>
      <c r="E97" s="56">
        <v>97</v>
      </c>
    </row>
    <row r="98" spans="1:6">
      <c r="A98" s="150" t="s">
        <v>2050</v>
      </c>
      <c r="B98" s="146" t="str">
        <f>Ops!BX5</f>
        <v/>
      </c>
      <c r="C98" s="145" t="str">
        <f>Calog!BX5</f>
        <v/>
      </c>
      <c r="D98" s="145">
        <f t="shared" si="2"/>
        <v>0</v>
      </c>
      <c r="E98" s="56">
        <v>98</v>
      </c>
    </row>
    <row r="99" spans="1:6">
      <c r="A99" s="150" t="s">
        <v>2051</v>
      </c>
      <c r="B99" s="146" t="str">
        <f>Ops!CA5</f>
        <v/>
      </c>
      <c r="C99" s="145" t="str">
        <f>Calog!CA5</f>
        <v/>
      </c>
      <c r="D99" s="145">
        <f t="shared" si="2"/>
        <v>0</v>
      </c>
      <c r="E99" s="56">
        <v>99</v>
      </c>
    </row>
    <row r="100" spans="1:6">
      <c r="A100" s="150" t="s">
        <v>3509</v>
      </c>
      <c r="B100" s="146" t="str">
        <f>Ops!CD5</f>
        <v/>
      </c>
      <c r="C100" s="145" t="str">
        <f>Calog!CD5</f>
        <v/>
      </c>
      <c r="D100" s="145">
        <f t="shared" si="2"/>
        <v>0</v>
      </c>
      <c r="E100" s="56">
        <v>100</v>
      </c>
    </row>
    <row r="101" spans="1:6">
      <c r="A101" s="150" t="s">
        <v>2015</v>
      </c>
      <c r="B101" s="146" t="str">
        <f>Ops!CJ5</f>
        <v/>
      </c>
      <c r="C101" s="146">
        <v>0</v>
      </c>
      <c r="D101" s="146">
        <f t="shared" si="2"/>
        <v>0</v>
      </c>
      <c r="E101" s="56">
        <v>101</v>
      </c>
      <c r="F101" s="29"/>
    </row>
    <row r="102" spans="1:6">
      <c r="A102" s="150" t="s">
        <v>2509</v>
      </c>
      <c r="B102" s="146">
        <f>IF(Ops!EI5="",0,Ops!EI5)</f>
        <v>0</v>
      </c>
      <c r="C102" s="146">
        <v>0</v>
      </c>
      <c r="D102" s="146">
        <f t="shared" si="2"/>
        <v>0</v>
      </c>
      <c r="E102" s="56">
        <v>102</v>
      </c>
      <c r="F102" s="29"/>
    </row>
    <row r="103" spans="1:6">
      <c r="A103" s="56"/>
      <c r="B103" s="56"/>
      <c r="F103" s="29"/>
    </row>
    <row r="104" spans="1:6">
      <c r="A104" s="56"/>
      <c r="B104" s="56"/>
    </row>
    <row r="105" spans="1:6">
      <c r="A105" s="56"/>
      <c r="B105" s="56"/>
    </row>
    <row r="106" spans="1:6">
      <c r="A106" s="56"/>
      <c r="B106" s="56"/>
    </row>
    <row r="107" spans="1:6">
      <c r="A107" s="56"/>
      <c r="B107" s="56"/>
    </row>
  </sheetData>
  <phoneticPr fontId="38" type="noConversion"/>
  <pageMargins left="0.75" right="0.75" top="1" bottom="1" header="0.5" footer="0.5"/>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rm">
    <pageSetUpPr fitToPage="1"/>
  </sheetPr>
  <dimension ref="A1:IV42"/>
  <sheetViews>
    <sheetView zoomScaleNormal="100" workbookViewId="0">
      <pane xSplit="31410" topLeftCell="FA1"/>
      <selection activeCell="FY10" sqref="FY10"/>
      <selection pane="topRight" activeCell="FA20" sqref="FA20"/>
    </sheetView>
  </sheetViews>
  <sheetFormatPr defaultColWidth="11.42578125" defaultRowHeight="12.75"/>
  <cols>
    <col min="1" max="1" width="13.42578125" style="963" customWidth="1"/>
    <col min="2" max="2" width="8.5703125" style="963" customWidth="1"/>
    <col min="3" max="3" width="7.5703125" style="964" customWidth="1"/>
    <col min="4" max="4" width="8.5703125" style="963" customWidth="1"/>
    <col min="5" max="5" width="11.42578125" style="963" customWidth="1"/>
    <col min="6" max="6" width="9.85546875" style="963" customWidth="1"/>
    <col min="7" max="7" width="5" style="963" customWidth="1"/>
    <col min="8" max="8" width="15.85546875" style="963" bestFit="1" customWidth="1"/>
    <col min="9" max="9" width="9" style="963" customWidth="1"/>
    <col min="10" max="11" width="5.7109375" style="963" customWidth="1"/>
    <col min="12" max="12" width="8" style="963" customWidth="1"/>
    <col min="13" max="13" width="14.5703125" style="963" customWidth="1"/>
    <col min="14" max="14" width="9.7109375" style="963" customWidth="1"/>
    <col min="15" max="15" width="11.85546875" style="963" customWidth="1"/>
    <col min="16" max="16" width="7.7109375" style="963" customWidth="1"/>
    <col min="17" max="17" width="4.28515625" style="963" customWidth="1"/>
    <col min="18" max="18" width="4.7109375" style="963" customWidth="1"/>
    <col min="19" max="19" width="3.140625" style="963" customWidth="1"/>
    <col min="20" max="20" width="5.5703125" style="963" customWidth="1"/>
    <col min="21" max="21" width="5.140625" style="963" customWidth="1"/>
    <col min="22" max="22" width="4.28515625" style="963" customWidth="1"/>
    <col min="23" max="23" width="3.140625" style="963" customWidth="1"/>
    <col min="24" max="24" width="5.42578125" style="963" customWidth="1"/>
    <col min="25" max="25" width="24.85546875" style="963" customWidth="1"/>
    <col min="26" max="26" width="5" style="963" customWidth="1"/>
    <col min="27" max="27" width="4.42578125" style="963" customWidth="1"/>
    <col min="28" max="28" width="3.140625" style="963" customWidth="1"/>
    <col min="29" max="29" width="8.85546875" style="963" customWidth="1"/>
    <col min="30" max="30" width="3.140625" style="963" customWidth="1"/>
    <col min="31" max="31" width="8.85546875" style="963" customWidth="1"/>
    <col min="32" max="34" width="3.140625" style="963" customWidth="1"/>
    <col min="35" max="35" width="8.85546875" style="963" customWidth="1"/>
    <col min="36" max="36" width="3.140625" style="963" customWidth="1"/>
    <col min="37" max="37" width="8.85546875" style="963" customWidth="1"/>
    <col min="38" max="39" width="3.140625" style="963" customWidth="1"/>
    <col min="40" max="40" width="8.85546875" style="963" customWidth="1"/>
    <col min="41" max="41" width="3.140625" style="963" customWidth="1"/>
    <col min="42" max="42" width="8.85546875" style="963" customWidth="1"/>
    <col min="43" max="43" width="3.140625" style="963" customWidth="1"/>
    <col min="44" max="44" width="8.85546875" style="963" customWidth="1"/>
    <col min="45" max="45" width="6.140625" style="963" customWidth="1"/>
    <col min="46" max="46" width="8.85546875" style="963" customWidth="1"/>
    <col min="47" max="47" width="8.42578125" style="963" customWidth="1"/>
    <col min="48" max="49" width="8.7109375" style="963" bestFit="1" customWidth="1"/>
    <col min="50" max="50" width="7.85546875" style="963" customWidth="1"/>
    <col min="51" max="51" width="11" style="963" customWidth="1"/>
    <col min="52" max="52" width="9.5703125" style="963" customWidth="1"/>
    <col min="53" max="53" width="7.7109375" style="963" bestFit="1" customWidth="1"/>
    <col min="54" max="54" width="8.140625" style="963" bestFit="1" customWidth="1"/>
    <col min="55" max="55" width="8.5703125" style="963" bestFit="1" customWidth="1"/>
    <col min="56" max="56" width="11.140625" style="963" bestFit="1" customWidth="1"/>
    <col min="57" max="57" width="8.7109375" style="963" bestFit="1" customWidth="1"/>
    <col min="58" max="58" width="8.28515625" style="963" bestFit="1" customWidth="1"/>
    <col min="59" max="59" width="7.140625" style="963" bestFit="1" customWidth="1"/>
    <col min="60" max="60" width="8.140625" style="963" bestFit="1" customWidth="1"/>
    <col min="61" max="61" width="7.140625" style="963" bestFit="1" customWidth="1"/>
    <col min="62" max="62" width="8.140625" style="963" bestFit="1" customWidth="1"/>
    <col min="63" max="63" width="7.140625" style="963" bestFit="1" customWidth="1"/>
    <col min="64" max="64" width="8.140625" style="963" bestFit="1" customWidth="1"/>
    <col min="65" max="65" width="6.5703125" style="963" customWidth="1"/>
    <col min="66" max="66" width="8.85546875" style="963" bestFit="1" customWidth="1"/>
    <col min="67" max="67" width="7" style="963" customWidth="1"/>
    <col min="68" max="71" width="9.28515625" style="963" customWidth="1"/>
    <col min="72" max="72" width="9.7109375" style="963" customWidth="1"/>
    <col min="73" max="73" width="12.7109375" style="963" customWidth="1"/>
    <col min="74" max="74" width="7.42578125" style="963" customWidth="1"/>
    <col min="75" max="75" width="9.7109375" style="963" bestFit="1" customWidth="1"/>
    <col min="76" max="76" width="8" style="963" bestFit="1" customWidth="1"/>
    <col min="77" max="77" width="8.140625" style="963" bestFit="1" customWidth="1"/>
    <col min="78" max="78" width="7.85546875" style="963" bestFit="1" customWidth="1"/>
    <col min="79" max="79" width="9" style="963" bestFit="1" customWidth="1"/>
    <col min="80" max="80" width="4.42578125" style="963" bestFit="1" customWidth="1"/>
    <col min="81" max="81" width="8.140625" style="963" bestFit="1" customWidth="1"/>
    <col min="82" max="82" width="4.140625" style="963" bestFit="1" customWidth="1"/>
    <col min="83" max="83" width="8.5703125" style="963" bestFit="1" customWidth="1"/>
    <col min="84" max="84" width="8.7109375" style="963" bestFit="1" customWidth="1"/>
    <col min="85" max="85" width="7.7109375" style="963" bestFit="1" customWidth="1"/>
    <col min="86" max="86" width="7.42578125" style="963" bestFit="1" customWidth="1"/>
    <col min="87" max="87" width="6.42578125" style="963" bestFit="1" customWidth="1"/>
    <col min="88" max="99" width="11.5703125" style="963" customWidth="1"/>
    <col min="100" max="104" width="14.85546875" style="963" customWidth="1"/>
    <col min="105" max="106" width="11.42578125" style="963" customWidth="1"/>
    <col min="107" max="107" width="11.7109375" style="963" customWidth="1"/>
    <col min="108" max="109" width="11.42578125" style="963" customWidth="1"/>
    <col min="110" max="111" width="9.28515625" style="963" bestFit="1" customWidth="1"/>
    <col min="112" max="121" width="11.42578125" style="963" customWidth="1"/>
    <col min="122" max="123" width="9.28515625" style="963" bestFit="1" customWidth="1"/>
    <col min="124" max="124" width="11.42578125" style="963" customWidth="1"/>
    <col min="125" max="126" width="9.28515625" style="963" bestFit="1" customWidth="1"/>
    <col min="127" max="134" width="11.42578125" style="963" customWidth="1"/>
    <col min="135" max="137" width="9.28515625" style="963" bestFit="1" customWidth="1"/>
    <col min="138" max="140" width="11.42578125" style="963" customWidth="1"/>
    <col min="141" max="143" width="9.28515625" style="963" bestFit="1" customWidth="1"/>
    <col min="144" max="144" width="11.42578125" style="963" customWidth="1"/>
    <col min="145" max="145" width="9.28515625" style="963" bestFit="1" customWidth="1"/>
    <col min="146" max="152" width="11.42578125" style="963" customWidth="1"/>
    <col min="153" max="173" width="9.28515625" style="963" bestFit="1" customWidth="1"/>
    <col min="174" max="177" width="11.42578125" style="963" customWidth="1"/>
    <col min="178" max="178" width="9.28515625" style="963" bestFit="1" customWidth="1"/>
    <col min="179" max="179" width="11.42578125" style="963" customWidth="1"/>
    <col min="180" max="182" width="9.28515625" style="963" bestFit="1" customWidth="1"/>
    <col min="183" max="16384" width="11.42578125" style="963"/>
  </cols>
  <sheetData>
    <row r="1" spans="1:256" s="955" customFormat="1">
      <c r="A1" s="447" t="s">
        <v>869</v>
      </c>
      <c r="B1" s="447"/>
      <c r="C1" s="953"/>
      <c r="D1" s="447"/>
      <c r="E1" s="447"/>
      <c r="F1" s="447"/>
      <c r="G1" s="447"/>
      <c r="H1" s="447"/>
      <c r="I1" s="447"/>
      <c r="J1" s="447"/>
      <c r="K1" s="447"/>
      <c r="L1" s="447"/>
      <c r="M1" s="447"/>
      <c r="N1" s="447"/>
      <c r="O1" s="447"/>
      <c r="P1" s="447"/>
      <c r="Q1" s="447"/>
      <c r="R1" s="447"/>
      <c r="S1" s="447"/>
      <c r="T1" s="447"/>
      <c r="U1" s="447"/>
    </row>
    <row r="2" spans="1:256" s="955" customFormat="1">
      <c r="C2" s="956"/>
      <c r="D2" s="954"/>
      <c r="F2" s="447"/>
      <c r="G2" s="447"/>
      <c r="J2" s="447"/>
      <c r="K2" s="447"/>
      <c r="L2" s="447"/>
      <c r="M2" s="447"/>
      <c r="N2" s="447"/>
      <c r="O2" s="447"/>
      <c r="P2" s="447"/>
      <c r="Q2" s="447"/>
      <c r="R2" s="447"/>
      <c r="S2" s="447"/>
      <c r="T2" s="447"/>
      <c r="U2" s="447"/>
    </row>
    <row r="3" spans="1:256" s="126" customFormat="1" ht="13.5" customHeight="1">
      <c r="A3" s="64"/>
      <c r="B3" s="64"/>
      <c r="C3" s="64"/>
      <c r="D3" s="64"/>
      <c r="E3" s="64"/>
      <c r="F3" s="64"/>
      <c r="G3" s="64"/>
      <c r="H3" s="955"/>
      <c r="I3" s="955"/>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c r="GE3" s="64"/>
      <c r="GF3" s="64"/>
      <c r="GG3" s="64"/>
      <c r="GH3" s="64"/>
      <c r="GI3" s="64"/>
      <c r="GJ3" s="64"/>
      <c r="GK3" s="64"/>
      <c r="GL3" s="64"/>
      <c r="GM3" s="64"/>
      <c r="GN3" s="64"/>
      <c r="GO3" s="64"/>
      <c r="GP3" s="64"/>
      <c r="GQ3" s="64"/>
      <c r="GR3" s="64"/>
      <c r="GS3" s="64"/>
      <c r="GT3" s="64"/>
      <c r="GU3" s="64"/>
      <c r="GV3" s="64"/>
      <c r="GW3" s="64"/>
      <c r="GX3" s="64"/>
      <c r="GY3" s="64"/>
      <c r="GZ3" s="64"/>
      <c r="HA3" s="64"/>
      <c r="HB3" s="64"/>
      <c r="HC3" s="64"/>
      <c r="HD3" s="64"/>
      <c r="HE3" s="64"/>
      <c r="HF3" s="64"/>
      <c r="HG3" s="64"/>
      <c r="HH3" s="64"/>
      <c r="HI3" s="64"/>
      <c r="HJ3" s="64"/>
      <c r="HK3" s="64"/>
      <c r="HL3" s="64"/>
      <c r="HM3" s="64"/>
      <c r="HN3" s="64"/>
      <c r="HO3" s="64"/>
      <c r="HP3" s="64"/>
      <c r="HQ3" s="64"/>
      <c r="HR3" s="64"/>
      <c r="HS3" s="64"/>
      <c r="HT3" s="64"/>
      <c r="HU3" s="64"/>
      <c r="HV3" s="64"/>
      <c r="HW3" s="64"/>
      <c r="HX3" s="64"/>
      <c r="HY3" s="64"/>
      <c r="HZ3" s="64"/>
      <c r="IA3" s="64"/>
      <c r="IB3" s="64"/>
      <c r="IC3" s="64"/>
      <c r="ID3" s="64"/>
      <c r="IE3" s="64"/>
      <c r="IF3" s="64"/>
      <c r="IG3" s="64"/>
      <c r="IH3" s="64"/>
      <c r="II3" s="64"/>
      <c r="IJ3" s="64"/>
      <c r="IK3" s="64"/>
      <c r="IL3" s="64"/>
      <c r="IM3" s="64"/>
      <c r="IN3" s="64"/>
      <c r="IO3" s="64"/>
      <c r="IP3" s="64"/>
      <c r="IQ3" s="64"/>
      <c r="IR3" s="64"/>
      <c r="IS3" s="64"/>
      <c r="IT3" s="64"/>
      <c r="IU3" s="64"/>
      <c r="IV3" s="64"/>
    </row>
    <row r="4" spans="1:256" s="955" customFormat="1">
      <c r="C4" s="956"/>
    </row>
    <row r="5" spans="1:256" s="955" customFormat="1">
      <c r="C5" s="956"/>
    </row>
    <row r="6" spans="1:256" s="955" customFormat="1">
      <c r="C6" s="956"/>
    </row>
    <row r="7" spans="1:256" s="60" customFormat="1" ht="23.25" customHeight="1">
      <c r="A7" s="61"/>
      <c r="B7" s="61"/>
      <c r="C7" s="61"/>
      <c r="D7" s="61"/>
      <c r="E7" s="105"/>
      <c r="F7" s="106"/>
      <c r="G7" s="107"/>
      <c r="H7" s="107"/>
      <c r="I7" s="105"/>
      <c r="J7" s="105"/>
      <c r="K7" s="105"/>
      <c r="L7" s="105"/>
      <c r="M7" s="105"/>
      <c r="N7" s="105"/>
      <c r="O7" s="105"/>
      <c r="P7" s="105"/>
      <c r="Q7" s="105"/>
      <c r="R7" s="3366" t="s">
        <v>1289</v>
      </c>
      <c r="S7" s="3367"/>
      <c r="T7" s="3367"/>
      <c r="U7" s="3364"/>
      <c r="V7" s="180"/>
      <c r="W7" s="180"/>
      <c r="X7" s="180"/>
      <c r="Y7" s="62"/>
      <c r="Z7" s="62"/>
      <c r="AA7" s="62"/>
      <c r="AB7" s="62"/>
      <c r="AC7" s="62"/>
      <c r="AD7" s="127"/>
      <c r="AE7" s="62"/>
      <c r="AF7" s="62"/>
      <c r="AG7" s="62"/>
      <c r="AH7" s="62"/>
      <c r="AI7" s="62"/>
      <c r="AJ7" s="62"/>
      <c r="AK7" s="127"/>
      <c r="AL7" s="62"/>
      <c r="AM7" s="62"/>
      <c r="AN7" s="62"/>
      <c r="AO7" s="62"/>
      <c r="AP7" s="62"/>
      <c r="AQ7" s="62"/>
      <c r="AR7" s="62"/>
      <c r="AS7" s="62"/>
      <c r="AT7" s="62"/>
      <c r="AU7" s="62"/>
      <c r="AV7" s="62"/>
      <c r="AW7" s="3363" t="s">
        <v>3900</v>
      </c>
      <c r="AX7" s="3364"/>
      <c r="AY7" s="62"/>
      <c r="AZ7" s="3060" t="s">
        <v>3071</v>
      </c>
      <c r="BA7" s="3048"/>
      <c r="BB7" s="3046" t="s">
        <v>1999</v>
      </c>
      <c r="BC7" s="3061"/>
      <c r="BD7" s="179"/>
      <c r="BE7" s="1261"/>
      <c r="BF7" s="3046" t="s">
        <v>3901</v>
      </c>
      <c r="BG7" s="3048"/>
      <c r="BH7" s="3060" t="s">
        <v>3902</v>
      </c>
      <c r="BI7" s="3048"/>
      <c r="BJ7" s="3060" t="s">
        <v>3599</v>
      </c>
      <c r="BK7" s="3047"/>
      <c r="BL7" s="3048"/>
      <c r="BM7" s="62"/>
      <c r="BN7" s="62"/>
      <c r="BO7" s="62"/>
      <c r="BP7" s="263"/>
      <c r="BQ7" s="13"/>
      <c r="BR7" s="3060" t="s">
        <v>3907</v>
      </c>
      <c r="BS7" s="3047"/>
      <c r="BT7" s="3048"/>
      <c r="BU7" s="3060" t="s">
        <v>3903</v>
      </c>
      <c r="BV7" s="3047"/>
      <c r="BW7" s="3048"/>
      <c r="BX7" s="3060" t="s">
        <v>3904</v>
      </c>
      <c r="BY7" s="3047"/>
      <c r="BZ7" s="3048"/>
      <c r="CA7" s="3060" t="s">
        <v>3905</v>
      </c>
      <c r="CB7" s="3047"/>
      <c r="CC7" s="3048"/>
      <c r="CD7" s="3060" t="s">
        <v>3906</v>
      </c>
      <c r="CE7" s="3047"/>
      <c r="CF7" s="3048"/>
      <c r="CG7" s="3060" t="s">
        <v>3911</v>
      </c>
      <c r="CH7" s="3047"/>
      <c r="CI7" s="3048"/>
      <c r="CJ7" s="3308" t="s">
        <v>3913</v>
      </c>
      <c r="CK7" s="3309"/>
      <c r="CL7" s="3310"/>
      <c r="CM7" s="3309" t="s">
        <v>2500</v>
      </c>
      <c r="CN7" s="3309"/>
      <c r="CO7" s="3310"/>
      <c r="CP7" s="3308" t="s">
        <v>2502</v>
      </c>
      <c r="CQ7" s="3309"/>
      <c r="CR7" s="3310"/>
      <c r="CS7" s="3308" t="s">
        <v>2503</v>
      </c>
      <c r="CT7" s="3309"/>
      <c r="CU7" s="3310"/>
      <c r="CV7" s="3308" t="s">
        <v>3995</v>
      </c>
      <c r="CW7" s="3309"/>
      <c r="CX7" s="3310"/>
      <c r="CY7" s="3308" t="s">
        <v>2785</v>
      </c>
      <c r="CZ7" s="3309"/>
      <c r="DA7" s="3310"/>
      <c r="DB7" s="3308" t="s">
        <v>5274</v>
      </c>
      <c r="DC7" s="3309"/>
      <c r="DD7" s="3310"/>
      <c r="DE7" s="3308" t="s">
        <v>708</v>
      </c>
      <c r="DF7" s="3309"/>
      <c r="DG7" s="3310"/>
      <c r="DH7" s="3060" t="s">
        <v>709</v>
      </c>
      <c r="DI7" s="3047"/>
      <c r="DJ7" s="3047"/>
      <c r="DK7" s="1580" t="s">
        <v>3776</v>
      </c>
      <c r="DL7" s="3060" t="s">
        <v>2622</v>
      </c>
      <c r="DM7" s="3048"/>
      <c r="DN7" s="3110" t="s">
        <v>2855</v>
      </c>
      <c r="DO7" s="3285"/>
      <c r="DP7" s="3286"/>
      <c r="DQ7" s="3110" t="s">
        <v>2856</v>
      </c>
      <c r="DR7" s="3285"/>
      <c r="DS7" s="3286"/>
      <c r="DT7" s="3110" t="s">
        <v>3678</v>
      </c>
      <c r="DU7" s="3285"/>
      <c r="DV7" s="3286"/>
      <c r="DW7" s="3282" t="s">
        <v>2787</v>
      </c>
      <c r="DX7" s="3283"/>
      <c r="DY7" s="3328"/>
      <c r="DZ7" s="3110" t="s">
        <v>2788</v>
      </c>
      <c r="EA7" s="3285"/>
      <c r="EB7" s="3286"/>
      <c r="EC7" s="3110" t="s">
        <v>634</v>
      </c>
      <c r="ED7" s="3285"/>
      <c r="EE7" s="3286"/>
      <c r="EF7" s="3110" t="s">
        <v>204</v>
      </c>
      <c r="EG7" s="3285"/>
      <c r="EH7" s="3286"/>
      <c r="EI7" s="3325" t="s">
        <v>2857</v>
      </c>
      <c r="EJ7" s="3109"/>
      <c r="EK7" s="3109"/>
      <c r="EL7" s="3294" t="s">
        <v>3925</v>
      </c>
      <c r="EM7" s="3097"/>
      <c r="EN7" s="3096" t="s">
        <v>3924</v>
      </c>
      <c r="EO7" s="3097"/>
      <c r="EP7" s="3096" t="s">
        <v>1797</v>
      </c>
      <c r="EQ7" s="3097"/>
      <c r="ER7" s="3096" t="s">
        <v>1798</v>
      </c>
      <c r="ES7" s="3097"/>
      <c r="ET7" s="3096" t="s">
        <v>1799</v>
      </c>
      <c r="EU7" s="3047"/>
      <c r="EV7" s="955"/>
      <c r="EW7" s="955"/>
      <c r="EX7" s="1676">
        <v>28168.410000000051</v>
      </c>
      <c r="EY7" s="1581">
        <v>1059.8900000000001</v>
      </c>
      <c r="EZ7" s="1582">
        <v>8652.52</v>
      </c>
      <c r="FA7" s="1583">
        <v>609.33000000000004</v>
      </c>
      <c r="FB7" s="1584">
        <v>21449.15</v>
      </c>
      <c r="FC7" s="1583">
        <v>2898.93</v>
      </c>
      <c r="FD7" s="1584">
        <v>97397.58</v>
      </c>
      <c r="FE7" s="1583"/>
      <c r="FF7" s="1584">
        <v>6447.83</v>
      </c>
      <c r="FG7" s="254" t="s">
        <v>1502</v>
      </c>
      <c r="FH7" s="255"/>
      <c r="FI7" s="255"/>
      <c r="FJ7" s="255"/>
      <c r="FK7" s="19"/>
      <c r="FL7" s="64"/>
      <c r="FM7" s="64"/>
      <c r="FN7" s="64"/>
      <c r="FO7" s="14"/>
      <c r="FP7" s="14"/>
      <c r="FQ7" s="14"/>
      <c r="FR7" s="64"/>
      <c r="FS7" s="64"/>
      <c r="FT7" s="64"/>
      <c r="FU7" s="955"/>
      <c r="FV7" s="955"/>
      <c r="FW7" s="955"/>
      <c r="FX7" s="64"/>
      <c r="FY7" s="64"/>
      <c r="FZ7" s="64"/>
      <c r="GA7" s="64"/>
      <c r="GB7" s="64"/>
      <c r="GC7" s="64"/>
      <c r="GD7" s="64"/>
      <c r="GE7" s="64"/>
      <c r="GF7" s="64"/>
      <c r="GG7" s="64"/>
      <c r="GH7" s="64"/>
      <c r="GI7" s="64"/>
      <c r="GJ7" s="64"/>
      <c r="GK7" s="64"/>
      <c r="GL7" s="64"/>
      <c r="GM7" s="64"/>
      <c r="GN7" s="64"/>
      <c r="GO7" s="64"/>
      <c r="GP7" s="64"/>
      <c r="GQ7" s="64"/>
      <c r="GR7" s="64"/>
      <c r="GS7" s="64"/>
      <c r="GT7" s="64"/>
      <c r="GU7" s="64"/>
      <c r="GV7" s="64"/>
      <c r="GW7" s="64"/>
      <c r="GX7" s="64"/>
      <c r="GY7" s="64"/>
      <c r="GZ7" s="64"/>
      <c r="HA7" s="64"/>
      <c r="HB7" s="64"/>
      <c r="HC7" s="64"/>
      <c r="HD7" s="64"/>
      <c r="HE7" s="64"/>
      <c r="HF7" s="64"/>
      <c r="HG7" s="64"/>
      <c r="HH7" s="64"/>
      <c r="HI7" s="64"/>
      <c r="HJ7" s="64"/>
      <c r="HK7" s="64"/>
      <c r="HL7" s="64"/>
      <c r="HM7" s="64"/>
      <c r="HN7" s="64"/>
      <c r="HO7" s="64"/>
      <c r="HP7" s="64"/>
      <c r="HQ7" s="64"/>
      <c r="HR7" s="64"/>
      <c r="HS7" s="64"/>
      <c r="HT7" s="64"/>
      <c r="HU7" s="64"/>
      <c r="HV7" s="64"/>
      <c r="HW7" s="64"/>
      <c r="HX7" s="64"/>
      <c r="HY7" s="64"/>
      <c r="HZ7" s="64"/>
      <c r="IA7" s="64"/>
      <c r="IB7" s="64"/>
      <c r="IC7" s="64"/>
      <c r="ID7" s="64"/>
      <c r="IE7" s="64"/>
      <c r="IF7" s="64"/>
      <c r="IG7" s="64"/>
      <c r="IH7" s="64"/>
      <c r="II7" s="64"/>
      <c r="IJ7" s="64"/>
      <c r="IK7" s="64"/>
      <c r="IL7" s="64"/>
      <c r="IM7" s="64"/>
      <c r="IN7" s="64"/>
      <c r="IO7" s="64"/>
      <c r="IP7" s="64"/>
      <c r="IQ7" s="64"/>
      <c r="IR7" s="64"/>
      <c r="IS7" s="64"/>
      <c r="IT7" s="64"/>
      <c r="IU7" s="64"/>
      <c r="IV7" s="64"/>
    </row>
    <row r="8" spans="1:256" s="126" customFormat="1" ht="13.5" customHeight="1">
      <c r="A8" s="26">
        <v>1</v>
      </c>
      <c r="B8" s="26">
        <v>2</v>
      </c>
      <c r="C8" s="26">
        <v>3</v>
      </c>
      <c r="D8" s="26">
        <v>4</v>
      </c>
      <c r="E8" s="103">
        <v>5</v>
      </c>
      <c r="F8" s="103">
        <v>6</v>
      </c>
      <c r="G8" s="103">
        <v>7</v>
      </c>
      <c r="H8" s="103">
        <v>8</v>
      </c>
      <c r="I8" s="103">
        <v>9</v>
      </c>
      <c r="J8" s="103">
        <v>10</v>
      </c>
      <c r="K8" s="103">
        <v>11</v>
      </c>
      <c r="L8" s="103">
        <v>12</v>
      </c>
      <c r="M8" s="103">
        <v>13</v>
      </c>
      <c r="N8" s="103">
        <v>14</v>
      </c>
      <c r="O8" s="103">
        <v>15</v>
      </c>
      <c r="P8" s="103">
        <v>16</v>
      </c>
      <c r="Q8" s="103">
        <v>17</v>
      </c>
      <c r="R8" s="103">
        <v>18</v>
      </c>
      <c r="S8" s="103">
        <v>19</v>
      </c>
      <c r="T8" s="103">
        <v>20</v>
      </c>
      <c r="U8" s="103">
        <v>21</v>
      </c>
      <c r="V8" s="103">
        <v>22</v>
      </c>
      <c r="W8" s="103">
        <v>23</v>
      </c>
      <c r="X8" s="103">
        <v>24</v>
      </c>
      <c r="Y8" s="103">
        <v>25</v>
      </c>
      <c r="Z8" s="103">
        <v>26</v>
      </c>
      <c r="AA8" s="103">
        <v>27</v>
      </c>
      <c r="AB8" s="103">
        <v>28</v>
      </c>
      <c r="AC8" s="103">
        <v>29</v>
      </c>
      <c r="AD8" s="103">
        <v>30</v>
      </c>
      <c r="AE8" s="103">
        <v>31</v>
      </c>
      <c r="AF8" s="103">
        <v>32</v>
      </c>
      <c r="AG8" s="103">
        <v>33</v>
      </c>
      <c r="AH8" s="103">
        <v>34</v>
      </c>
      <c r="AI8" s="103">
        <v>35</v>
      </c>
      <c r="AJ8" s="103">
        <v>36</v>
      </c>
      <c r="AK8" s="103">
        <v>37</v>
      </c>
      <c r="AL8" s="103">
        <v>38</v>
      </c>
      <c r="AM8" s="103">
        <v>39</v>
      </c>
      <c r="AN8" s="103">
        <v>40</v>
      </c>
      <c r="AO8" s="103">
        <v>41</v>
      </c>
      <c r="AP8" s="103">
        <v>42</v>
      </c>
      <c r="AQ8" s="103">
        <v>43</v>
      </c>
      <c r="AR8" s="103">
        <v>44</v>
      </c>
      <c r="AS8" s="103">
        <v>45</v>
      </c>
      <c r="AT8" s="103">
        <v>46</v>
      </c>
      <c r="AU8" s="103">
        <v>47</v>
      </c>
      <c r="AV8" s="184">
        <v>48</v>
      </c>
      <c r="AW8" s="285">
        <v>49</v>
      </c>
      <c r="AX8" s="227">
        <v>50</v>
      </c>
      <c r="AY8" s="1450">
        <v>51</v>
      </c>
      <c r="AZ8" s="227">
        <v>52</v>
      </c>
      <c r="BA8" s="325">
        <v>53</v>
      </c>
      <c r="BB8" s="184">
        <v>54</v>
      </c>
      <c r="BC8" s="227">
        <v>55</v>
      </c>
      <c r="BD8" s="103">
        <v>56</v>
      </c>
      <c r="BE8" s="1521">
        <v>57</v>
      </c>
      <c r="BF8" s="227">
        <v>58</v>
      </c>
      <c r="BG8" s="325">
        <v>59</v>
      </c>
      <c r="BH8" s="227">
        <v>60</v>
      </c>
      <c r="BI8" s="1451">
        <v>61</v>
      </c>
      <c r="BJ8" s="1521">
        <v>62</v>
      </c>
      <c r="BK8" s="227">
        <v>63</v>
      </c>
      <c r="BL8" s="325">
        <v>64</v>
      </c>
      <c r="BM8" s="227">
        <v>65</v>
      </c>
      <c r="BN8" s="227">
        <v>66</v>
      </c>
      <c r="BO8" s="1451">
        <v>67</v>
      </c>
      <c r="BP8" s="285">
        <v>68</v>
      </c>
      <c r="BQ8" s="325">
        <v>69</v>
      </c>
      <c r="BR8" s="1423">
        <v>70</v>
      </c>
      <c r="BS8" s="227">
        <v>71</v>
      </c>
      <c r="BT8" s="325">
        <v>72</v>
      </c>
      <c r="BU8" s="1423">
        <v>73</v>
      </c>
      <c r="BV8" s="227">
        <v>74</v>
      </c>
      <c r="BW8" s="325">
        <v>75</v>
      </c>
      <c r="BX8" s="1423">
        <v>76</v>
      </c>
      <c r="BY8" s="227">
        <v>77</v>
      </c>
      <c r="BZ8" s="325">
        <v>78</v>
      </c>
      <c r="CA8" s="1423">
        <v>79</v>
      </c>
      <c r="CB8" s="227">
        <v>80</v>
      </c>
      <c r="CC8" s="325">
        <v>81</v>
      </c>
      <c r="CD8" s="1423">
        <v>82</v>
      </c>
      <c r="CE8" s="227">
        <v>83</v>
      </c>
      <c r="CF8" s="325">
        <v>84</v>
      </c>
      <c r="CG8" s="1423">
        <v>85</v>
      </c>
      <c r="CH8" s="227">
        <v>86</v>
      </c>
      <c r="CI8" s="325">
        <v>87</v>
      </c>
      <c r="CJ8" s="1423">
        <v>88</v>
      </c>
      <c r="CK8" s="227">
        <v>89</v>
      </c>
      <c r="CL8" s="325">
        <v>90</v>
      </c>
      <c r="CM8" s="1423">
        <v>91</v>
      </c>
      <c r="CN8" s="227">
        <v>92</v>
      </c>
      <c r="CO8" s="325">
        <v>93</v>
      </c>
      <c r="CP8" s="1423">
        <v>94</v>
      </c>
      <c r="CQ8" s="227">
        <v>95</v>
      </c>
      <c r="CR8" s="325">
        <v>96</v>
      </c>
      <c r="CS8" s="1423">
        <v>97</v>
      </c>
      <c r="CT8" s="227">
        <v>98</v>
      </c>
      <c r="CU8" s="325">
        <v>99</v>
      </c>
      <c r="CV8" s="1423">
        <v>100</v>
      </c>
      <c r="CW8" s="227">
        <v>101</v>
      </c>
      <c r="CX8" s="325">
        <v>102</v>
      </c>
      <c r="CY8" s="1423">
        <v>103</v>
      </c>
      <c r="CZ8" s="227">
        <v>104</v>
      </c>
      <c r="DA8" s="325">
        <v>105</v>
      </c>
      <c r="DB8" s="1423">
        <v>106</v>
      </c>
      <c r="DC8" s="227">
        <v>107</v>
      </c>
      <c r="DD8" s="325">
        <v>108</v>
      </c>
      <c r="DE8" s="1423">
        <v>109</v>
      </c>
      <c r="DF8" s="227">
        <v>110</v>
      </c>
      <c r="DG8" s="325">
        <v>111</v>
      </c>
      <c r="DH8" s="1423">
        <v>112</v>
      </c>
      <c r="DI8" s="227">
        <v>113</v>
      </c>
      <c r="DJ8" s="325">
        <v>114</v>
      </c>
      <c r="DK8" s="1423">
        <v>115</v>
      </c>
      <c r="DL8" s="227">
        <v>116</v>
      </c>
      <c r="DM8" s="325">
        <v>117</v>
      </c>
      <c r="DN8" s="1423">
        <v>118</v>
      </c>
      <c r="DO8" s="227">
        <v>119</v>
      </c>
      <c r="DP8" s="325">
        <v>120</v>
      </c>
      <c r="DQ8" s="1423">
        <v>121</v>
      </c>
      <c r="DR8" s="227">
        <v>122</v>
      </c>
      <c r="DS8" s="325">
        <v>123</v>
      </c>
      <c r="DT8" s="1423" t="s">
        <v>1782</v>
      </c>
      <c r="DU8" s="227" t="s">
        <v>1783</v>
      </c>
      <c r="DV8" s="325" t="s">
        <v>5275</v>
      </c>
      <c r="DW8" s="1423">
        <v>127</v>
      </c>
      <c r="DX8" s="227">
        <v>128</v>
      </c>
      <c r="DY8" s="325">
        <v>129</v>
      </c>
      <c r="DZ8" s="1423">
        <v>130</v>
      </c>
      <c r="EA8" s="227">
        <v>131</v>
      </c>
      <c r="EB8" s="325">
        <v>132</v>
      </c>
      <c r="EC8" s="1423">
        <v>133</v>
      </c>
      <c r="ED8" s="227">
        <v>134</v>
      </c>
      <c r="EE8" s="325">
        <v>135</v>
      </c>
      <c r="EF8" s="1423">
        <v>136</v>
      </c>
      <c r="EG8" s="227">
        <v>137</v>
      </c>
      <c r="EH8" s="325">
        <v>138</v>
      </c>
      <c r="EI8" s="1423">
        <v>139</v>
      </c>
      <c r="EJ8" s="227">
        <v>140</v>
      </c>
      <c r="EK8" s="227">
        <v>141</v>
      </c>
      <c r="EL8" s="1433">
        <v>142</v>
      </c>
      <c r="EM8" s="251">
        <v>143</v>
      </c>
      <c r="EN8" s="292">
        <v>144</v>
      </c>
      <c r="EO8" s="251">
        <v>145</v>
      </c>
      <c r="EP8" s="292">
        <v>146</v>
      </c>
      <c r="EQ8" s="251">
        <v>147</v>
      </c>
      <c r="ER8" s="292">
        <v>148</v>
      </c>
      <c r="ES8" s="251">
        <v>149</v>
      </c>
      <c r="ET8" s="292">
        <v>150</v>
      </c>
      <c r="EU8" s="227">
        <v>151</v>
      </c>
      <c r="EV8" s="1677">
        <v>152</v>
      </c>
      <c r="EW8" s="1678">
        <v>153</v>
      </c>
      <c r="EX8" s="251">
        <v>154</v>
      </c>
      <c r="EY8" s="227">
        <v>155</v>
      </c>
      <c r="EZ8" s="227">
        <v>156</v>
      </c>
      <c r="FA8" s="184">
        <v>157</v>
      </c>
      <c r="FB8" s="226">
        <v>158</v>
      </c>
      <c r="FC8" s="184">
        <v>159</v>
      </c>
      <c r="FD8" s="226">
        <v>160</v>
      </c>
      <c r="FE8" s="184">
        <v>161</v>
      </c>
      <c r="FF8" s="226">
        <v>162</v>
      </c>
      <c r="FG8" s="1745">
        <v>163</v>
      </c>
      <c r="FH8" s="1745">
        <v>164</v>
      </c>
      <c r="FI8" s="1745">
        <v>165</v>
      </c>
      <c r="FJ8" s="1745">
        <v>166</v>
      </c>
      <c r="FK8" s="1745">
        <v>167</v>
      </c>
      <c r="FL8" s="1745">
        <v>168</v>
      </c>
      <c r="FM8" s="1745">
        <v>169</v>
      </c>
      <c r="FN8" s="1745">
        <v>170</v>
      </c>
      <c r="FO8" s="1745">
        <v>171</v>
      </c>
      <c r="FP8" s="1745">
        <v>172</v>
      </c>
      <c r="FQ8" s="1745">
        <v>173</v>
      </c>
      <c r="FR8" s="1745">
        <v>174</v>
      </c>
      <c r="FS8" s="1745">
        <v>175</v>
      </c>
      <c r="FT8" s="1746">
        <v>176</v>
      </c>
      <c r="FU8" s="1745">
        <v>177</v>
      </c>
      <c r="FV8" s="1745">
        <v>178</v>
      </c>
      <c r="FW8" s="1745">
        <v>179</v>
      </c>
      <c r="FX8" s="1745">
        <v>180</v>
      </c>
      <c r="FY8" s="1745">
        <v>181</v>
      </c>
      <c r="FZ8" s="64"/>
      <c r="GA8" s="64"/>
      <c r="GB8" s="64"/>
      <c r="GC8" s="64"/>
      <c r="GD8" s="64"/>
      <c r="GE8" s="64"/>
      <c r="GF8" s="64"/>
      <c r="GG8" s="64"/>
      <c r="GH8" s="64"/>
      <c r="GI8" s="64"/>
      <c r="GJ8" s="64"/>
      <c r="GK8" s="64"/>
      <c r="GL8" s="64"/>
      <c r="GM8" s="64"/>
      <c r="GN8" s="64"/>
      <c r="GO8" s="64"/>
      <c r="GP8" s="64"/>
      <c r="GQ8" s="64"/>
      <c r="GR8" s="64"/>
      <c r="GS8" s="64"/>
      <c r="GT8" s="64"/>
      <c r="GU8" s="64"/>
      <c r="GV8" s="64"/>
      <c r="GW8" s="64"/>
      <c r="GX8" s="64"/>
      <c r="GY8" s="64"/>
      <c r="GZ8" s="64"/>
      <c r="HA8" s="64"/>
      <c r="HB8" s="64"/>
      <c r="HC8" s="64"/>
      <c r="HD8" s="64"/>
      <c r="HE8" s="64"/>
      <c r="HF8" s="64"/>
      <c r="HG8" s="64"/>
      <c r="HH8" s="64"/>
      <c r="HI8" s="64"/>
      <c r="HJ8" s="64"/>
      <c r="HK8" s="64"/>
      <c r="HL8" s="64"/>
      <c r="HM8" s="64"/>
      <c r="HN8" s="64"/>
      <c r="HO8" s="64"/>
      <c r="HP8" s="64"/>
      <c r="HQ8" s="64"/>
      <c r="HR8" s="64"/>
      <c r="HS8" s="64"/>
      <c r="HT8" s="64"/>
      <c r="HU8" s="64"/>
      <c r="HV8" s="64"/>
      <c r="HW8" s="64"/>
      <c r="HX8" s="64"/>
      <c r="HY8" s="64"/>
      <c r="HZ8" s="64"/>
      <c r="IA8" s="64"/>
      <c r="IB8" s="64"/>
      <c r="IC8" s="64"/>
      <c r="ID8" s="64"/>
      <c r="IE8" s="64"/>
      <c r="IF8" s="64"/>
      <c r="IG8" s="64"/>
      <c r="IH8" s="64"/>
      <c r="II8" s="64"/>
      <c r="IJ8" s="64"/>
      <c r="IK8" s="64"/>
      <c r="IL8" s="64"/>
      <c r="IM8" s="64"/>
      <c r="IN8" s="64"/>
      <c r="IO8" s="64"/>
      <c r="IP8" s="64"/>
      <c r="IQ8" s="64"/>
      <c r="IR8" s="64"/>
      <c r="IS8" s="64"/>
      <c r="IT8" s="64"/>
      <c r="IU8" s="64"/>
    </row>
    <row r="9" spans="1:256" s="1022" customFormat="1" ht="12" customHeight="1" thickBot="1">
      <c r="A9" s="265" t="s">
        <v>1795</v>
      </c>
      <c r="B9" s="1009"/>
      <c r="C9" s="1010"/>
      <c r="D9" s="973" t="s">
        <v>1596</v>
      </c>
      <c r="E9" s="973" t="s">
        <v>3694</v>
      </c>
      <c r="F9" s="974" t="s">
        <v>4535</v>
      </c>
      <c r="G9" s="974" t="s">
        <v>3693</v>
      </c>
      <c r="H9" s="974" t="s">
        <v>1281</v>
      </c>
      <c r="I9" s="974" t="s">
        <v>3692</v>
      </c>
      <c r="J9" s="974" t="s">
        <v>4511</v>
      </c>
      <c r="K9" s="974" t="s">
        <v>3440</v>
      </c>
      <c r="L9" s="973" t="s">
        <v>4512</v>
      </c>
      <c r="M9" s="973" t="s">
        <v>3885</v>
      </c>
      <c r="N9" s="973" t="s">
        <v>3886</v>
      </c>
      <c r="O9" s="973" t="s">
        <v>1384</v>
      </c>
      <c r="P9" s="973" t="s">
        <v>3887</v>
      </c>
      <c r="Q9" s="1132" t="s">
        <v>2523</v>
      </c>
      <c r="R9" s="1132" t="s">
        <v>4510</v>
      </c>
      <c r="S9" s="1132" t="s">
        <v>3888</v>
      </c>
      <c r="T9" s="1011" t="s">
        <v>2563</v>
      </c>
      <c r="U9" s="1183">
        <v>100000</v>
      </c>
      <c r="V9" s="1012"/>
      <c r="W9" s="1012"/>
      <c r="X9" s="1013"/>
      <c r="Y9" s="1014"/>
      <c r="Z9" s="1014"/>
      <c r="AA9" s="1015"/>
      <c r="AB9" s="266"/>
      <c r="AC9" s="266"/>
      <c r="AD9" s="267"/>
      <c r="AE9" s="266"/>
      <c r="AF9" s="266"/>
      <c r="AG9" s="266"/>
      <c r="AH9" s="266"/>
      <c r="AI9" s="266"/>
      <c r="AJ9" s="266"/>
      <c r="AK9" s="267"/>
      <c r="AL9" s="266"/>
      <c r="AM9" s="266"/>
      <c r="AN9" s="266"/>
      <c r="AO9" s="266"/>
      <c r="AP9" s="266"/>
      <c r="AQ9" s="266"/>
      <c r="AR9" s="266"/>
      <c r="AS9" s="266"/>
      <c r="AT9" s="266"/>
      <c r="AU9" s="266"/>
      <c r="AV9" s="1016"/>
      <c r="AW9" s="995">
        <f>ANNEE-1</f>
        <v>2026</v>
      </c>
      <c r="AX9" s="979">
        <f>ANNEE</f>
        <v>2027</v>
      </c>
      <c r="AY9" s="984"/>
      <c r="AZ9" s="980">
        <f>ANNEE-1</f>
        <v>2026</v>
      </c>
      <c r="BA9" s="979">
        <f>ANNEE</f>
        <v>2027</v>
      </c>
      <c r="BB9" s="995">
        <f>ANNEE-1</f>
        <v>2026</v>
      </c>
      <c r="BC9" s="979">
        <f>ANNEE</f>
        <v>2027</v>
      </c>
      <c r="BD9" s="1018"/>
      <c r="BE9" s="1262"/>
      <c r="BF9" s="980">
        <f>ANNEE-1</f>
        <v>2026</v>
      </c>
      <c r="BG9" s="979">
        <f>ANNEE</f>
        <v>2027</v>
      </c>
      <c r="BH9" s="1541">
        <f>BI9-1</f>
        <v>2026</v>
      </c>
      <c r="BI9" s="1542">
        <f>ANNEE</f>
        <v>2027</v>
      </c>
      <c r="BJ9" s="1541">
        <f>BK9-1</f>
        <v>2026</v>
      </c>
      <c r="BK9" s="3311">
        <f>ANNEE</f>
        <v>2027</v>
      </c>
      <c r="BL9" s="3312"/>
      <c r="BM9" s="994"/>
      <c r="BN9" s="994"/>
      <c r="BO9" s="994"/>
      <c r="BP9" s="978">
        <f>ANNEE-1</f>
        <v>2026</v>
      </c>
      <c r="BQ9" s="979">
        <f>ANNEE</f>
        <v>2027</v>
      </c>
      <c r="BR9" s="984"/>
      <c r="BS9" s="980">
        <f>ANNEE-1</f>
        <v>2026</v>
      </c>
      <c r="BT9" s="985">
        <f>ANNEE</f>
        <v>2027</v>
      </c>
      <c r="BU9" s="984"/>
      <c r="BV9" s="980">
        <f>ANNEE-1</f>
        <v>2026</v>
      </c>
      <c r="BW9" s="985">
        <f>ANNEE</f>
        <v>2027</v>
      </c>
      <c r="BX9" s="984"/>
      <c r="BY9" s="980">
        <f>ANNEE-1</f>
        <v>2026</v>
      </c>
      <c r="BZ9" s="985">
        <f>ANNEE</f>
        <v>2027</v>
      </c>
      <c r="CA9" s="984"/>
      <c r="CB9" s="980">
        <f>ANNEE-1</f>
        <v>2026</v>
      </c>
      <c r="CC9" s="985">
        <f>ANNEE</f>
        <v>2027</v>
      </c>
      <c r="CD9" s="984"/>
      <c r="CE9" s="980">
        <f>ANNEE-1</f>
        <v>2026</v>
      </c>
      <c r="CF9" s="985">
        <f>ANNEE</f>
        <v>2027</v>
      </c>
      <c r="CG9" s="984"/>
      <c r="CH9" s="980">
        <f>ANNEE-1</f>
        <v>2026</v>
      </c>
      <c r="CI9" s="985">
        <f>ANNEE</f>
        <v>2027</v>
      </c>
      <c r="CJ9" s="1294"/>
      <c r="CK9" s="1295">
        <f>ANNEE-1</f>
        <v>2026</v>
      </c>
      <c r="CL9" s="1296">
        <f>ANNEE</f>
        <v>2027</v>
      </c>
      <c r="CM9" s="983"/>
      <c r="CN9" s="980">
        <f>ANNEE-1</f>
        <v>2026</v>
      </c>
      <c r="CO9" s="979">
        <f>ANNEE</f>
        <v>2027</v>
      </c>
      <c r="CP9" s="984"/>
      <c r="CQ9" s="980">
        <f>ANNEE-1</f>
        <v>2026</v>
      </c>
      <c r="CR9" s="979">
        <f>ANNEE</f>
        <v>2027</v>
      </c>
      <c r="CS9" s="984"/>
      <c r="CT9" s="980">
        <f>ANNEE-1</f>
        <v>2026</v>
      </c>
      <c r="CU9" s="979">
        <f>ANNEE</f>
        <v>2027</v>
      </c>
      <c r="CV9" s="984"/>
      <c r="CW9" s="980">
        <f>ANNEE-1</f>
        <v>2026</v>
      </c>
      <c r="CX9" s="979">
        <f>ANNEE</f>
        <v>2027</v>
      </c>
      <c r="CY9" s="984"/>
      <c r="CZ9" s="980">
        <f>ANNEE-1</f>
        <v>2026</v>
      </c>
      <c r="DA9" s="985">
        <f>ANNEE</f>
        <v>2027</v>
      </c>
      <c r="DE9" s="984"/>
      <c r="DF9" s="980">
        <f>ANNEE-1</f>
        <v>2026</v>
      </c>
      <c r="DG9" s="985">
        <f>ANNEE</f>
        <v>2027</v>
      </c>
      <c r="DH9" s="984"/>
      <c r="DI9" s="980">
        <f>ANNEE-1</f>
        <v>2026</v>
      </c>
      <c r="DJ9" s="985">
        <f>ANNEE</f>
        <v>2027</v>
      </c>
      <c r="DK9" s="984"/>
      <c r="DL9" s="980">
        <f>ANNEE-1</f>
        <v>2026</v>
      </c>
      <c r="DM9" s="979">
        <f>ANNEE</f>
        <v>2027</v>
      </c>
      <c r="DN9" s="984"/>
      <c r="DO9" s="980">
        <f>ANNEE-1</f>
        <v>2026</v>
      </c>
      <c r="DP9" s="979">
        <f>ANNEE</f>
        <v>2027</v>
      </c>
      <c r="DQ9" s="982"/>
      <c r="DR9" s="980">
        <f>ANNEE-1</f>
        <v>2026</v>
      </c>
      <c r="DS9" s="985">
        <f>ANNEE</f>
        <v>2027</v>
      </c>
      <c r="DT9" s="982"/>
      <c r="DU9" s="980">
        <f>ANNEE-1</f>
        <v>2026</v>
      </c>
      <c r="DV9" s="979">
        <f>ANNEE</f>
        <v>2027</v>
      </c>
      <c r="DW9" s="984"/>
      <c r="DX9" s="980">
        <f>ANNEE-1</f>
        <v>2026</v>
      </c>
      <c r="DY9" s="985">
        <f>ANNEE</f>
        <v>2027</v>
      </c>
      <c r="DZ9" s="979"/>
      <c r="EA9" s="980">
        <f>ANNEE-1</f>
        <v>2026</v>
      </c>
      <c r="EB9" s="979">
        <f>ANNEE</f>
        <v>2027</v>
      </c>
      <c r="EC9" s="982"/>
      <c r="ED9" s="980">
        <f>ANNEE-1</f>
        <v>2026</v>
      </c>
      <c r="EE9" s="979">
        <f>ANNEE</f>
        <v>2027</v>
      </c>
      <c r="EF9" s="982"/>
      <c r="EG9" s="980">
        <f>ANNEE-1</f>
        <v>2026</v>
      </c>
      <c r="EH9" s="979">
        <f>ANNEE</f>
        <v>2027</v>
      </c>
      <c r="EI9" s="982"/>
      <c r="EJ9" s="980">
        <f>ANNEE-1</f>
        <v>2026</v>
      </c>
      <c r="EK9" s="979">
        <f>ANNEE</f>
        <v>2027</v>
      </c>
      <c r="EL9" s="1434">
        <f>ANNEE-1</f>
        <v>2026</v>
      </c>
      <c r="EM9" s="990">
        <f>ANNEE</f>
        <v>2027</v>
      </c>
      <c r="EN9" s="991">
        <f>ANNEE-1</f>
        <v>2026</v>
      </c>
      <c r="EO9" s="990">
        <f>ANNEE</f>
        <v>2027</v>
      </c>
      <c r="EP9" s="991">
        <f>ANNEE-1</f>
        <v>2026</v>
      </c>
      <c r="EQ9" s="990">
        <f>ANNEE</f>
        <v>2027</v>
      </c>
      <c r="ER9" s="991">
        <f>ANNEE-1</f>
        <v>2026</v>
      </c>
      <c r="ES9" s="990">
        <f>ANNEE</f>
        <v>2027</v>
      </c>
      <c r="ET9" s="991">
        <f>ANNEE-1</f>
        <v>2026</v>
      </c>
      <c r="EU9" s="979">
        <f>ANNEE</f>
        <v>2027</v>
      </c>
      <c r="EV9" s="1679">
        <f>ANNEE-1</f>
        <v>2026</v>
      </c>
      <c r="EW9" s="1680">
        <f>ANNEE</f>
        <v>2027</v>
      </c>
      <c r="EX9" s="1681"/>
      <c r="EY9" s="993">
        <f>ANNEE-1</f>
        <v>2026</v>
      </c>
      <c r="EZ9" s="994">
        <f>ANNEE</f>
        <v>2027</v>
      </c>
      <c r="FA9" s="995">
        <f>ANNEE-1</f>
        <v>2026</v>
      </c>
      <c r="FB9" s="979">
        <f>ANNEE</f>
        <v>2027</v>
      </c>
      <c r="FC9" s="995">
        <f>ANNEE-1</f>
        <v>2026</v>
      </c>
      <c r="FD9" s="979">
        <f>ANNEE</f>
        <v>2027</v>
      </c>
      <c r="FE9" s="995"/>
      <c r="FF9" s="989">
        <f>ANNEE</f>
        <v>2027</v>
      </c>
      <c r="FG9" s="1019"/>
      <c r="FH9" s="1019"/>
      <c r="FI9" s="1020" t="str">
        <f>IF(FG9="","",CONCATENATE(IF(VLOOKUP(FG9,Zk_PrestAll,19,0)=0,0,VLOOKUP(FG9,Zk_PrestAll,19,0))+IF(VLOOKUP(FG9,Zk_PrestAll,20,0)=0,0,VLOOKUP(FG9,Zk_PrestAll,20,0))+IF(VLOOKUP(FG9,Zk_PrestAll,21,0)=0,0,VLOOKUP(FG9,Zk_PrestAll,21,0))))</f>
        <v/>
      </c>
      <c r="FJ9" s="268"/>
      <c r="FK9" s="269"/>
      <c r="FL9" s="268"/>
      <c r="FM9" s="268"/>
      <c r="FN9" s="268"/>
      <c r="FO9" s="268"/>
      <c r="FP9" s="268"/>
      <c r="FQ9" s="268"/>
      <c r="FR9" s="268"/>
      <c r="FS9" s="64"/>
      <c r="FT9" s="64"/>
      <c r="FU9" s="64"/>
      <c r="FV9" s="2878">
        <f>ANNEE</f>
        <v>2027</v>
      </c>
      <c r="FW9" s="2878">
        <f>ANNEE</f>
        <v>2027</v>
      </c>
      <c r="FX9" s="2878">
        <f>ANNEE</f>
        <v>2027</v>
      </c>
      <c r="FY9" s="2878">
        <f>ANNEE</f>
        <v>2027</v>
      </c>
      <c r="FZ9" s="64"/>
      <c r="GA9" s="64"/>
      <c r="GB9" s="64"/>
      <c r="GC9" s="1021"/>
      <c r="GD9" s="64"/>
      <c r="GE9" s="64"/>
      <c r="GF9" s="64"/>
      <c r="GG9" s="64"/>
      <c r="GH9" s="64"/>
      <c r="GI9" s="64"/>
      <c r="GJ9" s="64"/>
      <c r="GK9" s="64"/>
      <c r="GL9" s="64"/>
      <c r="GM9" s="64"/>
      <c r="GN9" s="64"/>
      <c r="GO9" s="64"/>
      <c r="GP9" s="64"/>
      <c r="GQ9" s="64"/>
      <c r="GR9" s="64"/>
      <c r="GS9" s="64"/>
      <c r="GT9" s="64"/>
      <c r="GU9" s="64"/>
      <c r="GV9" s="64"/>
      <c r="GW9" s="64"/>
      <c r="GX9" s="64"/>
      <c r="GY9" s="64"/>
      <c r="GZ9" s="64"/>
      <c r="HA9" s="64"/>
      <c r="HB9" s="64"/>
      <c r="HC9" s="64"/>
      <c r="HD9" s="64"/>
      <c r="HE9" s="64"/>
      <c r="HF9" s="64"/>
      <c r="HG9" s="64"/>
      <c r="HH9" s="64"/>
      <c r="HI9" s="64"/>
      <c r="HJ9" s="64"/>
      <c r="HK9" s="64"/>
      <c r="HL9" s="64"/>
      <c r="HM9" s="64"/>
      <c r="HN9" s="64"/>
      <c r="HO9" s="64"/>
      <c r="HP9" s="64"/>
      <c r="HQ9" s="64"/>
      <c r="HR9" s="64"/>
      <c r="HS9" s="64"/>
      <c r="HT9" s="64"/>
      <c r="HU9" s="64"/>
      <c r="HV9" s="64"/>
      <c r="HW9" s="64"/>
      <c r="HX9" s="64"/>
      <c r="HY9" s="64"/>
      <c r="HZ9" s="64"/>
      <c r="IA9" s="64"/>
      <c r="IB9" s="64"/>
      <c r="IC9" s="64"/>
      <c r="ID9" s="64"/>
      <c r="IE9" s="64"/>
      <c r="IF9" s="64"/>
      <c r="IG9" s="64"/>
      <c r="IH9" s="64"/>
      <c r="II9" s="64"/>
      <c r="IJ9" s="64"/>
      <c r="IK9" s="64"/>
      <c r="IL9" s="64"/>
      <c r="IM9" s="64"/>
      <c r="IN9" s="64"/>
      <c r="IO9" s="64"/>
      <c r="IP9" s="64"/>
      <c r="IQ9" s="64"/>
      <c r="IR9" s="64"/>
      <c r="IS9" s="64"/>
      <c r="IT9" s="64"/>
      <c r="IU9" s="64"/>
    </row>
    <row r="10" spans="1:256" s="1565" customFormat="1" ht="13.5" customHeight="1" thickTop="1">
      <c r="A10" s="1023" t="e">
        <f>IF(V10=3,"A.P.E.","CALog")</f>
        <v>#N/A</v>
      </c>
      <c r="B10" s="1023"/>
      <c r="C10" s="1023">
        <f>C9+1</f>
        <v>1</v>
      </c>
      <c r="D10" s="1549"/>
      <c r="E10" s="1549"/>
      <c r="F10" s="1549"/>
      <c r="G10" s="1549"/>
      <c r="H10" s="1549"/>
      <c r="I10" s="1549"/>
      <c r="J10" s="1549"/>
      <c r="K10" s="1549"/>
      <c r="L10" s="1549"/>
      <c r="M10" s="1549"/>
      <c r="N10" s="1549"/>
      <c r="O10" s="1549"/>
      <c r="P10" s="1549"/>
      <c r="Q10" s="1550"/>
      <c r="R10" s="1550"/>
      <c r="S10" s="1550"/>
      <c r="T10" s="1186" t="str">
        <f>IF(M10="","",IF(VALUE(LEFT(RIGHT(M10,6),4))=ANNEE,RIGHT(M10,6),""))</f>
        <v/>
      </c>
      <c r="U10" s="233" t="e">
        <f>IF(BE10="",LEFT(R10,6)/$U$14,VLOOKUP(BE10,Prest_supl,6,0))</f>
        <v>#VALUE!</v>
      </c>
      <c r="V10" s="216" t="e">
        <f>VLOOKUP(D10,StCtr,2,0)</f>
        <v>#N/A</v>
      </c>
      <c r="W10" s="218" t="e">
        <f>IF(OR(E10="1",E10=1),1,IF(ARREST="",2,1))</f>
        <v>#N/A</v>
      </c>
      <c r="X10" s="218" t="e">
        <f>HLOOKUP(K10,ZkBarCalog,5,0)</f>
        <v>#N/A</v>
      </c>
      <c r="Y10" s="216" t="str">
        <f>IF(T10="",IF(N10="","",N10),LEFT(M10,SEARCH("-",M10)-2))</f>
        <v/>
      </c>
      <c r="Z10" s="216">
        <f>IF(Y10=N10,O10,RIGHT(L10,6))</f>
        <v>0</v>
      </c>
      <c r="AA10" s="252" t="e">
        <f>VALUE(LEFT(L10,4))</f>
        <v>#VALUE!</v>
      </c>
      <c r="AB10" s="252" t="e">
        <f>IF(YEAR(AnBud)-AA10=-1,0,YEAR(AnBud)-AA10)-IF(MONTH(AnBud)&lt;AC10,1,0)</f>
        <v>#VALUE!</v>
      </c>
      <c r="AC10" s="252" t="e">
        <f>VALUE(RIGHT(L10,2))</f>
        <v>#VALUE!</v>
      </c>
      <c r="AD10" s="253" t="e">
        <f>HLOOKUP(K10,ZkBarCalog,8,0)</f>
        <v>#N/A</v>
      </c>
      <c r="AE10" s="252" t="e">
        <f>VLOOKUP(AB10,TabBarCalog,AD10,0)</f>
        <v>#VALUE!</v>
      </c>
      <c r="AF10" s="252" t="e">
        <f>IF(AND(W10=1,AC10=1),12,AC10-1)</f>
        <v>#N/A</v>
      </c>
      <c r="AG10" s="252" t="e">
        <f>IF(AF10=12,"",VLOOKUP(AB10+1,TabBarCalog,AD10,0))</f>
        <v>#N/A</v>
      </c>
      <c r="AH10" s="252" t="e">
        <f>IF(AND(AG10&lt;AL10,12-AF10=AO10),0,12-AF10)</f>
        <v>#N/A</v>
      </c>
      <c r="AI10" s="252" t="str">
        <f>IF(Y10="","",ANNEE-VALUE(LEFT(Z10,4))-IF(MID(Z10,5,2)="01",IF(W10=2,1,0),1))</f>
        <v/>
      </c>
      <c r="AJ10" s="252" t="str">
        <f>IF(AI10="","",VALUE(RIGHT(Z10,2)))</f>
        <v/>
      </c>
      <c r="AK10" s="253" t="str">
        <f>IF(Y10="","'",HLOOKUP(Y10,ZkBarCalog,8,0))</f>
        <v>'</v>
      </c>
      <c r="AL10" s="252" t="str">
        <f>IF(AND(N10="",T10=""),"",VLOOKUP(AI10,TabBarCalog,AK10))</f>
        <v/>
      </c>
      <c r="AM10" s="252" t="str">
        <f>IF(AI10="","",VLOOKUP(AJ10,E_A,IF(W10=2,1,2)))</f>
        <v/>
      </c>
      <c r="AN10" s="252" t="str">
        <f>IF(OR(AM10=12,AI10="",AND(N10="",T10="")),"",VLOOKUP(AI10+1,TabBarCalog,AK10))</f>
        <v/>
      </c>
      <c r="AO10" s="252" t="str">
        <f>IF(AI10="","",12-AM10)</f>
        <v/>
      </c>
      <c r="AP10" s="252" t="e">
        <f>IF(AND(T10&lt;&gt;"",IF(M10="",0,VALUE(RIGHT(M10,2)))&lt;AF10),AJ10-1,MIN(AF10,AM10))</f>
        <v>#N/A</v>
      </c>
      <c r="AQ10" s="252" t="e">
        <f>MAX(AE10,IF(AND(AJ10&lt;&gt;1,T10&lt;&gt;""),0,AL10))</f>
        <v>#VALUE!</v>
      </c>
      <c r="AR10" s="252" t="e">
        <f>IF(AS10="",0,IF(AND(T10&lt;&gt;"",AF10=AM10),AJ10-1-AF10,MAX(AF10,AM10)-AP10))</f>
        <v>#N/A</v>
      </c>
      <c r="AS10" s="252" t="e">
        <f>IF(AND(AM10&lt;AJ10,T10&lt;&gt;""),IF(AG10="",0,AG10),IF(AF10&gt;AM10,MAX(AN10,AE10),MAX(AG10,AL10)))</f>
        <v>#N/A</v>
      </c>
      <c r="AT10" s="252" t="e">
        <f>12-AP10-AR10</f>
        <v>#N/A</v>
      </c>
      <c r="AU10" s="252" t="e">
        <f>MAX(AG10,IF(AN10="",AL10,AN10))</f>
        <v>#N/A</v>
      </c>
      <c r="AV10" s="1025" t="e">
        <f>ROUND((AP10*AQ10+AR10*IF(AS10="",0,AS10)+AT10*AU10)/12,2)</f>
        <v>#N/A</v>
      </c>
      <c r="AW10" s="355" t="e">
        <f>IF(W10=1,0,ROUND(AQ10/12*IndW_N1*U10,2))+IF(AZ10&lt;0,0,AZ10)</f>
        <v>#N/A</v>
      </c>
      <c r="AX10" s="217" t="e">
        <f>ROUND(FY10*IndW*U10,2)+IF(BA10&lt;0,BA10,0)</f>
        <v>#N/A</v>
      </c>
      <c r="AY10" s="305">
        <f>IF(FG10="",0,IF(ISNA(VLOOKUP(F10,Zk_PrestAll,66,0)),0,VLOOKUP(F10,Zk_PrestAll,66,0)))-IF(ISNA(VLOOKUP(F10,Zk_PrestAll,67,0)),0,VLOOKUP(F10,Zk_PrestAll,67,0))</f>
        <v>0</v>
      </c>
      <c r="AZ10" s="249" t="e">
        <f>IF(OR(AY10="",W10=1),0,ROUND(AY10/12*IndDiffDec,2))</f>
        <v>#N/A</v>
      </c>
      <c r="BA10" s="221" t="e">
        <f>IF(AY10="",0,ROUND(AY10/12*IF(W10=1,12*IndDiff,11*IndDiffNab),2))</f>
        <v>#N/A</v>
      </c>
      <c r="BB10" s="1551" t="e">
        <f>IF(AW10=0,0,ROUND(VLOOKUP(AQ10,HS_FR,IF(OR(S10=1,S10="1"),2,3))*IndW_N1/12,2))</f>
        <v>#N/A</v>
      </c>
      <c r="BC10" s="216" t="e">
        <f>ROUND(VLOOKUP(AV10,HS_FR,IF(OR(S10=1,S10="1"),2,3))*IF(W10=2,IndW_N1/12*11,IndW_N),2)</f>
        <v>#N/A</v>
      </c>
      <c r="BD10" s="1552" t="e">
        <f>ROUND(AV10*U10*IndW,2)</f>
        <v>#N/A</v>
      </c>
      <c r="BE10" s="1263" t="str">
        <f>IF(FG10="","",IF(VLOOKUP(F10,Zk_PrestAll,59,0)&gt;1,"4/5s",IF(VLOOKUP(F10,Zk_PrestAll,60,0)&gt;1,"50%","")))</f>
        <v/>
      </c>
      <c r="BF10" s="249" t="e">
        <f>IF(AND(W10=2,BE10&lt;&gt;""),ROUND(VLOOKUP(BE10,Prest_supl,4,0),2),"")</f>
        <v>#N/A</v>
      </c>
      <c r="BG10" s="252" t="str">
        <f>IF(BE10&lt;&gt;"",ROUND(VLOOKUP(BE10,Prest_supl,IF(W10=2,5,3),0),2),"")</f>
        <v/>
      </c>
      <c r="BH10" s="1543"/>
      <c r="BI10" s="1544" t="e">
        <f>ROUND((BD10+IF(DJ10="",0,DJ10))*0.92/12,2)</f>
        <v>#N/A</v>
      </c>
      <c r="BJ10" s="1543"/>
      <c r="BK10" s="1545" t="e">
        <f>ROUND(EjtAfaFix*U10,2)</f>
        <v>#VALUE!</v>
      </c>
      <c r="BL10" s="260" t="e">
        <f>ROUND((FQ10*PctVarAFA)+(IF(FP10&lt;=EJT_Min,EJT_Min,IF(FP10&gt;=EJT_Max,EJT_Max,FP10))),2)</f>
        <v>#N/A</v>
      </c>
      <c r="BM10" s="216"/>
      <c r="BN10" s="1553"/>
      <c r="BO10" s="1553"/>
      <c r="BP10" s="1554" t="e">
        <f>AV10/1850*IndT_N1</f>
        <v>#N/A</v>
      </c>
      <c r="BQ10" s="216" t="e">
        <f>AV10/1850*IF(W10=1,IndW,IndW_N)</f>
        <v>#N/A</v>
      </c>
      <c r="BR10" s="1026" t="str">
        <f>IF(FG10="","",VLOOKUP(F10,Zk_PrestAll,3,0))</f>
        <v/>
      </c>
      <c r="BS10" s="249" t="str">
        <f>IF(OR(BR10="",BR10=0),"",ROUND(BP10*INT(BR10/6),2))</f>
        <v/>
      </c>
      <c r="BT10" s="260" t="str">
        <f>IF(OR(BR10="",BR10=0),"",ROUND($BQ10*(BR10-INT(BR10/6)),2))</f>
        <v/>
      </c>
      <c r="BU10" s="1026" t="str">
        <f>IF(FG10="","",VLOOKUP(F10,Zk_PrestAll,4,0))</f>
        <v/>
      </c>
      <c r="BV10" s="249" t="str">
        <f>IF(OR(BU10="",BU10=0),"",ROUND(INT(BU10/12)*$BP10,2))</f>
        <v/>
      </c>
      <c r="BW10" s="260" t="str">
        <f>IF(OR(BU10="",BU10=0),"",ROUND($BQ10*(BU10-INT(BU10/12)),2))</f>
        <v/>
      </c>
      <c r="BX10" s="1026" t="str">
        <f>IF(FG10="","",VLOOKUP(F10,Zk_PrestAll,5,0)+VLOOKUP(F10,Zk_PrestAll,6,0))</f>
        <v/>
      </c>
      <c r="BY10" s="249" t="str">
        <f>IF(OR(BX10="",BX10=0),"",ROUND(INT(BX10/12)*$BP10*DA,2))</f>
        <v/>
      </c>
      <c r="BZ10" s="260" t="str">
        <f>IF(OR(BX10="",BX10=0),"",ROUND((BX10-INT(BX10/12))*$BQ10*DA,2))</f>
        <v/>
      </c>
      <c r="CA10" s="1026" t="str">
        <f>IF(FG10="","",VLOOKUP(F10,Zk_PrestAll,7,0))</f>
        <v/>
      </c>
      <c r="CB10" s="249" t="str">
        <f>IF(OR(CA10="",CA10=0),"",ROUND(INT(CA10/12)*$BP10*DB,2))</f>
        <v/>
      </c>
      <c r="CC10" s="260" t="str">
        <f>IF(OR(CA10="",CA10=0),"",ROUND((CA10-INT(CA10/12))*$BQ10*DB,2))</f>
        <v/>
      </c>
      <c r="CD10" s="1026" t="str">
        <f>IF(FG10="","",VLOOKUP(F10,Zk_PrestAll,8,0)+VLOOKUP(F10,Zk_PrestAll,9,0)*15/24)</f>
        <v/>
      </c>
      <c r="CE10" s="1269" t="str">
        <f>IF(OR(CD10=0,CD10=""),"",ROUND(INT(CD10/12)*$BP10/15,2))</f>
        <v/>
      </c>
      <c r="CF10" s="1270" t="str">
        <f>IF(OR(CD10=0,CD10=""),"",ROUND((CD10-INT(CD10/12))*$BQ10/15,2))</f>
        <v/>
      </c>
      <c r="CG10" s="1026" t="str">
        <f>IF(FG10="","",IF(FH10="",IF(FJ10="","",CONCATENATE(FJ10,IF(VALUE(FI10)&lt;10,0,""),FI10)),FH10))</f>
        <v/>
      </c>
      <c r="CH10" s="249" t="str">
        <f>IF(CG10="","",ROUND(IF(LEN(CG10)&gt;2,INT(VALUE(RIGHT(CG10,2))/12)*VLOOKUP(LEFT(CG10,2),Ens_Ond,4,0),INT(CG10/12)*MentDec),2))</f>
        <v/>
      </c>
      <c r="CI10" s="260" t="str">
        <f>IF(CG10="","",ROUND(IF(LEN(CG10)&gt;2,(VALUE(RIGHT(CG10,2))-INT(VALUE(RIGHT(CG10,2))/12))*VLOOKUP(LEFT(CG10,2),Ens_Ond,IF(W10=1,3,5),0),(CG10-INT(CG10/12))*IF(W10=1,MentVoor,MentNab)),2))</f>
        <v/>
      </c>
      <c r="CJ10" s="1027" t="str">
        <f>IF(FG10="","",IF(VLOOKUP(F10,Zk_PrestAll,55,0)=0,"",VLOOKUP(F10,Zk_PrestAll,55,0)))</f>
        <v/>
      </c>
      <c r="CK10" s="249" t="e">
        <f>IF(OR(W10=1,CJ10=""),"",ROUND(VLOOKUP(X10,AnCrimCiv,4,0)*U10,2))</f>
        <v>#N/A</v>
      </c>
      <c r="CL10" s="260" t="str">
        <f>IF(CJ10="","",ROUND(VLOOKUP(X10,AnCrimCiv,IF(W10=1,3,5),0)*U10,2))</f>
        <v/>
      </c>
      <c r="CM10" s="1555" t="str">
        <f>IF(OR(BXL_YN="N",FG10=""),"",VALUE(VLOOKUP(F10,Zk_PrestAll,28,0)))</f>
        <v/>
      </c>
      <c r="CN10" s="249" t="e">
        <f>IF(OR(CM10="",W10=1),"",ROUND(IF(CM10&lt;=6,VLOOKUP(CM10,BxlCiv,4),VLOOKUP(CM10,Bxl_N,3,1))*U10,2))</f>
        <v>#N/A</v>
      </c>
      <c r="CO10" s="216" t="str">
        <f>IF(CM10="","",ROUND(IF(CM10&lt;=6,VLOOKUP(CM10,BxlCiv,IF(W10=1,3,5)),VLOOKUP(CM10,Bxl_N,IF(W10=1,2,4)))*U10,2))</f>
        <v/>
      </c>
      <c r="CP10" s="1029" t="str">
        <f>IF(FG10="","",
IF(VLOOKUP(F10,Zk_PrestAll,30,0)+VLOOKUP(F10,Zk_PrestAll,31,0)+VLOOKUP(F10,Zk_PrestAll,32,0)&gt;0,
"oud",
IF(VLOOKUP(F10,Zk_PrestAll,33,0)&gt;0,"KN1_"&amp; VLOOKUP(F10,Zk_PrestAll,33,0),
IF(VLOOKUP(F10,Zk_PrestAll,34,0)&gt;0,"KN2_"&amp; VLOOKUP(F10,Zk_PrestAll,34,0),""))))</f>
        <v/>
      </c>
      <c r="CQ10" s="249" t="e">
        <f>IF(OR(W10=1,CP10=""),"",ROUND(VLOOKUP(X10,IF(Ctl_Bil="Y",BilCalGR,BilCalKln),4,0)*U10,2))</f>
        <v>#N/A</v>
      </c>
      <c r="CR10" s="216" t="str">
        <f>IF(CP10="","",ROUND(VLOOKUP(X10,IF(Ctl_Bil="Y",BilCalGR,BilCalKln),IF(W10=1,3,5),0)*U10,2))</f>
        <v/>
      </c>
      <c r="CS10" s="1029" t="str">
        <f>IF(ISNA(VLOOKUP(F10,Zk_PrestAll,1,0)),"",VALUE(VLOOKUP(F10,Zk_PrestAll,35,0)))</f>
        <v/>
      </c>
      <c r="CT10" s="249" t="e">
        <f>IF(OR(W10=1,CS10="",CS10=0),"",ROUND(VLOOKUP(X10,IF(Ctl_Bil="Y",BilCalGR,BilCalKln),4,0)*U10,2))</f>
        <v>#N/A</v>
      </c>
      <c r="CU10" s="216" t="str">
        <f>IF(OR(CS10=0,CS10=""),"",ROUND(VLOOKUP(X10,IF(Ctl_Bil="Y",BilCalGR,BilCalKln),IF(W10=1,3,5),0)*U10,2))</f>
        <v/>
      </c>
      <c r="CV10" s="1027" t="str">
        <f>IF(FG10="","",VLOOKUP(F10,Zk_PrestAll,63,0)+VLOOKUP(F10,Zk_PrestAll,69,0)+VLOOKUP(F10,Zk_PrestAll,70,0)+VLOOKUP(F10,Zk_PrestAll,71,0))</f>
        <v/>
      </c>
      <c r="CW10" s="249" t="str">
        <f>IF(CX10="","",IF(W10=1,"",ROUND(CV10/12*IndDiffDec,2)))</f>
        <v/>
      </c>
      <c r="CX10" s="221" t="str">
        <f>IF(OR(CV10="",CV10=0),"",ROUND(CV10/12*IF($W10=1,12*IndDiff,11*IndDiffNab),2))</f>
        <v/>
      </c>
      <c r="CY10" s="1027" t="e">
        <f>IF(OR(DB10&lt;&gt;"",FG10=""),"",IF(VLOOKUP(F10,Zk_PrestAll,62,0)=0,"",VLOOKUP(F10,Zk_PrestAll,62,0)))</f>
        <v>#N/A</v>
      </c>
      <c r="CZ10" s="249" t="e">
        <f>IF(OR(W10=1,CY10=""),"",ROUND(VLOOKUP(X10,Tab_Dir,4,0)*U10,2))</f>
        <v>#N/A</v>
      </c>
      <c r="DA10" s="216" t="e">
        <f>IF(CY10="","",ROUND(VLOOKUP(X10,Tab_Dir,IF(W10=1,3,5),0)*U10,2))</f>
        <v>#N/A</v>
      </c>
      <c r="DB10" s="1027" t="e">
        <f>IF(X10&lt;&gt;"A","",IF(AND(X10="A",VALUE(MID(K10,2,1))&gt;=4),IF(OR(FG10="",VLOOKUP(F10,Zk_PrestAll,62,0)=0),"",VLOOKUP(F10,Zk_PrestAll,62,0)),""))</f>
        <v>#N/A</v>
      </c>
      <c r="DC10" s="249" t="e">
        <f>IF(OR(W10=1,DB10=""),"",ROUND(T_DirDec*$U10,2))</f>
        <v>#N/A</v>
      </c>
      <c r="DD10" t="e">
        <f>IF(DB10="","",ROUND(IF(W10=1,T_DirAnti,T_DirPost)*$U10,2))</f>
        <v>#N/A</v>
      </c>
      <c r="DE10" s="1027" t="str">
        <f>IF(FG10="","",IF(VLOOKUP(F10,Zk_PrestAll,64,0)=0,"",VLOOKUP(F10,Zk_PrestAll,64,0)))</f>
        <v/>
      </c>
      <c r="DF10" s="1556"/>
      <c r="DG10" s="1557" t="str">
        <f>IF(DE10&lt;&gt;"",IF(DJ10="",IF(U10&lt;0.5,IP_D2,IP_D),0),"")</f>
        <v/>
      </c>
      <c r="DH10" s="1027" t="str">
        <f>IF(ISERROR(VLOOKUP(F10,Zk_PrestAll,61,0)),"",VLOOKUP(F10,Zk_PrestAll,61,0))</f>
        <v/>
      </c>
      <c r="DI10" s="1556"/>
      <c r="DJ10" s="1558" t="e">
        <f>IF(OR(DH10=0,DH10="",FK10="n_ok",AND(NeutrNego="",ANNEE=2023)),"",ROUND(VLOOKUP(X10,Tab_CO,3)*U10,2))</f>
        <v>#N/A</v>
      </c>
      <c r="DK10" s="1559">
        <f>IF(FG10="",0,-IF(ISNA(VLOOKUP(F10,Zk_PrestAll,56,0)),0,VLOOKUP(F10,Zk_PrestAll,56,0)))+IF(ISNA(VLOOKUP(F10,Zk_PrestAll,65,0)),0,VLOOKUP(F10,Zk_PrestAll,65,0))</f>
        <v>0</v>
      </c>
      <c r="DL10" s="249" t="e">
        <f>IF(OR(DK10="",W10=1),0,ROUND(DK10/12*IndDiffDec,2))</f>
        <v>#N/A</v>
      </c>
      <c r="DM10" s="221" t="e">
        <f>IF(DK10="",0,ROUND(DK10/12*IF(W10=1,12*IndDiff,11*IndDiffNab),2))</f>
        <v>#N/A</v>
      </c>
      <c r="DN10" s="313" t="str">
        <f>IF(FG10="","",VLOOKUP(F10,Zk_PrestAll,52,0))</f>
        <v/>
      </c>
      <c r="DO10" s="249" t="str">
        <f>IF(OR(DN10=0,DN10=""),"",INT(DN10/12)*IndKmDec)</f>
        <v/>
      </c>
      <c r="DP10" s="216" t="str">
        <f>IF(OR(DN10=0,DN10=""),"",(DN10-INT(DN10/12))*IndKmN)</f>
        <v/>
      </c>
      <c r="DQ10" s="313">
        <f>IF(ISNA(VLOOKUP(FG10,Zk_PrestAll,1,0)),0,VLOOKUP(F10,Zk_PrestAll,53,0))</f>
        <v>0</v>
      </c>
      <c r="DR10" s="249" t="str">
        <f>IF(OR(DQ10="",DQ10=0),"",ROUND(DQ10/12*IndDiffDec,2))</f>
        <v/>
      </c>
      <c r="DS10" s="221" t="str">
        <f>IF(OR(DQ10="",DQ10=0),"",ROUND(DQ10/12*11*IndDiffNab,2))</f>
        <v/>
      </c>
      <c r="DT10" s="313" t="str">
        <f>IF(ISNA(VLOOKUP(FG10,Zk_PrestAll,1,0)),"",VLOOKUP(F10,Zk_PrestAll,50,0))</f>
        <v/>
      </c>
      <c r="DU10" s="249" t="str">
        <f>IF(OR(DT10="",DT10=0),"",ROUND(DT10/12*IndDiffDec,2))</f>
        <v/>
      </c>
      <c r="DV10" s="221" t="str">
        <f>IF(OR(DT10="",DT10=0),"",ROUND(DT10/12*11*IndDiffNab,2))</f>
        <v/>
      </c>
      <c r="DW10" s="1560" t="str">
        <f>IF(ISNA(VLOOKUP(F10,Zk_PrestAll,58,0)),"",VLOOKUP(F10,Zk_PrestAll,58,0))</f>
        <v/>
      </c>
      <c r="DX10" s="1561" t="e">
        <f>IF(OR(W10=1,DW10=0,DW10=""),"",ROUND(TfDec*U10,2))</f>
        <v>#N/A</v>
      </c>
      <c r="DY10" s="1562" t="str">
        <f>IF(DW10="","",IF(VALUE(DW10)=0,"",ROUND(IF(W10=1,TFVoor,TfNab)*U10,2)))</f>
        <v/>
      </c>
      <c r="DZ10" s="350" t="e">
        <f>IF(OR(ISNA(VLOOKUP(FG10,Zk_PrestAll,1,0)),V10=5,FG10=""),"",(IF(AND(NeutrNego="",ANNEE&gt;=2023),0,ROUND(VLOOKUP(F10,Zk_PrestAll,47,0)*IF(NeutrNego="",5/6,1)*IndW,2))))</f>
        <v>#N/A</v>
      </c>
      <c r="EA10" s="249" t="e">
        <f>IF(DZ10="","",ROUND(DZ10/12,2))</f>
        <v>#N/A</v>
      </c>
      <c r="EB10" s="221" t="e">
        <f>IF(DZ10="","",ROUND(DZ10/12*11,2))</f>
        <v>#N/A</v>
      </c>
      <c r="EC10" s="313" t="str">
        <f>IF(ISNA(VLOOKUP(FG10,Zk_PrestAll,1,0)),"",ROUND((VLOOKUP(F10,Zk_PrestAll,48,0)*IF(ANNEE=2022,10/12,0)+VLOOKUP(F10,Zk_PrestAll,49,0)),2))</f>
        <v/>
      </c>
      <c r="ED10" s="249" t="str">
        <f>IF(OR(EC10="",EC10=0),"",ROUND(EC10/12*IndDiffDec,2))</f>
        <v/>
      </c>
      <c r="EE10" s="221" t="str">
        <f>IF(OR(EC10="",EC10=0),"",ROUND(EC10/12*11*IndDiffNab,2))</f>
        <v/>
      </c>
      <c r="EF10" s="313" t="str">
        <f>IF(ISNA(VLOOKUP(FG10,Zk_PrestAll,1,0)),"",ROUND(VLOOKUP(F10,Zk_PrestAll,57,0)*IF(ANNEE=2022,IF(NeutrNego="",5/6,1),0),2))</f>
        <v/>
      </c>
      <c r="EG10" s="249" t="str">
        <f>IF(OR(EF10="",EF10=0),"",ROUND(EF10/12*IndDiffDec,2))</f>
        <v/>
      </c>
      <c r="EH10" s="221" t="str">
        <f>IF(OR(EF10="",EF10=0),"",ROUND(EF10/12*11*IndDiffNab,2))</f>
        <v/>
      </c>
      <c r="EI10" s="313"/>
      <c r="EJ10" s="249"/>
      <c r="EK10" s="216"/>
      <c r="EL10" s="1435" t="e">
        <f>ROUND((AW10+IF(AZ10&gt;0,AZ10,0)+IF(V10&lt;&gt;1,BB10,0)+IF(BF10="",0,BF10)+EY10)*VLOOKUP($V10,ChPatBdr,3),2)</f>
        <v>#N/A</v>
      </c>
      <c r="EM10" s="1619" t="e">
        <f>ROUND((AX10+IF(BA10&gt;0,BA10,0)+IF(V10&lt;&gt;1,BC10,0)+IF(BG10="",0,BG10)+EZ10+EX10)*VLOOKUP($V10,ChPatBdr,3),2)</f>
        <v>#N/A</v>
      </c>
      <c r="EN10" s="1268" t="e">
        <f>ROUND(($AW10+IF(AZ10&lt;0,0,AZ10)+IF(V10&lt;&gt;1,BB10,0)+IF($BF10="",0,$BF10)+DI10)*IF(V10=1,PatPensX_1,0),2)</f>
        <v>#N/A</v>
      </c>
      <c r="EO10" s="1563" t="e">
        <f>ROUND(($AX10+IF(BA10&lt;0,0,BA10)+IF(V10&lt;&gt;1,BC10,0)+IF($BG10="",0,$BG10)+IF($DJ10="",0,$DJ10))*VLOOKUP(V10,ChPatBdr,2),2)</f>
        <v>#N/A</v>
      </c>
      <c r="EP10" s="1268" t="e">
        <f>ROUND(FC10*VLOOKUP(V10,ChPatBdr,3),2)</f>
        <v>#N/A</v>
      </c>
      <c r="EQ10" s="1563" t="e">
        <f>ROUND(FD10*VLOOKUP(V10,ChPatBdr,3),2)</f>
        <v>#N/A</v>
      </c>
      <c r="ER10" s="1268" t="e">
        <f>ROUND((AW10+EY10+FC10+FE10+BB10+IF(BF10="",0,BF10)+IF(PatrATAO="",0,EL10+EN10+EP10))*IF(FL10="Bed",ArbO_Bed,ArbO_Ops),2)</f>
        <v>#N/A</v>
      </c>
      <c r="ES10" s="1563" t="e">
        <f>ROUND((AX10+EZ10+FD10+FF10+SUM(BI10:BL10,BC10)+IF(BG10="",0,BG10)+IF(PatrATAO="",0,EM10+EO10+EQ10))*IF(FL10="Bed",ArbO_Bed,ArbO_Ops),2)</f>
        <v>#N/A</v>
      </c>
      <c r="ET10" s="1268" t="e">
        <f>ROUND((AW10+EY10+FC10)*PctSvSocDst,2)</f>
        <v>#N/A</v>
      </c>
      <c r="EU10" s="1682" t="e">
        <f>ROUND((AX10+EZ10+FD10)*PctSvSocDst,2)</f>
        <v>#N/A</v>
      </c>
      <c r="EV10" s="1683" t="e">
        <f>AW10+BB10+IF(BF10="",0,BF10)+BH10+BJ10+EL10+EN10+EP10+ET10+ER10+EY10+FC10+FE10</f>
        <v>#N/A</v>
      </c>
      <c r="EW10" s="1684" t="e">
        <f>AX10+BC10+IF(BG10="",0,BG10)+BI10+BK10+BL10+EM10+EO10+EQ10+EU10+ES10+EZ10+FD10+FF10</f>
        <v>#N/A</v>
      </c>
      <c r="EX10" s="1685" t="e">
        <f>ROUND(EjtAfaPat*U10,2)</f>
        <v>#VALUE!</v>
      </c>
      <c r="EY10" s="1496" t="e">
        <f>IF(AZ10&gt;0,AZ10,0)+IF(CN10="",0,CN10)+IF(CQ10="",0,CQ10)+IF(CT10="",0,CT10)+IF(CK10="",0,CK10)+IF(CW10="",0,CW10)+IF(CZ10="",0,CZ10)+IF(DC10="",0,DC10)+DF10+IF(DL10="",0,DL10)</f>
        <v>#N/A</v>
      </c>
      <c r="EZ10" s="252" t="e">
        <f>IF(BA10&gt;0,BA10,0)+IF(CO10="",0,CO10)+IF(CR10="",0,CR10)+IF(CU10="",0,CU10)+IF(CL10="",0,CL10)+IF(CX10="",0,CX10)+IF(DA10="",0,DA10)+IF(DD10="",0,DD10)+IF(DG10="",0,DG10)+IF(DM10="",0,DM10)</f>
        <v>#N/A</v>
      </c>
      <c r="FA10" s="395" t="e">
        <f>ROUND((EY10+FC10)*VLOOKUP(V10,ChPatBdr,4),2)</f>
        <v>#N/A</v>
      </c>
      <c r="FB10" s="223" t="e">
        <f>ROUND((EZ10+EX10+FD10)*VLOOKUP($V10,ChPatBdr,4),2)</f>
        <v>#N/A</v>
      </c>
      <c r="FC10" s="1496">
        <f>IF(BS10="",0,BS10)+IF(BV10="",0,BV10)+IF(BY10="",0,BY10)+IF(CB10="",0,CB10)+IF(CE10="",0,CE10)+IF(CH10="",0,CH10)+DI10</f>
        <v>0</v>
      </c>
      <c r="FD10" s="252" t="e">
        <f>IF(BT10="",0,BT10)+IF(BW10="",0,BW10)+IF(BZ10="",0,BZ10)+IF(CC10="",0,CC10)+IF(CF10="",0,CF10)+IF(CI10="",0,CI10)+IF(DJ10="",0,DJ10)</f>
        <v>#N/A</v>
      </c>
      <c r="FE10" s="1564" t="e">
        <f>IF(DO10="",0,DO10)+IF(DR10="",0,DR10)+IF(DU10="",0,DU10)+IF(DX10="",0,DX10)+IF(EA10="",0,EA10)+IF(ED10="",0,ED10)+IF(EG10="",0,EG10)+IF(EJ10="",0,EJ10)</f>
        <v>#N/A</v>
      </c>
      <c r="FF10" s="1565" t="e">
        <f>IF(DP10="",0,DP10)+IF(DS10="",0,DS10)+IF(DV10="",0,DV10)+IF(DY10="",0,DY10)+IF(EB10="",0,EB10)+IF(EE10="",0,EE10)+IF(EH10="",0,EH10)+IF(EK10="",0,EK10)</f>
        <v>#N/A</v>
      </c>
      <c r="FG10" s="256" t="str">
        <f>IF(ISNA(VLOOKUP(F10,Zk_PrestAll,1,0)),"",VLOOKUP(F10,Zk_PrestAll,1,0))</f>
        <v/>
      </c>
      <c r="FH10" s="256" t="str">
        <f>IF(FG10="","",IF(VLOOKUP(FG10,Zk_PrestAll,17,0)=0,"",VLOOKUP(FG10,Zk_PrestAll,17,0)))</f>
        <v/>
      </c>
      <c r="FI10" s="256" t="str">
        <f>IF(FG10="","",CONCATENATE(IF(VLOOKUP(FG10,Zk_PrestAll,19,0)=0,0,VLOOKUP(FG10,Zk_PrestAll,19,0))+IF(VLOOKUP(FG10,Zk_PrestAll,20,0)=0,0,VLOOKUP(FG10,Zk_PrestAll,20,0))+IF(VLOOKUP(FG10,Zk_PrestAll,21,0)=0,0,VLOOKUP(FG10,Zk_PrestAll,21,0))))</f>
        <v/>
      </c>
      <c r="FJ10" s="256" t="str">
        <f>IF(FG10="","",CONCATENATE(IF(VLOOKUP(FG10,Zk_PrestAll,19,0)=0,"","CU"),IF(VLOOKUP(FG10,Zk_PrestAll,20,0)=0,"","CV"),IF(VLOOKUP(FG10,Zk_PrestAll,21,0)=0,"","CW")))</f>
        <v/>
      </c>
      <c r="FK10" s="126" t="e">
        <f>IF(HLOOKUP(IF(T10="",K10,Y10),Compot_ctl4,59,0)="no","n_ok","")</f>
        <v>#N/A</v>
      </c>
      <c r="FL10" s="126" t="str">
        <f>IF(OR(LEFT(K10,1)="D",MID(K10,2,1)="D"),"Arb","Bed")</f>
        <v>Bed</v>
      </c>
      <c r="FM10" s="126" t="str">
        <f>LEFT(F10,9)</f>
        <v/>
      </c>
      <c r="FN10" s="126">
        <f>IF(ISERROR(VALUE(R10)),3,VALUE(R10))</f>
        <v>0</v>
      </c>
      <c r="FO10" s="957" t="e">
        <f>(EV10+EW10-(FC10+FD10+FE10+FF10)+(IF(DX10="",0,DX10)+IF(DY10="",0,DY10)+IF(DJ10="",0,DJ10)))/(38*52)</f>
        <v>#N/A</v>
      </c>
      <c r="FP10" s="49" t="e">
        <f>ROUND(FQ10/12*AFApct2/IndW*IndW_N1,2)</f>
        <v>#N/A</v>
      </c>
      <c r="FQ10" s="1565" t="e">
        <f>SUM(BD10,BB10:BC10,BF10:BG10,DJ10)*U10</f>
        <v>#N/A</v>
      </c>
      <c r="FR10" s="1566" t="e">
        <f>DATE(VALUE(LEFT(I10,4)+VLOOKUP(X10,DatPensCalog,2,0)),VALUE(MID(I10,5,2))+1,1)</f>
        <v>#VALUE!</v>
      </c>
      <c r="FS10" s="1566" t="e">
        <f>DATE(VALUE(LEFT(I10,4)+VLOOKUP(X10,DatPensCalog,3,0)),VALUE(MID(I10,5,2))+1,1)</f>
        <v>#VALUE!</v>
      </c>
      <c r="FT10" s="126" t="str">
        <f>IF(L10="","",IF(VALUE(LEFT(L10,6))&lt;=DatStop19Toel,1,0))</f>
        <v/>
      </c>
      <c r="FU10" s="2879">
        <f>IF(RIGHT(J10,1)="3",0,1)</f>
        <v>1</v>
      </c>
      <c r="FV10" s="2880" t="e">
        <f>IF(FU10&lt;&gt;1,"",ROUND(MTC_QPP*MC_Nbr*U10,2))</f>
        <v>#VALUE!</v>
      </c>
      <c r="FW10" s="2881" t="e">
        <f>IF(FV10="","",ROUND(MTC_Patr*MC_Nbr*U10,2))</f>
        <v>#VALUE!</v>
      </c>
      <c r="FX10" s="2881" t="e">
        <f>(IF(AV10&gt;22173.97,ROUND(MIN(AV10-22173.97,AV10)/(1.02/0.02),2),0))</f>
        <v>#N/A</v>
      </c>
      <c r="FY10" s="2881" t="e">
        <f>AV10-FX10</f>
        <v>#N/A</v>
      </c>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row>
    <row r="11" spans="1:256" s="445" customFormat="1">
      <c r="C11" s="448"/>
      <c r="Y11" s="2827" t="s">
        <v>5307</v>
      </c>
      <c r="AD11" s="1385"/>
      <c r="AE11" s="1385"/>
      <c r="AF11" s="1385"/>
      <c r="AG11" s="1385"/>
      <c r="AH11" s="1385"/>
      <c r="AI11" s="1385"/>
      <c r="AJ11" s="1385"/>
      <c r="AK11" s="1385"/>
      <c r="AL11" s="1385"/>
      <c r="AM11" s="1385"/>
      <c r="AN11" s="1386"/>
      <c r="AO11" s="1386"/>
      <c r="AP11" s="1386"/>
      <c r="AQ11" s="1386"/>
      <c r="AR11" s="1386"/>
      <c r="AS11" s="1386"/>
      <c r="AT11" s="1386"/>
      <c r="AU11" s="1386"/>
      <c r="AV11" s="1387" t="s">
        <v>5308</v>
      </c>
      <c r="AW11" s="359">
        <f>IF(W11=1,0,ROUND(AQ11/12*IndW_N1*U11,2))+IF(AZ11&lt;0,0,AZ11)</f>
        <v>0</v>
      </c>
      <c r="AX11" s="1388" t="e">
        <f>ROUND(IF(W11=1,AV11*IndW*FZ11,AV11*IndW_N*FZ11)*U11,2)+IF(BA11&lt;0,BA11,0)</f>
        <v>#VALUE!</v>
      </c>
      <c r="AY11" s="305">
        <f>IF(FG11="",0,IF(ISNA(VLOOKUP(F11,Zk_PrestAll,66,0)),0,VLOOKUP(F11,Zk_PrestAll,66,0)))-IF(ISNA(VLOOKUP(F11,Zk_PrestAll,67,0)),0,VLOOKUP(F11,Zk_PrestAll,67,0))</f>
        <v>0</v>
      </c>
      <c r="AZ11" s="249">
        <f>IF(OR(AY11="",W11=1),0,ROUND(AY11/12*IndDiffDec,2))</f>
        <v>0</v>
      </c>
      <c r="BA11" s="221">
        <f>IF(AY11="",0,ROUND(AY11/12*IF(W11=1,12*IndDiff,11*IndDiffNab),2))</f>
        <v>0</v>
      </c>
      <c r="BB11" s="300">
        <f>IF(AW11=0,0,ROUND(VLOOKUP(AQ11,HS_FR,IF(OR(S11=1,S11="1"),2,3))*IndW_N1/12,2))</f>
        <v>0</v>
      </c>
      <c r="BC11" s="1388" t="e">
        <f>ROUND(VLOOKUP(AV11,HS_FR,IF(OR(S11=1,S11="1"),2,3))*IndW_N,2)</f>
        <v>#N/A</v>
      </c>
    </row>
    <row r="12" spans="1:256" s="445" customFormat="1">
      <c r="C12" s="448"/>
      <c r="Y12" s="2827" t="s">
        <v>5309</v>
      </c>
      <c r="AE12" s="1385"/>
      <c r="AF12" s="1385"/>
      <c r="AG12" s="1385"/>
      <c r="AH12" s="1385"/>
      <c r="AI12" s="1385"/>
      <c r="AJ12" s="1385"/>
      <c r="AK12" s="1385"/>
      <c r="AL12" s="1385"/>
      <c r="AM12" s="1385"/>
      <c r="AN12" s="1386"/>
      <c r="AO12" s="1386"/>
      <c r="AP12" s="1386"/>
      <c r="AQ12" s="1386"/>
      <c r="AR12" s="1386"/>
      <c r="AS12" s="1386"/>
      <c r="AT12" s="1386"/>
      <c r="AU12" s="1386"/>
      <c r="AV12" s="1387" t="s">
        <v>5045</v>
      </c>
      <c r="AW12" s="359">
        <f>IF(W12=1,0,ROUND(AQ12/12*IndW_N1*U12,2))+IF(AZ12&lt;0,0,AZ12)</f>
        <v>0</v>
      </c>
      <c r="AX12" s="1388" t="e">
        <f>ROUND(IF(W12=1,AV12*IndW*FZ12,AV12*IndW_N*FZ12)*U12,2)+IF(BA12&lt;0,BA12,0)</f>
        <v>#VALUE!</v>
      </c>
      <c r="AY12" s="305">
        <f>IF(FG12="",0,IF(ISNA(VLOOKUP(F12,Zk_PrestAll,66,0)),0,VLOOKUP(F12,Zk_PrestAll,66,0)))-IF(ISNA(VLOOKUP(F12,Zk_PrestAll,67,0)),0,VLOOKUP(F12,Zk_PrestAll,67,0))</f>
        <v>0</v>
      </c>
      <c r="AZ12" s="249">
        <f>IF(OR(AY12="",W12=1),0,ROUND(AY12/12*IndDiffDec,2))</f>
        <v>0</v>
      </c>
      <c r="BA12" s="221">
        <f>IF(AY12="",0,ROUND(AY12/12*IF(W12=1,12*IndDiff,11*IndDiffNab),2))</f>
        <v>0</v>
      </c>
      <c r="BB12" s="300">
        <f>IF(AW12=0,0,ROUND(VLOOKUP(AQ12,HS_FR,IF(OR(S12=1,S12="1"),2,3))*IndW_N1/12,2))</f>
        <v>0</v>
      </c>
      <c r="BC12" s="1388" t="e">
        <f>ROUND(VLOOKUP(AV12,HS_FR,IF(OR(S12=1,S12="1"),2,3))*IndW_N,2)</f>
        <v>#N/A</v>
      </c>
      <c r="BD12" s="1552" t="e">
        <f>ROUND(AV12*U12*IndW,2)</f>
        <v>#VALUE!</v>
      </c>
      <c r="BE12" s="1263" t="str">
        <f>IF(FG12="","",IF(VLOOKUP(F12,Zk_PrestAll,59,0)&gt;1,"4/5s",IF(VLOOKUP(F12,Zk_PrestAll,60,0)&gt;1,"50%","")))</f>
        <v/>
      </c>
      <c r="BF12" s="249" t="str">
        <f>IF(AND(W12=2,BE12&lt;&gt;""),ROUND(VLOOKUP(BE12,Prest_supl,4,0),2),"")</f>
        <v/>
      </c>
      <c r="BG12" s="252" t="str">
        <f>IF(BE12&lt;&gt;"",ROUND(VLOOKUP(BE12,Prest_supl,IF(W12=2,5,3),0),2),"")</f>
        <v/>
      </c>
      <c r="BH12" s="1543"/>
      <c r="BI12" s="1544" t="e">
        <f>ROUND((BD12+IF(DJ12="",0,DJ12))*0.92/12,2)</f>
        <v>#VALUE!</v>
      </c>
      <c r="BJ12" s="1543"/>
      <c r="BK12" s="1545">
        <f>ROUND(EjtAfaFix*U12,2)</f>
        <v>0</v>
      </c>
      <c r="BL12" s="260">
        <f>ROUND((FQ12*PctVarAFA)+(IF(FP12&lt;=EJT_Min,EJT_Min,IF(FP12&gt;=EJT_Max,EJT_Max,FP12))),2)</f>
        <v>233.86</v>
      </c>
      <c r="BM12" s="216"/>
      <c r="BN12" s="1553"/>
      <c r="BO12" s="1553"/>
      <c r="BP12" s="1554" t="e">
        <f>AV12/1850*IndT_N1</f>
        <v>#VALUE!</v>
      </c>
      <c r="BQ12" s="216" t="e">
        <f>AV12/1850*IF(W12=1,IndW,IndW_N)</f>
        <v>#VALUE!</v>
      </c>
      <c r="BR12" s="1026" t="str">
        <f>IF(FG12="","",VLOOKUP(F12,Zk_PrestAll,3,0))</f>
        <v/>
      </c>
      <c r="BS12" s="249" t="str">
        <f>IF(OR(BR12="",BR12=0),"",ROUND(BP12*INT(BR12/6),2))</f>
        <v/>
      </c>
      <c r="BT12" s="2042" t="str">
        <f>IF(OR(BR12="",BR12=0),"",ROUND($BQ12*BR12,2))</f>
        <v/>
      </c>
      <c r="BU12" s="1026" t="str">
        <f>IF(FG12="","",VLOOKUP(F12,Zk_PrestAll,4,0))</f>
        <v/>
      </c>
      <c r="BV12" s="249" t="str">
        <f>IF(OR(BU12="",BU12=0),"",ROUND(INT(BU12/12)*$BP12,2))</f>
        <v/>
      </c>
      <c r="BW12" s="2042" t="str">
        <f>IF(OR(BU12="",BU12=0),"",ROUND($BQ12*BU12,2))</f>
        <v/>
      </c>
      <c r="BX12" s="1026" t="str">
        <f>IF(FG12="","",VLOOKUP(F12,Zk_PrestAll,5,0)+VLOOKUP(F12,Zk_PrestAll,6,0))</f>
        <v/>
      </c>
      <c r="BY12" s="249" t="str">
        <f>IF(OR(BX12="",BX12=0),"",ROUND(INT(BX12/12)*$BP12*DA,2))</f>
        <v/>
      </c>
      <c r="BZ12" s="2042" t="str">
        <f>IF(OR(BX12="",BX12=0),"",ROUND(BX12*$BQ12*DA,2))</f>
        <v/>
      </c>
      <c r="CA12" s="1026" t="str">
        <f>IF(FG12="","",VLOOKUP(F12,Zk_PrestAll,7,0))</f>
        <v/>
      </c>
      <c r="CB12" s="249" t="str">
        <f>IF(OR(CA12="",CA12=0),"",ROUND(INT(CA12/12)*$BP12*DB,2))</f>
        <v/>
      </c>
      <c r="CC12" s="2042" t="str">
        <f>IF(OR(CA12="",CA12=0),"",ROUND(CA12*$BQ12*DB,2))</f>
        <v/>
      </c>
      <c r="CD12" s="1026" t="str">
        <f>IF(FG12="","",VLOOKUP(F12,Zk_PrestAll,8,0)+VLOOKUP(F12,Zk_PrestAll,9,0)*15/24)</f>
        <v/>
      </c>
      <c r="CE12" s="1269" t="str">
        <f>IF(OR(CD12=0,CD12=""),"",ROUND(INT(CD12/12)*$BP12/15,2))</f>
        <v/>
      </c>
      <c r="CF12" s="2042" t="str">
        <f>IF(OR(CD12=0,CD12=""),"",ROUND((CD12)*$BQ12/15,2))</f>
        <v/>
      </c>
      <c r="CG12" s="1026" t="str">
        <f>IF(FG12="","",IF(FH12="",IF(FJ12="","",CONCATENATE(FJ12,IF(VALUE(FI12)&lt;10,0,""),FI12)),FH12))</f>
        <v/>
      </c>
      <c r="CH12" s="249" t="str">
        <f>IF(CG12="","",ROUND(IF(LEN(CG12)&gt;2,INT(VALUE(RIGHT(CG12,2))/12)*VLOOKUP(LEFT(CG12,2),Ens_Ond,4,0),INT(CG12/12)*MentDec),2))</f>
        <v/>
      </c>
      <c r="CI12" s="2042" t="str">
        <f>IF(CG12="","",ROUND(IF(LEN(CG12)&gt;2,(VALUE(RIGHT(CG12,2))-INT(VALUE(RIGHT(CG12,2))/12))*VLOOKUP(LEFT(CG12,2),Ens_Ond,3,0),(CG12)*MentVoor),2))</f>
        <v/>
      </c>
      <c r="CJ12" s="1027" t="str">
        <f>IF(FG12="","",IF(VLOOKUP(F12,Zk_PrestAll,55,0)=0,"",VLOOKUP(F12,Zk_PrestAll,55,0)))</f>
        <v/>
      </c>
      <c r="CK12" s="249" t="str">
        <f>IF(OR(W12=1,CJ12=""),"",ROUND(VLOOKUP(X12,AnCrimCiv,4,0)*U12,2))</f>
        <v/>
      </c>
      <c r="CL12" s="260" t="str">
        <f>IF(CJ12="","",ROUND(VLOOKUP(X12,AnCrimCiv,IF(W12=1,3,5),0)*U12,2))</f>
        <v/>
      </c>
      <c r="CM12" s="1555" t="str">
        <f>IF(OR(BXL_YN="N",FG12=""),"",VALUE(VLOOKUP(F12,Zk_PrestAll,28,0)))</f>
        <v/>
      </c>
      <c r="CN12" s="249" t="str">
        <f>IF(OR(CM12="",W12=1),"",ROUND(IF(CM12&lt;=6,VLOOKUP(CM12,BxlCiv,4),VLOOKUP(CM12,Bxl_N,3,1))*U12,2))</f>
        <v/>
      </c>
      <c r="CO12" s="216" t="str">
        <f>IF(CM12="","",ROUND(IF(CM12&lt;=6,VLOOKUP(CM12,BxlCiv,IF(W12=1,3,5)),VLOOKUP(CM12,Bxl_N,IF(W12=1,2,4)))*U12,2))</f>
        <v/>
      </c>
      <c r="CP12" s="1029" t="str">
        <f>IF(FG12="","",
IF(VLOOKUP(F12,Zk_PrestAll,30,0)+VLOOKUP(F12,Zk_PrestAll,31,0)+VLOOKUP(F12,Zk_PrestAll,32,0)&gt;0,
"oud",
IF(VLOOKUP(F12,Zk_PrestAll,33,0)&gt;0,"KN1_"&amp; VLOOKUP(F12,Zk_PrestAll,33,0),
IF(VLOOKUP(F12,Zk_PrestAll,34,0)&gt;0,"KN2_"&amp; VLOOKUP(F12,Zk_PrestAll,34,0),""))))</f>
        <v/>
      </c>
      <c r="CQ12" s="249" t="str">
        <f>IF(OR(W12=1,CP12=""),"",ROUND(VLOOKUP(X12,IF(Ctl_Bil="Y",BilCalGR,BilCalKln),4,0)*U12,2))</f>
        <v/>
      </c>
      <c r="CR12" s="216" t="str">
        <f>IF(CP12="","",ROUND(VLOOKUP(X12,IF(Ctl_Bil="Y",BilCalGR,BilCalKln),IF(W12=1,3,5),0)*U12,2))</f>
        <v/>
      </c>
      <c r="CS12" s="1029" t="str">
        <f>IF(ISNA(VLOOKUP(F12,Zk_PrestAll,1,0)),"",VALUE(VLOOKUP(F12,Zk_PrestAll,35,0)))</f>
        <v/>
      </c>
      <c r="CT12" s="249" t="str">
        <f>IF(OR(W12=1,CS12="",CS12=0),"",ROUND(VLOOKUP(X12,IF(Ctl_Bil="Y",BilCalGR,BilCalKln),4,0)*U12,2))</f>
        <v/>
      </c>
      <c r="CU12" s="216" t="str">
        <f>IF(OR(CS12=0,CS12=""),"",ROUND(VLOOKUP(X12,IF(Ctl_Bil="Y",BilCalGR,BilCalKln),IF(W12=1,3,5),0)*U12,2))</f>
        <v/>
      </c>
      <c r="CV12" s="1027" t="str">
        <f>IF(FG12="","",VLOOKUP(F12,Zk_PrestAll,63,0)+VLOOKUP(F12,Zk_PrestAll,69,0)+VLOOKUP(F12,Zk_PrestAll,70,0)+VLOOKUP(F12,Zk_PrestAll,71,0))</f>
        <v/>
      </c>
      <c r="CW12" s="249" t="str">
        <f>IF(CX12="","",IF(W12=1,"",ROUND(CV12/12*IndDiffDec,2)))</f>
        <v/>
      </c>
      <c r="CX12" s="221" t="str">
        <f>IF(OR(CV12="",CV12=0),"",ROUND(CV12/12*IF($W12=1,12*IndDiff,11*IndDiffNab),2))</f>
        <v/>
      </c>
      <c r="CY12" s="1027" t="str">
        <f>IF(OR(DB12&lt;&gt;"",FG12=""),"",IF(VLOOKUP(F12,Zk_PrestAll,62,0)=0,"",VLOOKUP(F12,Zk_PrestAll,62,0)))</f>
        <v/>
      </c>
      <c r="CZ12" s="249" t="str">
        <f>IF(OR(W12=1,CY12=""),"",ROUND(VLOOKUP(X12,Tab_Dir,4,0)*U12,2))</f>
        <v/>
      </c>
      <c r="DA12" s="216" t="str">
        <f>IF(CY12="","",ROUND(VLOOKUP(X12,Tab_Dir,IF(W12=1,3,5),0)*U12,2))</f>
        <v/>
      </c>
      <c r="DB12" s="1027" t="str">
        <f>IF(X12&lt;&gt;"A","",IF(AND(X12="A",VALUE(MID(K12,2,1))&gt;=4),IF(OR(FG12="",VLOOKUP(F12,Zk_PrestAll,62,0)=0),"",VLOOKUP(F12,Zk_PrestAll,62,0)),""))</f>
        <v/>
      </c>
      <c r="DC12" s="249"/>
      <c r="DE12" s="1027" t="str">
        <f>IF(FG12="","",IF(VLOOKUP(F12,Zk_PrestAll,64,0)=0,"",VLOOKUP(F12,Zk_PrestAll,64,0)))</f>
        <v/>
      </c>
      <c r="DF12" s="1556"/>
      <c r="DG12" s="1557" t="str">
        <f>IF(DE12&lt;&gt;"",IF(DJ12="",IF(U12&lt;0.5,IP_D2,IP_D),0),"")</f>
        <v/>
      </c>
      <c r="DH12" s="1027" t="str">
        <f>IF(OR(AND(ANNEE&gt;=2023,NeutrNego=""),ISERROR(VLOOKUP(F12,Zk_PrestAll,61,0))),"",VLOOKUP(F12,Zk_PrestAll,61,0))</f>
        <v/>
      </c>
      <c r="DI12" s="1556"/>
      <c r="DJ12" s="1558" t="str">
        <f>IF(OR(DH12=0,DH12="",FK12="n_ok",AND(NeutrNego="",ANNEE=2023)),"",ROUND(VLOOKUP(X12,Tab_CO,3)*U12,2))</f>
        <v/>
      </c>
      <c r="DK12" s="1559">
        <f>IF(FG12="",0,-IF(ISNA(VLOOKUP(F12,Zk_PrestAll,56,0)),0,VLOOKUP(F12,Zk_PrestAll,56,0)))+IF(ISNA(VLOOKUP(F12,Zk_PrestAll,65,0)),0,VLOOKUP(F12,Zk_PrestAll,65,0))</f>
        <v>0</v>
      </c>
      <c r="DL12" s="249">
        <f>IF(OR(DK12="",W12=1),0,ROUND(DK12/12*IndDiffDec,2))</f>
        <v>0</v>
      </c>
      <c r="DM12" s="221">
        <f>IF(DK12="",0,ROUND(DK12/12*IF(W12=1,12*IndDiff,11*IndDiffNab),2))</f>
        <v>0</v>
      </c>
      <c r="DN12" s="313" t="str">
        <f>IF(FG12="","",VLOOKUP(F12,Zk_PrestAll,52,0))</f>
        <v/>
      </c>
      <c r="DO12" s="249" t="str">
        <f>IF(OR(DN12=0,DN12=""),"",INT(DN12/12)*IndKmDec)</f>
        <v/>
      </c>
      <c r="DP12" s="2043" t="str">
        <f>IF(OR(DN12=0,DN12=""),"",DN12*IndKmN)</f>
        <v/>
      </c>
      <c r="DQ12" s="313">
        <f>IF(ISNA(VLOOKUP(FG12,Zk_PrestAll,1,0)),0,VLOOKUP(F12,Zk_PrestAll,53,0))</f>
        <v>0</v>
      </c>
      <c r="DR12" s="249" t="str">
        <f>IF(OR(DQ12="",DQ12=0),"",ROUND(DQ12/12*IndDiffDec,2))</f>
        <v/>
      </c>
      <c r="DS12" s="2043" t="str">
        <f>IF(OR(DQ12="",DQ12=0),"",ROUND(DQ12/12*11*IndDiffNab,2))</f>
        <v/>
      </c>
      <c r="DT12" s="313" t="str">
        <f>IF(ISNA(VLOOKUP(FG12,Zk_PrestAll,1,0)),"",VLOOKUP(F12,Zk_PrestAll,50,0))</f>
        <v/>
      </c>
      <c r="DU12" s="249" t="str">
        <f>IF(OR(DT12="",DT12=0),"",ROUND(DT12/12*IndDiffDec,2))</f>
        <v/>
      </c>
      <c r="DV12" s="2043" t="str">
        <f>IF(OR(DT12="",DT12=0),"",ROUND(DT12/12*11*IndDiffNab,2))</f>
        <v/>
      </c>
      <c r="DW12" s="1560" t="str">
        <f>IF(ISNA(VLOOKUP(F12,Zk_PrestAll,58,0)),"",VLOOKUP(F12,Zk_PrestAll,58,0))</f>
        <v/>
      </c>
      <c r="DX12" s="1561" t="str">
        <f>IF(OR(W12=1,DW12=0,DW12=""),"",ROUND(TfDec*U12,2))</f>
        <v/>
      </c>
      <c r="DY12" s="2043" t="str">
        <f>IF(DW12="","",IF(VALUE(DW12)=0,"",ROUND(TFVoor*U12,2)))</f>
        <v/>
      </c>
      <c r="DZ12" s="350" t="str">
        <f>IF(ISNA(VLOOKUP(FG12,Zk_PrestAll,1,0)),"",(IF(AND(NeutrNego="",ANNEE&gt;=2023),0+MntAnCR*U12,(IF(ANNEE=2022,VLOOKUP(F12,Zk_PrestAll,47,0)*IF(NeutrNego="",5/6,1)*IndW,VLOOKUP(F12,Zk_PrestAll,47,0)*IndW))+MntAnCR)))</f>
        <v/>
      </c>
      <c r="EA12" s="249" t="str">
        <f>IF(DZ12="","",ROUND(DZ12/12,2))</f>
        <v/>
      </c>
      <c r="EB12" s="2043" t="str">
        <f>IF(DZ12="","",ROUND(DZ12,2))</f>
        <v/>
      </c>
      <c r="EC12" s="313" t="str">
        <f>IF(ISNA(VLOOKUP(FG12,Zk_PrestAll,1,0)),"",(VLOOKUP(F12,Zk_PrestAll,48,0)*PctRepas)+VLOOKUP(F12,Zk_PrestAll,49,0))</f>
        <v/>
      </c>
      <c r="ED12" s="249" t="str">
        <f>IF(OR(EC12="",EC12=0),"",ROUND(EC12/12*IndDiffDec,2))</f>
        <v/>
      </c>
      <c r="EE12" s="2043" t="str">
        <f>IF(OR(EC12="",EC12=0),"",ROUND(EC12*IndDiff,2))</f>
        <v/>
      </c>
      <c r="EF12" s="313" t="str">
        <f>IF(ISNA(VLOOKUP(FG12,Zk_PrestAll,1,0)),"",VLOOKUP(F12,Zk_PrestAll,57,0)*PctRepas)</f>
        <v/>
      </c>
      <c r="EG12" s="249" t="str">
        <f>IF(OR(EF12="",EF12=0),"",ROUND(EF12/12*IndDiffDec,2))</f>
        <v/>
      </c>
      <c r="EH12" s="2043" t="str">
        <f>IF(OR(EF12="",EF12=0),"",ROUND(EF12*IndDiff,2))</f>
        <v/>
      </c>
      <c r="EI12" s="313"/>
      <c r="EJ12" s="249"/>
      <c r="EK12" s="216"/>
      <c r="EL12"/>
    </row>
    <row r="13" spans="1:256" s="445" customFormat="1">
      <c r="C13" s="448"/>
      <c r="Y13" s="2827" t="s">
        <v>5315</v>
      </c>
      <c r="AE13" s="958"/>
      <c r="AF13" s="958"/>
      <c r="AG13" s="958"/>
      <c r="AH13" s="958"/>
      <c r="AI13" s="958"/>
      <c r="AJ13" s="958"/>
      <c r="AK13" s="958"/>
      <c r="AL13" s="958"/>
      <c r="AM13" s="958"/>
      <c r="AN13" s="958"/>
      <c r="AO13" s="2041"/>
      <c r="AP13" s="2041"/>
      <c r="AQ13" s="2041"/>
      <c r="AR13" s="2041"/>
      <c r="AS13" s="2041"/>
      <c r="AT13" s="2041"/>
      <c r="AU13" s="2041"/>
      <c r="AV13" s="2822" t="s">
        <v>5305</v>
      </c>
      <c r="AW13" s="355"/>
      <c r="AX13" s="217">
        <f>ROUND(FY13*IndW*U13,2)+IF(BA13&lt;0,BA13,0)</f>
        <v>0</v>
      </c>
      <c r="AY13" s="305">
        <f>IF(FG13="",0,IF(ISNA(VLOOKUP(F13,Zk_PrestAll,66,0)),0,VLOOKUP(F13,Zk_PrestAll,66,0)))-IF(ISNA(VLOOKUP(F13,Zk_PrestAll,67,0)),0,VLOOKUP(F13,Zk_PrestAll,67,0))</f>
        <v>0</v>
      </c>
      <c r="AZ13" s="249"/>
      <c r="BA13" s="221">
        <f>IF(AY13="",0,ROUND(AY13*IndDiff,2))</f>
        <v>0</v>
      </c>
      <c r="BB13" s="1551"/>
      <c r="BC13" s="221" t="e">
        <f>ROUND(VLOOKUP(AV13,HS_FR,IF(OR(S13=1,S13="1"),2,3))*IndW,2)</f>
        <v>#N/A</v>
      </c>
      <c r="BD13" s="1552" t="e">
        <f>ROUND(AV13*U13*IndW,2)</f>
        <v>#VALUE!</v>
      </c>
      <c r="BE13" s="1263" t="str">
        <f>IF(FG13="","",IF(VLOOKUP(F13,Zk_PrestAll,59,0)&gt;1,"4/5s",IF(VLOOKUP(F13,Zk_PrestAll,60,0)&gt;1,"50%","")))</f>
        <v/>
      </c>
      <c r="BF13" s="249"/>
      <c r="BG13" s="252" t="str">
        <f>IF(BE13&lt;&gt;"",ROUND(VLOOKUP(BE13,Prest_supl,3,0),2),"")</f>
        <v/>
      </c>
      <c r="BH13" s="1543"/>
      <c r="BI13" s="1544" t="e">
        <f>ROUND((BD13+IF(DJ13="",0,DJ13))*0.92/12,2)</f>
        <v>#VALUE!</v>
      </c>
      <c r="BJ13" s="1543"/>
      <c r="BK13" s="1545">
        <f>ROUND(EjtAfaFix*U13,2)</f>
        <v>0</v>
      </c>
      <c r="BL13" s="260" t="e">
        <f>ROUND((FQ13*PctVarAFA)+(IF(FP13&lt;=EJT_Min,EJT_Min,IF(FP13&gt;=EJT_Max,EJT_Max,FP13))),2)</f>
        <v>#VALUE!</v>
      </c>
      <c r="BM13" s="216"/>
      <c r="BN13" s="1553"/>
      <c r="BO13" s="1553"/>
      <c r="BP13" s="1554"/>
      <c r="BQ13" s="216" t="e">
        <f>AV13/1850*IndW</f>
        <v>#VALUE!</v>
      </c>
      <c r="BR13" s="1026" t="str">
        <f>IF(FG13="","",VLOOKUP(F13,Zk_PrestAll,3,0))</f>
        <v/>
      </c>
      <c r="BS13" s="249"/>
      <c r="BT13" s="260" t="str">
        <f>IF(OR(BR13="",BR13=0),"",ROUND($BQ13*BR13,2))</f>
        <v/>
      </c>
      <c r="BU13" s="1026" t="str">
        <f>IF(FG13="","",VLOOKUP(F13,Zk_PrestAll,4,0))</f>
        <v/>
      </c>
      <c r="BV13" s="249"/>
      <c r="BW13" s="260" t="str">
        <f>IF(OR(BU13="",BU13=0),"",ROUND($BQ13*BU13,2))</f>
        <v/>
      </c>
      <c r="BX13" s="1026" t="str">
        <f>IF(FG13="","",VLOOKUP(F13,Zk_PrestAll,5,0)+VLOOKUP(F13,Zk_PrestAll,6,0))</f>
        <v/>
      </c>
      <c r="BY13" s="249"/>
      <c r="BZ13" s="260" t="str">
        <f>IF(OR(BX13="",BX13=0),"",ROUND(BX13*$BQ13*DA,2))</f>
        <v/>
      </c>
      <c r="CA13" s="1026" t="str">
        <f>IF(FG13="","",VLOOKUP(F13,Zk_PrestAll,7,0))</f>
        <v/>
      </c>
      <c r="CB13" s="249"/>
      <c r="CC13" s="260" t="str">
        <f>IF(OR(CA13="",CA13=0),"",ROUND(CA13*$BQ13*DB,2))</f>
        <v/>
      </c>
      <c r="CD13" s="1026" t="str">
        <f>IF(FG13="","",VLOOKUP(F13,Zk_PrestAll,8,0)+VLOOKUP(F13,Zk_PrestAll,9,0)*15/24)</f>
        <v/>
      </c>
      <c r="CE13" s="1269"/>
      <c r="CF13" s="1270" t="str">
        <f>IF(OR(CD13=0,CD13=""),"",ROUND((CD13)*$BQ13/15,2))</f>
        <v/>
      </c>
      <c r="CG13" s="1026" t="str">
        <f>IF(OR(FT13=1,FG13=""),"",IF(FH13="",IF(FJ13="","",CONCATENATE(FJ13,IF(VALUE(FI13)&lt;10,0,""),FI13)),FH13))</f>
        <v/>
      </c>
      <c r="CH13" s="249"/>
      <c r="CI13" s="260" t="str">
        <f>IF(CG13="","",ROUND(IF(LEN(CG13)&gt;2,(VALUE(RIGHT(CG13,2))-INT(VALUE(RIGHT(CG13,2))/12))*VLOOKUP(LEFT(CG13,2),Ens_Ond,3,0),(CG13)*MentVoor),2))</f>
        <v/>
      </c>
      <c r="CJ13" s="1027" t="str">
        <f>IF(OR(FT13=0,FG13=""),"",IF(VLOOKUP(F13,Zk_PrestAll,55,0)=0,"",VLOOKUP(F13,Zk_PrestAll,55,0)))</f>
        <v/>
      </c>
      <c r="CK13" s="249"/>
      <c r="CL13" s="260" t="str">
        <f>IF(CJ13="","",ROUND(VLOOKUP(X13,AnCrimCiv,3,0)*U13,2))</f>
        <v/>
      </c>
      <c r="CM13" s="1555" t="str">
        <f>IF(OR(BXL_YN="N",FG13=""),"",VALUE(VLOOKUP(F13,Zk_PrestAll,28,0)))</f>
        <v/>
      </c>
      <c r="CN13" s="249"/>
      <c r="CO13" s="216" t="str">
        <f>IF(CM13="","",ROUND(IF(CM13&lt;=6,VLOOKUP(CM13,BxlCiv,3),VLOOKUP(CM13,Bxl_N,2))*U13,2))</f>
        <v/>
      </c>
      <c r="CP13" s="1029" t="str">
        <f>IF(FG13="","",
IF(VLOOKUP(F13,Zk_PrestAll,30,0)+VLOOKUP(F13,Zk_PrestAll,31,0)+VLOOKUP(F13,Zk_PrestAll,32,0)&gt;0,
"oud",
IF(VLOOKUP(F13,Zk_PrestAll,33,0)&gt;0,"KN1_"&amp; VLOOKUP(F13,Zk_PrestAll,33,0),
IF(VLOOKUP(F13,Zk_PrestAll,34,0)&gt;0,"KN2_"&amp; VLOOKUP(F13,Zk_PrestAll,34,0),""))))</f>
        <v/>
      </c>
      <c r="CQ13" s="249"/>
      <c r="CR13" s="216" t="str">
        <f>IF(CP13="","",ROUND(VLOOKUP(X13,IF(Ctl_Bil="Y",BilCalGR,BilCalKln),3,0)*U13,2))</f>
        <v/>
      </c>
      <c r="CS13" s="1029" t="str">
        <f>IF(ISNA(VLOOKUP(F13,Zk_PrestAll,1,0)),"",VALUE(VLOOKUP(F13,Zk_PrestAll,35,0)))</f>
        <v/>
      </c>
      <c r="CT13" s="249"/>
      <c r="CU13" s="216" t="str">
        <f>IF(OR(CS13=0,CS13=""),"",ROUND(VLOOKUP(X13,IF(Ctl_Bil="Y",BilCalGR,BilCalKln),3,0)*U13,2))</f>
        <v/>
      </c>
      <c r="CV13" s="1027" t="str">
        <f>IF(FG13="","",VLOOKUP(F13,Zk_PrestAll,63,0)+VLOOKUP(F13,Zk_PrestAll,69,0)+VLOOKUP(F13,Zk_PrestAll,70,0)+VLOOKUP(F13,Zk_PrestAll,71,0))</f>
        <v/>
      </c>
      <c r="CW13" s="249" t="str">
        <f>IF(CX13="","",IF(W13=1,"",ROUND(CV13/12*IndDiffDec,2)))</f>
        <v/>
      </c>
      <c r="CX13" s="221" t="str">
        <f>IF(OR(CV13="",CV13=0),"",ROUND(CV13*IndDiff,2))</f>
        <v/>
      </c>
      <c r="CY13" s="1027" t="str">
        <f>IF(OR(DB13&lt;&gt;"",FG13=""),"",IF(VLOOKUP(F13,Zk_PrestAll,62,0)=0,"",VLOOKUP(F13,Zk_PrestAll,62,0)))</f>
        <v/>
      </c>
      <c r="CZ13" s="249"/>
      <c r="DA13" s="216" t="str">
        <f>IF(CY13="","",ROUND(VLOOKUP(X13,Tab_Dir,3,0)*U13,2))</f>
        <v/>
      </c>
      <c r="DB13" s="1027" t="str">
        <f>IF(X13&lt;&gt;"A","",IF(AND(X13="A",VALUE(MID(K13,2,1))&gt;=4),IF(OR(FG13="",VLOOKUP(F13,Zk_PrestAll,62,0)=0),"",VLOOKUP(F13,Zk_PrestAll,62,0)),""))</f>
        <v/>
      </c>
      <c r="DC13" s="249"/>
      <c r="DD13" t="str">
        <f>IF(DB13="","",ROUND(IF(W13=1,T_DirAnti,T_DirPost)*$U13,2))</f>
        <v/>
      </c>
      <c r="DE13" s="1027" t="str">
        <f>IF(FG13="","",IF(VLOOKUP(F13,Zk_PrestAll,64,0)=0,"",VLOOKUP(F13,Zk_PrestAll,64,0)))</f>
        <v/>
      </c>
      <c r="DF13" s="1556"/>
      <c r="DG13" s="1557" t="str">
        <f>IF(DE13&lt;&gt;"",IF(DJ13="",IF(U13&lt;0.5,IP_D2,IP_D),0),"")</f>
        <v/>
      </c>
      <c r="DH13" s="1027" t="str">
        <f>IF(OR(AND(ANNEE&gt;=2023,NeutrNego=""),ISERROR(VLOOKUP(F13,Zk_PrestAll,61,0))),"",VLOOKUP(F13,Zk_PrestAll,61,0))</f>
        <v/>
      </c>
      <c r="DI13" s="1556"/>
      <c r="DJ13" s="1558" t="e">
        <f>IF(OR(DH13=0,DH13="",FK13="n_ok",AND(NeutrNego="",ANNEE=2023)),"",ROUND(VLOOKUP(X13,Tab_CO,3)*U13,2))</f>
        <v>#N/A</v>
      </c>
      <c r="DK13" s="1559">
        <f>IF(FG13="",0,-IF(ISNA(VLOOKUP(F13,Zk_PrestAll,56,0)),0,VLOOKUP(F13,Zk_PrestAll,56,0)))+IF(ISNA(VLOOKUP(F13,Zk_PrestAll,65,0)),0,VLOOKUP(F13,Zk_PrestAll,65,0))</f>
        <v>0</v>
      </c>
      <c r="DL13" s="249"/>
      <c r="DM13" s="221">
        <f>IF(DK13="",0,ROUND(DK13*IndDiff,2))</f>
        <v>0</v>
      </c>
      <c r="DN13" s="313" t="str">
        <f>IF(FG13="","",VLOOKUP(F13,Zk_PrestAll,52,0))</f>
        <v/>
      </c>
      <c r="DO13" s="249"/>
      <c r="DP13" s="216" t="str">
        <f>IF(OR(DN13=0,DN13=""),"",DN13*IndKmN)</f>
        <v/>
      </c>
      <c r="DQ13" s="313">
        <f>IF(ISNA(VLOOKUP(FG13,Zk_PrestAll,1,0)),0,VLOOKUP(F13,Zk_PrestAll,53,0))</f>
        <v>0</v>
      </c>
      <c r="DR13" s="249"/>
      <c r="DS13" s="221" t="str">
        <f>IF(OR(DQ13="",DQ13=0),"",ROUND(DQ13*IndDiff,2))</f>
        <v/>
      </c>
      <c r="DT13" s="313" t="str">
        <f>IF(ISNA(VLOOKUP(FG13,Zk_PrestAll,1,0)),"",VLOOKUP(F13,Zk_PrestAll,50,0))</f>
        <v/>
      </c>
      <c r="DU13" s="249"/>
      <c r="DV13" s="221" t="str">
        <f>IF(OR(DT13="",DT13=0),"",ROUND(DT13*IndDiff,2))</f>
        <v/>
      </c>
      <c r="DW13" s="1560" t="str">
        <f>IF(ISNA(VLOOKUP(F13,Zk_PrestAll,58,0)),"",VLOOKUP(F13,Zk_PrestAll,58,0))</f>
        <v/>
      </c>
      <c r="DX13" s="1561"/>
      <c r="DY13" s="1562" t="str">
        <f>IF(DW13="","",IF(VALUE(DW13)=0,"",ROUND(TFVoor*U13,2)))</f>
        <v/>
      </c>
      <c r="DZ13" s="350" t="str">
        <f>IF(OR(ISNA(VLOOKUP(FG13,Zk_PrestAll,1,0)),V13=5,FG13=""),"",(IF(AND(NeutrNego="",ANNEE&gt;=2023),0,ROUND(VLOOKUP(F13,Zk_PrestAll,47,0)*IF(NeutrNego="",5/6,1)*IndW,2))))</f>
        <v/>
      </c>
      <c r="EA13" s="249"/>
      <c r="EB13" s="221" t="str">
        <f>IF(DZ13="","",ROUND(DZ13*U13,2))</f>
        <v/>
      </c>
      <c r="EC13" s="313" t="str">
        <f>IF(ISNA(VLOOKUP(FG13,Zk_PrestAll,1,0)),"",ROUND((VLOOKUP(F13,Zk_PrestAll,48,0)*IF(ANNEE=2022,10/12,0)+VLOOKUP(F13,Zk_PrestAll,49,0)),2))</f>
        <v/>
      </c>
      <c r="ED13" s="249"/>
      <c r="EE13" s="221" t="str">
        <f>IF(OR(EC13="",EC13=0),"",ROUND(EC13*IndDiff,2))</f>
        <v/>
      </c>
      <c r="EF13" s="313" t="str">
        <f>IF(ISNA(VLOOKUP(FG13,Zk_PrestAll,1,0)),"",ROUND(VLOOKUP(F13,Zk_PrestAll,57,0)*IF(ANNEE=2022,IF(NeutrNego="",5/6,1),0),2))</f>
        <v/>
      </c>
      <c r="EG13" s="249"/>
      <c r="EH13" s="221" t="str">
        <f>IF(OR(EF13="",EF13=0),"",ROUND(IF(ANNEE&gt;2021,0,EF13)*IndDiff,2))</f>
        <v/>
      </c>
      <c r="EI13" s="313"/>
      <c r="EJ13" s="249"/>
      <c r="EK13" s="216"/>
      <c r="EL13" s="1435" t="e">
        <f>ROUND((AW13+IF(AZ13&gt;0,AZ13,0)+IF(V13&lt;&gt;1,BB13,0)+IF(BF13="",0,BF13)+EY13)*VLOOKUP($V13,ChPatBdr,3),2)</f>
        <v>#N/A</v>
      </c>
      <c r="EM13" s="1619" t="e">
        <f>ROUND((AX13+IF(BA13&gt;0,BA13,0)+IF(V13&lt;&gt;1,BC13,0)+IF(BG13="",0,BG13)+EZ13+EX13)*VLOOKUP($V13,ChPatBdr,3),2)</f>
        <v>#N/A</v>
      </c>
      <c r="EN13" s="1268">
        <f>ROUND(($AW13+IF(AZ13&lt;0,0,AZ13)+IF(V13&lt;&gt;1,BB13,0)+IF($BF13="",0,$BF13)+DI13)*IF(V13=1,PatPensX_1,0),2)</f>
        <v>0</v>
      </c>
      <c r="EO13" s="1563" t="e">
        <f>ROUND(($AX13+IF(BA13&lt;0,0,BA13)+IF(V13&lt;&gt;1,BC13,0)+IF($BG13="",0,$BG13)+IF($DJ13="",0,$DJ13))*VLOOKUP(V13,ChPatBdr,2),2)</f>
        <v>#N/A</v>
      </c>
      <c r="EP13" s="1268" t="e">
        <f>ROUND(FC13*VLOOKUP(V13,ChPatBdr,3),2)</f>
        <v>#N/A</v>
      </c>
      <c r="EQ13" s="1563" t="e">
        <f>ROUND(FD13*VLOOKUP(V13,ChPatBdr,3),2)</f>
        <v>#N/A</v>
      </c>
      <c r="ER13" s="1268" t="e">
        <f>ROUND((AW13+EY13+FC13+FE13+BB13+IF(BF13="",0,BF13)+IF(PatrATAO="",0,EL13+EN13+EP13))*IF(FL13="Bed",ArbO_Bed,ArbO_Ops),2)</f>
        <v>#N/A</v>
      </c>
      <c r="ES13" s="1563" t="e">
        <f>ROUND((AX13+EZ13+FD13+FF13+SUM(BI13:BL13,BC13)+IF(BG13="",0,BG13)+IF(PatrATAO="",0,EM13+EO13+EQ13))*IF(FL13="Bed",ArbO_Bed,ArbO_Ops),2)</f>
        <v>#N/A</v>
      </c>
      <c r="ET13" s="1268">
        <f>ROUND((AW13+EY13+FC13)*PctSvSocDst,2)</f>
        <v>0</v>
      </c>
      <c r="EU13" s="1682" t="e">
        <f>ROUND((AX13+EZ13+FD13)*PctSvSocDst,2)</f>
        <v>#N/A</v>
      </c>
      <c r="EV13" s="1683" t="e">
        <f>AW13+BB13+IF(BF13="",0,BF13)+BH13+BJ13+EL13+EN13+EP13+ET13+ER13+EY13+FC13+FE13</f>
        <v>#N/A</v>
      </c>
      <c r="EW13" s="1684" t="e">
        <f>AX13+BC13+IF(BG13="",0,BG13)+BI13+BK13+BL13+EM13+EO13+EQ13+EU13+ES13+EZ13+FD13+FF13</f>
        <v>#N/A</v>
      </c>
      <c r="EX13" s="1685">
        <f>ROUND(EjtAfaPat*U13,2)</f>
        <v>0</v>
      </c>
      <c r="EY13" s="1496">
        <f>IF(AZ13&gt;0,AZ13,0)+IF(CN13="",0,CN13)+IF(CQ13="",0,CQ13)+IF(CT13="",0,CT13)+IF(CK13="",0,CK13)+IF(CW13="",0,CW13)+IF(CZ13="",0,CZ13)+IF(DC13="",0,DC13)+DF13+IF(DL13="",0,DL13)</f>
        <v>0</v>
      </c>
      <c r="EZ13" s="252">
        <f>IF(BA13&gt;0,BA13,0)+IF(CO13="",0,CO13)+IF(CR13="",0,CR13)+IF(CU13="",0,CU13)+IF(CL13="",0,CL13)+IF(CX13="",0,CX13)+IF(DA13="",0,DA13)+IF(DD13="",0,DD13)+IF(DG13="",0,DG13)+IF(DM13="",0,DM13)</f>
        <v>0</v>
      </c>
      <c r="FA13" s="395" t="e">
        <f>ROUND((EY13+FC13)*VLOOKUP(V13,ChPatBdr,4),2)</f>
        <v>#N/A</v>
      </c>
      <c r="FB13" s="223" t="e">
        <f>ROUND((EZ13+EX13+FD13)*VLOOKUP($V13,ChPatBdr,4),2)</f>
        <v>#N/A</v>
      </c>
      <c r="FC13" s="1496">
        <f>IF(BS13="",0,BS13)+IF(BV13="",0,BV13)+IF(BY13="",0,BY13)+IF(CB13="",0,CB13)+IF(CE13="",0,CE13)+IF(CH13="",0,CH13)+DI13</f>
        <v>0</v>
      </c>
      <c r="FD13" s="252" t="e">
        <f>IF(BT13="",0,BT13)+IF(BW13="",0,BW13)+IF(BZ13="",0,BZ13)+IF(CC13="",0,CC13)+IF(CF13="",0,CF13)+IF(CI13="",0,CI13)+IF(DJ13="",0,DJ13)</f>
        <v>#N/A</v>
      </c>
      <c r="FE13" s="1564">
        <f>IF(DO13="",0,DO13)+IF(DR13="",0,DR13)+IF(DU13="",0,DU13)+IF(DX13="",0,DX13)+IF(EA13="",0,EA13)+IF(ED13="",0,ED13)+IF(EG13="",0,EG13)+IF(EJ13="",0,EJ13)</f>
        <v>0</v>
      </c>
      <c r="FF13" s="1565">
        <f>IF(DP13="",0,DP13)+IF(DS13="",0,DS13)+IF(DV13="",0,DV13)+IF(DY13="",0,DY13)+IF(EB13="",0,EB13)+IF(EE13="",0,EE13)+IF(EH13="",0,EH13)+IF(EK13="",0,EK13)</f>
        <v>0</v>
      </c>
      <c r="FG13" s="256" t="str">
        <f>IF(ISNA(VLOOKUP(F13,Zk_PrestAll,1,0)),"",VLOOKUP(F13,Zk_PrestAll,1,0))</f>
        <v/>
      </c>
      <c r="FH13" s="256" t="str">
        <f>IF(FG13="","",IF(VLOOKUP(FG13,Zk_PrestAll,17,0)=0,"",VLOOKUP(FG13,Zk_PrestAll,17,0)))</f>
        <v/>
      </c>
      <c r="FI13" s="256" t="str">
        <f>IF(FG13="","",CONCATENATE(IF(VLOOKUP(FG13,Zk_PrestAll,19,0)=0,0,VLOOKUP(FG13,Zk_PrestAll,19,0))+IF(VLOOKUP(FG13,Zk_PrestAll,20,0)=0,0,VLOOKUP(FG13,Zk_PrestAll,20,0))+IF(VLOOKUP(FG13,Zk_PrestAll,21,0)=0,0,VLOOKUP(FG13,Zk_PrestAll,21,0))))</f>
        <v/>
      </c>
      <c r="FJ13" s="256" t="str">
        <f>IF(FG13="","",CONCATENATE(IF(VLOOKUP(FG13,Zk_PrestAll,19,0)=0,"","CU"),IF(VLOOKUP(FG13,Zk_PrestAll,20,0)=0,"","CV"),IF(VLOOKUP(FG13,Zk_PrestAll,21,0)=0,"","CW")))</f>
        <v/>
      </c>
      <c r="FK13" s="126" t="e">
        <f>IF(HLOOKUP(IF(T13="",K13,Y13),Compot_ctl4,59,0)="no","n_ok","")</f>
        <v>#N/A</v>
      </c>
      <c r="FL13" s="126" t="str">
        <f>IF(OR(LEFT(K13,1)="D",MID(K13,2,1)="D"),"Arb","Bed")</f>
        <v>Bed</v>
      </c>
      <c r="FM13" s="126" t="str">
        <f>LEFT(F13,9)</f>
        <v/>
      </c>
      <c r="FN13" s="126">
        <f>IF(ISERROR(VALUE(R13)),3,VALUE(R13))</f>
        <v>0</v>
      </c>
      <c r="FO13" s="957" t="e">
        <f>(EV13+EW13-(FC13+FD13+FE13+FF13)+(IF(DX13="",0,DX13)+IF(DY13="",0,DY13)+IF(DJ13="",0,DJ13)))/(38*52)</f>
        <v>#N/A</v>
      </c>
      <c r="FP13" s="49" t="e">
        <f>ROUND(FQ13/12*AFApct2/IndW*IndW_N1,2)</f>
        <v>#VALUE!</v>
      </c>
      <c r="FQ13" s="1565" t="e">
        <f>SUM(BD13,BB13:BC13,BF13:BG13,DJ13)*U13</f>
        <v>#VALUE!</v>
      </c>
      <c r="FR13" s="1566" t="e">
        <f>DATE(VALUE(LEFT(I13,4)+VLOOKUP(X13,DatPensCalog,2,0)),VALUE(MID(I13,5,2))+1,1)</f>
        <v>#VALUE!</v>
      </c>
      <c r="FS13" s="1566" t="e">
        <f>DATE(VALUE(LEFT(I13,4)+VLOOKUP(X13,DatPensCalog,3,0)),VALUE(MID(I13,5,2))+1,1)</f>
        <v>#VALUE!</v>
      </c>
      <c r="FT13" s="126" t="str">
        <f>IF(L13="","",IF(VALUE(LEFT(L13,6))&lt;=DatStop19Toel,1,0))</f>
        <v/>
      </c>
    </row>
    <row r="14" spans="1:256" s="958" customFormat="1" ht="21.75" customHeight="1">
      <c r="A14" s="4" t="s">
        <v>5316</v>
      </c>
      <c r="C14" s="959"/>
      <c r="Y14" s="2828" t="s">
        <v>5312</v>
      </c>
      <c r="Z14" s="2829"/>
      <c r="AA14" s="2829"/>
      <c r="AB14" s="2831" t="s">
        <v>5313</v>
      </c>
      <c r="AC14" s="2830"/>
      <c r="AD14" s="2830"/>
      <c r="AE14" s="2830"/>
      <c r="AF14" s="2830"/>
      <c r="AG14" s="2830"/>
      <c r="AH14" s="2830"/>
      <c r="AI14" s="2830"/>
      <c r="AJ14" s="2830"/>
      <c r="AK14" s="2830"/>
      <c r="DA14" s="960"/>
      <c r="DB14" s="960"/>
      <c r="DC14" s="960"/>
      <c r="DD14" s="960"/>
      <c r="DE14" s="960"/>
      <c r="DF14" s="960"/>
      <c r="DG14" s="960"/>
      <c r="DH14" s="960"/>
      <c r="DI14" s="960"/>
      <c r="DJ14" s="960"/>
      <c r="DK14" s="960"/>
      <c r="DL14" s="960"/>
      <c r="DM14" s="960"/>
      <c r="DN14" s="960"/>
      <c r="DO14" s="960"/>
      <c r="DP14" s="960"/>
      <c r="DQ14" s="960"/>
      <c r="DR14" s="960"/>
      <c r="DS14" s="960"/>
      <c r="DT14" s="960"/>
      <c r="DU14" s="3078" t="s">
        <v>5277</v>
      </c>
      <c r="DV14" s="3079"/>
      <c r="DW14" s="3080"/>
      <c r="DX14" s="960"/>
      <c r="DY14" s="960"/>
      <c r="DZ14" s="960"/>
      <c r="EA14" s="960"/>
      <c r="EB14" s="960"/>
      <c r="EC14" s="960"/>
      <c r="ED14" s="960"/>
      <c r="EE14" s="960"/>
      <c r="EF14" s="960"/>
      <c r="EG14" s="960"/>
      <c r="EH14" s="960"/>
      <c r="EI14" s="960"/>
      <c r="EJ14" s="960"/>
      <c r="EK14" s="960"/>
      <c r="EL14" s="960"/>
      <c r="EM14" s="960"/>
      <c r="EN14" s="960"/>
      <c r="EO14" s="960"/>
      <c r="EP14" s="960"/>
      <c r="EQ14" s="960"/>
      <c r="ER14" s="960"/>
      <c r="ES14" s="960"/>
      <c r="ET14" s="960"/>
      <c r="EU14" s="960"/>
      <c r="EV14" s="960"/>
      <c r="EW14" s="960"/>
      <c r="EX14" s="960"/>
      <c r="EY14" s="960"/>
      <c r="EZ14" s="960"/>
      <c r="FA14" s="960"/>
      <c r="FB14" s="960"/>
      <c r="FC14" s="960"/>
      <c r="FD14" s="960"/>
      <c r="FE14" s="960"/>
      <c r="FF14" s="960"/>
      <c r="FG14" s="960"/>
      <c r="FH14" s="960"/>
      <c r="FI14" s="960"/>
      <c r="FJ14" s="960"/>
      <c r="FK14" s="960"/>
      <c r="FL14" s="960"/>
      <c r="FM14" s="960"/>
      <c r="FN14" s="960"/>
      <c r="FO14" s="960"/>
      <c r="FP14" s="960"/>
      <c r="FQ14" s="960"/>
      <c r="FR14" s="960"/>
      <c r="FS14" s="960"/>
      <c r="FT14" s="960"/>
      <c r="FU14" s="960"/>
      <c r="FV14" s="960"/>
      <c r="FW14" s="960"/>
      <c r="FX14" s="960"/>
      <c r="FY14" s="960"/>
      <c r="GB14" s="960"/>
      <c r="GC14" s="960"/>
      <c r="GD14" s="960"/>
      <c r="GE14" s="960"/>
      <c r="GF14" s="960"/>
      <c r="GG14" s="960"/>
      <c r="GH14" s="960"/>
      <c r="GI14" s="960"/>
      <c r="GJ14" s="960"/>
      <c r="GK14" s="960"/>
      <c r="GL14" s="960"/>
      <c r="GM14" s="960"/>
      <c r="GN14" s="960"/>
      <c r="GO14" s="960"/>
      <c r="GP14" s="960"/>
      <c r="GQ14" s="960"/>
      <c r="GR14" s="960"/>
      <c r="GS14" s="960"/>
      <c r="GT14" s="960"/>
      <c r="GU14" s="960"/>
      <c r="GV14" s="960"/>
      <c r="GW14" s="960"/>
      <c r="GX14" s="960"/>
      <c r="GY14" s="960"/>
      <c r="GZ14" s="960"/>
      <c r="HA14" s="960"/>
      <c r="HB14" s="960"/>
      <c r="HC14" s="960"/>
      <c r="HD14" s="960"/>
      <c r="HE14" s="960"/>
      <c r="HF14" s="960"/>
      <c r="HG14" s="960"/>
      <c r="HH14" s="960"/>
      <c r="HI14" s="960"/>
      <c r="HJ14" s="960"/>
      <c r="HK14" s="960"/>
      <c r="HL14" s="960"/>
      <c r="HM14" s="960"/>
      <c r="HN14" s="960"/>
      <c r="HO14" s="960"/>
      <c r="HP14" s="960"/>
      <c r="HQ14" s="960"/>
      <c r="HR14" s="960"/>
      <c r="HS14" s="960"/>
      <c r="HT14" s="960"/>
      <c r="HU14" s="960"/>
      <c r="HV14" s="960"/>
      <c r="HW14" s="960"/>
      <c r="HX14" s="960"/>
      <c r="HY14" s="960"/>
      <c r="HZ14" s="960"/>
      <c r="IA14" s="960"/>
      <c r="IB14" s="960"/>
      <c r="IC14" s="960"/>
      <c r="ID14" s="960"/>
      <c r="IE14" s="960"/>
      <c r="IF14" s="960"/>
      <c r="IG14" s="960"/>
      <c r="IH14" s="960"/>
      <c r="II14" s="960"/>
      <c r="IJ14" s="960"/>
      <c r="IK14" s="960"/>
      <c r="IL14" s="960"/>
      <c r="IM14" s="960"/>
      <c r="IN14" s="960"/>
      <c r="IO14" s="960"/>
      <c r="IP14" s="960"/>
      <c r="IQ14" s="960"/>
      <c r="IR14" s="960"/>
      <c r="IS14" s="960"/>
      <c r="IT14" s="960"/>
      <c r="IU14" s="960"/>
      <c r="IV14" s="960"/>
    </row>
    <row r="15" spans="1:256" s="14" customFormat="1" ht="26.25" customHeight="1">
      <c r="A15" s="11"/>
      <c r="B15" s="11">
        <v>0</v>
      </c>
      <c r="C15" s="11"/>
      <c r="D15" s="11"/>
      <c r="E15" s="99"/>
      <c r="F15" s="100"/>
      <c r="G15" s="101"/>
      <c r="H15" s="101"/>
      <c r="I15" s="99"/>
      <c r="J15" s="99"/>
      <c r="K15" s="99"/>
      <c r="L15" s="99"/>
      <c r="M15" s="99"/>
      <c r="N15" s="99"/>
      <c r="O15" s="99"/>
      <c r="P15" s="99"/>
      <c r="Q15" s="102"/>
      <c r="R15" s="3046" t="s">
        <v>1289</v>
      </c>
      <c r="S15" s="3047"/>
      <c r="T15" s="3047"/>
      <c r="U15" s="3061"/>
      <c r="V15" s="180"/>
      <c r="W15" s="180"/>
      <c r="X15" s="180"/>
      <c r="Y15" s="11"/>
      <c r="Z15" s="12"/>
      <c r="AA15" s="13"/>
      <c r="AB15" s="13"/>
      <c r="AC15" s="13"/>
      <c r="AD15" s="236"/>
      <c r="AE15" s="13"/>
      <c r="AF15" s="13"/>
      <c r="AG15" s="13"/>
      <c r="AH15" s="13"/>
      <c r="AI15" s="13"/>
      <c r="AJ15" s="13"/>
      <c r="AK15" s="236"/>
      <c r="AL15" s="13"/>
      <c r="AM15" s="13"/>
      <c r="AN15" s="13"/>
      <c r="AO15" s="13"/>
      <c r="AP15" s="13"/>
      <c r="AQ15" s="13"/>
      <c r="AR15" s="13"/>
      <c r="AS15" s="13"/>
      <c r="AT15" s="13"/>
      <c r="AU15" s="13"/>
      <c r="AV15" s="13"/>
      <c r="AW15" s="3060" t="s">
        <v>3900</v>
      </c>
      <c r="AX15" s="3061"/>
      <c r="AY15" s="62"/>
      <c r="AZ15" s="3060" t="s">
        <v>3900</v>
      </c>
      <c r="BA15" s="3048" t="e">
        <v>#REF!</v>
      </c>
      <c r="BB15" s="3046" t="s">
        <v>1999</v>
      </c>
      <c r="BC15" s="3061"/>
      <c r="BD15" s="391"/>
      <c r="BE15" s="3046" t="s">
        <v>3901</v>
      </c>
      <c r="BF15" s="3047"/>
      <c r="BG15" s="3048"/>
      <c r="BH15" s="3058" t="s">
        <v>3902</v>
      </c>
      <c r="BI15" s="3059" t="s">
        <v>3902</v>
      </c>
      <c r="BJ15" s="3047" t="s">
        <v>3600</v>
      </c>
      <c r="BK15" s="3047" t="s">
        <v>3601</v>
      </c>
      <c r="BL15" s="3048"/>
      <c r="BM15" s="3060" t="s">
        <v>3899</v>
      </c>
      <c r="BN15" s="3047"/>
      <c r="BO15" s="3048"/>
      <c r="BP15" s="263"/>
      <c r="BQ15" s="13"/>
      <c r="BR15" s="3060" t="s">
        <v>3907</v>
      </c>
      <c r="BS15" s="3047"/>
      <c r="BT15" s="3047"/>
      <c r="BU15" s="3060" t="s">
        <v>3903</v>
      </c>
      <c r="BV15" s="3047"/>
      <c r="BW15" s="3061"/>
      <c r="BX15" s="3060" t="s">
        <v>3904</v>
      </c>
      <c r="BY15" s="3047"/>
      <c r="BZ15" s="3061"/>
      <c r="CA15" s="3060" t="s">
        <v>3905</v>
      </c>
      <c r="CB15" s="3047"/>
      <c r="CC15" s="3061"/>
      <c r="CD15" s="3060" t="s">
        <v>3906</v>
      </c>
      <c r="CE15" s="3047"/>
      <c r="CF15" s="3061"/>
      <c r="CG15" s="3060" t="s">
        <v>3908</v>
      </c>
      <c r="CH15" s="3047"/>
      <c r="CI15" s="3047"/>
      <c r="CJ15" s="3060" t="s">
        <v>3909</v>
      </c>
      <c r="CK15" s="3047"/>
      <c r="CL15" s="3047"/>
      <c r="CM15" s="3060" t="s">
        <v>3910</v>
      </c>
      <c r="CN15" s="3047"/>
      <c r="CO15" s="3048"/>
      <c r="CP15" s="3060" t="s">
        <v>3911</v>
      </c>
      <c r="CQ15" s="3047"/>
      <c r="CR15" s="3061"/>
      <c r="CS15" s="3060" t="s">
        <v>3898</v>
      </c>
      <c r="CT15" s="3047"/>
      <c r="CU15" s="3048"/>
      <c r="CV15" s="3046" t="s">
        <v>3912</v>
      </c>
      <c r="CW15" s="3047"/>
      <c r="CX15" s="3061"/>
      <c r="CY15" s="3060" t="s">
        <v>3913</v>
      </c>
      <c r="CZ15" s="3047"/>
      <c r="DA15" s="3048"/>
      <c r="DB15" s="3060" t="s">
        <v>3914</v>
      </c>
      <c r="DC15" s="3047"/>
      <c r="DD15" s="3048"/>
      <c r="DE15" s="3047" t="s">
        <v>2786</v>
      </c>
      <c r="DF15" s="3047"/>
      <c r="DG15" s="3061"/>
      <c r="DH15" s="3060" t="s">
        <v>2500</v>
      </c>
      <c r="DI15" s="3047"/>
      <c r="DJ15" s="3047"/>
      <c r="DK15" s="3060" t="s">
        <v>2501</v>
      </c>
      <c r="DL15" s="3047" t="s">
        <v>4238</v>
      </c>
      <c r="DM15" s="3048" t="s">
        <v>4238</v>
      </c>
      <c r="DN15" s="1308"/>
      <c r="DO15" s="3047" t="s">
        <v>2502</v>
      </c>
      <c r="DP15" s="3047"/>
      <c r="DQ15" s="3047"/>
      <c r="DR15" s="3060" t="s">
        <v>2503</v>
      </c>
      <c r="DS15" s="3047"/>
      <c r="DT15" s="3048"/>
      <c r="DU15" s="3060" t="s">
        <v>5274</v>
      </c>
      <c r="DV15" s="3047"/>
      <c r="DW15" s="3048"/>
      <c r="DX15" s="1245" t="s">
        <v>3776</v>
      </c>
      <c r="DY15" s="3060" t="s">
        <v>2622</v>
      </c>
      <c r="DZ15" s="3048" t="s">
        <v>2622</v>
      </c>
      <c r="EA15" s="3282" t="s">
        <v>3679</v>
      </c>
      <c r="EB15" s="3283"/>
      <c r="EC15" s="3284"/>
      <c r="ED15" s="3282" t="s">
        <v>2787</v>
      </c>
      <c r="EE15" s="3283"/>
      <c r="EF15" s="3284"/>
      <c r="EG15" s="3110" t="s">
        <v>2790</v>
      </c>
      <c r="EH15" s="3111"/>
      <c r="EI15" s="317"/>
      <c r="EJ15" s="3293" t="s">
        <v>710</v>
      </c>
      <c r="EK15" s="3286"/>
      <c r="EL15" s="3110" t="s">
        <v>2789</v>
      </c>
      <c r="EM15" s="3285"/>
      <c r="EN15" s="3286"/>
      <c r="EO15" s="3110" t="s">
        <v>2855</v>
      </c>
      <c r="EP15" s="3285"/>
      <c r="EQ15" s="3286"/>
      <c r="ER15" s="3110" t="s">
        <v>2856</v>
      </c>
      <c r="ES15" s="3285"/>
      <c r="ET15" s="3286"/>
      <c r="EU15" s="3110" t="s">
        <v>3678</v>
      </c>
      <c r="EV15" s="3285"/>
      <c r="EW15" s="3286"/>
      <c r="EX15" s="3110" t="s">
        <v>2788</v>
      </c>
      <c r="EY15" s="3285"/>
      <c r="EZ15" s="3286"/>
      <c r="FA15" s="3110" t="s">
        <v>634</v>
      </c>
      <c r="FB15" s="3285"/>
      <c r="FC15" s="3286"/>
      <c r="FD15" s="3110" t="s">
        <v>204</v>
      </c>
      <c r="FE15" s="3285"/>
      <c r="FF15" s="3286"/>
      <c r="FG15" s="264"/>
      <c r="FH15" s="3108" t="s">
        <v>2857</v>
      </c>
      <c r="FI15" s="3109"/>
      <c r="FJ15" s="3294" t="s">
        <v>3925</v>
      </c>
      <c r="FK15" s="3047"/>
      <c r="FL15" s="3096" t="s">
        <v>3924</v>
      </c>
      <c r="FM15" s="3097"/>
      <c r="FN15" s="3096" t="s">
        <v>1797</v>
      </c>
      <c r="FO15" s="3097"/>
      <c r="FP15" s="3096" t="s">
        <v>1798</v>
      </c>
      <c r="FQ15" s="3097"/>
      <c r="FR15" s="3047" t="s">
        <v>1799</v>
      </c>
      <c r="FS15" s="3047"/>
      <c r="FT15" s="1644"/>
      <c r="FU15" s="1645"/>
      <c r="FV15" s="478"/>
      <c r="FW15" s="3296" t="s">
        <v>4348</v>
      </c>
      <c r="FX15" s="3295"/>
      <c r="FY15" s="333"/>
      <c r="FZ15" s="337"/>
      <c r="GA15" s="3280" t="s">
        <v>4347</v>
      </c>
      <c r="GB15" s="3295"/>
      <c r="GC15" s="3280" t="s">
        <v>4349</v>
      </c>
      <c r="GD15" s="3281"/>
      <c r="GE15" s="167" t="s">
        <v>1742</v>
      </c>
      <c r="GF15" s="63"/>
      <c r="GG15" s="63"/>
      <c r="GH15" s="63"/>
      <c r="GJ15" s="19"/>
      <c r="GM15" s="1358"/>
      <c r="GN15" s="1358"/>
      <c r="GO15" s="1358"/>
    </row>
    <row r="16" spans="1:256" s="1522" customFormat="1" ht="12" customHeight="1">
      <c r="A16" s="26">
        <v>1</v>
      </c>
      <c r="B16" s="26">
        <v>2</v>
      </c>
      <c r="C16" s="26">
        <v>3</v>
      </c>
      <c r="D16" s="26">
        <v>4</v>
      </c>
      <c r="E16" s="103">
        <v>5</v>
      </c>
      <c r="F16" s="103">
        <v>6</v>
      </c>
      <c r="G16" s="103">
        <v>7</v>
      </c>
      <c r="H16" s="103">
        <v>8</v>
      </c>
      <c r="I16" s="103">
        <v>9</v>
      </c>
      <c r="J16" s="103">
        <v>10</v>
      </c>
      <c r="K16" s="103">
        <v>11</v>
      </c>
      <c r="L16" s="103">
        <v>12</v>
      </c>
      <c r="M16" s="103">
        <v>13</v>
      </c>
      <c r="N16" s="103">
        <v>14</v>
      </c>
      <c r="O16" s="103">
        <v>15</v>
      </c>
      <c r="P16" s="103">
        <v>16</v>
      </c>
      <c r="Q16" s="103">
        <v>17</v>
      </c>
      <c r="R16" s="103">
        <v>18</v>
      </c>
      <c r="S16" s="103">
        <v>19</v>
      </c>
      <c r="T16" s="103">
        <v>20</v>
      </c>
      <c r="U16" s="103">
        <v>21</v>
      </c>
      <c r="V16" s="103">
        <v>22</v>
      </c>
      <c r="W16" s="103">
        <v>23</v>
      </c>
      <c r="X16" s="103">
        <v>24</v>
      </c>
      <c r="Y16" s="103">
        <v>25</v>
      </c>
      <c r="Z16" s="103">
        <v>26</v>
      </c>
      <c r="AA16" s="103">
        <v>27</v>
      </c>
      <c r="AB16" s="103">
        <v>28</v>
      </c>
      <c r="AC16" s="103">
        <v>29</v>
      </c>
      <c r="AD16" s="237">
        <v>30</v>
      </c>
      <c r="AE16" s="103">
        <v>31</v>
      </c>
      <c r="AF16" s="103">
        <v>32</v>
      </c>
      <c r="AG16" s="103">
        <v>33</v>
      </c>
      <c r="AH16" s="103">
        <v>34</v>
      </c>
      <c r="AI16" s="103">
        <v>35</v>
      </c>
      <c r="AJ16" s="103">
        <v>36</v>
      </c>
      <c r="AK16" s="103">
        <v>37</v>
      </c>
      <c r="AL16" s="103">
        <v>38</v>
      </c>
      <c r="AM16" s="103">
        <v>39</v>
      </c>
      <c r="AN16" s="103">
        <v>40</v>
      </c>
      <c r="AO16" s="103">
        <v>41</v>
      </c>
      <c r="AP16" s="103">
        <v>42</v>
      </c>
      <c r="AQ16" s="103">
        <v>43</v>
      </c>
      <c r="AR16" s="103">
        <v>44</v>
      </c>
      <c r="AS16" s="103">
        <v>45</v>
      </c>
      <c r="AT16" s="103">
        <v>46</v>
      </c>
      <c r="AU16" s="103">
        <v>47</v>
      </c>
      <c r="AV16" s="184">
        <v>48</v>
      </c>
      <c r="AW16" s="285">
        <v>49</v>
      </c>
      <c r="AX16" s="226">
        <v>50</v>
      </c>
      <c r="AY16" s="285" t="s">
        <v>1754</v>
      </c>
      <c r="AZ16" s="227" t="s">
        <v>1755</v>
      </c>
      <c r="BA16" s="227" t="s">
        <v>1756</v>
      </c>
      <c r="BB16" s="184" t="s">
        <v>665</v>
      </c>
      <c r="BC16" s="227" t="s">
        <v>666</v>
      </c>
      <c r="BD16" s="103" t="s">
        <v>667</v>
      </c>
      <c r="BE16" s="1521" t="s">
        <v>668</v>
      </c>
      <c r="BF16" s="227" t="s">
        <v>669</v>
      </c>
      <c r="BG16" s="325" t="s">
        <v>670</v>
      </c>
      <c r="BH16" s="1450" t="s">
        <v>438</v>
      </c>
      <c r="BI16" s="1451" t="s">
        <v>439</v>
      </c>
      <c r="BJ16" s="1450" t="s">
        <v>671</v>
      </c>
      <c r="BK16" s="227" t="s">
        <v>1757</v>
      </c>
      <c r="BL16" s="325" t="s">
        <v>1758</v>
      </c>
      <c r="BM16" s="1450" t="s">
        <v>2037</v>
      </c>
      <c r="BN16" s="227" t="s">
        <v>4321</v>
      </c>
      <c r="BO16" s="325" t="s">
        <v>4322</v>
      </c>
      <c r="BP16" s="285" t="s">
        <v>4323</v>
      </c>
      <c r="BQ16" s="227" t="s">
        <v>408</v>
      </c>
      <c r="BR16" s="285" t="s">
        <v>409</v>
      </c>
      <c r="BS16" s="227" t="s">
        <v>4324</v>
      </c>
      <c r="BT16" s="227" t="s">
        <v>4325</v>
      </c>
      <c r="BU16" s="285" t="s">
        <v>4326</v>
      </c>
      <c r="BV16" s="227" t="s">
        <v>4327</v>
      </c>
      <c r="BW16" s="227" t="s">
        <v>4328</v>
      </c>
      <c r="BX16" s="285" t="s">
        <v>4329</v>
      </c>
      <c r="BY16" s="227" t="s">
        <v>4330</v>
      </c>
      <c r="BZ16" s="227" t="s">
        <v>4331</v>
      </c>
      <c r="CA16" s="285" t="s">
        <v>4332</v>
      </c>
      <c r="CB16" s="227" t="s">
        <v>4333</v>
      </c>
      <c r="CC16" s="227" t="s">
        <v>3068</v>
      </c>
      <c r="CD16" s="285" t="s">
        <v>711</v>
      </c>
      <c r="CE16" s="227" t="s">
        <v>1178</v>
      </c>
      <c r="CF16" s="227" t="s">
        <v>1179</v>
      </c>
      <c r="CG16" s="285" t="s">
        <v>714</v>
      </c>
      <c r="CH16" s="227" t="s">
        <v>715</v>
      </c>
      <c r="CI16" s="227" t="s">
        <v>716</v>
      </c>
      <c r="CJ16" s="285" t="s">
        <v>717</v>
      </c>
      <c r="CK16" s="227" t="s">
        <v>3066</v>
      </c>
      <c r="CL16" s="227" t="s">
        <v>3067</v>
      </c>
      <c r="CM16" s="285" t="s">
        <v>3068</v>
      </c>
      <c r="CN16" s="227" t="s">
        <v>1177</v>
      </c>
      <c r="CO16" s="325" t="s">
        <v>712</v>
      </c>
      <c r="CP16" s="285" t="s">
        <v>713</v>
      </c>
      <c r="CQ16" s="227" t="s">
        <v>487</v>
      </c>
      <c r="CR16" s="227" t="s">
        <v>488</v>
      </c>
      <c r="CS16" s="438" t="s">
        <v>1180</v>
      </c>
      <c r="CT16" s="439" t="s">
        <v>1181</v>
      </c>
      <c r="CU16" s="439" t="s">
        <v>1182</v>
      </c>
      <c r="CV16" s="285" t="s">
        <v>1183</v>
      </c>
      <c r="CW16" s="227" t="s">
        <v>1759</v>
      </c>
      <c r="CX16" s="227" t="s">
        <v>1760</v>
      </c>
      <c r="CY16" s="285" t="s">
        <v>1761</v>
      </c>
      <c r="CZ16" s="227" t="s">
        <v>1762</v>
      </c>
      <c r="DA16" s="227" t="s">
        <v>1763</v>
      </c>
      <c r="DB16" s="285" t="s">
        <v>1764</v>
      </c>
      <c r="DC16" s="227" t="s">
        <v>1765</v>
      </c>
      <c r="DD16" s="227" t="s">
        <v>1766</v>
      </c>
      <c r="DE16" s="285" t="s">
        <v>1767</v>
      </c>
      <c r="DF16" s="227" t="s">
        <v>1768</v>
      </c>
      <c r="DG16" s="227" t="s">
        <v>1769</v>
      </c>
      <c r="DH16" s="285" t="s">
        <v>1770</v>
      </c>
      <c r="DI16" s="227" t="s">
        <v>1771</v>
      </c>
      <c r="DJ16" s="227" t="s">
        <v>1772</v>
      </c>
      <c r="DK16" s="285" t="s">
        <v>1773</v>
      </c>
      <c r="DL16" s="227" t="s">
        <v>1774</v>
      </c>
      <c r="DM16" s="325" t="s">
        <v>1775</v>
      </c>
      <c r="DN16" s="1253" t="s">
        <v>1776</v>
      </c>
      <c r="DO16" s="227" t="s">
        <v>1777</v>
      </c>
      <c r="DP16" s="227" t="s">
        <v>1778</v>
      </c>
      <c r="DQ16" s="227" t="s">
        <v>1779</v>
      </c>
      <c r="DR16" s="285" t="s">
        <v>1780</v>
      </c>
      <c r="DS16" s="227" t="s">
        <v>1781</v>
      </c>
      <c r="DT16" s="227" t="s">
        <v>1782</v>
      </c>
      <c r="DU16" s="285" t="s">
        <v>1783</v>
      </c>
      <c r="DV16" s="227" t="s">
        <v>5275</v>
      </c>
      <c r="DW16" s="325">
        <v>127</v>
      </c>
      <c r="DX16" s="285">
        <v>128</v>
      </c>
      <c r="DY16" s="227">
        <v>129</v>
      </c>
      <c r="DZ16" s="227">
        <v>130</v>
      </c>
      <c r="EA16" s="285">
        <v>131</v>
      </c>
      <c r="EB16" s="227">
        <v>132</v>
      </c>
      <c r="EC16" s="227">
        <v>133</v>
      </c>
      <c r="ED16" s="285">
        <v>134</v>
      </c>
      <c r="EE16" s="227">
        <v>135</v>
      </c>
      <c r="EF16" s="227">
        <v>136</v>
      </c>
      <c r="EG16" s="285">
        <v>137</v>
      </c>
      <c r="EH16" s="1423">
        <v>138</v>
      </c>
      <c r="EI16" s="227">
        <v>139</v>
      </c>
      <c r="EJ16" s="1422">
        <v>140</v>
      </c>
      <c r="EK16" s="325">
        <v>141</v>
      </c>
      <c r="EL16" s="227">
        <v>142</v>
      </c>
      <c r="EM16" s="227">
        <v>143</v>
      </c>
      <c r="EN16" s="227">
        <v>144</v>
      </c>
      <c r="EO16" s="227">
        <v>145</v>
      </c>
      <c r="EP16" s="227">
        <v>146</v>
      </c>
      <c r="EQ16" s="227">
        <v>147</v>
      </c>
      <c r="ER16" s="227">
        <v>148</v>
      </c>
      <c r="ES16" s="227">
        <v>149</v>
      </c>
      <c r="ET16" s="227">
        <v>150</v>
      </c>
      <c r="EU16" s="227">
        <v>151</v>
      </c>
      <c r="EV16" s="227">
        <v>152</v>
      </c>
      <c r="EW16" s="227">
        <v>153</v>
      </c>
      <c r="EX16" s="227">
        <v>154</v>
      </c>
      <c r="EY16" s="227">
        <v>155</v>
      </c>
      <c r="EZ16" s="227">
        <v>156</v>
      </c>
      <c r="FA16" s="227">
        <v>157</v>
      </c>
      <c r="FB16" s="227">
        <v>158</v>
      </c>
      <c r="FC16" s="227">
        <v>159</v>
      </c>
      <c r="FD16" s="285">
        <v>160</v>
      </c>
      <c r="FE16" s="227">
        <v>161</v>
      </c>
      <c r="FF16" s="227">
        <v>162</v>
      </c>
      <c r="FG16" s="285">
        <v>163</v>
      </c>
      <c r="FH16" s="227">
        <v>164</v>
      </c>
      <c r="FI16" s="227">
        <v>165</v>
      </c>
      <c r="FJ16" s="1433">
        <v>166</v>
      </c>
      <c r="FK16" s="227">
        <v>167</v>
      </c>
      <c r="FL16" s="292">
        <v>168</v>
      </c>
      <c r="FM16" s="251">
        <v>169</v>
      </c>
      <c r="FN16" s="292">
        <v>170</v>
      </c>
      <c r="FO16" s="251">
        <v>171</v>
      </c>
      <c r="FP16" s="292">
        <v>172</v>
      </c>
      <c r="FQ16" s="251">
        <v>173</v>
      </c>
      <c r="FR16" s="227">
        <v>174</v>
      </c>
      <c r="FS16" s="227">
        <v>175</v>
      </c>
      <c r="FT16" s="1427">
        <v>176</v>
      </c>
      <c r="FU16" s="1428">
        <v>177</v>
      </c>
      <c r="FV16" s="251">
        <v>178</v>
      </c>
      <c r="FW16" s="227">
        <v>179</v>
      </c>
      <c r="FX16" s="227">
        <v>180</v>
      </c>
      <c r="FY16" s="184">
        <v>181</v>
      </c>
      <c r="FZ16" s="227">
        <v>182</v>
      </c>
      <c r="GA16" s="184">
        <v>183</v>
      </c>
      <c r="GB16" s="227">
        <v>184</v>
      </c>
      <c r="GC16" s="184">
        <v>185</v>
      </c>
      <c r="GD16" s="227">
        <v>186</v>
      </c>
      <c r="GE16" s="1745">
        <v>187</v>
      </c>
      <c r="GF16" s="1745">
        <v>188</v>
      </c>
      <c r="GG16" s="1745">
        <v>189</v>
      </c>
      <c r="GH16" s="1745">
        <v>190</v>
      </c>
      <c r="GI16" s="1745">
        <v>191</v>
      </c>
      <c r="GJ16" s="1745">
        <v>192</v>
      </c>
      <c r="GK16" s="1745">
        <v>193</v>
      </c>
      <c r="GL16" s="1745">
        <v>194</v>
      </c>
      <c r="GM16" s="1745">
        <v>195</v>
      </c>
      <c r="GN16" s="1745">
        <v>196</v>
      </c>
      <c r="GO16" s="1745">
        <v>197</v>
      </c>
      <c r="GP16" s="1745">
        <v>198</v>
      </c>
      <c r="GQ16" s="1745">
        <v>199</v>
      </c>
      <c r="GR16" s="1745">
        <v>200</v>
      </c>
      <c r="GS16" s="1745">
        <v>201</v>
      </c>
      <c r="GT16" s="1745">
        <v>202</v>
      </c>
      <c r="GU16" s="1745">
        <v>203</v>
      </c>
      <c r="GV16" s="1745" t="s">
        <v>5889</v>
      </c>
      <c r="GW16" s="1745" t="s">
        <v>5890</v>
      </c>
      <c r="GX16" s="241"/>
      <c r="GY16" s="241"/>
      <c r="GZ16" s="241"/>
      <c r="HA16" s="241"/>
      <c r="HB16" s="241"/>
      <c r="HC16" s="241"/>
      <c r="HD16" s="241"/>
      <c r="HE16" s="241"/>
      <c r="HF16" s="241"/>
      <c r="HG16" s="241"/>
      <c r="HH16" s="241"/>
      <c r="HI16" s="241"/>
      <c r="HJ16" s="241"/>
      <c r="HK16" s="241"/>
      <c r="HL16" s="241"/>
      <c r="HM16" s="241"/>
      <c r="HN16" s="241"/>
      <c r="HO16" s="241"/>
      <c r="HP16" s="241"/>
      <c r="HQ16" s="241"/>
      <c r="HR16" s="241"/>
      <c r="HS16" s="241"/>
      <c r="HT16" s="241"/>
      <c r="HU16" s="241"/>
      <c r="HV16" s="241"/>
      <c r="HW16" s="241"/>
      <c r="HX16" s="241"/>
      <c r="HY16" s="241"/>
      <c r="HZ16" s="241"/>
      <c r="IA16" s="241"/>
      <c r="IB16" s="241"/>
      <c r="IC16" s="241"/>
      <c r="ID16" s="241"/>
      <c r="IE16" s="241"/>
      <c r="IF16" s="241"/>
      <c r="IG16" s="241"/>
      <c r="IH16" s="241"/>
      <c r="II16" s="241"/>
      <c r="IJ16" s="241"/>
      <c r="IK16" s="241"/>
      <c r="IL16" s="241"/>
      <c r="IM16" s="241"/>
      <c r="IN16" s="241"/>
      <c r="IO16" s="241"/>
      <c r="IP16" s="241"/>
      <c r="IQ16" s="241"/>
    </row>
    <row r="17" spans="1:252" s="1501" customFormat="1" ht="23.25" customHeight="1">
      <c r="A17" s="3260"/>
      <c r="B17" s="3260"/>
      <c r="C17" s="3260"/>
      <c r="D17" s="1479">
        <v>2</v>
      </c>
      <c r="E17" s="1480" t="s">
        <v>997</v>
      </c>
      <c r="F17" s="3254"/>
      <c r="G17" s="1481" t="s">
        <v>1085</v>
      </c>
      <c r="H17" s="1482" t="s">
        <v>1280</v>
      </c>
      <c r="I17" s="3254"/>
      <c r="J17" s="3254"/>
      <c r="K17" s="3254"/>
      <c r="L17" s="3254"/>
      <c r="M17" s="3254"/>
      <c r="N17" s="3254"/>
      <c r="O17" s="3254"/>
      <c r="P17" s="3254"/>
      <c r="Q17" s="1483"/>
      <c r="R17" s="1484"/>
      <c r="S17" s="1485" t="s">
        <v>3402</v>
      </c>
      <c r="T17" s="1486">
        <v>0.1</v>
      </c>
      <c r="U17" s="1487">
        <f>COUNTIF(U20:U1203,T17)</f>
        <v>0</v>
      </c>
      <c r="V17" s="3258"/>
      <c r="W17" s="3258"/>
      <c r="X17" s="3258"/>
      <c r="Y17" s="3260"/>
      <c r="Z17" s="3260"/>
      <c r="AA17" s="3256"/>
      <c r="AB17" s="3260"/>
      <c r="AC17" s="3062"/>
      <c r="AD17" s="1488"/>
      <c r="AE17" s="3062" t="e">
        <f>SUM(AE20:AE27)</f>
        <v>#VALUE!</v>
      </c>
      <c r="AF17" s="3062"/>
      <c r="AG17" s="3062" t="e">
        <f>SUM(AG20:AG27)</f>
        <v>#VALUE!</v>
      </c>
      <c r="AH17" s="3062"/>
      <c r="AI17" s="3062"/>
      <c r="AJ17" s="3062"/>
      <c r="AK17" s="1488"/>
      <c r="AL17" s="3062">
        <f>SUM(AL20:AL27)</f>
        <v>0</v>
      </c>
      <c r="AM17" s="3062"/>
      <c r="AN17" s="3062">
        <f>SUM(AN20:AN27)</f>
        <v>0</v>
      </c>
      <c r="AO17" s="3062"/>
      <c r="AP17" s="3062"/>
      <c r="AQ17" s="3062"/>
      <c r="AR17" s="3062"/>
      <c r="AS17" s="3062"/>
      <c r="AT17" s="3062"/>
      <c r="AU17" s="3062"/>
      <c r="AV17" s="3064"/>
      <c r="AW17" s="3300" t="s">
        <v>1753</v>
      </c>
      <c r="AX17" s="3301"/>
      <c r="AY17" s="3066" t="s">
        <v>3070</v>
      </c>
      <c r="AZ17" s="3067"/>
      <c r="BA17" s="3068"/>
      <c r="BB17" s="3064"/>
      <c r="BC17" s="3278"/>
      <c r="BD17" s="3274"/>
      <c r="BE17" s="1489"/>
      <c r="BF17" s="1490"/>
      <c r="BG17" s="1490"/>
      <c r="BH17" s="3276" t="s">
        <v>407</v>
      </c>
      <c r="BI17" s="3262"/>
      <c r="BJ17" s="3276" t="s">
        <v>407</v>
      </c>
      <c r="BK17" s="3116" t="s">
        <v>3018</v>
      </c>
      <c r="BL17" s="3117"/>
      <c r="BM17" s="1491" t="e">
        <f>VLOOKUP($F$1,Man_2,5,0)</f>
        <v>#N/A</v>
      </c>
      <c r="BN17" s="1492" t="e">
        <f>IF(OR(E17="",BM17=0,E17=1,E17="1"),0,IF(SecrFix="",ROUND(VLOOKUP(BM17,Mandat,4)*VLOOKUP(BM17,Mandat,9),2),ROUND(SecrFix/12*IndW_N,2)))</f>
        <v>#N/A</v>
      </c>
      <c r="BO17" s="1493" t="e">
        <f>IF(BM17=0,0,IF(SecrFix="",ROUND(VLOOKUP(BM17,Mandat,IF(OR(E17=2,E17="2"),5,3))*VLOOKUP(BM17,Mandat,9),2),ROUND(SecrFix*IF(OR(E17=2,E17="2"),IndW_N1,IndW),2)))</f>
        <v>#N/A</v>
      </c>
      <c r="BP17" s="3054"/>
      <c r="BQ17" s="3055"/>
      <c r="BR17" s="3304">
        <v>1</v>
      </c>
      <c r="BS17" s="1523"/>
      <c r="BT17" s="1523"/>
      <c r="BU17" s="3049">
        <v>1</v>
      </c>
      <c r="BV17" s="1523"/>
      <c r="BW17" s="1523"/>
      <c r="BX17" s="3049">
        <v>1</v>
      </c>
      <c r="BY17" s="1523"/>
      <c r="BZ17" s="1523"/>
      <c r="CA17" s="3049">
        <v>1</v>
      </c>
      <c r="CB17" s="1523"/>
      <c r="CC17" s="1523"/>
      <c r="CD17" s="3049">
        <v>1</v>
      </c>
      <c r="CE17" s="1523"/>
      <c r="CF17" s="1523"/>
      <c r="CG17" s="3112"/>
      <c r="CH17" s="3112"/>
      <c r="CI17" s="3055"/>
      <c r="CJ17" s="3102" t="s">
        <v>2211</v>
      </c>
      <c r="CK17" s="3103"/>
      <c r="CL17" s="3118"/>
      <c r="CM17" s="3102" t="s">
        <v>2211</v>
      </c>
      <c r="CN17" s="3103"/>
      <c r="CO17" s="3272"/>
      <c r="CP17" s="3102"/>
      <c r="CQ17" s="3103"/>
      <c r="CR17" s="3264"/>
      <c r="CS17" s="3054"/>
      <c r="CT17" s="3112"/>
      <c r="CU17" s="3055"/>
      <c r="CV17" s="3054"/>
      <c r="CW17" s="3112"/>
      <c r="CX17" s="3055"/>
      <c r="CY17" s="3054"/>
      <c r="CZ17" s="3112"/>
      <c r="DA17" s="3055"/>
      <c r="DB17" s="3102" t="e">
        <f>IF(SUM(DB20:DB56)&gt;=1,"Aangeduid aantal wordt berekend =&gt;aantal te controleren","")</f>
        <v>#N/A</v>
      </c>
      <c r="DC17" s="3103"/>
      <c r="DD17" s="3264"/>
      <c r="DE17" s="3054"/>
      <c r="DF17" s="3112"/>
      <c r="DG17" s="3055"/>
      <c r="DH17" s="3054"/>
      <c r="DI17" s="3112"/>
      <c r="DJ17" s="3055"/>
      <c r="DK17" s="3266"/>
      <c r="DL17" s="3267"/>
      <c r="DM17" s="3268"/>
      <c r="DN17" s="1494"/>
      <c r="DO17" s="3098" t="e">
        <f>IF(MAX(DO20:DO1203)=4,"Montant à remplir dans (DI &amp;) DJ","")</f>
        <v>#N/A</v>
      </c>
      <c r="DP17" s="3098"/>
      <c r="DQ17" s="3099"/>
      <c r="DR17" s="3102" t="e">
        <f>IF(SUM(DR20:DR56)&gt;=6*D2,"Bedrag wordt geïndexeerd
=&gt;ev aantal te vermelden","")</f>
        <v>#N/A</v>
      </c>
      <c r="DS17" s="3103"/>
      <c r="DT17" s="3104"/>
      <c r="DU17" s="3266"/>
      <c r="DV17" s="3267"/>
      <c r="DW17" s="3268"/>
      <c r="DX17" s="3054"/>
      <c r="DY17" s="3112"/>
      <c r="DZ17" s="3055"/>
      <c r="EA17" s="3054"/>
      <c r="EB17" s="3112"/>
      <c r="EC17" s="3055"/>
      <c r="ED17" s="3287" t="s">
        <v>406</v>
      </c>
      <c r="EE17" s="3288"/>
      <c r="EF17" s="3289"/>
      <c r="EG17" s="3054"/>
      <c r="EH17" s="3112"/>
      <c r="EI17" s="3112"/>
      <c r="EJ17" s="3112"/>
      <c r="EK17" s="3055"/>
      <c r="EL17" s="3054"/>
      <c r="EM17" s="3112"/>
      <c r="EN17" s="3055"/>
      <c r="EO17" s="3054"/>
      <c r="EP17" s="3112"/>
      <c r="EQ17" s="3055"/>
      <c r="ER17" s="3054"/>
      <c r="ES17" s="3112"/>
      <c r="ET17" s="3114"/>
      <c r="EU17" s="1495"/>
      <c r="EV17" s="1492">
        <f>ROUND(EU17/12*IndDiffDec,2)</f>
        <v>0</v>
      </c>
      <c r="EW17" s="1493">
        <f>ROUND(EU17/12*11*IndDiffNab,2)</f>
        <v>0</v>
      </c>
      <c r="EX17" s="3054"/>
      <c r="EY17" s="3112"/>
      <c r="EZ17" s="3055"/>
      <c r="FA17" s="3054"/>
      <c r="FB17" s="3112"/>
      <c r="FC17" s="3055"/>
      <c r="FD17" s="3054"/>
      <c r="FE17" s="3112"/>
      <c r="FF17" s="3055"/>
      <c r="FG17" s="3054"/>
      <c r="FH17" s="3112"/>
      <c r="FI17" s="3112"/>
      <c r="FJ17" s="1646" t="e">
        <f>ROUND(Ops!BN15*IF($D17=1,ZIVStat,ZIVContr),2)</f>
        <v>#N/A</v>
      </c>
      <c r="FK17" s="1647" t="e">
        <f>ROUND(Ops!BO15*IF($D17=1,ZIVStat,ZIVContr),2)</f>
        <v>#N/A</v>
      </c>
      <c r="FL17" s="1648"/>
      <c r="FM17" s="298"/>
      <c r="FN17" s="1648"/>
      <c r="FO17" s="298"/>
      <c r="FP17" s="454"/>
      <c r="FQ17" s="297"/>
      <c r="FR17" s="249" t="e">
        <f>ROUND(BN17*PctSvSocDst,2)</f>
        <v>#N/A</v>
      </c>
      <c r="FS17" s="216" t="e">
        <f>ROUND(BO17*PctSvSocDst,2)</f>
        <v>#N/A</v>
      </c>
      <c r="FT17" s="1649" t="e">
        <f>BN17+FJ17+EV17+FR17</f>
        <v>#N/A</v>
      </c>
      <c r="FU17" s="1650" t="e">
        <f>BO17+FK17+EW17+FS17</f>
        <v>#N/A</v>
      </c>
      <c r="FV17" s="1497">
        <f t="shared" ref="FV17:GD17" si="0">SUM(FS23:FS1203)</f>
        <v>0</v>
      </c>
      <c r="FW17" s="1498" t="e">
        <f t="shared" si="0"/>
        <v>#N/A</v>
      </c>
      <c r="FX17" s="1498" t="e">
        <f t="shared" si="0"/>
        <v>#N/A</v>
      </c>
      <c r="FY17" s="1499">
        <f t="shared" si="0"/>
        <v>0</v>
      </c>
      <c r="FZ17" s="1498">
        <f t="shared" si="0"/>
        <v>0</v>
      </c>
      <c r="GA17" s="1499">
        <f t="shared" si="0"/>
        <v>0</v>
      </c>
      <c r="GB17" s="1498" t="e">
        <f t="shared" si="0"/>
        <v>#N/A</v>
      </c>
      <c r="GC17" s="1499" t="e">
        <f t="shared" si="0"/>
        <v>#N/A</v>
      </c>
      <c r="GD17" s="1500">
        <f t="shared" si="0"/>
        <v>0</v>
      </c>
      <c r="GJ17" s="299"/>
      <c r="GM17" s="1502"/>
      <c r="GN17" s="1502"/>
      <c r="GO17" s="1502"/>
      <c r="GR17" s="1501">
        <f>COUNTIF(GR20:GR1203,1)</f>
        <v>0</v>
      </c>
      <c r="GS17" s="2882">
        <v>1</v>
      </c>
      <c r="GT17" s="2883">
        <f>IF(OR(GS17=0,GS17=""),0,ROUND(MTC_QPP*MC_Nbr,2))</f>
        <v>233.26</v>
      </c>
      <c r="GU17" s="2884">
        <f>IF(OR(GS17=0,GS17=""),0,ROUND(MTC_Patr*MC_Nbr,2))</f>
        <v>1050.74</v>
      </c>
      <c r="GV17" s="1503"/>
      <c r="GW17" s="1503"/>
      <c r="GX17" s="1503"/>
      <c r="GY17" s="1503"/>
      <c r="GZ17" s="1503"/>
      <c r="HA17" s="1503"/>
      <c r="HB17" s="1503"/>
      <c r="HC17" s="1503"/>
      <c r="HD17" s="1503"/>
      <c r="HE17" s="1503"/>
      <c r="HF17" s="1503"/>
      <c r="HG17" s="1503"/>
      <c r="HH17" s="1503"/>
      <c r="HI17" s="1503"/>
      <c r="HJ17" s="1503"/>
      <c r="HK17" s="1503"/>
      <c r="HL17" s="1503"/>
      <c r="HM17" s="1503"/>
      <c r="HN17" s="1503"/>
      <c r="HO17" s="1503"/>
      <c r="HP17" s="1503"/>
      <c r="HQ17" s="1503"/>
      <c r="HR17" s="1503"/>
      <c r="HS17" s="1503"/>
      <c r="HT17" s="1503"/>
      <c r="HU17" s="1503"/>
      <c r="HV17" s="1503"/>
      <c r="HW17" s="1503"/>
      <c r="HX17" s="1503"/>
      <c r="HY17" s="1503"/>
      <c r="HZ17" s="1503"/>
      <c r="IA17" s="1503"/>
      <c r="IB17" s="1503"/>
      <c r="IC17" s="1503"/>
      <c r="ID17" s="1503"/>
      <c r="IE17" s="1503"/>
      <c r="IF17" s="1503"/>
      <c r="IG17" s="1503"/>
      <c r="IH17" s="1503"/>
      <c r="II17" s="1503"/>
      <c r="IJ17" s="1503"/>
      <c r="IK17" s="1503"/>
      <c r="IL17" s="1503"/>
      <c r="IM17" s="1503"/>
      <c r="IN17" s="1503"/>
      <c r="IO17" s="1503"/>
      <c r="IP17" s="1503"/>
      <c r="IQ17" s="1503"/>
      <c r="IR17" s="1503"/>
    </row>
    <row r="18" spans="1:252" s="1503" customFormat="1" ht="23.25" customHeight="1">
      <c r="A18" s="3261"/>
      <c r="B18" s="3261"/>
      <c r="C18" s="3261"/>
      <c r="D18" s="1504">
        <v>2</v>
      </c>
      <c r="E18" s="1505" t="s">
        <v>997</v>
      </c>
      <c r="F18" s="3255"/>
      <c r="G18" s="1506" t="s">
        <v>1086</v>
      </c>
      <c r="H18" s="1507" t="s">
        <v>57</v>
      </c>
      <c r="I18" s="3255"/>
      <c r="J18" s="3255"/>
      <c r="K18" s="3255"/>
      <c r="L18" s="3255"/>
      <c r="M18" s="3255"/>
      <c r="N18" s="3255"/>
      <c r="O18" s="3255"/>
      <c r="P18" s="3255"/>
      <c r="Q18" s="1508"/>
      <c r="R18" s="1509"/>
      <c r="S18" s="1510" t="s">
        <v>3402</v>
      </c>
      <c r="T18" s="1511">
        <v>0.8</v>
      </c>
      <c r="U18" s="1512">
        <f>COUNTIF(U20:U1203,T18)</f>
        <v>0</v>
      </c>
      <c r="V18" s="3259"/>
      <c r="W18" s="3259"/>
      <c r="X18" s="3259"/>
      <c r="Y18" s="3261"/>
      <c r="Z18" s="3261"/>
      <c r="AA18" s="3257"/>
      <c r="AB18" s="3261"/>
      <c r="AC18" s="3063"/>
      <c r="AD18" s="1513"/>
      <c r="AE18" s="3063"/>
      <c r="AF18" s="3063"/>
      <c r="AG18" s="3063"/>
      <c r="AH18" s="3063"/>
      <c r="AI18" s="3063"/>
      <c r="AJ18" s="3063"/>
      <c r="AK18" s="1513"/>
      <c r="AL18" s="3063"/>
      <c r="AM18" s="3063"/>
      <c r="AN18" s="3063"/>
      <c r="AO18" s="3063"/>
      <c r="AP18" s="3063"/>
      <c r="AQ18" s="3063"/>
      <c r="AR18" s="3063"/>
      <c r="AS18" s="3063"/>
      <c r="AT18" s="3063"/>
      <c r="AU18" s="3063"/>
      <c r="AV18" s="3065"/>
      <c r="AW18" s="3302"/>
      <c r="AX18" s="3303"/>
      <c r="AY18" s="3069"/>
      <c r="AZ18" s="3070"/>
      <c r="BA18" s="3071"/>
      <c r="BB18" s="3065"/>
      <c r="BC18" s="3279"/>
      <c r="BD18" s="3275"/>
      <c r="BE18" s="1514"/>
      <c r="BF18" s="1515"/>
      <c r="BG18" s="1515"/>
      <c r="BH18" s="3277"/>
      <c r="BI18" s="3263"/>
      <c r="BJ18" s="3277"/>
      <c r="BK18" s="3051" t="s">
        <v>3019</v>
      </c>
      <c r="BL18" s="3052"/>
      <c r="BM18" s="1516" t="e">
        <f>VLOOKUP($F$1,Man_2,5,0)</f>
        <v>#N/A</v>
      </c>
      <c r="BN18" s="1517" t="e">
        <f>IF(OR(E18="",BM18=0,E18=1,E18="1"),0,IF(CS_FIX="",ROUND(VLOOKUP(BM18,Mandat,4)*VLOOKUP(BM18,Mandat,8),2),ROUND(CS_FIX/12*IndW_N,2)))</f>
        <v>#N/A</v>
      </c>
      <c r="BO18" s="1518" t="e">
        <f>IF(BM18=0,0,IF(CS_FIX="",ROUND(VLOOKUP(BM18,Mandat,IF(OR(E18=2,E18="2"),5,3))*VLOOKUP(BM18,Mandat,8),2),ROUND(CS_FIX*IF(OR(E18=2,E18="2"),IndW_N1,IndW),2)))</f>
        <v>#N/A</v>
      </c>
      <c r="BP18" s="3056"/>
      <c r="BQ18" s="3057"/>
      <c r="BR18" s="3305"/>
      <c r="BS18" s="1523"/>
      <c r="BT18" s="1523"/>
      <c r="BU18" s="3050"/>
      <c r="BV18" s="1523"/>
      <c r="BW18" s="1523"/>
      <c r="BX18" s="3053"/>
      <c r="BY18" s="1523"/>
      <c r="BZ18" s="1523"/>
      <c r="CA18" s="3050"/>
      <c r="CB18" s="1523"/>
      <c r="CC18" s="1523"/>
      <c r="CD18" s="3050"/>
      <c r="CE18" s="1523"/>
      <c r="CF18" s="1523"/>
      <c r="CG18" s="3113"/>
      <c r="CH18" s="3113"/>
      <c r="CI18" s="3057"/>
      <c r="CJ18" s="3119"/>
      <c r="CK18" s="3120"/>
      <c r="CL18" s="3120"/>
      <c r="CM18" s="3119"/>
      <c r="CN18" s="3120"/>
      <c r="CO18" s="3273"/>
      <c r="CP18" s="3119"/>
      <c r="CQ18" s="3120"/>
      <c r="CR18" s="3265"/>
      <c r="CS18" s="3056"/>
      <c r="CT18" s="3113"/>
      <c r="CU18" s="3057"/>
      <c r="CV18" s="3056"/>
      <c r="CW18" s="3113"/>
      <c r="CX18" s="3057"/>
      <c r="CY18" s="3056"/>
      <c r="CZ18" s="3113"/>
      <c r="DA18" s="3057"/>
      <c r="DB18" s="3119"/>
      <c r="DC18" s="3120"/>
      <c r="DD18" s="3265"/>
      <c r="DE18" s="3056"/>
      <c r="DF18" s="3113"/>
      <c r="DG18" s="3057"/>
      <c r="DH18" s="3056"/>
      <c r="DI18" s="3113"/>
      <c r="DJ18" s="3057"/>
      <c r="DK18" s="3269"/>
      <c r="DL18" s="3270"/>
      <c r="DM18" s="3271"/>
      <c r="DN18" s="1519"/>
      <c r="DO18" s="3100"/>
      <c r="DP18" s="3100"/>
      <c r="DQ18" s="3101"/>
      <c r="DR18" s="3105"/>
      <c r="DS18" s="3106"/>
      <c r="DT18" s="3107"/>
      <c r="DU18" s="3269"/>
      <c r="DV18" s="3270"/>
      <c r="DW18" s="3271"/>
      <c r="DX18" s="3056"/>
      <c r="DY18" s="3113"/>
      <c r="DZ18" s="3057"/>
      <c r="EA18" s="3056"/>
      <c r="EB18" s="3113"/>
      <c r="EC18" s="3057"/>
      <c r="ED18" s="3290"/>
      <c r="EE18" s="3291"/>
      <c r="EF18" s="3292"/>
      <c r="EG18" s="3056"/>
      <c r="EH18" s="3113"/>
      <c r="EI18" s="3113"/>
      <c r="EJ18" s="3113"/>
      <c r="EK18" s="3057"/>
      <c r="EL18" s="3056"/>
      <c r="EM18" s="3113"/>
      <c r="EN18" s="3057"/>
      <c r="EO18" s="3056"/>
      <c r="EP18" s="3113"/>
      <c r="EQ18" s="3057"/>
      <c r="ER18" s="3056"/>
      <c r="ES18" s="3113"/>
      <c r="ET18" s="3115"/>
      <c r="EU18" s="1495"/>
      <c r="EV18" s="1517">
        <f>ROUND(EU18/12*IndDiffDec,2)</f>
        <v>0</v>
      </c>
      <c r="EW18" s="1518">
        <f>ROUND(EU18/12*11*IndDiffNab,2)</f>
        <v>0</v>
      </c>
      <c r="EX18" s="3056"/>
      <c r="EY18" s="3113"/>
      <c r="EZ18" s="3057"/>
      <c r="FA18" s="3056"/>
      <c r="FB18" s="3113"/>
      <c r="FC18" s="3057"/>
      <c r="FD18" s="3056"/>
      <c r="FE18" s="3113"/>
      <c r="FF18" s="3057"/>
      <c r="FG18" s="3056"/>
      <c r="FH18" s="3113"/>
      <c r="FI18" s="3113"/>
      <c r="FJ18" s="1651">
        <f>ROUND(Ops!BN16*IF($D18=1,ZIVStat,ZIVContr),2)</f>
        <v>584.70000000000005</v>
      </c>
      <c r="FK18" s="1652">
        <f>ROUND(Ops!BO16*IF($D18=1,ZIVStat,ZIVContr),2)</f>
        <v>584.99</v>
      </c>
      <c r="FL18" s="454"/>
      <c r="FM18" s="297"/>
      <c r="FN18" s="454"/>
      <c r="FO18" s="297"/>
      <c r="FP18" s="454"/>
      <c r="FQ18" s="297"/>
      <c r="FR18" s="249" t="e">
        <f>ROUND(BN18*PctSvSocDst,2)</f>
        <v>#N/A</v>
      </c>
      <c r="FS18" s="216" t="e">
        <f>ROUND(BO18*PctSvSocDst,2)</f>
        <v>#N/A</v>
      </c>
      <c r="FT18" s="1649" t="e">
        <f>BN18+FJ18+EV18+FR18</f>
        <v>#N/A</v>
      </c>
      <c r="FU18" s="1650" t="e">
        <f>BO18+FK18+EW18+FS18</f>
        <v>#N/A</v>
      </c>
      <c r="FV18" s="485">
        <f t="shared" ref="FV18:GD18" si="1">IF(ISERROR(SUBTOTAL(9,FS23:FS1203)),"",SUBTOTAL(9,FS23:FS1203))</f>
        <v>0</v>
      </c>
      <c r="FW18" s="332" t="str">
        <f t="shared" si="1"/>
        <v/>
      </c>
      <c r="FX18" s="332" t="str">
        <f t="shared" si="1"/>
        <v/>
      </c>
      <c r="FY18" s="335">
        <f t="shared" si="1"/>
        <v>0</v>
      </c>
      <c r="FZ18" s="332">
        <f t="shared" si="1"/>
        <v>0</v>
      </c>
      <c r="GA18" s="335">
        <f t="shared" si="1"/>
        <v>0</v>
      </c>
      <c r="GB18" s="332" t="str">
        <f t="shared" si="1"/>
        <v/>
      </c>
      <c r="GC18" s="335" t="str">
        <f t="shared" si="1"/>
        <v/>
      </c>
      <c r="GD18" s="341">
        <f t="shared" si="1"/>
        <v>0</v>
      </c>
      <c r="GM18" s="1520"/>
      <c r="GN18" s="1520"/>
      <c r="GO18" s="1520"/>
      <c r="GR18" s="1503">
        <f>COUNTIF(GR20:GR1203,0)</f>
        <v>0</v>
      </c>
      <c r="GS18" s="2882">
        <v>1</v>
      </c>
      <c r="GT18" s="2883">
        <f>IF(OR(GS18=0,GS18=""),0,ROUND(MTC_QPP*MC_Nbr,2))</f>
        <v>233.26</v>
      </c>
      <c r="GU18" s="2884">
        <f>IF(OR(GS18=0,GS18=""),0,ROUND(MTC_Patr*MC_Nbr,2))</f>
        <v>1050.74</v>
      </c>
    </row>
    <row r="19" spans="1:252" s="49" customFormat="1" ht="11.25" customHeight="1" thickBot="1">
      <c r="A19" s="224" t="s">
        <v>3691</v>
      </c>
      <c r="B19" s="971"/>
      <c r="C19" s="972"/>
      <c r="D19" s="973" t="s">
        <v>1596</v>
      </c>
      <c r="E19" s="973" t="s">
        <v>3694</v>
      </c>
      <c r="F19" s="974" t="s">
        <v>4535</v>
      </c>
      <c r="G19" s="974" t="s">
        <v>3693</v>
      </c>
      <c r="H19" s="974" t="s">
        <v>1281</v>
      </c>
      <c r="I19" s="974" t="s">
        <v>3692</v>
      </c>
      <c r="J19" s="974" t="s">
        <v>4511</v>
      </c>
      <c r="K19" s="974" t="s">
        <v>3440</v>
      </c>
      <c r="L19" s="973" t="s">
        <v>4512</v>
      </c>
      <c r="M19" s="973" t="s">
        <v>3885</v>
      </c>
      <c r="N19" s="973" t="s">
        <v>3886</v>
      </c>
      <c r="O19" s="973" t="s">
        <v>1384</v>
      </c>
      <c r="P19" s="973" t="s">
        <v>3887</v>
      </c>
      <c r="Q19" s="1132" t="s">
        <v>2523</v>
      </c>
      <c r="R19" s="1132" t="s">
        <v>4510</v>
      </c>
      <c r="S19" s="1132" t="s">
        <v>3888</v>
      </c>
      <c r="T19" s="1191"/>
      <c r="U19" s="1259"/>
      <c r="V19" s="975"/>
      <c r="W19" s="975"/>
      <c r="X19" s="975"/>
      <c r="Y19" s="225"/>
      <c r="Z19" s="225"/>
      <c r="AA19" s="976"/>
      <c r="AB19" s="225"/>
      <c r="AC19" s="225"/>
      <c r="AD19" s="238"/>
      <c r="AE19" s="225"/>
      <c r="AF19" s="225"/>
      <c r="AG19" s="225"/>
      <c r="AH19" s="225"/>
      <c r="AI19" s="225"/>
      <c r="AJ19" s="225"/>
      <c r="AK19" s="238"/>
      <c r="AL19" s="225"/>
      <c r="AM19" s="225"/>
      <c r="AN19" s="225"/>
      <c r="AO19" s="225"/>
      <c r="AP19" s="225"/>
      <c r="AQ19" s="225"/>
      <c r="AR19" s="225"/>
      <c r="AS19" s="225"/>
      <c r="AT19" s="225"/>
      <c r="AU19" s="225"/>
      <c r="AV19" s="977"/>
      <c r="AW19" s="978">
        <f>ANNEE-1</f>
        <v>2026</v>
      </c>
      <c r="AX19" s="979">
        <f>ANNEE</f>
        <v>2027</v>
      </c>
      <c r="AY19" s="984"/>
      <c r="AZ19" s="980">
        <f>ANNEE-1</f>
        <v>2026</v>
      </c>
      <c r="BA19" s="979">
        <f>ANNEE</f>
        <v>2027</v>
      </c>
      <c r="BB19" s="980">
        <f>ANNEE-1</f>
        <v>2026</v>
      </c>
      <c r="BC19" s="979">
        <f>ANNEE</f>
        <v>2027</v>
      </c>
      <c r="BD19" s="981"/>
      <c r="BE19" s="1243"/>
      <c r="BF19" s="980">
        <f>ANNEE-1</f>
        <v>2026</v>
      </c>
      <c r="BG19" s="979">
        <f>ANNEE</f>
        <v>2027</v>
      </c>
      <c r="BH19" s="980">
        <f>BF19</f>
        <v>2026</v>
      </c>
      <c r="BI19" s="1452">
        <f>ANNEE</f>
        <v>2027</v>
      </c>
      <c r="BJ19" s="980">
        <f>BH19</f>
        <v>2026</v>
      </c>
      <c r="BK19" s="3094">
        <f>ANNEE</f>
        <v>2027</v>
      </c>
      <c r="BL19" s="3095"/>
      <c r="BM19" s="983"/>
      <c r="BN19" s="980">
        <f>ANNEE-1</f>
        <v>2026</v>
      </c>
      <c r="BO19" s="979">
        <f>ANNEE</f>
        <v>2027</v>
      </c>
      <c r="BP19" s="978">
        <f>ANNEE-1</f>
        <v>2026</v>
      </c>
      <c r="BQ19" s="979">
        <f>ANNEE</f>
        <v>2027</v>
      </c>
      <c r="BR19" s="984"/>
      <c r="BS19" s="993">
        <f>ANNEE-1</f>
        <v>2026</v>
      </c>
      <c r="BT19" s="994">
        <f>ANNEE</f>
        <v>2027</v>
      </c>
      <c r="BU19" s="984"/>
      <c r="BV19" s="993">
        <f>ANNEE-1</f>
        <v>2026</v>
      </c>
      <c r="BW19" s="994">
        <f>ANNEE</f>
        <v>2027</v>
      </c>
      <c r="BX19" s="984"/>
      <c r="BY19" s="993">
        <f>ANNEE-1</f>
        <v>2026</v>
      </c>
      <c r="BZ19" s="994">
        <f>ANNEE</f>
        <v>2027</v>
      </c>
      <c r="CA19" s="984"/>
      <c r="CB19" s="993">
        <f>ANNEE-1</f>
        <v>2026</v>
      </c>
      <c r="CC19" s="994">
        <f>ANNEE</f>
        <v>2027</v>
      </c>
      <c r="CD19" s="984"/>
      <c r="CE19" s="993">
        <f>ANNEE-1</f>
        <v>2026</v>
      </c>
      <c r="CF19" s="994">
        <f>ANNEE</f>
        <v>2027</v>
      </c>
      <c r="CG19" s="984"/>
      <c r="CH19" s="980">
        <f>ANNEE-1</f>
        <v>2026</v>
      </c>
      <c r="CI19" s="979">
        <f>ANNEE</f>
        <v>2027</v>
      </c>
      <c r="CJ19" s="984"/>
      <c r="CK19" s="980">
        <f>ANNEE-1</f>
        <v>2026</v>
      </c>
      <c r="CL19" s="979">
        <f>ANNEE</f>
        <v>2027</v>
      </c>
      <c r="CM19" s="984"/>
      <c r="CN19" s="980">
        <f>ANNEE-1</f>
        <v>2026</v>
      </c>
      <c r="CO19" s="979">
        <f>ANNEE</f>
        <v>2027</v>
      </c>
      <c r="CP19" s="984"/>
      <c r="CQ19" s="980">
        <f>ANNEE-1</f>
        <v>2026</v>
      </c>
      <c r="CR19" s="979">
        <f>ANNEE</f>
        <v>2027</v>
      </c>
      <c r="CS19" s="984"/>
      <c r="CT19" s="980">
        <f>ANNEE-1</f>
        <v>2026</v>
      </c>
      <c r="CU19" s="979">
        <f>ANNEE</f>
        <v>2027</v>
      </c>
      <c r="CV19" s="984"/>
      <c r="CW19" s="980">
        <f>ANNEE-1</f>
        <v>2026</v>
      </c>
      <c r="CX19" s="979">
        <f>ANNEE</f>
        <v>2027</v>
      </c>
      <c r="CY19" s="984"/>
      <c r="CZ19" s="980">
        <f>ANNEE-1</f>
        <v>2026</v>
      </c>
      <c r="DA19" s="979">
        <f>ANNEE</f>
        <v>2027</v>
      </c>
      <c r="DB19" s="984"/>
      <c r="DC19" s="980">
        <f>ANNEE-1</f>
        <v>2026</v>
      </c>
      <c r="DD19" s="979">
        <f>ANNEE</f>
        <v>2027</v>
      </c>
      <c r="DE19" s="984"/>
      <c r="DF19" s="980">
        <f>ANNEE-1</f>
        <v>2026</v>
      </c>
      <c r="DG19" s="979">
        <f>ANNEE</f>
        <v>2027</v>
      </c>
      <c r="DH19" s="986"/>
      <c r="DI19" s="980">
        <f>ANNEE-1</f>
        <v>2026</v>
      </c>
      <c r="DJ19" s="979">
        <f>ANNEE</f>
        <v>2027</v>
      </c>
      <c r="DK19" s="987"/>
      <c r="DL19" s="980">
        <f>ANNEE-1</f>
        <v>2026</v>
      </c>
      <c r="DM19" s="985">
        <f>ANNEE</f>
        <v>2027</v>
      </c>
      <c r="DN19" s="1254"/>
      <c r="DO19" s="1255"/>
      <c r="DP19" s="980">
        <f>ANNEE-1</f>
        <v>2026</v>
      </c>
      <c r="DQ19" s="979">
        <f>ANNEE</f>
        <v>2027</v>
      </c>
      <c r="DR19" s="984"/>
      <c r="DS19" s="980">
        <f>ANNEE-1</f>
        <v>2026</v>
      </c>
      <c r="DT19" s="979">
        <f>ANNEE</f>
        <v>2027</v>
      </c>
      <c r="DX19" s="984"/>
      <c r="DY19" s="980">
        <f>ANNEE-1</f>
        <v>2026</v>
      </c>
      <c r="DZ19" s="979">
        <f>ANNEE</f>
        <v>2027</v>
      </c>
      <c r="EA19" s="988"/>
      <c r="EB19" s="980">
        <f>ANNEE-1</f>
        <v>2026</v>
      </c>
      <c r="EC19" s="979">
        <f>ANNEE</f>
        <v>2027</v>
      </c>
      <c r="ED19" s="988"/>
      <c r="EE19" s="980">
        <f>ANNEE-1</f>
        <v>2026</v>
      </c>
      <c r="EF19" s="979">
        <f>ANNEE</f>
        <v>2027</v>
      </c>
      <c r="EG19" s="978">
        <f>EE19</f>
        <v>2026</v>
      </c>
      <c r="EH19" s="1424">
        <f>EF19</f>
        <v>2027</v>
      </c>
      <c r="EI19" s="1426"/>
      <c r="EJ19" s="980">
        <f>ANNEE-1</f>
        <v>2026</v>
      </c>
      <c r="EK19" s="979">
        <f>ANNEE</f>
        <v>2027</v>
      </c>
      <c r="EL19" s="982"/>
      <c r="EM19" s="980">
        <f>ANNEE-1</f>
        <v>2026</v>
      </c>
      <c r="EN19" s="985">
        <f>ANNEE</f>
        <v>2027</v>
      </c>
      <c r="EO19" s="982"/>
      <c r="EP19" s="980">
        <f>ANNEE-1</f>
        <v>2026</v>
      </c>
      <c r="EQ19" s="985">
        <f>ANNEE</f>
        <v>2027</v>
      </c>
      <c r="ER19" s="982"/>
      <c r="ES19" s="980">
        <f>ANNEE-1</f>
        <v>2026</v>
      </c>
      <c r="ET19" s="979">
        <f>ANNEE</f>
        <v>2027</v>
      </c>
      <c r="EU19" s="982"/>
      <c r="EV19" s="980">
        <f>ANNEE-1</f>
        <v>2026</v>
      </c>
      <c r="EW19" s="979">
        <f>ANNEE</f>
        <v>2027</v>
      </c>
      <c r="EX19" s="982"/>
      <c r="EY19" s="980">
        <f>ANNEE-1</f>
        <v>2026</v>
      </c>
      <c r="EZ19" s="979">
        <f>ANNEE</f>
        <v>2027</v>
      </c>
      <c r="FA19" s="982"/>
      <c r="FB19" s="980">
        <f>ANNEE-1</f>
        <v>2026</v>
      </c>
      <c r="FC19" s="979">
        <f>ANNEE</f>
        <v>2027</v>
      </c>
      <c r="FD19" s="982"/>
      <c r="FE19" s="980">
        <f>ANNEE-1</f>
        <v>2026</v>
      </c>
      <c r="FF19" s="979">
        <f>ANNEE</f>
        <v>2027</v>
      </c>
      <c r="FG19" s="982"/>
      <c r="FH19" s="980">
        <f>ANNEE-1</f>
        <v>2026</v>
      </c>
      <c r="FI19" s="979">
        <f>ANNEE</f>
        <v>2027</v>
      </c>
      <c r="FJ19" s="1434">
        <f>ANNEE-1</f>
        <v>2026</v>
      </c>
      <c r="FK19" s="979">
        <f>ANNEE</f>
        <v>2027</v>
      </c>
      <c r="FL19" s="991">
        <f>ANNEE-1</f>
        <v>2026</v>
      </c>
      <c r="FM19" s="990">
        <f>ANNEE</f>
        <v>2027</v>
      </c>
      <c r="FN19" s="991">
        <f>ANNEE-1</f>
        <v>2026</v>
      </c>
      <c r="FO19" s="990">
        <f>ANNEE</f>
        <v>2027</v>
      </c>
      <c r="FP19" s="991">
        <f>ANNEE-1</f>
        <v>2026</v>
      </c>
      <c r="FQ19" s="990">
        <f>ANNEE</f>
        <v>2027</v>
      </c>
      <c r="FR19" s="980">
        <f>ANNEE-1</f>
        <v>2026</v>
      </c>
      <c r="FS19" s="979">
        <f>ANNEE</f>
        <v>2027</v>
      </c>
      <c r="FT19" s="1653">
        <f>ANNEE-1</f>
        <v>2026</v>
      </c>
      <c r="FU19" s="1654">
        <f>ANNEE</f>
        <v>2027</v>
      </c>
      <c r="FV19" s="992"/>
      <c r="FW19" s="993">
        <f>ANNEE-1</f>
        <v>2026</v>
      </c>
      <c r="FX19" s="994">
        <f>ANNEE</f>
        <v>2027</v>
      </c>
      <c r="FY19" s="995">
        <f>ANNEE-1</f>
        <v>2026</v>
      </c>
      <c r="FZ19" s="979">
        <f>ANNEE</f>
        <v>2027</v>
      </c>
      <c r="GA19" s="995">
        <f>ANNEE-1</f>
        <v>2026</v>
      </c>
      <c r="GB19" s="979">
        <f>ANNEE</f>
        <v>2027</v>
      </c>
      <c r="GC19" s="995">
        <f>ANNEE-1</f>
        <v>2026</v>
      </c>
      <c r="GD19" s="989">
        <f>ANNEE</f>
        <v>2027</v>
      </c>
      <c r="GE19" s="983"/>
      <c r="GF19" s="983"/>
      <c r="GG19" s="983"/>
      <c r="GH19" s="983"/>
      <c r="GI19" s="983"/>
      <c r="GJ19" s="983"/>
      <c r="GK19" s="983"/>
      <c r="GL19" s="983"/>
      <c r="GM19" s="1359"/>
      <c r="GN19" s="1359"/>
      <c r="GO19" s="1359"/>
      <c r="GP19" s="983"/>
      <c r="GQ19" s="983"/>
      <c r="GR19" s="983"/>
      <c r="GS19" s="2504"/>
      <c r="GT19" s="2878">
        <f>+ANNEE</f>
        <v>2027</v>
      </c>
      <c r="GU19" s="2878">
        <f>+ANNEE</f>
        <v>2027</v>
      </c>
      <c r="GV19" s="2878">
        <f>+ANNEE</f>
        <v>2027</v>
      </c>
      <c r="GW19" s="2878">
        <f>+ANNEE</f>
        <v>2027</v>
      </c>
    </row>
    <row r="20" spans="1:252" s="198" customFormat="1" ht="12" customHeight="1" thickTop="1">
      <c r="A20" s="1252">
        <f>C20</f>
        <v>1</v>
      </c>
      <c r="B20" s="200"/>
      <c r="C20" s="486">
        <f>C19+1</f>
        <v>1</v>
      </c>
      <c r="D20" s="996"/>
      <c r="E20" s="996"/>
      <c r="F20" s="996"/>
      <c r="G20" s="996"/>
      <c r="H20" s="1264"/>
      <c r="I20" s="1264"/>
      <c r="J20" s="1264"/>
      <c r="K20" s="1264"/>
      <c r="L20" s="1264"/>
      <c r="M20" s="1264"/>
      <c r="N20" s="1264"/>
      <c r="O20" s="1264"/>
      <c r="P20" s="1264"/>
      <c r="R20" s="997"/>
      <c r="S20" s="997"/>
      <c r="T20" s="1186" t="str">
        <f>IF(M20="","",IF(VALUE(LEFT(RIGHT(M20,6),4))=ANNEE,RIGHT(M20,6),""))</f>
        <v/>
      </c>
      <c r="U20" s="233" t="e">
        <f>IF(BE20="",LEFT(R20,6)/full,VLOOKUP(BE20,Prest_supl,6,0))</f>
        <v>#N/A</v>
      </c>
      <c r="V20" s="49" t="e">
        <f>VLOOKUP(D20,StCtr,2,0)</f>
        <v>#N/A</v>
      </c>
      <c r="W20" s="218" t="e">
        <f>IF(OR(E20="1",E20=1),1,IF(ARREST="",2,1))</f>
        <v>#N/A</v>
      </c>
      <c r="X20" s="218" t="e">
        <f>HLOOKUP(K20,ZkBarOps,5,0)</f>
        <v>#N/A</v>
      </c>
      <c r="Y20" s="216" t="str">
        <f>IF(T20="",IF(N20="","",N20),LEFT(M20,SEARCH("-",M20)-2))</f>
        <v/>
      </c>
      <c r="Z20" s="216">
        <f>IF(Y20=N20,O20,RIGHT(L20,6))</f>
        <v>0</v>
      </c>
      <c r="AA20" s="215" t="e">
        <f>VALUE(LEFT(L20,4))</f>
        <v>#VALUE!</v>
      </c>
      <c r="AB20" s="216" t="e">
        <f>IF(ANNEE-AA20&lt;0,0,ANNEE-AA20)-IF(MID(L20,5,2)="01",IF(OR(E20="2",E20="2"),1,0),1)</f>
        <v>#VALUE!</v>
      </c>
      <c r="AC20" s="216" t="e">
        <f>VALUE(RIGHT(L20,2))</f>
        <v>#VALUE!</v>
      </c>
      <c r="AD20" s="239" t="e">
        <f>HLOOKUP($K20,ZkBarOps,8,0)</f>
        <v>#N/A</v>
      </c>
      <c r="AE20" s="216" t="e">
        <f>VLOOKUP(AB20,TabBarOps,AD20)</f>
        <v>#VALUE!</v>
      </c>
      <c r="AF20" s="216" t="e">
        <f>VLOOKUP(AC20,E_A,IF(W20=2,1,2))</f>
        <v>#VALUE!</v>
      </c>
      <c r="AG20" s="216" t="e">
        <f>IF(AF20=12,"",VLOOKUP(AB20+1,TabBarOps,AD20))</f>
        <v>#VALUE!</v>
      </c>
      <c r="AH20" s="216" t="e">
        <f>IF(AND(AG20&lt;AL20,12-AF20=AO20),0,12-AF20)</f>
        <v>#VALUE!</v>
      </c>
      <c r="AI20" s="216" t="str">
        <f>IF(Y20="","",ANNEE-VALUE(LEFT(Z20,4))-IF(MID(Z20,5,2)="01",IF(W20=2,1,0),1))</f>
        <v/>
      </c>
      <c r="AJ20" s="216" t="str">
        <f>IF(AI20="","",VALUE(RIGHT(Z20,2)))</f>
        <v/>
      </c>
      <c r="AK20" s="239" t="str">
        <f>IF(Y20="","",HLOOKUP(Y20,ZkBarOps,8,0))</f>
        <v/>
      </c>
      <c r="AL20" s="216" t="str">
        <f>IF(AND(N20="",T20=""),"",VLOOKUP(AI20,TabBarOps,AK20))</f>
        <v/>
      </c>
      <c r="AM20" s="216" t="str">
        <f>IF(AI20="","",VLOOKUP(AJ20,E_A,IF(W20=2,1,2)))</f>
        <v/>
      </c>
      <c r="AN20" s="216" t="str">
        <f>IF(OR(AM20=12,AI20="",AND(N20="",T20="")),"",VLOOKUP(AI20+1,TabBarOps,AK20))</f>
        <v/>
      </c>
      <c r="AO20" s="216" t="str">
        <f>IF(AI20="","",12-AM20)</f>
        <v/>
      </c>
      <c r="AP20" s="216" t="e">
        <f>IF(AND(T20&lt;&gt;"",IF(M20="",0,VALUE(RIGHT(M20,2)))&lt;AF20),AJ20-1,MIN(AF20,AM20))</f>
        <v>#VALUE!</v>
      </c>
      <c r="AQ20" s="216" t="e">
        <f>MAX(AE20,IF(AND(AJ20&lt;&gt;1,T20&lt;&gt;""),0,AL20))</f>
        <v>#VALUE!</v>
      </c>
      <c r="AR20" s="216" t="e">
        <f>IF(AS20="",0,IF(AND(T20&lt;&gt;"",AF20=AM20),AJ20-1-AF20,MAX(AF20,AM20)-AP20))</f>
        <v>#VALUE!</v>
      </c>
      <c r="AS20" s="216" t="e">
        <f>IF(AND(AM20&lt;AJ20,T20&lt;&gt;""),IF(AG20="",0,AG20),IF(AF20&gt;AM20,MAX(AN20,AE20),MAX(AG20,AL20)))</f>
        <v>#VALUE!</v>
      </c>
      <c r="AT20" s="216" t="e">
        <f>12-AP20-AR20</f>
        <v>#VALUE!</v>
      </c>
      <c r="AU20" s="216" t="e">
        <f>MAX(AG20,IF(AN20="",AL20,AN20))</f>
        <v>#VALUE!</v>
      </c>
      <c r="AV20" s="217" t="e">
        <f>ROUND((AP20*AQ20+AR20*IF(AS20="",0,AS20)+AT20*AU20)/12,2)</f>
        <v>#VALUE!</v>
      </c>
      <c r="AW20" s="355" t="e">
        <f>IF(W20=1,0,(ROUND(AQ20/12*IndW_N1*U20,2)))+IF(AZ20&lt;0,AZ20,0)</f>
        <v>#N/A</v>
      </c>
      <c r="AX20" s="217" t="e">
        <f>ROUND(GW20*IndW*U20,2)+IF(BA20&lt;0,BA20,0)</f>
        <v>#VALUE!</v>
      </c>
      <c r="AY20" s="1559" t="e">
        <f>IF(OR(V20=5,GE20=""),0,IF(ISNA(VLOOKUP(F20,Zk_PrestAll,66,0)),0,VLOOKUP(F20,Zk_PrestAll,66,0)))-IF(ISNA(VLOOKUP(F20,Zk_PrestAll,67,0)),0,VLOOKUP(F20,Zk_PrestAll,67,0))</f>
        <v>#N/A</v>
      </c>
      <c r="AZ20" s="249" t="e">
        <f>IF(OR(AY20=0,AY20="",W20=1),0,ROUND(AY20/12*IndDiffDec,2))</f>
        <v>#N/A</v>
      </c>
      <c r="BA20" s="221" t="e">
        <f>IF(OR(AY20=0,AY20=""),0,ROUND(AY20/12*IF(W20=1,12*IndDiff,11*IndDiffNab),2))</f>
        <v>#N/A</v>
      </c>
      <c r="BB20" s="300" t="e">
        <f>IF(AW20=0,0,ROUND(VLOOKUP(AQ20,HS_FR,IF(OR(S20=1,S20="1"),2,3))*IndW_N1/12,2))</f>
        <v>#N/A</v>
      </c>
      <c r="BC20" s="217" t="e">
        <f>ROUND(VLOOKUP(AV20,HS_FR,IF(OR(S20=1,S20="1"),2,3))*IF(W20=2,IndW_N1/12*11,IndW_N),2)</f>
        <v>#VALUE!</v>
      </c>
      <c r="BD20" s="1552" t="e">
        <f>ROUND(U20*AV20*IndW,2)</f>
        <v>#N/A</v>
      </c>
      <c r="BE20" s="1244" t="e">
        <f>IF(OR(V20=5,GE20=""),"",IF(VLOOKUP(F20,Zk_PrestAll,59,0)&gt;1,"4/5s",IF(VLOOKUP(F20,Zk_PrestAll,60,0)&gt;1,"50%","")))</f>
        <v>#N/A</v>
      </c>
      <c r="BF20" s="249" t="e">
        <f>IF(AND(W20=2,BE20&lt;&gt;""),ROUND(VLOOKUP(BE20,Prest_supl,4,0),2),"")</f>
        <v>#N/A</v>
      </c>
      <c r="BG20" s="252" t="e">
        <f>IF(BE20&lt;&gt;"",ROUND(VLOOKUP(BE20,Prest_supl,IF(W20=2,5,3),0),2),"")</f>
        <v>#N/A</v>
      </c>
      <c r="BH20" s="1469"/>
      <c r="BI20" s="216" t="e">
        <f>ROUND((BD20+SUM(BN20:BO20))*0.92/12,2)</f>
        <v>#N/A</v>
      </c>
      <c r="BJ20" s="1469"/>
      <c r="BK20" s="1459" t="e">
        <f>ROUND(EjtAfaFix*U20,2)</f>
        <v>#N/A</v>
      </c>
      <c r="BL20" s="260" t="e">
        <f>ROUND((GO20*PctVarAFA)+(IF(GN20&lt;=EJT_Min,EJT_Min,IF(GN20&gt;=EJT_Max,EJT_Max,GN20))),2)</f>
        <v>#N/A</v>
      </c>
      <c r="BM20" s="214" t="str">
        <f>IF(J20="o6",VLOOKUP(F20,Zk_PrestAll,68,0),"")</f>
        <v/>
      </c>
      <c r="BN20" s="293" t="e">
        <f>IF(AND(W20=2,BM20&lt;&gt;""),VLOOKUP(MandatZPZ,Mandat,4,0),"")</f>
        <v>#N/A</v>
      </c>
      <c r="BO20" s="217" t="str">
        <f>IF(BM20&lt;&gt;"",VLOOKUP(MandatZPZ,Mandat,IF(W20=1,3,5),0),"")</f>
        <v/>
      </c>
      <c r="BP20" s="355" t="e">
        <f>AV20/1850*IndT_N1</f>
        <v>#VALUE!</v>
      </c>
      <c r="BQ20" s="217" t="e">
        <f>AV20/1850*IF(W20=1,IndW,IndW_N)</f>
        <v>#VALUE!</v>
      </c>
      <c r="BR20" s="1193" t="e">
        <f>IF(OR(V20=5,GE20=""),0,INT(VLOOKUP(F20,Zk_PrestAll,3,0)*HrPct))</f>
        <v>#N/A</v>
      </c>
      <c r="BS20" s="249" t="e">
        <f>IF(OR(J20="06",BR20="",BR20=0),"",ROUND(BP20*INT(BR20/6),2))</f>
        <v>#N/A</v>
      </c>
      <c r="BT20" s="216" t="e">
        <f>IF(OR(J20="06",BR20="",BR20=0),"",ROUND($BQ20*(BR20-INT(BR20/6)),2))</f>
        <v>#N/A</v>
      </c>
      <c r="BU20" s="1195" t="e">
        <f>IF(OR(V20=5,GE20=""),0,INT(VLOOKUP(F20,Zk_PrestAll,4,0)*WEPct))</f>
        <v>#N/A</v>
      </c>
      <c r="BV20" s="249" t="e">
        <f>IF(OR(J20="04",J20="05",J20="06",BU20="",BU20=0),"",ROUND(INT(BU20/12)*$BP20,2))</f>
        <v>#N/A</v>
      </c>
      <c r="BW20" s="216" t="e">
        <f>IF(OR(J20="04",J20="05",J20="06",BU20="",BU20=0),"",ROUND((BU20-INT(BU20/12))*$BQ20,2))</f>
        <v>#N/A</v>
      </c>
      <c r="BX20" s="1195" t="e">
        <f>IF(OR(V20=5,GE20=""),0,INT(VLOOKUP(F20,Zk_PrestAll,5,0)+IF(GE20="",0,VLOOKUP(F20,Zk_PrestAll,6,0))*Noct1Pct))</f>
        <v>#N/A</v>
      </c>
      <c r="BY20" s="249" t="e">
        <f>IF(OR(J20="04",J20="05",J20="06",BX20="",BX20=0),"",ROUND(INT(BX20/12)*$BP20*DA,2))</f>
        <v>#N/A</v>
      </c>
      <c r="BZ20" s="216" t="e">
        <f>IF(OR(J20="04",J20="05",J20="06",BX20="",BX20=0),"",ROUND((BX20-INT(BX20/12))*$BQ20*DA,2))</f>
        <v>#N/A</v>
      </c>
      <c r="CA20" s="1195" t="e">
        <f>INT(IF(OR(V20=5,GE20=""),0,VLOOKUP(F20,Zk_PrestAll,7,0)*Noct2Pct))</f>
        <v>#N/A</v>
      </c>
      <c r="CB20" s="249" t="e">
        <f>IF(OR(J20="04",J20="05",J20="06",CA20="",CA20=0),"",ROUND(INT(CA20/12)*$BP20*DB,2))</f>
        <v>#N/A</v>
      </c>
      <c r="CC20" s="216" t="e">
        <f>IF(OR(J20="04",J20="05",J20="06",CA20="",CA20=0),"",ROUND((CA20-INT(CA20/12))*$BQ20*DB,2))</f>
        <v>#N/A</v>
      </c>
      <c r="CD20" s="1195" t="e">
        <f>IF(OR(V20=5,GE20=""),0,INT((VLOOKUP(F20,Zk_PrestAll,8,0)+VLOOKUP(F20,Zk_PrestAll,9,0)*15/24)*BT_CRPct))</f>
        <v>#N/A</v>
      </c>
      <c r="CE20" s="249" t="e">
        <f>IF(OR(J20="06",J20="07",CD20="",CD20=0),"",ROUND(INT(CD20/12)*BP20/15,2))</f>
        <v>#N/A</v>
      </c>
      <c r="CF20" s="216" t="e">
        <f>IF(OR(J20="06",J20="07",,CD20="",CD20=0),"",ROUND((CD20-INT(CD20/12))*BQ20/15,2))</f>
        <v>#N/A</v>
      </c>
      <c r="CG20" s="1195" t="e">
        <f>IF(OR(V20=5,GE20=""),0,VLOOKUP(F20,Zk_PrestAll,10,0))</f>
        <v>#N/A</v>
      </c>
      <c r="CH20" s="249" t="e">
        <f>IF(OR(J20="o6",CG20="",CG20=0),"",ROUND(INT(CG20/12)*BP20*30%,2))</f>
        <v>#N/A</v>
      </c>
      <c r="CI20" s="216" t="e">
        <f>IF(OR(J20="o6",CG20="",CG20=0),"",ROUND((CG20-INT(CG20/12))*BP20*30%,2))</f>
        <v>#N/A</v>
      </c>
      <c r="CJ20" s="1195" t="e">
        <f>IF(OR(V20=5,GE20=""),"",VLOOKUP(F20,Zk_PrestAll,12,0)+VLOOKUP(F20,Zk_PrestAll,13,0))</f>
        <v>#N/A</v>
      </c>
      <c r="CK20" s="249" t="e">
        <f>IF(OR(J20="o6",CJ20="",CJ20=0,X20="h"),"",ROUND(IF(W20=1,0,IndT_N1)*(INT(CJ20/12)),2))</f>
        <v>#N/A</v>
      </c>
      <c r="CL20" s="216" t="e">
        <f>IF(OR(J20="o6",CJ20="",CJ20=0,X20="h"),"",ROUND(IF(W20=1,IndT*CJ20,IndT_N*(CJ20-(CJ20/12))),2))</f>
        <v>#N/A</v>
      </c>
      <c r="CM20" s="1194" t="str">
        <f>IF(GE20="","",VLOOKUP(F20,Zk_PrestAll,14,0))</f>
        <v/>
      </c>
      <c r="CN20" s="1524" t="str">
        <f>IF(OR(CM20="",J20="p6",CM20=0,CM20=""),"",ROUND(CM20*1/12*IndDiffDec,2))</f>
        <v/>
      </c>
      <c r="CO20" s="217" t="str">
        <f>IF(OR(CM20="",J20="p6",CM20=0,CM20=""),"",ROUND(CM20*11/12*IndDiffDec,2))</f>
        <v/>
      </c>
      <c r="CP20" s="1193" t="e">
        <f>IF(OR(V20=5,GE20=""),0,IF(OR(LEFT(GH20,4)="4009",DB20&lt;&gt;""),"",IF(GF20&lt;&gt;"",GF20,IF(AND(GH20&lt;&gt;"",VALUE(GG20)&gt;0),CONCATENATE(GH20,IF(VALUE(GG20)&lt;10,"0"&amp;GG20,GG20)),""))))</f>
        <v>#N/A</v>
      </c>
      <c r="CQ20" s="293" t="e">
        <f>IF(CP20="","",ROUND(IF(LEN(CP20)&gt;2,INT(VALUE(RIGHT(CP20,2))/12)*VLOOKUP(LEFT(CP20,2),Ens_Ond,4,0),INT(CP20/12)*MentDec),2))</f>
        <v>#N/A</v>
      </c>
      <c r="CR20" s="217" t="e">
        <f>IF(CP20="","",ROUND(IF(LEN(CP20)&gt;2,(VALUE(RIGHT(CP20,2))-INT(VALUE(RIGHT(CP20,2))/12))*VLOOKUP(LEFT(CP20,2),Ens_Ond,IF(W20=1,3,5),0),(CP20-INT(CP20/12))*IF(W20=1,MentVoor,MentNab)),2))</f>
        <v>#N/A</v>
      </c>
      <c r="CS20" s="305" t="e">
        <f>IF(OR(V20=5,ISNA(VLOOKUP(F20,Zk_PrestAll,23,0))),"",IF(VLOOKUP(F20,Zk_PrestAll,23,0)=0,"","Y"))</f>
        <v>#N/A</v>
      </c>
      <c r="CT20" s="249" t="e">
        <f>IF(AND(BM20="",CS20="Y",CX20="",EH20="",OR(X20="S",X20="H"),W20=2),ROUND(U20*TVDec,2),"")</f>
        <v>#N/A</v>
      </c>
      <c r="CU20" s="216" t="e">
        <f>IF(AND(BM20="",CS20="Y",CX20="",EH20="",OR(X20="s",X20="H")),ROUND(U20*IF(W20=1,TVVoor,TVNab),2),"")</f>
        <v>#N/A</v>
      </c>
      <c r="CV20" s="1193" t="e">
        <f>IF(OR(V20=5,GE20=""),"",CONCATENATE(IF(VLOOKUP(F20,Zk_PrestAll,24,0)=0,"","TP"),IF(VLOOKUP(F20,Zk_PrestAll,25,0)=0,"","UB")))</f>
        <v>#N/A</v>
      </c>
      <c r="CW20" s="249" t="e">
        <f>IF(OR(CV20="",BM20&lt;&gt;"",W20=1),"",ROUND(VLOOKUP(X20,IF(CV20="TP",Moto,Moto_T),4,0)*U20,2))</f>
        <v>#N/A</v>
      </c>
      <c r="CX20" s="216" t="e">
        <f>IF(OR(CV20="",BM20&lt;&gt;""),"",ROUND(VLOOKUP(X20,IF(CV20="TP",Moto,Moto_T),IF(W20=1,3,5),0)*U20,2))</f>
        <v>#N/A</v>
      </c>
      <c r="CY20" s="305" t="str">
        <f>IF(GE20="","",IF(VLOOKUP(F20,Zk_PrestAll,55,0)=0,"",VLOOKUP(F20,Zk_PrestAll,55,0)))</f>
        <v/>
      </c>
      <c r="CZ20" s="249" t="e">
        <f>IF(OR(W20=1,CY20=""),"",ROUND(VLOOKUP(X20,MDAnCr,4,0)*U20,2))</f>
        <v>#N/A</v>
      </c>
      <c r="DA20" s="216" t="str">
        <f>IF(CY20="","",ROUND(VLOOKUP(X20,MDAnCr,IF(W20=1,3,5),0)*U20,2))</f>
        <v/>
      </c>
      <c r="DB20" s="307" t="e">
        <f>IF(OR(V20=5,GE20=""),"",IF(VLOOKUP(F20,Zk_PrestAll,20,0)=0,"","Y"))</f>
        <v>#N/A</v>
      </c>
      <c r="DC20" s="328" t="e">
        <f>IF(AND(W20=2,DB20="y"),ROUND(InstrDec*U20,2),"")</f>
        <v>#N/A</v>
      </c>
      <c r="DD20" s="322" t="e">
        <f>IF(DB20="y",ROUND(IF(W20=1,InstrVoor,InstrNab)*U20,2),"")</f>
        <v>#N/A</v>
      </c>
      <c r="DE20" s="305" t="e">
        <f>IF(OR(V20=5,CS20="y",ISNA(VLOOKUP(F20,Zk_PrestAll,1,0))),"",CONCATENATE(IF(VLOOKUP(F20,Zk_PrestAll,26,0)=0,"","TY"),IF(VLOOKUP(F20,Zk_PrestAll,27,0)=0,"","UF")))</f>
        <v>#N/A</v>
      </c>
      <c r="DF20" s="249" t="e">
        <f>IF(OR(BM20&lt;&gt;"",DE20="",W20=1),"",(ROUND(IF(LEFT(DE20,2)="TY",TYDec,0)+IF(RIGHT(DE20,2)="UF",VLOOKUP(X20,Comp,4,0),0)*U20,2)))</f>
        <v>#N/A</v>
      </c>
      <c r="DG20" s="216" t="e">
        <f>IF(OR(BM20&lt;&gt;"",DE20=""),"",ROUND((IF(LEFT(DE20,2)="TY",IF(W20=1,TYVoor,TYNab),0)+IF(RIGHT(DE20,2)="UF",VLOOKUP(X20,Comp,IF(W20=1,3,5),0),0))*U20,2))</f>
        <v>#N/A</v>
      </c>
      <c r="DH20" s="305" t="e">
        <f>IF(OR(V20=5,BXL_YN="N",GE20=""),"",VALUE(VLOOKUP(F20,Zk_PrestAll,28,0)))</f>
        <v>#N/A</v>
      </c>
      <c r="DI20" s="249" t="e">
        <f>IF(OR(DH20="",W20=1),"",ROUND(IF(DH20&lt;=6,VLOOKUP(DH20,bxl,4,0),VLOOKUP(DH20,Bxl_N,3,1)),2))</f>
        <v>#N/A</v>
      </c>
      <c r="DJ20" s="216" t="e">
        <f>IF(DH20="","",ROUND(IF(DH20&lt;=6,VLOOKUP(DH20,bxl,IF(W20=1,3,5),0),VLOOKUP(DH20,Bxl_N,IF(W20=1,2,4),1))*U20,2))</f>
        <v>#N/A</v>
      </c>
      <c r="DK20" s="309" t="e">
        <f>IF(OR(V20=5,GE20=""),"",IF(VLOOKUP(F20,Zk_PrestAll,29,0)=0,"","y"))</f>
        <v>#N/A</v>
      </c>
      <c r="DL20" s="293" t="e">
        <f>IF(AND(DK20="y",W20=2,OR(X20="S",X20="H",DI20&lt;&gt;"")),ROUND(UMdec*U20,2),"")</f>
        <v>#N/A</v>
      </c>
      <c r="DM20" s="326" t="e">
        <f>IF(AND(DK20="Y",DJ20&gt;0),ROUND(IF(W20=2,umNab,UM)*U20,2),"")</f>
        <v>#N/A</v>
      </c>
      <c r="DN20" s="1256" t="e">
        <f>IF(OR(V20=5,DO20=""),"",IF(VLOOKUP(F20,Zk_PrestAll,33,0)&gt;0,2,IF(VLOOKUP(F20,Zk_PrestAll,34,0)&gt;0,3,"old")))</f>
        <v>#N/A</v>
      </c>
      <c r="DO20" s="214" t="e">
        <f>IF(OR(V20=5,GE20=""),"",IF(VLOOKUP(F20,Zk_PrestAll,30,0)+VLOOKUP(F20,Zk_PrestAll,31,0)+VLOOKUP(F20,Zk_PrestAll,32,0)&gt;0,VLOOKUP(F20,Zk_PrestAll,30,0)+VLOOKUP(F20,Zk_PrestAll,31,0)+VLOOKUP(F20,Zk_PrestAll,32,0),IF(VLOOKUP(F20,Zk_PrestAll,33,0)&gt;0,VLOOKUP(F20,Zk_PrestAll,33,0),IF(VLOOKUP(F20,Zk_PrestAll,34,0)&gt;0,VLOOKUP(F20,Zk_PrestAll,34,0),""))))</f>
        <v>#N/A</v>
      </c>
      <c r="DP20" s="1257" t="e">
        <f>IF(OR(W20=1,DO20=""),"",ROUND(IF(DN20="old",(DO20/12*IndDiffDec),VLOOKUP(X20,BILN,4))*U20,2))</f>
        <v>#N/A</v>
      </c>
      <c r="DQ20" s="1258" t="e">
        <f>IF(DO20="","",ROUND(IF(DN20="old",DO20/12*11*IF(W20=1,IndDiff,IndDiffNab),VLOOKUP(X20,IF(DN20=3,APPROF,BILN),IF(W20=1,3,5)))*U20,2))</f>
        <v>#N/A</v>
      </c>
      <c r="DR20" s="305" t="e">
        <f>IF(OR(V20=5,GE20=""),"",IF(VLOOKUP(F20,Zk_PrestAll,35,0)=0,"",VLOOKUP(F20,Zk_PrestAll,35,0)))</f>
        <v>#N/A</v>
      </c>
      <c r="DS20" s="249" t="e">
        <f>IF($DR20="","",IF($W20=1,0,ROUND(VLOOKUP($X20,BILAutre,4,0)*$U20,2)))</f>
        <v>#N/A</v>
      </c>
      <c r="DT20" s="216" t="e">
        <f>IF($DR20="","",ROUND(VLOOKUP($X20,BILAutre,IF($W20=1,3,5),0)*$U20,2))</f>
        <v>#N/A</v>
      </c>
      <c r="DU20" s="2518" t="str">
        <f>IF(GE20="","",IF(VLOOKUP(F20,Zk_PrestAll,62,0)=0,"",VLOOKUP(F20,Zk_PrestAll,62,0)))</f>
        <v/>
      </c>
      <c r="DV20" s="249" t="e">
        <f>IF(OR(DU20="",$W20=1),0,ROUND(T_DirDec*$U20,2))</f>
        <v>#N/A</v>
      </c>
      <c r="DW20" s="221">
        <f>IF(DU20="",0,ROUND(T_DirPost*IF(W20=1,1,11/12)*$U20,2))</f>
        <v>0</v>
      </c>
      <c r="DX20" s="305" t="e">
        <f>IF(OR(V20=5,GE20=""),"",-VLOOKUP(F20,Zk_PrestAll,56,0)+VLOOKUP(F20,Zk_PrestAll,65,0))</f>
        <v>#N/A</v>
      </c>
      <c r="DY20" s="249" t="e">
        <f>IF(OR(DX20=0,DX20="",W20=1),0,ROUND(DX20/12*IndDiffDec,2))</f>
        <v>#N/A</v>
      </c>
      <c r="DZ20" s="221" t="e">
        <f>IF(OR(DX20=0,DX20=""),0,ROUND(DX20/12*IF(W20=1,12*IndDiff,11*IndDiffNab),2))</f>
        <v>#N/A</v>
      </c>
      <c r="EA20" s="388" t="e">
        <f>IF(V20=5,"","Y")</f>
        <v>#N/A</v>
      </c>
      <c r="EB20" s="249" t="e">
        <f>IF(AND(W20=2,EA20="Y"),ROUND(TenDec*U20,2),"")</f>
        <v>#N/A</v>
      </c>
      <c r="EC20" s="216" t="e">
        <f>IF(EA20="Y",ROUND(IF(W20=1,TenVoor,TenNab)*U20,2),"")</f>
        <v>#N/A</v>
      </c>
      <c r="ED20" s="1461" t="e">
        <f>IF(OR(V20=5,ISNA(VLOOKUP(F20,Zk_PrestAll,58,0))),"",VLOOKUP(F20,Zk_PrestAll,58,0))</f>
        <v>#N/A</v>
      </c>
      <c r="EE20" s="249" t="e">
        <f>IF(OR(W20=1,ED20=0,ED20=""),"",ROUND(TfDec*U20,2))</f>
        <v>#N/A</v>
      </c>
      <c r="EF20" s="216" t="e">
        <f>IF(ED20="","",IF(VALUE(ED20)=0,"",ROUND(IF(W20=1,TFVoor,TfNab)*U20,2)))</f>
        <v>#N/A</v>
      </c>
      <c r="EG20" s="355" t="e">
        <f>IF(AND(BM20="",EI20="ME",W20=2),ROUND(EnqDec*U20,2),"")</f>
        <v>#N/A</v>
      </c>
      <c r="EH20" s="1425" t="e">
        <f>IF(AND(BM20="",EI20="ME"),ROUND(IF(W20=1,EnqVoor,EnqNab)*U20,2),"")</f>
        <v>#N/A</v>
      </c>
      <c r="EI20" s="1470" t="e">
        <f>IF(OR(V20=5,GE20=""),"",IF(VLOOKUP(F20,Zk_PrestAll,36,0)&gt;0,"ME",IF(VLOOKUP(F20,Zk_PrestAll,37,0)&gt;0,VLOOKUP(F20,Zk_PrestAll,37,0),"")))</f>
        <v>#N/A</v>
      </c>
      <c r="EJ20" s="249" t="e">
        <f>IF(OR(EI20="",EI20="ME",W20=1),"",ROUND(INT(EI20/12)*EnqJVoor,2))</f>
        <v>#N/A</v>
      </c>
      <c r="EK20" s="221" t="e">
        <f>IF(OR(EI20="",EI20="ME"),"",ROUND(IF(W20=1,EI20*EnqJVoor,(EI20-INT(EI20/12))*EnqJNab),2))</f>
        <v>#N/A</v>
      </c>
      <c r="EL20" s="313" t="str">
        <f>IF(GE20="","",VLOOKUP(F20,Zk_PrestAll,54,0))</f>
        <v/>
      </c>
      <c r="EM20" s="249" t="str">
        <f>IF(EL20="","",IF(W20=1,"",ROUND(EL20/12*IndDiffDec,2)))</f>
        <v/>
      </c>
      <c r="EN20" s="221" t="str">
        <f>IF(EL20="","",ROUND(EL20/12*11*IndDiffNab,2))</f>
        <v/>
      </c>
      <c r="EO20" s="313" t="e">
        <f>IF(OR(V20=5,GE20=""),"",VLOOKUP(F20,Zk_PrestAll,52,0))</f>
        <v>#N/A</v>
      </c>
      <c r="EP20" s="249" t="e">
        <f>IF(OR(EO20=0,EO20=""),"",INT(EO20/12)*IndKmDec)</f>
        <v>#N/A</v>
      </c>
      <c r="EQ20" s="216" t="e">
        <f>IF(OR(EO20=0,EO20=""),"",(EO20-INT(EO20/12))*IndKmN)</f>
        <v>#N/A</v>
      </c>
      <c r="ER20" s="313" t="e">
        <f>IF(OR(V20=5,GE20=""),"",VLOOKUP(F20,Zk_PrestAll,53,0))</f>
        <v>#N/A</v>
      </c>
      <c r="ES20" s="249" t="e">
        <f>IF(OR(ER20="",ER20=0),"",ROUND(ER20/12*IndDiffDec,2))</f>
        <v>#N/A</v>
      </c>
      <c r="ET20" s="216" t="e">
        <f>IF(OR(ER20="",ER20=0),"",ROUND(ER20/12*11*IndDiffNab,2))</f>
        <v>#N/A</v>
      </c>
      <c r="EU20" s="313" t="e">
        <f>IF(OR(V20=5,ISNA(VLOOKUP(GE20,Zk_PrestAll,1,0))),0,VLOOKUP(F20,Zk_PrestAll,50,0))</f>
        <v>#N/A</v>
      </c>
      <c r="EV20" s="249" t="e">
        <f>ROUND(EU20/12*IndDiffDec,2)</f>
        <v>#N/A</v>
      </c>
      <c r="EW20" s="216" t="e">
        <f>ROUND(EU20/12*11*IndDiffNab,2)</f>
        <v>#N/A</v>
      </c>
      <c r="EX20" s="2505" t="e">
        <f>IF(OR(V20=5,GE20=""),"",(IF(AND(NeutrNego="",ANNEE&gt;=2023),0,VLOOKUP(F20,Zk_PrestAll,47,0)*IF(NeutrNego="",5/6,1)*IndW)))</f>
        <v>#N/A</v>
      </c>
      <c r="EY20" s="249" t="e">
        <f>IF(EX20="","",ROUND(EX20/12,2))</f>
        <v>#N/A</v>
      </c>
      <c r="EZ20" s="221" t="e">
        <f>IF(EX20="","",ROUND(EX20/12*11,2))</f>
        <v>#N/A</v>
      </c>
      <c r="FA20" s="313" t="e">
        <f>IF(OR(V20=5,GE20=""),"",(VLOOKUP(F20,Zk_PrestAll,48,0)*IF(ANNEE&gt;=2023,0,10/12))+VLOOKUP(F20,Zk_PrestAll,49,0))</f>
        <v>#N/A</v>
      </c>
      <c r="FB20" s="249" t="e">
        <f>IF(FA20="","",ROUND(FA20/12*IndDiffDec,2))</f>
        <v>#N/A</v>
      </c>
      <c r="FC20" s="221" t="e">
        <f>IF(FA20="","",ROUND(FA20/12*11*IndDiffNab,2))</f>
        <v>#N/A</v>
      </c>
      <c r="FD20" s="313" t="e">
        <f>IF(OR(V20=5,GE20=""),"",VLOOKUP(F20,Zk_PrestAll,57,0)*IF(ANNEE&gt;=2023,0,IF(NeutrNego="",10/12,1)))</f>
        <v>#N/A</v>
      </c>
      <c r="FE20" s="249" t="e">
        <f>IF(OR(ANNEE&gt;2022,FD20=""),"",ROUND(FD20/12*IndDiffDec,2))</f>
        <v>#N/A</v>
      </c>
      <c r="FF20" s="221" t="e">
        <f>IF(OR(ANNEE&gt;2022,FD20=""),"",ROUND(FD20/12*11*IndDiffNab,2))</f>
        <v>#N/A</v>
      </c>
      <c r="FG20" s="313"/>
      <c r="FH20" s="249">
        <f>IF(FG20="",0,FG20/12*IndW_N)</f>
        <v>0</v>
      </c>
      <c r="FI20" s="216">
        <f>IF(FG20="",0,FG20/12*11*IndW_N)</f>
        <v>0</v>
      </c>
      <c r="FJ20" s="1435" t="e">
        <f>ROUND(($AW20+IF(V20&lt;&gt;1,BB20,0)+IF($BF20="",0,$BF20)+IF($BN20="",0,$BN20)+$FW20)*VLOOKUP(V20,ChPatBdr,3),2)</f>
        <v>#N/A</v>
      </c>
      <c r="FK20" s="216" t="e">
        <f>ROUND(($AX20+IF(V20&lt;&gt;1,BC20,0)+IF($BG20="",0,$BG20)+IF($BO20="",0,$BO20)+FV20+$FX20)*VLOOKUP(V20,ChPatBdr,3),2)</f>
        <v>#VALUE!</v>
      </c>
      <c r="FL20" s="1268" t="e">
        <f>ROUND(($AW20+IF(AZ20&lt;0,0,AZ20)+IF(V20=1,0,BB20)+IF($BF20="",0,$BF20)+IF($BN20="",0,$BN20))*IF(V20=1,PatPensX_1,0),2)</f>
        <v>#N/A</v>
      </c>
      <c r="FM20" s="1655" t="e">
        <f>ROUND(($AX20+IF(BA20&lt;0,0,BA20)+IF(V20&lt;&gt;1,BC20,0)+IF($BG20="",0,$BG20)+IF($BO20="",0,$BO20))*VLOOKUP(V20,ChPatBdr,2),2)</f>
        <v>#VALUE!</v>
      </c>
      <c r="FN20" s="1268" t="e">
        <f>ROUND(GA20*VLOOKUP(V20,ChPatBdr,3),2)</f>
        <v>#N/A</v>
      </c>
      <c r="FO20" s="1655" t="e">
        <f>ROUND(GB20*VLOOKUP(V20,ChPatBdr,3),2)</f>
        <v>#N/A</v>
      </c>
      <c r="FP20" s="1268" t="e">
        <f>ROUND((AW20+IF(BN20="",0,BN20)+FW20+GA20+GC20+BB20+IF(BF20="",0,BF20)+IF(PatrATAO="",0,FJ20+FL20+FN20))*IF(GJ20="Empl",ArbO_Bed,ArbO_Ops),2)*IF(V20=5,0,1)</f>
        <v>#N/A</v>
      </c>
      <c r="FQ20" s="1656" t="e">
        <f>ROUND((AX20+IF(BO20="",0,BO20)+FX20+GB20+GD20+SUM(BI20:BL20,BC20)+IF(BG20="",0,BG20)+IF(PatrATAO="",0,FK20+FM20+FO20))*IF(GJ20="empl",ArbO_Bed,ArbO_Ops),2)*IF(V20=5,0,1)</f>
        <v>#VALUE!</v>
      </c>
      <c r="FR20" s="249" t="e">
        <f>ROUND((AW20+IF(BN20="",0,BN20)+FW20+GA20)*PctSvSocDst,2)</f>
        <v>#N/A</v>
      </c>
      <c r="FS20" s="216" t="e">
        <f>ROUND((AX20+IF(BO20="",0,BO20)+FX20+GB20)*PctSvSocDst,2)</f>
        <v>#VALUE!</v>
      </c>
      <c r="FT20" s="1657" t="e">
        <f>AW20+BB20+IF(BF20="",0,BF20)+BH20+BJ20+IF(BN20="",0,BN20)+FJ20+FL20+FN20+FR20+FP20+FW20+GA20+GC20</f>
        <v>#N/A</v>
      </c>
      <c r="FU20" s="1658" t="e">
        <f>AX20+BC20+IF(BG20="",0,BG20)+BI20+BK20+BL20+IF(BO20="",0,BO20)+FK20+FM20+FO20+FS20+FQ20+FX20+GB20+GD20</f>
        <v>#VALUE!</v>
      </c>
      <c r="FV20" s="242" t="e">
        <f>ROUND(EjtAfaPat*U20,2)</f>
        <v>#N/A</v>
      </c>
      <c r="FW20" s="2522" t="e">
        <f>IF(AZ20&lt;0,0,AZ20)+IF(CT20="",0,CT20)+IF(CW20="",0,CW20)+IF(CZ20="",0,CZ20)+IF(DC20="",0,DC20)+IF(DF20="",0,DF20)+IF(DI20="",0,DI20)+IF(DL20="",0,DL20)+IF(DP20="",0,DP20)+IF(DS20="",0,DS20)+IF(DV20="",0,DV20)+IF(DY20="",0,DY20)</f>
        <v>#N/A</v>
      </c>
      <c r="FX20" s="2523" t="e">
        <f>IF(BA20&lt;0,0,BA20)+IF(CU20="",0,CU20)+IF(CX20="",0,CX20)+IF(DA20="",0,DA20)+IF(DD20="",0,DD20)+IF(DG20="",0,DG20)+IF(DJ20="",0,DJ20)+IF(DM20="",0,DM20)+IF(DQ20="",0,DQ20)+IF(DT20="",0,DT20)+IF(DW20="",0,DW20)+IF(DZ20="",0,DZ20)</f>
        <v>#N/A</v>
      </c>
      <c r="FY20" s="336" t="e">
        <f>ROUND((FW20+IF(BN20="",0,BN20)+GA20)*VLOOKUP(V20,ChPatBdr,4),2)</f>
        <v>#N/A</v>
      </c>
      <c r="FZ20" s="223" t="e">
        <f>ROUND((FX20+IF(BO20="",0,BO20)+FV20+GB20)*VLOOKUP(V20,ChPatBdr,4),2)</f>
        <v>#N/A</v>
      </c>
      <c r="GA20" s="338" t="e">
        <f>IF(BS20="",0,BS20)+IF(BV20="",0,BV20)+IF(BY20="",0,BY20)+IF(CB20="",0,CB20)+IF(CE20="",0,CE20)+IF(CH20="",0,CH20)+IF(CK20="",0,CK20)+IF(CN20="",0,CN20)+IF(CQ20="",0,CQ20)</f>
        <v>#N/A</v>
      </c>
      <c r="GB20" s="204" t="e">
        <f>IF(BT20="",0,BT20)+IF(BW20="",0,BW20)+IF(BZ20="",0,BZ20)+IF(CC20="",0,CC20)+IF(CF20="",0,CF20)+IF(CI20="",0,CI20)+IF(CL20="",0,CL20)+IF(CO20="",0,CO20)+IF(CR20="",0,CR20)</f>
        <v>#N/A</v>
      </c>
      <c r="GC20" s="339" t="e">
        <f>IF(EB20="",0,EB20)+IF(EE20="",0,EE20)+IF(EG20="",0,EG20)+IF(EJ20="",0,EJ20)+IF(EM20="",0,EM20)+IF(EP20="",0,EP20)+IF(ES20="",0,ES20)+IF(EV20="",0,EV20)+IF(EY20="",0,EY20)+IF(FB20="",0,FB20)+IF(FE20="",0,FE20)+IF(FH20="",0,FH20)</f>
        <v>#N/A</v>
      </c>
      <c r="GD20" s="342" t="e">
        <f>IF(EC20="",0,EC20)+IF(EF20="",0,EF20)+IF(EH20="",0,EH20)+IF(EK20="",0,EK20)+IF(EN20="",0,EN20)+IF(EQ20="",0,EQ20)+IF(ET20="",0,ET20)+IF(EW20="",0,EW20)+IF(EZ20="",0,EZ20)+IF(FC20="",0,FC20)+IF(FF20="",0,FF20)+IF(FI20="",0,FI20)</f>
        <v>#N/A</v>
      </c>
      <c r="GE20" s="199" t="str">
        <f>IF(ISNA(VLOOKUP(F20,Zk_PrestAll,1,0)),"",VLOOKUP(F20,Zk_PrestAll,1,0))</f>
        <v/>
      </c>
      <c r="GF20" s="199" t="e">
        <f>IF(OR(GE20="",VLOOKUP(F20,Zk_PrestAll,15,0)=0),"",VLOOKUP(F20,Zk_PrestAll,15,0))</f>
        <v>#N/A</v>
      </c>
      <c r="GG20" s="199" t="str">
        <f>IF(GE20="","",CONCATENATE(IF(VLOOKUP(F20,Zk_PrestAll,17,0)=0,0,VLOOKUP(F20,Zk_PrestAll,17,0))+IF(VLOOKUP(F20,Zk_PrestAll,18,0)=0,0,VLOOKUP(F20,Zk_PrestAll,18,0))+IF(VLOOKUP(F20,Zk_PrestAll,19,0)=0,0,VLOOKUP(F20,Zk_PrestAll,19,0))+IF(VLOOKUP(F20,Zk_PrestAll,19,0)=0,0,VLOOKUP(F20,Zk_PrestAll,21,0))))</f>
        <v/>
      </c>
      <c r="GH20" s="199" t="str">
        <f>IF(F20="","",CONCATENATE(IF(VLOOKUP(F20,Zk_PrestAll,21,0)=0,"","DB"),IF(VALUE(VLOOKUP(F20,Zk_PrestAll,17,0))=0,"","CU"),IF(VLOOKUP(F20,Zk_PrestAll,18,0)=0,"","CV"),IF(VLOOKUP(F20,Zk_PrestAll,19,0)=0,"","CW"),IF(VLOOKUP(F20,Zk_PrestAll,20,0)=0,"","4009"),IF(GF20="","","Ment")))</f>
        <v/>
      </c>
      <c r="GI20" s="199" t="e">
        <f>IF(VALUE(GG20)&gt;99,"max=99",IF(AND(RIGHT(CP20,2)="4009",SUM(BR20+BU20+BX20+CA20+CD20)&gt;0),"Cumul ECA interdit - ou statut O7",""))</f>
        <v>#VALUE!</v>
      </c>
      <c r="GJ20" s="199" t="e">
        <f>IF((BR20+BU20+BX20+CA20+CD20+CG20+IF(CJ20="",0,CJ20))=0,"Empl",1)</f>
        <v>#N/A</v>
      </c>
      <c r="GK20" s="199" t="str">
        <f>LEFT(F20,9)</f>
        <v/>
      </c>
      <c r="GL20" s="49">
        <f>IF(ISERROR(VALUE(R20)),3,VALUE(R20))</f>
        <v>0</v>
      </c>
      <c r="GM20" s="28" t="e">
        <f>(FT20+FU20-(GA20+GB20+GC20+(GD20+(IF(EB20="",0,EB20)+IF(EC20="",0,EC20)+IF(EE20="",0,EE20)+IF(EF20="",0,EF20)+IF(EG20="",0,EG20)+IF(EH20="",0,EH20)+IF(EM20="",0,EM20)+IF(EN20="",0,EN20)))))/(38*52)</f>
        <v>#N/A</v>
      </c>
      <c r="GN20" s="28" t="e">
        <f>ROUND(GO20/12*AFApct2/IndW*IndW_N1,2)</f>
        <v>#N/A</v>
      </c>
      <c r="GO20" s="322" t="e">
        <f>SUM(BD20,BB20:BC20,BF20:BG20,BN20:BO20)*U20</f>
        <v>#N/A</v>
      </c>
      <c r="GP20" s="1190" t="e">
        <f>DATE(VALUE(LEFT(I20,4)+VLOOKUP(X20,DatPensOps,2,0)),VALUE(MID(I20,5,2))+1,1)</f>
        <v>#VALUE!</v>
      </c>
      <c r="GQ20" s="1190" t="e">
        <f>DATE(VALUE(LEFT(I20,4)+VLOOKUP(X20,DatPensOps,3,0)),VALUE(MID(I20,5,2))+1,1)</f>
        <v>#VALUE!</v>
      </c>
      <c r="GR20" t="str">
        <f>IF(L20="","",IF(VALUE(LEFT(L20,6))&lt;=DatStop19Toel,1,0))</f>
        <v/>
      </c>
      <c r="GS20" s="2879">
        <f>IF(RIGHT(J20,1)="3",0,1)</f>
        <v>1</v>
      </c>
      <c r="GT20" s="2880" t="e">
        <f>IF(OR(V20=5,GE20="",GS20=0),"",ROUND(MTC_QPP*MC_Nbr*U20,2))</f>
        <v>#N/A</v>
      </c>
      <c r="GU20" s="2881" t="e">
        <f>IF(OR(V20=5,GE20="",GS20=0),"",ROUND(MTC_Patr*MC_Nbr*U20,2))</f>
        <v>#N/A</v>
      </c>
      <c r="GV20" s="49" t="e">
        <f>(IF(AV20&gt;22173.97,ROUND(MIN(AV20-22173.97,AV20)/(1.02/0.02),2),0))</f>
        <v>#VALUE!</v>
      </c>
      <c r="GW20" s="28" t="e">
        <f>AV20-GV20</f>
        <v>#VALUE!</v>
      </c>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c r="IR20" s="49"/>
    </row>
    <row r="21" spans="1:252" s="445" customFormat="1">
      <c r="A21" s="445" t="s">
        <v>2385</v>
      </c>
      <c r="C21" s="448"/>
      <c r="Y21" s="2827" t="s">
        <v>5306</v>
      </c>
      <c r="AD21" s="1385"/>
      <c r="AE21" s="1385"/>
      <c r="AF21" s="1385"/>
      <c r="AG21" s="1385"/>
      <c r="AH21" s="1385"/>
      <c r="AI21" s="1385"/>
      <c r="AJ21" s="1385"/>
      <c r="AK21" s="1385"/>
      <c r="AL21" s="1385"/>
      <c r="AM21" s="1385"/>
      <c r="AN21" s="1386"/>
      <c r="AO21" s="1386"/>
      <c r="AP21" s="1386"/>
      <c r="AQ21" s="1386"/>
      <c r="AR21" s="1386"/>
      <c r="AS21" s="1386"/>
      <c r="AT21" s="1386"/>
      <c r="AU21" s="1386"/>
      <c r="AV21" s="1387" t="s">
        <v>5308</v>
      </c>
      <c r="AW21" s="359">
        <f>IF(W21=1,0,(ROUND(AQ21/12*IndW_N1*U21,2)))+IF(AZ21&lt;0,AZ21,0)</f>
        <v>0</v>
      </c>
      <c r="AX21" s="1388" t="e">
        <f>ROUND(IF(W21=1,AV21*IndW,AV21*IndW_N)*U21,2)+IF(BA21&lt;0,BA21,0)</f>
        <v>#VALUE!</v>
      </c>
      <c r="AY21" s="1559">
        <f>IF(GE21="",0,IF(ISNA(VLOOKUP(F21,Zk_PrestAll,66,0)),0,VLOOKUP(F21,Zk_PrestAll,66,0)))-IF(ISNA(VLOOKUP(F21,Zk_PrestAll,67,0)),0,VLOOKUP(F21,Zk_PrestAll,67,0))</f>
        <v>0</v>
      </c>
      <c r="AZ21" s="249">
        <f>IF(OR(AY21=0,AY21="",W21=1),0,ROUND(AY21/12*IndDiffDec,2))</f>
        <v>0</v>
      </c>
      <c r="BA21" s="221">
        <f>IF(OR(AY21=0,AY21=""),0,ROUND(AY21/12*IF(W21=1,12*IndDiff,11*IndDiffNab),2))</f>
        <v>0</v>
      </c>
      <c r="BB21" s="300">
        <f>IF(AW21=0,0,ROUND(VLOOKUP(AQ21,HS_FR,IF(OR(S21=1,S21="1"),2,3))*IndW_N1/12,2))</f>
        <v>0</v>
      </c>
      <c r="BC21" s="1388" t="e">
        <f>ROUND(VLOOKUP(AV21,HS_FR,IF(OR(S21=1,S21="1"),2,3))*IndW_N,2)</f>
        <v>#N/A</v>
      </c>
      <c r="FG21" s="15"/>
      <c r="FH21" s="15"/>
      <c r="FI21" s="15"/>
    </row>
    <row r="22" spans="1:252" s="445" customFormat="1">
      <c r="C22" s="448"/>
      <c r="Y22" s="2827" t="s">
        <v>5310</v>
      </c>
      <c r="AE22" s="1385"/>
      <c r="AF22" s="1385"/>
      <c r="AG22" s="1385"/>
      <c r="AH22" s="1385"/>
      <c r="AI22" s="1385"/>
      <c r="AJ22" s="1385"/>
      <c r="AK22" s="1385"/>
      <c r="AL22" s="1385"/>
      <c r="AM22" s="1385"/>
      <c r="AN22" s="1386"/>
      <c r="AO22" s="1386"/>
      <c r="AP22" s="1386"/>
      <c r="AQ22" s="1386"/>
      <c r="AR22" s="1386"/>
      <c r="AS22" s="1386"/>
      <c r="AT22" s="1386"/>
      <c r="AU22" s="1386"/>
      <c r="AV22" s="1387" t="s">
        <v>5045</v>
      </c>
      <c r="AW22" s="359">
        <f>IF(W22=1,0,(ROUND(AQ22/12*IndW_N1*U22,2)))+IF(AZ22&lt;0,AZ22,0)</f>
        <v>0</v>
      </c>
      <c r="AX22" s="1388" t="e">
        <f>ROUND(IF(W22=1,AV22*IndW,AV22*IndW_N)*U22,2)+IF(BA22&lt;0,BA22,0)</f>
        <v>#VALUE!</v>
      </c>
      <c r="AY22" s="1559">
        <f>IF(GE22="",0,IF(ISNA(VLOOKUP(F22,Zk_PrestAll,66,0)),0,VLOOKUP(F22,Zk_PrestAll,66,0)))-IF(ISNA(VLOOKUP(F22,Zk_PrestAll,67,0)),0,VLOOKUP(F22,Zk_PrestAll,67,0))</f>
        <v>0</v>
      </c>
      <c r="AZ22" s="249">
        <f>IF(OR(AY22=0,AY22="",W22=1),0,ROUND(AY22/12*IndDiffDec,2))</f>
        <v>0</v>
      </c>
      <c r="BA22" s="221">
        <f>IF(OR(AY22=0,AY22=""),0,ROUND(AY22/12*IF(W22=1,12*IndDiff,11*IndDiffNab),2))</f>
        <v>0</v>
      </c>
      <c r="BB22" s="300">
        <f>IF(AW22=0,0,ROUND(VLOOKUP(AQ22,HS_FR,IF(OR(S22=1,S22="1"),2,3))*IndW_N1/12,2))</f>
        <v>0</v>
      </c>
      <c r="BC22" s="1388" t="e">
        <f>ROUND(VLOOKUP(AV22,HS_FR,IF(OR(S22=1,S22="1"),2,3))*IndW_N,2)</f>
        <v>#N/A</v>
      </c>
      <c r="BD22" s="1552" t="e">
        <f>ROUND(U22*AV22*IndW,2)</f>
        <v>#VALUE!</v>
      </c>
      <c r="BE22" s="1244" t="str">
        <f>IF(OR(V22=5,GE22=""),"",IF(VLOOKUP(F22,Zk_PrestAll,59,0)&gt;1,"4/5s",IF(VLOOKUP(F22,Zk_PrestAll,60,0)&gt;1,"50%","")))</f>
        <v/>
      </c>
      <c r="BF22" s="249" t="str">
        <f>IF(AND(W22=2,BE22&lt;&gt;""),ROUND(VLOOKUP(BE22,Prest_supl,4,0),2),"")</f>
        <v/>
      </c>
      <c r="BG22" s="252" t="str">
        <f>IF(BE22&lt;&gt;"",ROUND(VLOOKUP(BE22,Prest_supl,IF(W22=2,5,3),0),2),"")</f>
        <v/>
      </c>
      <c r="BH22" s="1469"/>
      <c r="BI22" s="216" t="e">
        <f>ROUND((BD22+SUM(BN22:BO22))*0.92/12,2)</f>
        <v>#VALUE!</v>
      </c>
      <c r="BJ22" s="1469"/>
      <c r="BK22" s="1459">
        <f>ROUND(EjtAfaFix*U22,2)</f>
        <v>0</v>
      </c>
      <c r="BL22" s="260">
        <f>ROUND((GO22*PctVarAFA)+(IF(GN22&lt;=EJT_Min,EJT_Min,IF(GN22&gt;=EJT_Max,EJT_Max,GN22))),2)</f>
        <v>233.86</v>
      </c>
      <c r="BM22" s="214" t="str">
        <f>IF(J22="o6",VLOOKUP(F22,Zk_PrestAll,68,0),"")</f>
        <v/>
      </c>
      <c r="BN22" s="293" t="str">
        <f>IF(AND(W22=2,BM22&lt;&gt;""),VLOOKUP(MandatZPZ,Mandat,4,0),"")</f>
        <v/>
      </c>
      <c r="BO22" s="217" t="str">
        <f>IF(BM22&lt;&gt;"",VLOOKUP(MandatZPZ,Mandat,IF(W22=1,3,5),0),"")</f>
        <v/>
      </c>
      <c r="BP22" s="355" t="e">
        <f>AV22/1850*IndT_N1</f>
        <v>#VALUE!</v>
      </c>
      <c r="BQ22" s="217" t="e">
        <f>AV22/1850*IF(W22=1,IndW,IndW_N)</f>
        <v>#VALUE!</v>
      </c>
      <c r="BR22" s="1193">
        <f>IF(OR(V22=5,GE22=""),0,INT(VLOOKUP(F22,Zk_PrestAll,3,0)*HrPct))</f>
        <v>0</v>
      </c>
      <c r="BS22" s="249" t="str">
        <f>IF(OR(J22="06",BR22="",BR22=0),"",ROUND(BP22*INT(BR22/6),2))</f>
        <v/>
      </c>
      <c r="BT22" s="2042" t="str">
        <f>IF(OR(J22="06",BR22="",BR22=0),"",ROUND($BQ22*BR22,2))</f>
        <v/>
      </c>
      <c r="BU22" s="1195">
        <f>IF(OR(V22=5,GE22=""),0,INT(VLOOKUP(F22,Zk_PrestAll,4,0)*WEPct))</f>
        <v>0</v>
      </c>
      <c r="BV22" s="249" t="str">
        <f>IF(OR(J22="04",J22="05",J22="06",BU22="",BU22=0),"",ROUND(INT(BU22/12)*$BP22,2))</f>
        <v/>
      </c>
      <c r="BW22" s="2042" t="str">
        <f>IF(OR(J22="04",J22="05",J22="06",BU22="",BU22=0),"",ROUND(BU22*$BQ22,2))</f>
        <v/>
      </c>
      <c r="BX22" s="1195">
        <f>IF(OR(V22=5,GE22=""),0,INT(VLOOKUP(F22,Zk_PrestAll,5,0)+IF(GE22="",0,VLOOKUP(F22,Zk_PrestAll,6,0))*Noct1Pct))</f>
        <v>0</v>
      </c>
      <c r="BY22" s="249" t="str">
        <f>IF(OR(J22="04",J22="05",J22="06",BX22="",BX22=0),"",ROUND(INT(BX22/12)*$BP22*DA,2))</f>
        <v/>
      </c>
      <c r="BZ22" s="2042" t="str">
        <f>IF(OR(J22="04",J22="05",J22="06",BX22="",BX22=0),"",ROUND(BX22*$BQ22*DA,2))</f>
        <v/>
      </c>
      <c r="CA22" s="1195">
        <f>INT(IF(OR(V22=5,GE22=""),0,VLOOKUP(F22,Zk_PrestAll,7,0)*Noct2Pct))</f>
        <v>0</v>
      </c>
      <c r="CB22" s="249" t="str">
        <f>IF(OR(J22="04",J22="05",J22="06",CA22="",CA22=0),"",ROUND(INT(CA22/12)*$BP22*DB,2))</f>
        <v/>
      </c>
      <c r="CC22" s="2042" t="str">
        <f>IF(OR(J22="04",J22="05",J22="06",CA22="",CA22=0),"",ROUND(CA22*$BQ22*DB,2))</f>
        <v/>
      </c>
      <c r="CD22" s="1195">
        <f>IF(OR(V22=5,GE22=""),0,INT((VLOOKUP(F22,Zk_PrestAll,8,0)+VLOOKUP(F22,Zk_PrestAll,9,0)*15/24)*BT_CRPct))</f>
        <v>0</v>
      </c>
      <c r="CE22" s="249" t="str">
        <f>IF(OR(J22="06",J22="07",CD22="",CD22=0),"",ROUND(INT(CD22/12)*BP22/15,2))</f>
        <v/>
      </c>
      <c r="CF22" s="2042" t="str">
        <f>IF(OR(J22="06",J22="07",,CD22="",CD22=0),"",ROUND(CD22*BQ22/15,2))</f>
        <v/>
      </c>
      <c r="CG22" s="1195">
        <f>IF(OR(V22=5,GE22=""),0,VLOOKUP(F22,Zk_PrestAll,10,0))</f>
        <v>0</v>
      </c>
      <c r="CH22" s="249" t="str">
        <f>IF(OR(J22="o6",CG22="",CG22=0),"",ROUND(INT(CG22/12)*BP22*30%,2))</f>
        <v/>
      </c>
      <c r="CI22" s="2042" t="str">
        <f>IF(OR(J22="o6",CG22="",CG22=0),"",ROUND(CG22*BP22*30%,2))</f>
        <v/>
      </c>
      <c r="CJ22" s="1195" t="str">
        <f>IF(OR(V22=5,GE22=""),"",VLOOKUP(F22,Zk_PrestAll,12,0)+VLOOKUP(F22,Zk_PrestAll,13,0))</f>
        <v/>
      </c>
      <c r="CK22" s="249" t="str">
        <f>IF(OR(J22="o6",CJ22="",CJ22=0,X22="h"),"",ROUND(IF(W22=1,0,IndT_N1)*(INT(CJ22/12)),2))</f>
        <v/>
      </c>
      <c r="CL22" s="2042" t="str">
        <f>IF(OR(J22="o6",CJ22="",CJ22=0,X22="h"),"",ROUND(IndT*CJ22,2))</f>
        <v/>
      </c>
      <c r="CM22" s="1194" t="str">
        <f>IF(GE22="","",VLOOKUP(F22,Zk_PrestAll,14,0))</f>
        <v/>
      </c>
      <c r="CN22" s="1524" t="str">
        <f>IF(OR(CM22="",J22="p6",CM22=0,CM22=""),"",ROUND(CM22*1/12*IndDiffDec,2))</f>
        <v/>
      </c>
      <c r="CO22" s="2042" t="str">
        <f>IF(OR(CM22="",J22="p6",CM22=0,CM22=""),"",ROUND(CM22*IndDiff,2))</f>
        <v/>
      </c>
      <c r="CP22" s="1193">
        <f>IF(OR(V22=5,GE22=""),0,IF(OR(LEFT(GH22,4)="4009",DB22&lt;&gt;""),"",IF(GF22&lt;&gt;"",GF22,IF(AND(GH22&lt;&gt;"",VALUE(GG22)&gt;0),CONCATENATE(GH22,IF(VALUE(GG22)&lt;10,"0"&amp;GG22,GG22)),""))))</f>
        <v>0</v>
      </c>
      <c r="CQ22" s="293">
        <f>IF(CP22="","",ROUND(IF(LEN(CP22)&gt;2,INT(VALUE(RIGHT(CP22,2))/12)*VLOOKUP(LEFT(CP22,2),Ens_Ond,4,0),INT(CP22/12)*MentDec),2))</f>
        <v>0</v>
      </c>
      <c r="CR22" s="2042">
        <f>IF(CP22="","",ROUND(IF(LEN(CP22)&gt;2,(VALUE(RIGHT(CP22,2)))*VLOOKUP(LEFT(CP22,2),Ens_Ond,3,0),CP22*MentVoor),2))</f>
        <v>0</v>
      </c>
      <c r="CS22" s="305" t="str">
        <f>IF(OR(V22=5,ISNA(VLOOKUP(F22,Zk_PrestAll,23,0))),"",IF(VLOOKUP(F22,Zk_PrestAll,23,0)=0,"","Y"))</f>
        <v/>
      </c>
      <c r="CT22" s="249" t="str">
        <f>IF(AND(BM22="",CS22="Y",CX22="",EH22="",OR(X22="S",X22="H"),W22=2),ROUND(U22*TVDec,2),"")</f>
        <v/>
      </c>
      <c r="CU22" s="2042" t="str">
        <f>IF(AND(BM22="",CS22="Y",CX22="",EH22="",OR(X22="s",X22="H")),ROUND(U22*TVVoor,2),"")</f>
        <v/>
      </c>
      <c r="CV22" s="1193" t="str">
        <f>IF(OR(V22=5,GE22=""),"",CONCATENATE(IF(VLOOKUP(F22,Zk_PrestAll,24,0)=0,"","TP"),IF(VLOOKUP(F22,Zk_PrestAll,25,0)=0,"","UB")))</f>
        <v/>
      </c>
      <c r="CW22" s="249" t="str">
        <f>IF(OR(CV22="",BM22&lt;&gt;"",W22=1),"",ROUND(VLOOKUP(X22,IF(CV22="TP",Moto,Moto_T),4,0)*U22,2))</f>
        <v/>
      </c>
      <c r="CX22" s="2042" t="str">
        <f>IF(OR(CV22="",BM22&lt;&gt;""),"",ROUND(VLOOKUP(X22,IF(CV22="TP",Moto,Moto_T),3,0)*U22,2))</f>
        <v/>
      </c>
      <c r="CY22" s="305" t="str">
        <f>IF(GE22="","",IF(VLOOKUP(F22,Zk_PrestAll,55,0)=0,"",VLOOKUP(F22,Zk_PrestAll,55,0)))</f>
        <v/>
      </c>
      <c r="CZ22" s="249" t="str">
        <f>IF(OR(W22=1,CY22=""),"",ROUND(VLOOKUP(X22,MDAnCr,4,0)*U22,2))</f>
        <v/>
      </c>
      <c r="DA22" s="2042" t="str">
        <f>IF(CY22="","",ROUND(VLOOKUP(X22,MDAnCr,3,0)*U22,2))</f>
        <v/>
      </c>
      <c r="DB22" s="307" t="str">
        <f>IF(OR(V22=5,GE22=""),"",IF(VLOOKUP(F22,Zk_PrestAll,20,0)=0,"","Y"))</f>
        <v/>
      </c>
      <c r="DC22" s="328" t="str">
        <f>IF(AND(W22=2,DB22="y"),ROUND(InstrDec*U22,2),"")</f>
        <v/>
      </c>
      <c r="DD22" s="2042" t="str">
        <f>IF(DB22="y",ROUND(InstrVoor*U22,2),"")</f>
        <v/>
      </c>
      <c r="DE22" s="305" t="str">
        <f>IF(OR(V22=5,CS22="y",ISNA(VLOOKUP(F22,Zk_PrestAll,1,0))),"",CONCATENATE(IF(VLOOKUP(F22,Zk_PrestAll,26,0)=0,"","TY"),IF(VLOOKUP(F22,Zk_PrestAll,27,0)=0,"","UF")))</f>
        <v/>
      </c>
      <c r="DF22" s="249" t="str">
        <f>IF(OR(BM22&lt;&gt;"",DE22="",W22=1),"",(ROUND(IF(LEFT(DE22,2)="TY",TYDec,0)+IF(RIGHT(DE22,2)="UF",VLOOKUP(X22,Comp,4,0),0)*U22,2)))</f>
        <v/>
      </c>
      <c r="DG22" s="2042" t="str">
        <f>IF(OR(BM22&lt;&gt;"",DE22=""),"",ROUND((IF(LEFT(DE22,2)="TY",TYVoor,0)+IF(RIGHT(DE22,2)="UF",VLOOKUP(X22,Comp,IF(W22=1,3,5),0),0))*U22,2))</f>
        <v/>
      </c>
      <c r="DH22" s="305" t="str">
        <f>IF(OR(V22=5,BXL_YN="N",GE22=""),"",VALUE(VLOOKUP(F22,Zk_PrestAll,28,0)))</f>
        <v/>
      </c>
      <c r="DI22" s="249" t="str">
        <f>IF(OR(DH22="",W22=1),"",ROUND(IF(DH22&lt;=6,VLOOKUP(DH22,bxl,4,0),VLOOKUP(DH22,Bxl_N,3,1)),2))</f>
        <v/>
      </c>
      <c r="DJ22" s="2042" t="str">
        <f>IF(DH22="","",ROUND(IF(DH22&lt;=6,VLOOKUP(DH22,bxl,3,0),VLOOKUP(DH22,Bxl_N,2,1))*U22,2))</f>
        <v/>
      </c>
      <c r="DK22" s="309" t="str">
        <f>IF(OR(V22=5,GE22=""),"",IF(VLOOKUP(F22,Zk_PrestAll,29,0)=0,"","y"))</f>
        <v/>
      </c>
      <c r="DL22" s="293" t="str">
        <f>IF(AND(DK22="y",W22=2,OR(X22="S",X22="H",DI22&lt;&gt;"")),ROUND(UMdec*U22,2),"")</f>
        <v/>
      </c>
      <c r="DM22" s="2042" t="str">
        <f>IF(AND(DK22="Y",DJ22&gt;0),ROUND(UM*U22,2),"")</f>
        <v/>
      </c>
      <c r="DN22" s="1256" t="str">
        <f>IF(OR(V22=5,DO22=""),"",IF(VLOOKUP(F22,Zk_PrestAll,33,0)&gt;0,2,IF(VLOOKUP(F22,Zk_PrestAll,34,0)&gt;0,3,"old")))</f>
        <v/>
      </c>
      <c r="DO22" s="214" t="str">
        <f>IF(OR(V22=5,GE22=""),"",IF(VLOOKUP(F22,Zk_PrestAll,30,0)+VLOOKUP(F22,Zk_PrestAll,31,0)+VLOOKUP(F22,Zk_PrestAll,32,0)&gt;0,VLOOKUP(F22,Zk_PrestAll,30,0)+VLOOKUP(F22,Zk_PrestAll,31,0)+VLOOKUP(F22,Zk_PrestAll,32,0),IF(VLOOKUP(F22,Zk_PrestAll,33,0)&gt;0,VLOOKUP(F22,Zk_PrestAll,33,0),IF(VLOOKUP(F22,Zk_PrestAll,34,0)&gt;0,VLOOKUP(F22,Zk_PrestAll,34,0),""))))</f>
        <v/>
      </c>
      <c r="DP22" s="1257" t="str">
        <f>IF(OR(W22=1,DO22=""),"",ROUND(IF(DN22="old",(DO22/12*IndDiffDec),VLOOKUP(X22,BILN,4))*U22,2))</f>
        <v/>
      </c>
      <c r="DQ22" s="2042" t="str">
        <f>IF(DO22="","",ROUND(IF(DN22="old",DO22/12*11*IndDiff,VLOOKUP(X22,IF(DN22=3,APPROF,BILN),3))*U22,2))</f>
        <v/>
      </c>
      <c r="DR22" s="305" t="str">
        <f>IF(OR(V22=5,GE22=""),"",IF(VLOOKUP(F22,Zk_PrestAll,35,0)=0,"",VLOOKUP(F22,Zk_PrestAll,35,0)))</f>
        <v/>
      </c>
      <c r="DS22" s="249" t="str">
        <f>IF($DR22="","",IF($W22=1,0,ROUND(VLOOKUP($X22,BILAutre,4,0)*$U22,2)))</f>
        <v/>
      </c>
      <c r="DT22" s="2042" t="str">
        <f>IF($DR22="","",ROUND(VLOOKUP($X22,BILAutre,3,0)*$U22,2))</f>
        <v/>
      </c>
      <c r="DU22" s="2518" t="str">
        <f>IF(GE22="","",IF(VLOOKUP(F22,Zk_PrestAll,62,0)=0,"",VLOOKUP(F22,Zk_PrestAll,62,0)))</f>
        <v/>
      </c>
      <c r="DV22" s="249">
        <f>IF(OR(DU22="",$W22=1),0,ROUND(T_DirDec*$U22,2))</f>
        <v>0</v>
      </c>
      <c r="DW22" s="2850">
        <f>IF(DU22="",0,ROUND(T_DirPost*$U22,2))</f>
        <v>0</v>
      </c>
      <c r="DX22" s="305" t="str">
        <f>IF(OR(V22=5,GE22=""),"",-VLOOKUP(F22,Zk_PrestAll,56,0)+VLOOKUP(F22,Zk_PrestAll,65,0))</f>
        <v/>
      </c>
      <c r="DY22" s="249">
        <f>IF(OR(DX22=0,DX22="",W22=1),0,ROUND(DX22/12*IndDiffDec,2))</f>
        <v>0</v>
      </c>
      <c r="DZ22" s="2042">
        <f>IF(OR(DX22=0,DX22=""),0,ROUND(DX22/12*12*IndDiff,2))</f>
        <v>0</v>
      </c>
      <c r="EA22" s="388" t="str">
        <f>IF(V22=5,"","Y")</f>
        <v>Y</v>
      </c>
      <c r="EB22" s="249" t="str">
        <f>IF(AND(W22=2,EA22="Y"),ROUND(TenDec*U22,2),"")</f>
        <v/>
      </c>
      <c r="EC22" s="216">
        <f>IF(EA22="Y",ROUND(IF(W22=1,TenVoor,TenNab)*U22,2),"")</f>
        <v>0</v>
      </c>
      <c r="ED22" s="1461" t="str">
        <f>IF(OR(V22=5,ISNA(VLOOKUP(F22,Zk_PrestAll,58,0))),"",VLOOKUP(F22,Zk_PrestAll,58,0))</f>
        <v/>
      </c>
      <c r="EE22" s="249" t="str">
        <f>IF(OR(W22=1,ED22=0,ED22=""),"",ROUND(TfDec*U22,2))</f>
        <v/>
      </c>
      <c r="EF22" s="216" t="str">
        <f>IF(ED22="","",IF(VALUE(ED22)=0,"",ROUND(IF(W22=1,TFVoor,TfNab)*U22,2)))</f>
        <v/>
      </c>
      <c r="EG22" s="355" t="str">
        <f>IF(AND(BM22="",EI22="ME",W22=2),ROUND(EnqDec*U22,2),"")</f>
        <v/>
      </c>
      <c r="EH22" s="1425" t="str">
        <f>IF(AND(BM22="",EI22="ME"),ROUND(IF(W22=1,EnqVoor,EnqNab)*U22,2),"")</f>
        <v/>
      </c>
      <c r="EI22" s="1470" t="str">
        <f>IF(OR(V22=5,GE22=""),"",IF(VLOOKUP(F22,Zk_PrestAll,36,0)&gt;0,"ME",IF(VLOOKUP(F22,Zk_PrestAll,37,0)&gt;0,VLOOKUP(F22,Zk_PrestAll,37,0),"")))</f>
        <v/>
      </c>
      <c r="EJ22" s="249" t="str">
        <f>IF(OR(EI22="",EI22="ME",W22=1),"",ROUND(INT(EI22/12)*EnqJVoor,2))</f>
        <v/>
      </c>
      <c r="EK22" s="221" t="str">
        <f>IF(OR(EI22="",EI22="ME"),"",ROUND(IF(W22=1,EI22*EnqJVoor,(EI22-INT(EI22/12))*EnqJNab),2))</f>
        <v/>
      </c>
      <c r="EL22" s="313" t="str">
        <f>IF(GE22="","",VLOOKUP(F22,Zk_PrestAll,54,0))</f>
        <v/>
      </c>
      <c r="EM22" s="249" t="str">
        <f>IF(EL22="","",IF(W22=1,"",ROUND(EL22/12*IndDiffDec,2)))</f>
        <v/>
      </c>
      <c r="EN22" s="221" t="str">
        <f>IF(EL22="","",ROUND(EL22/12*11*IndDiffNab,2))</f>
        <v/>
      </c>
      <c r="EO22" s="313" t="str">
        <f>IF(OR(V22=5,GE22=""),"",VLOOKUP(F22,Zk_PrestAll,52,0))</f>
        <v/>
      </c>
      <c r="EP22" s="249" t="str">
        <f>IF(OR(EO22=0,EO22=""),"",INT(EO22/12)*IndKmDec)</f>
        <v/>
      </c>
      <c r="EQ22" s="2043" t="str">
        <f>IF(OR(EO22=0,EO22=""),"",(EO22*IndKmN))</f>
        <v/>
      </c>
      <c r="ER22" s="313" t="str">
        <f>IF(OR(V22=5,GE22=""),"",VLOOKUP(F22,Zk_PrestAll,53,0))</f>
        <v/>
      </c>
      <c r="ES22" s="249" t="str">
        <f>IF(OR(ER22="",ER22=0),"",ROUND(ER22/12*IndDiffDec,2))</f>
        <v/>
      </c>
      <c r="ET22" s="2043" t="str">
        <f>IF(OR(ER22="",ER22=0),"",ROUND(ER22*IndDiff,2))</f>
        <v/>
      </c>
      <c r="EU22" s="313">
        <f>IF(OR(V22=5,ISNA(VLOOKUP(GE22,Zk_PrestAll,1,0))),0,VLOOKUP(F22,Zk_PrestAll,50,0))</f>
        <v>0</v>
      </c>
      <c r="EV22" s="249">
        <f>ROUND(EU22/12*IndDiffDec,2)</f>
        <v>0</v>
      </c>
      <c r="EW22" s="2043">
        <f>ROUND(EU22*IndDiff,2)</f>
        <v>0</v>
      </c>
      <c r="EX22" s="2505" t="str">
        <f>IF(OR(V22=5,GE22=""),"",(IF(AND(NeutrNego="",ANNEE&gt;=2023),0+MntAnCR*U22,(IF(ANNEE=2022,VLOOKUP(F22,Zk_PrestAll,47,0)*IF(NeutrNego="",5/6,1)*IndW,VLOOKUP(F22,Zk_PrestAll,47,0)*IndW))+MntAnCR)))</f>
        <v/>
      </c>
      <c r="EY22" s="249" t="str">
        <f>IF(EX22="","",ROUND(EX22/12*IndW_N1,2))</f>
        <v/>
      </c>
      <c r="EZ22" s="2043" t="str">
        <f>IF(EX22="","",ROUND(EX22,2))</f>
        <v/>
      </c>
      <c r="FA22" s="313" t="str">
        <f>IF(OR(V22=5,GE20=""),"",(VLOOKUP(F22,Zk_PrestAll,48,0)*PctRepas)+VLOOKUP(F22,Zk_PrestAll,49,0))</f>
        <v/>
      </c>
      <c r="FB22" s="249" t="str">
        <f>IF(FA22="","",ROUND(FA22/12*IndDiffDec,2))</f>
        <v/>
      </c>
      <c r="FC22" s="2043" t="str">
        <f>IF(FA22="","",ROUND(FA22*IndDiff,2))</f>
        <v/>
      </c>
      <c r="FD22" s="313" t="str">
        <f>IF(OR(V22=5,GE22=""),"",VLOOKUP(F22,Zk_PrestAll,57,0)*PctRepas)</f>
        <v/>
      </c>
      <c r="FE22" s="249" t="str">
        <f>IF(FD22="","",ROUND(FD22/12*IndDiffDec,2))</f>
        <v/>
      </c>
      <c r="FF22" s="2043" t="str">
        <f>IF(FD22="","",ROUND(FD22*IndDiff,2))</f>
        <v/>
      </c>
      <c r="FG22" s="313"/>
      <c r="FH22" s="249">
        <f>IF(FG22="",0,FG22/12*IndW_N)</f>
        <v>0</v>
      </c>
      <c r="FI22" s="2043">
        <f>IF(FG22="",0,FG22*IndW)</f>
        <v>0</v>
      </c>
    </row>
    <row r="23" spans="1:252" s="961" customFormat="1">
      <c r="C23" s="962"/>
      <c r="Y23" s="2827" t="s">
        <v>5311</v>
      </c>
      <c r="AP23" s="2041"/>
      <c r="AQ23" s="2041"/>
      <c r="AR23" s="2041"/>
      <c r="AS23" s="2041"/>
      <c r="AT23" s="2041"/>
      <c r="AU23" s="2041"/>
      <c r="AV23" s="2822" t="s">
        <v>5305</v>
      </c>
      <c r="AW23" s="355"/>
      <c r="AX23" s="217">
        <f>ROUND(GW23*IndW*U23,2)+IF(BA23&lt;0,BA23,0)</f>
        <v>0</v>
      </c>
      <c r="AY23" s="1559">
        <f>IF(OR(V23=5,GE23=""),0,IF(ISNA(VLOOKUP(F23,Zk_PrestAll,66,0)),0,VLOOKUP(F23,Zk_PrestAll,66,0)))-IF(ISNA(VLOOKUP(F23,Zk_PrestAll,67,0)),0,VLOOKUP(F23,Zk_PrestAll,67,0))</f>
        <v>0</v>
      </c>
      <c r="AZ23" s="249"/>
      <c r="BA23" s="221">
        <f>IF(OR(AY23=0,AY23=""),0,ROUND(AY23*IndDiff,2))</f>
        <v>0</v>
      </c>
      <c r="BB23" s="300"/>
      <c r="BC23" s="221" t="e">
        <f>ROUND(VLOOKUP(AV23,HS_FR,IF(OR(S23=1,S23="1"),2,3))*IndW,2)</f>
        <v>#N/A</v>
      </c>
      <c r="BD23" s="1552" t="e">
        <f>ROUND(U23*AV23*IndW,2)</f>
        <v>#VALUE!</v>
      </c>
      <c r="BE23" s="1244" t="str">
        <f>IF(OR(V23=5,GE23=""),"",IF(VLOOKUP(F23,Zk_PrestAll,59,0)&gt;1,"4/5s",IF(VLOOKUP(F23,Zk_PrestAll,60,0)&gt;1,"50%","")))</f>
        <v/>
      </c>
      <c r="BF23" s="249"/>
      <c r="BG23" s="252" t="str">
        <f>IF(BE23&lt;&gt;"",ROUND(VLOOKUP(BE23,Prest_supl,3,0),2),"")</f>
        <v/>
      </c>
      <c r="BH23" s="1469"/>
      <c r="BI23" s="216" t="e">
        <f>ROUND((BD23+SUM(BN23:BO23))*0.92/12,2)</f>
        <v>#VALUE!</v>
      </c>
      <c r="BJ23" s="1469"/>
      <c r="BK23" s="1459">
        <f>ROUND(EjtAfaFix*U23,2)</f>
        <v>0</v>
      </c>
      <c r="BL23" s="260" t="e">
        <f>ROUND((GO23*PctVarAFA)+(IF(GN23&lt;=EJT_Min,EJT_Min,IF(GN23&gt;=EJT_Max,EJT_Max,GN23))),2)</f>
        <v>#VALUE!</v>
      </c>
      <c r="BM23" s="214" t="str">
        <f>IF(J23="o6",VLOOKUP(F23,Zk_PrestAll,68,0),"")</f>
        <v/>
      </c>
      <c r="BN23" s="293"/>
      <c r="BO23" s="217" t="str">
        <f>IF(BM23&lt;&gt;"",VLOOKUP(MandatZPZ,Mandat,3,0),"")</f>
        <v/>
      </c>
      <c r="BP23" s="355"/>
      <c r="BQ23" s="217" t="e">
        <f>AV23/1850*IndW</f>
        <v>#VALUE!</v>
      </c>
      <c r="BR23" s="1193">
        <f>IF(OR(V23=5,GE23=""),0,INT(VLOOKUP(F23,Zk_PrestAll,3,0)*HrPct))</f>
        <v>0</v>
      </c>
      <c r="BS23" s="249"/>
      <c r="BT23" s="216" t="str">
        <f>IF(OR(J23="06",BR23="",BR23=0),"",ROUND($BQ23*BR23,2))</f>
        <v/>
      </c>
      <c r="BU23" s="1195">
        <f>IF(OR(V23=5,GE23=""),0,INT(VLOOKUP(F23,Zk_PrestAll,4,0)*WEPct))</f>
        <v>0</v>
      </c>
      <c r="BV23" s="249"/>
      <c r="BW23" s="216" t="str">
        <f>IF(OR(J23="04",J23="05",J23="06",BU23="",BU23=0),"",ROUND(BU23*$BQ23,2))</f>
        <v/>
      </c>
      <c r="BX23" s="1195">
        <f>IF(OR(V23=5,GE23=""),0,INT(VLOOKUP(F23,Zk_PrestAll,5,0)+IF(GE23="",0,VLOOKUP(F23,Zk_PrestAll,6,0))*Noct1Pct))</f>
        <v>0</v>
      </c>
      <c r="BY23" s="249"/>
      <c r="BZ23" s="216" t="str">
        <f>IF(OR(J23="04",J23="05",J23="06",BX23="",BX23=0),"",ROUND(BX23*$BQ23*DA,2))</f>
        <v/>
      </c>
      <c r="CA23" s="1195">
        <f>INT(IF(OR(V23=5,GE23=""),0,VLOOKUP(F23,Zk_PrestAll,7,0)*Noct2Pct))</f>
        <v>0</v>
      </c>
      <c r="CB23" s="249"/>
      <c r="CC23" s="216" t="str">
        <f>IF(OR(J23="04",J23="05",J23="06",CA23="",CA23=0),"",ROUND(CA23*$BQ23*DB,2))</f>
        <v/>
      </c>
      <c r="CD23" s="1195">
        <f>IF(OR(V23=5,GE23=""),0,INT((VLOOKUP(F23,Zk_PrestAll,8,0)+VLOOKUP(F23,Zk_PrestAll,9,0)*15/24)*BT_CRPct))</f>
        <v>0</v>
      </c>
      <c r="CE23" s="249"/>
      <c r="CF23" s="216" t="str">
        <f>IF(OR(J23="06",J23="07",,CD23="",CD23=0),"",ROUND(CD23*BQ23/15,2))</f>
        <v/>
      </c>
      <c r="CG23" s="1195">
        <f>IF(OR(V23=5,GE23=""),0,VLOOKUP(F23,Zk_PrestAll,10,0))</f>
        <v>0</v>
      </c>
      <c r="CH23" s="249"/>
      <c r="CI23" s="216" t="str">
        <f>IF(OR(J23="o6",CG23="",CG23=0),"",ROUND(CG23*BP23*30%,2))</f>
        <v/>
      </c>
      <c r="CJ23" s="1195" t="str">
        <f>IF(OR(V23=5,GE23=""),"",VLOOKUP(F23,Zk_PrestAll,12,0)+VLOOKUP(F23,Zk_PrestAll,13,0))</f>
        <v/>
      </c>
      <c r="CK23" s="249"/>
      <c r="CL23" s="216" t="str">
        <f>IF(OR(J23="o6",CJ23="",CJ23=0,X23="h"),"",ROUND(IndT*CJ23,2))</f>
        <v/>
      </c>
      <c r="CM23" s="1194" t="str">
        <f>IF(GE23="","",VLOOKUP(F23,Zk_PrestAll,14,0))</f>
        <v/>
      </c>
      <c r="CN23" s="1524"/>
      <c r="CO23" s="217" t="str">
        <f>IF(OR(CM23="",J23="p6",CM23=0,CM23=""),"",ROUND(CM23*IndDiff,2))</f>
        <v/>
      </c>
      <c r="CP23" s="1193">
        <f>IF(OR(V23=5,GE23=""),0,IF(OR(LEFT(GH23,4)="4009",DB23&lt;&gt;""),"",IF(GF23&lt;&gt;"",GF23,IF(AND(GH23&lt;&gt;"",VALUE(GG23)&gt;0),CONCATENATE(GH23,IF(VALUE(GG23)&lt;10,"0"&amp;GG23,GG23)),""))))</f>
        <v>0</v>
      </c>
      <c r="CQ23" s="293"/>
      <c r="CR23" s="217">
        <f>IF(CP23="","",ROUND(IF(LEN(CP23)&gt;2,(VALUE(RIGHT(CP23,2)))*VLOOKUP(LEFT(CP23,2),Ens_Ond,3,0),CP23*MentVoor),2))</f>
        <v>0</v>
      </c>
      <c r="CS23" s="305" t="str">
        <f>IF(OR(GR23=0,V23=5,ISNA(VLOOKUP(F23,Zk_PrestAll,23,0))),"",IF(VLOOKUP(F23,Zk_PrestAll,23,0)=0,"","Y"))</f>
        <v/>
      </c>
      <c r="CT23" s="249"/>
      <c r="CU23" s="216" t="str">
        <f>IF(AND(BM23="",CS23="Y",CX23="",EH23="",OR(X23="s",X23="H")),ROUND(U23*TVVoor,2),"")</f>
        <v/>
      </c>
      <c r="CV23" s="1193" t="str">
        <f>IF(OR(GR23=0,V23=5,GE23=""),"",CONCATENATE(IF(VLOOKUP(F23,Zk_PrestAll,24,0)=0,"","TP"),IF(VLOOKUP(F23,Zk_PrestAll,25,0)=0,"","UB")))</f>
        <v/>
      </c>
      <c r="CW23" s="249"/>
      <c r="CX23" s="216" t="str">
        <f>IF(OR(CV23="",BM23&lt;&gt;""),"",ROUND(VLOOKUP(X23,IF(CV23="TP",Moto,Moto_T),3,0)*U23,2))</f>
        <v/>
      </c>
      <c r="CY23" s="305" t="str">
        <f>IF(OR(GR23=0,GE23=""),"",IF(VLOOKUP(F23,Zk_PrestAll,55,0)=0,"",VLOOKUP(F23,Zk_PrestAll,55,0)))</f>
        <v/>
      </c>
      <c r="CZ23" s="249"/>
      <c r="DA23" s="216" t="str">
        <f>IF(CY23="","",ROUND(VLOOKUP(X23,MDAnCr,3,0)*U23,2))</f>
        <v/>
      </c>
      <c r="DB23" s="307" t="str">
        <f>IF(OR(V23=5,GR23=0,GE23=""),"",IF(VLOOKUP(F23,Zk_PrestAll,20,0)=0,"","Y"))</f>
        <v/>
      </c>
      <c r="DC23" s="328"/>
      <c r="DD23" s="322" t="str">
        <f>IF(DB23="y",ROUND(InstrVoor*U23,2),"")</f>
        <v/>
      </c>
      <c r="DE23" s="305" t="str">
        <f>IF(OR(V23=5,CS23="y",ISNA(VLOOKUP(F23,Zk_PrestAll,1,0))),"",CONCATENATE(IF(VLOOKUP(F23,Zk_PrestAll,26,0)=0,"","TY"),IF(VLOOKUP(F23,Zk_PrestAll,27,0)=0,"","UF")))</f>
        <v/>
      </c>
      <c r="DF23" s="249"/>
      <c r="DG23" s="216" t="str">
        <f>IF(OR(BM23&lt;&gt;"",DE23=""),"",ROUND((IF(LEFT(DE23,2)="TY",IF(W23=1,TYVoor,TYNab),0)+IF(RIGHT(DE23,2)="UF",VLOOKUP(X23,Comp,3,0),0))*U23,2))</f>
        <v/>
      </c>
      <c r="DH23" s="305" t="str">
        <f>IF(OR(V23=5,BXL_YN="N",GE23=""),"",VALUE(VLOOKUP(F23,Zk_PrestAll,28,0)))</f>
        <v/>
      </c>
      <c r="DI23" s="249"/>
      <c r="DJ23" s="216" t="str">
        <f>IF(DH23="","",ROUND(IF(DH23&lt;=6,VLOOKUP(DH23,bxl,3,0),VLOOKUP(DH23,Bxl_N,2,1))*U23,2))</f>
        <v/>
      </c>
      <c r="DK23" s="309" t="str">
        <f>IF(OR(V23=5,GE23=""),"",IF(VLOOKUP(F23,Zk_PrestAll,29,0)=0,"","y"))</f>
        <v/>
      </c>
      <c r="DL23" s="293"/>
      <c r="DM23" s="326" t="str">
        <f>IF(AND(DK23="Y",DJ23&gt;0),ROUND(UM*U23,2),"")</f>
        <v/>
      </c>
      <c r="DN23" s="1256" t="str">
        <f>IF(OR(V23=5,DO23=""),"",IF(VLOOKUP(F23,Zk_PrestAll,33,0)&gt;0,2,IF(VLOOKUP(F23,Zk_PrestAll,34,0)&gt;0,3,"old")))</f>
        <v/>
      </c>
      <c r="DO23" s="214" t="str">
        <f>IF(OR(V23=5,GE23=""),"",IF(VLOOKUP(F23,Zk_PrestAll,30,0)+VLOOKUP(F23,Zk_PrestAll,31,0)+VLOOKUP(F23,Zk_PrestAll,32,0)&gt;0,VLOOKUP(F23,Zk_PrestAll,30,0)+VLOOKUP(F23,Zk_PrestAll,31,0)+VLOOKUP(F23,Zk_PrestAll,32,0),IF(VLOOKUP(F23,Zk_PrestAll,33,0)&gt;0,VLOOKUP(F23,Zk_PrestAll,33,0),IF(VLOOKUP(F23,Zk_PrestAll,34,0)&gt;0,VLOOKUP(F23,Zk_PrestAll,34,0),""))))</f>
        <v/>
      </c>
      <c r="DP23" s="1257"/>
      <c r="DQ23" s="1258" t="str">
        <f>IF(DO23="","",ROUND(IF(DN23="old",DO23*IndDiff,VLOOKUP(X23,IF(DN23=3,APPROF,BILN),3))*U23,2))</f>
        <v/>
      </c>
      <c r="DR23" s="305" t="str">
        <f>IF(OR(V23=5,GE23=""),"",IF(VLOOKUP(F23,Zk_PrestAll,35,0)=0,"",VLOOKUP(F23,Zk_PrestAll,35,0)))</f>
        <v/>
      </c>
      <c r="DS23" s="249"/>
      <c r="DT23" s="216" t="str">
        <f>IF($DR23="","",ROUND(VLOOKUP($X23,BILAutre,3,0)*$U23,2))</f>
        <v/>
      </c>
      <c r="DU23" s="2518" t="str">
        <f>IF(GE23="","",IF(VLOOKUP(F23,Zk_PrestAll,62,0)=0,"",VLOOKUP(F23,Zk_PrestAll,62,0)))</f>
        <v/>
      </c>
      <c r="DV23" s="249"/>
      <c r="DW23" s="221" t="str">
        <f>IF(DU23="","",ROUND(T_DirPost*$U23,2))</f>
        <v/>
      </c>
      <c r="DX23" s="305" t="str">
        <f>IF(OR(V23=5,GE23=""),"",-VLOOKUP(F23,Zk_PrestAll,56,0)+VLOOKUP(F23,Zk_PrestAll,65,0))</f>
        <v/>
      </c>
      <c r="DY23" s="249"/>
      <c r="DZ23" s="221">
        <f>IF(OR(DX23=0,DX23=""),0,ROUND(DX23*IndDiff,2))</f>
        <v>0</v>
      </c>
      <c r="EA23" s="388" t="str">
        <f>IF(V23=5,"","Y")</f>
        <v>Y</v>
      </c>
      <c r="EB23" s="249"/>
      <c r="EC23" s="216">
        <f>IF(EA23="Y",ROUND(TenVoor*U23,2),"")</f>
        <v>0</v>
      </c>
      <c r="ED23" s="1461" t="str">
        <f>IF(OR(V23=5,ISNA(VLOOKUP(F23,Zk_PrestAll,58,0))),"",VLOOKUP(F23,Zk_PrestAll,58,0))</f>
        <v/>
      </c>
      <c r="EE23" s="249"/>
      <c r="EF23" s="216" t="str">
        <f>IF(ED23="","",IF(VALUE(ED23)=0,"",ROUND(TFVoor*U23,2)))</f>
        <v/>
      </c>
      <c r="EG23" s="355"/>
      <c r="EH23" s="1425" t="str">
        <f>IF(AND(BM23="",EI23="ME"),ROUND(EnqVoor*U23,2),"")</f>
        <v/>
      </c>
      <c r="EI23" s="1470" t="str">
        <f>IF(OR(GR23=0,V23=5,GE23=""),"",IF(VLOOKUP(F23,Zk_PrestAll,36,0)&gt;0,"ME",IF(VLOOKUP(F23,Zk_PrestAll,37,0)&gt;0,VLOOKUP(F23,Zk_PrestAll,37,0),"")))</f>
        <v/>
      </c>
      <c r="EJ23" s="249"/>
      <c r="EK23" s="221" t="str">
        <f>IF(OR(EI23="",EI23="ME"),"",ROUND(EI23*EnqJVoor,2))</f>
        <v/>
      </c>
      <c r="EL23" s="313" t="str">
        <f>IF(GE23="","",VLOOKUP(F23,Zk_PrestAll,54,0))</f>
        <v/>
      </c>
      <c r="EM23" s="249"/>
      <c r="EN23" s="221" t="str">
        <f>IF(EL23="","",ROUND(EL23*IndDiff,2))</f>
        <v/>
      </c>
      <c r="EO23" s="313" t="str">
        <f>IF(OR(V23=5,GE23=""),"",VLOOKUP(F23,Zk_PrestAll,52,0))</f>
        <v/>
      </c>
      <c r="EP23" s="249"/>
      <c r="EQ23" s="216" t="str">
        <f>IF(OR(EO23=0,EO23=""),"",(EO23*IndKmN))</f>
        <v/>
      </c>
      <c r="ER23" s="313" t="str">
        <f>IF(OR(V23=5,GE23=""),"",VLOOKUP(F23,Zk_PrestAll,53,0))</f>
        <v/>
      </c>
      <c r="ES23" s="249"/>
      <c r="ET23" s="216" t="str">
        <f>IF(OR(ER23="",ER23=0),"",ROUND(ER23*IndDiff,2))</f>
        <v/>
      </c>
      <c r="EU23" s="313">
        <f>IF(OR(V23=5,ISNA(VLOOKUP(GE23,Zk_PrestAll,1,0))),0,VLOOKUP(F23,Zk_PrestAll,50,0))</f>
        <v>0</v>
      </c>
      <c r="EV23" s="249"/>
      <c r="EW23" s="216">
        <f>ROUND(EU23*IndDiff,2)</f>
        <v>0</v>
      </c>
      <c r="EX23" s="2505" t="str">
        <f>IF(OR(V23=5,GE23=""),"",(IF(AND(NeutrNego="",ANNEE&gt;=2023),0,VLOOKUP(F23,Zk_PrestAll,47,0)*IF(NeutrNego="",5/6,1)*IndW)))</f>
        <v/>
      </c>
      <c r="EY23" s="249"/>
      <c r="EZ23" s="221" t="str">
        <f>IF(EX23="","",ROUND(EX23*U23,2))</f>
        <v/>
      </c>
      <c r="FA23" s="313" t="str">
        <f>IF(OR(V23=5,GE23=""),"",(VLOOKUP(F23,Zk_PrestAll,48,0)*IF(ANNEE&gt;=2023,0,10/12))+VLOOKUP(F23,Zk_PrestAll,49,0))</f>
        <v/>
      </c>
      <c r="FB23" s="249"/>
      <c r="FC23" s="221" t="str">
        <f>IF(FA23="","",ROUND(FA23*IndDiff,2))</f>
        <v/>
      </c>
      <c r="FD23" s="313" t="str">
        <f>IF(OR(V23=5,GE23=""),"",VLOOKUP(F23,Zk_PrestAll,57,0)*IF(ANNEE&gt;=2023,0,IF(NeutrNego="",10/12,1)))</f>
        <v/>
      </c>
      <c r="FE23" s="249"/>
      <c r="FF23" s="221" t="str">
        <f>IF(FD23="","",IF(ANNEE&gt;2022,0,ROUND(FD23*IndDiff,2)))</f>
        <v/>
      </c>
      <c r="FG23" s="313"/>
      <c r="FH23" s="249"/>
      <c r="FI23" s="216">
        <f>IF(FG23="",0,FG23)*IndW</f>
        <v>0</v>
      </c>
      <c r="FJ23" s="1435" t="e">
        <f>ROUND(($AW23+IF(V23&lt;&gt;1,BB23,0)+IF($BF23="",0,$BF23)+IF($BN23="",0,$BN23)+$FW23)*VLOOKUP(V23,ChPatBdr,3),2)</f>
        <v>#N/A</v>
      </c>
      <c r="FK23" s="216" t="e">
        <f>ROUND(($AX23+IF(V23&lt;&gt;1,BC23,0)+IF($BG23="",0,$BG23)+IF($BO23="",0,$BO23)+FV23+$FX23)*VLOOKUP(V23,ChPatBdr,3),2)</f>
        <v>#N/A</v>
      </c>
      <c r="FL23" s="1268">
        <f>ROUND(($AW23+IF(AZ23&lt;0,0,AZ23)+IF(V23=1,0,BB23)+IF($BF23="",0,$BF23)+IF($BN23="",0,$BN23))*IF(V23=1,PatPensX_1,0),2)</f>
        <v>0</v>
      </c>
      <c r="FM23" s="1655" t="e">
        <f>ROUND(($AX23+IF(BA23&lt;0,0,BA23)+IF(V23&lt;&gt;1,BC23,0)+IF($BG23="",0,$BG23)+IF($BO23="",0,$BO23))*VLOOKUP(V23,ChPatBdr,2),2)</f>
        <v>#N/A</v>
      </c>
      <c r="FN23" s="1268" t="e">
        <f>ROUND(GA23*VLOOKUP(V23,ChPatBdr,3),2)</f>
        <v>#N/A</v>
      </c>
      <c r="FO23" s="1655" t="e">
        <f>ROUND(GB23*VLOOKUP(V23,ChPatBdr,3),2)</f>
        <v>#N/A</v>
      </c>
      <c r="FP23" s="1268" t="e">
        <f>ROUND((AW23+IF(BN23="",0,BN23)+FW23+GA23+GC23+BB23+IF(BF23="",0,BF23)+IF(PatrATAO="",0,FJ23+FL23+FN23))*IF(GJ23="Empl",ArbO_Bed,ArbO_Ops),2)*IF(V23=5,0,1)</f>
        <v>#N/A</v>
      </c>
      <c r="FQ23" s="1656" t="e">
        <f>ROUND((AX23+IF(BO23="",0,BO23)+FX23+GB23+GD23+SUM(BI23:BL23,BC23)+IF(BG23="",0,BG23)+IF(PatrATAO="",0,FK23+FM23+FO23))*IF(GJ23="empl",ArbO_Bed,ArbO_Ops),2)*IF(V23=5,0,1)</f>
        <v>#VALUE!</v>
      </c>
      <c r="FR23" s="249">
        <f>ROUND((AW23+IF(BN23="",0,BN23)+FW23+GA23)*PctSvSocDst,2)</f>
        <v>0</v>
      </c>
      <c r="FS23" s="216">
        <f>ROUND((AX23+IF(BO23="",0,BO23)+FX23+GB23)*PctSvSocDst,2)</f>
        <v>0</v>
      </c>
      <c r="FT23" s="1657" t="e">
        <f>AW23+BB23+IF(BF23="",0,BF23)+BH23+BJ23+IF(BN23="",0,BN23)+FJ23+FL23+FN23+FR23+FP23+FW23+GA23+GC23</f>
        <v>#N/A</v>
      </c>
      <c r="FU23" s="1658" t="e">
        <f>AX23+BC23+IF(BG23="",0,BG23)+BI23+BK23+BL23+IF(BO23="",0,BO23)+FK23+FM23+FO23+FS23+FQ23+FX23+GB23+GD23</f>
        <v>#N/A</v>
      </c>
      <c r="FV23" s="242">
        <f>ROUND(EjtAfaPat*U23,2)</f>
        <v>0</v>
      </c>
      <c r="FW23" s="2522">
        <f>IF(AZ23&lt;0,0,AZ23)+IF(CT23="",0,CT23)+IF(CW23="",0,CW23)+IF(CZ23="",0,CZ23)+IF(DC23="",0,DC23)+IF(DF23="",0,DF23)+IF(DI23="",0,DI23)+IF(DL23="",0,DL23)+IF(DP23="",0,DP23)+IF(DS23="",0,DS23)+IF(DV23="",0,DV23)+IF(DY23="",0,DY23)</f>
        <v>0</v>
      </c>
      <c r="FX23" s="2523">
        <f>IF(BA23&lt;0,0,BA23)+IF(CU23="",0,CU23)+IF(CX23="",0,CX23)+IF(DA23="",0,DA23)+IF(DD23="",0,DD23)+IF(DG23="",0,DG23)+IF(DJ23="",0,DJ23)+IF(DM23="",0,DM23)+IF(DQ23="",0,DQ23)+IF(DT23="",0,DT23)+IF(DW23="",0,DW23)+IF(DZ23="",0,DZ23)</f>
        <v>0</v>
      </c>
      <c r="FY23" s="336" t="e">
        <f>ROUND((FW23+IF(BN23="",0,BN23)+GA23)*VLOOKUP(V23,ChPatBdr,4),2)</f>
        <v>#N/A</v>
      </c>
      <c r="FZ23" s="223" t="e">
        <f>ROUND((FX23+IF(BO23="",0,BO23)+FV23+GB23)*VLOOKUP(V23,ChPatBdr,4),2)</f>
        <v>#N/A</v>
      </c>
      <c r="GA23" s="338">
        <f>IF(BS23="",0,BS23)+IF(BV23="",0,BV23)+IF(BY23="",0,BY23)+IF(CB23="",0,CB23)+IF(CE23="",0,CE23)+IF(CH23="",0,CH23)+IF(CK23="",0,CK23)+IF(CN23="",0,CN23)+IF(CQ23="",0,CQ23)</f>
        <v>0</v>
      </c>
      <c r="GB23" s="204">
        <f>IF(BT23="",0,BT23)+IF(BW23="",0,BW23)+IF(BZ23="",0,BZ23)+IF(CC23="",0,CC23)+IF(CF23="",0,CF23)+IF(CI23="",0,CI23)+IF(CL23="",0,CL23)+IF(CO23="",0,CO23)+IF(CR23="",0,CR23)</f>
        <v>0</v>
      </c>
      <c r="GC23" s="339">
        <f>IF(EB23="",0,EB23)+IF(EE23="",0,EE23)+IF(EG23="",0,EG23)+IF(EJ23="",0,EJ23)+IF(EM23="",0,EM23)+IF(EP23="",0,EP23)+IF(ES23="",0,ES23)+IF(EV23="",0,EV23)+IF(EY23="",0,EY23)+IF(FB23="",0,FB23)+IF(FE23="",0,FE23)+IF(FH23="",0,FH23)</f>
        <v>0</v>
      </c>
      <c r="GD23" s="342">
        <f>IF(EC23="",0,EC23)+IF(EF23="",0,EF23)+IF(EH23="",0,EH23)+IF(EK23="",0,EK23)+IF(EN23="",0,EN23)+IF(EQ23="",0,EQ23)+IF(ET23="",0,ET23)+IF(EW23="",0,EW23)+IF(EZ23="",0,EZ23)+IF(FC23="",0,FC23)+IF(FF23="",0,FF23)+IF(FI23="",0,FI23)</f>
        <v>0</v>
      </c>
      <c r="GE23" s="199" t="str">
        <f>IF(ISNA(VLOOKUP(F23,Zk_PrestAll,1,0)),"",VLOOKUP(F23,Zk_PrestAll,1,0))</f>
        <v/>
      </c>
      <c r="GF23" s="199" t="e">
        <f>IF(OR(GE23="",VLOOKUP(F23,Zk_PrestAll,15,0)=0),"",VLOOKUP(F23,Zk_PrestAll,15,0))</f>
        <v>#N/A</v>
      </c>
      <c r="GG23" s="199" t="str">
        <f>IF(GE23="","",CONCATENATE(IF(VLOOKUP(F23,Zk_PrestAll,17,0)=0,0,VLOOKUP(F23,Zk_PrestAll,17,0))+IF(VLOOKUP(F23,Zk_PrestAll,18,0)=0,0,VLOOKUP(F23,Zk_PrestAll,18,0))+IF(VLOOKUP(F23,Zk_PrestAll,19,0)=0,0,VLOOKUP(F23,Zk_PrestAll,19,0))+IF(VLOOKUP(F23,Zk_PrestAll,19,0)=0,0,VLOOKUP(F23,Zk_PrestAll,21,0))))</f>
        <v/>
      </c>
      <c r="GH23" s="199" t="str">
        <f>IF(F23="","",CONCATENATE(IF(VLOOKUP(F23,Zk_PrestAll,21,0)=0,"","DB"),IF(VALUE(VLOOKUP(F23,Zk_PrestAll,17,0))=0,"","CU"),IF(VLOOKUP(F23,Zk_PrestAll,18,0)=0,"","CV"),IF(VLOOKUP(F23,Zk_PrestAll,19,0)=0,"","CW"),IF(VLOOKUP(F23,Zk_PrestAll,20,0)=0,"","4009"),IF(GF23="","","Ment")))</f>
        <v/>
      </c>
      <c r="GI23" s="199" t="e">
        <f>IF(VALUE(GG23)&gt;99,"max=99",IF(AND(RIGHT(CP23,2)="4009",SUM(BR23+BU23+BX23+CA23+CD23)&gt;0),"Cumul ECA interdit - ou statut O7",""))</f>
        <v>#VALUE!</v>
      </c>
      <c r="GJ23" s="199" t="str">
        <f>IF((BR23+BU23+BX23+CA23+CD23+CG23+IF(CJ23="",0,CJ23))=0,"Empl",1)</f>
        <v>Empl</v>
      </c>
      <c r="GK23" s="199" t="str">
        <f>LEFT(F23,9)</f>
        <v/>
      </c>
      <c r="GL23" s="49">
        <f>IF(ISERROR(VALUE(R23)),3,VALUE(R23))</f>
        <v>0</v>
      </c>
      <c r="GM23" s="28" t="e">
        <f>(FT23+FU23-(GA23+GB23+GC23+(GD23+(IF(EB23="",0,EB23)+IF(EC23="",0,EC23)+IF(EE23="",0,EE23)+IF(EF23="",0,EF23)+IF(EG23="",0,EG23)+IF(EH23="",0,EH23)+IF(EM23="",0,EM23)+IF(EN23="",0,EN23)))))/(38*52)</f>
        <v>#N/A</v>
      </c>
      <c r="GN23" s="28" t="e">
        <f>ROUND(GO23/12*AFApct2/IndW*IndW_N1,2)</f>
        <v>#VALUE!</v>
      </c>
      <c r="GO23" s="322" t="e">
        <f>SUM(BD23,BB23:BC23,BF23:BG23,BN23:BO23)*U23</f>
        <v>#VALUE!</v>
      </c>
      <c r="GP23" s="1190" t="e">
        <f>DATE(VALUE(LEFT(I23,4)+VLOOKUP(X23,DatPensOps,2,0)),VALUE(MID(I23,5,2))+1,1)</f>
        <v>#VALUE!</v>
      </c>
      <c r="GQ23" s="1190" t="e">
        <f>DATE(VALUE(LEFT(I23,4)+VLOOKUP(X23,DatPensOps,3,0)),VALUE(MID(I23,5,2))+1,1)</f>
        <v>#VALUE!</v>
      </c>
      <c r="GR23" t="str">
        <f>IF(L23="","",IF(VALUE(LEFT(L23,6))&lt;=DatStop19Toel,1,0))</f>
        <v/>
      </c>
      <c r="GS23" s="49"/>
      <c r="GT23" s="49"/>
      <c r="GU23" s="49"/>
    </row>
    <row r="24" spans="1:252" s="961" customFormat="1">
      <c r="C24" s="962"/>
      <c r="CK24" t="s">
        <v>4337</v>
      </c>
      <c r="CL24" t="e">
        <f>ROUND(INT(CK24/12)*MentDec,2)</f>
        <v>#VALUE!</v>
      </c>
      <c r="CM24" t="e">
        <f>ROUND(CK24-INT(CK24/12)*IF(W21=1,MentVoor,MentNab),2)</f>
        <v>#VALUE!</v>
      </c>
    </row>
    <row r="25" spans="1:252" s="961" customFormat="1">
      <c r="C25" s="962"/>
    </row>
    <row r="26" spans="1:252" s="961" customFormat="1">
      <c r="C26" s="962"/>
      <c r="BW26" s="963"/>
    </row>
    <row r="27" spans="1:252" s="961" customFormat="1">
      <c r="A27" s="961" t="s">
        <v>3883</v>
      </c>
      <c r="C27" s="962"/>
      <c r="F27" s="961" t="s">
        <v>2649</v>
      </c>
      <c r="BH27" s="961" t="s">
        <v>2649</v>
      </c>
      <c r="BV27" s="963"/>
      <c r="BW27" s="963"/>
    </row>
    <row r="28" spans="1:252" s="15" customFormat="1" ht="11.25">
      <c r="A28" s="1040" t="e">
        <f>A27+1</f>
        <v>#VALUE!</v>
      </c>
      <c r="B28" s="1041" t="e">
        <f>VLOOKUP($A28,T_Ops,20,0)</f>
        <v>#VALUE!</v>
      </c>
      <c r="C28" s="1042" t="e">
        <f>VALUE(VLOOKUP($A28,T_Ops,C$2,0))</f>
        <v>#VALUE!</v>
      </c>
      <c r="D28" s="1043" t="s">
        <v>646</v>
      </c>
      <c r="E28" s="1716" t="e">
        <f t="shared" ref="E28:L28" si="2">VLOOKUP($A28,T_Ops,E$2,0)</f>
        <v>#VALUE!</v>
      </c>
      <c r="F28" s="1592" t="e">
        <f t="shared" si="2"/>
        <v>#VALUE!</v>
      </c>
      <c r="G28" s="1045" t="e">
        <f>IF(VLOOKUP($A28,T_Ops,G$2,0)&lt;0,0,VLOOKUP($A28,T_Ops,G$2,0))</f>
        <v>#VALUE!</v>
      </c>
      <c r="H28" s="1046" t="e">
        <f t="shared" si="2"/>
        <v>#VALUE!</v>
      </c>
      <c r="I28" s="1046" t="e">
        <f t="shared" si="2"/>
        <v>#VALUE!</v>
      </c>
      <c r="J28" s="1046" t="e">
        <f t="shared" si="2"/>
        <v>#VALUE!</v>
      </c>
      <c r="K28" s="1046" t="e">
        <f t="shared" si="2"/>
        <v>#VALUE!</v>
      </c>
      <c r="L28" s="1046" t="e">
        <f t="shared" si="2"/>
        <v>#VALUE!</v>
      </c>
      <c r="M28" s="1047"/>
      <c r="N28" s="1046" t="e">
        <f t="shared" ref="N28:U28" si="3">VLOOKUP($A28,T_Ops,N$2,0)</f>
        <v>#VALUE!</v>
      </c>
      <c r="O28" s="1046" t="e">
        <f>VLOOKUP($A28,T_Ops,O$2,0)</f>
        <v>#VALUE!</v>
      </c>
      <c r="P28" s="1046" t="e">
        <f t="shared" si="3"/>
        <v>#VALUE!</v>
      </c>
      <c r="Q28" s="1046" t="e">
        <f t="shared" si="3"/>
        <v>#VALUE!</v>
      </c>
      <c r="R28" s="1046" t="e">
        <f>VLOOKUP($A28,T_Ops,R$2,0)</f>
        <v>#VALUE!</v>
      </c>
      <c r="S28" s="1046" t="e">
        <f t="shared" si="3"/>
        <v>#VALUE!</v>
      </c>
      <c r="T28" s="1046" t="e">
        <f t="shared" si="3"/>
        <v>#VALUE!</v>
      </c>
      <c r="U28" s="1046" t="e">
        <f t="shared" si="3"/>
        <v>#VALUE!</v>
      </c>
      <c r="V28" s="1046" t="e">
        <f>VLOOKUP($A28,T_Ops,V$2,0)</f>
        <v>#VALUE!</v>
      </c>
      <c r="W28" s="1047"/>
      <c r="X28" s="1047"/>
      <c r="Y28" s="2564" t="e">
        <f t="shared" ref="Y28:AI28" si="4">VLOOKUP($A28,T_Ops,Y$2,0)</f>
        <v>#VALUE!</v>
      </c>
      <c r="Z28" s="1046" t="e">
        <f t="shared" si="4"/>
        <v>#VALUE!</v>
      </c>
      <c r="AA28" s="1046" t="e">
        <f t="shared" si="4"/>
        <v>#VALUE!</v>
      </c>
      <c r="AB28" s="1046" t="e">
        <f t="shared" si="4"/>
        <v>#VALUE!</v>
      </c>
      <c r="AC28" s="1046" t="e">
        <f t="shared" si="4"/>
        <v>#VALUE!</v>
      </c>
      <c r="AD28" s="1046" t="e">
        <f t="shared" si="4"/>
        <v>#VALUE!</v>
      </c>
      <c r="AE28" s="1046" t="e">
        <f t="shared" si="4"/>
        <v>#VALUE!</v>
      </c>
      <c r="AF28" s="1046" t="e">
        <f t="shared" si="4"/>
        <v>#VALUE!</v>
      </c>
      <c r="AG28" s="1046" t="e">
        <f t="shared" si="4"/>
        <v>#VALUE!</v>
      </c>
      <c r="AH28" s="1046" t="e">
        <f t="shared" si="4"/>
        <v>#VALUE!</v>
      </c>
      <c r="AI28" s="1046" t="e">
        <f t="shared" si="4"/>
        <v>#VALUE!</v>
      </c>
      <c r="AJ28" s="1048"/>
      <c r="AK28" s="1049" t="e">
        <f t="shared" ref="AK28:BB28" si="5">VLOOKUP($A28,T_Ops,AK$2,0)</f>
        <v>#VALUE!</v>
      </c>
      <c r="AL28" s="1046" t="e">
        <f t="shared" si="5"/>
        <v>#VALUE!</v>
      </c>
      <c r="AM28" s="1046" t="e">
        <f t="shared" si="5"/>
        <v>#VALUE!</v>
      </c>
      <c r="AN28" s="1046" t="e">
        <f t="shared" si="5"/>
        <v>#VALUE!</v>
      </c>
      <c r="AO28" s="1046" t="e">
        <f t="shared" si="5"/>
        <v>#VALUE!</v>
      </c>
      <c r="AP28" s="1046" t="e">
        <f t="shared" si="5"/>
        <v>#VALUE!</v>
      </c>
      <c r="AQ28" s="1046" t="e">
        <f t="shared" si="5"/>
        <v>#VALUE!</v>
      </c>
      <c r="AR28" s="1046" t="e">
        <f t="shared" si="5"/>
        <v>#VALUE!</v>
      </c>
      <c r="AS28" s="1046" t="e">
        <f t="shared" si="5"/>
        <v>#VALUE!</v>
      </c>
      <c r="AT28" s="1046" t="e">
        <f t="shared" si="5"/>
        <v>#VALUE!</v>
      </c>
      <c r="AU28" s="1046" t="e">
        <f t="shared" si="5"/>
        <v>#VALUE!</v>
      </c>
      <c r="AV28" s="1046" t="e">
        <f t="shared" si="5"/>
        <v>#VALUE!</v>
      </c>
      <c r="AW28" s="1046" t="e">
        <f t="shared" si="5"/>
        <v>#VALUE!</v>
      </c>
      <c r="AX28" s="1589" t="e">
        <f t="shared" si="5"/>
        <v>#VALUE!</v>
      </c>
      <c r="AY28" s="1046" t="e">
        <f t="shared" si="5"/>
        <v>#VALUE!</v>
      </c>
      <c r="AZ28" s="1765" t="e">
        <f t="shared" si="5"/>
        <v>#VALUE!</v>
      </c>
      <c r="BA28" s="1046" t="e">
        <f t="shared" si="5"/>
        <v>#VALUE!</v>
      </c>
      <c r="BB28" s="1049" t="e">
        <f t="shared" si="5"/>
        <v>#VALUE!</v>
      </c>
      <c r="BC28" s="1785" t="e">
        <f>SUM(F28:BB28)</f>
        <v>#VALUE!</v>
      </c>
      <c r="BD28" s="1045" t="e">
        <f>IF(F28="",0,F28)+IF(H28="",0,H28)+IF(J28="",0,J28)+G28</f>
        <v>#VALUE!</v>
      </c>
      <c r="BE28" s="1045" t="e">
        <f>IF(I28="",0,I28)</f>
        <v>#VALUE!</v>
      </c>
      <c r="BF28" s="1045" t="e">
        <f>IF(N28="",0,N28)+IF(O28="",0,O28)+IF(P28="",0,P28)+IF(Q28="",0,Q28)+IF(R28="",0,R28)+IF(S28="",0,S28)+IF(T28="",0,T28)+IF(U28="",0,U28)+IF(V28="",0,V28)+IF(Y28="",0,Y28)+IF(LEFT($Z$1,6)="111-01",IF(Z28="",0,Z28),0)</f>
        <v>#VALUE!</v>
      </c>
      <c r="BG28" s="1045" t="e">
        <f>L28+K28</f>
        <v>#VALUE!</v>
      </c>
      <c r="BH28" s="1045" t="e">
        <f>IF(AA28="",0,AA28)+IF(AB28="",0,AB28)+IF(AC28="",0,AC28)+IF(AD28="",0,AD28)+IF(AE28="",0,AE28)+IF(AF28="",0,AF28)+IF(AG28="",0,AG28)+IF(AH28="",0,AH28)+IF(AI28="",0,AI28)</f>
        <v>#VALUE!</v>
      </c>
      <c r="BI28" s="1069" t="e">
        <f>AK28</f>
        <v>#VALUE!</v>
      </c>
      <c r="BJ28" s="1591" t="e">
        <f>AX28</f>
        <v>#VALUE!</v>
      </c>
      <c r="BK28" s="1045" t="e">
        <f>AY28</f>
        <v>#VALUE!</v>
      </c>
      <c r="BL28" s="1764" t="e">
        <f>AZ28</f>
        <v>#VALUE!</v>
      </c>
      <c r="BM28" s="1069" t="e">
        <f>IF(AL28="",0,AL28)+IF(AM28="",0,AM28)</f>
        <v>#VALUE!</v>
      </c>
      <c r="BN28" s="2568" t="e">
        <f>BA28</f>
        <v>#VALUE!</v>
      </c>
      <c r="BO28" s="1069" t="e">
        <f>BB28</f>
        <v>#VALUE!</v>
      </c>
      <c r="BP28" s="1079" t="e">
        <f>AN28</f>
        <v>#VALUE!</v>
      </c>
      <c r="BQ28" s="1079" t="e">
        <f>AO28</f>
        <v>#VALUE!</v>
      </c>
      <c r="BR28" s="1069" t="e">
        <f>SUM(AP28:AW28)</f>
        <v>#VALUE!</v>
      </c>
      <c r="BS28" s="1785" t="e">
        <f>SUM(BD28:BR28)</f>
        <v>#VALUE!</v>
      </c>
      <c r="BT28" s="2569" t="e">
        <f>VLOOKUP($A28,T_Ops,BT$2,0)</f>
        <v>#VALUE!</v>
      </c>
      <c r="BU28" s="55" t="e">
        <f>IF(OR(BS28&lt;&gt;BC28,ROUND(BS28-BV28,2)&lt;&gt;0),(BS28+BV28)-(2*BC28),"")</f>
        <v>#VALUE!</v>
      </c>
      <c r="BV28" s="2570" t="e">
        <f>VLOOKUP($A28,T_Ops,BV$2,0)</f>
        <v>#VALUE!</v>
      </c>
      <c r="BW28" s="1050"/>
    </row>
    <row r="29" spans="1:252" s="416" customFormat="1">
      <c r="C29" s="551"/>
      <c r="BV29" s="963"/>
      <c r="BW29" s="963"/>
    </row>
    <row r="30" spans="1:252" s="416" customFormat="1">
      <c r="A30" s="416" t="s">
        <v>3884</v>
      </c>
      <c r="C30" s="551"/>
      <c r="F30" s="416" t="s">
        <v>2650</v>
      </c>
      <c r="BH30" s="416" t="s">
        <v>2652</v>
      </c>
      <c r="BV30" s="963"/>
      <c r="BW30" s="963"/>
    </row>
    <row r="31" spans="1:252" s="15" customFormat="1" ht="11.25">
      <c r="A31" s="1040"/>
      <c r="B31" s="1041" t="e">
        <f>VLOOKUP($A31,T_Calog,20,0)</f>
        <v>#N/A</v>
      </c>
      <c r="C31" s="1042" t="e">
        <f>VALUE(VLOOKUP($A31,T_Calog,C$3,0))</f>
        <v>#N/A</v>
      </c>
      <c r="D31" s="1043" t="s">
        <v>4355</v>
      </c>
      <c r="E31" s="1716" t="e">
        <f t="shared" ref="E31:L31" si="6">VLOOKUP($A31,T_Calog,E$3,0)</f>
        <v>#N/A</v>
      </c>
      <c r="F31" s="1592" t="e">
        <f t="shared" si="6"/>
        <v>#N/A</v>
      </c>
      <c r="G31" s="1045" t="e">
        <f>IF(VLOOKUP($A31,T_Calog,G$3,0)&lt;0,0,VLOOKUP($A31,T_Calog,G$3,0))</f>
        <v>#N/A</v>
      </c>
      <c r="H31" s="1062"/>
      <c r="I31" s="1045" t="e">
        <f t="shared" si="6"/>
        <v>#N/A</v>
      </c>
      <c r="J31" s="1045" t="e">
        <f>VLOOKUP($A31,T_Calog,J$3,0)</f>
        <v>#N/A</v>
      </c>
      <c r="K31" s="1045" t="e">
        <f t="shared" si="6"/>
        <v>#N/A</v>
      </c>
      <c r="L31" s="1045" t="e">
        <f t="shared" si="6"/>
        <v>#N/A</v>
      </c>
      <c r="M31" s="1045" t="e">
        <f>VLOOKUP($A31,T_Calog,M$3,0)</f>
        <v>#N/A</v>
      </c>
      <c r="N31" s="1062"/>
      <c r="O31" s="1062"/>
      <c r="P31" s="1045" t="e">
        <f>VLOOKUP($A31,T_Calog,P$3,0)</f>
        <v>#N/A</v>
      </c>
      <c r="Q31" s="1062"/>
      <c r="R31" s="1062"/>
      <c r="S31" s="1045" t="e">
        <f>VLOOKUP($A31,T_Calog,S$3,0)</f>
        <v>#N/A</v>
      </c>
      <c r="T31" s="1063"/>
      <c r="U31" s="1045" t="e">
        <f t="shared" ref="U31:AE31" si="7">VLOOKUP($A31,T_Calog,U$3,0)</f>
        <v>#N/A</v>
      </c>
      <c r="V31" s="1045" t="e">
        <f t="shared" si="7"/>
        <v>#N/A</v>
      </c>
      <c r="W31" s="1045" t="e">
        <f t="shared" si="7"/>
        <v>#N/A</v>
      </c>
      <c r="X31" s="1045" t="e">
        <f t="shared" si="7"/>
        <v>#N/A</v>
      </c>
      <c r="Y31" s="2565" t="e">
        <f>VLOOKUP($A31,T_Calog,Y$3,0)</f>
        <v>#N/A</v>
      </c>
      <c r="Z31" s="1045" t="e">
        <f>VLOOKUP($A31,T_Calog,Z$3,0)</f>
        <v>#N/A</v>
      </c>
      <c r="AA31" s="1045" t="e">
        <f t="shared" si="7"/>
        <v>#N/A</v>
      </c>
      <c r="AB31" s="1045" t="e">
        <f t="shared" si="7"/>
        <v>#N/A</v>
      </c>
      <c r="AC31" s="1045" t="e">
        <f t="shared" si="7"/>
        <v>#N/A</v>
      </c>
      <c r="AD31" s="1045" t="e">
        <f t="shared" si="7"/>
        <v>#N/A</v>
      </c>
      <c r="AE31" s="1045" t="e">
        <f t="shared" si="7"/>
        <v>#N/A</v>
      </c>
      <c r="AF31" s="1062"/>
      <c r="AG31" s="1062"/>
      <c r="AH31" s="1062"/>
      <c r="AI31" s="1045" t="e">
        <f t="shared" ref="AI31:AN31" si="8">VLOOKUP($A31,T_Calog,AI$3,0)</f>
        <v>#N/A</v>
      </c>
      <c r="AJ31" s="1045" t="e">
        <f t="shared" si="8"/>
        <v>#N/A</v>
      </c>
      <c r="AK31" s="1045" t="e">
        <f t="shared" si="8"/>
        <v>#N/A</v>
      </c>
      <c r="AL31" s="1045" t="e">
        <f t="shared" si="8"/>
        <v>#N/A</v>
      </c>
      <c r="AM31" s="1045" t="e">
        <f t="shared" si="8"/>
        <v>#N/A</v>
      </c>
      <c r="AN31" s="1045" t="e">
        <f t="shared" si="8"/>
        <v>#N/A</v>
      </c>
      <c r="AO31" s="1062"/>
      <c r="AP31" s="1045" t="e">
        <f>VLOOKUP($A31,T_Calog,AP$3,0)</f>
        <v>#N/A</v>
      </c>
      <c r="AQ31" s="1062"/>
      <c r="AR31" s="1062"/>
      <c r="AS31" s="1063"/>
      <c r="AT31" s="1045" t="e">
        <f t="shared" ref="AT31:BB31" si="9">VLOOKUP($A31,T_Calog,AT$3,0)</f>
        <v>#N/A</v>
      </c>
      <c r="AU31" s="1045" t="e">
        <f t="shared" si="9"/>
        <v>#N/A</v>
      </c>
      <c r="AV31" s="1045" t="e">
        <f t="shared" si="9"/>
        <v>#N/A</v>
      </c>
      <c r="AW31" s="1045" t="e">
        <f t="shared" si="9"/>
        <v>#N/A</v>
      </c>
      <c r="AX31" s="1591" t="e">
        <f t="shared" si="9"/>
        <v>#N/A</v>
      </c>
      <c r="AY31" s="1045" t="e">
        <f t="shared" si="9"/>
        <v>#N/A</v>
      </c>
      <c r="AZ31" s="1764" t="e">
        <f t="shared" si="9"/>
        <v>#N/A</v>
      </c>
      <c r="BA31" s="1045" t="e">
        <f t="shared" si="9"/>
        <v>#N/A</v>
      </c>
      <c r="BB31" s="1069" t="e">
        <f t="shared" si="9"/>
        <v>#N/A</v>
      </c>
      <c r="BC31" s="1785" t="e">
        <f>SUM(E31:BB31)</f>
        <v>#N/A</v>
      </c>
      <c r="BD31" s="1045" t="e">
        <f>IF(F31="",0,F31)+G31+IF(H31="",0,H31)+IF(J31="",0,J31)</f>
        <v>#N/A</v>
      </c>
      <c r="BE31" s="1045" t="e">
        <f>IF(I31="",0,I31)</f>
        <v>#N/A</v>
      </c>
      <c r="BF31" s="1045" t="e">
        <f>IF(M31="",0,M31)+IF(P31="",0,P31)+IF(S31="",0,S31)+IF(U31="",0,U31)+IF(V31="",0,V31)+IF(W31="",0,W31)+IF(X31="",0,X31)+IF(Y31="",0,Y31)+IF(LEFT($Z$1,6)="111-01",IF(Z31="",0,Z31),0)</f>
        <v>#N/A</v>
      </c>
      <c r="BG31" s="1045" t="e">
        <f>L31+K31</f>
        <v>#N/A</v>
      </c>
      <c r="BH31" s="1045" t="e">
        <f>IF(AA31="",0,AA31)+IF(AB31="",0,AB31)+IF(AC31="",0,AC31)+IF(AD31="",0,AD31)+IF(AE31="",0,AE31)+IF(AF31="",0,AF31)+IF(AG31="",0,AG31)+IF(AH31="",0,AH31)+IF(AI31="",0,AI31)+IF(AJ31="",0,AJ31)</f>
        <v>#N/A</v>
      </c>
      <c r="BI31" s="1069" t="e">
        <f>AK31</f>
        <v>#N/A</v>
      </c>
      <c r="BJ31" s="1591" t="e">
        <f>AX31</f>
        <v>#N/A</v>
      </c>
      <c r="BK31" s="1045" t="e">
        <f>AY31</f>
        <v>#N/A</v>
      </c>
      <c r="BL31" s="1764" t="e">
        <f>AZ31</f>
        <v>#N/A</v>
      </c>
      <c r="BM31" s="1069" t="e">
        <f>IF(AL31="",0,AL31)+IF(AM31="",0,AM31)</f>
        <v>#N/A</v>
      </c>
      <c r="BN31" s="2568" t="e">
        <f>BA31</f>
        <v>#N/A</v>
      </c>
      <c r="BO31" s="1069" t="e">
        <f>BB31</f>
        <v>#N/A</v>
      </c>
      <c r="BP31" s="1079" t="e">
        <f>AN31</f>
        <v>#N/A</v>
      </c>
      <c r="BQ31" s="1084"/>
      <c r="BR31" s="1069" t="e">
        <f>SUM(AP31:AW31)</f>
        <v>#N/A</v>
      </c>
      <c r="BS31" s="1785" t="e">
        <f>SUM(BD31:BR31)</f>
        <v>#N/A</v>
      </c>
      <c r="BT31" s="2569" t="e">
        <f>VLOOKUP($A31,T_Calog,BT$3,0)</f>
        <v>#N/A</v>
      </c>
      <c r="BU31" s="55" t="e">
        <f>IF(OR(BS31="",BC31-BS31&lt;0.01),"",CONCATENATE("error ",ROUND(BC31-BS31,2)))</f>
        <v>#N/A</v>
      </c>
      <c r="BV31" s="2570" t="e">
        <f>VLOOKUP($A31,T_Calog,BV$3,0)</f>
        <v>#N/A</v>
      </c>
      <c r="BW31" s="55"/>
      <c r="BX31" s="55"/>
      <c r="BY31" s="55"/>
      <c r="BZ31" s="55"/>
      <c r="CA31" s="55"/>
      <c r="CB31" s="55"/>
      <c r="CC31" s="55"/>
      <c r="CD31" s="55"/>
      <c r="CE31" s="55"/>
      <c r="CF31" s="55"/>
      <c r="CG31" s="1064"/>
      <c r="CH31" s="55"/>
      <c r="CI31" s="1064"/>
      <c r="CJ31" s="1064"/>
      <c r="CK31" s="55"/>
      <c r="CL31" s="55"/>
      <c r="CM31" s="55"/>
      <c r="CN31" s="1059"/>
      <c r="CO31" s="55"/>
      <c r="CP31" s="55"/>
      <c r="CQ31" s="55"/>
      <c r="CR31" s="55"/>
      <c r="CS31" s="55"/>
      <c r="CT31" s="55"/>
      <c r="CU31" s="55"/>
      <c r="CV31" s="55"/>
      <c r="CW31" s="55"/>
      <c r="CX31" s="55"/>
      <c r="CY31" s="55"/>
      <c r="CZ31" s="55"/>
      <c r="DA31" s="1059"/>
    </row>
    <row r="32" spans="1:252" s="416" customFormat="1">
      <c r="A32" s="415"/>
      <c r="B32" s="415"/>
      <c r="C32" s="415"/>
      <c r="D32" s="415"/>
      <c r="E32" s="415"/>
      <c r="F32" s="415"/>
      <c r="G32" s="415"/>
      <c r="H32" s="415"/>
      <c r="I32" s="415"/>
      <c r="J32" s="415"/>
      <c r="K32" s="415"/>
      <c r="L32" s="415"/>
      <c r="M32" s="415"/>
      <c r="N32" s="415"/>
      <c r="O32" s="415"/>
      <c r="P32" s="415"/>
      <c r="Q32" s="415"/>
      <c r="R32" s="415"/>
      <c r="S32" s="415"/>
      <c r="T32" s="415"/>
      <c r="U32" s="415"/>
      <c r="V32" s="415"/>
      <c r="W32" s="415"/>
      <c r="X32" s="415"/>
      <c r="Y32" s="415"/>
      <c r="Z32" s="415"/>
      <c r="AA32" s="415"/>
      <c r="AB32" s="415"/>
      <c r="AC32" s="415"/>
      <c r="AD32" s="415"/>
      <c r="AE32" s="415"/>
      <c r="AF32" s="415"/>
      <c r="AG32" s="415"/>
      <c r="AH32" s="415"/>
      <c r="AI32" s="415"/>
      <c r="AJ32" s="415"/>
      <c r="AK32" s="415"/>
      <c r="AL32" s="415"/>
      <c r="AM32" s="415"/>
      <c r="AN32" s="415"/>
      <c r="AO32" s="415"/>
      <c r="AP32" s="415"/>
      <c r="AQ32" s="415"/>
      <c r="AR32" s="415"/>
      <c r="AS32" s="415"/>
      <c r="AT32" s="415"/>
      <c r="AU32" s="415"/>
      <c r="AV32" s="415"/>
      <c r="AW32" s="415"/>
      <c r="AX32" s="415"/>
      <c r="AY32" s="415"/>
      <c r="AZ32" s="415"/>
      <c r="BA32" s="415"/>
      <c r="BV32" s="963"/>
      <c r="BW32" s="963"/>
    </row>
    <row r="33" spans="1:105" s="416" customFormat="1">
      <c r="A33" s="416" t="s">
        <v>676</v>
      </c>
      <c r="C33" s="551"/>
      <c r="F33" s="416" t="s">
        <v>2651</v>
      </c>
      <c r="BH33" s="416" t="s">
        <v>2651</v>
      </c>
      <c r="BV33" s="963"/>
      <c r="BW33" s="963"/>
    </row>
    <row r="34" spans="1:105" s="15" customFormat="1">
      <c r="A34" s="1060"/>
      <c r="B34" s="1061" t="e">
        <f>VLOOKUP($A34,T_Calog,20,0)</f>
        <v>#N/A</v>
      </c>
      <c r="C34" s="1042" t="e">
        <f>VALUE(VLOOKUP($A34,T_Calog,C$3,0))</f>
        <v>#N/A</v>
      </c>
      <c r="D34" s="1043" t="s">
        <v>40</v>
      </c>
      <c r="E34" s="1716" t="e">
        <f t="shared" ref="E34:L34" si="10">VLOOKUP($A34,T_Calog,E$3,0)</f>
        <v>#N/A</v>
      </c>
      <c r="F34" s="1592" t="e">
        <f t="shared" si="10"/>
        <v>#N/A</v>
      </c>
      <c r="G34" s="1045" t="e">
        <f>IF(VLOOKUP($A34,T_Calog,G$3,0)&lt;0,0,VLOOKUP($A34,T_Calog,G$3,0))</f>
        <v>#N/A</v>
      </c>
      <c r="H34" s="1062"/>
      <c r="I34" s="1045" t="e">
        <f t="shared" si="10"/>
        <v>#N/A</v>
      </c>
      <c r="J34" s="1045" t="e">
        <f>VLOOKUP($A34,T_Calog,J$3,0)</f>
        <v>#N/A</v>
      </c>
      <c r="K34" s="1045" t="e">
        <f t="shared" si="10"/>
        <v>#N/A</v>
      </c>
      <c r="L34" s="1045" t="e">
        <f t="shared" si="10"/>
        <v>#N/A</v>
      </c>
      <c r="M34" s="1045" t="e">
        <f>VLOOKUP($A34,T_Calog,M$3,0)</f>
        <v>#N/A</v>
      </c>
      <c r="N34" s="1062"/>
      <c r="O34" s="1062"/>
      <c r="P34" s="1045" t="e">
        <f>VLOOKUP($A34,T_Calog,P$3,0)</f>
        <v>#N/A</v>
      </c>
      <c r="Q34" s="1062"/>
      <c r="R34" s="1062"/>
      <c r="S34" s="1045" t="e">
        <f>VLOOKUP($A34,T_Calog,S$3,0)</f>
        <v>#N/A</v>
      </c>
      <c r="T34" s="1063"/>
      <c r="U34" s="1045" t="e">
        <f t="shared" ref="U34:AE34" si="11">VLOOKUP($A34,T_Calog,U$3,0)</f>
        <v>#N/A</v>
      </c>
      <c r="V34" s="1045" t="e">
        <f t="shared" si="11"/>
        <v>#N/A</v>
      </c>
      <c r="W34" s="1062"/>
      <c r="X34" s="1062"/>
      <c r="Y34" s="1062"/>
      <c r="Z34" s="1045" t="e">
        <f>VLOOKUP($A34,T_Calog,Z$3,0)</f>
        <v>#N/A</v>
      </c>
      <c r="AA34" s="1045" t="e">
        <f t="shared" si="11"/>
        <v>#N/A</v>
      </c>
      <c r="AB34" s="1045" t="e">
        <f t="shared" si="11"/>
        <v>#N/A</v>
      </c>
      <c r="AC34" s="1045" t="e">
        <f t="shared" si="11"/>
        <v>#N/A</v>
      </c>
      <c r="AD34" s="1045" t="e">
        <f t="shared" si="11"/>
        <v>#N/A</v>
      </c>
      <c r="AE34" s="1045" t="e">
        <f t="shared" si="11"/>
        <v>#N/A</v>
      </c>
      <c r="AF34" s="1062"/>
      <c r="AG34" s="1062"/>
      <c r="AH34" s="1062"/>
      <c r="AI34" s="1045" t="e">
        <f t="shared" ref="AI34:AN34" si="12">VLOOKUP($A34,T_Calog,AI$3,0)</f>
        <v>#N/A</v>
      </c>
      <c r="AJ34" s="1045" t="e">
        <f t="shared" si="12"/>
        <v>#N/A</v>
      </c>
      <c r="AK34" s="1069" t="e">
        <f t="shared" si="12"/>
        <v>#N/A</v>
      </c>
      <c r="AL34" s="1045" t="e">
        <f t="shared" si="12"/>
        <v>#N/A</v>
      </c>
      <c r="AM34" s="1045" t="e">
        <f t="shared" si="12"/>
        <v>#N/A</v>
      </c>
      <c r="AN34" s="1045" t="e">
        <f t="shared" si="12"/>
        <v>#N/A</v>
      </c>
      <c r="AO34" s="1062"/>
      <c r="AP34" s="1045" t="e">
        <f>VLOOKUP($A34,T_Calog,AP$3,0)</f>
        <v>#N/A</v>
      </c>
      <c r="AQ34" s="1062"/>
      <c r="AR34" s="1062"/>
      <c r="AS34" s="1063"/>
      <c r="AT34" s="1045" t="e">
        <f t="shared" ref="AT34:BB34" si="13">VLOOKUP($A34,T_Calog,AT$3,0)</f>
        <v>#N/A</v>
      </c>
      <c r="AU34" s="1045" t="e">
        <f t="shared" si="13"/>
        <v>#N/A</v>
      </c>
      <c r="AV34" s="1045" t="e">
        <f t="shared" si="13"/>
        <v>#N/A</v>
      </c>
      <c r="AW34" s="1045" t="e">
        <f t="shared" si="13"/>
        <v>#N/A</v>
      </c>
      <c r="AX34" s="1591" t="e">
        <f t="shared" si="13"/>
        <v>#N/A</v>
      </c>
      <c r="AY34" s="487"/>
      <c r="AZ34" s="1764" t="e">
        <f t="shared" si="13"/>
        <v>#N/A</v>
      </c>
      <c r="BA34" s="1045" t="e">
        <f t="shared" si="13"/>
        <v>#N/A</v>
      </c>
      <c r="BB34" s="1069" t="e">
        <f t="shared" si="13"/>
        <v>#N/A</v>
      </c>
      <c r="BC34" s="1785" t="e">
        <f>SUM(E34:BB34)</f>
        <v>#N/A</v>
      </c>
      <c r="BD34" s="1045" t="e">
        <f>IF(F34="",0,F34)+G34+IF(H34="",0,H34)+IF(J34="",0,J34)</f>
        <v>#N/A</v>
      </c>
      <c r="BE34" s="1045" t="e">
        <f>IF(I34="",0,I34)</f>
        <v>#N/A</v>
      </c>
      <c r="BF34" s="1045" t="e">
        <f>IF(M34="",0,M34)+IF(P34="",0,P34)+IF(S34="",0,S34)+IF(U34="",0,U34)+IF(V34="",0,V34)+IF(W34="",0,W34)+IF(X34="",0,X34)+IF(Y34="",0,Y34)+IF(LEFT($Z$1,6)="111-01",IF(Z34="",0,Z34),0)</f>
        <v>#N/A</v>
      </c>
      <c r="BG34" s="1045" t="e">
        <f>L34+K34</f>
        <v>#N/A</v>
      </c>
      <c r="BH34" s="1045" t="e">
        <f>IF(AA34="",0,AA34)+IF(AB34="",0,AB34)+IF(AC34="",0,AC34)+IF(AD34="",0,AD34)+IF(AE34="",0,AE34)+IF(AF34="",0,AF34)+IF(AG34="",0,AG34)+IF(AH34="",0,AH34)+IF(AI34="",0,AI34)+IF(AJ34="",0,AJ34)</f>
        <v>#N/A</v>
      </c>
      <c r="BI34" s="1069" t="e">
        <f>AK34</f>
        <v>#N/A</v>
      </c>
      <c r="BJ34" s="1591" t="e">
        <f>AX34</f>
        <v>#N/A</v>
      </c>
      <c r="BK34" s="487"/>
      <c r="BL34" s="1764" t="e">
        <f>AZ34</f>
        <v>#N/A</v>
      </c>
      <c r="BM34" s="1069" t="e">
        <f>IF(AL34="",0,AL34)+IF(AM34="",0,AM34)</f>
        <v>#N/A</v>
      </c>
      <c r="BN34" s="2568" t="e">
        <f>BA34</f>
        <v>#N/A</v>
      </c>
      <c r="BO34" s="1069" t="e">
        <f>BB34</f>
        <v>#N/A</v>
      </c>
      <c r="BP34" s="1079" t="e">
        <f>AN34</f>
        <v>#N/A</v>
      </c>
      <c r="BQ34" s="1084"/>
      <c r="BR34" s="1069" t="e">
        <f>SUM(AP34:AW34)</f>
        <v>#N/A</v>
      </c>
      <c r="BS34" s="1785" t="e">
        <f>SUM(BD34:BR34)</f>
        <v>#N/A</v>
      </c>
      <c r="BT34" s="2569" t="e">
        <f>VLOOKUP($A34,T_Calog,BT$3,0)</f>
        <v>#N/A</v>
      </c>
      <c r="BU34" s="55" t="e">
        <f>IF(OR(BS34="",BC34-BS34&lt;0.01),"",CONCATENATE("error ",ROUND(BC34-BS34,2)))</f>
        <v>#N/A</v>
      </c>
      <c r="BV34" s="2570" t="e">
        <f>VLOOKUP($A34,T_Calog,BV$3,0)</f>
        <v>#N/A</v>
      </c>
    </row>
    <row r="36" spans="1:105">
      <c r="A36" s="963">
        <v>70</v>
      </c>
      <c r="B36" s="963">
        <v>69</v>
      </c>
      <c r="C36" s="963">
        <v>68</v>
      </c>
      <c r="D36" s="963">
        <v>67</v>
      </c>
      <c r="E36" s="963">
        <v>66</v>
      </c>
      <c r="F36" s="963">
        <v>65</v>
      </c>
      <c r="G36" s="963">
        <v>64</v>
      </c>
      <c r="H36" s="963">
        <v>63</v>
      </c>
      <c r="I36" s="963">
        <v>62</v>
      </c>
      <c r="J36" s="963">
        <v>61</v>
      </c>
      <c r="K36" s="963">
        <v>60</v>
      </c>
      <c r="L36" s="963">
        <v>59</v>
      </c>
      <c r="M36" s="963">
        <v>58</v>
      </c>
      <c r="N36" s="963">
        <v>57</v>
      </c>
      <c r="P36" s="963">
        <v>56</v>
      </c>
      <c r="Q36" s="963">
        <v>55</v>
      </c>
      <c r="R36" s="963">
        <v>54</v>
      </c>
      <c r="S36" s="963">
        <v>53</v>
      </c>
      <c r="T36" s="963">
        <v>52</v>
      </c>
      <c r="U36" s="963">
        <v>51</v>
      </c>
      <c r="V36" s="963">
        <v>50</v>
      </c>
      <c r="W36" s="963">
        <v>49</v>
      </c>
      <c r="X36" s="963">
        <v>48</v>
      </c>
      <c r="Y36" s="963">
        <v>47</v>
      </c>
      <c r="Z36" s="963">
        <v>46</v>
      </c>
      <c r="AA36" s="963">
        <v>45</v>
      </c>
      <c r="AB36" s="963">
        <v>44</v>
      </c>
      <c r="AC36" s="963">
        <v>43</v>
      </c>
      <c r="AD36" s="963">
        <v>42</v>
      </c>
      <c r="AE36" s="963">
        <v>41</v>
      </c>
      <c r="AF36" s="963">
        <v>40</v>
      </c>
      <c r="AG36" s="963">
        <v>39</v>
      </c>
      <c r="AH36" s="963">
        <v>38</v>
      </c>
      <c r="AI36" s="963">
        <v>37</v>
      </c>
      <c r="AJ36" s="963">
        <v>36</v>
      </c>
      <c r="AK36" s="963">
        <v>35</v>
      </c>
      <c r="AL36" s="963">
        <v>34</v>
      </c>
      <c r="AM36" s="963">
        <v>33</v>
      </c>
      <c r="AN36" s="963">
        <v>32</v>
      </c>
      <c r="AO36" s="963">
        <v>31</v>
      </c>
      <c r="AP36" s="963">
        <v>30</v>
      </c>
      <c r="AQ36" s="963">
        <v>29</v>
      </c>
      <c r="AR36" s="963">
        <v>28</v>
      </c>
      <c r="AS36" s="963">
        <v>27</v>
      </c>
      <c r="AT36" s="963">
        <v>26</v>
      </c>
      <c r="AU36" s="963">
        <v>25</v>
      </c>
      <c r="AV36" s="963">
        <v>24</v>
      </c>
      <c r="AW36" s="963">
        <v>23</v>
      </c>
      <c r="AX36" s="963">
        <v>22</v>
      </c>
      <c r="AY36" s="963">
        <v>21</v>
      </c>
      <c r="AZ36" s="963">
        <v>20</v>
      </c>
      <c r="BB36" s="963">
        <v>19</v>
      </c>
      <c r="BC36" s="963">
        <v>18</v>
      </c>
      <c r="BD36" s="963">
        <v>17</v>
      </c>
      <c r="BE36" s="963">
        <v>16</v>
      </c>
      <c r="BF36" s="963">
        <v>15</v>
      </c>
      <c r="BG36" s="963">
        <v>14</v>
      </c>
      <c r="BH36" s="963">
        <v>13</v>
      </c>
      <c r="BI36" s="963">
        <v>12</v>
      </c>
      <c r="BJ36" s="963">
        <v>11</v>
      </c>
      <c r="BK36" s="963">
        <v>10</v>
      </c>
      <c r="BL36" s="963">
        <v>9</v>
      </c>
      <c r="BM36" s="963">
        <v>8</v>
      </c>
      <c r="BN36" s="963">
        <v>7</v>
      </c>
      <c r="BO36" s="963">
        <v>6</v>
      </c>
      <c r="BP36" s="963">
        <v>5</v>
      </c>
      <c r="BQ36" s="963">
        <v>4</v>
      </c>
      <c r="BR36" s="963">
        <v>3</v>
      </c>
      <c r="BS36" s="963">
        <v>2</v>
      </c>
      <c r="BT36" s="963">
        <v>1</v>
      </c>
    </row>
    <row r="37" spans="1:105">
      <c r="A37" s="963" t="s">
        <v>2899</v>
      </c>
    </row>
    <row r="38" spans="1:105" s="15" customFormat="1" ht="11.25">
      <c r="A38" s="1040" t="e">
        <f>A37+1</f>
        <v>#VALUE!</v>
      </c>
      <c r="B38" s="1041" t="e">
        <f>VLOOKUP($A38,T_Ops,20,0)</f>
        <v>#VALUE!</v>
      </c>
      <c r="C38" s="1042" t="e">
        <f>VLOOKUP($A38,T_Ops,B$2,0)</f>
        <v>#VALUE!</v>
      </c>
      <c r="D38" s="1043" t="s">
        <v>646</v>
      </c>
      <c r="E38" s="1044" t="e">
        <f>VLOOKUP($A38,T_Ops,D$2,0)</f>
        <v>#VALUE!</v>
      </c>
      <c r="F38" s="1045" t="e">
        <f t="shared" ref="F38:K38" si="14">VLOOKUP($A38,T_Ops,F$2,0)</f>
        <v>#VALUE!</v>
      </c>
      <c r="G38" s="1045" t="e">
        <f>IF(VLOOKUP($A38,T_Ops,G$2,0)&lt;0,0,VLOOKUP($A38,T_Ops,G$2,0))</f>
        <v>#VALUE!</v>
      </c>
      <c r="H38" s="1046" t="e">
        <f t="shared" si="14"/>
        <v>#VALUE!</v>
      </c>
      <c r="I38" s="1046" t="e">
        <f t="shared" si="14"/>
        <v>#VALUE!</v>
      </c>
      <c r="J38" s="1046" t="e">
        <f t="shared" si="14"/>
        <v>#VALUE!</v>
      </c>
      <c r="K38" s="1046" t="e">
        <f t="shared" si="14"/>
        <v>#VALUE!</v>
      </c>
      <c r="L38" s="1048"/>
      <c r="M38" s="1046" t="e">
        <f t="shared" ref="M38:U38" si="15">VLOOKUP($A38,T_Ops,M$2,0)</f>
        <v>#VALUE!</v>
      </c>
      <c r="N38" s="1046" t="e">
        <f t="shared" si="15"/>
        <v>#VALUE!</v>
      </c>
      <c r="O38" s="1046" t="e">
        <f t="shared" si="15"/>
        <v>#VALUE!</v>
      </c>
      <c r="P38" s="1046" t="e">
        <f t="shared" si="15"/>
        <v>#VALUE!</v>
      </c>
      <c r="Q38" s="1046" t="e">
        <f t="shared" si="15"/>
        <v>#VALUE!</v>
      </c>
      <c r="R38" s="1046" t="e">
        <f t="shared" si="15"/>
        <v>#VALUE!</v>
      </c>
      <c r="S38" s="1046" t="e">
        <f t="shared" si="15"/>
        <v>#VALUE!</v>
      </c>
      <c r="T38" s="1046" t="e">
        <f t="shared" si="15"/>
        <v>#VALUE!</v>
      </c>
      <c r="U38" s="1046" t="e">
        <f t="shared" si="15"/>
        <v>#VALUE!</v>
      </c>
      <c r="V38" s="1047"/>
      <c r="W38" s="1047"/>
      <c r="X38" s="2564" t="e">
        <f t="shared" ref="X38:AH38" si="16">VLOOKUP($A38,T_Ops,X$2,0)</f>
        <v>#VALUE!</v>
      </c>
      <c r="Y38" s="1046" t="e">
        <f t="shared" si="16"/>
        <v>#VALUE!</v>
      </c>
      <c r="Z38" s="1046" t="e">
        <f t="shared" si="16"/>
        <v>#VALUE!</v>
      </c>
      <c r="AA38" s="1046" t="e">
        <f t="shared" si="16"/>
        <v>#VALUE!</v>
      </c>
      <c r="AB38" s="1046" t="e">
        <f t="shared" si="16"/>
        <v>#VALUE!</v>
      </c>
      <c r="AC38" s="1046" t="e">
        <f t="shared" si="16"/>
        <v>#VALUE!</v>
      </c>
      <c r="AD38" s="1046" t="e">
        <f t="shared" si="16"/>
        <v>#VALUE!</v>
      </c>
      <c r="AE38" s="1046" t="e">
        <f t="shared" si="16"/>
        <v>#VALUE!</v>
      </c>
      <c r="AF38" s="1046" t="e">
        <f t="shared" si="16"/>
        <v>#VALUE!</v>
      </c>
      <c r="AG38" s="1046" t="e">
        <f t="shared" si="16"/>
        <v>#VALUE!</v>
      </c>
      <c r="AH38" s="1046" t="e">
        <f t="shared" si="16"/>
        <v>#VALUE!</v>
      </c>
      <c r="AI38" s="1062"/>
      <c r="AJ38" s="1046" t="e">
        <f t="shared" ref="AJ38:AY38" si="17">VLOOKUP($A38,T_Ops,AJ$2,0)</f>
        <v>#VALUE!</v>
      </c>
      <c r="AK38" s="1046" t="e">
        <f t="shared" si="17"/>
        <v>#VALUE!</v>
      </c>
      <c r="AL38" s="1046" t="e">
        <f t="shared" si="17"/>
        <v>#VALUE!</v>
      </c>
      <c r="AM38" s="1046" t="e">
        <f t="shared" si="17"/>
        <v>#VALUE!</v>
      </c>
      <c r="AN38" s="1046" t="e">
        <f t="shared" si="17"/>
        <v>#VALUE!</v>
      </c>
      <c r="AO38" s="1046" t="e">
        <f t="shared" si="17"/>
        <v>#VALUE!</v>
      </c>
      <c r="AP38" s="1046" t="e">
        <f t="shared" si="17"/>
        <v>#VALUE!</v>
      </c>
      <c r="AQ38" s="1046" t="e">
        <f t="shared" si="17"/>
        <v>#VALUE!</v>
      </c>
      <c r="AR38" s="1046" t="e">
        <f t="shared" si="17"/>
        <v>#VALUE!</v>
      </c>
      <c r="AS38" s="1046" t="e">
        <f t="shared" si="17"/>
        <v>#VALUE!</v>
      </c>
      <c r="AT38" s="1046" t="e">
        <f t="shared" si="17"/>
        <v>#VALUE!</v>
      </c>
      <c r="AU38" s="1046" t="e">
        <f t="shared" si="17"/>
        <v>#VALUE!</v>
      </c>
      <c r="AV38" s="1049" t="e">
        <f t="shared" si="17"/>
        <v>#VALUE!</v>
      </c>
      <c r="AW38" s="2637" t="e">
        <f t="shared" si="17"/>
        <v>#VALUE!</v>
      </c>
      <c r="AX38" s="2638" t="e">
        <f t="shared" si="17"/>
        <v>#VALUE!</v>
      </c>
      <c r="AY38" s="2639" t="e">
        <f t="shared" si="17"/>
        <v>#VALUE!</v>
      </c>
      <c r="AZ38" s="2638" t="e">
        <f>VLOOKUP($A38,T_Ops,AZ$2,0)</f>
        <v>#VALUE!</v>
      </c>
      <c r="BA38" s="2640" t="e">
        <f>VLOOKUP($A38,T_Ops,BA$2,0)</f>
        <v>#VALUE!</v>
      </c>
      <c r="BB38" s="2659" t="e">
        <f>SUM(F38:BA38)</f>
        <v>#VALUE!</v>
      </c>
      <c r="BC38" s="1045" t="e">
        <f>IF(F38="",0,F38)+G38+IF(H38="",0,H38)+IF(J38="",0,J38)</f>
        <v>#VALUE!</v>
      </c>
      <c r="BD38" s="1079" t="e">
        <f>IF(I38="",0,I38)</f>
        <v>#VALUE!</v>
      </c>
      <c r="BE38" s="1079" t="e">
        <f>IF(M38="",0,M38)+IF(Q38="",0,Q38)+IF(N38="",0,N38)+IF(O38="",0,O38)+IF(R38="",0,R38)+IF(P38="",0,P38)+IF(S38="",0,S38)+IF(T38="",0,T38)+IF(U38="",0,U38)+IF(W38="",0,W38)+IF(X38="",0,X38)+IF(LEFT($Y$1,6)="111-01",IF(Y38="",0,Y38),0)</f>
        <v>#VALUE!</v>
      </c>
      <c r="BF38" s="1080" t="e">
        <f>K38</f>
        <v>#VALUE!</v>
      </c>
      <c r="BG38" s="1080" t="e">
        <f>IF(Z38="",0,Z38)+IF(AA38="",0,AA38)+IF(AB38="",0,AB38)+IF(AC38="",0,AC38)+IF(AD38="",0,AD38)+IF(AE38="",0,AE38)+IF(AF38="",0,AF38)+IF(AG38="",0,AG38)+IF(AH38="",0,AH38)+AI38</f>
        <v>#VALUE!</v>
      </c>
      <c r="BH38" s="1080" t="e">
        <f>AJ38</f>
        <v>#VALUE!</v>
      </c>
      <c r="BI38" s="2645" t="e">
        <f>AW38</f>
        <v>#VALUE!</v>
      </c>
      <c r="BJ38" s="2671" t="e">
        <f>AX38</f>
        <v>#VALUE!</v>
      </c>
      <c r="BK38" s="2672" t="e">
        <f>AY38</f>
        <v>#VALUE!</v>
      </c>
      <c r="BL38" s="1069" t="e">
        <f>IF(AK38="",0,AK38)+IF(AL38="",0,AL38)</f>
        <v>#VALUE!</v>
      </c>
      <c r="BM38" s="2671" t="e">
        <f>AZ38</f>
        <v>#VALUE!</v>
      </c>
      <c r="BN38" s="1079" t="e">
        <f>BA38</f>
        <v>#VALUE!</v>
      </c>
      <c r="BO38" s="1079" t="e">
        <f>AM38</f>
        <v>#VALUE!</v>
      </c>
      <c r="BP38" s="1079" t="e">
        <f>AN38</f>
        <v>#VALUE!</v>
      </c>
      <c r="BQ38" s="1069" t="e">
        <f>SUM(AO38:AV38)</f>
        <v>#VALUE!</v>
      </c>
      <c r="BR38" s="2659" t="e">
        <f>SUM(BC38:BQ38)</f>
        <v>#VALUE!</v>
      </c>
      <c r="BS38" s="55" t="e">
        <f>IF(OR(BB38&lt;&gt;BR38,ROUND(BR38-BT38,2)&lt;&gt;0),((BB38+BR38)-(2*BT38))/2,"")</f>
        <v>#VALUE!</v>
      </c>
      <c r="BT38" s="1046" t="e">
        <f>VLOOKUP($A38,T_Ops,BT$2,0)</f>
        <v>#VALUE!</v>
      </c>
    </row>
    <row r="39" spans="1:105">
      <c r="A39" s="447" t="s">
        <v>2900</v>
      </c>
      <c r="BU39" s="4"/>
    </row>
    <row r="40" spans="1:105" s="15" customFormat="1" ht="11.25">
      <c r="A40" s="1070"/>
      <c r="B40" s="1041" t="e">
        <f>VLOOKUP($A40,T_Calog,20,0)</f>
        <v>#N/A</v>
      </c>
      <c r="C40" s="1042" t="e">
        <f>VLOOKUP($A40,T_Calog,B$3,0)</f>
        <v>#N/A</v>
      </c>
      <c r="D40" s="1043" t="s">
        <v>4355</v>
      </c>
      <c r="E40" s="1044" t="e">
        <f>VLOOKUP($A40,T_Calog,D$3,0)</f>
        <v>#N/A</v>
      </c>
      <c r="F40" s="1045" t="e">
        <f>VLOOKUP($A40,T_Calog,F$3,0)</f>
        <v>#N/A</v>
      </c>
      <c r="G40" s="1045" t="e">
        <f>IF(VLOOKUP($A40,T_Calog,G$3,0)&lt;0,0,VLOOKUP($A40,T_Calog,G$3,0))</f>
        <v>#N/A</v>
      </c>
      <c r="H40" s="1062"/>
      <c r="I40" s="1045" t="e">
        <f>VLOOKUP($A40,T_Calog,I$3,0)</f>
        <v>#N/A</v>
      </c>
      <c r="J40" s="1045" t="e">
        <f>VLOOKUP($A40,T_Calog,J$3,0)</f>
        <v>#N/A</v>
      </c>
      <c r="K40" s="1045" t="e">
        <f>VLOOKUP($A40,T_Calog,K$3,0)</f>
        <v>#N/A</v>
      </c>
      <c r="L40" s="1045" t="e">
        <f>VLOOKUP($A40,T_Calog,L$3,0)</f>
        <v>#N/A</v>
      </c>
      <c r="M40" s="1062"/>
      <c r="N40" s="1062"/>
      <c r="O40" s="1045" t="e">
        <f>VLOOKUP($A40,T_Calog,O$3,0)</f>
        <v>#N/A</v>
      </c>
      <c r="P40" s="1062"/>
      <c r="Q40" s="1062"/>
      <c r="R40" s="1045" t="e">
        <f>VLOOKUP($A40,T_Calog,R$3,0)</f>
        <v>#N/A</v>
      </c>
      <c r="S40" s="1063"/>
      <c r="T40" s="1045" t="e">
        <f t="shared" ref="T40:AD40" si="18">VLOOKUP($A40,T_Calog,T$3,0)</f>
        <v>#N/A</v>
      </c>
      <c r="U40" s="1045" t="e">
        <f t="shared" si="18"/>
        <v>#N/A</v>
      </c>
      <c r="V40" s="1045" t="e">
        <f t="shared" si="18"/>
        <v>#N/A</v>
      </c>
      <c r="W40" s="1045" t="e">
        <f t="shared" si="18"/>
        <v>#N/A</v>
      </c>
      <c r="X40" s="2565" t="e">
        <f t="shared" si="18"/>
        <v>#N/A</v>
      </c>
      <c r="Y40" s="1045" t="e">
        <f t="shared" si="18"/>
        <v>#N/A</v>
      </c>
      <c r="Z40" s="1045" t="e">
        <f t="shared" si="18"/>
        <v>#N/A</v>
      </c>
      <c r="AA40" s="1045" t="e">
        <f t="shared" si="18"/>
        <v>#N/A</v>
      </c>
      <c r="AB40" s="1045" t="e">
        <f t="shared" si="18"/>
        <v>#N/A</v>
      </c>
      <c r="AC40" s="1045" t="e">
        <f t="shared" si="18"/>
        <v>#N/A</v>
      </c>
      <c r="AD40" s="1045" t="e">
        <f t="shared" si="18"/>
        <v>#N/A</v>
      </c>
      <c r="AE40" s="1062"/>
      <c r="AF40" s="1062"/>
      <c r="AG40" s="1062"/>
      <c r="AH40" s="1045" t="e">
        <f t="shared" ref="AH40:AM40" si="19">VLOOKUP($A40,T_Calog,AH$3,0)</f>
        <v>#N/A</v>
      </c>
      <c r="AI40" s="1045" t="e">
        <f t="shared" si="19"/>
        <v>#N/A</v>
      </c>
      <c r="AJ40" s="1045" t="e">
        <f t="shared" si="19"/>
        <v>#N/A</v>
      </c>
      <c r="AK40" s="1045" t="e">
        <f t="shared" si="19"/>
        <v>#N/A</v>
      </c>
      <c r="AL40" s="1045" t="e">
        <f t="shared" si="19"/>
        <v>#N/A</v>
      </c>
      <c r="AM40" s="1045" t="e">
        <f t="shared" si="19"/>
        <v>#N/A</v>
      </c>
      <c r="AN40" s="1062"/>
      <c r="AO40" s="1045" t="e">
        <f>VLOOKUP($A40,T_Calog,AO$3,0)</f>
        <v>#N/A</v>
      </c>
      <c r="AP40" s="1062"/>
      <c r="AQ40" s="1062"/>
      <c r="AR40" s="1063"/>
      <c r="AS40" s="1045" t="e">
        <f>VLOOKUP($A40,T_Calog,AS$3,0)</f>
        <v>#N/A</v>
      </c>
      <c r="AT40" s="1045" t="e">
        <f>VLOOKUP($A40,T_Calog,AT$3,0)</f>
        <v>#N/A</v>
      </c>
      <c r="AU40" s="1045" t="e">
        <f>VLOOKUP($A40,T_Calog,AU$3,0)</f>
        <v>#N/A</v>
      </c>
      <c r="AV40" s="1069" t="e">
        <f>VLOOKUP($A40,T_Calog,AV$3,0)</f>
        <v>#N/A</v>
      </c>
      <c r="AW40" s="2645" t="e">
        <f>IF($AW$1="=&gt;","",VLOOKUP($A40,T_Calog,AW$3,0))</f>
        <v>#N/A</v>
      </c>
      <c r="AX40" s="2646" t="e">
        <f>VLOOKUP($A40,T_Calog,AX$3,0)</f>
        <v>#N/A</v>
      </c>
      <c r="AY40" s="2647" t="e">
        <f>VLOOKUP($A40,T_Calog,AY$3,0)</f>
        <v>#N/A</v>
      </c>
      <c r="AZ40" s="2646" t="e">
        <f>VLOOKUP($A40,T_Calog,AZ$3,0)</f>
        <v>#N/A</v>
      </c>
      <c r="BA40" s="2648" t="e">
        <f>VLOOKUP($A40,T_Calog,BA$3,0)</f>
        <v>#N/A</v>
      </c>
      <c r="BB40" s="2659" t="e">
        <f>SUM(F40:BA40)</f>
        <v>#N/A</v>
      </c>
      <c r="BC40" s="1045" t="e">
        <f>IF(F40="",0,F40)+G40+IF(H40="",0,H40)+IF(J40="",0,J40)</f>
        <v>#N/A</v>
      </c>
      <c r="BD40" s="1079" t="e">
        <f>IF(I40="",0,I40)</f>
        <v>#N/A</v>
      </c>
      <c r="BE40" s="1079" t="e">
        <f>IF(M40="",0,M40)+IF(N40="",0,N40)+IF(O40="",0,O40)+IF(P40="",0,P40)+IF(Q40="",0,Q40)+IF(R40="",0,R40)+IF(S40="",0,S40)+IF(T40="",0,T40)+IF(U40="",0,U40)+IF(V40="",0,V40)+IF(W40="",0,W40)+IF(X40="",0,X40)+IF(LEFT($Y$1,6)="111-01",IF(Y40="",0,Y40),0)</f>
        <v>#N/A</v>
      </c>
      <c r="BF40" s="1080" t="e">
        <f>K40</f>
        <v>#N/A</v>
      </c>
      <c r="BG40" s="1080" t="e">
        <f>IF(Z40="",0,Z40)+IF(AA40="",0,AA40)+AI40+IF(AB40="",0,AB40)+IF(AC40="",0,AC40)+IF(AD40="",0,AD40)+IF(AE40="",0,AE40)+IF(AF40="",0,AF40)+IF(AG40="",0,AG40)+IF(AH40="",0,AH40)+IF(AI40="",0,AI40)</f>
        <v>#N/A</v>
      </c>
      <c r="BH40" s="1080" t="e">
        <f>AJ40</f>
        <v>#N/A</v>
      </c>
      <c r="BI40" s="2645" t="e">
        <f>AW40</f>
        <v>#N/A</v>
      </c>
      <c r="BJ40" s="2671" t="e">
        <f>AX40</f>
        <v>#N/A</v>
      </c>
      <c r="BK40" s="2672" t="e">
        <f>AY40</f>
        <v>#N/A</v>
      </c>
      <c r="BL40" s="1069" t="e">
        <f>IF(AK40="",0,AK40)+IF(AL40="",0,AL40)</f>
        <v>#N/A</v>
      </c>
      <c r="BM40" s="2671" t="e">
        <f>AZ40</f>
        <v>#N/A</v>
      </c>
      <c r="BN40" s="1079" t="e">
        <f>BA40</f>
        <v>#N/A</v>
      </c>
      <c r="BO40" s="1079" t="e">
        <f>AM40</f>
        <v>#N/A</v>
      </c>
      <c r="BP40" s="1084"/>
      <c r="BQ40" s="1069" t="e">
        <f>SUM(AO40:AV40)</f>
        <v>#N/A</v>
      </c>
      <c r="BR40" s="2659" t="e">
        <f>SUM(BC40:BQ40)</f>
        <v>#N/A</v>
      </c>
      <c r="BS40" s="55" t="e">
        <f>IF(OR(BB40&lt;&gt;BR40,ROUND(BR40-BT40,2)&lt;&gt;0),((BB40+BR40)-(2*BT40))/2,"")</f>
        <v>#N/A</v>
      </c>
      <c r="BT40" s="1045" t="e">
        <f>VLOOKUP($A40,T_Calog,BT$3,0)</f>
        <v>#N/A</v>
      </c>
      <c r="BU40" s="55"/>
      <c r="BV40" s="55"/>
      <c r="BW40" s="55"/>
      <c r="BX40" s="55"/>
      <c r="BY40" s="55"/>
      <c r="BZ40" s="55"/>
      <c r="CA40" s="55"/>
      <c r="CB40" s="55"/>
      <c r="CC40" s="55"/>
      <c r="CD40" s="55"/>
      <c r="CE40" s="55"/>
      <c r="CF40" s="1064"/>
      <c r="CG40" s="55"/>
      <c r="CH40" s="1064"/>
      <c r="CI40" s="1064"/>
      <c r="CJ40" s="55"/>
      <c r="CK40" s="55"/>
      <c r="CL40" s="55"/>
      <c r="CM40" s="1059"/>
      <c r="CN40" s="55"/>
      <c r="CO40" s="55"/>
      <c r="CP40" s="55"/>
      <c r="CQ40" s="55"/>
      <c r="CR40" s="55"/>
      <c r="CS40" s="55"/>
      <c r="CT40" s="55"/>
      <c r="CU40" s="55"/>
      <c r="CV40" s="55"/>
      <c r="CW40" s="55"/>
      <c r="CX40" s="55"/>
      <c r="CY40" s="55"/>
      <c r="CZ40" s="1059"/>
    </row>
    <row r="41" spans="1:105">
      <c r="A41" s="447" t="s">
        <v>2901</v>
      </c>
      <c r="BU41" s="4"/>
    </row>
    <row r="42" spans="1:105" s="15" customFormat="1">
      <c r="A42" s="1070"/>
      <c r="B42" s="1041" t="e">
        <f>VLOOKUP($A42,T_Calog,20,0)</f>
        <v>#N/A</v>
      </c>
      <c r="C42" s="1042" t="e">
        <f>VLOOKUP($A42,T_Calog,B$3,0)</f>
        <v>#N/A</v>
      </c>
      <c r="D42" s="1043" t="s">
        <v>40</v>
      </c>
      <c r="E42" s="1044" t="e">
        <f>VLOOKUP($A42,T_Calog,D$3,0)</f>
        <v>#N/A</v>
      </c>
      <c r="F42" s="1045" t="e">
        <f>VLOOKUP($A42,T_Calog,F$3,0)</f>
        <v>#N/A</v>
      </c>
      <c r="G42" s="1045" t="e">
        <f>IF(VLOOKUP($A42,T_Calog,G$3,0)&lt;0,0,VLOOKUP($A42,T_Calog,G$3,0))</f>
        <v>#N/A</v>
      </c>
      <c r="H42" s="1062"/>
      <c r="I42" s="1045" t="e">
        <f>VLOOKUP($A42,T_Calog,I$3,0)</f>
        <v>#N/A</v>
      </c>
      <c r="J42" s="1045" t="e">
        <f>VLOOKUP($A42,T_Calog,J$3,0)</f>
        <v>#N/A</v>
      </c>
      <c r="K42" s="1045" t="e">
        <f>VLOOKUP($A42,T_Calog,K$3,0)</f>
        <v>#N/A</v>
      </c>
      <c r="L42" s="1045" t="e">
        <f>VLOOKUP($A42,T_Calog,L$3,0)</f>
        <v>#N/A</v>
      </c>
      <c r="M42" s="1062"/>
      <c r="N42" s="1062"/>
      <c r="O42" s="1062"/>
      <c r="P42" s="1062"/>
      <c r="Q42" s="1062"/>
      <c r="R42" s="1045" t="e">
        <f>VLOOKUP($A42,T_Calog,R$3,0)</f>
        <v>#N/A</v>
      </c>
      <c r="S42" s="1063"/>
      <c r="T42" s="1045" t="e">
        <f t="shared" ref="T42:AD42" si="20">VLOOKUP($A42,T_Calog,T$3,0)</f>
        <v>#N/A</v>
      </c>
      <c r="U42" s="1045" t="e">
        <f t="shared" si="20"/>
        <v>#N/A</v>
      </c>
      <c r="V42" s="1063"/>
      <c r="W42" s="1063"/>
      <c r="X42" s="1063"/>
      <c r="Y42" s="1045" t="e">
        <f t="shared" si="20"/>
        <v>#N/A</v>
      </c>
      <c r="Z42" s="1045" t="e">
        <f t="shared" si="20"/>
        <v>#N/A</v>
      </c>
      <c r="AA42" s="1045" t="e">
        <f t="shared" si="20"/>
        <v>#N/A</v>
      </c>
      <c r="AB42" s="1045" t="e">
        <f t="shared" si="20"/>
        <v>#N/A</v>
      </c>
      <c r="AC42" s="1045" t="e">
        <f t="shared" si="20"/>
        <v>#N/A</v>
      </c>
      <c r="AD42" s="1045" t="e">
        <f t="shared" si="20"/>
        <v>#N/A</v>
      </c>
      <c r="AE42" s="1062"/>
      <c r="AF42" s="1062"/>
      <c r="AG42" s="1062"/>
      <c r="AH42" s="1045" t="e">
        <f>VLOOKUP($A42,T_Calog,AH$3,0)</f>
        <v>#N/A</v>
      </c>
      <c r="AI42" s="1062"/>
      <c r="AJ42" s="1045" t="e">
        <f>VLOOKUP($A42,T_Calog,AJ$3,0)</f>
        <v>#N/A</v>
      </c>
      <c r="AK42" s="1045" t="e">
        <f>VLOOKUP($A42,T_Calog,AK$3,0)</f>
        <v>#N/A</v>
      </c>
      <c r="AL42" s="1045" t="e">
        <f>VLOOKUP($A42,T_Calog,AL$3,0)</f>
        <v>#N/A</v>
      </c>
      <c r="AM42" s="1045" t="e">
        <f>VLOOKUP($A42,T_Calog,AM$3,0)</f>
        <v>#N/A</v>
      </c>
      <c r="AN42" s="1062"/>
      <c r="AO42" s="1045" t="e">
        <f>VLOOKUP($A42,T_Calog,AO$3,0)</f>
        <v>#N/A</v>
      </c>
      <c r="AP42" s="1062"/>
      <c r="AQ42" s="1062"/>
      <c r="AR42" s="1063"/>
      <c r="AS42" s="1045" t="e">
        <f>VLOOKUP($A42,T_Calog,AS$3,0)</f>
        <v>#N/A</v>
      </c>
      <c r="AT42" s="1045" t="e">
        <f>VLOOKUP($A42,T_Calog,AT$3,0)</f>
        <v>#N/A</v>
      </c>
      <c r="AU42" s="1045" t="e">
        <f>VLOOKUP($A42,T_Calog,AU$3,0)</f>
        <v>#N/A</v>
      </c>
      <c r="AV42" s="1069" t="e">
        <f>VLOOKUP($A42,T_Calog,AV$3,0)</f>
        <v>#N/A</v>
      </c>
      <c r="AW42" s="2645" t="e">
        <f>IF($AW$1="=&gt;","",VLOOKUP($A42,T_Calog,AW$3,0))</f>
        <v>#N/A</v>
      </c>
      <c r="AX42" s="1084"/>
      <c r="AY42" s="2647" t="e">
        <f>VLOOKUP($A42,T_Calog,AY$3,0)</f>
        <v>#N/A</v>
      </c>
      <c r="AZ42" s="2646" t="e">
        <f>VLOOKUP($A42,T_Calog,AZ$3,0)</f>
        <v>#N/A</v>
      </c>
      <c r="BA42" s="2648" t="e">
        <f>VLOOKUP($A42,T_Calog,BA$3,0)</f>
        <v>#N/A</v>
      </c>
      <c r="BB42" s="2659" t="e">
        <f>SUM(F42:BA42)</f>
        <v>#N/A</v>
      </c>
      <c r="BC42" s="1045" t="e">
        <f>IF(F42="",0,F42)+G42+IF(H42="",0,H42)+IF(J42="",0,J42)</f>
        <v>#N/A</v>
      </c>
      <c r="BD42" s="1079" t="e">
        <f>IF(I42="",0,I42)</f>
        <v>#N/A</v>
      </c>
      <c r="BE42" s="1079" t="e">
        <f>IF(M42="",0,M42)+IF(N42="",0,N42)+IF(O42="",0,O42)+IF(P42="",0,P42)+IF(Q42="",0,Q42)+IF(R42="",0,R42)+IF(S42="",0,S42)+IF(T42="",0,T42)+IF(U42="",0,U42)+IF(W42="",0,W42)+IF(X42="",0,X42)+IF(LEFT($Y$1,6)="111-01",IF(Y42="",0,Y42),0)</f>
        <v>#N/A</v>
      </c>
      <c r="BF42" s="1080" t="e">
        <f>K42</f>
        <v>#N/A</v>
      </c>
      <c r="BG42" s="1080" t="e">
        <f>IF(Z42="",0,Z42)+IF(AA42="",0,AA42)+AI42+IF(AB42="",0,AB42)+IF(AC42="",0,AC42)+IF(AD42="",0,AD42)+IF(AE42="",0,AE42)+IF(AF42="",0,AF42)+IF(AG42="",0,AG42)+IF(AH42="",0,AH42)+IF(AI42="",0,AI42)</f>
        <v>#N/A</v>
      </c>
      <c r="BH42" s="1080" t="e">
        <f>AJ42</f>
        <v>#N/A</v>
      </c>
      <c r="BI42" s="2645" t="e">
        <f>AW42</f>
        <v>#N/A</v>
      </c>
      <c r="BJ42" s="1084"/>
      <c r="BK42" s="2672" t="e">
        <f>AY42</f>
        <v>#N/A</v>
      </c>
      <c r="BL42" s="1069" t="e">
        <f>IF(AK42="",0,AK42)+IF(AL42="",0,AL42)</f>
        <v>#N/A</v>
      </c>
      <c r="BM42" s="2671" t="e">
        <f>AZ42</f>
        <v>#N/A</v>
      </c>
      <c r="BN42" s="1079" t="e">
        <f>BA42</f>
        <v>#N/A</v>
      </c>
      <c r="BO42" s="1079" t="e">
        <f>AM42</f>
        <v>#N/A</v>
      </c>
      <c r="BP42" s="1084"/>
      <c r="BQ42" s="1069" t="e">
        <f>SUM(AO42:AV42)</f>
        <v>#N/A</v>
      </c>
      <c r="BR42" s="2659" t="e">
        <f>SUM(BC42:BQ42)</f>
        <v>#N/A</v>
      </c>
      <c r="BS42" s="55" t="e">
        <f>IF(OR(BB42&lt;&gt;BR42,ROUND(BR42-BT42,2)&lt;&gt;0),((BB42+BR42)-(2*BT42))/2,"")</f>
        <v>#N/A</v>
      </c>
      <c r="BT42" s="1045" t="e">
        <f>VLOOKUP($A42,T_Calog,BT$3,0)</f>
        <v>#N/A</v>
      </c>
      <c r="BU42" s="4"/>
      <c r="BV42" s="963"/>
      <c r="BW42" s="55"/>
      <c r="BX42" s="55"/>
      <c r="BY42" s="55"/>
      <c r="BZ42" s="55"/>
      <c r="CA42" s="55"/>
      <c r="CB42" s="55"/>
      <c r="CC42" s="55"/>
      <c r="CD42" s="55"/>
      <c r="CE42" s="55"/>
      <c r="CF42" s="55"/>
      <c r="CG42" s="1064"/>
      <c r="CH42" s="55"/>
      <c r="CI42" s="1064"/>
      <c r="CJ42" s="1064"/>
      <c r="CK42" s="55"/>
      <c r="CL42" s="55"/>
      <c r="CM42" s="55"/>
      <c r="CN42" s="1059"/>
      <c r="CO42" s="55"/>
      <c r="CP42" s="55"/>
      <c r="CQ42" s="55"/>
      <c r="CR42" s="55"/>
      <c r="CS42" s="55"/>
      <c r="CT42" s="55"/>
      <c r="CU42" s="55"/>
      <c r="CV42" s="55"/>
      <c r="CW42" s="55"/>
      <c r="CX42" s="55"/>
      <c r="CY42" s="55"/>
      <c r="CZ42" s="55"/>
      <c r="DA42" s="1059"/>
    </row>
  </sheetData>
  <sheetProtection formatColumns="0" formatRows="0"/>
  <mergeCells count="164">
    <mergeCell ref="BK19:BL19"/>
    <mergeCell ref="FA17:FC18"/>
    <mergeCell ref="CJ17:CL18"/>
    <mergeCell ref="CM17:CO18"/>
    <mergeCell ref="EG17:EK18"/>
    <mergeCell ref="CP17:CR18"/>
    <mergeCell ref="CS17:CU18"/>
    <mergeCell ref="CV17:CX18"/>
    <mergeCell ref="CY17:DA18"/>
    <mergeCell ref="BK18:BL18"/>
    <mergeCell ref="EL17:EN18"/>
    <mergeCell ref="EO17:EQ18"/>
    <mergeCell ref="ER17:ET18"/>
    <mergeCell ref="EX17:EZ18"/>
    <mergeCell ref="DX17:DZ18"/>
    <mergeCell ref="EA17:EC18"/>
    <mergeCell ref="BK17:BL17"/>
    <mergeCell ref="BP17:BQ18"/>
    <mergeCell ref="DB17:DD18"/>
    <mergeCell ref="DE17:DG18"/>
    <mergeCell ref="BU17:BU18"/>
    <mergeCell ref="CD17:CD18"/>
    <mergeCell ref="CG17:CI18"/>
    <mergeCell ref="BX17:BX18"/>
    <mergeCell ref="GC15:GD15"/>
    <mergeCell ref="FW15:FX15"/>
    <mergeCell ref="EX15:EZ15"/>
    <mergeCell ref="FA15:FC15"/>
    <mergeCell ref="FD15:FF15"/>
    <mergeCell ref="FH15:FI15"/>
    <mergeCell ref="GA15:GB15"/>
    <mergeCell ref="DH17:DJ18"/>
    <mergeCell ref="DK17:DM18"/>
    <mergeCell ref="DO17:DQ18"/>
    <mergeCell ref="ED17:EF18"/>
    <mergeCell ref="FD17:FF18"/>
    <mergeCell ref="FG17:FI18"/>
    <mergeCell ref="FR15:FS15"/>
    <mergeCell ref="FJ15:FK15"/>
    <mergeCell ref="FL15:FM15"/>
    <mergeCell ref="FN15:FO15"/>
    <mergeCell ref="FP15:FQ15"/>
    <mergeCell ref="DY15:DZ15"/>
    <mergeCell ref="DR17:DT18"/>
    <mergeCell ref="DR15:DT15"/>
    <mergeCell ref="DO15:DQ15"/>
    <mergeCell ref="EA15:EC15"/>
    <mergeCell ref="EL15:EN15"/>
    <mergeCell ref="ED15:EF15"/>
    <mergeCell ref="EO15:EQ15"/>
    <mergeCell ref="EG15:EH15"/>
    <mergeCell ref="EJ15:EK15"/>
    <mergeCell ref="EU15:EW15"/>
    <mergeCell ref="ER15:ET15"/>
    <mergeCell ref="EP7:EQ7"/>
    <mergeCell ref="ER7:ES7"/>
    <mergeCell ref="EI7:EK7"/>
    <mergeCell ref="EN7:EO7"/>
    <mergeCell ref="DE7:DG7"/>
    <mergeCell ref="DH7:DJ7"/>
    <mergeCell ref="DZ7:EB7"/>
    <mergeCell ref="CJ7:CL7"/>
    <mergeCell ref="DW7:DY7"/>
    <mergeCell ref="DB7:DD7"/>
    <mergeCell ref="ET7:EU7"/>
    <mergeCell ref="EC7:EE7"/>
    <mergeCell ref="EF7:EH7"/>
    <mergeCell ref="EL7:EM7"/>
    <mergeCell ref="AZ15:BA15"/>
    <mergeCell ref="BB15:BC15"/>
    <mergeCell ref="BI17:BI18"/>
    <mergeCell ref="BR17:BR18"/>
    <mergeCell ref="AT17:AT18"/>
    <mergeCell ref="AW15:AX15"/>
    <mergeCell ref="CA17:CA18"/>
    <mergeCell ref="BR7:BT7"/>
    <mergeCell ref="CV7:CX7"/>
    <mergeCell ref="BU7:BW7"/>
    <mergeCell ref="CP15:CR15"/>
    <mergeCell ref="CA15:CC15"/>
    <mergeCell ref="BX15:BZ15"/>
    <mergeCell ref="CS15:CU15"/>
    <mergeCell ref="CV15:CX15"/>
    <mergeCell ref="BU15:BW15"/>
    <mergeCell ref="CG15:CI15"/>
    <mergeCell ref="CJ15:CL15"/>
    <mergeCell ref="CM15:CO15"/>
    <mergeCell ref="BX7:BZ7"/>
    <mergeCell ref="CA7:CC7"/>
    <mergeCell ref="CD7:CF7"/>
    <mergeCell ref="AW7:AX7"/>
    <mergeCell ref="BJ7:BL7"/>
    <mergeCell ref="I17:I18"/>
    <mergeCell ref="M17:M18"/>
    <mergeCell ref="AP17:AP18"/>
    <mergeCell ref="N17:N18"/>
    <mergeCell ref="O17:O18"/>
    <mergeCell ref="Y17:Y18"/>
    <mergeCell ref="R7:U7"/>
    <mergeCell ref="R15:U15"/>
    <mergeCell ref="A17:A18"/>
    <mergeCell ref="B17:B18"/>
    <mergeCell ref="C17:C18"/>
    <mergeCell ref="F17:F18"/>
    <mergeCell ref="J17:J18"/>
    <mergeCell ref="K17:K18"/>
    <mergeCell ref="L17:L18"/>
    <mergeCell ref="Z17:Z18"/>
    <mergeCell ref="AA17:AA18"/>
    <mergeCell ref="AB17:AB18"/>
    <mergeCell ref="AC17:AC18"/>
    <mergeCell ref="AJ17:AJ18"/>
    <mergeCell ref="AL17:AL18"/>
    <mergeCell ref="V17:V18"/>
    <mergeCell ref="W17:W18"/>
    <mergeCell ref="X17:X18"/>
    <mergeCell ref="AQ17:AQ18"/>
    <mergeCell ref="AR17:AR18"/>
    <mergeCell ref="P17:P18"/>
    <mergeCell ref="AF17:AF18"/>
    <mergeCell ref="AU17:AU18"/>
    <mergeCell ref="BM15:BO15"/>
    <mergeCell ref="BE15:BG15"/>
    <mergeCell ref="BH15:BI15"/>
    <mergeCell ref="AZ7:BA7"/>
    <mergeCell ref="AH17:AH18"/>
    <mergeCell ref="AI17:AI18"/>
    <mergeCell ref="AW17:AX18"/>
    <mergeCell ref="AG17:AG18"/>
    <mergeCell ref="AE17:AE18"/>
    <mergeCell ref="BB7:BC7"/>
    <mergeCell ref="AV17:AV18"/>
    <mergeCell ref="AY17:BA18"/>
    <mergeCell ref="BB17:BC18"/>
    <mergeCell ref="BH7:BI7"/>
    <mergeCell ref="AM17:AM18"/>
    <mergeCell ref="AN17:AN18"/>
    <mergeCell ref="AO17:AO18"/>
    <mergeCell ref="AS17:AS18"/>
    <mergeCell ref="BK9:BL9"/>
    <mergeCell ref="BF7:BG7"/>
    <mergeCell ref="BH17:BH18"/>
    <mergeCell ref="BJ17:BJ18"/>
    <mergeCell ref="BJ15:BL15"/>
    <mergeCell ref="BD17:BD18"/>
    <mergeCell ref="CD15:CF15"/>
    <mergeCell ref="BR15:BT15"/>
    <mergeCell ref="CY7:DA7"/>
    <mergeCell ref="DT7:DV7"/>
    <mergeCell ref="DE15:DG15"/>
    <mergeCell ref="DH15:DJ15"/>
    <mergeCell ref="DK15:DM15"/>
    <mergeCell ref="DB15:DD15"/>
    <mergeCell ref="CY15:DA15"/>
    <mergeCell ref="DU14:DW14"/>
    <mergeCell ref="DU15:DW15"/>
    <mergeCell ref="DU17:DW18"/>
    <mergeCell ref="DN7:DP7"/>
    <mergeCell ref="DQ7:DS7"/>
    <mergeCell ref="CM7:CO7"/>
    <mergeCell ref="CP7:CR7"/>
    <mergeCell ref="CS7:CU7"/>
    <mergeCell ref="DL7:DM7"/>
    <mergeCell ref="CG7:CI7"/>
  </mergeCells>
  <phoneticPr fontId="38" type="noConversion"/>
  <conditionalFormatting sqref="R10 I10 L10 O10 F10">
    <cfRule type="expression" dxfId="6" priority="1" stopIfTrue="1">
      <formula>AND(LEN($A10)=0,LEN($B10)&gt;0)</formula>
    </cfRule>
  </conditionalFormatting>
  <printOptions horizontalCentered="1"/>
  <pageMargins left="0.15748031496062992" right="0.15748031496062992" top="0.43" bottom="0.42" header="0.2" footer="0.16"/>
  <pageSetup paperSize="9" scale="15" fitToWidth="2" fitToHeight="18" orientation="landscape"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elp">
    <pageSetUpPr fitToPage="1"/>
  </sheetPr>
  <dimension ref="A1:IV70"/>
  <sheetViews>
    <sheetView topLeftCell="B29" workbookViewId="0">
      <selection activeCell="B8" sqref="B8"/>
    </sheetView>
  </sheetViews>
  <sheetFormatPr defaultColWidth="0" defaultRowHeight="12.75" zeroHeight="1"/>
  <cols>
    <col min="1" max="1" width="18.5703125" style="458" bestFit="1" customWidth="1"/>
    <col min="2" max="2" width="20.5703125" style="7" bestFit="1" customWidth="1"/>
    <col min="3" max="3" width="15" style="7" bestFit="1" customWidth="1"/>
    <col min="4" max="4" width="53.85546875" style="15" bestFit="1" customWidth="1"/>
    <col min="5" max="5" width="6.140625" style="15" bestFit="1" customWidth="1"/>
    <col min="6" max="6" width="6" style="15" bestFit="1" customWidth="1"/>
    <col min="7" max="7" width="5" style="15" bestFit="1" customWidth="1"/>
    <col min="8" max="8" width="5" style="15" customWidth="1"/>
    <col min="9" max="9" width="6.140625" style="44" bestFit="1" customWidth="1"/>
    <col min="10" max="10" width="6" style="15" bestFit="1" customWidth="1"/>
    <col min="11" max="12" width="5" style="15" customWidth="1"/>
    <col min="13" max="13" width="6" style="15" bestFit="1" customWidth="1"/>
    <col min="14" max="15" width="5" style="15" customWidth="1"/>
    <col min="16" max="16" width="36.28515625" style="521" bestFit="1" customWidth="1"/>
    <col min="17" max="17" width="3.5703125" style="44" bestFit="1" customWidth="1"/>
    <col min="18" max="18" width="9.140625" style="447" customWidth="1"/>
    <col min="19" max="19" width="24.7109375" style="447" bestFit="1" customWidth="1"/>
    <col min="20" max="20" width="0" style="447" hidden="1" customWidth="1"/>
    <col min="21" max="32" width="0" style="446" hidden="1" customWidth="1"/>
    <col min="33" max="33" width="20.5703125" style="446" hidden="1" customWidth="1"/>
    <col min="34" max="16384" width="0" style="446" hidden="1"/>
  </cols>
  <sheetData>
    <row r="1" spans="1:37" s="447" customFormat="1" ht="12.75" customHeight="1">
      <c r="A1" s="3385" t="s">
        <v>870</v>
      </c>
      <c r="B1" s="3385"/>
      <c r="C1" s="3385"/>
      <c r="D1" s="59" t="s">
        <v>871</v>
      </c>
      <c r="E1" s="3383" t="s">
        <v>1082</v>
      </c>
      <c r="F1" s="3383"/>
      <c r="G1" s="3383"/>
      <c r="H1" s="3383"/>
      <c r="I1" s="3383" t="s">
        <v>1082</v>
      </c>
      <c r="J1" s="3383"/>
      <c r="K1" s="3383"/>
      <c r="L1" s="3383"/>
      <c r="M1" s="57"/>
      <c r="N1" s="57"/>
      <c r="O1" s="57"/>
      <c r="P1" s="521"/>
      <c r="Q1" s="44"/>
    </row>
    <row r="2" spans="1:37" s="447" customFormat="1" ht="23.25" customHeight="1">
      <c r="B2" s="3385" t="s">
        <v>4441</v>
      </c>
      <c r="C2" s="3385"/>
      <c r="D2" s="3385"/>
      <c r="E2" s="57" t="s">
        <v>541</v>
      </c>
      <c r="F2" s="57" t="s">
        <v>486</v>
      </c>
      <c r="G2" s="3229" t="s">
        <v>1503</v>
      </c>
      <c r="H2" s="3229"/>
      <c r="I2" s="57" t="s">
        <v>541</v>
      </c>
      <c r="J2" s="57" t="s">
        <v>486</v>
      </c>
      <c r="K2" s="3229" t="s">
        <v>1503</v>
      </c>
      <c r="L2" s="3229"/>
      <c r="M2" s="57"/>
      <c r="N2" s="3229"/>
      <c r="O2" s="3229"/>
      <c r="P2" s="521"/>
      <c r="Q2" s="44"/>
    </row>
    <row r="3" spans="1:37">
      <c r="A3" s="3385" t="s">
        <v>2527</v>
      </c>
      <c r="B3" s="531" t="s">
        <v>4355</v>
      </c>
      <c r="C3" s="3385" t="s">
        <v>3851</v>
      </c>
      <c r="D3" s="3385" t="s">
        <v>2526</v>
      </c>
      <c r="E3" s="3127" t="s">
        <v>750</v>
      </c>
      <c r="F3" s="3127"/>
      <c r="G3" s="3381" t="s">
        <v>485</v>
      </c>
      <c r="H3" s="3381"/>
      <c r="I3" s="3127" t="s">
        <v>645</v>
      </c>
      <c r="J3" s="3127"/>
      <c r="K3" s="3381" t="s">
        <v>485</v>
      </c>
      <c r="L3" s="3381"/>
      <c r="M3" s="58"/>
      <c r="N3" s="3381"/>
      <c r="O3" s="3381"/>
      <c r="U3" s="447"/>
      <c r="V3" s="447"/>
      <c r="W3" s="447"/>
      <c r="X3" s="447"/>
      <c r="Y3" s="447"/>
      <c r="Z3" s="447"/>
      <c r="AA3" s="447"/>
      <c r="AB3" s="447"/>
      <c r="AC3" s="447"/>
      <c r="AD3" s="445"/>
      <c r="AE3" s="3382"/>
      <c r="AF3" s="3382"/>
      <c r="AG3" s="445"/>
      <c r="AJ3" s="445"/>
    </row>
    <row r="4" spans="1:37" ht="18.75" customHeight="1">
      <c r="A4" s="3385"/>
      <c r="B4" s="532" t="s">
        <v>2528</v>
      </c>
      <c r="C4" s="3385"/>
      <c r="D4" s="3385"/>
      <c r="E4" s="3384" t="s">
        <v>484</v>
      </c>
      <c r="F4" s="3384"/>
      <c r="G4" s="58">
        <f>ANNEE</f>
        <v>2027</v>
      </c>
      <c r="H4" s="58">
        <f>ANNEE-1</f>
        <v>2026</v>
      </c>
      <c r="I4" s="3384" t="s">
        <v>3720</v>
      </c>
      <c r="J4" s="3384"/>
      <c r="K4" s="58">
        <f>ANNEE</f>
        <v>2027</v>
      </c>
      <c r="L4" s="58">
        <f>ANNEE-1</f>
        <v>2026</v>
      </c>
      <c r="M4" s="58"/>
      <c r="N4" s="58"/>
      <c r="O4" s="58"/>
      <c r="AD4" s="445"/>
      <c r="AG4" s="445"/>
      <c r="AJ4" s="445"/>
    </row>
    <row r="5" spans="1:37" ht="12.75" customHeight="1">
      <c r="A5" s="461" t="str">
        <f>LEFT(C5,5)&amp;VALUE(MID(C5,6,1))+1&amp;MID(C5,7,3)</f>
        <v>111-02/00</v>
      </c>
      <c r="B5" s="462" t="str">
        <f>C5</f>
        <v>111-01/00</v>
      </c>
      <c r="C5" s="463" t="s">
        <v>3900</v>
      </c>
      <c r="D5" s="51" t="s">
        <v>551</v>
      </c>
      <c r="E5" s="125" t="s">
        <v>243</v>
      </c>
      <c r="F5" s="126">
        <v>50</v>
      </c>
      <c r="G5" s="126">
        <f>F5-2</f>
        <v>48</v>
      </c>
      <c r="H5" s="126">
        <f>G5-1</f>
        <v>47</v>
      </c>
      <c r="I5" s="125" t="s">
        <v>243</v>
      </c>
      <c r="J5" s="168">
        <v>50</v>
      </c>
      <c r="K5" s="126">
        <f>IF(J5="","-",J5-2)</f>
        <v>48</v>
      </c>
      <c r="L5" s="126">
        <f>IF(K5="-","-",K5-1)</f>
        <v>47</v>
      </c>
      <c r="M5" s="168"/>
      <c r="N5" s="126"/>
      <c r="O5" s="126"/>
      <c r="Q5" s="126">
        <f>IF(F5="","",IF(F5="-","-",F5+1))</f>
        <v>51</v>
      </c>
      <c r="AE5" s="448"/>
      <c r="AF5" s="448"/>
      <c r="AG5" s="448"/>
      <c r="AH5" s="448"/>
      <c r="AI5" s="448"/>
      <c r="AJ5" s="448"/>
      <c r="AK5" s="448"/>
    </row>
    <row r="6" spans="1:37" s="447" customFormat="1" ht="12.75" customHeight="1">
      <c r="A6" s="1467" t="str">
        <f>LEFT(C6,5)&amp;VALUE(MID(C6,6,1))+1&amp;MID(C6,7,3)</f>
        <v>111-02/00</v>
      </c>
      <c r="B6" s="1468" t="str">
        <f>C6</f>
        <v>111-01/00-</v>
      </c>
      <c r="C6" s="1464" t="s">
        <v>3071</v>
      </c>
      <c r="D6" s="1465" t="s">
        <v>3993</v>
      </c>
      <c r="E6" s="1466" t="s">
        <v>1749</v>
      </c>
      <c r="F6" s="1466">
        <v>53</v>
      </c>
      <c r="G6" s="1466">
        <f t="shared" ref="G6:G34" si="0">F6-2</f>
        <v>51</v>
      </c>
      <c r="H6" s="1466">
        <f t="shared" ref="H6:H34" si="1">G6-1</f>
        <v>50</v>
      </c>
      <c r="I6" s="125" t="s">
        <v>1749</v>
      </c>
      <c r="J6" s="168">
        <v>53</v>
      </c>
      <c r="K6" s="126">
        <f>IF(J6="","-",J6-2)</f>
        <v>51</v>
      </c>
      <c r="L6" s="126">
        <f>IF(K6="-","-",K6-1)</f>
        <v>50</v>
      </c>
      <c r="M6" s="168"/>
      <c r="N6" s="126"/>
      <c r="O6" s="126"/>
      <c r="P6" s="521" t="s">
        <v>3815</v>
      </c>
      <c r="Q6" s="126"/>
      <c r="AE6" s="448"/>
      <c r="AF6" s="448"/>
      <c r="AG6" s="448"/>
      <c r="AH6" s="448"/>
      <c r="AI6" s="448"/>
      <c r="AJ6" s="448"/>
      <c r="AK6" s="448"/>
    </row>
    <row r="7" spans="1:37" ht="12.75" customHeight="1">
      <c r="A7" s="545" t="s">
        <v>4338</v>
      </c>
      <c r="B7" s="463" t="s">
        <v>3900</v>
      </c>
      <c r="C7" s="463" t="s">
        <v>3900</v>
      </c>
      <c r="D7" s="494" t="s">
        <v>552</v>
      </c>
      <c r="E7" s="125"/>
      <c r="F7" s="126"/>
      <c r="G7" s="126"/>
      <c r="H7" s="126"/>
      <c r="I7" s="125"/>
      <c r="J7" s="168"/>
      <c r="K7" s="126"/>
      <c r="L7" s="126"/>
      <c r="M7" s="168"/>
      <c r="N7" s="126"/>
      <c r="O7" s="126"/>
      <c r="Q7" s="126"/>
      <c r="AE7" s="448"/>
      <c r="AF7" s="448"/>
      <c r="AG7" s="448"/>
      <c r="AH7" s="448"/>
      <c r="AI7" s="448"/>
      <c r="AJ7" s="448"/>
      <c r="AK7" s="448"/>
    </row>
    <row r="8" spans="1:37" ht="12.75" customHeight="1">
      <c r="A8" s="545" t="s">
        <v>4338</v>
      </c>
      <c r="B8" s="545" t="s">
        <v>4338</v>
      </c>
      <c r="C8" s="463" t="s">
        <v>3899</v>
      </c>
      <c r="D8" s="51" t="s">
        <v>918</v>
      </c>
      <c r="E8" s="125" t="s">
        <v>1750</v>
      </c>
      <c r="F8" s="126">
        <v>67</v>
      </c>
      <c r="G8" s="126">
        <f t="shared" si="0"/>
        <v>65</v>
      </c>
      <c r="H8" s="126">
        <f t="shared" si="1"/>
        <v>64</v>
      </c>
      <c r="I8" s="125"/>
      <c r="J8" s="168" t="s">
        <v>998</v>
      </c>
      <c r="K8" s="126" t="str">
        <f t="shared" ref="K8:K59" si="2">IF(J8="","-",J8-2)</f>
        <v>-</v>
      </c>
      <c r="L8" s="126" t="str">
        <f t="shared" ref="L8:L59" si="3">IF(K8="-","-",K8-1)</f>
        <v>-</v>
      </c>
      <c r="M8" s="168"/>
      <c r="N8" s="126"/>
      <c r="O8" s="126"/>
      <c r="Q8" s="126">
        <f t="shared" ref="Q8:Q59" si="4">IF(F8="","",IF(F8="-","-",F8+1))</f>
        <v>68</v>
      </c>
      <c r="AD8" s="445"/>
      <c r="AE8" s="444"/>
      <c r="AF8" s="444"/>
      <c r="AG8" s="445"/>
      <c r="AH8" s="444"/>
      <c r="AI8" s="444"/>
      <c r="AJ8" s="445"/>
    </row>
    <row r="9" spans="1:37" ht="12.75" customHeight="1">
      <c r="A9" s="461" t="str">
        <f t="shared" ref="A9:A20" si="5">LEFT(C9,5)&amp;VALUE(MID(C9,6,1))+1&amp;MID(C9,7,3)</f>
        <v>111-02/02</v>
      </c>
      <c r="B9" s="462" t="str">
        <f>C9</f>
        <v>111-01/02</v>
      </c>
      <c r="C9" s="463" t="s">
        <v>1999</v>
      </c>
      <c r="D9" s="51" t="s">
        <v>554</v>
      </c>
      <c r="E9" s="125" t="s">
        <v>1078</v>
      </c>
      <c r="F9" s="126">
        <v>55</v>
      </c>
      <c r="G9" s="126">
        <f t="shared" si="0"/>
        <v>53</v>
      </c>
      <c r="H9" s="126">
        <f t="shared" si="1"/>
        <v>52</v>
      </c>
      <c r="I9" s="125" t="s">
        <v>1078</v>
      </c>
      <c r="J9" s="168">
        <v>55</v>
      </c>
      <c r="K9" s="126">
        <f t="shared" si="2"/>
        <v>53</v>
      </c>
      <c r="L9" s="126">
        <f t="shared" si="3"/>
        <v>52</v>
      </c>
      <c r="M9" s="168"/>
      <c r="N9" s="126"/>
      <c r="O9" s="126"/>
      <c r="Q9" s="126">
        <f t="shared" si="4"/>
        <v>56</v>
      </c>
      <c r="AD9" s="445"/>
      <c r="AE9" s="444"/>
      <c r="AF9" s="444"/>
      <c r="AG9" s="445"/>
      <c r="AH9" s="444"/>
      <c r="AI9" s="444"/>
      <c r="AJ9" s="445"/>
    </row>
    <row r="10" spans="1:37" ht="12.75" customHeight="1">
      <c r="A10" s="461" t="str">
        <f t="shared" si="5"/>
        <v>111-02/04</v>
      </c>
      <c r="B10" s="462" t="str">
        <f>C10</f>
        <v>111-01/04</v>
      </c>
      <c r="C10" s="463" t="s">
        <v>3901</v>
      </c>
      <c r="D10" s="51" t="s">
        <v>3001</v>
      </c>
      <c r="E10" s="125" t="s">
        <v>3721</v>
      </c>
      <c r="F10" s="126">
        <v>59</v>
      </c>
      <c r="G10" s="126">
        <f t="shared" si="0"/>
        <v>57</v>
      </c>
      <c r="H10" s="126">
        <f>G10-1</f>
        <v>56</v>
      </c>
      <c r="I10" s="125" t="s">
        <v>3721</v>
      </c>
      <c r="J10" s="168">
        <v>59</v>
      </c>
      <c r="K10" s="126">
        <f t="shared" si="2"/>
        <v>57</v>
      </c>
      <c r="L10" s="126">
        <f t="shared" si="3"/>
        <v>56</v>
      </c>
      <c r="M10" s="168"/>
      <c r="N10" s="126"/>
      <c r="O10" s="126"/>
      <c r="Q10" s="126">
        <f t="shared" si="4"/>
        <v>60</v>
      </c>
      <c r="AD10" s="445"/>
      <c r="AE10" s="444"/>
      <c r="AF10" s="444"/>
      <c r="AG10" s="445"/>
      <c r="AH10" s="444"/>
      <c r="AI10" s="444"/>
      <c r="AJ10" s="445"/>
    </row>
    <row r="11" spans="1:37" ht="12.75" customHeight="1">
      <c r="A11" s="461" t="str">
        <f t="shared" si="5"/>
        <v>112-02</v>
      </c>
      <c r="B11" s="462" t="str">
        <f>C11</f>
        <v>112-01</v>
      </c>
      <c r="C11" s="463" t="s">
        <v>3902</v>
      </c>
      <c r="D11" s="51" t="s">
        <v>2735</v>
      </c>
      <c r="E11" s="125" t="s">
        <v>2723</v>
      </c>
      <c r="F11" s="126">
        <v>61</v>
      </c>
      <c r="G11" s="126">
        <f>F11-2</f>
        <v>59</v>
      </c>
      <c r="H11" s="126">
        <f>G11-1</f>
        <v>58</v>
      </c>
      <c r="I11" s="125" t="s">
        <v>2723</v>
      </c>
      <c r="J11" s="168">
        <v>61</v>
      </c>
      <c r="K11" s="126">
        <f>IF(J11="","-",J11-2)</f>
        <v>59</v>
      </c>
      <c r="L11" s="126">
        <f>IF(K11="-","-",K11-1)</f>
        <v>58</v>
      </c>
      <c r="M11" s="168"/>
      <c r="N11" s="126"/>
      <c r="O11" s="126"/>
      <c r="Q11" s="126">
        <f t="shared" si="4"/>
        <v>62</v>
      </c>
      <c r="AD11" s="445"/>
      <c r="AE11" s="444"/>
      <c r="AF11" s="444"/>
      <c r="AG11" s="445"/>
      <c r="AH11" s="444"/>
      <c r="AI11" s="444"/>
      <c r="AJ11" s="445"/>
    </row>
    <row r="12" spans="1:37" s="474" customFormat="1">
      <c r="A12" s="464" t="str">
        <f t="shared" si="5"/>
        <v>111-02/12</v>
      </c>
      <c r="B12" s="468" t="str">
        <f>C12</f>
        <v>111-01/12_F</v>
      </c>
      <c r="C12" s="469" t="s">
        <v>2853</v>
      </c>
      <c r="D12" s="477" t="s">
        <v>850</v>
      </c>
      <c r="E12" s="125" t="s">
        <v>1751</v>
      </c>
      <c r="F12" s="126">
        <v>63</v>
      </c>
      <c r="G12" s="126">
        <f>F12-2</f>
        <v>61</v>
      </c>
      <c r="H12" s="126" t="s">
        <v>538</v>
      </c>
      <c r="I12" s="125" t="s">
        <v>1751</v>
      </c>
      <c r="J12" s="168">
        <v>63</v>
      </c>
      <c r="K12" s="126">
        <f>IF(J12="","-",J12-2)</f>
        <v>61</v>
      </c>
      <c r="L12" s="126"/>
      <c r="M12" s="168"/>
      <c r="N12" s="126"/>
      <c r="O12" s="126"/>
      <c r="P12" s="14"/>
      <c r="Q12" s="126">
        <f t="shared" si="4"/>
        <v>64</v>
      </c>
      <c r="R12" s="475"/>
      <c r="S12" s="475"/>
      <c r="T12" s="475"/>
      <c r="AD12" s="476"/>
      <c r="AE12" s="476"/>
      <c r="AF12" s="476"/>
      <c r="AG12" s="476"/>
      <c r="AH12" s="476"/>
      <c r="AI12" s="476"/>
      <c r="AJ12" s="476"/>
    </row>
    <row r="13" spans="1:37" ht="12.75" customHeight="1">
      <c r="A13" s="461" t="str">
        <f t="shared" si="5"/>
        <v>111-02/12</v>
      </c>
      <c r="B13" s="462" t="str">
        <f>C13</f>
        <v>111-01/12_V</v>
      </c>
      <c r="C13" s="463" t="s">
        <v>2854</v>
      </c>
      <c r="D13" s="477" t="s">
        <v>3213</v>
      </c>
      <c r="E13" s="125" t="s">
        <v>4306</v>
      </c>
      <c r="F13" s="126">
        <v>64</v>
      </c>
      <c r="G13" s="126">
        <f>F13-2</f>
        <v>62</v>
      </c>
      <c r="H13" s="126">
        <f>G13-2</f>
        <v>60</v>
      </c>
      <c r="I13" s="125" t="s">
        <v>4306</v>
      </c>
      <c r="J13" s="168">
        <v>64</v>
      </c>
      <c r="K13" s="126">
        <f t="shared" si="2"/>
        <v>62</v>
      </c>
      <c r="L13" s="126">
        <v>60</v>
      </c>
      <c r="M13" s="168"/>
      <c r="N13" s="126"/>
      <c r="O13" s="126"/>
      <c r="P13" s="1303" t="s">
        <v>1661</v>
      </c>
      <c r="Q13" s="126">
        <f t="shared" si="4"/>
        <v>65</v>
      </c>
      <c r="AD13" s="445"/>
      <c r="AE13" s="444"/>
      <c r="AF13" s="444"/>
      <c r="AG13" s="444"/>
      <c r="AH13" s="444"/>
      <c r="AI13" s="444"/>
      <c r="AJ13" s="445"/>
    </row>
    <row r="14" spans="1:37">
      <c r="F14" s="15" t="s">
        <v>998</v>
      </c>
      <c r="I14" s="125"/>
      <c r="J14" s="168" t="s">
        <v>998</v>
      </c>
      <c r="K14" s="126"/>
      <c r="L14" s="126"/>
      <c r="M14" s="168"/>
      <c r="N14" s="126"/>
      <c r="O14" s="126"/>
    </row>
    <row r="15" spans="1:37" ht="12.75" customHeight="1">
      <c r="A15" s="461"/>
      <c r="B15" s="462"/>
      <c r="D15" s="129" t="s">
        <v>3358</v>
      </c>
      <c r="E15" s="125"/>
      <c r="F15" s="126" t="s">
        <v>998</v>
      </c>
      <c r="G15" s="126"/>
      <c r="H15" s="126"/>
      <c r="I15" s="125"/>
      <c r="J15" s="168" t="s">
        <v>998</v>
      </c>
      <c r="K15" s="126" t="str">
        <f t="shared" si="2"/>
        <v>-</v>
      </c>
      <c r="L15" s="126" t="str">
        <f t="shared" si="3"/>
        <v>-</v>
      </c>
      <c r="M15" s="168"/>
      <c r="N15" s="126"/>
      <c r="O15" s="126"/>
      <c r="Q15" s="126" t="str">
        <f t="shared" si="4"/>
        <v/>
      </c>
    </row>
    <row r="16" spans="1:37" s="526" customFormat="1" ht="12.75" customHeight="1">
      <c r="A16" s="522" t="str">
        <f t="shared" si="5"/>
        <v>111-09/00</v>
      </c>
      <c r="B16" s="523" t="str">
        <f>C16</f>
        <v>111-08/00</v>
      </c>
      <c r="C16" s="524" t="s">
        <v>3907</v>
      </c>
      <c r="D16" s="525" t="s">
        <v>1236</v>
      </c>
      <c r="E16" s="125" t="s">
        <v>245</v>
      </c>
      <c r="F16" s="126">
        <v>72</v>
      </c>
      <c r="G16" s="126">
        <f t="shared" si="0"/>
        <v>70</v>
      </c>
      <c r="H16" s="126">
        <f t="shared" si="1"/>
        <v>69</v>
      </c>
      <c r="I16" s="125" t="s">
        <v>245</v>
      </c>
      <c r="J16" s="168">
        <v>72</v>
      </c>
      <c r="K16" s="126">
        <f t="shared" si="2"/>
        <v>70</v>
      </c>
      <c r="L16" s="126">
        <f t="shared" si="3"/>
        <v>69</v>
      </c>
      <c r="M16" s="168"/>
      <c r="N16" s="126"/>
      <c r="O16" s="126"/>
      <c r="P16" s="529"/>
      <c r="Q16" s="125">
        <f t="shared" si="4"/>
        <v>73</v>
      </c>
    </row>
    <row r="17" spans="1:17" s="526" customFormat="1" ht="12.75" customHeight="1">
      <c r="A17" s="522" t="str">
        <f t="shared" si="5"/>
        <v>111-09/01</v>
      </c>
      <c r="B17" s="523" t="str">
        <f>C17</f>
        <v>111-08/01</v>
      </c>
      <c r="C17" s="524" t="s">
        <v>3903</v>
      </c>
      <c r="D17" s="525" t="s">
        <v>1237</v>
      </c>
      <c r="E17" s="125" t="s">
        <v>2727</v>
      </c>
      <c r="F17" s="126">
        <v>75</v>
      </c>
      <c r="G17" s="126">
        <f t="shared" si="0"/>
        <v>73</v>
      </c>
      <c r="H17" s="126">
        <f t="shared" si="1"/>
        <v>72</v>
      </c>
      <c r="I17" s="125" t="s">
        <v>2727</v>
      </c>
      <c r="J17" s="168">
        <v>75</v>
      </c>
      <c r="K17" s="126">
        <f t="shared" si="2"/>
        <v>73</v>
      </c>
      <c r="L17" s="126">
        <f t="shared" si="3"/>
        <v>72</v>
      </c>
      <c r="M17" s="168"/>
      <c r="N17" s="126"/>
      <c r="O17" s="126"/>
      <c r="P17" s="529"/>
      <c r="Q17" s="125">
        <f t="shared" si="4"/>
        <v>76</v>
      </c>
    </row>
    <row r="18" spans="1:17" s="526" customFormat="1" ht="12.75" customHeight="1">
      <c r="A18" s="522" t="str">
        <f t="shared" si="5"/>
        <v>111-09/20</v>
      </c>
      <c r="B18" s="523" t="str">
        <f>C18</f>
        <v>111-08/20</v>
      </c>
      <c r="C18" s="524" t="s">
        <v>3904</v>
      </c>
      <c r="D18" s="525" t="s">
        <v>1055</v>
      </c>
      <c r="E18" s="125" t="s">
        <v>2821</v>
      </c>
      <c r="F18" s="126">
        <v>78</v>
      </c>
      <c r="G18" s="126">
        <f t="shared" si="0"/>
        <v>76</v>
      </c>
      <c r="H18" s="126">
        <f t="shared" si="1"/>
        <v>75</v>
      </c>
      <c r="I18" s="125" t="s">
        <v>2821</v>
      </c>
      <c r="J18" s="168">
        <v>78</v>
      </c>
      <c r="K18" s="126">
        <f t="shared" si="2"/>
        <v>76</v>
      </c>
      <c r="L18" s="126">
        <f t="shared" si="3"/>
        <v>75</v>
      </c>
      <c r="M18" s="168"/>
      <c r="N18" s="126"/>
      <c r="O18" s="126"/>
      <c r="P18" s="529"/>
      <c r="Q18" s="125">
        <f t="shared" si="4"/>
        <v>79</v>
      </c>
    </row>
    <row r="19" spans="1:17" s="526" customFormat="1" ht="12.75" customHeight="1">
      <c r="A19" s="522" t="str">
        <f t="shared" si="5"/>
        <v>111-09/21</v>
      </c>
      <c r="B19" s="523" t="str">
        <f>C19</f>
        <v>111-08/21</v>
      </c>
      <c r="C19" s="524" t="s">
        <v>3905</v>
      </c>
      <c r="D19" s="525" t="s">
        <v>1600</v>
      </c>
      <c r="E19" s="125" t="s">
        <v>452</v>
      </c>
      <c r="F19" s="126">
        <f t="shared" ref="F19:F24" si="6">+F18+3</f>
        <v>81</v>
      </c>
      <c r="G19" s="126">
        <f t="shared" si="0"/>
        <v>79</v>
      </c>
      <c r="H19" s="126">
        <f t="shared" si="1"/>
        <v>78</v>
      </c>
      <c r="I19" s="125" t="s">
        <v>452</v>
      </c>
      <c r="J19" s="168">
        <v>81</v>
      </c>
      <c r="K19" s="126">
        <f t="shared" si="2"/>
        <v>79</v>
      </c>
      <c r="L19" s="126">
        <f t="shared" si="3"/>
        <v>78</v>
      </c>
      <c r="M19" s="168"/>
      <c r="N19" s="126"/>
      <c r="O19" s="126"/>
      <c r="P19" s="529"/>
      <c r="Q19" s="125">
        <f t="shared" si="4"/>
        <v>82</v>
      </c>
    </row>
    <row r="20" spans="1:17" s="526" customFormat="1" ht="12.75" customHeight="1">
      <c r="A20" s="522" t="str">
        <f t="shared" si="5"/>
        <v>111-09/03</v>
      </c>
      <c r="B20" s="523" t="str">
        <f>C20</f>
        <v>111-08/03</v>
      </c>
      <c r="C20" s="524" t="s">
        <v>3906</v>
      </c>
      <c r="D20" s="525" t="s">
        <v>1601</v>
      </c>
      <c r="E20" s="125" t="s">
        <v>2822</v>
      </c>
      <c r="F20" s="126">
        <f t="shared" si="6"/>
        <v>84</v>
      </c>
      <c r="G20" s="126">
        <f t="shared" si="0"/>
        <v>82</v>
      </c>
      <c r="H20" s="126">
        <f t="shared" si="1"/>
        <v>81</v>
      </c>
      <c r="I20" s="125" t="s">
        <v>2822</v>
      </c>
      <c r="J20" s="168">
        <v>84</v>
      </c>
      <c r="K20" s="126">
        <f t="shared" si="2"/>
        <v>82</v>
      </c>
      <c r="L20" s="126">
        <f t="shared" si="3"/>
        <v>81</v>
      </c>
      <c r="M20" s="168"/>
      <c r="N20" s="126"/>
      <c r="O20" s="126"/>
      <c r="P20" s="529"/>
      <c r="Q20" s="125">
        <f t="shared" si="4"/>
        <v>85</v>
      </c>
    </row>
    <row r="21" spans="1:17" s="526" customFormat="1" ht="12.75" customHeight="1">
      <c r="A21" s="545" t="s">
        <v>4338</v>
      </c>
      <c r="B21" s="545" t="s">
        <v>4338</v>
      </c>
      <c r="C21" s="524" t="s">
        <v>3908</v>
      </c>
      <c r="D21" s="525" t="s">
        <v>1602</v>
      </c>
      <c r="E21" s="125" t="s">
        <v>2729</v>
      </c>
      <c r="F21" s="126">
        <f t="shared" si="6"/>
        <v>87</v>
      </c>
      <c r="G21" s="126">
        <f t="shared" si="0"/>
        <v>85</v>
      </c>
      <c r="H21" s="126">
        <f t="shared" si="1"/>
        <v>84</v>
      </c>
      <c r="I21" s="125" t="s">
        <v>538</v>
      </c>
      <c r="J21" s="168" t="s">
        <v>998</v>
      </c>
      <c r="K21" s="126" t="str">
        <f t="shared" si="2"/>
        <v>-</v>
      </c>
      <c r="L21" s="126" t="str">
        <f t="shared" si="3"/>
        <v>-</v>
      </c>
      <c r="M21" s="168"/>
      <c r="N21" s="126"/>
      <c r="O21" s="126"/>
      <c r="P21" s="529"/>
      <c r="Q21" s="125">
        <f t="shared" si="4"/>
        <v>88</v>
      </c>
    </row>
    <row r="22" spans="1:17" s="526" customFormat="1" ht="12.75" customHeight="1">
      <c r="A22" s="545" t="s">
        <v>4338</v>
      </c>
      <c r="B22" s="545" t="s">
        <v>4338</v>
      </c>
      <c r="C22" s="524" t="s">
        <v>3909</v>
      </c>
      <c r="D22" s="525" t="s">
        <v>867</v>
      </c>
      <c r="E22" s="125" t="s">
        <v>948</v>
      </c>
      <c r="F22" s="126">
        <f t="shared" si="6"/>
        <v>90</v>
      </c>
      <c r="G22" s="126">
        <f t="shared" si="0"/>
        <v>88</v>
      </c>
      <c r="H22" s="126">
        <f t="shared" si="1"/>
        <v>87</v>
      </c>
      <c r="I22" s="125" t="s">
        <v>538</v>
      </c>
      <c r="J22" s="168" t="s">
        <v>998</v>
      </c>
      <c r="K22" s="126" t="str">
        <f t="shared" si="2"/>
        <v>-</v>
      </c>
      <c r="L22" s="126" t="str">
        <f t="shared" si="3"/>
        <v>-</v>
      </c>
      <c r="M22" s="168"/>
      <c r="N22" s="126"/>
      <c r="O22" s="126"/>
      <c r="P22" s="529"/>
      <c r="Q22" s="125">
        <f t="shared" si="4"/>
        <v>91</v>
      </c>
    </row>
    <row r="23" spans="1:17" s="526" customFormat="1" ht="12.75" customHeight="1">
      <c r="A23" s="545" t="s">
        <v>4338</v>
      </c>
      <c r="B23" s="545" t="s">
        <v>4338</v>
      </c>
      <c r="C23" s="524" t="s">
        <v>3910</v>
      </c>
      <c r="D23" s="525" t="s">
        <v>2418</v>
      </c>
      <c r="E23" s="125" t="s">
        <v>1080</v>
      </c>
      <c r="F23" s="126">
        <f t="shared" si="6"/>
        <v>93</v>
      </c>
      <c r="G23" s="126">
        <f t="shared" si="0"/>
        <v>91</v>
      </c>
      <c r="H23" s="126">
        <f t="shared" si="1"/>
        <v>90</v>
      </c>
      <c r="I23" s="125" t="s">
        <v>538</v>
      </c>
      <c r="J23" s="168" t="s">
        <v>998</v>
      </c>
      <c r="K23" s="126" t="str">
        <f t="shared" si="2"/>
        <v>-</v>
      </c>
      <c r="L23" s="126" t="str">
        <f t="shared" si="3"/>
        <v>-</v>
      </c>
      <c r="M23" s="168"/>
      <c r="N23" s="126"/>
      <c r="O23" s="126"/>
      <c r="P23" s="529"/>
      <c r="Q23" s="125">
        <f t="shared" si="4"/>
        <v>94</v>
      </c>
    </row>
    <row r="24" spans="1:17" s="526" customFormat="1" ht="12.75" customHeight="1">
      <c r="A24" s="522" t="str">
        <f>LEFT(C24,5)&amp;VALUE(MID(C24,6,1))+1&amp;MID(C24,7,3)</f>
        <v>111-09/07</v>
      </c>
      <c r="B24" s="523" t="str">
        <f>C24</f>
        <v>111-08/07</v>
      </c>
      <c r="C24" s="524" t="s">
        <v>3911</v>
      </c>
      <c r="D24" s="525" t="s">
        <v>2419</v>
      </c>
      <c r="E24" s="125" t="s">
        <v>1285</v>
      </c>
      <c r="F24" s="126">
        <f t="shared" si="6"/>
        <v>96</v>
      </c>
      <c r="G24" s="126">
        <f t="shared" si="0"/>
        <v>94</v>
      </c>
      <c r="H24" s="126">
        <f t="shared" si="1"/>
        <v>93</v>
      </c>
      <c r="I24" s="125" t="s">
        <v>2729</v>
      </c>
      <c r="J24" s="168">
        <v>87</v>
      </c>
      <c r="K24" s="126">
        <f t="shared" si="2"/>
        <v>85</v>
      </c>
      <c r="L24" s="126">
        <f t="shared" si="3"/>
        <v>84</v>
      </c>
      <c r="M24" s="168"/>
      <c r="N24" s="126"/>
      <c r="O24" s="126"/>
      <c r="P24" s="529"/>
      <c r="Q24" s="125">
        <f t="shared" si="4"/>
        <v>97</v>
      </c>
    </row>
    <row r="25" spans="1:17" ht="12.75" customHeight="1">
      <c r="A25" s="461"/>
      <c r="B25" s="462"/>
      <c r="D25" s="129" t="s">
        <v>2420</v>
      </c>
      <c r="E25" s="125"/>
      <c r="F25" s="126" t="s">
        <v>998</v>
      </c>
      <c r="G25" s="126"/>
      <c r="H25" s="126"/>
      <c r="I25" s="125"/>
      <c r="J25" s="168" t="s">
        <v>998</v>
      </c>
      <c r="K25" s="126" t="str">
        <f t="shared" si="2"/>
        <v>-</v>
      </c>
      <c r="L25" s="126" t="str">
        <f t="shared" si="3"/>
        <v>-</v>
      </c>
      <c r="M25" s="168"/>
      <c r="N25" s="126"/>
      <c r="O25" s="126"/>
      <c r="Q25" s="126" t="str">
        <f t="shared" si="4"/>
        <v/>
      </c>
    </row>
    <row r="26" spans="1:17" ht="12.75" customHeight="1">
      <c r="A26" s="545" t="s">
        <v>4338</v>
      </c>
      <c r="B26" s="545" t="s">
        <v>4338</v>
      </c>
      <c r="C26" s="463" t="s">
        <v>3898</v>
      </c>
      <c r="D26" s="51" t="s">
        <v>2421</v>
      </c>
      <c r="E26" s="125" t="s">
        <v>1287</v>
      </c>
      <c r="F26" s="126">
        <f>+F24+3</f>
        <v>99</v>
      </c>
      <c r="G26" s="126">
        <f t="shared" si="0"/>
        <v>97</v>
      </c>
      <c r="H26" s="126">
        <f t="shared" si="1"/>
        <v>96</v>
      </c>
      <c r="I26" s="125" t="s">
        <v>538</v>
      </c>
      <c r="J26" s="168" t="s">
        <v>998</v>
      </c>
      <c r="K26" s="126" t="str">
        <f t="shared" si="2"/>
        <v>-</v>
      </c>
      <c r="L26" s="126" t="str">
        <f t="shared" si="3"/>
        <v>-</v>
      </c>
      <c r="M26" s="168"/>
      <c r="N26" s="126"/>
      <c r="O26" s="126"/>
      <c r="Q26" s="126">
        <f t="shared" si="4"/>
        <v>100</v>
      </c>
    </row>
    <row r="27" spans="1:17" ht="12.75" customHeight="1">
      <c r="A27" s="545" t="s">
        <v>4338</v>
      </c>
      <c r="B27" s="545" t="s">
        <v>4338</v>
      </c>
      <c r="C27" s="463" t="s">
        <v>3912</v>
      </c>
      <c r="D27" s="51" t="s">
        <v>2468</v>
      </c>
      <c r="E27" s="125" t="s">
        <v>2823</v>
      </c>
      <c r="F27" s="126">
        <f>+F26+3</f>
        <v>102</v>
      </c>
      <c r="G27" s="126">
        <f>F27-2</f>
        <v>100</v>
      </c>
      <c r="H27" s="126">
        <f>G27-1</f>
        <v>99</v>
      </c>
      <c r="I27" s="125" t="s">
        <v>538</v>
      </c>
      <c r="J27" s="168" t="s">
        <v>998</v>
      </c>
      <c r="K27" s="126" t="str">
        <f t="shared" si="2"/>
        <v>-</v>
      </c>
      <c r="L27" s="126" t="str">
        <f t="shared" si="3"/>
        <v>-</v>
      </c>
      <c r="M27" s="168"/>
      <c r="N27" s="126"/>
      <c r="O27" s="126"/>
      <c r="Q27" s="126">
        <f t="shared" si="4"/>
        <v>103</v>
      </c>
    </row>
    <row r="28" spans="1:17">
      <c r="A28" s="461" t="str">
        <f>LEFT(C28,5)&amp;VALUE(MID(C28,6,1))+1&amp;MID(C28,7,3)</f>
        <v>111-02/07</v>
      </c>
      <c r="B28" s="462" t="str">
        <f>C28</f>
        <v>111-01/07</v>
      </c>
      <c r="C28" s="463" t="s">
        <v>3913</v>
      </c>
      <c r="D28" s="51" t="s">
        <v>2469</v>
      </c>
      <c r="E28" s="125" t="s">
        <v>453</v>
      </c>
      <c r="F28" s="126">
        <f t="shared" ref="F28:F34" si="7">+F27+3</f>
        <v>105</v>
      </c>
      <c r="G28" s="126">
        <f>F28-2</f>
        <v>103</v>
      </c>
      <c r="H28" s="126">
        <f>G28-1</f>
        <v>102</v>
      </c>
      <c r="I28" s="125" t="s">
        <v>948</v>
      </c>
      <c r="J28" s="168">
        <v>90</v>
      </c>
      <c r="K28" s="126">
        <f t="shared" si="2"/>
        <v>88</v>
      </c>
      <c r="L28" s="126">
        <f t="shared" si="3"/>
        <v>87</v>
      </c>
      <c r="M28" s="168"/>
      <c r="N28" s="126"/>
      <c r="O28" s="126"/>
      <c r="Q28" s="126">
        <f t="shared" si="4"/>
        <v>106</v>
      </c>
    </row>
    <row r="29" spans="1:17" ht="12.75" customHeight="1">
      <c r="A29" s="545" t="s">
        <v>4338</v>
      </c>
      <c r="B29" s="545" t="s">
        <v>4338</v>
      </c>
      <c r="C29" s="463" t="s">
        <v>3914</v>
      </c>
      <c r="D29" s="51" t="s">
        <v>2470</v>
      </c>
      <c r="E29" s="125" t="s">
        <v>2825</v>
      </c>
      <c r="F29" s="126">
        <f t="shared" si="7"/>
        <v>108</v>
      </c>
      <c r="G29" s="126">
        <f t="shared" si="0"/>
        <v>106</v>
      </c>
      <c r="H29" s="126">
        <f t="shared" si="1"/>
        <v>105</v>
      </c>
      <c r="I29" s="125"/>
      <c r="J29" s="168" t="s">
        <v>998</v>
      </c>
      <c r="K29" s="126" t="str">
        <f t="shared" si="2"/>
        <v>-</v>
      </c>
      <c r="L29" s="126" t="str">
        <f t="shared" si="3"/>
        <v>-</v>
      </c>
      <c r="M29" s="168"/>
      <c r="N29" s="126"/>
      <c r="O29" s="126"/>
      <c r="Q29" s="126">
        <f t="shared" si="4"/>
        <v>109</v>
      </c>
    </row>
    <row r="30" spans="1:17" ht="12.75" customHeight="1">
      <c r="A30" s="545" t="s">
        <v>4338</v>
      </c>
      <c r="B30" s="545" t="s">
        <v>4338</v>
      </c>
      <c r="C30" s="463" t="s">
        <v>2786</v>
      </c>
      <c r="D30" s="51" t="s">
        <v>2471</v>
      </c>
      <c r="E30" s="125" t="s">
        <v>2826</v>
      </c>
      <c r="F30" s="126">
        <f t="shared" si="7"/>
        <v>111</v>
      </c>
      <c r="G30" s="126">
        <f>F30-2</f>
        <v>109</v>
      </c>
      <c r="H30" s="126">
        <f>G30-1</f>
        <v>108</v>
      </c>
      <c r="I30" s="125"/>
      <c r="J30" s="168" t="s">
        <v>998</v>
      </c>
      <c r="K30" s="126" t="str">
        <f>IF(J30="","-",J30-2)</f>
        <v>-</v>
      </c>
      <c r="L30" s="126" t="str">
        <f>IF(K30="-","-",K30-1)</f>
        <v>-</v>
      </c>
      <c r="M30" s="168"/>
      <c r="N30" s="126"/>
      <c r="O30" s="126"/>
      <c r="Q30" s="126">
        <f>IF(F30="","",IF(F30="-","-",F30+1))</f>
        <v>112</v>
      </c>
    </row>
    <row r="31" spans="1:17">
      <c r="A31" s="461" t="str">
        <f>LEFT(C31,5)&amp;VALUE(MID(C31,6,1))+1&amp;MID(C31,7,3)</f>
        <v>111-02/40</v>
      </c>
      <c r="B31" s="462" t="str">
        <f>C31</f>
        <v>111-01/40</v>
      </c>
      <c r="C31" s="463" t="s">
        <v>2500</v>
      </c>
      <c r="D31" s="51" t="s">
        <v>2472</v>
      </c>
      <c r="E31" s="125" t="s">
        <v>2827</v>
      </c>
      <c r="F31" s="126">
        <f t="shared" si="7"/>
        <v>114</v>
      </c>
      <c r="G31" s="126">
        <f t="shared" si="0"/>
        <v>112</v>
      </c>
      <c r="H31" s="126">
        <f t="shared" si="1"/>
        <v>111</v>
      </c>
      <c r="I31" s="125" t="s">
        <v>1080</v>
      </c>
      <c r="J31" s="168">
        <v>93</v>
      </c>
      <c r="K31" s="126">
        <f t="shared" si="2"/>
        <v>91</v>
      </c>
      <c r="L31" s="126">
        <f t="shared" si="3"/>
        <v>90</v>
      </c>
      <c r="M31" s="168"/>
      <c r="N31" s="126"/>
      <c r="O31" s="126"/>
      <c r="Q31" s="126">
        <f t="shared" si="4"/>
        <v>115</v>
      </c>
    </row>
    <row r="32" spans="1:17">
      <c r="A32" s="545" t="s">
        <v>4338</v>
      </c>
      <c r="B32" s="545" t="s">
        <v>4338</v>
      </c>
      <c r="C32" s="463" t="s">
        <v>2501</v>
      </c>
      <c r="D32" s="51" t="s">
        <v>3608</v>
      </c>
      <c r="E32" s="125" t="s">
        <v>2824</v>
      </c>
      <c r="F32" s="126">
        <f t="shared" si="7"/>
        <v>117</v>
      </c>
      <c r="G32" s="126">
        <f t="shared" si="0"/>
        <v>115</v>
      </c>
      <c r="H32" s="126">
        <f t="shared" si="1"/>
        <v>114</v>
      </c>
      <c r="I32" s="125"/>
      <c r="J32" s="168" t="s">
        <v>998</v>
      </c>
      <c r="K32" s="126" t="str">
        <f t="shared" si="2"/>
        <v>-</v>
      </c>
      <c r="L32" s="126" t="str">
        <f t="shared" si="3"/>
        <v>-</v>
      </c>
      <c r="M32" s="168"/>
      <c r="N32" s="126"/>
      <c r="O32" s="126"/>
      <c r="Q32" s="126">
        <f t="shared" si="4"/>
        <v>118</v>
      </c>
    </row>
    <row r="33" spans="1:20">
      <c r="A33" s="461" t="str">
        <f>LEFT(C33,5)&amp;VALUE(MID(C33,6,1))+1&amp;MID(C33,7,3)</f>
        <v>111-02/50</v>
      </c>
      <c r="B33" s="462" t="str">
        <f>C33</f>
        <v>111-01/50</v>
      </c>
      <c r="C33" s="463" t="s">
        <v>2502</v>
      </c>
      <c r="D33" s="51" t="s">
        <v>3609</v>
      </c>
      <c r="E33" s="125" t="s">
        <v>335</v>
      </c>
      <c r="F33" s="126">
        <v>121</v>
      </c>
      <c r="G33" s="126">
        <f t="shared" si="0"/>
        <v>119</v>
      </c>
      <c r="H33" s="126">
        <f t="shared" si="1"/>
        <v>118</v>
      </c>
      <c r="I33" s="125" t="s">
        <v>1285</v>
      </c>
      <c r="J33" s="168">
        <v>96</v>
      </c>
      <c r="K33" s="126">
        <f>IF(J33="","-",J33-2)</f>
        <v>94</v>
      </c>
      <c r="L33" s="126">
        <f t="shared" si="3"/>
        <v>93</v>
      </c>
      <c r="M33" s="168"/>
      <c r="N33" s="126"/>
      <c r="O33" s="126"/>
      <c r="Q33" s="126">
        <f t="shared" si="4"/>
        <v>122</v>
      </c>
    </row>
    <row r="34" spans="1:20">
      <c r="A34" s="461" t="str">
        <f>LEFT(C34,5)&amp;VALUE(MID(C34,6,1))+1&amp;MID(C34,7,3)</f>
        <v>111-02/51</v>
      </c>
      <c r="B34" s="462" t="str">
        <f>C34</f>
        <v>111-01/51</v>
      </c>
      <c r="C34" s="463" t="s">
        <v>2503</v>
      </c>
      <c r="D34" s="51" t="s">
        <v>3610</v>
      </c>
      <c r="E34" s="125" t="s">
        <v>334</v>
      </c>
      <c r="F34" s="126">
        <f t="shared" si="7"/>
        <v>124</v>
      </c>
      <c r="G34" s="126">
        <f t="shared" si="0"/>
        <v>122</v>
      </c>
      <c r="H34" s="126">
        <f t="shared" si="1"/>
        <v>121</v>
      </c>
      <c r="I34" s="125" t="s">
        <v>1287</v>
      </c>
      <c r="J34" s="168">
        <v>99</v>
      </c>
      <c r="K34" s="126">
        <f>IF(J34="","-",J34-2)</f>
        <v>97</v>
      </c>
      <c r="L34" s="126">
        <f t="shared" si="3"/>
        <v>96</v>
      </c>
      <c r="M34" s="168"/>
      <c r="N34" s="126"/>
      <c r="O34" s="126"/>
      <c r="Q34" s="126">
        <f t="shared" si="4"/>
        <v>125</v>
      </c>
    </row>
    <row r="35" spans="1:20" ht="25.5">
      <c r="A35" s="545" t="s">
        <v>4338</v>
      </c>
      <c r="B35" s="468" t="s">
        <v>3995</v>
      </c>
      <c r="C35" s="547" t="str">
        <f>B35</f>
        <v>111-01/78-79-80-81</v>
      </c>
      <c r="D35" s="1474" t="s">
        <v>5294</v>
      </c>
      <c r="E35" s="58" t="s">
        <v>538</v>
      </c>
      <c r="F35" s="5" t="s">
        <v>538</v>
      </c>
      <c r="G35" s="5" t="s">
        <v>538</v>
      </c>
      <c r="H35" s="5" t="s">
        <v>538</v>
      </c>
      <c r="I35" s="58" t="s">
        <v>2823</v>
      </c>
      <c r="J35" s="397">
        <v>102</v>
      </c>
      <c r="K35" s="5">
        <f>IF(J35="","-",J35-2)</f>
        <v>100</v>
      </c>
      <c r="L35" s="5">
        <f t="shared" si="3"/>
        <v>99</v>
      </c>
      <c r="M35" s="397"/>
      <c r="N35" s="5"/>
      <c r="O35" s="5"/>
      <c r="P35" s="501" t="s">
        <v>5273</v>
      </c>
      <c r="Q35" s="126" t="str">
        <f t="shared" si="4"/>
        <v>-</v>
      </c>
    </row>
    <row r="36" spans="1:20">
      <c r="A36" s="545" t="s">
        <v>4338</v>
      </c>
      <c r="B36" s="462" t="s">
        <v>2785</v>
      </c>
      <c r="C36" s="547" t="str">
        <f>B36</f>
        <v>111-01/82</v>
      </c>
      <c r="D36" s="51" t="s">
        <v>3611</v>
      </c>
      <c r="E36" s="125" t="s">
        <v>538</v>
      </c>
      <c r="F36" s="126" t="s">
        <v>538</v>
      </c>
      <c r="G36" s="126" t="s">
        <v>538</v>
      </c>
      <c r="H36" s="126" t="s">
        <v>538</v>
      </c>
      <c r="I36" s="125" t="s">
        <v>453</v>
      </c>
      <c r="J36" s="168">
        <v>105</v>
      </c>
      <c r="K36" s="126">
        <f>IF(J36="","-",J36-2)</f>
        <v>103</v>
      </c>
      <c r="L36" s="126">
        <f t="shared" si="3"/>
        <v>102</v>
      </c>
      <c r="M36" s="168"/>
      <c r="N36" s="126"/>
      <c r="O36" s="126"/>
      <c r="P36" s="126"/>
      <c r="Q36" s="126" t="str">
        <f t="shared" si="4"/>
        <v>-</v>
      </c>
    </row>
    <row r="37" spans="1:20" s="4" customFormat="1">
      <c r="A37" s="545" t="s">
        <v>4338</v>
      </c>
      <c r="B37" s="2525" t="s">
        <v>5274</v>
      </c>
      <c r="C37" s="2526" t="str">
        <f>B37</f>
        <v>111-01/83</v>
      </c>
      <c r="D37" s="2527" t="s">
        <v>5292</v>
      </c>
      <c r="E37" s="2528" t="s">
        <v>333</v>
      </c>
      <c r="F37" s="2529">
        <v>127</v>
      </c>
      <c r="G37" s="126">
        <f t="shared" ref="G37:G55" si="8">F37-2</f>
        <v>125</v>
      </c>
      <c r="H37" s="126">
        <f t="shared" ref="H37:H55" si="9">G37-1</f>
        <v>124</v>
      </c>
      <c r="I37" s="2528" t="s">
        <v>2825</v>
      </c>
      <c r="J37" s="2530">
        <v>108</v>
      </c>
      <c r="K37" s="2529">
        <f>IF(J37="","-",J37-2)</f>
        <v>106</v>
      </c>
      <c r="L37" s="2529">
        <f>IF(K37="-","-",K37-1)</f>
        <v>105</v>
      </c>
      <c r="M37" s="2530"/>
      <c r="N37" s="2529"/>
      <c r="O37" s="2529"/>
      <c r="P37" s="2529" t="s">
        <v>5282</v>
      </c>
      <c r="Q37" s="2529"/>
      <c r="R37" s="2529"/>
      <c r="T37" s="126"/>
    </row>
    <row r="38" spans="1:20">
      <c r="A38" s="461"/>
      <c r="B38" s="462"/>
      <c r="C38" s="548"/>
      <c r="D38" s="129" t="s">
        <v>1954</v>
      </c>
      <c r="E38" s="125"/>
      <c r="F38" s="126" t="s">
        <v>538</v>
      </c>
      <c r="G38" s="126"/>
      <c r="H38" s="126"/>
      <c r="I38" s="125"/>
      <c r="J38" s="168" t="s">
        <v>998</v>
      </c>
      <c r="K38" s="126" t="str">
        <f t="shared" si="2"/>
        <v>-</v>
      </c>
      <c r="L38" s="126" t="str">
        <f t="shared" si="3"/>
        <v>-</v>
      </c>
      <c r="M38" s="168"/>
      <c r="N38" s="126"/>
      <c r="O38" s="126"/>
      <c r="Q38" s="126" t="str">
        <f t="shared" si="4"/>
        <v>-</v>
      </c>
    </row>
    <row r="39" spans="1:20">
      <c r="A39" s="461" t="str">
        <f>LEFT(B39,5)&amp;VALUE(MID(B39,6,1))+1&amp;MID(B39,7,3)</f>
        <v>111-02/14</v>
      </c>
      <c r="B39" s="462" t="s">
        <v>708</v>
      </c>
      <c r="C39" s="547" t="str">
        <f>B39</f>
        <v>111-01/14</v>
      </c>
      <c r="D39" s="51" t="s">
        <v>1955</v>
      </c>
      <c r="E39" s="125" t="s">
        <v>538</v>
      </c>
      <c r="F39" s="126" t="s">
        <v>538</v>
      </c>
      <c r="G39" s="126"/>
      <c r="H39" s="126"/>
      <c r="I39" s="125" t="s">
        <v>2826</v>
      </c>
      <c r="J39" s="168">
        <v>111</v>
      </c>
      <c r="K39" s="126">
        <f>IF(J39="","-",J39-2)</f>
        <v>109</v>
      </c>
      <c r="L39" s="126">
        <f>IF(K39="-","-",K39-1)</f>
        <v>108</v>
      </c>
      <c r="M39" s="168"/>
      <c r="N39" s="126"/>
      <c r="O39" s="126"/>
      <c r="P39" s="5"/>
      <c r="Q39" s="126" t="str">
        <f t="shared" si="4"/>
        <v>-</v>
      </c>
    </row>
    <row r="40" spans="1:20">
      <c r="A40" s="545" t="s">
        <v>4338</v>
      </c>
      <c r="B40" s="462" t="s">
        <v>709</v>
      </c>
      <c r="C40" s="547" t="str">
        <f>B40</f>
        <v>111-08/90</v>
      </c>
      <c r="D40" s="51" t="s">
        <v>3304</v>
      </c>
      <c r="E40" s="125" t="s">
        <v>538</v>
      </c>
      <c r="F40" s="126" t="s">
        <v>538</v>
      </c>
      <c r="G40" s="126"/>
      <c r="H40" s="126"/>
      <c r="I40" s="125" t="s">
        <v>2827</v>
      </c>
      <c r="J40" s="168">
        <v>114</v>
      </c>
      <c r="K40" s="126">
        <f>IF(J40="","-",J40-2)</f>
        <v>112</v>
      </c>
      <c r="L40" s="126">
        <f>IF(K40="-","-",K40-1)</f>
        <v>111</v>
      </c>
      <c r="M40" s="168"/>
      <c r="N40" s="126"/>
      <c r="O40" s="126"/>
      <c r="P40" s="5"/>
      <c r="Q40" s="126" t="str">
        <f t="shared" si="4"/>
        <v>-</v>
      </c>
    </row>
    <row r="41" spans="1:20" s="474" customFormat="1">
      <c r="A41" s="1201" t="s">
        <v>2623</v>
      </c>
      <c r="B41" s="1202" t="str">
        <f>C41</f>
        <v>111-01/99</v>
      </c>
      <c r="C41" s="1203" t="s">
        <v>2622</v>
      </c>
      <c r="D41" s="1204" t="s">
        <v>2621</v>
      </c>
      <c r="E41" s="125" t="s">
        <v>1423</v>
      </c>
      <c r="F41" s="126">
        <v>130</v>
      </c>
      <c r="G41" s="126">
        <f t="shared" si="8"/>
        <v>128</v>
      </c>
      <c r="H41" s="126">
        <f t="shared" si="9"/>
        <v>127</v>
      </c>
      <c r="I41" s="125" t="s">
        <v>2824</v>
      </c>
      <c r="J41" s="168">
        <v>117</v>
      </c>
      <c r="K41" s="126">
        <f>IF(J41="","-",J41-2)</f>
        <v>115</v>
      </c>
      <c r="L41" s="126">
        <f>IF(K41="-","-",K41-1)</f>
        <v>114</v>
      </c>
      <c r="M41" s="168"/>
      <c r="N41" s="126"/>
      <c r="O41" s="126"/>
      <c r="P41" s="5"/>
      <c r="Q41" s="126">
        <f t="shared" si="4"/>
        <v>131</v>
      </c>
      <c r="R41" s="475"/>
      <c r="S41" s="475"/>
      <c r="T41" s="475"/>
    </row>
    <row r="42" spans="1:20">
      <c r="A42" s="461"/>
      <c r="B42" s="462"/>
      <c r="D42" s="129" t="s">
        <v>3722</v>
      </c>
      <c r="E42" s="125"/>
      <c r="F42" s="126"/>
      <c r="G42" s="126"/>
      <c r="H42" s="126"/>
      <c r="I42" s="125"/>
      <c r="J42" s="168" t="s">
        <v>998</v>
      </c>
      <c r="K42" s="126" t="str">
        <f t="shared" si="2"/>
        <v>-</v>
      </c>
      <c r="L42" s="126" t="str">
        <f t="shared" si="3"/>
        <v>-</v>
      </c>
      <c r="M42" s="168"/>
      <c r="N42" s="126"/>
      <c r="O42" s="126"/>
      <c r="Q42" s="126" t="str">
        <f t="shared" si="4"/>
        <v/>
      </c>
    </row>
    <row r="43" spans="1:20">
      <c r="A43" s="545" t="s">
        <v>4338</v>
      </c>
      <c r="B43" s="545" t="s">
        <v>4338</v>
      </c>
      <c r="C43" s="463" t="s">
        <v>3679</v>
      </c>
      <c r="D43" s="51" t="s">
        <v>3306</v>
      </c>
      <c r="E43" s="125" t="s">
        <v>1977</v>
      </c>
      <c r="F43" s="126">
        <v>133</v>
      </c>
      <c r="G43" s="126">
        <f t="shared" si="8"/>
        <v>131</v>
      </c>
      <c r="H43" s="126">
        <f t="shared" si="9"/>
        <v>130</v>
      </c>
      <c r="I43" s="125"/>
      <c r="J43" s="168" t="s">
        <v>998</v>
      </c>
      <c r="K43" s="126" t="str">
        <f t="shared" si="2"/>
        <v>-</v>
      </c>
      <c r="L43" s="126" t="str">
        <f t="shared" si="3"/>
        <v>-</v>
      </c>
      <c r="M43" s="168"/>
      <c r="N43" s="126"/>
      <c r="O43" s="126"/>
      <c r="Q43" s="126">
        <f t="shared" si="4"/>
        <v>134</v>
      </c>
    </row>
    <row r="44" spans="1:20" s="2514" customFormat="1" ht="25.5">
      <c r="A44" s="464" t="str">
        <f>C44</f>
        <v>121-48/01</v>
      </c>
      <c r="B44" s="468" t="str">
        <f>C44</f>
        <v>121-48/01</v>
      </c>
      <c r="C44" s="469" t="s">
        <v>2787</v>
      </c>
      <c r="D44" s="2509" t="s">
        <v>3238</v>
      </c>
      <c r="E44" s="125" t="s">
        <v>1981</v>
      </c>
      <c r="F44" s="2510">
        <v>136</v>
      </c>
      <c r="G44" s="126">
        <f t="shared" si="8"/>
        <v>134</v>
      </c>
      <c r="H44" s="126">
        <f t="shared" si="9"/>
        <v>133</v>
      </c>
      <c r="I44" s="125" t="s">
        <v>2829</v>
      </c>
      <c r="J44" s="2511">
        <v>129</v>
      </c>
      <c r="K44" s="2510">
        <f t="shared" si="2"/>
        <v>127</v>
      </c>
      <c r="L44" s="2510">
        <f t="shared" si="3"/>
        <v>126</v>
      </c>
      <c r="M44" s="2511"/>
      <c r="N44" s="2510"/>
      <c r="O44" s="2510"/>
      <c r="P44" s="2512" t="s">
        <v>3816</v>
      </c>
      <c r="Q44" s="2510">
        <f t="shared" si="4"/>
        <v>137</v>
      </c>
      <c r="R44" s="2513"/>
      <c r="S44" s="2513"/>
      <c r="T44" s="2513"/>
    </row>
    <row r="45" spans="1:20">
      <c r="A45" s="545" t="s">
        <v>4338</v>
      </c>
      <c r="B45" s="545" t="s">
        <v>4338</v>
      </c>
      <c r="C45" s="463" t="s">
        <v>2790</v>
      </c>
      <c r="D45" s="51" t="s">
        <v>3241</v>
      </c>
      <c r="E45" s="125" t="s">
        <v>3814</v>
      </c>
      <c r="F45" s="126">
        <v>138</v>
      </c>
      <c r="G45" s="126">
        <f t="shared" si="8"/>
        <v>136</v>
      </c>
      <c r="H45" s="126">
        <f t="shared" si="9"/>
        <v>135</v>
      </c>
      <c r="I45" s="125"/>
      <c r="J45" s="168" t="s">
        <v>998</v>
      </c>
      <c r="K45" s="126" t="str">
        <f t="shared" si="2"/>
        <v>-</v>
      </c>
      <c r="L45" s="126" t="str">
        <f t="shared" si="3"/>
        <v>-</v>
      </c>
      <c r="M45" s="168"/>
      <c r="N45" s="126"/>
      <c r="O45" s="126"/>
      <c r="Q45" s="126">
        <f t="shared" si="4"/>
        <v>139</v>
      </c>
    </row>
    <row r="46" spans="1:20">
      <c r="A46" s="545" t="s">
        <v>4338</v>
      </c>
      <c r="B46" s="545" t="s">
        <v>4338</v>
      </c>
      <c r="C46" s="463" t="s">
        <v>2789</v>
      </c>
      <c r="D46" s="51" t="s">
        <v>4039</v>
      </c>
      <c r="E46" s="125" t="s">
        <v>3811</v>
      </c>
      <c r="F46" s="126">
        <v>144</v>
      </c>
      <c r="G46" s="126">
        <f t="shared" si="8"/>
        <v>142</v>
      </c>
      <c r="H46" s="126">
        <f t="shared" si="9"/>
        <v>141</v>
      </c>
      <c r="I46" s="125"/>
      <c r="J46" s="168" t="s">
        <v>998</v>
      </c>
      <c r="K46" s="126" t="str">
        <f t="shared" si="2"/>
        <v>-</v>
      </c>
      <c r="L46" s="126" t="str">
        <f t="shared" si="3"/>
        <v>-</v>
      </c>
      <c r="M46" s="168"/>
      <c r="N46" s="126"/>
      <c r="O46" s="126"/>
      <c r="Q46" s="126">
        <f t="shared" si="4"/>
        <v>145</v>
      </c>
    </row>
    <row r="47" spans="1:20">
      <c r="B47" s="462"/>
      <c r="C47" s="463"/>
      <c r="D47" s="129" t="s">
        <v>4040</v>
      </c>
      <c r="E47" s="125"/>
      <c r="F47" s="126"/>
      <c r="G47" s="126"/>
      <c r="H47" s="126"/>
      <c r="I47" s="125"/>
      <c r="J47" s="168" t="s">
        <v>998</v>
      </c>
      <c r="K47" s="126" t="str">
        <f t="shared" si="2"/>
        <v>-</v>
      </c>
      <c r="L47" s="126" t="str">
        <f t="shared" si="3"/>
        <v>-</v>
      </c>
      <c r="M47" s="168"/>
      <c r="N47" s="126"/>
      <c r="O47" s="126"/>
      <c r="P47" s="5"/>
      <c r="Q47" s="126" t="str">
        <f t="shared" si="4"/>
        <v/>
      </c>
    </row>
    <row r="48" spans="1:20">
      <c r="A48" s="461" t="str">
        <f>LEFT(C48,5)&amp;VALUE(MID(C48,6,1))+1&amp;MID(C48,7,3)</f>
        <v>115-02/10</v>
      </c>
      <c r="B48" s="462" t="str">
        <f>C48</f>
        <v>115-01/10</v>
      </c>
      <c r="C48" s="463" t="s">
        <v>2855</v>
      </c>
      <c r="D48" s="51" t="s">
        <v>492</v>
      </c>
      <c r="E48" s="125" t="s">
        <v>3812</v>
      </c>
      <c r="F48" s="126">
        <v>147</v>
      </c>
      <c r="G48" s="126">
        <f t="shared" si="8"/>
        <v>145</v>
      </c>
      <c r="H48" s="126">
        <f t="shared" si="9"/>
        <v>144</v>
      </c>
      <c r="I48" s="125" t="s">
        <v>2828</v>
      </c>
      <c r="J48" s="168">
        <v>120</v>
      </c>
      <c r="K48" s="126">
        <f t="shared" si="2"/>
        <v>118</v>
      </c>
      <c r="L48" s="126">
        <f t="shared" si="3"/>
        <v>117</v>
      </c>
      <c r="M48" s="168"/>
      <c r="N48" s="126"/>
      <c r="O48" s="126"/>
      <c r="P48" s="126"/>
      <c r="Q48" s="126">
        <f t="shared" si="4"/>
        <v>148</v>
      </c>
    </row>
    <row r="49" spans="1:256">
      <c r="A49" s="461" t="str">
        <f>LEFT(C49,5)&amp;VALUE(MID(C49,6,1))+1&amp;MID(C49,7,3)</f>
        <v>115-02/11</v>
      </c>
      <c r="B49" s="462" t="str">
        <f>C49</f>
        <v>115-01/11</v>
      </c>
      <c r="C49" s="463" t="s">
        <v>2856</v>
      </c>
      <c r="D49" s="51" t="s">
        <v>493</v>
      </c>
      <c r="E49" s="125" t="s">
        <v>3813</v>
      </c>
      <c r="F49" s="126">
        <v>150</v>
      </c>
      <c r="G49" s="126">
        <f t="shared" si="8"/>
        <v>148</v>
      </c>
      <c r="H49" s="126">
        <f t="shared" si="9"/>
        <v>147</v>
      </c>
      <c r="I49" s="125" t="s">
        <v>2833</v>
      </c>
      <c r="J49" s="168">
        <v>123</v>
      </c>
      <c r="K49" s="126">
        <f t="shared" si="2"/>
        <v>121</v>
      </c>
      <c r="L49" s="126">
        <f t="shared" si="3"/>
        <v>120</v>
      </c>
      <c r="M49" s="168"/>
      <c r="N49" s="126"/>
      <c r="O49" s="126"/>
      <c r="P49" s="126" t="s">
        <v>2067</v>
      </c>
      <c r="Q49" s="126">
        <f t="shared" si="4"/>
        <v>151</v>
      </c>
    </row>
    <row r="50" spans="1:256">
      <c r="A50" s="461" t="str">
        <f>B50</f>
        <v>121-01</v>
      </c>
      <c r="B50" s="462" t="str">
        <f>C50</f>
        <v>121-01</v>
      </c>
      <c r="C50" s="463" t="s">
        <v>3678</v>
      </c>
      <c r="D50" s="51" t="s">
        <v>3723</v>
      </c>
      <c r="E50" s="125" t="s">
        <v>4351</v>
      </c>
      <c r="F50" s="126">
        <v>153</v>
      </c>
      <c r="G50" s="126">
        <f t="shared" si="8"/>
        <v>151</v>
      </c>
      <c r="H50" s="126">
        <f t="shared" si="9"/>
        <v>150</v>
      </c>
      <c r="I50" s="125" t="s">
        <v>748</v>
      </c>
      <c r="J50" s="168">
        <v>126</v>
      </c>
      <c r="K50" s="126">
        <f t="shared" si="2"/>
        <v>124</v>
      </c>
      <c r="L50" s="126">
        <f t="shared" si="3"/>
        <v>123</v>
      </c>
      <c r="M50" s="168"/>
      <c r="N50" s="126"/>
      <c r="O50" s="126"/>
      <c r="P50" s="126"/>
      <c r="Q50" s="126">
        <f t="shared" si="4"/>
        <v>154</v>
      </c>
    </row>
    <row r="51" spans="1:256">
      <c r="A51" s="545" t="s">
        <v>4338</v>
      </c>
      <c r="B51" s="545" t="s">
        <v>4338</v>
      </c>
      <c r="C51" s="463" t="s">
        <v>710</v>
      </c>
      <c r="D51" s="51" t="s">
        <v>494</v>
      </c>
      <c r="E51" s="125" t="s">
        <v>3810</v>
      </c>
      <c r="F51" s="126">
        <v>141</v>
      </c>
      <c r="G51" s="126">
        <f t="shared" si="8"/>
        <v>139</v>
      </c>
      <c r="H51" s="126">
        <f t="shared" si="9"/>
        <v>138</v>
      </c>
      <c r="I51" s="125"/>
      <c r="J51" s="168" t="s">
        <v>998</v>
      </c>
      <c r="K51" s="126" t="str">
        <f t="shared" si="2"/>
        <v>-</v>
      </c>
      <c r="L51" s="126" t="str">
        <f t="shared" si="3"/>
        <v>-</v>
      </c>
      <c r="M51" s="168"/>
      <c r="N51" s="126"/>
      <c r="O51" s="126"/>
      <c r="P51" s="126"/>
      <c r="Q51" s="126">
        <f t="shared" si="4"/>
        <v>142</v>
      </c>
    </row>
    <row r="52" spans="1:256">
      <c r="A52" s="461" t="str">
        <f>C52</f>
        <v>121-48/20</v>
      </c>
      <c r="B52" s="462" t="str">
        <f t="shared" ref="B52:B59" si="10">C52</f>
        <v>121-48/20</v>
      </c>
      <c r="C52" s="463" t="s">
        <v>2788</v>
      </c>
      <c r="D52" s="51" t="s">
        <v>2755</v>
      </c>
      <c r="E52" s="125" t="s">
        <v>2840</v>
      </c>
      <c r="F52" s="126">
        <v>156</v>
      </c>
      <c r="G52" s="126">
        <f t="shared" si="8"/>
        <v>154</v>
      </c>
      <c r="H52" s="126">
        <f t="shared" si="9"/>
        <v>153</v>
      </c>
      <c r="I52" s="125" t="s">
        <v>2830</v>
      </c>
      <c r="J52" s="168">
        <v>132</v>
      </c>
      <c r="K52" s="126">
        <f t="shared" si="2"/>
        <v>130</v>
      </c>
      <c r="L52" s="126">
        <f t="shared" si="3"/>
        <v>129</v>
      </c>
      <c r="M52" s="168"/>
      <c r="N52" s="126"/>
      <c r="O52" s="126"/>
      <c r="P52" s="126"/>
      <c r="Q52" s="126">
        <f t="shared" si="4"/>
        <v>157</v>
      </c>
    </row>
    <row r="53" spans="1:256">
      <c r="A53" s="461" t="str">
        <f>C53</f>
        <v>121-48/21</v>
      </c>
      <c r="B53" s="462" t="str">
        <f t="shared" si="10"/>
        <v>121-48/21</v>
      </c>
      <c r="C53" s="463" t="s">
        <v>634</v>
      </c>
      <c r="D53" s="51" t="s">
        <v>851</v>
      </c>
      <c r="E53" s="125" t="s">
        <v>4353</v>
      </c>
      <c r="F53" s="126">
        <v>159</v>
      </c>
      <c r="G53" s="126">
        <f t="shared" si="8"/>
        <v>157</v>
      </c>
      <c r="H53" s="126">
        <f t="shared" si="9"/>
        <v>156</v>
      </c>
      <c r="I53" s="125" t="s">
        <v>332</v>
      </c>
      <c r="J53" s="168">
        <v>135</v>
      </c>
      <c r="K53" s="126">
        <f t="shared" si="2"/>
        <v>133</v>
      </c>
      <c r="L53" s="126">
        <f t="shared" si="3"/>
        <v>132</v>
      </c>
      <c r="M53" s="168"/>
      <c r="N53" s="126"/>
      <c r="O53" s="126"/>
      <c r="P53" s="126"/>
      <c r="Q53" s="126">
        <f t="shared" si="4"/>
        <v>160</v>
      </c>
    </row>
    <row r="54" spans="1:256">
      <c r="A54" s="461" t="str">
        <f>C54</f>
        <v>121-48/22</v>
      </c>
      <c r="B54" s="462" t="str">
        <f>C54</f>
        <v>121-48/22</v>
      </c>
      <c r="C54" s="463" t="s">
        <v>204</v>
      </c>
      <c r="D54" s="51" t="s">
        <v>3548</v>
      </c>
      <c r="E54" s="125" t="s">
        <v>340</v>
      </c>
      <c r="F54" s="126">
        <v>162</v>
      </c>
      <c r="G54" s="126">
        <f t="shared" si="8"/>
        <v>160</v>
      </c>
      <c r="H54" s="126">
        <f t="shared" si="9"/>
        <v>159</v>
      </c>
      <c r="I54" s="125" t="s">
        <v>3814</v>
      </c>
      <c r="J54" s="168">
        <v>138</v>
      </c>
      <c r="K54" s="126">
        <f t="shared" si="2"/>
        <v>136</v>
      </c>
      <c r="L54" s="126">
        <f t="shared" si="3"/>
        <v>135</v>
      </c>
      <c r="M54" s="168"/>
      <c r="N54" s="126"/>
      <c r="O54" s="126"/>
      <c r="P54" s="5"/>
      <c r="Q54" s="126"/>
    </row>
    <row r="55" spans="1:256" ht="13.5" thickBot="1">
      <c r="A55" s="542" t="str">
        <f>C55</f>
        <v>121-48/99</v>
      </c>
      <c r="B55" s="543" t="str">
        <f t="shared" si="10"/>
        <v>121-48/99</v>
      </c>
      <c r="C55" s="473" t="s">
        <v>2857</v>
      </c>
      <c r="D55" s="455" t="s">
        <v>496</v>
      </c>
      <c r="E55" s="125" t="s">
        <v>751</v>
      </c>
      <c r="F55" s="126">
        <v>165</v>
      </c>
      <c r="G55" s="126">
        <f t="shared" si="8"/>
        <v>163</v>
      </c>
      <c r="H55" s="126">
        <f t="shared" si="9"/>
        <v>162</v>
      </c>
      <c r="I55" s="125" t="s">
        <v>3810</v>
      </c>
      <c r="J55" s="168">
        <v>141</v>
      </c>
      <c r="K55" s="126">
        <f t="shared" si="2"/>
        <v>139</v>
      </c>
      <c r="L55" s="126">
        <f t="shared" si="3"/>
        <v>138</v>
      </c>
      <c r="M55" s="168"/>
      <c r="N55" s="126"/>
      <c r="O55" s="126"/>
      <c r="Q55" s="126">
        <f t="shared" si="4"/>
        <v>166</v>
      </c>
    </row>
    <row r="56" spans="1:256" s="474" customFormat="1" ht="33.75" customHeight="1">
      <c r="A56" s="465" t="str">
        <f>LEFT(C56,5)&amp;VALUE(MID(C56,6,1))+1&amp;MID(C56,7,3)</f>
        <v>113-02</v>
      </c>
      <c r="B56" s="466" t="str">
        <f t="shared" si="10"/>
        <v>113-01</v>
      </c>
      <c r="C56" s="467" t="s">
        <v>3925</v>
      </c>
      <c r="D56" s="1299" t="s">
        <v>3060</v>
      </c>
      <c r="E56" s="121" t="s">
        <v>5283</v>
      </c>
      <c r="F56" s="122">
        <v>167</v>
      </c>
      <c r="G56" s="122">
        <v>165</v>
      </c>
      <c r="H56" s="122">
        <v>164</v>
      </c>
      <c r="I56" s="121" t="s">
        <v>2837</v>
      </c>
      <c r="J56" s="1475">
        <v>143</v>
      </c>
      <c r="K56" s="122">
        <f t="shared" si="2"/>
        <v>141</v>
      </c>
      <c r="L56" s="122">
        <f t="shared" si="3"/>
        <v>140</v>
      </c>
      <c r="M56" s="1475"/>
      <c r="N56" s="122"/>
      <c r="O56" s="122"/>
      <c r="P56" s="1529"/>
      <c r="Q56" s="451">
        <f t="shared" si="4"/>
        <v>168</v>
      </c>
      <c r="R56" s="475"/>
      <c r="S56" s="475"/>
      <c r="T56" s="475"/>
    </row>
    <row r="57" spans="1:256" s="474" customFormat="1" ht="21.75" customHeight="1">
      <c r="A57" s="1125" t="s">
        <v>4338</v>
      </c>
      <c r="B57" s="468" t="str">
        <f t="shared" si="10"/>
        <v>113-21</v>
      </c>
      <c r="C57" s="469" t="s">
        <v>3924</v>
      </c>
      <c r="D57" s="450" t="s">
        <v>3298</v>
      </c>
      <c r="E57" s="125" t="s">
        <v>5284</v>
      </c>
      <c r="F57" s="126">
        <v>169</v>
      </c>
      <c r="G57" s="126">
        <v>167</v>
      </c>
      <c r="H57" s="126">
        <v>166</v>
      </c>
      <c r="I57" s="125" t="s">
        <v>1980</v>
      </c>
      <c r="J57" s="168">
        <v>145</v>
      </c>
      <c r="K57" s="126">
        <f t="shared" si="2"/>
        <v>143</v>
      </c>
      <c r="L57" s="126">
        <f t="shared" si="3"/>
        <v>142</v>
      </c>
      <c r="M57" s="168"/>
      <c r="N57" s="126"/>
      <c r="O57" s="126"/>
      <c r="P57" s="502"/>
      <c r="Q57" s="452">
        <f t="shared" si="4"/>
        <v>170</v>
      </c>
      <c r="R57" s="475"/>
      <c r="S57" s="475"/>
      <c r="T57" s="475"/>
    </row>
    <row r="58" spans="1:256" s="474" customFormat="1" ht="13.5" thickBot="1">
      <c r="A58" s="470" t="str">
        <f>LEFT(C58,5)&amp;VALUE(MID(C58,6,1))+1&amp;MID(C58,7,3)</f>
        <v>113-09</v>
      </c>
      <c r="B58" s="471" t="str">
        <f t="shared" si="10"/>
        <v>113-08</v>
      </c>
      <c r="C58" s="472" t="s">
        <v>1797</v>
      </c>
      <c r="D58" s="1300" t="s">
        <v>2933</v>
      </c>
      <c r="E58" s="123" t="s">
        <v>5285</v>
      </c>
      <c r="F58" s="124">
        <v>171</v>
      </c>
      <c r="G58" s="124">
        <v>169</v>
      </c>
      <c r="H58" s="124">
        <v>168</v>
      </c>
      <c r="I58" s="123" t="s">
        <v>3812</v>
      </c>
      <c r="J58" s="1476">
        <v>147</v>
      </c>
      <c r="K58" s="124">
        <f t="shared" si="2"/>
        <v>145</v>
      </c>
      <c r="L58" s="124">
        <f t="shared" si="3"/>
        <v>144</v>
      </c>
      <c r="M58" s="1476"/>
      <c r="N58" s="124"/>
      <c r="O58" s="124"/>
      <c r="P58" s="1530"/>
      <c r="Q58" s="453">
        <f t="shared" si="4"/>
        <v>172</v>
      </c>
      <c r="R58" s="475"/>
      <c r="S58" s="475"/>
      <c r="T58" s="475"/>
    </row>
    <row r="59" spans="1:256">
      <c r="A59" s="1531" t="str">
        <f>C59</f>
        <v>117-01</v>
      </c>
      <c r="B59" s="1532" t="str">
        <f t="shared" si="10"/>
        <v>117-01</v>
      </c>
      <c r="C59" s="1533" t="s">
        <v>1798</v>
      </c>
      <c r="D59" s="1526" t="s">
        <v>2520</v>
      </c>
      <c r="E59" s="121" t="s">
        <v>5286</v>
      </c>
      <c r="F59" s="122">
        <v>173</v>
      </c>
      <c r="G59" s="122">
        <v>171</v>
      </c>
      <c r="H59" s="122">
        <v>170</v>
      </c>
      <c r="I59" s="121" t="s">
        <v>2832</v>
      </c>
      <c r="J59" s="1475">
        <v>149</v>
      </c>
      <c r="K59" s="122">
        <f t="shared" si="2"/>
        <v>147</v>
      </c>
      <c r="L59" s="122">
        <f t="shared" si="3"/>
        <v>146</v>
      </c>
      <c r="M59" s="1475"/>
      <c r="N59" s="122"/>
      <c r="O59" s="122"/>
      <c r="P59" s="1534" t="s">
        <v>1662</v>
      </c>
      <c r="Q59" s="451">
        <f t="shared" si="4"/>
        <v>174</v>
      </c>
    </row>
    <row r="60" spans="1:256" ht="13.5" thickBot="1">
      <c r="A60" s="1535" t="str">
        <f>C60</f>
        <v>118-01</v>
      </c>
      <c r="B60" s="1536" t="str">
        <f>C60</f>
        <v>118-01</v>
      </c>
      <c r="C60" s="1537" t="s">
        <v>1799</v>
      </c>
      <c r="D60" s="1538" t="str">
        <f>"Cotisations service social :  "&amp;PctSvSocDst*100&amp; "%"</f>
        <v>Cotisations service social :  0,15%</v>
      </c>
      <c r="E60" s="123" t="s">
        <v>3072</v>
      </c>
      <c r="F60" s="124">
        <v>175</v>
      </c>
      <c r="G60" s="124">
        <v>173</v>
      </c>
      <c r="H60" s="124">
        <v>172</v>
      </c>
      <c r="I60" s="123" t="s">
        <v>749</v>
      </c>
      <c r="J60" s="1476">
        <v>151</v>
      </c>
      <c r="K60" s="124">
        <f>IF(J60="","-",J60-2)</f>
        <v>149</v>
      </c>
      <c r="L60" s="124">
        <f>IF(K60="-","-",K60-1)</f>
        <v>148</v>
      </c>
      <c r="M60" s="1476"/>
      <c r="N60" s="124"/>
      <c r="O60" s="124"/>
      <c r="P60" s="1539"/>
      <c r="Q60" s="453">
        <f>IF(F60="","",IF(F60="-","-",F60+1))</f>
        <v>176</v>
      </c>
    </row>
    <row r="61" spans="1:256" ht="12.75" customHeight="1">
      <c r="A61" s="461"/>
      <c r="B61" s="2533" t="s">
        <v>1914</v>
      </c>
      <c r="C61" s="446"/>
      <c r="D61" s="2531"/>
      <c r="E61" s="2531"/>
      <c r="F61" s="2531"/>
      <c r="G61" s="2531"/>
      <c r="H61" s="2531"/>
      <c r="I61" s="2531"/>
      <c r="J61" s="2531"/>
      <c r="K61" s="2531"/>
      <c r="L61" s="2531"/>
      <c r="M61" s="2531"/>
      <c r="N61" s="2531"/>
      <c r="O61" s="2531"/>
      <c r="P61" s="2517"/>
      <c r="Q61" s="2517"/>
      <c r="R61" s="2517"/>
      <c r="S61" s="2517"/>
      <c r="T61" s="2517"/>
      <c r="U61" s="2517"/>
      <c r="V61" s="2517"/>
      <c r="W61" s="2517"/>
      <c r="X61" s="2517"/>
      <c r="Y61" s="2517"/>
      <c r="Z61" s="2532"/>
      <c r="AA61" s="2532"/>
      <c r="AB61" s="2532"/>
      <c r="AC61" s="2532"/>
      <c r="AD61" s="2532"/>
      <c r="AE61" s="2532"/>
      <c r="AF61" s="2532"/>
      <c r="AG61" s="2532"/>
      <c r="AH61" s="2532"/>
      <c r="AI61" s="2532"/>
      <c r="AJ61" s="2532"/>
      <c r="AK61" s="2532"/>
      <c r="AL61" s="2532"/>
      <c r="AM61" s="2532"/>
      <c r="AN61" s="2532"/>
      <c r="AO61" s="2532"/>
      <c r="AP61" s="2532"/>
      <c r="AQ61" s="2532"/>
      <c r="AR61" s="2532"/>
      <c r="AS61" s="2532"/>
      <c r="AT61" s="2532"/>
      <c r="AU61" s="2532"/>
      <c r="AV61" s="2532"/>
      <c r="AW61" s="2532"/>
      <c r="AX61" s="2532"/>
      <c r="AY61" s="2532"/>
      <c r="AZ61" s="2532"/>
      <c r="BA61" s="2532"/>
      <c r="BB61" s="2532"/>
      <c r="BC61" s="2532"/>
      <c r="BD61" s="2532"/>
      <c r="BE61" s="2532"/>
      <c r="BF61" s="2532"/>
      <c r="BG61" s="2532"/>
      <c r="BH61" s="2532"/>
      <c r="BI61" s="2532"/>
      <c r="BJ61" s="2532"/>
      <c r="BK61" s="2532"/>
      <c r="BL61" s="2532"/>
      <c r="BM61" s="2532"/>
      <c r="BN61" s="2532"/>
      <c r="BO61" s="2532"/>
      <c r="BP61" s="2532"/>
      <c r="BQ61" s="2532"/>
      <c r="BR61" s="2532"/>
      <c r="BS61" s="2532"/>
      <c r="BT61" s="2532"/>
      <c r="BU61" s="2532"/>
      <c r="BV61" s="2532"/>
      <c r="BW61" s="2532"/>
      <c r="BX61" s="2532"/>
      <c r="BY61" s="2532"/>
      <c r="BZ61" s="2532"/>
      <c r="CA61" s="2532"/>
      <c r="CB61" s="2532"/>
      <c r="CC61" s="2532"/>
      <c r="CD61" s="2532"/>
      <c r="CE61" s="2532"/>
      <c r="CF61" s="2532"/>
      <c r="CG61" s="2532"/>
      <c r="CH61" s="2532"/>
      <c r="CI61" s="2532"/>
      <c r="CJ61" s="2532"/>
      <c r="CK61" s="2532"/>
      <c r="CL61" s="2532"/>
      <c r="CM61" s="2532"/>
      <c r="CN61" s="2532"/>
      <c r="CO61" s="2532"/>
      <c r="CP61" s="2532"/>
      <c r="CQ61" s="2532"/>
      <c r="CR61" s="2532"/>
      <c r="CS61" s="2532"/>
      <c r="CT61" s="2532"/>
      <c r="CU61" s="2532"/>
      <c r="CV61" s="2532"/>
      <c r="CW61" s="2532"/>
      <c r="CX61" s="2532"/>
      <c r="CY61" s="2532"/>
      <c r="CZ61" s="2532"/>
      <c r="DA61" s="2532"/>
      <c r="DB61" s="2532"/>
      <c r="DC61" s="2532"/>
      <c r="DD61" s="2532"/>
      <c r="DE61" s="2532"/>
      <c r="DF61" s="2532"/>
      <c r="DG61" s="2532"/>
      <c r="DH61" s="2532"/>
      <c r="DI61" s="2532"/>
      <c r="DJ61" s="2532"/>
      <c r="DK61" s="2532"/>
      <c r="DL61" s="2532"/>
      <c r="DM61" s="2532"/>
      <c r="DN61" s="2532"/>
      <c r="DO61" s="2532"/>
      <c r="DP61" s="2532"/>
      <c r="DQ61" s="2532"/>
      <c r="DR61" s="2532"/>
      <c r="DS61" s="2532"/>
      <c r="DT61" s="2532"/>
      <c r="DU61" s="2532"/>
      <c r="DV61" s="2532"/>
      <c r="DW61" s="2532"/>
      <c r="DX61" s="2532"/>
      <c r="DY61" s="2532"/>
      <c r="DZ61" s="2532"/>
      <c r="EA61" s="2532"/>
      <c r="EB61" s="2532"/>
      <c r="EC61" s="2532"/>
      <c r="ED61" s="2532"/>
      <c r="EE61" s="2532"/>
      <c r="EF61" s="2532"/>
      <c r="EG61" s="2532"/>
      <c r="EH61" s="2532"/>
      <c r="EI61" s="2532"/>
      <c r="EJ61" s="2532"/>
      <c r="EK61" s="2532"/>
      <c r="EL61" s="2532"/>
      <c r="EM61" s="2532"/>
      <c r="EN61" s="2532"/>
      <c r="EO61" s="2532"/>
      <c r="EP61" s="2532"/>
      <c r="EQ61" s="2532"/>
      <c r="ER61" s="2532"/>
      <c r="ES61" s="2532"/>
      <c r="ET61" s="2532"/>
      <c r="EU61" s="2532"/>
      <c r="EV61" s="2532"/>
      <c r="EW61" s="2532"/>
      <c r="EX61" s="2532"/>
      <c r="EY61" s="2532"/>
      <c r="EZ61" s="2532"/>
      <c r="FA61" s="2532"/>
      <c r="FB61" s="2532"/>
      <c r="FC61" s="2532"/>
      <c r="FD61" s="2532"/>
      <c r="FE61" s="2532"/>
      <c r="FF61" s="2532"/>
      <c r="FG61" s="2532"/>
      <c r="FH61" s="2532"/>
      <c r="FI61" s="2532"/>
      <c r="FJ61" s="2532"/>
      <c r="FK61" s="2532"/>
      <c r="FL61" s="2532"/>
      <c r="FM61" s="2532"/>
      <c r="FN61" s="2532"/>
      <c r="FO61" s="2532"/>
      <c r="FP61" s="2532"/>
      <c r="FQ61" s="2532"/>
      <c r="FR61" s="2532"/>
      <c r="FS61" s="2532"/>
      <c r="FT61" s="2532"/>
      <c r="FU61" s="2532"/>
      <c r="FV61" s="2532"/>
      <c r="FW61" s="2532"/>
      <c r="FX61" s="2532"/>
      <c r="FY61" s="2532"/>
      <c r="FZ61" s="2532"/>
      <c r="GA61" s="2532"/>
      <c r="GB61" s="2532"/>
      <c r="GC61" s="2532"/>
      <c r="GD61" s="2532"/>
      <c r="GE61" s="2532"/>
      <c r="GF61" s="2532"/>
      <c r="GG61" s="2532"/>
      <c r="GH61" s="2532"/>
      <c r="GI61" s="2532"/>
      <c r="GJ61" s="2532"/>
      <c r="GK61" s="2532"/>
      <c r="GL61" s="2532"/>
      <c r="GM61" s="2532"/>
      <c r="GN61" s="2532"/>
      <c r="GO61" s="2532"/>
      <c r="GP61" s="2532"/>
      <c r="GQ61" s="2532"/>
      <c r="GR61" s="2532"/>
      <c r="GS61" s="2532"/>
      <c r="GT61" s="2532"/>
      <c r="GU61" s="2532"/>
      <c r="GV61" s="2532"/>
      <c r="GW61" s="2532"/>
      <c r="GX61" s="2532"/>
      <c r="GY61" s="2532"/>
      <c r="GZ61" s="2532"/>
      <c r="HA61" s="2532"/>
      <c r="HB61" s="2532"/>
      <c r="HC61" s="2532"/>
      <c r="HD61" s="2532"/>
      <c r="HE61" s="2532"/>
      <c r="HF61" s="2532"/>
      <c r="HG61" s="2532"/>
      <c r="HH61" s="2532"/>
      <c r="HI61" s="2532"/>
      <c r="HJ61" s="2532"/>
      <c r="HK61" s="2532"/>
      <c r="HL61" s="2532"/>
      <c r="HM61" s="2532"/>
      <c r="HN61" s="2532"/>
      <c r="HO61" s="2532"/>
      <c r="HP61" s="2532"/>
      <c r="HQ61" s="2532"/>
      <c r="HR61" s="2532"/>
      <c r="HS61" s="2532"/>
      <c r="HT61" s="2532"/>
      <c r="HU61" s="2532"/>
      <c r="HV61" s="2532"/>
      <c r="HW61" s="2532"/>
      <c r="HX61" s="2532"/>
      <c r="HY61" s="2532"/>
      <c r="HZ61" s="2532"/>
      <c r="IA61" s="2532"/>
      <c r="IB61" s="2532"/>
      <c r="IC61" s="2532"/>
      <c r="ID61" s="2532"/>
      <c r="IE61" s="2532"/>
      <c r="IF61" s="2532"/>
      <c r="IG61" s="2532"/>
      <c r="IH61" s="2532"/>
      <c r="II61" s="2532"/>
      <c r="IJ61" s="2532"/>
      <c r="IK61" s="2532"/>
      <c r="IL61" s="2532"/>
      <c r="IM61" s="2532"/>
      <c r="IN61" s="2532"/>
      <c r="IO61" s="2532"/>
      <c r="IP61" s="2532"/>
      <c r="IQ61" s="2532"/>
      <c r="IR61" s="2532"/>
      <c r="IS61" s="2532"/>
      <c r="IT61" s="2532"/>
      <c r="IU61" s="2532"/>
      <c r="IV61" s="2532"/>
    </row>
    <row r="62" spans="1:256" s="474" customFormat="1" ht="22.5">
      <c r="A62" s="464" t="str">
        <f>LEFT(C62,5)&amp;VALUE(MID(C62,6,1))+1&amp;MID(C62,7,3)</f>
        <v>111-02/12</v>
      </c>
      <c r="B62" s="468" t="str">
        <f>C62</f>
        <v>111-01/12</v>
      </c>
      <c r="C62" s="469" t="s">
        <v>1998</v>
      </c>
      <c r="D62" s="477" t="s">
        <v>38</v>
      </c>
      <c r="E62" s="125" t="s">
        <v>5287</v>
      </c>
      <c r="F62" s="126">
        <v>178</v>
      </c>
      <c r="G62" s="126">
        <v>176</v>
      </c>
      <c r="H62" s="126">
        <v>175</v>
      </c>
      <c r="I62" s="125" t="s">
        <v>2839</v>
      </c>
      <c r="J62" s="168">
        <v>154</v>
      </c>
      <c r="K62" s="126">
        <f>IF(J62="","-",J62-2)</f>
        <v>152</v>
      </c>
      <c r="L62" s="126"/>
      <c r="M62" s="168"/>
      <c r="N62" s="126"/>
      <c r="O62" s="126"/>
      <c r="P62" s="469"/>
      <c r="Q62" s="477"/>
      <c r="R62" s="125"/>
      <c r="S62" s="126"/>
      <c r="T62" s="126"/>
      <c r="U62" s="126"/>
      <c r="V62" s="125"/>
      <c r="W62" s="168"/>
      <c r="X62" s="126"/>
      <c r="Y62" s="126"/>
      <c r="Z62" s="469"/>
      <c r="AA62" s="477"/>
      <c r="AB62" s="125"/>
      <c r="AC62" s="126"/>
      <c r="AD62" s="126"/>
      <c r="AE62" s="126"/>
      <c r="AF62" s="125"/>
      <c r="AG62" s="168"/>
      <c r="AH62" s="126"/>
      <c r="AI62" s="126"/>
      <c r="AJ62" s="469"/>
      <c r="AK62" s="477"/>
      <c r="AL62" s="125"/>
      <c r="AM62" s="126"/>
      <c r="AN62" s="126"/>
      <c r="AO62" s="126"/>
      <c r="AP62" s="125"/>
      <c r="AQ62" s="168"/>
      <c r="AR62" s="126"/>
      <c r="AS62" s="126"/>
      <c r="AT62" s="469"/>
      <c r="AU62" s="477"/>
      <c r="AV62" s="125"/>
      <c r="AW62" s="126"/>
      <c r="AX62" s="126"/>
      <c r="AY62" s="126"/>
      <c r="AZ62" s="125"/>
      <c r="BA62" s="168"/>
      <c r="BB62" s="126"/>
      <c r="BC62" s="126"/>
      <c r="BD62" s="469"/>
      <c r="BE62" s="477"/>
      <c r="BF62" s="125"/>
      <c r="BG62" s="126"/>
      <c r="BH62" s="126"/>
      <c r="BI62" s="126"/>
      <c r="BJ62" s="125"/>
      <c r="BK62" s="168"/>
      <c r="BL62" s="126"/>
      <c r="BM62" s="126"/>
      <c r="BN62" s="469"/>
      <c r="BO62" s="477"/>
      <c r="BP62" s="125"/>
      <c r="BQ62" s="126"/>
      <c r="BR62" s="126"/>
      <c r="BS62" s="126"/>
      <c r="BT62" s="125"/>
      <c r="BU62" s="168"/>
      <c r="BV62" s="126"/>
      <c r="BW62" s="126"/>
      <c r="BX62" s="469"/>
      <c r="BY62" s="477"/>
      <c r="BZ62" s="125"/>
      <c r="CA62" s="126"/>
      <c r="CB62" s="126"/>
      <c r="CC62" s="126"/>
      <c r="CD62" s="125"/>
      <c r="CE62" s="168"/>
      <c r="CF62" s="126"/>
      <c r="CG62" s="126"/>
      <c r="CH62" s="469"/>
      <c r="CI62" s="477"/>
      <c r="CJ62" s="125"/>
      <c r="CK62" s="126"/>
      <c r="CL62" s="126"/>
      <c r="CM62" s="126"/>
      <c r="CN62" s="125"/>
      <c r="CO62" s="168"/>
      <c r="CP62" s="126"/>
      <c r="CQ62" s="126"/>
      <c r="CR62" s="469"/>
      <c r="CS62" s="477"/>
      <c r="CT62" s="125"/>
      <c r="CU62" s="126"/>
      <c r="CV62" s="126"/>
      <c r="CW62" s="126"/>
      <c r="CX62" s="125"/>
      <c r="CY62" s="168"/>
      <c r="CZ62" s="126"/>
      <c r="DA62" s="126"/>
      <c r="DB62" s="469"/>
      <c r="DC62" s="477"/>
      <c r="DD62" s="125"/>
      <c r="DE62" s="126"/>
      <c r="DF62" s="126"/>
      <c r="DG62" s="126"/>
      <c r="DH62" s="125"/>
      <c r="DI62" s="168"/>
      <c r="DJ62" s="126"/>
      <c r="DK62" s="126"/>
      <c r="DL62" s="469"/>
      <c r="DM62" s="477"/>
      <c r="DN62" s="125"/>
      <c r="DO62" s="126"/>
      <c r="DP62" s="126"/>
      <c r="DQ62" s="126"/>
      <c r="DR62" s="125"/>
      <c r="DS62" s="168"/>
      <c r="DT62" s="126"/>
      <c r="DU62" s="126"/>
      <c r="DV62" s="469"/>
      <c r="DW62" s="477"/>
      <c r="DX62" s="125"/>
      <c r="DY62" s="126"/>
      <c r="DZ62" s="126"/>
      <c r="EA62" s="126"/>
      <c r="EB62" s="125"/>
      <c r="EC62" s="168"/>
      <c r="ED62" s="126"/>
      <c r="EE62" s="126"/>
      <c r="EF62" s="469"/>
      <c r="EG62" s="477"/>
      <c r="EH62" s="125"/>
      <c r="EI62" s="126"/>
      <c r="EJ62" s="126"/>
      <c r="EK62" s="126"/>
      <c r="EL62" s="125"/>
      <c r="EM62" s="168"/>
      <c r="EN62" s="126"/>
      <c r="EO62" s="126"/>
      <c r="EP62" s="469"/>
      <c r="EQ62" s="477"/>
      <c r="ER62" s="125"/>
      <c r="ES62" s="126"/>
      <c r="ET62" s="126"/>
      <c r="EU62" s="126"/>
      <c r="EV62" s="125"/>
      <c r="EW62" s="168"/>
      <c r="EX62" s="126"/>
      <c r="EY62" s="126"/>
      <c r="EZ62" s="469"/>
      <c r="FA62" s="477"/>
      <c r="FB62" s="125"/>
      <c r="FC62" s="126"/>
      <c r="FD62" s="126"/>
      <c r="FE62" s="126"/>
      <c r="FF62" s="125"/>
      <c r="FG62" s="168"/>
      <c r="FH62" s="126"/>
      <c r="FI62" s="126"/>
      <c r="FJ62" s="469"/>
      <c r="FK62" s="477"/>
      <c r="FL62" s="125"/>
      <c r="FM62" s="126"/>
      <c r="FN62" s="126"/>
      <c r="FO62" s="126"/>
      <c r="FP62" s="125"/>
      <c r="FQ62" s="168"/>
      <c r="FR62" s="126"/>
      <c r="FS62" s="126"/>
      <c r="FT62" s="469"/>
      <c r="FU62" s="477"/>
      <c r="FV62" s="125"/>
      <c r="FW62" s="126"/>
      <c r="FX62" s="126"/>
      <c r="FY62" s="126"/>
      <c r="FZ62" s="125"/>
      <c r="GA62" s="168"/>
      <c r="GB62" s="126"/>
      <c r="GC62" s="126"/>
      <c r="GD62" s="469"/>
      <c r="GE62" s="477"/>
      <c r="GF62" s="125"/>
      <c r="GG62" s="126"/>
      <c r="GH62" s="126"/>
      <c r="GI62" s="126"/>
      <c r="GJ62" s="125"/>
      <c r="GK62" s="168"/>
      <c r="GL62" s="126"/>
      <c r="GM62" s="126"/>
      <c r="GN62" s="469"/>
      <c r="GO62" s="477"/>
      <c r="GP62" s="125"/>
      <c r="GQ62" s="126"/>
      <c r="GR62" s="126"/>
      <c r="GS62" s="126"/>
      <c r="GT62" s="125"/>
      <c r="GU62" s="168"/>
      <c r="GV62" s="126"/>
      <c r="GW62" s="126"/>
      <c r="GX62" s="469"/>
      <c r="GY62" s="477"/>
      <c r="GZ62" s="125"/>
      <c r="HA62" s="126"/>
      <c r="HB62" s="126"/>
      <c r="HC62" s="126"/>
      <c r="HD62" s="125"/>
      <c r="HE62" s="168"/>
      <c r="HF62" s="126"/>
      <c r="HG62" s="126"/>
      <c r="HH62" s="469"/>
      <c r="HI62" s="477"/>
      <c r="HJ62" s="125"/>
      <c r="HK62" s="126"/>
      <c r="HL62" s="126"/>
      <c r="HM62" s="126"/>
      <c r="HN62" s="125"/>
      <c r="HO62" s="168"/>
      <c r="HP62" s="126"/>
      <c r="HQ62" s="126"/>
      <c r="HR62" s="469"/>
      <c r="HS62" s="477"/>
      <c r="HT62" s="125"/>
      <c r="HU62" s="126"/>
      <c r="HV62" s="126"/>
      <c r="HW62" s="126"/>
      <c r="HX62" s="125"/>
      <c r="HY62" s="168"/>
      <c r="HZ62" s="126"/>
      <c r="IA62" s="126"/>
      <c r="IB62" s="469"/>
      <c r="IC62" s="477"/>
      <c r="ID62" s="125"/>
      <c r="IE62" s="126"/>
      <c r="IF62" s="126"/>
      <c r="IG62" s="126"/>
      <c r="IH62" s="125"/>
      <c r="II62" s="168"/>
      <c r="IJ62" s="126"/>
      <c r="IK62" s="126"/>
      <c r="IL62" s="469"/>
      <c r="IM62" s="477"/>
      <c r="IN62" s="125"/>
      <c r="IO62" s="126"/>
      <c r="IP62" s="126"/>
      <c r="IQ62" s="126"/>
      <c r="IR62" s="125"/>
      <c r="IS62" s="168"/>
      <c r="IT62" s="126"/>
      <c r="IU62" s="126"/>
      <c r="IV62" s="469"/>
    </row>
    <row r="63" spans="1:256" s="475" customFormat="1" ht="38.25">
      <c r="A63" s="464"/>
      <c r="B63" s="468"/>
      <c r="C63" s="1477" t="s">
        <v>1752</v>
      </c>
      <c r="D63" s="1478" t="s">
        <v>3778</v>
      </c>
      <c r="E63" s="2544" t="s">
        <v>5288</v>
      </c>
      <c r="F63" s="2545">
        <v>177</v>
      </c>
      <c r="G63" s="2545">
        <v>175</v>
      </c>
      <c r="H63" s="2545">
        <v>174</v>
      </c>
      <c r="I63" s="2528" t="s">
        <v>4351</v>
      </c>
      <c r="J63" s="2545">
        <v>153</v>
      </c>
      <c r="K63" s="2544">
        <f>IF(J63="","-",J63-2)</f>
        <v>151</v>
      </c>
      <c r="L63" s="2545">
        <f>IF(K63="-","-",K63-1)</f>
        <v>150</v>
      </c>
      <c r="M63" s="2545"/>
      <c r="N63" s="2544"/>
      <c r="O63" s="2545"/>
      <c r="P63" s="502"/>
      <c r="Q63" s="126">
        <f>IF(F60="","",IF(F60="-","-",F60+1))</f>
        <v>176</v>
      </c>
    </row>
    <row r="64" spans="1:256" ht="12.75" customHeight="1">
      <c r="A64" s="461"/>
      <c r="B64" s="2534" t="s">
        <v>1915</v>
      </c>
      <c r="C64" s="2532"/>
      <c r="D64" s="2532"/>
      <c r="E64" s="125"/>
      <c r="F64" s="126"/>
      <c r="G64" s="126"/>
      <c r="H64" s="126"/>
      <c r="I64" s="58"/>
      <c r="J64" s="5"/>
      <c r="K64" s="5"/>
      <c r="L64" s="5"/>
      <c r="M64" s="5"/>
      <c r="N64" s="5"/>
      <c r="O64" s="5"/>
    </row>
    <row r="65" spans="1:16">
      <c r="A65" s="461" t="str">
        <f>C65</f>
        <v>111-21</v>
      </c>
      <c r="B65" s="462" t="str">
        <f>C65</f>
        <v>111-21</v>
      </c>
      <c r="C65" s="463" t="s">
        <v>2858</v>
      </c>
      <c r="D65" s="15" t="s">
        <v>1916</v>
      </c>
      <c r="E65" s="125"/>
      <c r="F65" s="126"/>
      <c r="G65" s="126"/>
      <c r="H65" s="126"/>
      <c r="I65" s="58"/>
      <c r="J65" s="5"/>
      <c r="K65" s="5"/>
      <c r="L65" s="5"/>
      <c r="M65" s="5"/>
      <c r="N65" s="5"/>
      <c r="O65" s="5"/>
    </row>
    <row r="66" spans="1:16">
      <c r="A66" s="461" t="str">
        <f>C66</f>
        <v>111-22</v>
      </c>
      <c r="B66" s="462" t="str">
        <f>C66</f>
        <v>111-22</v>
      </c>
      <c r="C66" s="463" t="s">
        <v>1995</v>
      </c>
      <c r="D66" s="15" t="s">
        <v>1917</v>
      </c>
      <c r="E66" s="58"/>
      <c r="I66" s="58"/>
    </row>
    <row r="67" spans="1:16">
      <c r="A67" s="461" t="str">
        <f>C67</f>
        <v>112-21</v>
      </c>
      <c r="B67" s="462" t="str">
        <f>C67</f>
        <v>112-21</v>
      </c>
      <c r="C67" s="463" t="s">
        <v>1996</v>
      </c>
      <c r="D67" s="15" t="s">
        <v>1918</v>
      </c>
      <c r="E67" s="58"/>
      <c r="I67" s="58"/>
    </row>
    <row r="68" spans="1:16">
      <c r="A68" s="461" t="str">
        <f>C68</f>
        <v>117-02</v>
      </c>
      <c r="B68" s="462" t="str">
        <f>C68</f>
        <v>117-02</v>
      </c>
      <c r="C68" s="463" t="s">
        <v>2763</v>
      </c>
      <c r="D68" s="15" t="s">
        <v>2870</v>
      </c>
      <c r="E68" s="58"/>
      <c r="I68" s="58"/>
    </row>
    <row r="69" spans="1:16">
      <c r="B69" s="458"/>
      <c r="C69" s="458"/>
      <c r="D69" s="9"/>
      <c r="F69" s="15">
        <f>SUM(F5:F68)</f>
        <v>5480</v>
      </c>
      <c r="G69" s="15">
        <f t="shared" ref="G69:L69" si="11">SUM(G5:G68)</f>
        <v>5386</v>
      </c>
      <c r="H69" s="15">
        <f t="shared" si="11"/>
        <v>5278</v>
      </c>
      <c r="I69" s="15">
        <f t="shared" si="11"/>
        <v>0</v>
      </c>
      <c r="J69" s="15">
        <f t="shared" si="11"/>
        <v>4003</v>
      </c>
      <c r="K69" s="15">
        <f t="shared" si="11"/>
        <v>3927</v>
      </c>
      <c r="L69" s="15">
        <f t="shared" si="11"/>
        <v>3677</v>
      </c>
      <c r="P69" s="530">
        <v>43297</v>
      </c>
    </row>
    <row r="70" spans="1:16" ht="12.75" hidden="1" customHeight="1">
      <c r="A70" s="7"/>
    </row>
  </sheetData>
  <mergeCells count="18">
    <mergeCell ref="A3:A4"/>
    <mergeCell ref="C3:C4"/>
    <mergeCell ref="D3:D4"/>
    <mergeCell ref="A1:C1"/>
    <mergeCell ref="E1:H1"/>
    <mergeCell ref="G2:H2"/>
    <mergeCell ref="B2:D2"/>
    <mergeCell ref="E3:F3"/>
    <mergeCell ref="N2:O2"/>
    <mergeCell ref="N3:O3"/>
    <mergeCell ref="AE3:AF3"/>
    <mergeCell ref="I1:L1"/>
    <mergeCell ref="E4:F4"/>
    <mergeCell ref="G3:H3"/>
    <mergeCell ref="I4:J4"/>
    <mergeCell ref="I3:J3"/>
    <mergeCell ref="K3:L3"/>
    <mergeCell ref="K2:L2"/>
  </mergeCells>
  <phoneticPr fontId="38" type="noConversion"/>
  <printOptions horizontalCentered="1" verticalCentered="1" gridLines="1"/>
  <pageMargins left="0.27559055118110237" right="0.15748031496062992" top="0.39370078740157483" bottom="0.43307086614173229" header="0.15748031496062992" footer="0.11811023622047245"/>
  <pageSetup paperSize="9" scale="46" orientation="portrait" horizontalDpi="4294967294" r:id="rId1"/>
  <headerFooter alignWithMargins="0">
    <oddHeader>&amp;C&amp;F-&amp;A</oddHeader>
    <oddFooter>&amp;C&amp;P/&amp;N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ExportTut">
    <pageSetUpPr fitToPage="1"/>
  </sheetPr>
  <dimension ref="A1:J82"/>
  <sheetViews>
    <sheetView workbookViewId="0">
      <selection activeCell="M27" sqref="M27"/>
    </sheetView>
  </sheetViews>
  <sheetFormatPr defaultColWidth="11.42578125" defaultRowHeight="12.75"/>
  <cols>
    <col min="1" max="1" width="11.140625" style="888" customWidth="1"/>
    <col min="2" max="2" width="11.85546875" style="878" customWidth="1"/>
    <col min="3" max="3" width="13.140625" style="878" customWidth="1"/>
    <col min="4" max="4" width="4.5703125" style="878" customWidth="1"/>
    <col min="5" max="5" width="57.42578125" style="878" customWidth="1"/>
    <col min="6" max="6" width="13.42578125" style="878" bestFit="1" customWidth="1"/>
    <col min="7" max="7" width="11.42578125" style="878" customWidth="1"/>
    <col min="8" max="8" width="13.28515625" style="56" customWidth="1"/>
    <col min="9" max="9" width="14" style="56" bestFit="1" customWidth="1"/>
    <col min="10" max="16384" width="11.42578125" style="56"/>
  </cols>
  <sheetData>
    <row r="1" spans="1:9" s="817" customFormat="1" ht="39.75" thickBot="1">
      <c r="A1" s="1143" t="s">
        <v>4560</v>
      </c>
      <c r="B1" s="1144" t="s">
        <v>4561</v>
      </c>
      <c r="C1" s="527" t="s">
        <v>4562</v>
      </c>
      <c r="D1" s="912" t="s">
        <v>4563</v>
      </c>
      <c r="E1" s="527" t="s">
        <v>3420</v>
      </c>
      <c r="F1" s="527">
        <f>ANNEE</f>
        <v>2027</v>
      </c>
      <c r="G1" s="527">
        <f>ANNEE-1</f>
        <v>2026</v>
      </c>
      <c r="H1" s="3386" t="s">
        <v>3421</v>
      </c>
      <c r="I1" s="3387"/>
    </row>
    <row r="2" spans="1:9" s="817" customFormat="1" ht="26.25" thickBot="1">
      <c r="A2" s="1118">
        <f>A3</f>
        <v>0</v>
      </c>
      <c r="B2" s="527"/>
      <c r="C2" s="527"/>
      <c r="D2" s="912"/>
      <c r="E2" s="527" t="str">
        <f>VLOOKUP(Total_Code!B8,PatrLast,2)&amp;" - Ops,
 concerne "&amp;IF(EcoOps=1,Ops!B1,Ops!B2)&amp;" membres du personnel."</f>
        <v>Membres Statutaires - Ops,
 concerne 0 membres du personnel.</v>
      </c>
      <c r="F2" s="527"/>
      <c r="G2" s="527"/>
      <c r="H2" s="818" t="s">
        <v>2960</v>
      </c>
      <c r="I2" s="819" t="s">
        <v>3760</v>
      </c>
    </row>
    <row r="3" spans="1:9" s="817" customFormat="1" ht="25.5">
      <c r="A3" s="820">
        <f>Total_Code!C8</f>
        <v>0</v>
      </c>
      <c r="B3" s="821" t="str">
        <f>Total_Code!$BD$4</f>
        <v>111-01/P</v>
      </c>
      <c r="C3" s="822" t="str">
        <f>A3&amp;"/"&amp;LEFT(B3,6)</f>
        <v>0/111-01</v>
      </c>
      <c r="D3" s="822">
        <v>70</v>
      </c>
      <c r="E3" s="916" t="s">
        <v>3612</v>
      </c>
      <c r="F3" s="823">
        <f>IF(ISERROR(Total_Code!BD8),0,Total_Code!BD8)</f>
        <v>0</v>
      </c>
      <c r="G3" s="824">
        <f>IF(ISERROR('Total_Code X-1'!BC8),0,'Total_Code X-1'!BC8)</f>
        <v>0</v>
      </c>
      <c r="I3" s="825"/>
    </row>
    <row r="4" spans="1:9" s="817" customFormat="1">
      <c r="A4" s="832">
        <f>$A$3</f>
        <v>0</v>
      </c>
      <c r="B4" s="826" t="str">
        <f>Total_Code!H1</f>
        <v>111-01/01</v>
      </c>
      <c r="C4" s="827" t="str">
        <f>A4&amp;"/"&amp;LEFT(B4,6)</f>
        <v>0/111-01</v>
      </c>
      <c r="D4" s="827" t="s">
        <v>3927</v>
      </c>
      <c r="E4" s="921" t="s">
        <v>3613</v>
      </c>
      <c r="F4" s="828">
        <f>IF(ISERROR(Total_Code!H8),0,Total_Code!H8)</f>
        <v>0</v>
      </c>
      <c r="G4" s="829">
        <f>IF(ISERROR('Total_Code X-1'!H8),0,'Total_Code X-1'!H8)</f>
        <v>0</v>
      </c>
      <c r="H4" s="830"/>
      <c r="I4" s="831"/>
    </row>
    <row r="5" spans="1:9" s="817" customFormat="1">
      <c r="A5" s="832">
        <f>$A$3</f>
        <v>0</v>
      </c>
      <c r="B5" s="833" t="str">
        <f>Total_Code!$BE$4</f>
        <v>111-01/02</v>
      </c>
      <c r="C5" s="834" t="str">
        <f t="shared" ref="C5:C19" si="0">A5&amp;"/"&amp;LEFT(B5,6)</f>
        <v>0/111-01</v>
      </c>
      <c r="D5" s="834">
        <v>70</v>
      </c>
      <c r="E5" s="909" t="s">
        <v>397</v>
      </c>
      <c r="F5" s="835">
        <f>IF(ISERROR(Total_Code!BE8),0,Total_Code!BE8)</f>
        <v>0</v>
      </c>
      <c r="G5" s="836">
        <f>IF(ISERROR('Total_Code X-1'!BD8),0,'Total_Code X-1'!BD8)</f>
        <v>0</v>
      </c>
      <c r="I5" s="825"/>
    </row>
    <row r="6" spans="1:9" s="817" customFormat="1">
      <c r="A6" s="832">
        <f t="shared" ref="A6:A20" si="1">$A$3</f>
        <v>0</v>
      </c>
      <c r="B6" s="833" t="str">
        <f>Total_Code!BF$4</f>
        <v>111-01/FV</v>
      </c>
      <c r="C6" s="834" t="str">
        <f t="shared" si="0"/>
        <v>0/111-01</v>
      </c>
      <c r="D6" s="834">
        <v>70</v>
      </c>
      <c r="E6" s="909" t="s">
        <v>2720</v>
      </c>
      <c r="F6" s="835">
        <f>IF(ISERROR(Total_Code!BF8),0,Total_Code!BF8)</f>
        <v>0</v>
      </c>
      <c r="G6" s="836">
        <f>IF(ISERROR('Total_Code X-1'!BE8),0,'Total_Code X-1'!BE8)</f>
        <v>0</v>
      </c>
      <c r="I6" s="825"/>
    </row>
    <row r="7" spans="1:9" s="817" customFormat="1" ht="27" customHeight="1">
      <c r="A7" s="837">
        <f t="shared" si="1"/>
        <v>0</v>
      </c>
      <c r="B7" s="838" t="str">
        <f>Total_Code!$BG$4</f>
        <v>111-01/12</v>
      </c>
      <c r="C7" s="839" t="str">
        <f t="shared" si="0"/>
        <v>0/111-01</v>
      </c>
      <c r="D7" s="839">
        <v>70</v>
      </c>
      <c r="E7" s="924" t="s">
        <v>2721</v>
      </c>
      <c r="F7" s="840">
        <f>IF(ISERROR(Total_Code!BG8),0,Total_Code!BG8)</f>
        <v>0</v>
      </c>
      <c r="G7" s="1710">
        <f>IF(ISERROR('Total_Code X-1'!BF8),0,'Total_Code X-1'!BF8)</f>
        <v>0</v>
      </c>
      <c r="I7" s="825"/>
    </row>
    <row r="8" spans="1:9" s="817" customFormat="1" ht="13.5" thickBot="1">
      <c r="A8" s="841">
        <f t="shared" si="1"/>
        <v>0</v>
      </c>
      <c r="B8" s="838">
        <f>Total_Code!BT4</f>
        <v>0</v>
      </c>
      <c r="C8" s="842" t="str">
        <f t="shared" si="0"/>
        <v>0/0</v>
      </c>
      <c r="D8" s="842" t="s">
        <v>3926</v>
      </c>
      <c r="E8" s="929" t="s">
        <v>2639</v>
      </c>
      <c r="F8" s="843">
        <f>IF(ISERROR(Total_Code!BT8),0,Total_Code!BT8)</f>
        <v>0</v>
      </c>
      <c r="G8" s="1711" t="s">
        <v>538</v>
      </c>
      <c r="H8" s="830"/>
      <c r="I8" s="831"/>
    </row>
    <row r="9" spans="1:9" s="817" customFormat="1">
      <c r="A9" s="832">
        <f t="shared" si="1"/>
        <v>0</v>
      </c>
      <c r="B9" s="833" t="str">
        <f>Total_Code!$BH$4</f>
        <v>111-08</v>
      </c>
      <c r="C9" s="834" t="str">
        <f t="shared" si="0"/>
        <v>0/111-08</v>
      </c>
      <c r="D9" s="834">
        <v>70</v>
      </c>
      <c r="E9" s="909" t="s">
        <v>48</v>
      </c>
      <c r="F9" s="835">
        <f>IF(ISERROR(Total_Code!BH8),0,Total_Code!BH8)</f>
        <v>0</v>
      </c>
      <c r="G9" s="836">
        <f>IF(ISERROR('Total_Code X-1'!BG8),0,'Total_Code X-1'!BG8)</f>
        <v>0</v>
      </c>
      <c r="H9" s="845">
        <f>(F4+F6+F8+F9)*VLOOKUP(EcoOps,ChPatBdr,4)</f>
        <v>0</v>
      </c>
      <c r="I9" s="845">
        <f>(G4+G6+G9)*VLOOKUP(EcoOps,ChPatBdr,4)</f>
        <v>0</v>
      </c>
    </row>
    <row r="10" spans="1:9" s="817" customFormat="1">
      <c r="A10" s="832">
        <f t="shared" si="1"/>
        <v>0</v>
      </c>
      <c r="B10" s="833" t="str">
        <f>Total_Code!$BI$4</f>
        <v>112-01</v>
      </c>
      <c r="C10" s="834" t="str">
        <f t="shared" si="0"/>
        <v>0/112-01</v>
      </c>
      <c r="D10" s="834">
        <v>70</v>
      </c>
      <c r="E10" s="909" t="s">
        <v>4279</v>
      </c>
      <c r="F10" s="835">
        <f>IF(ISERROR(Total_Code!BI8),0,Total_Code!BI8)</f>
        <v>0</v>
      </c>
      <c r="G10" s="1710">
        <f>IF(ISERROR('Total_Code X-1'!BH8),0,'Total_Code X-1'!BH8)</f>
        <v>0</v>
      </c>
      <c r="I10" s="825"/>
    </row>
    <row r="11" spans="1:9" s="817" customFormat="1" ht="25.5">
      <c r="A11" s="832">
        <f t="shared" si="1"/>
        <v>0</v>
      </c>
      <c r="B11" s="833" t="str">
        <f>Total_Code!$BJ$4</f>
        <v>113-01</v>
      </c>
      <c r="C11" s="834" t="str">
        <f t="shared" si="0"/>
        <v>0/113-01</v>
      </c>
      <c r="D11" s="834">
        <v>70</v>
      </c>
      <c r="E11" s="909" t="s">
        <v>1924</v>
      </c>
      <c r="F11" s="835">
        <f>IF(ISERROR(Total_Code!BJ8),0,Total_Code!BJ8)</f>
        <v>0</v>
      </c>
      <c r="G11" s="836">
        <f>IF(ISERROR('Total_Code X-1'!BI8),0,'Total_Code X-1'!BI8)</f>
        <v>0</v>
      </c>
      <c r="H11" s="930">
        <f>ROUND(($F$3+$F$6+$F$8+IF(EcoOps=2,$F$5,0))*VLOOKUP(EcoOps,ChPatBdr,3),3)</f>
        <v>0</v>
      </c>
      <c r="I11" s="943">
        <f>ROUND(($G$3+$G$6+IF(EcoOpsx1=2,$G$5,0))*VLOOKUP(EcoOps,ChPatBdr,3),3)</f>
        <v>0</v>
      </c>
    </row>
    <row r="12" spans="1:9" s="817" customFormat="1">
      <c r="A12" s="832">
        <f t="shared" si="1"/>
        <v>0</v>
      </c>
      <c r="B12" s="833" t="str">
        <f>Total_Code!$BK$4</f>
        <v>113-21</v>
      </c>
      <c r="C12" s="834" t="str">
        <f>A12&amp;"/"&amp;LEFT(B12,6)</f>
        <v>0/113-21</v>
      </c>
      <c r="D12" s="834">
        <v>70</v>
      </c>
      <c r="E12" s="909" t="s">
        <v>1615</v>
      </c>
      <c r="F12" s="835">
        <f>IF(ISERROR(Total_Code!BK8),0,Total_Code!BK8)</f>
        <v>0</v>
      </c>
      <c r="G12" s="836">
        <f>IF(ISERROR('Total_Code X-1'!BJ8),0,'Total_Code X-1'!BJ8)</f>
        <v>0</v>
      </c>
      <c r="H12" s="930">
        <f>ROUND(($F$3+IF(EcoOps&gt;1,$F$5,0))*VLOOKUP(EcoOps,ChPatBdr,2),3)</f>
        <v>0</v>
      </c>
      <c r="I12" s="943">
        <f>ROUND(($G$3+IF(EcoOps&gt;1,$G$5,0))*VLOOKUP(EcoOps,ChPatBdr,5),3)</f>
        <v>0</v>
      </c>
    </row>
    <row r="13" spans="1:9" s="817" customFormat="1" ht="25.5">
      <c r="A13" s="832">
        <f t="shared" si="1"/>
        <v>0</v>
      </c>
      <c r="B13" s="833" t="str">
        <f>Total_Code!$BL$4</f>
        <v>113-08</v>
      </c>
      <c r="C13" s="834" t="str">
        <f t="shared" si="0"/>
        <v>0/113-08</v>
      </c>
      <c r="D13" s="834">
        <v>70</v>
      </c>
      <c r="E13" s="909" t="s">
        <v>1925</v>
      </c>
      <c r="F13" s="835">
        <f>IF(ISERROR(Total_Code!BL8),0,Total_Code!BL8)</f>
        <v>0</v>
      </c>
      <c r="G13" s="836" t="e">
        <f>'Total_Code X-1'!BK8</f>
        <v>#N/A</v>
      </c>
      <c r="H13" s="930">
        <f>ROUND($F$9*VLOOKUP(EcoOps,ChPatBdr,3),3)</f>
        <v>0</v>
      </c>
      <c r="I13" s="943">
        <f>ROUND($G$9*VLOOKUP(EcoOps,ChPatBdr,3),3)</f>
        <v>0</v>
      </c>
    </row>
    <row r="14" spans="1:9" s="817" customFormat="1" ht="25.5">
      <c r="A14" s="832">
        <f t="shared" si="1"/>
        <v>0</v>
      </c>
      <c r="B14" s="833" t="str">
        <f>Total_Code!$BM$4</f>
        <v>115-01</v>
      </c>
      <c r="C14" s="834" t="str">
        <f t="shared" si="0"/>
        <v>0/115-01</v>
      </c>
      <c r="D14" s="834">
        <v>70</v>
      </c>
      <c r="E14" s="909" t="s">
        <v>3686</v>
      </c>
      <c r="F14" s="835">
        <f>IF(ISERROR(Total_Code!BM8),0,Total_Code!BM8)</f>
        <v>0</v>
      </c>
      <c r="G14" s="836">
        <f>IF(ISERROR('Total_Code X-1'!BL8),0,'Total_Code X-1'!BL8)</f>
        <v>0</v>
      </c>
      <c r="I14" s="825"/>
    </row>
    <row r="15" spans="1:9" s="817" customFormat="1" ht="25.5">
      <c r="A15" s="832">
        <f t="shared" si="1"/>
        <v>0</v>
      </c>
      <c r="B15" s="833" t="str">
        <f>Total_Code!$BN$4</f>
        <v>117-01</v>
      </c>
      <c r="C15" s="834" t="str">
        <f t="shared" si="0"/>
        <v>0/117-01</v>
      </c>
      <c r="D15" s="834">
        <v>70</v>
      </c>
      <c r="E15" s="909" t="s">
        <v>2497</v>
      </c>
      <c r="F15" s="835">
        <f>IF(ISERROR(Total_Code!BN8),0,Total_Code!BN8)</f>
        <v>0</v>
      </c>
      <c r="G15" s="836">
        <f>IF(ISERROR('Total_Code X-1'!BM8),0,'Total_Code X-1'!BM8)</f>
        <v>0</v>
      </c>
      <c r="I15" s="825"/>
    </row>
    <row r="16" spans="1:9" s="817" customFormat="1">
      <c r="A16" s="832">
        <f t="shared" si="1"/>
        <v>0</v>
      </c>
      <c r="B16" s="833" t="str">
        <f>Total_Code!$BO$4</f>
        <v>118-01</v>
      </c>
      <c r="C16" s="834" t="str">
        <f t="shared" si="0"/>
        <v>0/118-01</v>
      </c>
      <c r="D16" s="834">
        <v>70</v>
      </c>
      <c r="E16" s="909" t="s">
        <v>2498</v>
      </c>
      <c r="F16" s="835">
        <f>IF(ISERROR(Total_Code!BO8),0,Total_Code!BO8)</f>
        <v>0</v>
      </c>
      <c r="G16" s="836">
        <f>IF(ISERROR('Total_Code X-1'!BN8),0,'Total_Code X-1'!BN8)</f>
        <v>0</v>
      </c>
      <c r="I16" s="825"/>
    </row>
    <row r="17" spans="1:9" s="817" customFormat="1" ht="25.5">
      <c r="A17" s="832">
        <f t="shared" si="1"/>
        <v>0</v>
      </c>
      <c r="B17" s="833" t="str">
        <f>Total_Code!$BP$4</f>
        <v>121-01</v>
      </c>
      <c r="C17" s="834" t="str">
        <f t="shared" si="0"/>
        <v>0/121-01</v>
      </c>
      <c r="D17" s="834">
        <v>71</v>
      </c>
      <c r="E17" s="909" t="s">
        <v>2473</v>
      </c>
      <c r="F17" s="835">
        <f>IF(ISERROR(Total_Code!BP8),0,Total_Code!BP8)</f>
        <v>0</v>
      </c>
      <c r="G17" s="836">
        <f>IF(ISERROR('Total_Code X-1'!BO8),0,'Total_Code X-1'!BO8)</f>
        <v>0</v>
      </c>
      <c r="I17" s="825"/>
    </row>
    <row r="18" spans="1:9" s="817" customFormat="1" ht="13.5" thickBot="1">
      <c r="A18" s="832">
        <f t="shared" si="1"/>
        <v>0</v>
      </c>
      <c r="B18" s="833" t="str">
        <f>Total_Code!$BQ$4</f>
        <v>121-03</v>
      </c>
      <c r="C18" s="834" t="str">
        <f t="shared" si="0"/>
        <v>0/121-03</v>
      </c>
      <c r="D18" s="834">
        <v>71</v>
      </c>
      <c r="E18" s="909" t="s">
        <v>4056</v>
      </c>
      <c r="F18" s="835">
        <f>IF(ISERROR(Total_Code!BQ8),0,Total_Code!BQ8)</f>
        <v>0</v>
      </c>
      <c r="G18" s="836" t="e">
        <f>'Total_Code X-1'!BP8</f>
        <v>#N/A</v>
      </c>
      <c r="I18" s="825"/>
    </row>
    <row r="19" spans="1:9" s="817" customFormat="1" ht="13.5" thickBot="1">
      <c r="A19" s="847">
        <f t="shared" si="1"/>
        <v>0</v>
      </c>
      <c r="B19" s="848" t="str">
        <f>Total_Code!$BR$4</f>
        <v>121-48</v>
      </c>
      <c r="C19" s="849" t="str">
        <f t="shared" si="0"/>
        <v>0/121-48</v>
      </c>
      <c r="D19" s="849">
        <v>71</v>
      </c>
      <c r="E19" s="910" t="s">
        <v>1441</v>
      </c>
      <c r="F19" s="850">
        <f>IF(ISERROR(Total_Code!BR8),0,Total_Code!BR8)</f>
        <v>0</v>
      </c>
      <c r="G19" s="851">
        <f>IF(ISERROR('Total_Code X-1'!BQ8),0,'Total_Code X-1'!BQ8)</f>
        <v>0</v>
      </c>
      <c r="H19" s="434">
        <f>SUM(F3:F19)-F8-F4</f>
        <v>0</v>
      </c>
      <c r="I19" s="435" t="e">
        <f>IF(SUM(G3:G19)=0,0,SUM(G3:G19)-G4)</f>
        <v>#N/A</v>
      </c>
    </row>
    <row r="20" spans="1:9" s="817" customFormat="1" ht="13.5" thickBot="1">
      <c r="A20" s="1119">
        <f t="shared" si="1"/>
        <v>0</v>
      </c>
      <c r="B20" s="852"/>
      <c r="C20" s="852"/>
      <c r="D20" s="852"/>
      <c r="E20" s="549" t="str">
        <f>"Fin: "&amp;VLOOKUP(Total_Code!B8,PatrLast,2)&amp;" - Ops"</f>
        <v>Fin: Membres Statutaires - Ops</v>
      </c>
      <c r="F20" s="853"/>
      <c r="G20" s="853"/>
      <c r="H20" s="436" t="e">
        <f>H19/Total_Code!BS12</f>
        <v>#VALUE!</v>
      </c>
      <c r="I20" s="437" t="e">
        <f>IF(SUM(G3:G19)=0,0,I19/'Total_Code X-1'!BR27)</f>
        <v>#N/A</v>
      </c>
    </row>
    <row r="21" spans="1:9" s="817" customFormat="1" ht="39" thickBot="1">
      <c r="A21" s="1120">
        <f>A22</f>
        <v>0</v>
      </c>
      <c r="B21" s="854"/>
      <c r="C21" s="854"/>
      <c r="D21" s="854"/>
      <c r="E21" s="527" t="str">
        <f>VLOOKUP(EcoCal,PatrLast,2)&amp;IF(EcoCal=4,".
 Concerne "&amp;Calog!B4&amp;" membre(s) du personnel,"," du Cadre Administratif et Logistique -CALog
 concerne "&amp;IF(EcoCal=1,Calog!B1,Calog!B2)&amp;" membre(s) du personnel")</f>
        <v>Membres Statutaires du Cadre Administratif et Logistique -CALog
 concerne 0 membre(s) du personnel</v>
      </c>
      <c r="F21" s="855"/>
      <c r="G21" s="855"/>
      <c r="I21" s="825"/>
    </row>
    <row r="22" spans="1:9" s="817" customFormat="1">
      <c r="A22" s="856">
        <f>Total_Code!C14</f>
        <v>0</v>
      </c>
      <c r="B22" s="857" t="str">
        <f>Total_Code!$BD$4</f>
        <v>111-01/P</v>
      </c>
      <c r="C22" s="858" t="str">
        <f>A22&amp;"/"&amp;LEFT(B22,6)</f>
        <v>0/111-01</v>
      </c>
      <c r="D22" s="858">
        <v>70</v>
      </c>
      <c r="E22" s="937" t="s">
        <v>3687</v>
      </c>
      <c r="F22" s="859">
        <f>IF(ISERROR(Total_Code!BD14),0,Total_Code!BD14)</f>
        <v>0</v>
      </c>
      <c r="G22" s="860">
        <f>IF(ISERROR('Total_Code X-1'!BC14),0,'Total_Code X-1'!BC14)</f>
        <v>0</v>
      </c>
      <c r="I22" s="825"/>
    </row>
    <row r="23" spans="1:9" s="817" customFormat="1">
      <c r="A23" s="832">
        <f>$A$22</f>
        <v>0</v>
      </c>
      <c r="B23" s="833" t="str">
        <f>Total_Code!$BE$4</f>
        <v>111-01/02</v>
      </c>
      <c r="C23" s="834" t="str">
        <f t="shared" ref="C23:C36" si="2">A23&amp;"/"&amp;LEFT(B23,6)</f>
        <v>0/111-01</v>
      </c>
      <c r="D23" s="834">
        <v>70</v>
      </c>
      <c r="E23" s="909" t="s">
        <v>3688</v>
      </c>
      <c r="F23" s="835">
        <f>IF(ISERROR(Total_Code!BE14),0,Total_Code!BE14)</f>
        <v>0</v>
      </c>
      <c r="G23" s="836">
        <f>IF(ISERROR('Total_Code X-1'!BD14),0,'Total_Code X-1'!BD14)</f>
        <v>0</v>
      </c>
      <c r="I23" s="825"/>
    </row>
    <row r="24" spans="1:9" s="817" customFormat="1">
      <c r="A24" s="832">
        <f t="shared" ref="A24:A38" si="3">$A$22</f>
        <v>0</v>
      </c>
      <c r="B24" s="833" t="str">
        <f>Total_Code!BF$4</f>
        <v>111-01/FV</v>
      </c>
      <c r="C24" s="834" t="str">
        <f t="shared" si="2"/>
        <v>0/111-01</v>
      </c>
      <c r="D24" s="834">
        <v>70</v>
      </c>
      <c r="E24" s="909" t="s">
        <v>1572</v>
      </c>
      <c r="F24" s="835">
        <f>IF(ISERROR(Total_Code!BF14),0,Total_Code!BF14)</f>
        <v>0</v>
      </c>
      <c r="G24" s="836">
        <f>IF(ISERROR('Total_Code X-1'!BE14),0,'Total_Code X-1'!BE14)</f>
        <v>0</v>
      </c>
      <c r="I24" s="825"/>
    </row>
    <row r="25" spans="1:9" s="817" customFormat="1" ht="27" customHeight="1">
      <c r="A25" s="832">
        <f t="shared" si="3"/>
        <v>0</v>
      </c>
      <c r="B25" s="833" t="str">
        <f>Total_Code!$BG$4</f>
        <v>111-01/12</v>
      </c>
      <c r="C25" s="834" t="str">
        <f t="shared" si="2"/>
        <v>0/111-01</v>
      </c>
      <c r="D25" s="834">
        <v>70</v>
      </c>
      <c r="E25" s="924" t="s">
        <v>3198</v>
      </c>
      <c r="F25" s="835">
        <f>IF(ISERROR(Total_Code!BG14),0,Total_Code!BG14)</f>
        <v>0</v>
      </c>
      <c r="G25" s="1710">
        <f>IF(ISERROR('Total_Code X-1'!BF14),0,'Total_Code X-1'!BF14)</f>
        <v>0</v>
      </c>
      <c r="I25" s="825"/>
    </row>
    <row r="26" spans="1:9" s="817" customFormat="1" ht="13.5" thickBot="1">
      <c r="A26" s="832">
        <f t="shared" si="3"/>
        <v>0</v>
      </c>
      <c r="B26" s="833" t="str">
        <f>FormAide!C62</f>
        <v>111-01/12</v>
      </c>
      <c r="C26" s="834" t="str">
        <f t="shared" si="2"/>
        <v>0/111-01</v>
      </c>
      <c r="D26" s="834" t="s">
        <v>3926</v>
      </c>
      <c r="E26" s="929" t="s">
        <v>2639</v>
      </c>
      <c r="F26" s="862">
        <f>IF(ISERROR(Total_Code!BT14),0,Total_Code!BT14)</f>
        <v>0</v>
      </c>
      <c r="G26" s="1712" t="s">
        <v>538</v>
      </c>
      <c r="I26" s="825"/>
    </row>
    <row r="27" spans="1:9" s="817" customFormat="1" ht="25.5">
      <c r="A27" s="832">
        <f t="shared" si="3"/>
        <v>0</v>
      </c>
      <c r="B27" s="833" t="str">
        <f>Total_Code!$BH$4</f>
        <v>111-08</v>
      </c>
      <c r="C27" s="834" t="str">
        <f t="shared" si="2"/>
        <v>0/111-08</v>
      </c>
      <c r="D27" s="834">
        <v>70</v>
      </c>
      <c r="E27" s="909" t="s">
        <v>4360</v>
      </c>
      <c r="F27" s="835" t="e">
        <f>IF(ISERROR(Total_Code!BH14),0,Total_Code!BH14)-IF(EcoCal=1,F28,0)</f>
        <v>#N/A</v>
      </c>
      <c r="G27" s="836" t="e">
        <f>IF(ISERROR('Total_Code X-1'!BG14),0,'Total_Code X-1'!BG14)-IF(EcoCal=1,G28,0)</f>
        <v>#N/A</v>
      </c>
      <c r="H27" s="845" t="e">
        <f>(F24+F26+F27+IF(F28="",0,F28))*VLOOKUP(EcoCal,ChPatBdr,4)</f>
        <v>#N/A</v>
      </c>
      <c r="I27" s="845" t="e">
        <f>(G24+G27)*VLOOKUP(EcoCal,ChPatBdr,4)</f>
        <v>#N/A</v>
      </c>
    </row>
    <row r="28" spans="1:9" s="817" customFormat="1">
      <c r="A28" s="1206"/>
      <c r="B28" s="1207"/>
      <c r="C28" s="1208" t="e">
        <f>IF(F28="","",Total_Code!AJ1)</f>
        <v>#N/A</v>
      </c>
      <c r="D28" s="1208"/>
      <c r="E28" s="1209" t="e">
        <f>IF(F28="","",Total_Code!AJ4)</f>
        <v>#N/A</v>
      </c>
      <c r="F28" s="1210" t="e">
        <f>IF(EcoCal=1,CompOPensPat,"")</f>
        <v>#N/A</v>
      </c>
      <c r="G28" s="1713" t="e">
        <f>IF(EcoCalX1=1,CompOPensPat_X_1,"")</f>
        <v>#N/A</v>
      </c>
      <c r="I28" s="825"/>
    </row>
    <row r="29" spans="1:9" s="817" customFormat="1">
      <c r="A29" s="832">
        <f t="shared" si="3"/>
        <v>0</v>
      </c>
      <c r="B29" s="833" t="str">
        <f>Total_Code!$BI$4</f>
        <v>112-01</v>
      </c>
      <c r="C29" s="834" t="str">
        <f t="shared" si="2"/>
        <v>0/112-01</v>
      </c>
      <c r="D29" s="834">
        <v>70</v>
      </c>
      <c r="E29" s="940" t="s">
        <v>4361</v>
      </c>
      <c r="F29" s="835">
        <f>IF(ISERROR(Total_Code!BI14),0,Total_Code!BI14)</f>
        <v>0</v>
      </c>
      <c r="G29" s="1710">
        <f>IF(ISERROR('Total_Code X-1'!BH14),0,'Total_Code X-1'!BH14)</f>
        <v>0</v>
      </c>
      <c r="I29" s="825"/>
    </row>
    <row r="30" spans="1:9" s="817" customFormat="1" ht="25.5">
      <c r="A30" s="832">
        <f t="shared" si="3"/>
        <v>0</v>
      </c>
      <c r="B30" s="833" t="str">
        <f>Total_Code!$BJ$4</f>
        <v>113-01</v>
      </c>
      <c r="C30" s="834" t="str">
        <f t="shared" si="2"/>
        <v>0/113-01</v>
      </c>
      <c r="D30" s="834">
        <v>70</v>
      </c>
      <c r="E30" s="940" t="s">
        <v>1926</v>
      </c>
      <c r="F30" s="835">
        <f>IF(ISERROR(Total_Code!BJ14),0,Total_Code!BJ14)</f>
        <v>0</v>
      </c>
      <c r="G30" s="836">
        <f>IF(ISERROR('Total_Code X-1'!BI14),0,'Total_Code X-1'!BI14)</f>
        <v>0</v>
      </c>
      <c r="H30" s="930">
        <f>ROUND(($F$22+$F$24+$F$26+IF(EcoCal=2,$F$23,0))*VLOOKUP(EcoCal,ChPatBdr,3),3)</f>
        <v>0</v>
      </c>
      <c r="I30" s="943">
        <f>ROUND(($G$22+$G$24+IF(EcoCal=2,$G$23,0))*VLOOKUP(EcoCal,ChPatBdr,3),3)</f>
        <v>0</v>
      </c>
    </row>
    <row r="31" spans="1:9" s="817" customFormat="1" ht="25.5">
      <c r="A31" s="832">
        <f t="shared" si="3"/>
        <v>0</v>
      </c>
      <c r="B31" s="833" t="str">
        <f>Total_Code!$BK$4</f>
        <v>113-21</v>
      </c>
      <c r="C31" s="834" t="str">
        <f>A31&amp;"/"&amp;LEFT(B31,6)</f>
        <v>0/113-21</v>
      </c>
      <c r="D31" s="834">
        <v>70</v>
      </c>
      <c r="E31" s="940" t="s">
        <v>2392</v>
      </c>
      <c r="F31" s="835">
        <f>IF(ISERROR(Total_Code!BK14),0,Total_Code!BK14)</f>
        <v>0</v>
      </c>
      <c r="G31" s="836">
        <f>IF(ISERROR('Total_Code X-1'!BJ14),0,'Total_Code X-1'!BJ14)</f>
        <v>0</v>
      </c>
      <c r="H31" s="930" t="e">
        <f>ROUND(($F$22+IF(EcoCal&lt;&gt;1,$F$23,0)+IF(F28="",0,F28))*VLOOKUP(EcoCal,ChPatBdr,2),2)</f>
        <v>#N/A</v>
      </c>
      <c r="I31" s="943">
        <f>ROUND(($G$22+IF(EcoCal&gt;1,$G$23,0))*VLOOKUP(EcoCal,ChPatBdr,5),2)</f>
        <v>0</v>
      </c>
    </row>
    <row r="32" spans="1:9" s="817" customFormat="1" ht="25.5">
      <c r="A32" s="832">
        <f t="shared" si="3"/>
        <v>0</v>
      </c>
      <c r="B32" s="833" t="str">
        <f>Total_Code!$BL$4</f>
        <v>113-08</v>
      </c>
      <c r="C32" s="834" t="str">
        <f t="shared" si="2"/>
        <v>0/113-08</v>
      </c>
      <c r="D32" s="834">
        <v>70</v>
      </c>
      <c r="E32" s="940" t="s">
        <v>1927</v>
      </c>
      <c r="F32" s="835">
        <f>IF(ISERROR(Total_Code!BL14),0,Total_Code!BL14)</f>
        <v>0</v>
      </c>
      <c r="G32" s="836">
        <f>IF(ISERROR('Total_Code X-1'!BK14),0,'Total_Code X-1'!BK14)</f>
        <v>0</v>
      </c>
      <c r="H32" s="930" t="e">
        <f>ROUND(($F$27+IF(F28="",0,F28))*VLOOKUP(EcoCal,ChPatBdr,3),3)</f>
        <v>#N/A</v>
      </c>
      <c r="I32" s="943" t="e">
        <f>ROUND($G$27*VLOOKUP(EcoCal,ChPatBdr,3),3)</f>
        <v>#N/A</v>
      </c>
    </row>
    <row r="33" spans="1:9" s="817" customFormat="1" ht="25.5">
      <c r="A33" s="832">
        <f t="shared" si="3"/>
        <v>0</v>
      </c>
      <c r="B33" s="833" t="str">
        <f>Total_Code!$BM$4</f>
        <v>115-01</v>
      </c>
      <c r="C33" s="834" t="str">
        <f t="shared" si="2"/>
        <v>0/115-01</v>
      </c>
      <c r="D33" s="834">
        <v>70</v>
      </c>
      <c r="E33" s="940" t="s">
        <v>4442</v>
      </c>
      <c r="F33" s="835">
        <f>IF(ISERROR(Total_Code!BM14),0,Total_Code!BM14)</f>
        <v>0</v>
      </c>
      <c r="G33" s="836">
        <f>IF(ISERROR('Total_Code X-1'!BL14),0,'Total_Code X-1'!BL14)</f>
        <v>0</v>
      </c>
      <c r="I33" s="825"/>
    </row>
    <row r="34" spans="1:9" s="817" customFormat="1" ht="25.5">
      <c r="A34" s="832">
        <f t="shared" si="3"/>
        <v>0</v>
      </c>
      <c r="B34" s="833" t="str">
        <f>Total_Code!$BN$4</f>
        <v>117-01</v>
      </c>
      <c r="C34" s="834" t="str">
        <f t="shared" si="2"/>
        <v>0/117-01</v>
      </c>
      <c r="D34" s="834">
        <v>70</v>
      </c>
      <c r="E34" s="940" t="s">
        <v>2759</v>
      </c>
      <c r="F34" s="835">
        <f>IF(ISERROR(Total_Code!BN14),0,Total_Code!BN14)</f>
        <v>0</v>
      </c>
      <c r="G34" s="836">
        <f>IF(ISERROR('Total_Code X-1'!BM14),0,'Total_Code X-1'!BM14)</f>
        <v>0</v>
      </c>
      <c r="I34" s="825"/>
    </row>
    <row r="35" spans="1:9" s="817" customFormat="1">
      <c r="A35" s="832">
        <f t="shared" si="3"/>
        <v>0</v>
      </c>
      <c r="B35" s="833" t="str">
        <f>Total_Code!$BO$4</f>
        <v>118-01</v>
      </c>
      <c r="C35" s="834" t="str">
        <f t="shared" si="2"/>
        <v>0/118-01</v>
      </c>
      <c r="D35" s="834">
        <v>71</v>
      </c>
      <c r="E35" s="940" t="s">
        <v>1310</v>
      </c>
      <c r="F35" s="835">
        <f>IF(ISERROR(Total_Code!BO14),0,Total_Code!BO14)</f>
        <v>0</v>
      </c>
      <c r="G35" s="836">
        <f>IF(ISERROR('Total_Code X-1'!BN14),0,'Total_Code X-1'!BN14)</f>
        <v>0</v>
      </c>
      <c r="H35" s="863"/>
      <c r="I35" s="864"/>
    </row>
    <row r="36" spans="1:9" s="817" customFormat="1" ht="26.25" thickBot="1">
      <c r="A36" s="832">
        <f t="shared" si="3"/>
        <v>0</v>
      </c>
      <c r="B36" s="833" t="str">
        <f>Total_Code!$BP$4</f>
        <v>121-01</v>
      </c>
      <c r="C36" s="834" t="str">
        <f t="shared" si="2"/>
        <v>0/121-01</v>
      </c>
      <c r="D36" s="834">
        <v>71</v>
      </c>
      <c r="E36" s="940" t="s">
        <v>2425</v>
      </c>
      <c r="F36" s="835">
        <f>IF(ISERROR(Total_Code!BP14),0,Total_Code!BP14)</f>
        <v>0</v>
      </c>
      <c r="G36" s="836">
        <f>IF(ISERROR('Total_Code X-1'!BO14),0,'Total_Code X-1'!BO14)</f>
        <v>0</v>
      </c>
      <c r="I36" s="825"/>
    </row>
    <row r="37" spans="1:9" s="817" customFormat="1" ht="13.5" thickBot="1">
      <c r="A37" s="832">
        <f t="shared" si="3"/>
        <v>0</v>
      </c>
      <c r="B37" s="848" t="str">
        <f>Total_Code!$BR$4</f>
        <v>121-48</v>
      </c>
      <c r="C37" s="849" t="str">
        <f>A37&amp;"/"&amp;LEFT(B37,3)&amp;"-"&amp;RIGHT(B37,2)</f>
        <v>0/121-48</v>
      </c>
      <c r="D37" s="849">
        <v>71</v>
      </c>
      <c r="E37" s="942" t="s">
        <v>4598</v>
      </c>
      <c r="F37" s="850">
        <f>IF(ISERROR(Total_Code!BR14),0,Total_Code!BR14)</f>
        <v>0</v>
      </c>
      <c r="G37" s="851">
        <f>IF(ISERROR('Total_Code X-1'!BQ14),0,'Total_Code X-1'!BQ14)</f>
        <v>0</v>
      </c>
      <c r="H37" s="434" t="e">
        <f>SUM(F22:F37)-F26</f>
        <v>#N/A</v>
      </c>
      <c r="I37" s="435" t="e">
        <f>IF(SUM(G22:G37)=0,0,SUM(G22:G37))</f>
        <v>#N/A</v>
      </c>
    </row>
    <row r="38" spans="1:9" s="817" customFormat="1" ht="51.75" customHeight="1" thickBot="1">
      <c r="A38" s="1121">
        <f t="shared" si="3"/>
        <v>0</v>
      </c>
      <c r="B38" s="852"/>
      <c r="C38" s="852"/>
      <c r="D38" s="852"/>
      <c r="E38" s="549" t="str">
        <f>"Fin: " &amp; VLOOKUP(EcoCal,PatrLast,2)&amp;IF(EcoCal=4,""," du Cadre Administratif et Logistique -CALog")</f>
        <v>Fin: Membres Statutaires du Cadre Administratif et Logistique -CALog</v>
      </c>
      <c r="F38" s="853"/>
      <c r="G38" s="853"/>
      <c r="H38" s="436" t="e">
        <f>H37/Total_Code!BC18</f>
        <v>#N/A</v>
      </c>
      <c r="I38" s="437" t="e">
        <f>IF(SUM(G22:G37)=0,0,I37/'Total_Code X-1'!BB18)</f>
        <v>#N/A</v>
      </c>
    </row>
    <row r="39" spans="1:9" s="817" customFormat="1" ht="39" thickBot="1">
      <c r="A39" s="1120">
        <f>A40</f>
        <v>0</v>
      </c>
      <c r="B39" s="854"/>
      <c r="C39" s="854"/>
      <c r="D39" s="854"/>
      <c r="E39" s="949" t="str">
        <f>VLOOKUP(EcoAPE,PatrLast,2)&amp;"
 concerne "&amp;Calog!B3&amp;" membres du personnel."</f>
        <v>Membres Contractuels du Cadre 
Administratif et Logistique - Agent Premier Emploi (A.P.E.)
 concerne 0 membres du personnel.</v>
      </c>
      <c r="F39" s="855"/>
      <c r="G39" s="855"/>
      <c r="I39" s="825"/>
    </row>
    <row r="40" spans="1:9" s="817" customFormat="1">
      <c r="A40" s="832">
        <f>Total_Code!C20</f>
        <v>0</v>
      </c>
      <c r="B40" s="865" t="str">
        <f>Total_Code!$BD$21</f>
        <v>111-02P</v>
      </c>
      <c r="C40" s="858" t="str">
        <f>A40&amp;"/"&amp;LEFT(B40,6)</f>
        <v>0/111-02</v>
      </c>
      <c r="D40" s="858">
        <v>70</v>
      </c>
      <c r="E40" s="937" t="s">
        <v>2069</v>
      </c>
      <c r="F40" s="859">
        <f>IF(ISERROR(Total_Code!BD20),0,Total_Code!BD20)</f>
        <v>0</v>
      </c>
      <c r="G40" s="860">
        <f>IF(ISERROR('Total_Code X-1'!BC20),0,'Total_Code X-1'!BC20)</f>
        <v>0</v>
      </c>
      <c r="H40" s="866"/>
      <c r="I40" s="867"/>
    </row>
    <row r="41" spans="1:9" s="817" customFormat="1">
      <c r="A41" s="832">
        <f>A40</f>
        <v>0</v>
      </c>
      <c r="B41" s="868" t="str">
        <f>Total_Code!$BE$21</f>
        <v>111-02/02</v>
      </c>
      <c r="C41" s="834" t="str">
        <f t="shared" ref="C41:C53" si="4">A41&amp;"/"&amp;LEFT(B41,6)</f>
        <v>0/111-02</v>
      </c>
      <c r="D41" s="834">
        <v>70</v>
      </c>
      <c r="E41" s="909" t="s">
        <v>4443</v>
      </c>
      <c r="F41" s="835">
        <f>IF(ISERROR(Total_Code!BE20),0,Total_Code!BE20)</f>
        <v>0</v>
      </c>
      <c r="G41" s="836">
        <f>IF(ISERROR('Total_Code X-1'!BD20),0,'Total_Code X-1'!BD20)</f>
        <v>0</v>
      </c>
      <c r="I41" s="825"/>
    </row>
    <row r="42" spans="1:9" s="817" customFormat="1">
      <c r="A42" s="832">
        <f>A41</f>
        <v>0</v>
      </c>
      <c r="B42" s="868" t="str">
        <f>Total_Code!BF$21</f>
        <v>111-02/VF</v>
      </c>
      <c r="C42" s="834" t="str">
        <f t="shared" si="4"/>
        <v>0/111-02</v>
      </c>
      <c r="D42" s="834">
        <v>70</v>
      </c>
      <c r="E42" s="909" t="s">
        <v>4444</v>
      </c>
      <c r="F42" s="835">
        <f>IF(ISERROR(Total_Code!BF20),0,Total_Code!BF20)</f>
        <v>0</v>
      </c>
      <c r="G42" s="836">
        <f>IF(ISERROR('Total_Code X-1'!BE20),0,'Total_Code X-1'!BE20)</f>
        <v>0</v>
      </c>
      <c r="I42" s="825"/>
    </row>
    <row r="43" spans="1:9" s="817" customFormat="1" ht="25.5">
      <c r="A43" s="832">
        <f t="shared" ref="A43:A55" si="5">A42</f>
        <v>0</v>
      </c>
      <c r="B43" s="868" t="str">
        <f>Total_Code!$BG$21</f>
        <v>111-02/12</v>
      </c>
      <c r="C43" s="834" t="str">
        <f t="shared" si="4"/>
        <v>0/111-02</v>
      </c>
      <c r="D43" s="834">
        <v>70</v>
      </c>
      <c r="E43" s="924" t="s">
        <v>3029</v>
      </c>
      <c r="F43" s="835">
        <f>IF(ISERROR(Total_Code!BG20),0,Total_Code!BG20)</f>
        <v>0</v>
      </c>
      <c r="G43" s="1710">
        <f>IF(ISERROR('Total_Code X-1'!BE20),0,'Total_Code X-1'!BF20)</f>
        <v>0</v>
      </c>
      <c r="I43" s="825"/>
    </row>
    <row r="44" spans="1:9" s="817" customFormat="1" ht="13.5" thickBot="1">
      <c r="A44" s="832">
        <f t="shared" si="5"/>
        <v>0</v>
      </c>
      <c r="B44" s="868" t="str">
        <f>FormAide!A62</f>
        <v>111-02/12</v>
      </c>
      <c r="C44" s="834" t="str">
        <f t="shared" si="4"/>
        <v>0/111-02</v>
      </c>
      <c r="D44" s="834" t="s">
        <v>3926</v>
      </c>
      <c r="E44" s="929" t="s">
        <v>2639</v>
      </c>
      <c r="F44" s="862">
        <f>IF(ISERROR(Total_Code!BT20),0,Total_Code!BT20)</f>
        <v>0</v>
      </c>
      <c r="G44" s="1714" t="s">
        <v>538</v>
      </c>
      <c r="I44" s="825"/>
    </row>
    <row r="45" spans="1:9" s="817" customFormat="1" ht="25.5">
      <c r="A45" s="832">
        <f t="shared" si="5"/>
        <v>0</v>
      </c>
      <c r="B45" s="868" t="str">
        <f>Total_Code!$BH$21</f>
        <v>111-09</v>
      </c>
      <c r="C45" s="834" t="str">
        <f t="shared" si="4"/>
        <v>0/111-09</v>
      </c>
      <c r="D45" s="834">
        <v>70</v>
      </c>
      <c r="E45" s="909" t="s">
        <v>3030</v>
      </c>
      <c r="F45" s="835">
        <f>IF(ISERROR(Total_Code!BH20),0,Total_Code!BH20)</f>
        <v>0</v>
      </c>
      <c r="G45" s="836">
        <f>IF(ISERROR('Total_Code X-1'!BG20),0,'Total_Code X-1'!BG20)</f>
        <v>0</v>
      </c>
      <c r="H45" s="845">
        <f>(F42+F44+F45)*VLOOKUP(EcoAPE,ChPatBdr,4)</f>
        <v>0</v>
      </c>
      <c r="I45" s="845">
        <f>(G42+G45)*VLOOKUP(EcoAPE,ChPatBdr,4)</f>
        <v>0</v>
      </c>
    </row>
    <row r="46" spans="1:9" s="817" customFormat="1">
      <c r="A46" s="832">
        <f t="shared" si="5"/>
        <v>0</v>
      </c>
      <c r="B46" s="868" t="str">
        <f>Total_Code!$BI$21</f>
        <v>112-02</v>
      </c>
      <c r="C46" s="834" t="str">
        <f t="shared" si="4"/>
        <v>0/112-02</v>
      </c>
      <c r="D46" s="834">
        <v>70</v>
      </c>
      <c r="E46" s="940" t="s">
        <v>1886</v>
      </c>
      <c r="F46" s="835">
        <f>IF(ISERROR(Total_Code!BI20),0,Total_Code!BI20)</f>
        <v>0</v>
      </c>
      <c r="G46" s="1710">
        <f>IF(ISERROR('Total_Code X-1'!BH20),0,'Total_Code X-1'!BH20)</f>
        <v>0</v>
      </c>
      <c r="I46" s="825"/>
    </row>
    <row r="47" spans="1:9" s="817" customFormat="1" ht="25.5">
      <c r="A47" s="832">
        <f t="shared" si="5"/>
        <v>0</v>
      </c>
      <c r="B47" s="868" t="str">
        <f>Total_Code!$BJ$21</f>
        <v>113-02</v>
      </c>
      <c r="C47" s="834" t="str">
        <f t="shared" si="4"/>
        <v>0/113-02</v>
      </c>
      <c r="D47" s="834">
        <v>70</v>
      </c>
      <c r="E47" s="940" t="s">
        <v>1926</v>
      </c>
      <c r="F47" s="835">
        <f>IF(ISERROR(Total_Code!BJ20),0,Total_Code!BJ20)</f>
        <v>0</v>
      </c>
      <c r="G47" s="836">
        <f>IF(ISERROR('Total_Code X-1'!BI20),0,'Total_Code X-1'!BI20)</f>
        <v>0</v>
      </c>
      <c r="H47" s="930">
        <f>ROUND((F40+F42+F44+F41)*VLOOKUP(EcoAPE,ChPatBdr,3),2)</f>
        <v>0</v>
      </c>
      <c r="I47" s="943">
        <f>ROUND((G40+G42+G41)*VLOOKUP(EcoAPE,ChPatBdr,3),2)</f>
        <v>0</v>
      </c>
    </row>
    <row r="48" spans="1:9" s="817" customFormat="1" ht="25.5">
      <c r="A48" s="832">
        <f t="shared" si="5"/>
        <v>0</v>
      </c>
      <c r="B48" s="868" t="str">
        <f>Total_Code!$BL$21</f>
        <v>113-09</v>
      </c>
      <c r="C48" s="834" t="str">
        <f t="shared" si="4"/>
        <v>0/113-09</v>
      </c>
      <c r="D48" s="834">
        <v>70</v>
      </c>
      <c r="E48" s="940" t="s">
        <v>1928</v>
      </c>
      <c r="F48" s="835">
        <f>IF(ISERROR(Total_Code!BL20),0,Total_Code!BL20)</f>
        <v>0</v>
      </c>
      <c r="G48" s="836">
        <f>IF(ISERROR('Total_Code X-1'!BK20),0,'Total_Code X-1'!BK20)</f>
        <v>0</v>
      </c>
      <c r="H48" s="930">
        <f>ROUND(F45*VLOOKUP(EcoAPE,ChPatBdr,3),2)</f>
        <v>0</v>
      </c>
      <c r="I48" s="943">
        <f>ROUND(G45*VLOOKUP(EcoAPE,ChPatBdr,3),2)</f>
        <v>0</v>
      </c>
    </row>
    <row r="49" spans="1:9" s="817" customFormat="1" ht="25.5">
      <c r="A49" s="832">
        <f t="shared" si="5"/>
        <v>0</v>
      </c>
      <c r="B49" s="1291" t="s">
        <v>3328</v>
      </c>
      <c r="C49" s="1292" t="s">
        <v>3328</v>
      </c>
      <c r="D49" s="1292" t="s">
        <v>3328</v>
      </c>
      <c r="E49" s="940" t="s">
        <v>3031</v>
      </c>
      <c r="F49" s="869" t="s">
        <v>538</v>
      </c>
      <c r="G49" s="861" t="s">
        <v>538</v>
      </c>
      <c r="H49" s="930" t="s">
        <v>538</v>
      </c>
      <c r="I49" s="943" t="s">
        <v>538</v>
      </c>
    </row>
    <row r="50" spans="1:9" s="817" customFormat="1" ht="25.5">
      <c r="A50" s="832">
        <f t="shared" si="5"/>
        <v>0</v>
      </c>
      <c r="B50" s="868" t="str">
        <f>Total_Code!$BM$21</f>
        <v>115-02</v>
      </c>
      <c r="C50" s="834" t="str">
        <f t="shared" si="4"/>
        <v>0/115-02</v>
      </c>
      <c r="D50" s="834">
        <v>70</v>
      </c>
      <c r="E50" s="940" t="s">
        <v>329</v>
      </c>
      <c r="F50" s="835">
        <f>IF(ISERROR(Total_Code!BM20),0,Total_Code!BM20)</f>
        <v>0</v>
      </c>
      <c r="G50" s="836">
        <f>IF(ISERROR('Total_Code X-1'!BL20),0,'Total_Code X-1'!BL20)</f>
        <v>0</v>
      </c>
      <c r="I50" s="825"/>
    </row>
    <row r="51" spans="1:9" s="817" customFormat="1" ht="25.5">
      <c r="A51" s="832">
        <f t="shared" si="5"/>
        <v>0</v>
      </c>
      <c r="B51" s="868" t="str">
        <f>Total_Code!$BN$21</f>
        <v>117-01</v>
      </c>
      <c r="C51" s="834" t="str">
        <f t="shared" si="4"/>
        <v>0/117-01</v>
      </c>
      <c r="D51" s="834">
        <v>70</v>
      </c>
      <c r="E51" s="940" t="s">
        <v>3032</v>
      </c>
      <c r="F51" s="835">
        <f>IF(ISERROR(Total_Code!BN20),0,Total_Code!BN20)</f>
        <v>0</v>
      </c>
      <c r="G51" s="836">
        <f>IF(ISERROR('Total_Code X-1'!BM20),0,'Total_Code X-1'!BM20)</f>
        <v>0</v>
      </c>
      <c r="I51" s="825"/>
    </row>
    <row r="52" spans="1:9" s="817" customFormat="1">
      <c r="A52" s="832">
        <f t="shared" si="5"/>
        <v>0</v>
      </c>
      <c r="B52" s="868" t="str">
        <f>Total_Code!$BO$21</f>
        <v>118-01</v>
      </c>
      <c r="C52" s="834" t="str">
        <f t="shared" si="4"/>
        <v>0/118-01</v>
      </c>
      <c r="D52" s="834">
        <v>71</v>
      </c>
      <c r="E52" s="940" t="s">
        <v>4317</v>
      </c>
      <c r="F52" s="835">
        <f>IF(ISERROR(Total_Code!BO20),0,Total_Code!BO20)</f>
        <v>0</v>
      </c>
      <c r="G52" s="836">
        <f>IF(ISERROR('Total_Code X-1'!BN20),0,'Total_Code X-1'!BN20)</f>
        <v>0</v>
      </c>
      <c r="H52" s="863"/>
      <c r="I52" s="864"/>
    </row>
    <row r="53" spans="1:9" s="817" customFormat="1" ht="26.25" thickBot="1">
      <c r="A53" s="832">
        <f t="shared" si="5"/>
        <v>0</v>
      </c>
      <c r="B53" s="868" t="str">
        <f>Total_Code!$BP$21</f>
        <v>121-01</v>
      </c>
      <c r="C53" s="834" t="str">
        <f t="shared" si="4"/>
        <v>0/121-01</v>
      </c>
      <c r="D53" s="834">
        <v>71</v>
      </c>
      <c r="E53" s="940" t="s">
        <v>4318</v>
      </c>
      <c r="F53" s="835">
        <f>IF(ISERROR(Total_Code!BP20),0,Total_Code!BP20)</f>
        <v>0</v>
      </c>
      <c r="G53" s="836">
        <f>IF(ISERROR('Total_Code X-1'!BO20),0,'Total_Code X-1'!BO20)</f>
        <v>0</v>
      </c>
      <c r="I53" s="825"/>
    </row>
    <row r="54" spans="1:9" s="817" customFormat="1" ht="13.5" thickBot="1">
      <c r="A54" s="847">
        <f t="shared" si="5"/>
        <v>0</v>
      </c>
      <c r="B54" s="870" t="str">
        <f>Total_Code!$BR$21</f>
        <v>121-48</v>
      </c>
      <c r="C54" s="849" t="str">
        <f>A54&amp;"/"&amp;LEFT(B54,3)&amp;"-"&amp;RIGHT(B54,2)</f>
        <v>0/121-48</v>
      </c>
      <c r="D54" s="849">
        <v>71</v>
      </c>
      <c r="E54" s="942" t="s">
        <v>4319</v>
      </c>
      <c r="F54" s="850">
        <f>IF(ISERROR(Total_Code!BR20),0,Total_Code!BR20)</f>
        <v>0</v>
      </c>
      <c r="G54" s="851">
        <f>IF(ISERROR('Total_Code X-1'!BQ20),0,'Total_Code X-1'!BQ20)</f>
        <v>0</v>
      </c>
      <c r="H54" s="434">
        <f>SUM(F40:F54)-F44</f>
        <v>0</v>
      </c>
      <c r="I54" s="435">
        <f>IF(SUM(G40:G54)=0,0,SUM(G40:G54))</f>
        <v>0</v>
      </c>
    </row>
    <row r="55" spans="1:9" s="817" customFormat="1" ht="26.25" thickBot="1">
      <c r="A55" s="1121">
        <f t="shared" si="5"/>
        <v>0</v>
      </c>
      <c r="B55" s="852"/>
      <c r="C55" s="852"/>
      <c r="D55" s="852"/>
      <c r="E55" s="549" t="str">
        <f>"Fin : " &amp;VLOOKUP(EcoAPE,PatrLast,2)</f>
        <v>Fin : Membres Contractuels du Cadre 
Administratif et Logistique - Agent Premier Emploi (A.P.E.)</v>
      </c>
      <c r="F55" s="853"/>
      <c r="G55" s="853"/>
      <c r="H55" s="436" t="e">
        <f>H54/Total_Code!BS25</f>
        <v>#N/A</v>
      </c>
      <c r="I55" s="437">
        <f>IF(SUM(G40:G54)=0,0,I54/'Total_Code X-1'!BR25)</f>
        <v>0</v>
      </c>
    </row>
    <row r="56" spans="1:9" s="817" customFormat="1">
      <c r="A56" s="856" t="s">
        <v>1085</v>
      </c>
      <c r="B56" s="1122" t="s">
        <v>2986</v>
      </c>
      <c r="C56" s="858" t="str">
        <f t="shared" ref="C56:C63" si="6">A56&amp;"/"&amp;LEFT(B56,3)&amp;"-"&amp;RIGHT(B56,2)</f>
        <v>33098/111-01</v>
      </c>
      <c r="D56" s="858">
        <v>70</v>
      </c>
      <c r="E56" s="937" t="s">
        <v>4599</v>
      </c>
      <c r="F56" s="859">
        <f>IF(ISERROR(Total_Code!BF6),0,Total_Code!BF6)</f>
        <v>0</v>
      </c>
      <c r="G56" s="859">
        <f>IF(ISNA('Total_Code X-1'!BC6),0,'Total_Code X-1'!BC6)</f>
        <v>0</v>
      </c>
      <c r="H56" s="866"/>
      <c r="I56" s="867"/>
    </row>
    <row r="57" spans="1:9" s="817" customFormat="1" ht="25.5">
      <c r="A57" s="832" t="s">
        <v>1085</v>
      </c>
      <c r="B57" s="1123" t="s">
        <v>3925</v>
      </c>
      <c r="C57" s="834" t="str">
        <f t="shared" si="6"/>
        <v>33098/113-01</v>
      </c>
      <c r="D57" s="834">
        <v>70</v>
      </c>
      <c r="E57" s="940" t="s">
        <v>1929</v>
      </c>
      <c r="F57" s="835">
        <f>IF(ISERROR(Total_Code!BJ6),0,Total_Code!BJ6)</f>
        <v>0</v>
      </c>
      <c r="G57" s="835">
        <f>IF(ISERROR('Total_Code X-1'!BI6),0,'Total_Code X-1'!BI6)</f>
        <v>0</v>
      </c>
      <c r="I57" s="825"/>
    </row>
    <row r="58" spans="1:9" s="817" customFormat="1">
      <c r="A58" s="832">
        <v>33098</v>
      </c>
      <c r="B58" s="1123" t="s">
        <v>1799</v>
      </c>
      <c r="C58" s="834" t="str">
        <f t="shared" si="6"/>
        <v>33098/118-01</v>
      </c>
      <c r="D58" s="834">
        <v>71</v>
      </c>
      <c r="E58" s="940" t="s">
        <v>4545</v>
      </c>
      <c r="F58" s="835">
        <f>IF(ISERROR(Total_Code!BO6),0,Total_Code!BO6)</f>
        <v>0</v>
      </c>
      <c r="G58" s="835">
        <f>IF(ISERROR('Total_Code X-1'!BN6),0,'Total_Code X-1'!BN6)</f>
        <v>0</v>
      </c>
      <c r="I58" s="825"/>
    </row>
    <row r="59" spans="1:9" s="817" customFormat="1">
      <c r="A59" s="832">
        <v>33098</v>
      </c>
      <c r="B59" s="1123" t="s">
        <v>3678</v>
      </c>
      <c r="C59" s="834" t="str">
        <f t="shared" si="6"/>
        <v>33098/121-01</v>
      </c>
      <c r="D59" s="834">
        <v>71</v>
      </c>
      <c r="E59" s="940" t="s">
        <v>1791</v>
      </c>
      <c r="F59" s="835">
        <f>Total_Code!BP6</f>
        <v>0</v>
      </c>
      <c r="G59" s="872">
        <f>'Total_Code X-1'!BO6</f>
        <v>0</v>
      </c>
      <c r="I59" s="825"/>
    </row>
    <row r="60" spans="1:9" s="817" customFormat="1">
      <c r="A60" s="832" t="s">
        <v>1086</v>
      </c>
      <c r="B60" s="1123" t="s">
        <v>2986</v>
      </c>
      <c r="C60" s="834" t="str">
        <f t="shared" si="6"/>
        <v>33099/111-01</v>
      </c>
      <c r="D60" s="834">
        <v>70</v>
      </c>
      <c r="E60" s="940" t="s">
        <v>3044</v>
      </c>
      <c r="F60" s="835">
        <f>IF(ISERROR(Total_Code!BF7),0,Total_Code!BF7)</f>
        <v>0</v>
      </c>
      <c r="G60" s="872">
        <f>IF(ISNA('Total_Code X-1'!BC7),0,'Total_Code X-1'!BC7)</f>
        <v>0</v>
      </c>
      <c r="I60" s="825"/>
    </row>
    <row r="61" spans="1:9" s="817" customFormat="1" ht="25.5">
      <c r="A61" s="832" t="s">
        <v>1086</v>
      </c>
      <c r="B61" s="1123" t="s">
        <v>3925</v>
      </c>
      <c r="C61" s="834" t="str">
        <f t="shared" si="6"/>
        <v>33099/113-01</v>
      </c>
      <c r="D61" s="834">
        <v>70</v>
      </c>
      <c r="E61" s="940" t="s">
        <v>3045</v>
      </c>
      <c r="F61" s="835">
        <f>IF(ISERROR(Total_Code!BJ7),0,Total_Code!BJ7)</f>
        <v>0</v>
      </c>
      <c r="G61" s="835">
        <f>IF(ISERROR('Total_Code X-1'!BI7),0,'Total_Code X-1'!BI7)</f>
        <v>0</v>
      </c>
      <c r="I61" s="825"/>
    </row>
    <row r="62" spans="1:9" s="817" customFormat="1" ht="13.5" thickBot="1">
      <c r="A62" s="832">
        <v>33098</v>
      </c>
      <c r="B62" s="1123" t="s">
        <v>1799</v>
      </c>
      <c r="C62" s="834" t="str">
        <f>A62&amp;"/"&amp;LEFT(B62,3)&amp;"-"&amp;RIGHT(B62,2)</f>
        <v>33098/118-01</v>
      </c>
      <c r="D62" s="834">
        <v>71</v>
      </c>
      <c r="E62" s="940" t="s">
        <v>4545</v>
      </c>
      <c r="F62" s="835">
        <f>IF(ISERROR(Total_Code!BO7),0,Total_Code!BO7)</f>
        <v>0</v>
      </c>
      <c r="G62" s="835">
        <f>IF(ISERROR('Total_Code X-1'!BN7),0,'Total_Code X-1'!BN7)</f>
        <v>0</v>
      </c>
      <c r="I62" s="825"/>
    </row>
    <row r="63" spans="1:9" s="817" customFormat="1" ht="13.5" thickBot="1">
      <c r="A63" s="847">
        <v>33099</v>
      </c>
      <c r="B63" s="1124" t="s">
        <v>3678</v>
      </c>
      <c r="C63" s="834" t="str">
        <f t="shared" si="6"/>
        <v>33099/121-01</v>
      </c>
      <c r="D63" s="849">
        <v>71</v>
      </c>
      <c r="E63" s="940" t="s">
        <v>1791</v>
      </c>
      <c r="F63" s="850">
        <f>Total_Code!BP7</f>
        <v>0</v>
      </c>
      <c r="G63" s="850">
        <f>'Total_Code X-1'!BO7</f>
        <v>0</v>
      </c>
      <c r="H63" s="178">
        <f>SUM(F56:F63)</f>
        <v>0</v>
      </c>
      <c r="I63" s="248">
        <f>IF(SUM(G56:G63)=0,0,SUM(G56:G63))</f>
        <v>0</v>
      </c>
    </row>
    <row r="64" spans="1:9" s="817" customFormat="1" ht="13.5" thickBot="1">
      <c r="A64" s="3388" t="s">
        <v>3043</v>
      </c>
      <c r="B64" s="3389"/>
      <c r="C64" s="3389"/>
      <c r="D64" s="3389"/>
      <c r="E64" s="3389" t="str">
        <f>"Einde " &amp; "Bijzonder Rekenplichtige en Secretaris"</f>
        <v>Einde Bijzonder Rekenplichtige en Secretaris</v>
      </c>
      <c r="F64" s="3389"/>
      <c r="G64" s="3389"/>
      <c r="H64" s="3389"/>
      <c r="I64" s="3390"/>
    </row>
    <row r="65" spans="1:10" s="817" customFormat="1" ht="5.25" customHeight="1" thickBot="1">
      <c r="A65" s="873"/>
      <c r="B65" s="878"/>
      <c r="C65" s="878"/>
      <c r="I65" s="825"/>
    </row>
    <row r="66" spans="1:10" s="817" customFormat="1" ht="15.75" thickBot="1">
      <c r="A66" s="873"/>
      <c r="B66" s="878"/>
      <c r="C66" s="878"/>
      <c r="D66" s="878"/>
      <c r="E66" s="1142" t="s">
        <v>4033</v>
      </c>
      <c r="F66" s="879" t="e">
        <f>Total!G58</f>
        <v>#N/A</v>
      </c>
      <c r="G66" s="879" t="e">
        <f>'Total X-1'!G58</f>
        <v>#N/A</v>
      </c>
      <c r="I66" s="825"/>
    </row>
    <row r="67" spans="1:10" s="817" customFormat="1" ht="4.5" customHeight="1" thickBot="1">
      <c r="A67" s="880"/>
      <c r="I67" s="825"/>
    </row>
    <row r="68" spans="1:10" s="817" customFormat="1" ht="19.5" customHeight="1" thickBot="1">
      <c r="A68" s="881" t="s">
        <v>1087</v>
      </c>
      <c r="B68" s="882">
        <v>0</v>
      </c>
      <c r="C68" s="882" t="s">
        <v>1088</v>
      </c>
      <c r="D68" s="822">
        <v>70</v>
      </c>
      <c r="E68" s="1140" t="s">
        <v>1701</v>
      </c>
      <c r="F68" s="883"/>
      <c r="G68" s="855"/>
      <c r="I68" s="825"/>
    </row>
    <row r="69" spans="1:10" s="817" customFormat="1" ht="19.5" customHeight="1" thickBot="1">
      <c r="A69" s="884" t="s">
        <v>1087</v>
      </c>
      <c r="B69" s="885">
        <v>0</v>
      </c>
      <c r="C69" s="885" t="s">
        <v>1089</v>
      </c>
      <c r="D69" s="886">
        <v>70</v>
      </c>
      <c r="E69" s="1141" t="s">
        <v>1702</v>
      </c>
      <c r="F69" s="887"/>
      <c r="G69" s="855"/>
      <c r="I69" s="825"/>
    </row>
    <row r="70" spans="1:10" s="817" customFormat="1" ht="19.5" customHeight="1" thickBot="1">
      <c r="A70" s="884" t="s">
        <v>1087</v>
      </c>
      <c r="B70" s="885">
        <v>0</v>
      </c>
      <c r="C70" s="885" t="s">
        <v>1090</v>
      </c>
      <c r="D70" s="886">
        <v>70</v>
      </c>
      <c r="E70" s="1141" t="s">
        <v>618</v>
      </c>
      <c r="F70" s="887"/>
      <c r="G70" s="855"/>
      <c r="I70" s="825"/>
    </row>
    <row r="71" spans="1:10" s="817" customFormat="1" ht="19.5" customHeight="1" thickBot="1">
      <c r="A71" s="884" t="s">
        <v>1087</v>
      </c>
      <c r="B71" s="885">
        <v>0</v>
      </c>
      <c r="C71" s="885" t="s">
        <v>1091</v>
      </c>
      <c r="D71" s="886">
        <v>70</v>
      </c>
      <c r="E71" s="1141" t="s">
        <v>619</v>
      </c>
      <c r="F71" s="887"/>
      <c r="G71" s="853"/>
      <c r="H71" s="876"/>
      <c r="I71" s="877"/>
    </row>
    <row r="73" spans="1:10" ht="13.5" thickBot="1"/>
    <row r="74" spans="1:10" ht="39" thickBot="1">
      <c r="A74" s="1917"/>
      <c r="B74" s="1918"/>
      <c r="C74" s="1918"/>
      <c r="D74" s="1918"/>
      <c r="E74" s="527" t="str">
        <f>VLOOKUP(Total_Code!$B$8,PatrLast,2) &amp; ",
 concerne "&amp;Ops!$B$3&amp;IF(Ops!$B$3&gt;1," membres du personnel."," membre du personnel.")</f>
        <v>Membres Statutaires,
 concerne 0 membre du personnel.</v>
      </c>
      <c r="F74" s="1918"/>
      <c r="G74" s="1918"/>
      <c r="H74" s="894"/>
      <c r="I74" s="895"/>
      <c r="J74" s="1919" t="s">
        <v>1219</v>
      </c>
    </row>
    <row r="75" spans="1:10">
      <c r="A75" s="856">
        <v>33001</v>
      </c>
      <c r="B75" s="821" t="s">
        <v>2674</v>
      </c>
      <c r="C75" s="822" t="str">
        <f t="shared" ref="C75:C80" si="7">A75&amp;"/"&amp;LEFT(B75,6)</f>
        <v>33001/111-10</v>
      </c>
      <c r="D75" s="822">
        <v>70</v>
      </c>
      <c r="E75" s="916" t="s">
        <v>1220</v>
      </c>
      <c r="F75" s="823">
        <f>IF(ISERROR(Total_Code!$BD$8),0,Total_Code!$BD$8)</f>
        <v>0</v>
      </c>
      <c r="G75" s="824">
        <f>IF(ISERROR('Total_Code X-1'!BC8),0,'Total_Code X-1'!BC8)</f>
        <v>0</v>
      </c>
      <c r="H75" s="817"/>
      <c r="I75" s="825"/>
      <c r="J75" s="1920"/>
    </row>
    <row r="76" spans="1:10" ht="25.5">
      <c r="A76" s="832">
        <v>33001</v>
      </c>
      <c r="B76" s="838" t="s">
        <v>2675</v>
      </c>
      <c r="C76" s="839" t="str">
        <f t="shared" si="7"/>
        <v>33001/111-10</v>
      </c>
      <c r="D76" s="839">
        <v>70</v>
      </c>
      <c r="E76" s="924" t="s">
        <v>1221</v>
      </c>
      <c r="F76" s="840">
        <f>IF(ISERROR(Total_Code!$BG$8),0,Total_Code!$BG$8)</f>
        <v>0</v>
      </c>
      <c r="G76" s="1710">
        <f>IF(ISERROR(Total_Code!$K$8),0,'Total_Code X-1'!K8)</f>
        <v>0</v>
      </c>
      <c r="H76" s="817"/>
      <c r="I76" s="825"/>
      <c r="J76" s="1920"/>
    </row>
    <row r="77" spans="1:10">
      <c r="A77" s="832">
        <v>33001</v>
      </c>
      <c r="B77" s="838" t="str">
        <f>B76</f>
        <v>111-10/12</v>
      </c>
      <c r="C77" s="842" t="str">
        <f t="shared" si="7"/>
        <v>33001/111-10</v>
      </c>
      <c r="D77" s="842" t="s">
        <v>3926</v>
      </c>
      <c r="E77" s="929" t="s">
        <v>2639</v>
      </c>
      <c r="F77" s="843">
        <f>IF(ISERROR(Total_Code!$BT$8),0,Total_Code!$BT$8)</f>
        <v>0</v>
      </c>
      <c r="G77" s="1711" t="s">
        <v>538</v>
      </c>
      <c r="H77" s="817"/>
      <c r="I77" s="825"/>
      <c r="J77" s="1920"/>
    </row>
    <row r="78" spans="1:10">
      <c r="A78" s="832">
        <v>33001</v>
      </c>
      <c r="B78" s="833" t="s">
        <v>2676</v>
      </c>
      <c r="C78" s="834" t="str">
        <f t="shared" si="7"/>
        <v>33001/112-10</v>
      </c>
      <c r="D78" s="834">
        <v>70</v>
      </c>
      <c r="E78" s="906" t="s">
        <v>1222</v>
      </c>
      <c r="F78" s="835">
        <f>IF(ISERROR(Total_Code!$BI$8),0,Total_Code!$BI$8)</f>
        <v>0</v>
      </c>
      <c r="G78" s="1710">
        <f>IF(ISERROR(Total_Code!$AJ$8),0,'Total_Code X-1'!$AJ$8)</f>
        <v>0</v>
      </c>
      <c r="H78" s="817"/>
      <c r="I78" s="825"/>
      <c r="J78" s="1920"/>
    </row>
    <row r="79" spans="1:10" ht="25.5">
      <c r="A79" s="832">
        <v>33001</v>
      </c>
      <c r="B79" s="833" t="str">
        <f>Total_Code!$BJ$4</f>
        <v>113-01</v>
      </c>
      <c r="C79" s="834" t="str">
        <f t="shared" si="7"/>
        <v>33001/113-01</v>
      </c>
      <c r="D79" s="834">
        <v>70</v>
      </c>
      <c r="E79" s="906" t="s">
        <v>1223</v>
      </c>
      <c r="F79" s="835">
        <f>IF(ISERROR(Total_Code!$BJ$8),0,Total_Code!$BJ$8)</f>
        <v>0</v>
      </c>
      <c r="G79" s="836" t="e">
        <f>'Total_Code X-1'!BI8</f>
        <v>#N/A</v>
      </c>
      <c r="H79" s="930">
        <f>ROUND((F75+F77)*VLOOKUP(EcoOps,ChPatBdr,3),3)</f>
        <v>0</v>
      </c>
      <c r="I79" s="943">
        <f>ROUND(($G$3+$G$6+IF(EcoOpsx1=2,$G$5,0))*VLOOKUP(EcoOps,ChPatBdr,3),3)</f>
        <v>0</v>
      </c>
      <c r="J79" s="1920"/>
    </row>
    <row r="80" spans="1:10" ht="13.5" thickBot="1">
      <c r="A80" s="847">
        <v>33001</v>
      </c>
      <c r="B80" s="848" t="str">
        <f>Total_Code!$BO$4</f>
        <v>118-01</v>
      </c>
      <c r="C80" s="849" t="str">
        <f t="shared" si="7"/>
        <v>33001/118-01</v>
      </c>
      <c r="D80" s="849">
        <v>70</v>
      </c>
      <c r="E80" s="910" t="s">
        <v>1224</v>
      </c>
      <c r="F80" s="850">
        <f>IF(ISERROR(Total_Code!$BO$8),0,Total_Code!$BO$8)</f>
        <v>0</v>
      </c>
      <c r="G80" s="851" t="e">
        <f>'Total_Code X-1'!BN8</f>
        <v>#N/A</v>
      </c>
      <c r="H80" s="817"/>
      <c r="I80" s="825"/>
      <c r="J80" s="1920"/>
    </row>
    <row r="81" spans="1:10">
      <c r="A81" s="873"/>
      <c r="H81" s="1924">
        <f>SUM(F75:F80)-F77</f>
        <v>0</v>
      </c>
      <c r="I81" s="1921" t="e">
        <f>IF(SUM(G75:G76,G78:G80)=0,0,SUM(G75:G76,G78:G80))</f>
        <v>#N/A</v>
      </c>
      <c r="J81" s="1920"/>
    </row>
    <row r="82" spans="1:10" ht="13.5" thickBot="1">
      <c r="A82" s="1922"/>
      <c r="B82" s="875"/>
      <c r="C82" s="875"/>
      <c r="D82" s="875"/>
      <c r="E82" s="875"/>
      <c r="F82" s="1923"/>
      <c r="G82" s="1923"/>
      <c r="H82" s="436" t="e">
        <f>H81/Total_Code!BS12</f>
        <v>#VALUE!</v>
      </c>
      <c r="I82" s="437" t="e">
        <f>IF(SUM(G75:G76,G78:G80)=0,0,I81/'Total_Code X-1'!BR12)</f>
        <v>#N/A</v>
      </c>
      <c r="J82" s="1920"/>
    </row>
  </sheetData>
  <sheetProtection formatCells="0" formatColumns="0" formatRows="0"/>
  <mergeCells count="2">
    <mergeCell ref="H1:I1"/>
    <mergeCell ref="A64:I64"/>
  </mergeCells>
  <phoneticPr fontId="38" type="noConversion"/>
  <conditionalFormatting sqref="B40:B54">
    <cfRule type="expression" dxfId="5" priority="1" stopIfTrue="1">
      <formula>$B$39=4</formula>
    </cfRule>
    <cfRule type="expression" dxfId="4" priority="2" stopIfTrue="1">
      <formula>$B$39=3</formula>
    </cfRule>
  </conditionalFormatting>
  <dataValidations count="1">
    <dataValidation type="textLength" allowBlank="1" showInputMessage="1" showErrorMessage="1" errorTitle="Functionele code:" error="Het minimum aantal karakters is 3 en het maximaal aantal is 5." sqref="A68:A71 A3:A20 A56:A63 A75:A80" xr:uid="{00000000-0002-0000-0D00-000000000000}">
      <formula1>3</formula1>
      <formula2>5</formula2>
    </dataValidation>
  </dataValidations>
  <pageMargins left="0.17" right="0.16" top="0.31496062992125984" bottom="0.43307086614173229" header="0.11811023622047245" footer="0.15748031496062992"/>
  <pageSetup paperSize="9" scale="63" fitToHeight="5" orientation="portrait" r:id="rId1"/>
  <headerFooter alignWithMargins="0">
    <oddHeader>&amp;C&amp;Z&amp;F - &amp;A</oddHeader>
    <oddFooter>&amp;L&amp;D - &amp;T&amp;C&amp;P/&amp;N&amp;R&amp;8SSGPI-Staff
Piet Van  Hoylandt</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ut1">
    <pageSetUpPr fitToPage="1"/>
  </sheetPr>
  <dimension ref="A1:J166"/>
  <sheetViews>
    <sheetView topLeftCell="A132" zoomScale="85" zoomScaleNormal="85" workbookViewId="0">
      <selection activeCell="E140" sqref="E140"/>
    </sheetView>
  </sheetViews>
  <sheetFormatPr defaultColWidth="0" defaultRowHeight="12.75"/>
  <cols>
    <col min="1" max="1" width="6.42578125" style="56" customWidth="1"/>
    <col min="2" max="2" width="9.7109375" style="56" customWidth="1"/>
    <col min="3" max="3" width="12.7109375" style="56" customWidth="1"/>
    <col min="4" max="4" width="6.28515625" style="56" customWidth="1"/>
    <col min="5" max="5" width="65.7109375" style="56" customWidth="1"/>
    <col min="6" max="6" width="17.28515625" style="56" bestFit="1" customWidth="1"/>
    <col min="7" max="7" width="14.85546875" style="56" bestFit="1" customWidth="1"/>
    <col min="8" max="8" width="15.7109375" style="56" customWidth="1"/>
    <col min="9" max="9" width="16.140625" style="56" customWidth="1"/>
    <col min="10" max="10" width="1.28515625" style="56" customWidth="1"/>
    <col min="11" max="16384" width="0" style="56" hidden="1"/>
  </cols>
  <sheetData>
    <row r="1" spans="1:9" ht="66" thickBot="1">
      <c r="A1" s="1146" t="s">
        <v>4560</v>
      </c>
      <c r="B1" s="1147" t="s">
        <v>4561</v>
      </c>
      <c r="C1" s="1145" t="s">
        <v>4562</v>
      </c>
      <c r="D1" s="1147" t="s">
        <v>4563</v>
      </c>
      <c r="E1" s="1148" t="str">
        <f>"Zone de Police " &amp;ZoneNr &amp; " :
"
&amp; 'Page d''accueil'!B12
&amp; "                                          
Libellé "</f>
        <v xml:space="preserve">Zone de Police  :
Libellé </v>
      </c>
      <c r="F1" s="1145" t="str">
        <f>"Montant"&amp;"                    "&amp;ANNEE</f>
        <v>Montant                    2027</v>
      </c>
      <c r="G1" s="1145" t="str">
        <f>"Montant"&amp;"                    "&amp;ANNEE-1</f>
        <v>Montant                    2026</v>
      </c>
      <c r="H1" s="3391" t="s">
        <v>3392</v>
      </c>
      <c r="I1" s="3390"/>
    </row>
    <row r="2" spans="1:9" s="48" customFormat="1" ht="13.5" thickBot="1">
      <c r="A2" s="911"/>
      <c r="B2" s="527"/>
      <c r="C2" s="527"/>
      <c r="D2" s="912"/>
      <c r="E2" s="527"/>
      <c r="F2" s="527"/>
      <c r="G2" s="527"/>
      <c r="H2" s="913"/>
      <c r="I2" s="1149"/>
    </row>
    <row r="3" spans="1:9" s="48" customFormat="1">
      <c r="A3" s="914"/>
      <c r="B3" s="915"/>
      <c r="C3" s="889"/>
      <c r="D3" s="889"/>
      <c r="E3" s="916"/>
      <c r="F3" s="917"/>
      <c r="G3" s="918"/>
      <c r="H3" s="894"/>
      <c r="I3" s="895"/>
    </row>
    <row r="4" spans="1:9" s="48" customFormat="1">
      <c r="A4" s="919"/>
      <c r="B4" s="920"/>
      <c r="C4" s="827"/>
      <c r="D4" s="827"/>
      <c r="E4" s="921"/>
      <c r="F4" s="828"/>
      <c r="G4" s="829"/>
      <c r="H4" s="56"/>
      <c r="I4" s="897"/>
    </row>
    <row r="5" spans="1:9" s="48" customFormat="1">
      <c r="A5" s="896"/>
      <c r="B5" s="833"/>
      <c r="C5" s="834"/>
      <c r="D5" s="834"/>
      <c r="E5" s="909"/>
      <c r="F5" s="835"/>
      <c r="G5" s="836"/>
      <c r="H5" s="56"/>
      <c r="I5" s="897"/>
    </row>
    <row r="6" spans="1:9" s="48" customFormat="1">
      <c r="A6" s="896"/>
      <c r="B6" s="833"/>
      <c r="C6" s="834"/>
      <c r="D6" s="834"/>
      <c r="E6" s="909"/>
      <c r="F6" s="835"/>
      <c r="G6" s="836"/>
      <c r="H6" s="56"/>
      <c r="I6" s="897"/>
    </row>
    <row r="7" spans="1:9">
      <c r="A7" s="922"/>
      <c r="B7" s="923"/>
      <c r="C7" s="890"/>
      <c r="D7" s="890"/>
      <c r="E7" s="924"/>
      <c r="F7" s="925"/>
      <c r="G7" s="926"/>
      <c r="I7" s="897"/>
    </row>
    <row r="8" spans="1:9" ht="13.5" thickBot="1">
      <c r="A8" s="927"/>
      <c r="B8" s="928"/>
      <c r="C8" s="842"/>
      <c r="D8" s="842"/>
      <c r="E8" s="1826"/>
      <c r="F8" s="843"/>
      <c r="G8" s="844"/>
      <c r="I8" s="897"/>
    </row>
    <row r="9" spans="1:9" s="817" customFormat="1" ht="13.5" thickBot="1">
      <c r="A9" s="832"/>
      <c r="B9" s="833"/>
      <c r="C9" s="834"/>
      <c r="D9" s="834"/>
      <c r="E9" s="909"/>
      <c r="F9" s="835"/>
      <c r="G9" s="836"/>
      <c r="H9" s="891"/>
      <c r="I9" s="1150"/>
    </row>
    <row r="10" spans="1:9">
      <c r="A10" s="896"/>
      <c r="B10" s="833"/>
      <c r="C10" s="834"/>
      <c r="D10" s="834"/>
      <c r="E10" s="909"/>
      <c r="F10" s="835"/>
      <c r="G10" s="846"/>
      <c r="I10" s="897"/>
    </row>
    <row r="11" spans="1:9">
      <c r="A11" s="896"/>
      <c r="B11" s="833"/>
      <c r="C11" s="834"/>
      <c r="D11" s="834"/>
      <c r="E11" s="909"/>
      <c r="F11" s="835"/>
      <c r="G11" s="836"/>
      <c r="H11" s="930"/>
      <c r="I11" s="943"/>
    </row>
    <row r="12" spans="1:9">
      <c r="A12" s="896"/>
      <c r="B12" s="833"/>
      <c r="C12" s="834"/>
      <c r="D12" s="834"/>
      <c r="E12" s="909"/>
      <c r="F12" s="835"/>
      <c r="G12" s="836"/>
      <c r="H12" s="930"/>
      <c r="I12" s="943"/>
    </row>
    <row r="13" spans="1:9">
      <c r="A13" s="896"/>
      <c r="B13" s="833"/>
      <c r="C13" s="834"/>
      <c r="D13" s="834"/>
      <c r="E13" s="909"/>
      <c r="F13" s="835"/>
      <c r="G13" s="836"/>
      <c r="H13" s="930"/>
      <c r="I13" s="943"/>
    </row>
    <row r="14" spans="1:9">
      <c r="A14" s="896"/>
      <c r="B14" s="833"/>
      <c r="C14" s="834"/>
      <c r="D14" s="834"/>
      <c r="E14" s="909"/>
      <c r="F14" s="835"/>
      <c r="G14" s="836"/>
      <c r="I14" s="897"/>
    </row>
    <row r="15" spans="1:9">
      <c r="A15" s="896"/>
      <c r="B15" s="833"/>
      <c r="C15" s="834"/>
      <c r="D15" s="834"/>
      <c r="E15" s="909"/>
      <c r="F15" s="835"/>
      <c r="G15" s="836"/>
      <c r="I15" s="897"/>
    </row>
    <row r="16" spans="1:9">
      <c r="A16" s="896"/>
      <c r="B16" s="833"/>
      <c r="C16" s="834"/>
      <c r="D16" s="834"/>
      <c r="E16" s="909"/>
      <c r="F16" s="835"/>
      <c r="G16" s="836"/>
      <c r="I16" s="897"/>
    </row>
    <row r="17" spans="1:10">
      <c r="A17" s="896"/>
      <c r="B17" s="833"/>
      <c r="C17" s="834"/>
      <c r="D17" s="834"/>
      <c r="E17" s="909"/>
      <c r="F17" s="835"/>
      <c r="G17" s="836"/>
      <c r="I17" s="897"/>
    </row>
    <row r="18" spans="1:10" ht="13.5" thickBot="1">
      <c r="A18" s="896"/>
      <c r="B18" s="833"/>
      <c r="C18" s="834"/>
      <c r="D18" s="834"/>
      <c r="E18" s="909"/>
      <c r="F18" s="835"/>
      <c r="G18" s="836"/>
      <c r="I18" s="897"/>
    </row>
    <row r="19" spans="1:10" ht="13.5" thickBot="1">
      <c r="A19" s="898"/>
      <c r="B19" s="848"/>
      <c r="C19" s="849"/>
      <c r="D19" s="849"/>
      <c r="E19" s="910"/>
      <c r="F19" s="850"/>
      <c r="G19" s="851"/>
      <c r="H19" s="434"/>
      <c r="I19" s="435"/>
    </row>
    <row r="20" spans="1:10" ht="13.5" thickBot="1">
      <c r="A20" s="1807"/>
      <c r="B20" s="1802"/>
      <c r="C20" s="1802"/>
      <c r="D20" s="1802"/>
      <c r="E20" s="1808"/>
      <c r="F20" s="1809"/>
      <c r="G20" s="1809"/>
      <c r="H20" s="1810"/>
      <c r="I20" s="1811"/>
    </row>
    <row r="21" spans="1:10" ht="14.25" thickTop="1" thickBot="1">
      <c r="A21" s="1925"/>
      <c r="B21" s="1926"/>
      <c r="C21" s="1926"/>
      <c r="D21" s="1926"/>
      <c r="E21" s="1927"/>
      <c r="F21" s="1926"/>
      <c r="G21" s="1926"/>
      <c r="H21" s="1928"/>
      <c r="I21" s="1929"/>
    </row>
    <row r="22" spans="1:10" s="817" customFormat="1">
      <c r="A22" s="1930"/>
      <c r="B22" s="1931"/>
      <c r="C22" s="1931"/>
      <c r="D22" s="1931"/>
      <c r="E22" s="1932"/>
      <c r="F22" s="1933"/>
      <c r="G22" s="1934"/>
      <c r="H22" s="1935"/>
      <c r="I22" s="1936"/>
      <c r="J22" s="56"/>
    </row>
    <row r="23" spans="1:10" s="817" customFormat="1">
      <c r="A23" s="1937"/>
      <c r="B23" s="1938"/>
      <c r="C23" s="1938"/>
      <c r="D23" s="1938"/>
      <c r="E23" s="1939"/>
      <c r="F23" s="1940"/>
      <c r="G23" s="1941"/>
      <c r="H23" s="1935"/>
      <c r="I23" s="1936"/>
      <c r="J23" s="56"/>
    </row>
    <row r="24" spans="1:10" s="817" customFormat="1">
      <c r="A24" s="1942"/>
      <c r="B24" s="1938"/>
      <c r="C24" s="946"/>
      <c r="D24" s="946"/>
      <c r="E24" s="1943"/>
      <c r="F24" s="1944"/>
      <c r="G24" s="1945"/>
      <c r="H24" s="1935"/>
      <c r="I24" s="1936"/>
      <c r="J24" s="56"/>
    </row>
    <row r="25" spans="1:10" s="817" customFormat="1">
      <c r="A25" s="1946"/>
      <c r="B25" s="868"/>
      <c r="C25" s="868"/>
      <c r="D25" s="868"/>
      <c r="E25" s="1947"/>
      <c r="F25" s="1948"/>
      <c r="G25" s="1941"/>
      <c r="H25" s="1935"/>
      <c r="I25" s="1936"/>
      <c r="J25" s="56"/>
    </row>
    <row r="26" spans="1:10" s="817" customFormat="1">
      <c r="A26" s="1946"/>
      <c r="B26" s="868"/>
      <c r="C26" s="868"/>
      <c r="D26" s="868"/>
      <c r="E26" s="1947"/>
      <c r="F26" s="1948"/>
      <c r="G26" s="1949"/>
      <c r="H26" s="1950"/>
      <c r="I26" s="1951"/>
      <c r="J26" s="56"/>
    </row>
    <row r="27" spans="1:10" s="817" customFormat="1" ht="13.5" thickBot="1">
      <c r="A27" s="1946"/>
      <c r="B27" s="868"/>
      <c r="C27" s="868"/>
      <c r="D27" s="868"/>
      <c r="E27" s="1947"/>
      <c r="F27" s="1948"/>
      <c r="G27" s="1949"/>
      <c r="H27" s="1935"/>
      <c r="I27" s="1936"/>
      <c r="J27" s="56"/>
    </row>
    <row r="28" spans="1:10">
      <c r="A28" s="1952"/>
      <c r="B28" s="878"/>
      <c r="C28" s="1953"/>
      <c r="D28" s="1953"/>
      <c r="E28" s="1954"/>
      <c r="F28" s="1953"/>
      <c r="G28" s="1953"/>
      <c r="H28" s="434"/>
      <c r="I28" s="1955"/>
    </row>
    <row r="29" spans="1:10" ht="13.5" thickBot="1">
      <c r="A29" s="1956"/>
      <c r="B29" s="1957"/>
      <c r="C29" s="1957"/>
      <c r="D29" s="1957"/>
      <c r="E29" s="1957"/>
      <c r="F29" s="1958"/>
      <c r="G29" s="1958"/>
      <c r="H29" s="1810"/>
      <c r="I29" s="1959"/>
    </row>
    <row r="30" spans="1:10" s="48" customFormat="1" ht="14.25" thickTop="1" thickBot="1">
      <c r="A30" s="1804"/>
      <c r="B30" s="949"/>
      <c r="C30" s="949"/>
      <c r="D30" s="1805"/>
      <c r="E30" s="949"/>
      <c r="F30" s="949"/>
      <c r="G30" s="949"/>
      <c r="H30" s="1803"/>
      <c r="I30" s="1806"/>
    </row>
    <row r="31" spans="1:10" s="48" customFormat="1">
      <c r="A31" s="914"/>
      <c r="B31" s="915"/>
      <c r="C31" s="889"/>
      <c r="D31" s="889"/>
      <c r="E31" s="916"/>
      <c r="F31" s="917"/>
      <c r="G31" s="918"/>
      <c r="H31" s="894"/>
      <c r="I31" s="895"/>
    </row>
    <row r="32" spans="1:10" s="48" customFormat="1">
      <c r="A32" s="919"/>
      <c r="B32" s="920"/>
      <c r="C32" s="827"/>
      <c r="D32" s="827"/>
      <c r="E32" s="921"/>
      <c r="F32" s="828"/>
      <c r="G32" s="829"/>
      <c r="H32" s="56"/>
      <c r="I32" s="897"/>
    </row>
    <row r="33" spans="1:9" s="48" customFormat="1">
      <c r="A33" s="896"/>
      <c r="B33" s="833"/>
      <c r="C33" s="834"/>
      <c r="D33" s="834"/>
      <c r="E33" s="909"/>
      <c r="F33" s="835"/>
      <c r="G33" s="836"/>
      <c r="H33" s="56"/>
      <c r="I33" s="897"/>
    </row>
    <row r="34" spans="1:9" s="48" customFormat="1">
      <c r="A34" s="896"/>
      <c r="B34" s="833"/>
      <c r="C34" s="834"/>
      <c r="D34" s="834"/>
      <c r="E34" s="909"/>
      <c r="F34" s="835"/>
      <c r="G34" s="836"/>
      <c r="H34" s="56"/>
      <c r="I34" s="897"/>
    </row>
    <row r="35" spans="1:9">
      <c r="A35" s="922"/>
      <c r="B35" s="923"/>
      <c r="C35" s="890"/>
      <c r="D35" s="890"/>
      <c r="E35" s="924"/>
      <c r="F35" s="925"/>
      <c r="G35" s="926"/>
      <c r="I35" s="897"/>
    </row>
    <row r="36" spans="1:9" ht="13.5" thickBot="1">
      <c r="A36" s="927"/>
      <c r="B36" s="928"/>
      <c r="C36" s="842"/>
      <c r="D36" s="842"/>
      <c r="E36" s="1826"/>
      <c r="F36" s="843"/>
      <c r="G36" s="844"/>
      <c r="I36" s="897"/>
    </row>
    <row r="37" spans="1:9" s="817" customFormat="1" ht="13.5" thickBot="1">
      <c r="A37" s="832"/>
      <c r="B37" s="833"/>
      <c r="C37" s="834"/>
      <c r="D37" s="834"/>
      <c r="E37" s="909"/>
      <c r="F37" s="835"/>
      <c r="G37" s="836"/>
      <c r="H37" s="891"/>
      <c r="I37" s="1150"/>
    </row>
    <row r="38" spans="1:9">
      <c r="A38" s="896"/>
      <c r="B38" s="833"/>
      <c r="C38" s="834"/>
      <c r="D38" s="834"/>
      <c r="E38" s="909"/>
      <c r="F38" s="835"/>
      <c r="G38" s="846"/>
      <c r="I38" s="897"/>
    </row>
    <row r="39" spans="1:9">
      <c r="A39" s="896"/>
      <c r="B39" s="833"/>
      <c r="C39" s="834"/>
      <c r="D39" s="834"/>
      <c r="E39" s="909"/>
      <c r="F39" s="835"/>
      <c r="G39" s="836"/>
      <c r="H39" s="930"/>
      <c r="I39" s="943"/>
    </row>
    <row r="40" spans="1:9">
      <c r="A40" s="896"/>
      <c r="B40" s="833"/>
      <c r="C40" s="834"/>
      <c r="D40" s="834"/>
      <c r="E40" s="909"/>
      <c r="F40" s="835"/>
      <c r="G40" s="836"/>
      <c r="H40" s="930"/>
      <c r="I40" s="943"/>
    </row>
    <row r="41" spans="1:9">
      <c r="A41" s="896"/>
      <c r="B41" s="833"/>
      <c r="C41" s="834"/>
      <c r="D41" s="834"/>
      <c r="E41" s="909"/>
      <c r="F41" s="835"/>
      <c r="G41" s="836"/>
      <c r="H41" s="930"/>
      <c r="I41" s="943"/>
    </row>
    <row r="42" spans="1:9">
      <c r="A42" s="896"/>
      <c r="B42" s="833"/>
      <c r="C42" s="834"/>
      <c r="D42" s="834"/>
      <c r="E42" s="909"/>
      <c r="F42" s="835"/>
      <c r="G42" s="836"/>
      <c r="I42" s="897"/>
    </row>
    <row r="43" spans="1:9">
      <c r="A43" s="896"/>
      <c r="B43" s="833"/>
      <c r="C43" s="834"/>
      <c r="D43" s="834"/>
      <c r="E43" s="909"/>
      <c r="F43" s="835"/>
      <c r="G43" s="836"/>
      <c r="I43" s="897"/>
    </row>
    <row r="44" spans="1:9">
      <c r="A44" s="896"/>
      <c r="B44" s="833"/>
      <c r="C44" s="834"/>
      <c r="D44" s="834"/>
      <c r="E44" s="909"/>
      <c r="F44" s="835"/>
      <c r="G44" s="836"/>
      <c r="I44" s="897"/>
    </row>
    <row r="45" spans="1:9">
      <c r="A45" s="896"/>
      <c r="B45" s="833"/>
      <c r="C45" s="834"/>
      <c r="D45" s="834"/>
      <c r="E45" s="909"/>
      <c r="F45" s="835"/>
      <c r="G45" s="836"/>
      <c r="I45" s="897"/>
    </row>
    <row r="46" spans="1:9" ht="13.5" thickBot="1">
      <c r="A46" s="896"/>
      <c r="B46" s="833"/>
      <c r="C46" s="834"/>
      <c r="D46" s="834"/>
      <c r="E46" s="909"/>
      <c r="F46" s="835"/>
      <c r="G46" s="836"/>
      <c r="I46" s="897"/>
    </row>
    <row r="47" spans="1:9" ht="13.5" thickBot="1">
      <c r="A47" s="898"/>
      <c r="B47" s="848"/>
      <c r="C47" s="849"/>
      <c r="D47" s="849"/>
      <c r="E47" s="910"/>
      <c r="F47" s="850"/>
      <c r="G47" s="851"/>
      <c r="H47" s="434"/>
      <c r="I47" s="435"/>
    </row>
    <row r="48" spans="1:9" ht="13.5" thickBot="1">
      <c r="A48" s="931"/>
      <c r="B48" s="852"/>
      <c r="C48" s="852"/>
      <c r="D48" s="852"/>
      <c r="E48" s="549"/>
      <c r="F48" s="853"/>
      <c r="G48" s="853"/>
      <c r="H48" s="436"/>
      <c r="I48" s="437"/>
    </row>
    <row r="49" spans="1:9" ht="13.5" thickBot="1">
      <c r="A49" s="1151"/>
      <c r="B49" s="1152"/>
      <c r="C49" s="1152"/>
      <c r="D49" s="1153" t="s">
        <v>4564</v>
      </c>
      <c r="E49" s="1152"/>
      <c r="F49" s="1154">
        <f>H19+H47+H28</f>
        <v>0</v>
      </c>
      <c r="G49" s="1154">
        <f>I19+I47+I28</f>
        <v>0</v>
      </c>
      <c r="H49" s="934">
        <f>H20+H29+H48</f>
        <v>0</v>
      </c>
      <c r="I49" s="1155">
        <f>I20+I29+I48</f>
        <v>0</v>
      </c>
    </row>
    <row r="50" spans="1:9" ht="13.5" thickBot="1">
      <c r="A50" s="936"/>
      <c r="B50" s="854"/>
      <c r="C50" s="854"/>
      <c r="D50" s="854"/>
      <c r="E50" s="949"/>
      <c r="F50" s="855"/>
      <c r="G50" s="855"/>
      <c r="H50" s="913"/>
      <c r="I50" s="1149"/>
    </row>
    <row r="51" spans="1:9">
      <c r="A51" s="899"/>
      <c r="B51" s="857"/>
      <c r="C51" s="858"/>
      <c r="D51" s="858"/>
      <c r="E51" s="937"/>
      <c r="F51" s="859"/>
      <c r="G51" s="860"/>
      <c r="H51" s="894"/>
      <c r="I51" s="895"/>
    </row>
    <row r="52" spans="1:9">
      <c r="A52" s="938"/>
      <c r="B52" s="833"/>
      <c r="C52" s="834"/>
      <c r="D52" s="834"/>
      <c r="E52" s="909"/>
      <c r="F52" s="835"/>
      <c r="G52" s="836"/>
      <c r="I52" s="897"/>
    </row>
    <row r="53" spans="1:9">
      <c r="A53" s="938"/>
      <c r="B53" s="833"/>
      <c r="C53" s="834"/>
      <c r="D53" s="834"/>
      <c r="E53" s="909"/>
      <c r="F53" s="835"/>
      <c r="G53" s="836"/>
      <c r="I53" s="897"/>
    </row>
    <row r="54" spans="1:9">
      <c r="A54" s="922"/>
      <c r="B54" s="923"/>
      <c r="C54" s="890"/>
      <c r="D54" s="890"/>
      <c r="E54" s="924"/>
      <c r="F54" s="925"/>
      <c r="G54" s="926"/>
      <c r="I54" s="897"/>
    </row>
    <row r="55" spans="1:9" ht="13.5" thickBot="1">
      <c r="A55" s="927"/>
      <c r="B55" s="928"/>
      <c r="C55" s="842"/>
      <c r="D55" s="842"/>
      <c r="E55" s="1826"/>
      <c r="F55" s="843"/>
      <c r="G55" s="844"/>
      <c r="I55" s="897"/>
    </row>
    <row r="56" spans="1:9" s="817" customFormat="1" ht="13.5" thickBot="1">
      <c r="A56" s="832"/>
      <c r="B56" s="833"/>
      <c r="C56" s="834"/>
      <c r="D56" s="834"/>
      <c r="E56" s="909"/>
      <c r="F56" s="835"/>
      <c r="G56" s="836"/>
      <c r="H56" s="891"/>
      <c r="I56" s="892"/>
    </row>
    <row r="57" spans="1:9" s="817" customFormat="1">
      <c r="A57" s="1206"/>
      <c r="B57" s="1207"/>
      <c r="C57" s="1212"/>
      <c r="D57" s="1212"/>
      <c r="E57" s="1209"/>
      <c r="F57" s="1210"/>
      <c r="G57" s="1211"/>
      <c r="I57" s="825"/>
    </row>
    <row r="58" spans="1:9">
      <c r="A58" s="938"/>
      <c r="B58" s="833"/>
      <c r="C58" s="834"/>
      <c r="D58" s="834"/>
      <c r="E58" s="940"/>
      <c r="F58" s="835"/>
      <c r="G58" s="861"/>
      <c r="I58" s="897"/>
    </row>
    <row r="59" spans="1:9">
      <c r="A59" s="938"/>
      <c r="B59" s="833"/>
      <c r="C59" s="834"/>
      <c r="D59" s="834"/>
      <c r="E59" s="940"/>
      <c r="F59" s="835"/>
      <c r="G59" s="836"/>
      <c r="H59" s="930"/>
      <c r="I59" s="943"/>
    </row>
    <row r="60" spans="1:9">
      <c r="A60" s="938"/>
      <c r="B60" s="833"/>
      <c r="C60" s="834"/>
      <c r="D60" s="834"/>
      <c r="E60" s="940"/>
      <c r="F60" s="835"/>
      <c r="G60" s="836"/>
      <c r="H60" s="930"/>
      <c r="I60" s="943"/>
    </row>
    <row r="61" spans="1:9">
      <c r="A61" s="938"/>
      <c r="B61" s="833"/>
      <c r="C61" s="834"/>
      <c r="D61" s="834"/>
      <c r="E61" s="940"/>
      <c r="F61" s="835"/>
      <c r="G61" s="836"/>
      <c r="H61" s="930"/>
      <c r="I61" s="943"/>
    </row>
    <row r="62" spans="1:9">
      <c r="A62" s="938"/>
      <c r="B62" s="833"/>
      <c r="C62" s="834"/>
      <c r="D62" s="834"/>
      <c r="E62" s="940"/>
      <c r="F62" s="835"/>
      <c r="G62" s="836"/>
      <c r="I62" s="897"/>
    </row>
    <row r="63" spans="1:9">
      <c r="A63" s="938"/>
      <c r="B63" s="833"/>
      <c r="C63" s="834"/>
      <c r="D63" s="834"/>
      <c r="E63" s="940"/>
      <c r="F63" s="835"/>
      <c r="G63" s="836"/>
      <c r="I63" s="897"/>
    </row>
    <row r="64" spans="1:9">
      <c r="A64" s="938"/>
      <c r="B64" s="833"/>
      <c r="C64" s="834"/>
      <c r="D64" s="834"/>
      <c r="E64" s="909"/>
      <c r="F64" s="835"/>
      <c r="G64" s="836"/>
      <c r="H64" s="904"/>
      <c r="I64" s="944"/>
    </row>
    <row r="65" spans="1:9" ht="13.5" thickBot="1">
      <c r="A65" s="938"/>
      <c r="B65" s="833"/>
      <c r="C65" s="834"/>
      <c r="D65" s="834"/>
      <c r="E65" s="940"/>
      <c r="F65" s="835"/>
      <c r="G65" s="836"/>
      <c r="I65" s="897"/>
    </row>
    <row r="66" spans="1:9" ht="13.5" thickBot="1">
      <c r="A66" s="941"/>
      <c r="B66" s="848"/>
      <c r="C66" s="849"/>
      <c r="D66" s="849"/>
      <c r="E66" s="942"/>
      <c r="F66" s="850"/>
      <c r="G66" s="851"/>
      <c r="H66" s="434"/>
      <c r="I66" s="435"/>
    </row>
    <row r="67" spans="1:9" ht="13.5" thickBot="1">
      <c r="A67" s="1807"/>
      <c r="B67" s="1802"/>
      <c r="C67" s="1802"/>
      <c r="D67" s="1802"/>
      <c r="E67" s="1808"/>
      <c r="F67" s="1809"/>
      <c r="G67" s="1809"/>
      <c r="H67" s="1810"/>
      <c r="I67" s="1811"/>
    </row>
    <row r="68" spans="1:9" ht="14.25" thickTop="1" thickBot="1">
      <c r="A68" s="936"/>
      <c r="B68" s="854"/>
      <c r="C68" s="854"/>
      <c r="D68" s="854"/>
      <c r="E68" s="949"/>
      <c r="F68" s="855"/>
      <c r="G68" s="855"/>
      <c r="I68" s="897"/>
    </row>
    <row r="69" spans="1:9">
      <c r="A69" s="899"/>
      <c r="B69" s="857"/>
      <c r="C69" s="858"/>
      <c r="D69" s="858"/>
      <c r="E69" s="937"/>
      <c r="F69" s="859"/>
      <c r="G69" s="860"/>
      <c r="I69" s="897"/>
    </row>
    <row r="70" spans="1:9">
      <c r="A70" s="938"/>
      <c r="B70" s="833"/>
      <c r="C70" s="834"/>
      <c r="D70" s="834"/>
      <c r="E70" s="909"/>
      <c r="F70" s="835"/>
      <c r="G70" s="836"/>
      <c r="I70" s="897"/>
    </row>
    <row r="71" spans="1:9">
      <c r="A71" s="938"/>
      <c r="B71" s="833"/>
      <c r="C71" s="834"/>
      <c r="D71" s="834"/>
      <c r="E71" s="909"/>
      <c r="F71" s="835"/>
      <c r="G71" s="836"/>
      <c r="I71" s="897"/>
    </row>
    <row r="72" spans="1:9">
      <c r="A72" s="922"/>
      <c r="B72" s="923"/>
      <c r="C72" s="890"/>
      <c r="D72" s="890"/>
      <c r="E72" s="924"/>
      <c r="F72" s="925"/>
      <c r="G72" s="926"/>
      <c r="I72" s="897"/>
    </row>
    <row r="73" spans="1:9" ht="13.5" thickBot="1">
      <c r="A73" s="927"/>
      <c r="B73" s="928"/>
      <c r="C73" s="842"/>
      <c r="D73" s="842"/>
      <c r="E73" s="1826"/>
      <c r="F73" s="843"/>
      <c r="G73" s="844"/>
      <c r="I73" s="897"/>
    </row>
    <row r="74" spans="1:9" s="817" customFormat="1" ht="13.5" thickBot="1">
      <c r="A74" s="832"/>
      <c r="B74" s="833"/>
      <c r="C74" s="834"/>
      <c r="D74" s="834"/>
      <c r="E74" s="909"/>
      <c r="F74" s="835"/>
      <c r="G74" s="836"/>
      <c r="H74" s="891"/>
      <c r="I74" s="892"/>
    </row>
    <row r="75" spans="1:9" s="817" customFormat="1">
      <c r="A75" s="1206"/>
      <c r="B75" s="1207"/>
      <c r="C75" s="1208"/>
      <c r="D75" s="1208"/>
      <c r="E75" s="1209"/>
      <c r="F75" s="1210"/>
      <c r="G75" s="1211"/>
      <c r="I75" s="825"/>
    </row>
    <row r="76" spans="1:9">
      <c r="A76" s="938"/>
      <c r="B76" s="833"/>
      <c r="C76" s="834"/>
      <c r="D76" s="834"/>
      <c r="E76" s="940"/>
      <c r="F76" s="835"/>
      <c r="G76" s="861"/>
      <c r="I76" s="897"/>
    </row>
    <row r="77" spans="1:9">
      <c r="A77" s="938"/>
      <c r="B77" s="833"/>
      <c r="C77" s="834"/>
      <c r="D77" s="834"/>
      <c r="E77" s="940"/>
      <c r="F77" s="835"/>
      <c r="G77" s="836"/>
      <c r="H77" s="930"/>
      <c r="I77" s="943"/>
    </row>
    <row r="78" spans="1:9">
      <c r="A78" s="938"/>
      <c r="B78" s="833"/>
      <c r="C78" s="834"/>
      <c r="D78" s="834"/>
      <c r="E78" s="940"/>
      <c r="F78" s="835"/>
      <c r="G78" s="836"/>
      <c r="H78" s="930"/>
      <c r="I78" s="943"/>
    </row>
    <row r="79" spans="1:9">
      <c r="A79" s="938"/>
      <c r="B79" s="833"/>
      <c r="C79" s="834"/>
      <c r="D79" s="834"/>
      <c r="E79" s="940"/>
      <c r="F79" s="835"/>
      <c r="G79" s="836"/>
      <c r="H79" s="930"/>
      <c r="I79" s="943"/>
    </row>
    <row r="80" spans="1:9">
      <c r="A80" s="938"/>
      <c r="B80" s="833"/>
      <c r="C80" s="834"/>
      <c r="D80" s="834"/>
      <c r="E80" s="940"/>
      <c r="F80" s="835"/>
      <c r="G80" s="836"/>
      <c r="I80" s="897"/>
    </row>
    <row r="81" spans="1:10">
      <c r="A81" s="938"/>
      <c r="B81" s="833"/>
      <c r="C81" s="834"/>
      <c r="D81" s="834"/>
      <c r="E81" s="940"/>
      <c r="F81" s="835"/>
      <c r="G81" s="836"/>
      <c r="I81" s="897"/>
    </row>
    <row r="82" spans="1:10">
      <c r="A82" s="938"/>
      <c r="B82" s="833"/>
      <c r="C82" s="834"/>
      <c r="D82" s="834"/>
      <c r="E82" s="909"/>
      <c r="F82" s="835"/>
      <c r="G82" s="836"/>
      <c r="H82" s="904"/>
      <c r="I82" s="944"/>
    </row>
    <row r="83" spans="1:10" ht="13.5" thickBot="1">
      <c r="A83" s="938"/>
      <c r="B83" s="833"/>
      <c r="C83" s="834"/>
      <c r="D83" s="834"/>
      <c r="E83" s="940"/>
      <c r="F83" s="835"/>
      <c r="G83" s="836"/>
      <c r="I83" s="897"/>
    </row>
    <row r="84" spans="1:10" ht="13.5" thickBot="1">
      <c r="A84" s="941"/>
      <c r="B84" s="848"/>
      <c r="C84" s="849"/>
      <c r="D84" s="849"/>
      <c r="E84" s="942"/>
      <c r="F84" s="850"/>
      <c r="G84" s="851"/>
      <c r="H84" s="434"/>
      <c r="I84" s="435"/>
    </row>
    <row r="85" spans="1:10" ht="13.5" thickBot="1">
      <c r="A85" s="1807"/>
      <c r="B85" s="1802"/>
      <c r="C85" s="1802"/>
      <c r="D85" s="1802"/>
      <c r="E85" s="1808"/>
      <c r="F85" s="1809"/>
      <c r="G85" s="1809"/>
      <c r="H85" s="1810"/>
      <c r="I85" s="1811"/>
    </row>
    <row r="86" spans="1:10" ht="14.25" thickTop="1" thickBot="1">
      <c r="A86" s="936"/>
      <c r="B86" s="854"/>
      <c r="C86" s="854"/>
      <c r="D86" s="854"/>
      <c r="E86" s="949"/>
      <c r="F86" s="855"/>
      <c r="G86" s="855"/>
      <c r="I86" s="897"/>
    </row>
    <row r="87" spans="1:10">
      <c r="A87" s="899"/>
      <c r="B87" s="865"/>
      <c r="C87" s="858"/>
      <c r="D87" s="858"/>
      <c r="E87" s="937"/>
      <c r="F87" s="859"/>
      <c r="G87" s="860"/>
      <c r="I87" s="897"/>
    </row>
    <row r="88" spans="1:10">
      <c r="A88" s="938"/>
      <c r="B88" s="868"/>
      <c r="C88" s="834"/>
      <c r="D88" s="834"/>
      <c r="E88" s="909"/>
      <c r="F88" s="835"/>
      <c r="G88" s="836"/>
      <c r="I88" s="897"/>
    </row>
    <row r="89" spans="1:10">
      <c r="A89" s="938"/>
      <c r="B89" s="868"/>
      <c r="C89" s="834"/>
      <c r="D89" s="834"/>
      <c r="E89" s="909"/>
      <c r="F89" s="835"/>
      <c r="G89" s="836"/>
      <c r="I89" s="897"/>
    </row>
    <row r="90" spans="1:10">
      <c r="A90" s="922"/>
      <c r="B90" s="945"/>
      <c r="C90" s="890"/>
      <c r="D90" s="890"/>
      <c r="E90" s="924"/>
      <c r="F90" s="925"/>
      <c r="G90" s="926"/>
      <c r="I90" s="897"/>
    </row>
    <row r="91" spans="1:10" ht="13.5" thickBot="1">
      <c r="A91" s="927"/>
      <c r="B91" s="946"/>
      <c r="C91" s="842"/>
      <c r="D91" s="842"/>
      <c r="E91" s="1826"/>
      <c r="F91" s="843"/>
      <c r="G91" s="844"/>
      <c r="I91" s="897"/>
    </row>
    <row r="92" spans="1:10" s="817" customFormat="1" ht="13.5" thickBot="1">
      <c r="A92" s="832"/>
      <c r="B92" s="868"/>
      <c r="C92" s="834"/>
      <c r="D92" s="834"/>
      <c r="E92" s="909"/>
      <c r="F92" s="835"/>
      <c r="G92" s="939"/>
      <c r="H92" s="891"/>
      <c r="I92" s="892"/>
    </row>
    <row r="93" spans="1:10" s="817" customFormat="1">
      <c r="A93" s="832"/>
      <c r="B93" s="868"/>
      <c r="C93" s="834"/>
      <c r="D93" s="834"/>
      <c r="E93" s="909"/>
      <c r="F93" s="835"/>
      <c r="G93" s="939"/>
      <c r="H93" s="56"/>
      <c r="I93" s="897"/>
      <c r="J93" s="56"/>
    </row>
    <row r="94" spans="1:10">
      <c r="A94" s="938"/>
      <c r="B94" s="868"/>
      <c r="C94" s="834"/>
      <c r="D94" s="834"/>
      <c r="E94" s="940"/>
      <c r="F94" s="835"/>
      <c r="G94" s="836"/>
      <c r="I94" s="897"/>
    </row>
    <row r="95" spans="1:10">
      <c r="A95" s="938"/>
      <c r="B95" s="868"/>
      <c r="C95" s="834"/>
      <c r="D95" s="834"/>
      <c r="E95" s="940"/>
      <c r="F95" s="835"/>
      <c r="G95" s="836"/>
      <c r="H95" s="930"/>
      <c r="I95" s="943"/>
    </row>
    <row r="96" spans="1:10">
      <c r="A96" s="938"/>
      <c r="B96" s="868"/>
      <c r="C96" s="834"/>
      <c r="D96" s="834"/>
      <c r="E96" s="940"/>
      <c r="F96" s="835"/>
      <c r="G96" s="836"/>
      <c r="H96" s="930"/>
      <c r="I96" s="943"/>
    </row>
    <row r="97" spans="1:9">
      <c r="A97" s="938"/>
      <c r="B97" s="868"/>
      <c r="C97" s="834"/>
      <c r="D97" s="834"/>
      <c r="E97" s="940"/>
      <c r="F97" s="869"/>
      <c r="G97" s="861"/>
      <c r="H97" s="930"/>
      <c r="I97" s="943"/>
    </row>
    <row r="98" spans="1:9">
      <c r="A98" s="938"/>
      <c r="B98" s="868"/>
      <c r="C98" s="834"/>
      <c r="D98" s="834"/>
      <c r="E98" s="940"/>
      <c r="F98" s="835"/>
      <c r="G98" s="836"/>
      <c r="I98" s="897"/>
    </row>
    <row r="99" spans="1:9">
      <c r="A99" s="938"/>
      <c r="B99" s="868"/>
      <c r="C99" s="834"/>
      <c r="D99" s="834"/>
      <c r="E99" s="940"/>
      <c r="F99" s="835"/>
      <c r="G99" s="836"/>
      <c r="I99" s="897"/>
    </row>
    <row r="100" spans="1:9">
      <c r="A100" s="938"/>
      <c r="B100" s="868"/>
      <c r="C100" s="834"/>
      <c r="D100" s="834"/>
      <c r="E100" s="940"/>
      <c r="F100" s="835"/>
      <c r="G100" s="836"/>
      <c r="H100" s="904"/>
      <c r="I100" s="944"/>
    </row>
    <row r="101" spans="1:9" ht="13.5" thickBot="1">
      <c r="A101" s="938"/>
      <c r="B101" s="868"/>
      <c r="C101" s="834"/>
      <c r="D101" s="834"/>
      <c r="E101" s="909"/>
      <c r="F101" s="835"/>
      <c r="G101" s="836"/>
      <c r="I101" s="897"/>
    </row>
    <row r="102" spans="1:9" ht="13.5" thickBot="1">
      <c r="A102" s="941"/>
      <c r="B102" s="870"/>
      <c r="C102" s="849"/>
      <c r="D102" s="849"/>
      <c r="E102" s="942"/>
      <c r="F102" s="850"/>
      <c r="G102" s="851"/>
      <c r="H102" s="434"/>
      <c r="I102" s="435"/>
    </row>
    <row r="103" spans="1:9" ht="13.5" thickBot="1">
      <c r="A103" s="931"/>
      <c r="B103" s="852"/>
      <c r="C103" s="852"/>
      <c r="D103" s="852"/>
      <c r="E103" s="549"/>
      <c r="F103" s="853"/>
      <c r="G103" s="853"/>
      <c r="H103" s="436"/>
      <c r="I103" s="437"/>
    </row>
    <row r="104" spans="1:9" ht="13.5" thickBot="1">
      <c r="A104" s="528"/>
      <c r="B104" s="528"/>
      <c r="C104" s="528"/>
      <c r="D104" s="932" t="s">
        <v>4565</v>
      </c>
      <c r="E104" s="528"/>
      <c r="F104" s="933">
        <f>H66+H84+H102</f>
        <v>0</v>
      </c>
      <c r="G104" s="933">
        <f>I66+I84+I102</f>
        <v>0</v>
      </c>
      <c r="H104" s="934">
        <f>H67+H85+H103</f>
        <v>0</v>
      </c>
      <c r="I104" s="935">
        <f>I67+I85+I103</f>
        <v>0</v>
      </c>
    </row>
    <row r="105" spans="1:9" ht="13.5" thickBot="1">
      <c r="A105" s="936"/>
      <c r="B105" s="854"/>
      <c r="C105" s="854"/>
      <c r="D105" s="854"/>
      <c r="E105" s="527"/>
      <c r="F105" s="855"/>
      <c r="G105" s="855"/>
      <c r="H105" s="913"/>
      <c r="I105" s="1149"/>
    </row>
    <row r="106" spans="1:9">
      <c r="A106" s="899"/>
      <c r="B106" s="865"/>
      <c r="C106" s="858"/>
      <c r="D106" s="858"/>
      <c r="E106" s="937"/>
      <c r="F106" s="859"/>
      <c r="G106" s="860"/>
      <c r="H106" s="894"/>
      <c r="I106" s="895"/>
    </row>
    <row r="107" spans="1:9">
      <c r="A107" s="938"/>
      <c r="B107" s="868"/>
      <c r="C107" s="834"/>
      <c r="D107" s="834"/>
      <c r="E107" s="909"/>
      <c r="F107" s="835"/>
      <c r="G107" s="836"/>
      <c r="I107" s="897"/>
    </row>
    <row r="108" spans="1:9">
      <c r="A108" s="938"/>
      <c r="B108" s="868"/>
      <c r="C108" s="834"/>
      <c r="D108" s="834"/>
      <c r="E108" s="909"/>
      <c r="F108" s="835"/>
      <c r="G108" s="836"/>
      <c r="I108" s="897"/>
    </row>
    <row r="109" spans="1:9">
      <c r="A109" s="922"/>
      <c r="B109" s="945"/>
      <c r="C109" s="890"/>
      <c r="D109" s="890"/>
      <c r="E109" s="924"/>
      <c r="F109" s="925"/>
      <c r="G109" s="926"/>
      <c r="I109" s="897"/>
    </row>
    <row r="110" spans="1:9" ht="13.5" thickBot="1">
      <c r="A110" s="927"/>
      <c r="B110" s="946"/>
      <c r="C110" s="842"/>
      <c r="D110" s="842"/>
      <c r="E110" s="1826"/>
      <c r="F110" s="843"/>
      <c r="G110" s="844"/>
      <c r="I110" s="897"/>
    </row>
    <row r="111" spans="1:9" s="817" customFormat="1" ht="13.5" thickBot="1">
      <c r="A111" s="832"/>
      <c r="B111" s="868"/>
      <c r="C111" s="834"/>
      <c r="D111" s="834"/>
      <c r="E111" s="909"/>
      <c r="F111" s="835"/>
      <c r="G111" s="836"/>
      <c r="H111" s="891"/>
      <c r="I111" s="892"/>
    </row>
    <row r="112" spans="1:9">
      <c r="A112" s="938"/>
      <c r="B112" s="868"/>
      <c r="C112" s="834"/>
      <c r="D112" s="834"/>
      <c r="E112" s="940"/>
      <c r="F112" s="835"/>
      <c r="G112" s="836"/>
      <c r="I112" s="897"/>
    </row>
    <row r="113" spans="1:9">
      <c r="A113" s="938"/>
      <c r="B113" s="868"/>
      <c r="C113" s="834"/>
      <c r="D113" s="834"/>
      <c r="E113" s="940"/>
      <c r="F113" s="835"/>
      <c r="G113" s="836"/>
      <c r="H113" s="930"/>
      <c r="I113" s="943"/>
    </row>
    <row r="114" spans="1:9">
      <c r="A114" s="938"/>
      <c r="B114" s="868"/>
      <c r="C114" s="834"/>
      <c r="D114" s="834"/>
      <c r="E114" s="940"/>
      <c r="F114" s="835"/>
      <c r="G114" s="836"/>
      <c r="H114" s="930"/>
      <c r="I114" s="943"/>
    </row>
    <row r="115" spans="1:9">
      <c r="A115" s="938"/>
      <c r="B115" s="868"/>
      <c r="C115" s="834"/>
      <c r="D115" s="834"/>
      <c r="E115" s="940"/>
      <c r="F115" s="869"/>
      <c r="G115" s="861"/>
      <c r="H115" s="930"/>
      <c r="I115" s="943"/>
    </row>
    <row r="116" spans="1:9">
      <c r="A116" s="938"/>
      <c r="B116" s="868"/>
      <c r="C116" s="834"/>
      <c r="D116" s="834"/>
      <c r="E116" s="940"/>
      <c r="F116" s="835"/>
      <c r="G116" s="836"/>
      <c r="I116" s="897"/>
    </row>
    <row r="117" spans="1:9">
      <c r="A117" s="938"/>
      <c r="B117" s="868"/>
      <c r="C117" s="834"/>
      <c r="D117" s="834"/>
      <c r="E117" s="940"/>
      <c r="F117" s="835"/>
      <c r="G117" s="836"/>
      <c r="I117" s="897"/>
    </row>
    <row r="118" spans="1:9">
      <c r="A118" s="938"/>
      <c r="B118" s="868"/>
      <c r="C118" s="834"/>
      <c r="D118" s="834"/>
      <c r="E118" s="940"/>
      <c r="F118" s="835"/>
      <c r="G118" s="836"/>
      <c r="H118" s="904"/>
      <c r="I118" s="944"/>
    </row>
    <row r="119" spans="1:9" ht="13.5" thickBot="1">
      <c r="A119" s="938"/>
      <c r="B119" s="868"/>
      <c r="C119" s="834"/>
      <c r="D119" s="834"/>
      <c r="E119" s="940"/>
      <c r="F119" s="835"/>
      <c r="G119" s="836"/>
      <c r="I119" s="897"/>
    </row>
    <row r="120" spans="1:9" ht="13.5" thickBot="1">
      <c r="A120" s="941"/>
      <c r="B120" s="870"/>
      <c r="C120" s="849"/>
      <c r="D120" s="849"/>
      <c r="E120" s="942"/>
      <c r="F120" s="850"/>
      <c r="G120" s="851"/>
      <c r="H120" s="434"/>
      <c r="I120" s="435"/>
    </row>
    <row r="121" spans="1:9" ht="13.5" thickBot="1">
      <c r="A121" s="931"/>
      <c r="B121" s="852"/>
      <c r="C121" s="852"/>
      <c r="D121" s="852"/>
      <c r="E121" s="549"/>
      <c r="F121" s="853"/>
      <c r="G121" s="853"/>
      <c r="H121" s="436"/>
      <c r="I121" s="437"/>
    </row>
    <row r="122" spans="1:9" ht="13.5" thickBot="1">
      <c r="A122" s="1169"/>
      <c r="B122" s="1170"/>
      <c r="C122" s="1170"/>
      <c r="D122" s="1171" t="s">
        <v>4566</v>
      </c>
      <c r="E122" s="1170"/>
      <c r="F122" s="1172">
        <f>H120</f>
        <v>0</v>
      </c>
      <c r="G122" s="1172">
        <f>I120</f>
        <v>0</v>
      </c>
      <c r="H122" s="1175">
        <f>H121</f>
        <v>0</v>
      </c>
      <c r="I122" s="1176">
        <f>I121</f>
        <v>0</v>
      </c>
    </row>
    <row r="123" spans="1:9" ht="13.5" thickBot="1">
      <c r="A123" s="1177"/>
      <c r="B123" s="1178"/>
      <c r="C123" s="1178"/>
      <c r="D123" s="1178"/>
      <c r="E123" s="1179"/>
      <c r="F123" s="1178"/>
      <c r="G123" s="1178"/>
      <c r="H123" s="1180"/>
      <c r="I123" s="1181"/>
    </row>
    <row r="124" spans="1:9" s="817" customFormat="1" ht="13.5" thickTop="1">
      <c r="A124" s="1166"/>
      <c r="B124" s="1167"/>
      <c r="C124" s="1167"/>
      <c r="D124" s="1167"/>
      <c r="E124" s="1168"/>
      <c r="F124" s="872"/>
      <c r="G124" s="872"/>
      <c r="I124" s="825"/>
    </row>
    <row r="125" spans="1:9" s="817" customFormat="1">
      <c r="A125" s="1166"/>
      <c r="B125" s="1167"/>
      <c r="C125" s="1167"/>
      <c r="D125" s="1167"/>
      <c r="E125" s="1168"/>
      <c r="F125" s="872"/>
      <c r="G125" s="872"/>
      <c r="I125" s="825"/>
    </row>
    <row r="126" spans="1:9" s="817" customFormat="1">
      <c r="A126" s="1166"/>
      <c r="B126" s="1167"/>
      <c r="C126" s="1167"/>
      <c r="D126" s="1167"/>
      <c r="E126" s="1168"/>
      <c r="F126" s="872"/>
      <c r="G126" s="872"/>
      <c r="I126" s="825"/>
    </row>
    <row r="127" spans="1:9" s="817" customFormat="1">
      <c r="A127" s="1166"/>
      <c r="B127" s="1167"/>
      <c r="C127" s="1167"/>
      <c r="D127" s="1167"/>
      <c r="E127" s="1168"/>
      <c r="F127" s="872"/>
      <c r="G127" s="872"/>
      <c r="I127" s="825"/>
    </row>
    <row r="128" spans="1:9" s="817" customFormat="1">
      <c r="A128" s="871"/>
      <c r="B128" s="834"/>
      <c r="C128" s="834"/>
      <c r="D128" s="834"/>
      <c r="E128" s="940"/>
      <c r="F128" s="835"/>
      <c r="G128" s="835"/>
      <c r="I128" s="825"/>
    </row>
    <row r="129" spans="1:9" s="817" customFormat="1">
      <c r="A129" s="871"/>
      <c r="B129" s="834"/>
      <c r="C129" s="834"/>
      <c r="D129" s="834"/>
      <c r="E129" s="940"/>
      <c r="F129" s="835"/>
      <c r="G129" s="835"/>
      <c r="I129" s="825"/>
    </row>
    <row r="130" spans="1:9" s="817" customFormat="1" ht="13.5" thickBot="1">
      <c r="A130" s="871"/>
      <c r="B130" s="834"/>
      <c r="C130" s="834"/>
      <c r="D130" s="834"/>
      <c r="E130" s="940"/>
      <c r="F130" s="835"/>
      <c r="G130" s="872"/>
      <c r="I130" s="825"/>
    </row>
    <row r="131" spans="1:9" s="817" customFormat="1" ht="13.5" thickBot="1">
      <c r="A131" s="871"/>
      <c r="B131" s="834"/>
      <c r="C131" s="834"/>
      <c r="D131" s="834"/>
      <c r="E131" s="940"/>
      <c r="F131" s="835"/>
      <c r="G131" s="835"/>
      <c r="H131" s="178"/>
      <c r="I131" s="248"/>
    </row>
    <row r="132" spans="1:9" ht="13.5" thickBot="1">
      <c r="A132" s="874"/>
      <c r="B132" s="875"/>
      <c r="C132" s="875"/>
      <c r="D132" s="875"/>
      <c r="E132" s="549"/>
      <c r="F132" s="875"/>
      <c r="G132" s="875"/>
      <c r="H132" s="947"/>
      <c r="I132" s="948"/>
    </row>
    <row r="133" spans="1:9" ht="13.5" thickBot="1">
      <c r="A133" s="3392" t="s">
        <v>4567</v>
      </c>
      <c r="B133" s="3393"/>
      <c r="C133" s="3393"/>
      <c r="D133" s="3393"/>
      <c r="E133" s="3393"/>
      <c r="F133" s="1154">
        <f>SUM(F124:F131)+F122+F104+F49</f>
        <v>0</v>
      </c>
      <c r="G133" s="1154">
        <f>SUM(G124:G131)+G122+G104+G49</f>
        <v>0</v>
      </c>
      <c r="H133" s="1173">
        <f>H111+H92+H74+H56+H37+H9</f>
        <v>0</v>
      </c>
      <c r="I133" s="1174">
        <f>I111+I92+I74+I56+I37+I9</f>
        <v>0</v>
      </c>
    </row>
    <row r="135" spans="1:9">
      <c r="E135" s="1251" t="str">
        <f>IF(ISNA(Total!G58),"",IF(ROUND(F133,2)=ROUND(Total!G58,2),"Le total ci-desus de "&amp;ANNEE&amp;" est égal à celui de la feuille Total","Le total ci-desus de "&amp;ANNEE&amp;" diffère de : "&amp;ROUND(F133-Total!G58,2)&amp;"€  de celui de la feuille Total - Veuillez Actualiser :Feuilles pour la tutelle"))</f>
        <v/>
      </c>
      <c r="I135" s="56" t="str">
        <f>IF(ISNA(Total!G58),"",IF(ROUND(F133,2)=ROUND(Total!G58,2),1,0))</f>
        <v/>
      </c>
    </row>
    <row r="136" spans="1:9" ht="18">
      <c r="A136" s="1159" t="str">
        <f>IF(FunctCodCtl2_O="Funct&lt;&gt;","Il y a lieu de suivre la procédure décrite dans le chapitre 7 du manuel. La ventilation par code fonctionnelle doit avoir lieu !","")</f>
        <v/>
      </c>
      <c r="E136" s="56" t="str">
        <f>IF(I133=0,"",IF(ISNA('Total X-1'!G58),"",IF(G133='Total X-1'!G58,"Le total ci-desus de "&amp;ANNEE-1&amp;" est égal à celui de la feuille Total X-1","Le total ci-desus de "&amp;ANNEE-1&amp;" diffère de : "&amp;ROUND(G133-'Total X-1'!G58,2)&amp;"€  de celui de la feuille TotaX-1l - Veuillez Actualiser :Feuilles pour la tutelle")))</f>
        <v/>
      </c>
      <c r="H136" s="904"/>
      <c r="I136" s="56">
        <f>IF(I133=0,0,IF(ISNA('Total X-1'!G58),"",IF(ROUND(G133,2)=ROUND('Total X-1'!G58,2),1,0)))</f>
        <v>0</v>
      </c>
    </row>
    <row r="137" spans="1:9" s="1039" customFormat="1" ht="18">
      <c r="A137" s="3394" t="str">
        <f>IF(FunctCodCtl2_O="Funct&lt;&gt;","Vous utilisez les codes fonctionnels autre que 33 001(Ops) et 33 091(Calog)! Il y a lieu d'insérer quelque rubriques supplémentaires 02 642 64 09","")</f>
        <v/>
      </c>
      <c r="B137" s="3394"/>
      <c r="C137" s="3394"/>
      <c r="D137" s="3394"/>
      <c r="E137" s="3394"/>
      <c r="F137" s="3394"/>
      <c r="G137" s="3394"/>
      <c r="H137" s="3394"/>
      <c r="I137" s="3394"/>
    </row>
    <row r="138" spans="1:9" s="1039" customFormat="1">
      <c r="E138" s="1039" t="str">
        <f>IF(AND(I135="",I136=""),"",IF(OR(SUM(I135:I136)=2,SUM(I135:I136)=1),"Les données peuvent être utilisé pour Controle ultérieure"," Une erreur est constaté."))</f>
        <v xml:space="preserve"> Une erreur est constaté.</v>
      </c>
    </row>
    <row r="139" spans="1:9" s="1039" customFormat="1" ht="13.5" thickBot="1"/>
    <row r="140" spans="1:9" s="1039" customFormat="1" ht="33" customHeight="1">
      <c r="A140" s="2506"/>
      <c r="C140" s="2886"/>
      <c r="D140" s="2864"/>
      <c r="E140" s="2895" t="s">
        <v>5374</v>
      </c>
      <c r="F140" s="2865" t="s">
        <v>5269</v>
      </c>
      <c r="G140" s="2866" t="s">
        <v>4355</v>
      </c>
    </row>
    <row r="141" spans="1:9" s="1039" customFormat="1">
      <c r="A141" s="2506"/>
      <c r="C141" s="2887"/>
      <c r="D141" s="2506"/>
      <c r="E141" s="2506"/>
      <c r="F141" s="2507">
        <v>33091</v>
      </c>
      <c r="G141" s="2867">
        <v>33091</v>
      </c>
    </row>
    <row r="142" spans="1:9" ht="15">
      <c r="C142" s="2888" t="s">
        <v>5349</v>
      </c>
      <c r="D142" s="1039"/>
      <c r="E142" s="2868" t="s">
        <v>5346</v>
      </c>
      <c r="F142" s="2869">
        <v>0</v>
      </c>
      <c r="G142" s="2870" t="e">
        <v>#VALUE!</v>
      </c>
      <c r="H142" s="2508"/>
    </row>
    <row r="143" spans="1:9" ht="13.5" thickBot="1">
      <c r="C143" s="2889" t="s">
        <v>5350</v>
      </c>
      <c r="D143" s="1039"/>
      <c r="E143" s="2871" t="s">
        <v>5347</v>
      </c>
      <c r="F143" s="2872">
        <v>0</v>
      </c>
      <c r="G143" s="2873" t="e">
        <v>#VALUE!</v>
      </c>
      <c r="H143" s="2508"/>
    </row>
    <row r="144" spans="1:9" ht="13.5" thickTop="1">
      <c r="C144" s="2887"/>
      <c r="D144" s="2506"/>
      <c r="E144" s="2890" t="s">
        <v>5357</v>
      </c>
      <c r="F144" s="2891">
        <v>0</v>
      </c>
      <c r="G144" s="2874" t="e">
        <v>#VALUE!</v>
      </c>
      <c r="H144" s="2508"/>
    </row>
    <row r="145" spans="3:8">
      <c r="C145" s="2892"/>
      <c r="D145" s="1039"/>
      <c r="E145" s="1039"/>
      <c r="F145" s="1039"/>
      <c r="G145" s="2875"/>
      <c r="H145" s="2508"/>
    </row>
    <row r="146" spans="3:8">
      <c r="C146" s="2892"/>
      <c r="D146" s="1039"/>
      <c r="E146" s="1039"/>
      <c r="F146" s="2507" t="s">
        <v>646</v>
      </c>
      <c r="G146" s="2875"/>
    </row>
    <row r="147" spans="3:8">
      <c r="C147" s="2892"/>
      <c r="D147" s="1039"/>
      <c r="E147" s="1039"/>
      <c r="F147" s="2507">
        <v>33001</v>
      </c>
      <c r="G147" s="2875"/>
    </row>
    <row r="148" spans="3:8" ht="15">
      <c r="C148" s="2888" t="s">
        <v>5349</v>
      </c>
      <c r="D148" s="1039"/>
      <c r="E148" s="2868" t="s">
        <v>5346</v>
      </c>
      <c r="F148" s="2869"/>
      <c r="G148" s="2875"/>
    </row>
    <row r="149" spans="3:8" ht="13.5" thickBot="1">
      <c r="C149" s="2889" t="s">
        <v>5350</v>
      </c>
      <c r="D149" s="1039"/>
      <c r="E149" s="2871" t="s">
        <v>5347</v>
      </c>
      <c r="F149" s="2872"/>
      <c r="G149" s="2875"/>
    </row>
    <row r="150" spans="3:8" ht="13.5" thickTop="1">
      <c r="C150" s="2887"/>
      <c r="D150" s="2506"/>
      <c r="E150" s="2890" t="s">
        <v>5357</v>
      </c>
      <c r="F150" s="2891" t="e">
        <v>#VALUE!</v>
      </c>
      <c r="G150" s="2875"/>
    </row>
    <row r="151" spans="3:8">
      <c r="C151" s="2892"/>
      <c r="D151" s="1039"/>
      <c r="E151" s="1039"/>
      <c r="F151" s="1039"/>
      <c r="G151" s="2875"/>
    </row>
    <row r="152" spans="3:8">
      <c r="C152" s="2892"/>
      <c r="D152" s="1039"/>
      <c r="E152" s="1039"/>
      <c r="F152" s="2507" t="s">
        <v>5356</v>
      </c>
      <c r="G152" s="2875"/>
    </row>
    <row r="153" spans="3:8">
      <c r="C153" s="2892"/>
      <c r="D153" s="1039"/>
      <c r="E153" s="1039"/>
      <c r="F153" s="2507">
        <v>33098</v>
      </c>
      <c r="G153" s="2875"/>
    </row>
    <row r="154" spans="3:8" ht="15">
      <c r="C154" s="2888" t="s">
        <v>5349</v>
      </c>
      <c r="D154" s="1039"/>
      <c r="E154" s="2868" t="s">
        <v>5346</v>
      </c>
      <c r="F154" s="2869"/>
      <c r="G154" s="2875"/>
    </row>
    <row r="155" spans="3:8" ht="13.5" thickBot="1">
      <c r="C155" s="2889" t="s">
        <v>5350</v>
      </c>
      <c r="D155" s="1039"/>
      <c r="E155" s="2871" t="s">
        <v>5347</v>
      </c>
      <c r="F155" s="2872"/>
      <c r="G155" s="2875"/>
    </row>
    <row r="156" spans="3:8" ht="13.5" thickTop="1">
      <c r="C156" s="2887"/>
      <c r="D156" s="2506"/>
      <c r="E156" s="2890" t="s">
        <v>5357</v>
      </c>
      <c r="F156" s="2891" t="e">
        <v>#VALUE!</v>
      </c>
      <c r="G156" s="2875"/>
    </row>
    <row r="157" spans="3:8">
      <c r="C157" s="2892"/>
      <c r="D157" s="1039"/>
      <c r="E157" s="1039"/>
      <c r="F157" s="1039"/>
      <c r="G157" s="2875"/>
    </row>
    <row r="158" spans="3:8">
      <c r="C158" s="2892"/>
      <c r="D158" s="1039"/>
      <c r="E158" s="1039"/>
      <c r="F158" s="2507" t="s">
        <v>3144</v>
      </c>
      <c r="G158" s="2875"/>
    </row>
    <row r="159" spans="3:8">
      <c r="C159" s="2892"/>
      <c r="D159" s="1039"/>
      <c r="E159" s="1039"/>
      <c r="F159" s="2507">
        <v>33099</v>
      </c>
      <c r="G159" s="2875"/>
    </row>
    <row r="160" spans="3:8" ht="15">
      <c r="C160" s="2888" t="s">
        <v>5349</v>
      </c>
      <c r="D160" s="1039"/>
      <c r="E160" s="2868" t="s">
        <v>5346</v>
      </c>
      <c r="F160" s="2869"/>
      <c r="G160" s="2875"/>
    </row>
    <row r="161" spans="3:7" ht="13.5" thickBot="1">
      <c r="C161" s="2889" t="s">
        <v>5350</v>
      </c>
      <c r="D161" s="1039"/>
      <c r="E161" s="2871" t="s">
        <v>5347</v>
      </c>
      <c r="F161" s="2872"/>
      <c r="G161" s="2875"/>
    </row>
    <row r="162" spans="3:7" ht="13.5" thickTop="1">
      <c r="C162" s="2887"/>
      <c r="D162" s="2506"/>
      <c r="E162" s="2891" t="s">
        <v>5357</v>
      </c>
      <c r="F162" s="2891" t="e">
        <v>#VALUE!</v>
      </c>
      <c r="G162" s="2875"/>
    </row>
    <row r="163" spans="3:7">
      <c r="C163" s="2892"/>
      <c r="D163" s="1039"/>
      <c r="E163" s="1039"/>
      <c r="F163" s="1039"/>
      <c r="G163" s="2875"/>
    </row>
    <row r="164" spans="3:7" ht="14.25">
      <c r="C164" s="2892"/>
      <c r="D164" s="1039"/>
      <c r="E164" s="2893" t="s">
        <v>5358</v>
      </c>
      <c r="F164" s="2893" t="e">
        <f>SUM(F144,G144,F150,F156,F162)</f>
        <v>#VALUE!</v>
      </c>
      <c r="G164" s="2875"/>
    </row>
    <row r="165" spans="3:7" ht="13.5" thickBot="1">
      <c r="C165" s="2894"/>
      <c r="D165" s="2876"/>
      <c r="E165" s="2876"/>
      <c r="F165" s="2876"/>
      <c r="G165" s="2877"/>
    </row>
    <row r="166" spans="3:7">
      <c r="C166" s="1039"/>
      <c r="D166" s="1039"/>
      <c r="E166" s="1039"/>
      <c r="F166" s="1039"/>
      <c r="G166" s="1039"/>
    </row>
  </sheetData>
  <mergeCells count="3">
    <mergeCell ref="H1:I1"/>
    <mergeCell ref="A133:E133"/>
    <mergeCell ref="A137:I137"/>
  </mergeCells>
  <phoneticPr fontId="38" type="noConversion"/>
  <conditionalFormatting sqref="B112:B120 B106:B108 B94:B102 B87:B89">
    <cfRule type="expression" dxfId="3" priority="1" stopIfTrue="1">
      <formula>$B$67=4</formula>
    </cfRule>
    <cfRule type="expression" dxfId="2" priority="2" stopIfTrue="1">
      <formula>$B$67=3</formula>
    </cfRule>
  </conditionalFormatting>
  <dataValidations count="1">
    <dataValidation type="textLength" allowBlank="1" showInputMessage="1" showErrorMessage="1" errorTitle="Functionele code:" error="Het minimum aantal karakters is 3 en het maximaal aantal is 5." sqref="A106:A121 A50:A84 A31:A48 A87:A103 A3:A20 A22:A27" xr:uid="{00000000-0002-0000-0E00-000000000000}">
      <formula1>3</formula1>
      <formula2>5</formula2>
    </dataValidation>
  </dataValidations>
  <printOptions verticalCentered="1"/>
  <pageMargins left="0.35433070866141736" right="0.15748031496062992" top="0.19685039370078741" bottom="0.19685039370078741" header="0.11811023622047245" footer="0.11811023622047245"/>
  <pageSetup paperSize="9" scale="60" fitToHeight="0" orientation="portrait" r:id="rId1"/>
  <headerFooter alignWithMargins="0">
    <oddHeader xml:space="preserve">&amp;C&amp;8&amp;Z&amp;F
&amp;A
</oddHeader>
    <oddFooter>&amp;L&amp;D - &amp;T&amp;C&amp;P/&amp;N&amp;R&amp;8created by 
SSGPI/PVH</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ut2">
    <pageSetUpPr fitToPage="1"/>
  </sheetPr>
  <dimension ref="B1:L65"/>
  <sheetViews>
    <sheetView topLeftCell="A45" zoomScale="55" zoomScaleNormal="55" workbookViewId="0">
      <selection activeCell="B8" sqref="B8"/>
    </sheetView>
  </sheetViews>
  <sheetFormatPr defaultColWidth="0" defaultRowHeight="12.75"/>
  <cols>
    <col min="1" max="1" width="3.42578125" style="56" customWidth="1"/>
    <col min="2" max="2" width="9.140625" style="56" bestFit="1" customWidth="1"/>
    <col min="3" max="3" width="9.7109375" style="56" bestFit="1" customWidth="1"/>
    <col min="4" max="4" width="12.7109375" style="56" bestFit="1" customWidth="1"/>
    <col min="5" max="5" width="3" style="56" bestFit="1" customWidth="1"/>
    <col min="6" max="6" width="40.5703125" style="56" customWidth="1"/>
    <col min="7" max="10" width="13.140625" style="56" customWidth="1"/>
    <col min="11" max="11" width="2.42578125" style="56" customWidth="1"/>
    <col min="12" max="12" width="11.7109375" style="56" hidden="1" customWidth="1"/>
    <col min="13" max="16384" width="0" style="56" hidden="1"/>
  </cols>
  <sheetData>
    <row r="1" spans="2:10" s="817" customFormat="1" ht="29.25" customHeight="1" thickBot="1">
      <c r="B1" s="3388" t="str">
        <f>"Zone de Police " &amp;ZoneNr &amp; " : " &amp; 'Page d''accueil'!B12</f>
        <v xml:space="preserve">Zone de Police  :  </v>
      </c>
      <c r="C1" s="3389"/>
      <c r="D1" s="3389"/>
      <c r="E1" s="3389"/>
      <c r="F1" s="3389"/>
      <c r="G1" s="1145">
        <f>+ANNEE</f>
        <v>2027</v>
      </c>
      <c r="H1" s="1145">
        <f>+ANNEE-1</f>
        <v>2026</v>
      </c>
      <c r="I1" s="1273">
        <f>ANNEE</f>
        <v>2027</v>
      </c>
      <c r="J1" s="1274">
        <f>ANNEE-1</f>
        <v>2026</v>
      </c>
    </row>
    <row r="2" spans="2:10" ht="13.5" thickBot="1">
      <c r="B2" s="3407" t="str">
        <f>"Personnel Opérationnel - Ops   -&gt; ("&amp;Ops!D1-Ops!B3 &amp;")"</f>
        <v>Personnel Opérationnel - Ops   -&gt; (1)</v>
      </c>
      <c r="C2" s="3408"/>
      <c r="D2" s="3408"/>
      <c r="E2" s="3408"/>
      <c r="F2" s="3408"/>
      <c r="G2" s="3408"/>
      <c r="H2" s="3408"/>
      <c r="I2" s="3408"/>
      <c r="J2" s="3409"/>
    </row>
    <row r="3" spans="2:10">
      <c r="B3" s="893">
        <f>Tutelle1!A3</f>
        <v>0</v>
      </c>
      <c r="C3" s="857" t="str">
        <f>LEFT(Tutelle1!B3,6)</f>
        <v/>
      </c>
      <c r="D3" s="893">
        <f>Tutelle1!C3</f>
        <v>0</v>
      </c>
      <c r="E3" s="858">
        <v>70</v>
      </c>
      <c r="F3" s="905" t="s">
        <v>2994</v>
      </c>
      <c r="G3" s="859">
        <f>Tutelle1!F3+SUM(Tutelle1!F5:F7)+Tutelle1!F31+SUM(Tutelle1!F33:F35)</f>
        <v>0</v>
      </c>
      <c r="H3" s="1901">
        <f>Tutelle1!G3+SUM(Tutelle1!G5:G7)+Tutelle1!G31+SUM(Tutelle1!G33:G35)</f>
        <v>0</v>
      </c>
      <c r="I3" s="894"/>
      <c r="J3" s="895"/>
    </row>
    <row r="4" spans="2:10" ht="25.5">
      <c r="B4" s="896">
        <f>B3</f>
        <v>0</v>
      </c>
      <c r="C4" s="833" t="str">
        <f>LEFT(Tutelle1!B9,6)</f>
        <v/>
      </c>
      <c r="D4" s="834" t="str">
        <f t="shared" ref="D4:D9" si="0">B4&amp;"/"&amp;LEFT(C4,6)</f>
        <v>0/</v>
      </c>
      <c r="E4" s="834">
        <v>70</v>
      </c>
      <c r="F4" s="906" t="s">
        <v>25</v>
      </c>
      <c r="G4" s="835">
        <f>Tutelle1!F9+Tutelle1!F37</f>
        <v>0</v>
      </c>
      <c r="H4" s="1902">
        <f>Tutelle1!G9+Tutelle1!G37</f>
        <v>0</v>
      </c>
      <c r="J4" s="897"/>
    </row>
    <row r="5" spans="2:10" ht="25.5">
      <c r="B5" s="896">
        <f>B3</f>
        <v>0</v>
      </c>
      <c r="C5" s="833" t="str">
        <f>LEFT(Tutelle1!B10,6)</f>
        <v/>
      </c>
      <c r="D5" s="834" t="str">
        <f t="shared" si="0"/>
        <v>0/</v>
      </c>
      <c r="E5" s="834">
        <v>70</v>
      </c>
      <c r="F5" s="906" t="s">
        <v>2909</v>
      </c>
      <c r="G5" s="835">
        <f>Tutelle1!F10+Tutelle1!F38</f>
        <v>0</v>
      </c>
      <c r="H5" s="1902">
        <f>Tutelle1!G10</f>
        <v>0</v>
      </c>
      <c r="J5" s="897"/>
    </row>
    <row r="6" spans="2:10" ht="38.25">
      <c r="B6" s="896">
        <f>B3</f>
        <v>0</v>
      </c>
      <c r="C6" s="833" t="str">
        <f>LEFT(Tutelle1!B11,6)</f>
        <v/>
      </c>
      <c r="D6" s="834" t="str">
        <f t="shared" si="0"/>
        <v>0/</v>
      </c>
      <c r="E6" s="834">
        <v>70</v>
      </c>
      <c r="F6" s="906" t="s">
        <v>1930</v>
      </c>
      <c r="G6" s="835">
        <f>Tutelle1!F11+Tutelle1!F39</f>
        <v>0</v>
      </c>
      <c r="H6" s="1902">
        <f>Tutelle1!G11+Tutelle1!G39</f>
        <v>0</v>
      </c>
      <c r="J6" s="897"/>
    </row>
    <row r="7" spans="2:10" ht="25.5">
      <c r="B7" s="896">
        <f>B3</f>
        <v>0</v>
      </c>
      <c r="C7" s="833" t="str">
        <f>LEFT(Tutelle1!B12,6)</f>
        <v/>
      </c>
      <c r="D7" s="834" t="str">
        <f t="shared" si="0"/>
        <v>0/</v>
      </c>
      <c r="E7" s="834">
        <v>70</v>
      </c>
      <c r="F7" s="906" t="s">
        <v>1748</v>
      </c>
      <c r="G7" s="835">
        <f>Tutelle1!F12+Tutelle1!F40</f>
        <v>0</v>
      </c>
      <c r="H7" s="1902">
        <f>Tutelle1!G12+Tutelle1!G40</f>
        <v>0</v>
      </c>
      <c r="J7" s="897"/>
    </row>
    <row r="8" spans="2:10" ht="38.25">
      <c r="B8" s="896">
        <f>B3</f>
        <v>0</v>
      </c>
      <c r="C8" s="833" t="str">
        <f>LEFT(Tutelle1!B13,6)</f>
        <v/>
      </c>
      <c r="D8" s="834" t="str">
        <f t="shared" si="0"/>
        <v>0/</v>
      </c>
      <c r="E8" s="834">
        <v>70</v>
      </c>
      <c r="F8" s="906" t="s">
        <v>1931</v>
      </c>
      <c r="G8" s="835">
        <f>Tutelle1!F13+Tutelle1!F41</f>
        <v>0</v>
      </c>
      <c r="H8" s="1902">
        <f>Tutelle1!G13+Tutelle1!G41</f>
        <v>0</v>
      </c>
      <c r="J8" s="897"/>
    </row>
    <row r="9" spans="2:10" ht="39" thickBot="1">
      <c r="B9" s="898">
        <f>B3</f>
        <v>0</v>
      </c>
      <c r="C9" s="848" t="str">
        <f>LEFT(Tutelle1!B14,6)</f>
        <v/>
      </c>
      <c r="D9" s="849" t="str">
        <f t="shared" si="0"/>
        <v>0/</v>
      </c>
      <c r="E9" s="849">
        <v>70</v>
      </c>
      <c r="F9" s="907" t="s">
        <v>366</v>
      </c>
      <c r="G9" s="850">
        <f>Tutelle1!F14+Tutelle1!F42</f>
        <v>0</v>
      </c>
      <c r="H9" s="1903">
        <f>Tutelle1!G14+Tutelle1!G42</f>
        <v>0</v>
      </c>
      <c r="I9" s="541">
        <f>SUM(G3:G9)</f>
        <v>0</v>
      </c>
      <c r="J9" s="1966">
        <f>SUM(H3:H9)</f>
        <v>0</v>
      </c>
    </row>
    <row r="10" spans="2:10" ht="13.5" thickBot="1">
      <c r="B10" s="1275"/>
      <c r="J10" s="897"/>
    </row>
    <row r="11" spans="2:10" ht="13.5" thickBot="1">
      <c r="B11" s="3398" t="str">
        <f>"Personnel Opérationnel - Ops NAPAP  -&gt;("&amp;Ops!B3&amp;")"</f>
        <v>Personnel Opérationnel - Ops NAPAP  -&gt;(0)</v>
      </c>
      <c r="C11" s="3399"/>
      <c r="D11" s="3399"/>
      <c r="E11" s="3399"/>
      <c r="F11" s="3399"/>
      <c r="G11" s="3399"/>
      <c r="H11" s="3399"/>
      <c r="I11" s="3399"/>
      <c r="J11" s="3400"/>
    </row>
    <row r="12" spans="2:10" ht="25.5">
      <c r="B12" s="856">
        <f>Tutelle1!A22</f>
        <v>0</v>
      </c>
      <c r="C12" s="1960">
        <f>Tutelle1!B22</f>
        <v>0</v>
      </c>
      <c r="D12" s="858" t="str">
        <f>B12&amp;"/"&amp;LEFT(C12,6)</f>
        <v>0/0</v>
      </c>
      <c r="E12" s="858">
        <v>70</v>
      </c>
      <c r="F12" s="905" t="s">
        <v>1220</v>
      </c>
      <c r="G12" s="859">
        <f>Tutelle1!F22+Tutelle1!F23</f>
        <v>0</v>
      </c>
      <c r="H12" s="1901">
        <f>Tutelle1!G22+Tutelle1!G23</f>
        <v>0</v>
      </c>
      <c r="I12" s="1961"/>
      <c r="J12" s="1962"/>
    </row>
    <row r="13" spans="2:10" ht="25.5">
      <c r="B13" s="896">
        <f>Tutelle1!A25</f>
        <v>0</v>
      </c>
      <c r="C13" s="1963">
        <f>Tutelle1!B25</f>
        <v>0</v>
      </c>
      <c r="D13" s="834" t="str">
        <f>B13&amp;"/"&amp;LEFT(C13,6)</f>
        <v>0/0</v>
      </c>
      <c r="E13" s="834">
        <v>70</v>
      </c>
      <c r="F13" s="906" t="s">
        <v>1222</v>
      </c>
      <c r="G13" s="835">
        <f>Tutelle1!F25</f>
        <v>0</v>
      </c>
      <c r="H13" s="1902">
        <f>Tutelle1!G25</f>
        <v>0</v>
      </c>
      <c r="I13" s="1188"/>
      <c r="J13" s="1964"/>
    </row>
    <row r="14" spans="2:10" ht="37.5" customHeight="1">
      <c r="B14" s="896">
        <f>Tutelle1!A26</f>
        <v>0</v>
      </c>
      <c r="C14" s="1963">
        <f>Tutelle1!B26</f>
        <v>0</v>
      </c>
      <c r="D14" s="834" t="str">
        <f>B14&amp;"/"&amp;LEFT(C14,6)</f>
        <v>0/0</v>
      </c>
      <c r="E14" s="834">
        <v>70</v>
      </c>
      <c r="F14" s="906" t="s">
        <v>1223</v>
      </c>
      <c r="G14" s="835">
        <f>Tutelle1!F26</f>
        <v>0</v>
      </c>
      <c r="H14" s="1902">
        <f>Tutelle1!G26</f>
        <v>0</v>
      </c>
      <c r="I14" s="1188"/>
      <c r="J14" s="1964"/>
    </row>
    <row r="15" spans="2:10" ht="26.25" thickBot="1">
      <c r="B15" s="898">
        <f>Tutelle1!A27</f>
        <v>0</v>
      </c>
      <c r="C15" s="1965">
        <f>Tutelle1!B27</f>
        <v>0</v>
      </c>
      <c r="D15" s="849" t="str">
        <f>B15&amp;"/"&amp;LEFT(C15,6)</f>
        <v>0/0</v>
      </c>
      <c r="E15" s="849">
        <v>70</v>
      </c>
      <c r="F15" s="910" t="s">
        <v>1224</v>
      </c>
      <c r="G15" s="850">
        <f>Tutelle1!F27</f>
        <v>0</v>
      </c>
      <c r="H15" s="1903">
        <f>Tutelle1!G27</f>
        <v>0</v>
      </c>
      <c r="I15" s="541">
        <f>SUM(G12:G15)</f>
        <v>0</v>
      </c>
      <c r="J15" s="1966">
        <f>SUM(H12:H15)</f>
        <v>0</v>
      </c>
    </row>
    <row r="16" spans="2:10" ht="13.5" thickBot="1">
      <c r="B16" s="1275"/>
      <c r="J16" s="897"/>
    </row>
    <row r="17" spans="2:10" ht="13.5" thickBot="1">
      <c r="B17" s="3410" t="str">
        <f>"Personnel du Cadre Administratif et Logistique (CALog)  -&gt;  ("&amp;Calog!D1-Calog!B3&amp;")"</f>
        <v>Personnel du Cadre Administratif et Logistique (CALog)  -&gt;  (1)</v>
      </c>
      <c r="C17" s="3411"/>
      <c r="D17" s="3411"/>
      <c r="E17" s="3411"/>
      <c r="F17" s="3411"/>
      <c r="G17" s="3411"/>
      <c r="H17" s="3411"/>
      <c r="I17" s="3411"/>
      <c r="J17" s="3412"/>
    </row>
    <row r="18" spans="2:10">
      <c r="B18" s="899">
        <f>Tutelle1!A51</f>
        <v>0</v>
      </c>
      <c r="C18" s="857" t="str">
        <f>LEFT(Tutelle1!B51,6)</f>
        <v/>
      </c>
      <c r="D18" s="858" t="str">
        <f t="shared" ref="D18:D24" si="1">B18&amp;"/"&amp;LEFT(C18,6)</f>
        <v>0/</v>
      </c>
      <c r="E18" s="858">
        <v>70</v>
      </c>
      <c r="F18" s="905" t="s">
        <v>367</v>
      </c>
      <c r="G18" s="859">
        <f>SUM(Tutelle1!F51:F54)+SUM(Tutelle1!F69:F72)+SUM(Tutelle1!F87:F90)</f>
        <v>0</v>
      </c>
      <c r="H18" s="1901">
        <f>SUM(Tutelle1!G51:G54)+SUM(Tutelle1!G69:G72)+SUM(Tutelle1!G87:G90)</f>
        <v>0</v>
      </c>
      <c r="I18" s="894"/>
      <c r="J18" s="895"/>
    </row>
    <row r="19" spans="2:10" ht="25.5">
      <c r="B19" s="896">
        <f>B18</f>
        <v>0</v>
      </c>
      <c r="C19" s="833" t="str">
        <f>LEFT(Tutelle1!B56,6)</f>
        <v/>
      </c>
      <c r="D19" s="834" t="str">
        <f t="shared" si="1"/>
        <v>0/</v>
      </c>
      <c r="E19" s="834">
        <v>70</v>
      </c>
      <c r="F19" s="906" t="s">
        <v>128</v>
      </c>
      <c r="G19" s="835">
        <f>Tutelle1!F56+IF(Tutelle1!F57="",0,Tutelle1!F57)+Tutelle1!F74+IF(Tutelle1!F75="",0,Tutelle1!F75)+Tutelle1!F92</f>
        <v>0</v>
      </c>
      <c r="H19" s="1902">
        <f>Tutelle1!G56+IF(Tutelle1!G57="",0,Tutelle1!G57)+Tutelle1!G74+IF(Tutelle1!G75="",0,Tutelle1!G75)+Tutelle1!G92</f>
        <v>0</v>
      </c>
      <c r="J19" s="897"/>
    </row>
    <row r="20" spans="2:10">
      <c r="B20" s="896">
        <f>B18</f>
        <v>0</v>
      </c>
      <c r="C20" s="833" t="str">
        <f>LEFT(Tutelle1!B58,6)</f>
        <v/>
      </c>
      <c r="D20" s="834" t="str">
        <f t="shared" si="1"/>
        <v>0/</v>
      </c>
      <c r="E20" s="834">
        <v>70</v>
      </c>
      <c r="F20" s="906" t="s">
        <v>129</v>
      </c>
      <c r="G20" s="835">
        <f>Tutelle1!F58+Tutelle1!F76+Tutelle1!F94</f>
        <v>0</v>
      </c>
      <c r="H20" s="1902">
        <f>Tutelle1!G58+Tutelle1!G76+Tutelle1!G94</f>
        <v>0</v>
      </c>
      <c r="J20" s="897"/>
    </row>
    <row r="21" spans="2:10" ht="38.25">
      <c r="B21" s="896">
        <f>B18</f>
        <v>0</v>
      </c>
      <c r="C21" s="833" t="str">
        <f>LEFT(Tutelle1!B59,6)</f>
        <v/>
      </c>
      <c r="D21" s="834" t="str">
        <f t="shared" si="1"/>
        <v>0/</v>
      </c>
      <c r="E21" s="834">
        <v>70</v>
      </c>
      <c r="F21" s="906" t="s">
        <v>1932</v>
      </c>
      <c r="G21" s="835">
        <f>Tutelle1!F59+Tutelle1!F77+Tutelle1!F95</f>
        <v>0</v>
      </c>
      <c r="H21" s="1902">
        <f>Tutelle1!G59+Tutelle1!G77+Tutelle1!G95</f>
        <v>0</v>
      </c>
      <c r="J21" s="897"/>
    </row>
    <row r="22" spans="2:10" ht="25.5">
      <c r="B22" s="896">
        <f>B18</f>
        <v>0</v>
      </c>
      <c r="C22" s="833" t="str">
        <f>LEFT(Tutelle1!B60,6)</f>
        <v/>
      </c>
      <c r="D22" s="834" t="str">
        <f t="shared" si="1"/>
        <v>0/</v>
      </c>
      <c r="E22" s="834">
        <v>70</v>
      </c>
      <c r="F22" s="906" t="s">
        <v>291</v>
      </c>
      <c r="G22" s="835">
        <f>Tutelle1!F60+Tutelle1!F78+Tutelle1!F96</f>
        <v>0</v>
      </c>
      <c r="H22" s="1902">
        <f>Tutelle1!G60+Tutelle1!G78+Tutelle1!G96</f>
        <v>0</v>
      </c>
      <c r="J22" s="897"/>
    </row>
    <row r="23" spans="2:10" ht="38.25">
      <c r="B23" s="896">
        <f>B18</f>
        <v>0</v>
      </c>
      <c r="C23" s="833" t="str">
        <f>LEFT(Tutelle1!B61,6)</f>
        <v/>
      </c>
      <c r="D23" s="834" t="str">
        <f t="shared" si="1"/>
        <v>0/</v>
      </c>
      <c r="E23" s="834">
        <v>70</v>
      </c>
      <c r="F23" s="906" t="s">
        <v>1933</v>
      </c>
      <c r="G23" s="835">
        <f>Tutelle1!F61+Tutelle1!F79+Tutelle1!F97</f>
        <v>0</v>
      </c>
      <c r="H23" s="1902">
        <f>Tutelle1!G61+Tutelle1!G79+Tutelle1!G97</f>
        <v>0</v>
      </c>
      <c r="J23" s="897"/>
    </row>
    <row r="24" spans="2:10" ht="26.25" thickBot="1">
      <c r="B24" s="898">
        <f>B18</f>
        <v>0</v>
      </c>
      <c r="C24" s="848" t="str">
        <f>LEFT(Tutelle1!B62,6)</f>
        <v/>
      </c>
      <c r="D24" s="849" t="str">
        <f t="shared" si="1"/>
        <v>0/</v>
      </c>
      <c r="E24" s="849">
        <v>70</v>
      </c>
      <c r="F24" s="907" t="s">
        <v>2068</v>
      </c>
      <c r="G24" s="850">
        <f>Tutelle1!F62+Tutelle1!F80+Tutelle1!F98</f>
        <v>0</v>
      </c>
      <c r="H24" s="1903">
        <f>Tutelle1!G62+Tutelle1!G80+Tutelle1!G98</f>
        <v>0</v>
      </c>
      <c r="I24" s="541">
        <f>SUM(G18:G24)</f>
        <v>0</v>
      </c>
      <c r="J24" s="1966">
        <f>SUM(H18:H24)</f>
        <v>0</v>
      </c>
    </row>
    <row r="25" spans="2:10" ht="13.5" thickBot="1">
      <c r="B25" s="1275"/>
      <c r="J25" s="897"/>
    </row>
    <row r="26" spans="2:10" ht="13.5" thickBot="1">
      <c r="B26" s="3410" t="str">
        <f>"CALog - Agents premier Emploi (A.P.E.)  -&gt; ("&amp;Calog!B3&amp;")"</f>
        <v>CALog - Agents premier Emploi (A.P.E.)  -&gt; (0)</v>
      </c>
      <c r="C26" s="3411"/>
      <c r="D26" s="3411"/>
      <c r="E26" s="3411"/>
      <c r="F26" s="3411"/>
      <c r="G26" s="3411"/>
      <c r="H26" s="3411"/>
      <c r="I26" s="3411"/>
      <c r="J26" s="3412"/>
    </row>
    <row r="27" spans="2:10">
      <c r="B27" s="899">
        <f>Tutelle1!A106</f>
        <v>0</v>
      </c>
      <c r="C27" s="857" t="str">
        <f>LEFT(Tutelle1!B106,6)</f>
        <v/>
      </c>
      <c r="D27" s="858" t="str">
        <f t="shared" ref="D27:D45" si="2">B27&amp;"/"&amp;LEFT(C27,6)</f>
        <v>0/</v>
      </c>
      <c r="E27" s="858">
        <v>70</v>
      </c>
      <c r="F27" s="908" t="s">
        <v>2069</v>
      </c>
      <c r="G27" s="859">
        <f>SUM(Tutelle1!F106:F109)</f>
        <v>0</v>
      </c>
      <c r="H27" s="1901">
        <f>SUM(Tutelle1!G106:G109)</f>
        <v>0</v>
      </c>
      <c r="I27" s="894"/>
      <c r="J27" s="895"/>
    </row>
    <row r="28" spans="2:10" ht="25.5">
      <c r="B28" s="938">
        <f>B27</f>
        <v>0</v>
      </c>
      <c r="C28" s="833" t="str">
        <f>LEFT(Tutelle1!B111,6)</f>
        <v/>
      </c>
      <c r="D28" s="834" t="str">
        <f t="shared" si="2"/>
        <v>0/</v>
      </c>
      <c r="E28" s="834">
        <v>70</v>
      </c>
      <c r="F28" s="909" t="s">
        <v>467</v>
      </c>
      <c r="G28" s="835">
        <f>Tutelle1!F111</f>
        <v>0</v>
      </c>
      <c r="H28" s="1902">
        <f>Tutelle1!G111</f>
        <v>0</v>
      </c>
      <c r="J28" s="897"/>
    </row>
    <row r="29" spans="2:10" ht="25.5">
      <c r="B29" s="938">
        <f>B28</f>
        <v>0</v>
      </c>
      <c r="C29" s="833" t="str">
        <f>LEFT(Tutelle1!B112,6)</f>
        <v/>
      </c>
      <c r="D29" s="834" t="str">
        <f t="shared" si="2"/>
        <v>0/</v>
      </c>
      <c r="E29" s="834">
        <v>70</v>
      </c>
      <c r="F29" s="909" t="s">
        <v>1886</v>
      </c>
      <c r="G29" s="835">
        <f>Tutelle1!F112</f>
        <v>0</v>
      </c>
      <c r="H29" s="1902">
        <f>Tutelle1!G112</f>
        <v>0</v>
      </c>
      <c r="J29" s="897"/>
    </row>
    <row r="30" spans="2:10" ht="38.25">
      <c r="B30" s="938">
        <f>B29</f>
        <v>0</v>
      </c>
      <c r="C30" s="833" t="str">
        <f>LEFT(Tutelle1!B113,6)</f>
        <v/>
      </c>
      <c r="D30" s="834" t="str">
        <f t="shared" si="2"/>
        <v>0/</v>
      </c>
      <c r="E30" s="834">
        <v>70</v>
      </c>
      <c r="F30" s="909" t="s">
        <v>1934</v>
      </c>
      <c r="G30" s="835">
        <f>Tutelle1!F113</f>
        <v>0</v>
      </c>
      <c r="H30" s="1902">
        <f>Tutelle1!G113</f>
        <v>0</v>
      </c>
      <c r="J30" s="897"/>
    </row>
    <row r="31" spans="2:10" ht="38.25">
      <c r="B31" s="938">
        <f>B30</f>
        <v>0</v>
      </c>
      <c r="C31" s="833" t="str">
        <f>LEFT(Tutelle1!B114,6)</f>
        <v/>
      </c>
      <c r="D31" s="834" t="str">
        <f t="shared" si="2"/>
        <v>0/</v>
      </c>
      <c r="E31" s="834">
        <v>70</v>
      </c>
      <c r="F31" s="909" t="s">
        <v>1928</v>
      </c>
      <c r="G31" s="835">
        <f>Tutelle1!F114</f>
        <v>0</v>
      </c>
      <c r="H31" s="1902">
        <f>Tutelle1!G114</f>
        <v>0</v>
      </c>
      <c r="J31" s="897"/>
    </row>
    <row r="32" spans="2:10" ht="39" thickBot="1">
      <c r="B32" s="941">
        <f>B31</f>
        <v>0</v>
      </c>
      <c r="C32" s="848" t="str">
        <f>LEFT(Tutelle1!B116,6)</f>
        <v/>
      </c>
      <c r="D32" s="849" t="str">
        <f t="shared" si="2"/>
        <v>0/</v>
      </c>
      <c r="E32" s="849">
        <v>70</v>
      </c>
      <c r="F32" s="910" t="s">
        <v>329</v>
      </c>
      <c r="G32" s="850">
        <f>Tutelle1!F116</f>
        <v>0</v>
      </c>
      <c r="H32" s="1902">
        <f>Tutelle1!G116</f>
        <v>0</v>
      </c>
      <c r="I32" s="541">
        <f>SUM(G27:G32)</f>
        <v>0</v>
      </c>
      <c r="J32" s="1966">
        <f>SUM(H27:H32)</f>
        <v>0</v>
      </c>
    </row>
    <row r="33" spans="2:10" ht="13.5" thickBot="1">
      <c r="B33" s="1275"/>
      <c r="J33" s="897"/>
    </row>
    <row r="34" spans="2:10" ht="13.5" thickBot="1">
      <c r="B34" s="3407" t="s">
        <v>565</v>
      </c>
      <c r="C34" s="3408"/>
      <c r="D34" s="3408"/>
      <c r="E34" s="3408"/>
      <c r="F34" s="3408"/>
      <c r="G34" s="3408"/>
      <c r="H34" s="3408"/>
      <c r="I34" s="3408"/>
      <c r="J34" s="3409"/>
    </row>
    <row r="35" spans="2:10" ht="25.5">
      <c r="B35" s="893">
        <f>B3</f>
        <v>0</v>
      </c>
      <c r="C35" s="857" t="s">
        <v>1798</v>
      </c>
      <c r="D35" s="858" t="str">
        <f t="shared" si="2"/>
        <v>0/117-01</v>
      </c>
      <c r="E35" s="858">
        <v>70</v>
      </c>
      <c r="F35" s="908" t="s">
        <v>2497</v>
      </c>
      <c r="G35" s="859">
        <f>Tutelle1!$F$15+Tutelle1!$F$43</f>
        <v>0</v>
      </c>
      <c r="H35" s="1901">
        <f>Tutelle1!$G$15+Tutelle1!$G$43</f>
        <v>0</v>
      </c>
      <c r="I35" s="894"/>
      <c r="J35" s="895"/>
    </row>
    <row r="36" spans="2:10" ht="25.5">
      <c r="B36" s="896">
        <f>B4</f>
        <v>0</v>
      </c>
      <c r="C36" s="833" t="s">
        <v>1799</v>
      </c>
      <c r="D36" s="834" t="str">
        <f t="shared" si="2"/>
        <v>0/118-01</v>
      </c>
      <c r="E36" s="834">
        <v>70</v>
      </c>
      <c r="F36" s="909" t="s">
        <v>2498</v>
      </c>
      <c r="G36" s="835">
        <f>Tutelle1!$F$16+Tutelle1!$F$44</f>
        <v>0</v>
      </c>
      <c r="H36" s="1902">
        <f>Tutelle1!$G$16+Tutelle1!$G$44</f>
        <v>0</v>
      </c>
      <c r="J36" s="897"/>
    </row>
    <row r="37" spans="2:10" ht="25.5">
      <c r="B37" s="896">
        <f>B5</f>
        <v>0</v>
      </c>
      <c r="C37" s="833" t="s">
        <v>3678</v>
      </c>
      <c r="D37" s="834" t="str">
        <f t="shared" si="2"/>
        <v>0/121-01</v>
      </c>
      <c r="E37" s="834">
        <v>71</v>
      </c>
      <c r="F37" s="909" t="s">
        <v>2473</v>
      </c>
      <c r="G37" s="835">
        <f>Tutelle1!$F$17+Tutelle1!$F$45</f>
        <v>0</v>
      </c>
      <c r="H37" s="1902">
        <f>Tutelle1!$G$17+Tutelle1!$G$45</f>
        <v>0</v>
      </c>
      <c r="J37" s="897"/>
    </row>
    <row r="38" spans="2:10" ht="25.5">
      <c r="B38" s="896">
        <f>B6</f>
        <v>0</v>
      </c>
      <c r="C38" s="833" t="s">
        <v>3679</v>
      </c>
      <c r="D38" s="834" t="str">
        <f t="shared" si="2"/>
        <v>0/121-03</v>
      </c>
      <c r="E38" s="834">
        <v>71</v>
      </c>
      <c r="F38" s="909" t="s">
        <v>4056</v>
      </c>
      <c r="G38" s="835">
        <f>Tutelle1!$F$18+Tutelle1!$F$46</f>
        <v>0</v>
      </c>
      <c r="H38" s="1902">
        <f>Tutelle1!$G$18+Tutelle1!$G$46</f>
        <v>0</v>
      </c>
      <c r="J38" s="897"/>
    </row>
    <row r="39" spans="2:10" ht="13.5" thickBot="1">
      <c r="B39" s="898">
        <f>B7</f>
        <v>0</v>
      </c>
      <c r="C39" s="848" t="s">
        <v>4236</v>
      </c>
      <c r="D39" s="849" t="str">
        <f t="shared" si="2"/>
        <v>0/121-48</v>
      </c>
      <c r="E39" s="849">
        <v>71</v>
      </c>
      <c r="F39" s="910" t="s">
        <v>1441</v>
      </c>
      <c r="G39" s="850">
        <f>Tutelle1!$F$19+Tutelle1!$F$47</f>
        <v>0</v>
      </c>
      <c r="H39" s="1903">
        <f>Tutelle1!$G$19+Tutelle1!$G$47</f>
        <v>0</v>
      </c>
      <c r="I39" s="541">
        <f>SUM(G35:G39)</f>
        <v>0</v>
      </c>
      <c r="J39" s="1966">
        <f>SUM(H35:H39)</f>
        <v>0</v>
      </c>
    </row>
    <row r="40" spans="2:10" ht="13.5" thickBot="1">
      <c r="B40" s="1275"/>
      <c r="J40" s="897"/>
    </row>
    <row r="41" spans="2:10" ht="13.5" thickBot="1">
      <c r="B41" s="3410" t="s">
        <v>754</v>
      </c>
      <c r="C41" s="3411"/>
      <c r="D41" s="3411"/>
      <c r="E41" s="3411"/>
      <c r="F41" s="3411"/>
      <c r="G41" s="3411"/>
      <c r="H41" s="3411"/>
      <c r="I41" s="3411"/>
      <c r="J41" s="3412"/>
    </row>
    <row r="42" spans="2:10" ht="25.5">
      <c r="B42" s="899">
        <f>B18</f>
        <v>0</v>
      </c>
      <c r="C42" s="857" t="s">
        <v>1798</v>
      </c>
      <c r="D42" s="858" t="str">
        <f t="shared" si="2"/>
        <v>0/117-01</v>
      </c>
      <c r="E42" s="858">
        <v>70</v>
      </c>
      <c r="F42" s="908" t="s">
        <v>2759</v>
      </c>
      <c r="G42" s="859">
        <f>Tutelle1!F63+Tutelle1!F81+Tutelle1!F99+Tutelle1!F117</f>
        <v>0</v>
      </c>
      <c r="H42" s="1901">
        <f>Tutelle1!G63+Tutelle1!G81+Tutelle1!G99+Tutelle1!G117</f>
        <v>0</v>
      </c>
      <c r="I42" s="894"/>
      <c r="J42" s="895"/>
    </row>
    <row r="43" spans="2:10" ht="25.5">
      <c r="B43" s="896">
        <f>B42</f>
        <v>0</v>
      </c>
      <c r="C43" s="833" t="s">
        <v>1799</v>
      </c>
      <c r="D43" s="834" t="str">
        <f t="shared" si="2"/>
        <v>0/118-01</v>
      </c>
      <c r="E43" s="834">
        <v>70</v>
      </c>
      <c r="F43" s="909" t="s">
        <v>1310</v>
      </c>
      <c r="G43" s="835">
        <f>Tutelle1!F64+Tutelle1!F82+Tutelle1!F100+Tutelle1!F118</f>
        <v>0</v>
      </c>
      <c r="H43" s="1902">
        <f>Tutelle1!G64+Tutelle1!G82+Tutelle1!G100+Tutelle1!G118</f>
        <v>0</v>
      </c>
      <c r="J43" s="897"/>
    </row>
    <row r="44" spans="2:10" ht="25.5">
      <c r="B44" s="896">
        <f>B42</f>
        <v>0</v>
      </c>
      <c r="C44" s="833" t="s">
        <v>3678</v>
      </c>
      <c r="D44" s="834" t="str">
        <f t="shared" si="2"/>
        <v>0/121-01</v>
      </c>
      <c r="E44" s="834">
        <v>71</v>
      </c>
      <c r="F44" s="909" t="s">
        <v>2425</v>
      </c>
      <c r="G44" s="835">
        <f>Tutelle1!F65+Tutelle1!F83+Tutelle1!F101+Tutelle1!F119</f>
        <v>0</v>
      </c>
      <c r="H44" s="1902">
        <f>Tutelle1!G65+Tutelle1!G83+Tutelle1!G101+Tutelle1!G119</f>
        <v>0</v>
      </c>
      <c r="J44" s="897"/>
    </row>
    <row r="45" spans="2:10" ht="26.25" thickBot="1">
      <c r="B45" s="898">
        <f>B42</f>
        <v>0</v>
      </c>
      <c r="C45" s="848" t="s">
        <v>4236</v>
      </c>
      <c r="D45" s="849" t="str">
        <f t="shared" si="2"/>
        <v>0/121-48</v>
      </c>
      <c r="E45" s="849">
        <v>71</v>
      </c>
      <c r="F45" s="910" t="s">
        <v>4598</v>
      </c>
      <c r="G45" s="850">
        <f>Tutelle1!F66+Tutelle1!F84+Tutelle1!F102+Tutelle1!F120</f>
        <v>0</v>
      </c>
      <c r="H45" s="1903">
        <f>Tutelle1!G66+Tutelle1!G84+Tutelle1!G102+Tutelle1!G120</f>
        <v>0</v>
      </c>
      <c r="I45" s="541">
        <f>SUM(G42:G45)</f>
        <v>0</v>
      </c>
      <c r="J45" s="1966">
        <f>SUM(H42:H45)</f>
        <v>0</v>
      </c>
    </row>
    <row r="46" spans="2:10" ht="13.5" thickBot="1">
      <c r="B46" s="1275"/>
      <c r="J46" s="897"/>
    </row>
    <row r="47" spans="2:10" ht="14.25" customHeight="1" thickBot="1">
      <c r="B47" s="3404" t="s">
        <v>3046</v>
      </c>
      <c r="C47" s="3405"/>
      <c r="D47" s="3405"/>
      <c r="E47" s="3405"/>
      <c r="F47" s="3405"/>
      <c r="G47" s="3405"/>
      <c r="H47" s="3405"/>
      <c r="I47" s="3405"/>
      <c r="J47" s="3406"/>
    </row>
    <row r="48" spans="2:10">
      <c r="B48" s="893" t="s">
        <v>1085</v>
      </c>
      <c r="C48" s="857" t="s">
        <v>3865</v>
      </c>
      <c r="D48" s="858" t="str">
        <f>B48&amp;"/"&amp;LEFT(C48,3)&amp;"-"&amp;RIGHT(C48,2)</f>
        <v>33098/111-00</v>
      </c>
      <c r="E48" s="858">
        <v>70</v>
      </c>
      <c r="F48" s="908" t="s">
        <v>4599</v>
      </c>
      <c r="G48" s="859">
        <f>DepPersExport!F56</f>
        <v>0</v>
      </c>
      <c r="H48" s="1901">
        <f>IF(ISNA(DepPersExport!G56),0,DepPersExport!G56)</f>
        <v>0</v>
      </c>
      <c r="I48" s="894"/>
      <c r="J48" s="895"/>
    </row>
    <row r="49" spans="2:11" ht="25.5">
      <c r="B49" s="896" t="s">
        <v>1085</v>
      </c>
      <c r="C49" s="833" t="s">
        <v>3925</v>
      </c>
      <c r="D49" s="834" t="str">
        <f>B49&amp;"/"&amp;LEFT(C49,3)&amp;"-"&amp;RIGHT(C49,2)</f>
        <v>33098/113-01</v>
      </c>
      <c r="E49" s="834">
        <v>70</v>
      </c>
      <c r="F49" s="909" t="s">
        <v>1929</v>
      </c>
      <c r="G49" s="835">
        <f>DepPersExport!F57</f>
        <v>0</v>
      </c>
      <c r="H49" s="1902">
        <f>DepPersExport!G57</f>
        <v>0</v>
      </c>
      <c r="J49" s="897"/>
    </row>
    <row r="50" spans="2:11">
      <c r="B50" s="832">
        <v>33098</v>
      </c>
      <c r="C50" s="1213" t="s">
        <v>1799</v>
      </c>
      <c r="D50" s="834" t="str">
        <f>B50&amp;"/"&amp;LEFT(C50,3)&amp;"-"&amp;RIGHT(C50,2)</f>
        <v>33098/118-01</v>
      </c>
      <c r="E50" s="834">
        <v>71</v>
      </c>
      <c r="F50" s="940" t="s">
        <v>4545</v>
      </c>
      <c r="G50" s="835">
        <f>DepPersExport!F58</f>
        <v>0</v>
      </c>
      <c r="H50" s="1902">
        <f>DepPersExport!G58</f>
        <v>0</v>
      </c>
      <c r="J50" s="897"/>
    </row>
    <row r="51" spans="2:11" ht="26.25" thickBot="1">
      <c r="B51" s="1216" t="str">
        <f>B48</f>
        <v>33098</v>
      </c>
      <c r="C51" s="1217" t="s">
        <v>3678</v>
      </c>
      <c r="D51" s="1218" t="str">
        <f>B51&amp;"/"&amp;LEFT(C51,6)</f>
        <v>33098/121-01</v>
      </c>
      <c r="E51" s="1218">
        <v>71</v>
      </c>
      <c r="F51" s="1219" t="s">
        <v>1792</v>
      </c>
      <c r="G51" s="1220">
        <f>DepPersExport!F59</f>
        <v>0</v>
      </c>
      <c r="H51" s="1904">
        <f>DepPersExport!G59</f>
        <v>0</v>
      </c>
      <c r="J51" s="897"/>
    </row>
    <row r="52" spans="2:11" ht="26.25" thickTop="1">
      <c r="B52" s="1214" t="s">
        <v>1086</v>
      </c>
      <c r="C52" s="1207" t="s">
        <v>3865</v>
      </c>
      <c r="D52" s="1167" t="str">
        <f>B52&amp;"/"&amp;LEFT(C52,3)&amp;"-"&amp;RIGHT(C52,2)</f>
        <v>33099/111-00</v>
      </c>
      <c r="E52" s="1167">
        <v>70</v>
      </c>
      <c r="F52" s="1215" t="s">
        <v>3047</v>
      </c>
      <c r="G52" s="872">
        <f>DepPersExport!F60</f>
        <v>0</v>
      </c>
      <c r="H52" s="1210">
        <f>IF(ISNA(DepPersExport!G60),0,DepPersExport!G60)</f>
        <v>0</v>
      </c>
      <c r="J52" s="897"/>
    </row>
    <row r="53" spans="2:11" ht="25.5">
      <c r="B53" s="896" t="s">
        <v>1086</v>
      </c>
      <c r="C53" s="833" t="s">
        <v>3925</v>
      </c>
      <c r="D53" s="834" t="str">
        <f>B53&amp;"/"&amp;LEFT(C53,3)&amp;"-"&amp;RIGHT(C53,2)</f>
        <v>33099/113-01</v>
      </c>
      <c r="E53" s="834">
        <v>70</v>
      </c>
      <c r="F53" s="909" t="s">
        <v>3045</v>
      </c>
      <c r="G53" s="835">
        <f>DepPersExport!F61</f>
        <v>0</v>
      </c>
      <c r="H53" s="1902">
        <f>DepPersExport!G61</f>
        <v>0</v>
      </c>
      <c r="J53" s="897"/>
    </row>
    <row r="54" spans="2:11">
      <c r="B54" s="837">
        <v>33099</v>
      </c>
      <c r="C54" s="1221" t="s">
        <v>1799</v>
      </c>
      <c r="D54" s="834" t="str">
        <f>B54&amp;"/"&amp;LEFT(C54,3)&amp;"-"&amp;RIGHT(C54,2)</f>
        <v>33099/118-01</v>
      </c>
      <c r="E54" s="839">
        <v>71</v>
      </c>
      <c r="F54" s="940" t="s">
        <v>4545</v>
      </c>
      <c r="G54" s="835">
        <f>DepPersExport!F62</f>
        <v>0</v>
      </c>
      <c r="H54" s="1902">
        <f>DepPersExport!G62</f>
        <v>0</v>
      </c>
      <c r="J54" s="897"/>
    </row>
    <row r="55" spans="2:11" ht="26.25" thickBot="1">
      <c r="B55" s="898" t="str">
        <f>B52</f>
        <v>33099</v>
      </c>
      <c r="C55" s="848" t="s">
        <v>3678</v>
      </c>
      <c r="D55" s="849" t="str">
        <f>B55&amp;"/"&amp;LEFT(C55,6)</f>
        <v>33099/121-01</v>
      </c>
      <c r="E55" s="849">
        <v>71</v>
      </c>
      <c r="F55" s="910" t="s">
        <v>1792</v>
      </c>
      <c r="G55" s="850">
        <f>DepPersExport!F63</f>
        <v>0</v>
      </c>
      <c r="H55" s="1903">
        <f>DepPersExport!G63</f>
        <v>0</v>
      </c>
      <c r="I55" s="541">
        <f>SUM(G48:G55)</f>
        <v>0</v>
      </c>
      <c r="J55" s="1966">
        <f>SUM(H48:H55)</f>
        <v>0</v>
      </c>
    </row>
    <row r="56" spans="2:11" ht="15">
      <c r="B56" s="3395" t="str">
        <f>IF(I39+J39&lt;&gt;0,"","Les données ne sont pas encore importées; Activez par le menu  CS: Update -&gt; Onglets pour la Tutelle &lt;CTRL&gt;+&lt;T&gt;")</f>
        <v>Les données ne sont pas encore importées; Activez par le menu  CS: Update -&gt; Onglets pour la Tutelle &lt;CTRL&gt;+&lt;T&gt;</v>
      </c>
      <c r="C56" s="3396"/>
      <c r="D56" s="3396"/>
      <c r="E56" s="3396"/>
      <c r="F56" s="3396"/>
      <c r="G56" s="3396"/>
      <c r="H56" s="3396"/>
      <c r="I56" s="3396"/>
      <c r="J56" s="3397"/>
    </row>
    <row r="57" spans="2:11">
      <c r="B57" s="1275"/>
      <c r="D57" s="1276" t="e">
        <f>IF(AND(I57=I64,I57=I65)," Les onglets Total et Tutelle "&amp;ANNEE&amp;" sont concordants,"," ! Il n'y pas de concordance !- Veuillez controler Total/Total_Code - Actualisez les feuilles pour la Tutelle")</f>
        <v>#N/A</v>
      </c>
      <c r="E57" s="48"/>
      <c r="G57" s="1277"/>
      <c r="H57" s="1277"/>
      <c r="I57" s="1282">
        <f>ROUND(I9+I15+I24+I32+I39+I45+I55,2)</f>
        <v>0</v>
      </c>
      <c r="J57" s="1278"/>
    </row>
    <row r="58" spans="2:11" ht="13.5" thickBot="1">
      <c r="B58" s="1279"/>
      <c r="C58" s="947"/>
      <c r="D58" s="1280" t="e">
        <f>IF(J62=0,"",IF(AND(J58=J64,J58=J65),"Les onglets Total-X-1 et Tutelle  "&amp;ANNEE-1&amp;" sont concordants."," ! Il n'y pas de concordance ! - Veuillez controler Total X-1/Total_Code X-1 -- Actualisez les feuilles pour la Tutelle"))</f>
        <v>#N/A</v>
      </c>
      <c r="E58" s="483"/>
      <c r="F58" s="947"/>
      <c r="G58" s="483"/>
      <c r="H58" s="483"/>
      <c r="I58" s="1281"/>
      <c r="J58" s="1283">
        <f>ROUND(J9+J15+J24+J32+J39+J45+J55,2)</f>
        <v>0</v>
      </c>
    </row>
    <row r="59" spans="2:11">
      <c r="D59" s="3403" t="s">
        <v>755</v>
      </c>
      <c r="E59" s="3403"/>
      <c r="F59" s="3403"/>
      <c r="G59" s="3403"/>
      <c r="H59" s="3403"/>
      <c r="I59" s="3403"/>
      <c r="J59" s="3403"/>
    </row>
    <row r="60" spans="2:11" s="536" customFormat="1" ht="25.5">
      <c r="D60" s="537"/>
      <c r="E60" s="537"/>
      <c r="F60" s="538" t="str">
        <f>Total!F60</f>
        <v xml:space="preserve">Montant plafonné cotisations patronale allocations </v>
      </c>
      <c r="G60" s="539" t="s">
        <v>645</v>
      </c>
      <c r="H60" s="539" t="s">
        <v>646</v>
      </c>
      <c r="I60" s="537"/>
      <c r="J60" s="540"/>
    </row>
    <row r="61" spans="2:11">
      <c r="D61" s="900">
        <f>I1</f>
        <v>2027</v>
      </c>
      <c r="E61" s="900"/>
      <c r="F61" s="901">
        <f>Total!G60</f>
        <v>0</v>
      </c>
      <c r="G61" s="902" t="e">
        <f>Total!E62</f>
        <v>#N/A</v>
      </c>
      <c r="H61" s="902" t="e">
        <f>Total!F62</f>
        <v>#N/A</v>
      </c>
      <c r="I61" s="902" t="e">
        <f>Total!G62</f>
        <v>#N/A</v>
      </c>
      <c r="J61" s="903" t="s">
        <v>538</v>
      </c>
      <c r="K61" s="904"/>
    </row>
    <row r="62" spans="2:11">
      <c r="D62" s="900">
        <f>J1</f>
        <v>2026</v>
      </c>
      <c r="E62" s="900"/>
      <c r="F62" s="900"/>
      <c r="G62" s="902" t="e">
        <f>'Total X-1'!E61</f>
        <v>#N/A</v>
      </c>
      <c r="H62" s="902" t="e">
        <f>'Total X-1'!F61</f>
        <v>#N/A</v>
      </c>
      <c r="I62" s="903" t="s">
        <v>538</v>
      </c>
      <c r="J62" s="902" t="e">
        <f>'Total X-1'!G61</f>
        <v>#N/A</v>
      </c>
    </row>
    <row r="63" spans="2:11" ht="13.5" thickBot="1"/>
    <row r="64" spans="2:11">
      <c r="G64" s="1284" t="s">
        <v>4548</v>
      </c>
      <c r="H64" s="1285" t="s">
        <v>4549</v>
      </c>
      <c r="I64" s="1286" t="e">
        <f>ROUND(Total!G58,2)</f>
        <v>#N/A</v>
      </c>
      <c r="J64" s="1287" t="e">
        <f>ROUND('Total X-1'!G58,2)</f>
        <v>#N/A</v>
      </c>
    </row>
    <row r="65" spans="7:10" ht="13.5" thickBot="1">
      <c r="G65" s="3401" t="s">
        <v>1375</v>
      </c>
      <c r="H65" s="3402"/>
      <c r="I65" s="1288">
        <f>ROUND(Tutelle1!F133,2)</f>
        <v>0</v>
      </c>
      <c r="J65" s="1289">
        <f>ROUND(Tutelle1!G133,2)</f>
        <v>0</v>
      </c>
    </row>
  </sheetData>
  <sheetProtection formatColumns="0" formatRows="0"/>
  <mergeCells count="11">
    <mergeCell ref="B56:J56"/>
    <mergeCell ref="B11:J11"/>
    <mergeCell ref="B1:F1"/>
    <mergeCell ref="G65:H65"/>
    <mergeCell ref="D59:J59"/>
    <mergeCell ref="B47:J47"/>
    <mergeCell ref="B2:J2"/>
    <mergeCell ref="B17:J17"/>
    <mergeCell ref="B26:J26"/>
    <mergeCell ref="B34:J34"/>
    <mergeCell ref="B41:J41"/>
  </mergeCells>
  <phoneticPr fontId="38" type="noConversion"/>
  <conditionalFormatting sqref="H5 H20 H29">
    <cfRule type="cellIs" dxfId="1" priority="1" stopIfTrue="1" operator="notEqual">
      <formula>0</formula>
    </cfRule>
  </conditionalFormatting>
  <dataValidations count="1">
    <dataValidation type="textLength" allowBlank="1" showInputMessage="1" showErrorMessage="1" errorTitle="Functionele code:" error="Het minimum aantal karakters is 3 en het maximaal aantal is 5." sqref="B48:B50 B52:B54 B3:B9 B28:B32 D3 B19:B24" xr:uid="{00000000-0002-0000-0F00-000000000000}">
      <formula1>3</formula1>
      <formula2>5</formula2>
    </dataValidation>
  </dataValidations>
  <printOptions horizontalCentered="1"/>
  <pageMargins left="0.15748031496062992" right="0.15748031496062992" top="0.47244094488188981" bottom="0.43307086614173229" header="0.19685039370078741" footer="0.15748031496062992"/>
  <pageSetup paperSize="9" scale="56" orientation="portrait" r:id="rId1"/>
  <headerFooter alignWithMargins="0">
    <oddHeader>&amp;C&amp;A</oddHeader>
    <oddFooter>&amp;L&amp;D - &amp;T&amp;C&amp;P/&amp;N&amp;R&amp;6created by 
SSGPI/Staff Ctl Int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ut3"/>
  <dimension ref="A1:O94"/>
  <sheetViews>
    <sheetView topLeftCell="A61" workbookViewId="0">
      <selection activeCell="A87" sqref="A87:XFD87"/>
    </sheetView>
  </sheetViews>
  <sheetFormatPr defaultColWidth="11.42578125" defaultRowHeight="12.75"/>
  <cols>
    <col min="1" max="1" width="6.85546875" bestFit="1" customWidth="1"/>
    <col min="2" max="2" width="10.42578125" bestFit="1" customWidth="1"/>
    <col min="3" max="3" width="8.7109375" bestFit="1" customWidth="1"/>
    <col min="4" max="4" width="10.85546875" customWidth="1"/>
    <col min="5" max="5" width="11.42578125" customWidth="1"/>
    <col min="6" max="6" width="81.5703125" style="968" customWidth="1"/>
    <col min="7" max="7" width="13.42578125" customWidth="1"/>
    <col min="8" max="8" width="14.28515625" bestFit="1" customWidth="1"/>
    <col min="9" max="9" width="14.5703125" bestFit="1" customWidth="1"/>
    <col min="10" max="10" width="4.140625" customWidth="1"/>
    <col min="11" max="13" width="11.42578125" customWidth="1"/>
    <col min="14" max="14" width="10.140625" customWidth="1"/>
  </cols>
  <sheetData>
    <row r="1" spans="1:15">
      <c r="A1" s="3123" t="str">
        <f>"Budget "&amp;ANNEE &amp;"      Zone de Police  "&amp;ZoneNr</f>
        <v xml:space="preserve">Budget 2027      Zone de Police  </v>
      </c>
      <c r="B1" s="3123"/>
      <c r="C1" s="3123"/>
    </row>
    <row r="2" spans="1:15" ht="15.75">
      <c r="A2" s="3123"/>
      <c r="B2" s="3123"/>
      <c r="C2" s="3123"/>
      <c r="E2" s="2090" t="s">
        <v>5131</v>
      </c>
      <c r="F2" s="2091" t="s">
        <v>5130</v>
      </c>
    </row>
    <row r="3" spans="1:15">
      <c r="B3" s="48" t="e">
        <f>IF(AND(H4="ok",I4="ok",H5=0,I5=0),"Prêt pour output vers 'UitgKrediet' du fichier 'Input module budget  "&amp;ANNEE-1&amp; ".xlsx mis à disposition via","not ready")</f>
        <v>#N/A</v>
      </c>
    </row>
    <row r="4" spans="1:15">
      <c r="C4" s="1332" t="s">
        <v>1117</v>
      </c>
      <c r="E4" s="968"/>
      <c r="H4" s="1331" t="str">
        <f>IF(ROUND(H8,2)-ROUND(H6,2)&lt;&gt;0,"Update Tutelle","ok")</f>
        <v>ok</v>
      </c>
      <c r="I4" s="1331" t="str">
        <f>IF(ROUND(I8,2)-ROUND(I6,2)&lt;&gt;0,"Update Tutelle","ok")</f>
        <v>ok</v>
      </c>
    </row>
    <row r="5" spans="1:15">
      <c r="C5" s="1332"/>
      <c r="E5" s="968"/>
      <c r="H5" t="e">
        <f>IF(ROUND(H9,2)-ROUND(H7,2)&lt;&gt;0,"Update Tutelle",ROUND(H9,2)-ROUND(H7,2))</f>
        <v>#N/A</v>
      </c>
      <c r="I5" t="e">
        <f>IF(ROUND(I9,2)-ROUND(I7,2)&lt;&gt;0,"Update Tutelle",ROUND(I9,2)-ROUND(I7,2))</f>
        <v>#N/A</v>
      </c>
    </row>
    <row r="6" spans="1:15" ht="15.75">
      <c r="B6" s="3413" t="str">
        <f>IF(G8=0, "Les 4 zones en fond jaune peuvent être transcrites! ", "Une cellule a été modifié ou la mise à jour des onglets 'Tutelle' est nécessaire !")</f>
        <v xml:space="preserve">Les 4 zones en fond jaune peuvent être transcrites! </v>
      </c>
      <c r="C6" s="3413"/>
      <c r="D6" s="3413"/>
      <c r="E6" s="3413"/>
      <c r="F6" s="3413"/>
      <c r="G6" s="3413"/>
      <c r="H6" s="3413"/>
    </row>
    <row r="7" spans="1:15">
      <c r="F7" s="1333" t="s">
        <v>1114</v>
      </c>
      <c r="H7" s="47" t="e">
        <f>'Total X-1'!G58</f>
        <v>#N/A</v>
      </c>
      <c r="I7" s="47" t="e">
        <f>Total!G58</f>
        <v>#N/A</v>
      </c>
    </row>
    <row r="8" spans="1:15">
      <c r="F8" s="1333" t="s">
        <v>1115</v>
      </c>
      <c r="G8" s="1334">
        <f>H8+I8</f>
        <v>0</v>
      </c>
      <c r="H8" s="1335">
        <f>H9-Tutelle2!J58</f>
        <v>0</v>
      </c>
      <c r="I8" s="1335">
        <f>I9-Tutelle2!I57</f>
        <v>0</v>
      </c>
    </row>
    <row r="9" spans="1:15" ht="13.5" thickBot="1">
      <c r="F9" s="1333" t="s">
        <v>1116</v>
      </c>
      <c r="H9" s="1335">
        <f>ROUND(SUM(H11:H50),2)</f>
        <v>0</v>
      </c>
      <c r="I9" s="1335">
        <f>ROUND(SUM(I11:I92),2)</f>
        <v>0</v>
      </c>
    </row>
    <row r="10" spans="1:15" ht="74.25" customHeight="1" thickBot="1">
      <c r="A10" s="1336"/>
      <c r="B10" s="1337"/>
      <c r="C10" s="1337"/>
      <c r="D10" s="1337"/>
      <c r="E10" s="3414" t="str">
        <f>"Exercice " &amp;ANNEE &amp; "    
output vers l'onglet:    'UitgKrediet' - Dépenses Budgétaires   - "
&amp;"                                            année  X-1 of "&amp; ANNEE-1</f>
        <v>Exercice 2027    
output vers l'onglet:    'UitgKrediet' - Dépenses Budgétaires   -                                             année  X-1 of 2026</v>
      </c>
      <c r="F10" s="3414"/>
      <c r="G10" s="3414"/>
      <c r="H10" s="1337"/>
      <c r="I10" s="1338"/>
      <c r="N10">
        <f>MAX(N12:N50)</f>
        <v>0</v>
      </c>
    </row>
    <row r="11" spans="1:15" s="1348" customFormat="1" ht="23.25" thickBot="1">
      <c r="A11" s="1345" t="s">
        <v>1118</v>
      </c>
      <c r="B11" s="1345" t="s">
        <v>1120</v>
      </c>
      <c r="C11" s="1345" t="s">
        <v>1119</v>
      </c>
      <c r="D11" s="1346" t="s">
        <v>72</v>
      </c>
      <c r="E11" s="1346" t="s">
        <v>73</v>
      </c>
      <c r="F11" s="1347" t="s">
        <v>1121</v>
      </c>
      <c r="G11" s="1345" t="str">
        <f>"Compte "&amp;ANNEE-2</f>
        <v>Compte 2025</v>
      </c>
      <c r="H11" s="1345" t="str">
        <f>"Budget "&amp;ANNEE-1</f>
        <v>Budget 2026</v>
      </c>
      <c r="I11" s="1345" t="str">
        <f>"Budget "&amp;ANNEE</f>
        <v>Budget 2027</v>
      </c>
    </row>
    <row r="12" spans="1:15">
      <c r="A12" s="1360">
        <f>ANNEE-1</f>
        <v>2026</v>
      </c>
      <c r="B12" s="1360">
        <v>33001</v>
      </c>
      <c r="C12" s="1360">
        <v>11101</v>
      </c>
      <c r="D12" s="1361"/>
      <c r="E12" s="1361"/>
      <c r="F12" s="1972" t="s">
        <v>2994</v>
      </c>
      <c r="G12" s="1361"/>
      <c r="H12" s="1362">
        <f>Tutelle2!H3</f>
        <v>0</v>
      </c>
      <c r="I12" s="1363"/>
      <c r="N12" t="str">
        <f>IF(OR(H12="-",H12=0),"",MAX($N$11:N11)+1)</f>
        <v/>
      </c>
      <c r="O12">
        <v>1</v>
      </c>
    </row>
    <row r="13" spans="1:15">
      <c r="A13" s="1339">
        <f>ANNEE-1</f>
        <v>2026</v>
      </c>
      <c r="B13" s="1339">
        <v>33001</v>
      </c>
      <c r="C13" s="1339">
        <v>11108</v>
      </c>
      <c r="D13" s="1340"/>
      <c r="E13" s="1340"/>
      <c r="F13" s="1973" t="s">
        <v>25</v>
      </c>
      <c r="G13" s="1340"/>
      <c r="H13" s="1335">
        <f>Tutelle2!H4</f>
        <v>0</v>
      </c>
      <c r="I13" s="1364"/>
      <c r="N13" t="str">
        <f>IF(OR(H13="-",H13=0),"",MAX($N$11:N12)+1)</f>
        <v/>
      </c>
      <c r="O13">
        <v>2</v>
      </c>
    </row>
    <row r="14" spans="1:15">
      <c r="A14" s="1967">
        <f>ANNEE-1</f>
        <v>2026</v>
      </c>
      <c r="B14" s="1968">
        <v>33001</v>
      </c>
      <c r="C14" s="1968">
        <v>11110</v>
      </c>
      <c r="D14" s="1968"/>
      <c r="E14" s="1968"/>
      <c r="F14" s="1969" t="str">
        <f>DepPersExport!E75</f>
        <v>Rémunération du personnel opérationnel  NAPAP</v>
      </c>
      <c r="G14" s="1968"/>
      <c r="H14" s="1970">
        <f>Tutelle2!H12</f>
        <v>0</v>
      </c>
      <c r="I14" s="1364"/>
      <c r="N14" t="str">
        <f>IF(OR(H14="-",H14=0),"",MAX($N$11:N13)+1)</f>
        <v/>
      </c>
      <c r="O14">
        <v>3</v>
      </c>
    </row>
    <row r="15" spans="1:15">
      <c r="A15" s="1339">
        <f>ANNEE-1</f>
        <v>2026</v>
      </c>
      <c r="B15" s="1339">
        <v>33001</v>
      </c>
      <c r="C15" s="1339">
        <v>11201</v>
      </c>
      <c r="D15" s="1340"/>
      <c r="E15" s="1340"/>
      <c r="F15" s="1973" t="s">
        <v>2909</v>
      </c>
      <c r="G15" s="1340"/>
      <c r="H15" s="1335">
        <f>Tutelle2!H5</f>
        <v>0</v>
      </c>
      <c r="I15" s="1364"/>
      <c r="N15" t="str">
        <f>IF(OR(H15="-",H15=0),"",MAX($N$11:N13)+1)</f>
        <v/>
      </c>
      <c r="O15">
        <v>4</v>
      </c>
    </row>
    <row r="16" spans="1:15">
      <c r="A16" s="1967">
        <f>ANNEE-1</f>
        <v>2026</v>
      </c>
      <c r="B16" s="1968">
        <v>33001</v>
      </c>
      <c r="C16" s="1968">
        <v>11210</v>
      </c>
      <c r="D16" s="1968"/>
      <c r="E16" s="1968"/>
      <c r="F16" s="1969" t="str">
        <f>Tutelle2!F13</f>
        <v>Pécule de Vacances du personnel opérationnel NAPAP</v>
      </c>
      <c r="G16" s="1968"/>
      <c r="H16" s="1970">
        <f>Tutelle2!H13</f>
        <v>0</v>
      </c>
      <c r="I16" s="1364"/>
      <c r="N16" t="str">
        <f>IF(OR(H16="-",H16=0),"",MAX($N$11:N15)+1)</f>
        <v/>
      </c>
      <c r="O16">
        <v>5</v>
      </c>
    </row>
    <row r="17" spans="1:15">
      <c r="A17" s="1339">
        <f t="shared" ref="A17:A50" si="0">ANNEE-1</f>
        <v>2026</v>
      </c>
      <c r="B17" s="1339">
        <v>33001</v>
      </c>
      <c r="C17" s="1339">
        <v>11301</v>
      </c>
      <c r="D17" s="1340"/>
      <c r="E17" s="1340"/>
      <c r="F17" s="1973" t="s">
        <v>1930</v>
      </c>
      <c r="G17" s="1340"/>
      <c r="H17" s="1970">
        <f>Tutelle2!H6+Tutelle2!H14</f>
        <v>0</v>
      </c>
      <c r="I17" s="1364"/>
      <c r="N17" t="str">
        <f>IF(OR(H17="-",H17=0),"",MAX($N$11:N15)+1)</f>
        <v/>
      </c>
      <c r="O17">
        <v>6</v>
      </c>
    </row>
    <row r="18" spans="1:15">
      <c r="A18" s="1339">
        <f t="shared" si="0"/>
        <v>2026</v>
      </c>
      <c r="B18" s="1339">
        <v>33001</v>
      </c>
      <c r="C18" s="1339">
        <v>11308</v>
      </c>
      <c r="D18" s="1340"/>
      <c r="E18" s="1340"/>
      <c r="F18" s="1973" t="s">
        <v>1931</v>
      </c>
      <c r="G18" s="1340"/>
      <c r="H18" s="1335">
        <f>Tutelle2!H8</f>
        <v>0</v>
      </c>
      <c r="I18" s="1364"/>
      <c r="N18" t="str">
        <f>IF(OR(H18="-",H18=0),"",MAX($N$11:N17)+1)</f>
        <v/>
      </c>
      <c r="O18">
        <v>7</v>
      </c>
    </row>
    <row r="19" spans="1:15">
      <c r="A19" s="1339">
        <f t="shared" si="0"/>
        <v>2026</v>
      </c>
      <c r="B19" s="1339">
        <v>33001</v>
      </c>
      <c r="C19" s="1339">
        <v>11321</v>
      </c>
      <c r="D19" s="1340"/>
      <c r="E19" s="1340"/>
      <c r="F19" s="1973" t="s">
        <v>1748</v>
      </c>
      <c r="G19" s="1340"/>
      <c r="H19" s="1335">
        <f>Tutelle2!H7</f>
        <v>0</v>
      </c>
      <c r="I19" s="1364"/>
      <c r="N19" t="str">
        <f>IF(OR(H19="-",H19=0),"",MAX($N$11:N18)+1)</f>
        <v/>
      </c>
      <c r="O19">
        <v>8</v>
      </c>
    </row>
    <row r="20" spans="1:15">
      <c r="A20" s="1339">
        <f t="shared" si="0"/>
        <v>2026</v>
      </c>
      <c r="B20" s="1339">
        <v>33001</v>
      </c>
      <c r="C20" s="1339">
        <v>11501</v>
      </c>
      <c r="D20" s="1340"/>
      <c r="E20" s="1340"/>
      <c r="F20" s="1973" t="s">
        <v>366</v>
      </c>
      <c r="G20" s="1340"/>
      <c r="H20" s="1335">
        <f>Tutelle2!H9</f>
        <v>0</v>
      </c>
      <c r="I20" s="1364"/>
      <c r="N20" t="str">
        <f>IF(OR(H20="-",H20=0),"",MAX($N$11:N19)+1)</f>
        <v/>
      </c>
      <c r="O20">
        <v>9</v>
      </c>
    </row>
    <row r="21" spans="1:15">
      <c r="A21" s="1339">
        <f t="shared" si="0"/>
        <v>2026</v>
      </c>
      <c r="B21" s="1339">
        <v>33001</v>
      </c>
      <c r="C21" s="1339">
        <v>11701</v>
      </c>
      <c r="D21" s="1340"/>
      <c r="E21" s="1340"/>
      <c r="F21" s="1973" t="s">
        <v>2497</v>
      </c>
      <c r="G21" s="1340"/>
      <c r="H21" s="1335">
        <f>Tutelle2!H35</f>
        <v>0</v>
      </c>
      <c r="I21" s="1364"/>
      <c r="N21" t="str">
        <f>IF(OR(H21="-",H21=0),"",MAX($N$11:N20)+1)</f>
        <v/>
      </c>
      <c r="O21">
        <v>10</v>
      </c>
    </row>
    <row r="22" spans="1:15">
      <c r="A22" s="1339">
        <f t="shared" si="0"/>
        <v>2026</v>
      </c>
      <c r="B22" s="1339">
        <v>33001</v>
      </c>
      <c r="C22" s="1339">
        <v>11801</v>
      </c>
      <c r="D22" s="1340"/>
      <c r="E22" s="1340"/>
      <c r="F22" s="1973" t="s">
        <v>2498</v>
      </c>
      <c r="G22" s="1340"/>
      <c r="H22" s="1970">
        <f>Tutelle2!H36+Tutelle2!H15</f>
        <v>0</v>
      </c>
      <c r="I22" s="1364"/>
      <c r="N22" t="str">
        <f>IF(OR(H22="-",H22=0),"",MAX($N$11:N21)+1)</f>
        <v/>
      </c>
      <c r="O22">
        <v>11</v>
      </c>
    </row>
    <row r="23" spans="1:15">
      <c r="A23" s="1339">
        <f t="shared" si="0"/>
        <v>2026</v>
      </c>
      <c r="B23" s="1339">
        <v>33001</v>
      </c>
      <c r="C23" s="1339">
        <v>12101</v>
      </c>
      <c r="D23" s="1340"/>
      <c r="E23" s="1340"/>
      <c r="F23" s="1973" t="s">
        <v>2473</v>
      </c>
      <c r="G23" s="1340"/>
      <c r="H23" s="1335">
        <f>Tutelle2!H37</f>
        <v>0</v>
      </c>
      <c r="I23" s="1364"/>
      <c r="N23" t="str">
        <f>IF(OR(H23="-",H23=0),"",MAX($N$11:N22)+1)</f>
        <v/>
      </c>
      <c r="O23">
        <v>12</v>
      </c>
    </row>
    <row r="24" spans="1:15">
      <c r="A24" s="1339">
        <f t="shared" si="0"/>
        <v>2026</v>
      </c>
      <c r="B24" s="1339">
        <v>33001</v>
      </c>
      <c r="C24" s="1339">
        <v>12103</v>
      </c>
      <c r="D24" s="1340"/>
      <c r="E24" s="1340"/>
      <c r="F24" s="1973" t="s">
        <v>4056</v>
      </c>
      <c r="G24" s="1340"/>
      <c r="H24" s="1335">
        <f>Tutelle2!H38</f>
        <v>0</v>
      </c>
      <c r="I24" s="1364"/>
      <c r="N24" t="str">
        <f>IF(OR(H24="-",H24=0),"",MAX($N$11:N23)+1)</f>
        <v/>
      </c>
      <c r="O24">
        <v>13</v>
      </c>
    </row>
    <row r="25" spans="1:15">
      <c r="A25" s="1339">
        <f t="shared" si="0"/>
        <v>2026</v>
      </c>
      <c r="B25" s="1339">
        <v>33001</v>
      </c>
      <c r="C25" s="1339">
        <v>12148</v>
      </c>
      <c r="D25" s="1340"/>
      <c r="E25" s="1340"/>
      <c r="F25" s="1973" t="s">
        <v>1441</v>
      </c>
      <c r="G25" s="1340"/>
      <c r="H25" s="1335">
        <f>Tutelle2!H39</f>
        <v>0</v>
      </c>
      <c r="I25" s="1364"/>
      <c r="N25" t="str">
        <f>IF(OR(H25="-",H25=0),"",MAX($N$11:N24)+1)</f>
        <v/>
      </c>
      <c r="O25">
        <v>14</v>
      </c>
    </row>
    <row r="26" spans="1:15">
      <c r="A26" s="1339">
        <f t="shared" si="0"/>
        <v>2026</v>
      </c>
      <c r="B26" s="1339">
        <v>33091</v>
      </c>
      <c r="C26" s="1339">
        <v>11101</v>
      </c>
      <c r="D26" s="1340"/>
      <c r="E26" s="1340"/>
      <c r="F26" s="1973" t="s">
        <v>367</v>
      </c>
      <c r="G26" s="1340"/>
      <c r="H26" s="1335">
        <f>Tutelle2!H18</f>
        <v>0</v>
      </c>
      <c r="I26" s="1364"/>
      <c r="N26" t="str">
        <f>IF(OR(H26="-",H26=0),"",MAX($N$11:N25)+1)</f>
        <v/>
      </c>
      <c r="O26">
        <v>15</v>
      </c>
    </row>
    <row r="27" spans="1:15">
      <c r="A27" s="1341">
        <f t="shared" si="0"/>
        <v>2026</v>
      </c>
      <c r="B27" s="1341">
        <v>33091</v>
      </c>
      <c r="C27" s="1341">
        <v>11102</v>
      </c>
      <c r="D27" s="1341"/>
      <c r="E27" s="1341"/>
      <c r="F27" s="1974" t="s">
        <v>2069</v>
      </c>
      <c r="G27" s="1341"/>
      <c r="H27" s="1349">
        <f>Tutelle2!H27</f>
        <v>0</v>
      </c>
      <c r="I27" s="1365"/>
      <c r="N27" t="str">
        <f>IF(OR(H27="-",H27=0),"",MAX($N$11:N26)+1)</f>
        <v/>
      </c>
      <c r="O27">
        <v>16</v>
      </c>
    </row>
    <row r="28" spans="1:15">
      <c r="A28" s="1339">
        <f t="shared" si="0"/>
        <v>2026</v>
      </c>
      <c r="B28" s="1339">
        <v>33091</v>
      </c>
      <c r="C28" s="1339">
        <v>11108</v>
      </c>
      <c r="D28" s="1340"/>
      <c r="E28" s="1340"/>
      <c r="F28" s="1973" t="s">
        <v>128</v>
      </c>
      <c r="G28" s="1340"/>
      <c r="H28" s="1335">
        <f>Tutelle2!H19</f>
        <v>0</v>
      </c>
      <c r="I28" s="1364"/>
      <c r="N28" t="str">
        <f>IF(OR(H28="-",H28=0),"",MAX($N$11:N27)+1)</f>
        <v/>
      </c>
      <c r="O28">
        <v>17</v>
      </c>
    </row>
    <row r="29" spans="1:15">
      <c r="A29" s="1341">
        <f t="shared" si="0"/>
        <v>2026</v>
      </c>
      <c r="B29" s="1341">
        <v>33091</v>
      </c>
      <c r="C29" s="1341">
        <v>11109</v>
      </c>
      <c r="D29" s="1341"/>
      <c r="E29" s="1341"/>
      <c r="F29" s="1974" t="s">
        <v>467</v>
      </c>
      <c r="G29" s="1341"/>
      <c r="H29" s="1349">
        <f>Tutelle2!H28</f>
        <v>0</v>
      </c>
      <c r="I29" s="1365"/>
      <c r="N29" t="str">
        <f>IF(OR(H29="-",H29=0),"",MAX($N$11:N28)+1)</f>
        <v/>
      </c>
      <c r="O29">
        <v>18</v>
      </c>
    </row>
    <row r="30" spans="1:15">
      <c r="A30" s="1339">
        <f t="shared" si="0"/>
        <v>2026</v>
      </c>
      <c r="B30" s="1339">
        <v>33091</v>
      </c>
      <c r="C30" s="1339">
        <v>11201</v>
      </c>
      <c r="D30" s="1340"/>
      <c r="E30" s="1340"/>
      <c r="F30" s="1973" t="s">
        <v>129</v>
      </c>
      <c r="G30" s="1340"/>
      <c r="H30" s="1335">
        <f>Tutelle2!H20</f>
        <v>0</v>
      </c>
      <c r="I30" s="1364"/>
      <c r="N30" t="str">
        <f>IF(OR(H30="-",H30=0),"",MAX($N$11:N29)+1)</f>
        <v/>
      </c>
      <c r="O30">
        <v>19</v>
      </c>
    </row>
    <row r="31" spans="1:15">
      <c r="A31" s="1341">
        <f t="shared" si="0"/>
        <v>2026</v>
      </c>
      <c r="B31" s="1341">
        <v>33091</v>
      </c>
      <c r="C31" s="1341">
        <v>11202</v>
      </c>
      <c r="D31" s="1341"/>
      <c r="E31" s="1341"/>
      <c r="F31" s="1974" t="s">
        <v>1886</v>
      </c>
      <c r="G31" s="1341"/>
      <c r="H31" s="1349">
        <f>Tutelle2!H29</f>
        <v>0</v>
      </c>
      <c r="I31" s="1365"/>
      <c r="N31" t="str">
        <f>IF(OR(H31="-",H31=0),"",MAX($N$11:N30)+1)</f>
        <v/>
      </c>
      <c r="O31">
        <v>20</v>
      </c>
    </row>
    <row r="32" spans="1:15">
      <c r="A32" s="1339">
        <f t="shared" si="0"/>
        <v>2026</v>
      </c>
      <c r="B32" s="1339">
        <v>33091</v>
      </c>
      <c r="C32" s="1339">
        <v>11301</v>
      </c>
      <c r="D32" s="1340"/>
      <c r="E32" s="1340"/>
      <c r="F32" s="1973" t="s">
        <v>1932</v>
      </c>
      <c r="G32" s="1340"/>
      <c r="H32" s="1335">
        <f>Tutelle2!H21</f>
        <v>0</v>
      </c>
      <c r="I32" s="1364"/>
      <c r="N32" t="str">
        <f>IF(OR(H32="-",H32=0),"",MAX($N$11:N31)+1)</f>
        <v/>
      </c>
      <c r="O32">
        <v>21</v>
      </c>
    </row>
    <row r="33" spans="1:15">
      <c r="A33" s="1341">
        <f t="shared" si="0"/>
        <v>2026</v>
      </c>
      <c r="B33" s="1341">
        <v>33091</v>
      </c>
      <c r="C33" s="1341">
        <v>11302</v>
      </c>
      <c r="D33" s="1341"/>
      <c r="E33" s="1341"/>
      <c r="F33" s="1974" t="s">
        <v>1934</v>
      </c>
      <c r="G33" s="1341"/>
      <c r="H33" s="1349">
        <f>Tutelle2!H30</f>
        <v>0</v>
      </c>
      <c r="I33" s="1365"/>
      <c r="N33" t="str">
        <f>IF(OR(H33="-",H33=0),"",MAX($N$11:N32)+1)</f>
        <v/>
      </c>
      <c r="O33">
        <v>22</v>
      </c>
    </row>
    <row r="34" spans="1:15">
      <c r="A34" s="1339">
        <f t="shared" si="0"/>
        <v>2026</v>
      </c>
      <c r="B34" s="1339">
        <v>33091</v>
      </c>
      <c r="C34" s="1339">
        <v>11308</v>
      </c>
      <c r="D34" s="1340"/>
      <c r="E34" s="1340"/>
      <c r="F34" s="1973" t="s">
        <v>1933</v>
      </c>
      <c r="G34" s="1340"/>
      <c r="H34" s="1335">
        <f>Tutelle2!H23</f>
        <v>0</v>
      </c>
      <c r="I34" s="1364"/>
      <c r="N34" t="str">
        <f>IF(OR(H34="-",H34=0),"",MAX($N$11:N33)+1)</f>
        <v/>
      </c>
      <c r="O34">
        <v>23</v>
      </c>
    </row>
    <row r="35" spans="1:15">
      <c r="A35" s="1341">
        <f t="shared" si="0"/>
        <v>2026</v>
      </c>
      <c r="B35" s="1341">
        <v>33091</v>
      </c>
      <c r="C35" s="1341">
        <v>11309</v>
      </c>
      <c r="D35" s="1341"/>
      <c r="E35" s="1341"/>
      <c r="F35" s="1974" t="s">
        <v>1928</v>
      </c>
      <c r="G35" s="1341"/>
      <c r="H35" s="1349">
        <f>Tutelle2!H31</f>
        <v>0</v>
      </c>
      <c r="I35" s="1365"/>
      <c r="N35" t="str">
        <f>IF(OR(H35="-",H35=0),"",MAX($N$11:N34)+1)</f>
        <v/>
      </c>
      <c r="O35">
        <v>24</v>
      </c>
    </row>
    <row r="36" spans="1:15">
      <c r="A36" s="1339">
        <f t="shared" si="0"/>
        <v>2026</v>
      </c>
      <c r="B36" s="1339">
        <v>33091</v>
      </c>
      <c r="C36" s="1339">
        <v>11321</v>
      </c>
      <c r="D36" s="1340"/>
      <c r="E36" s="1340"/>
      <c r="F36" s="1973" t="s">
        <v>291</v>
      </c>
      <c r="G36" s="1340"/>
      <c r="H36" s="1335">
        <f>Tutelle2!H22</f>
        <v>0</v>
      </c>
      <c r="I36" s="1364"/>
      <c r="N36" t="str">
        <f>IF(OR(H36="-",H36=0),"",MAX($N$11:N35)+1)</f>
        <v/>
      </c>
      <c r="O36">
        <v>25</v>
      </c>
    </row>
    <row r="37" spans="1:15">
      <c r="A37" s="1339">
        <f t="shared" si="0"/>
        <v>2026</v>
      </c>
      <c r="B37" s="1339">
        <v>33091</v>
      </c>
      <c r="C37" s="1339">
        <v>11501</v>
      </c>
      <c r="D37" s="1340"/>
      <c r="E37" s="1340"/>
      <c r="F37" s="1973" t="s">
        <v>2068</v>
      </c>
      <c r="G37" s="1340"/>
      <c r="H37" s="1335">
        <f>Tutelle2!H24</f>
        <v>0</v>
      </c>
      <c r="I37" s="1364"/>
      <c r="N37" t="str">
        <f>IF(OR(H37="-",H37=0),"",MAX($N$11:N36)+1)</f>
        <v/>
      </c>
      <c r="O37">
        <v>26</v>
      </c>
    </row>
    <row r="38" spans="1:15">
      <c r="A38" s="1341">
        <f t="shared" si="0"/>
        <v>2026</v>
      </c>
      <c r="B38" s="1341">
        <v>33091</v>
      </c>
      <c r="C38" s="1341">
        <v>11502</v>
      </c>
      <c r="D38" s="1341"/>
      <c r="E38" s="1341"/>
      <c r="F38" s="1974" t="s">
        <v>329</v>
      </c>
      <c r="G38" s="1341"/>
      <c r="H38" s="1349">
        <f>Tutelle2!H32</f>
        <v>0</v>
      </c>
      <c r="I38" s="1365"/>
      <c r="N38" t="str">
        <f>IF(OR(H38="-",H38=0),"",MAX($N$11:N37)+1)</f>
        <v/>
      </c>
      <c r="O38">
        <v>27</v>
      </c>
    </row>
    <row r="39" spans="1:15">
      <c r="A39" s="1339">
        <f t="shared" si="0"/>
        <v>2026</v>
      </c>
      <c r="B39" s="1339">
        <v>33091</v>
      </c>
      <c r="C39" s="1339">
        <v>11701</v>
      </c>
      <c r="D39" s="1340"/>
      <c r="E39" s="1340"/>
      <c r="F39" s="1973" t="s">
        <v>2759</v>
      </c>
      <c r="G39" s="1340"/>
      <c r="H39" s="1335">
        <f>Tutelle2!H42</f>
        <v>0</v>
      </c>
      <c r="I39" s="1364"/>
      <c r="N39" t="str">
        <f>IF(OR(H39="-",H39=0),"",MAX($N$11:N38)+1)</f>
        <v/>
      </c>
      <c r="O39">
        <v>28</v>
      </c>
    </row>
    <row r="40" spans="1:15">
      <c r="A40" s="1339">
        <f t="shared" si="0"/>
        <v>2026</v>
      </c>
      <c r="B40" s="1339">
        <v>33091</v>
      </c>
      <c r="C40" s="1339">
        <v>11801</v>
      </c>
      <c r="D40" s="1340"/>
      <c r="E40" s="1340"/>
      <c r="F40" s="1973" t="s">
        <v>1310</v>
      </c>
      <c r="G40" s="1340"/>
      <c r="H40" s="1335">
        <f>Tutelle2!H43</f>
        <v>0</v>
      </c>
      <c r="I40" s="1364"/>
      <c r="N40" t="str">
        <f>IF(OR(H40="-",H40=0),"",MAX($N$11:N39)+1)</f>
        <v/>
      </c>
      <c r="O40">
        <v>29</v>
      </c>
    </row>
    <row r="41" spans="1:15">
      <c r="A41" s="1339">
        <f t="shared" si="0"/>
        <v>2026</v>
      </c>
      <c r="B41" s="1339">
        <v>33091</v>
      </c>
      <c r="C41" s="1339">
        <v>12101</v>
      </c>
      <c r="D41" s="1340"/>
      <c r="E41" s="1340"/>
      <c r="F41" s="1973" t="s">
        <v>2425</v>
      </c>
      <c r="G41" s="1340"/>
      <c r="H41" s="1335">
        <f>Tutelle2!H44</f>
        <v>0</v>
      </c>
      <c r="I41" s="1364"/>
      <c r="N41" t="str">
        <f>IF(OR(H41="-",H41=0),"",MAX($N$11:N40)+1)</f>
        <v/>
      </c>
      <c r="O41">
        <v>30</v>
      </c>
    </row>
    <row r="42" spans="1:15">
      <c r="A42" s="1339">
        <f t="shared" si="0"/>
        <v>2026</v>
      </c>
      <c r="B42" s="1339">
        <v>33091</v>
      </c>
      <c r="C42" s="1339">
        <v>12148</v>
      </c>
      <c r="D42" s="1340"/>
      <c r="E42" s="1340"/>
      <c r="F42" s="1973" t="s">
        <v>4598</v>
      </c>
      <c r="G42" s="1340"/>
      <c r="H42" s="1335">
        <f>Tutelle2!H45</f>
        <v>0</v>
      </c>
      <c r="I42" s="1364"/>
      <c r="N42" t="str">
        <f>IF(OR(H42="-",H42=0),"",MAX($N$11:N41)+1)</f>
        <v/>
      </c>
      <c r="O42">
        <v>31</v>
      </c>
    </row>
    <row r="43" spans="1:15">
      <c r="A43" s="1339">
        <f t="shared" si="0"/>
        <v>2026</v>
      </c>
      <c r="B43" s="1339">
        <v>33098</v>
      </c>
      <c r="C43" s="1339">
        <v>11101</v>
      </c>
      <c r="D43" s="1340"/>
      <c r="E43" s="1340"/>
      <c r="F43" s="1973" t="s">
        <v>4599</v>
      </c>
      <c r="G43" s="1340"/>
      <c r="H43" s="1335">
        <f>Tutelle2!H48</f>
        <v>0</v>
      </c>
      <c r="I43" s="1364"/>
      <c r="N43" t="str">
        <f>IF(OR(H43="-",H43=0),"",MAX($N$11:N42)+1)</f>
        <v/>
      </c>
      <c r="O43">
        <v>32</v>
      </c>
    </row>
    <row r="44" spans="1:15">
      <c r="A44" s="1339">
        <f t="shared" si="0"/>
        <v>2026</v>
      </c>
      <c r="B44" s="1339">
        <v>33098</v>
      </c>
      <c r="C44" s="1339">
        <v>11301</v>
      </c>
      <c r="D44" s="1340"/>
      <c r="E44" s="1340"/>
      <c r="F44" s="1973" t="s">
        <v>1929</v>
      </c>
      <c r="G44" s="1340"/>
      <c r="H44" s="1335">
        <f>Tutelle2!H49</f>
        <v>0</v>
      </c>
      <c r="I44" s="1364"/>
      <c r="N44" t="str">
        <f>IF(OR(H44="-",H44=0),"",MAX($N$11:N43)+1)</f>
        <v/>
      </c>
      <c r="O44">
        <v>33</v>
      </c>
    </row>
    <row r="45" spans="1:15">
      <c r="A45" s="1339">
        <f t="shared" si="0"/>
        <v>2026</v>
      </c>
      <c r="B45" s="1339">
        <v>33098</v>
      </c>
      <c r="C45" s="1339">
        <v>11801</v>
      </c>
      <c r="D45" s="1340"/>
      <c r="E45" s="1340"/>
      <c r="F45" s="1973" t="s">
        <v>4545</v>
      </c>
      <c r="G45" s="1340"/>
      <c r="H45" s="1335">
        <f>Tutelle2!H50</f>
        <v>0</v>
      </c>
      <c r="I45" s="1364"/>
      <c r="N45" t="str">
        <f>IF(OR(H45="-",H45=0),"",MAX($N$11:N44)+1)</f>
        <v/>
      </c>
      <c r="O45">
        <v>34</v>
      </c>
    </row>
    <row r="46" spans="1:15">
      <c r="A46" s="1339">
        <f t="shared" si="0"/>
        <v>2026</v>
      </c>
      <c r="B46" s="1339">
        <v>33098</v>
      </c>
      <c r="C46" s="1339">
        <v>12101</v>
      </c>
      <c r="D46" s="1340"/>
      <c r="E46" s="1340"/>
      <c r="F46" s="1973" t="s">
        <v>1792</v>
      </c>
      <c r="G46" s="1340"/>
      <c r="H46" s="1335">
        <f>Tutelle2!H51</f>
        <v>0</v>
      </c>
      <c r="I46" s="1364"/>
      <c r="N46" t="str">
        <f>IF(OR(H46="-",H46=0),"",MAX($N$11:N45)+1)</f>
        <v/>
      </c>
      <c r="O46">
        <v>35</v>
      </c>
    </row>
    <row r="47" spans="1:15">
      <c r="A47" s="1339">
        <f t="shared" si="0"/>
        <v>2026</v>
      </c>
      <c r="B47" s="1339">
        <v>33099</v>
      </c>
      <c r="C47" s="1339">
        <v>11101</v>
      </c>
      <c r="D47" s="1340"/>
      <c r="E47" s="1340"/>
      <c r="F47" s="1973" t="s">
        <v>3047</v>
      </c>
      <c r="G47" s="1340"/>
      <c r="H47" s="1335">
        <f>Tutelle2!H52</f>
        <v>0</v>
      </c>
      <c r="I47" s="1364"/>
      <c r="N47" t="str">
        <f>IF(OR(H47="-",H47=0),"",MAX($N$11:N46)+1)</f>
        <v/>
      </c>
      <c r="O47">
        <v>36</v>
      </c>
    </row>
    <row r="48" spans="1:15">
      <c r="A48" s="1339">
        <f t="shared" si="0"/>
        <v>2026</v>
      </c>
      <c r="B48" s="1339">
        <v>33099</v>
      </c>
      <c r="C48" s="1339">
        <v>11301</v>
      </c>
      <c r="D48" s="1340"/>
      <c r="E48" s="1340"/>
      <c r="F48" s="1973" t="s">
        <v>3048</v>
      </c>
      <c r="G48" s="1340"/>
      <c r="H48" s="1335">
        <f>Tutelle2!H53</f>
        <v>0</v>
      </c>
      <c r="I48" s="1364"/>
      <c r="N48" t="str">
        <f>IF(OR(H48="-",H48=0),"",MAX($N$11:N47)+1)</f>
        <v/>
      </c>
      <c r="O48">
        <v>37</v>
      </c>
    </row>
    <row r="49" spans="1:15">
      <c r="A49" s="1339">
        <f t="shared" si="0"/>
        <v>2026</v>
      </c>
      <c r="B49" s="1339">
        <v>33099</v>
      </c>
      <c r="C49" s="1339">
        <v>11801</v>
      </c>
      <c r="D49" s="1340"/>
      <c r="E49" s="1340"/>
      <c r="F49" s="1973" t="s">
        <v>4545</v>
      </c>
      <c r="G49" s="1340"/>
      <c r="H49" s="1335">
        <f>Tutelle2!H54</f>
        <v>0</v>
      </c>
      <c r="I49" s="1364"/>
      <c r="N49" t="str">
        <f>IF(OR(H49="-",H49=0),"",MAX($N$11:N48)+1)</f>
        <v/>
      </c>
      <c r="O49">
        <v>38</v>
      </c>
    </row>
    <row r="50" spans="1:15" ht="13.5" thickBot="1">
      <c r="A50" s="1343">
        <f t="shared" si="0"/>
        <v>2026</v>
      </c>
      <c r="B50" s="1342">
        <v>33099</v>
      </c>
      <c r="C50" s="1343">
        <v>12101</v>
      </c>
      <c r="D50" s="1344"/>
      <c r="E50" s="1344"/>
      <c r="F50" s="1975" t="s">
        <v>1792</v>
      </c>
      <c r="G50" s="1344"/>
      <c r="H50" s="1366">
        <f>Tutelle2!H55</f>
        <v>0</v>
      </c>
      <c r="I50" s="1367"/>
      <c r="N50" t="str">
        <f>IF(OR(H50="-",H50=0),"",MAX($N$11:N49)+1)</f>
        <v/>
      </c>
      <c r="O50">
        <v>39</v>
      </c>
    </row>
    <row r="51" spans="1:15" ht="5.25" customHeight="1" thickBot="1">
      <c r="F51"/>
    </row>
    <row r="52" spans="1:15" ht="61.5" customHeight="1" thickBot="1">
      <c r="A52" s="1336"/>
      <c r="B52" s="1337"/>
      <c r="C52" s="1337"/>
      <c r="D52" s="1337"/>
      <c r="E52" s="3415" t="str">
        <f>"output vers l'onglet : 'UitgKrediet '   -     Dépenses Budgétaires  "
&amp;"                             année  X ou "&amp; ANNEE</f>
        <v>output vers l'onglet : 'UitgKrediet '   -     Dépenses Budgétaires                               année  X ou 2027</v>
      </c>
      <c r="F52" s="3415"/>
      <c r="G52" s="3415"/>
      <c r="H52" s="1337"/>
      <c r="I52" s="1338"/>
      <c r="N52">
        <f>MAX(N54:N92)</f>
        <v>0</v>
      </c>
    </row>
    <row r="53" spans="1:15" s="1348" customFormat="1" ht="23.25" thickBot="1">
      <c r="A53" s="1345" t="s">
        <v>1118</v>
      </c>
      <c r="B53" s="1345" t="s">
        <v>1120</v>
      </c>
      <c r="C53" s="1345" t="s">
        <v>1119</v>
      </c>
      <c r="D53" s="1346" t="s">
        <v>72</v>
      </c>
      <c r="E53" s="1346" t="s">
        <v>73</v>
      </c>
      <c r="F53" s="1347" t="s">
        <v>1121</v>
      </c>
      <c r="G53" s="1345" t="str">
        <f>"Compte "&amp;ANNEE-2</f>
        <v>Compte 2025</v>
      </c>
      <c r="H53" s="1345" t="str">
        <f>"Budget "&amp;ANNEE-1</f>
        <v>Budget 2026</v>
      </c>
      <c r="I53" s="1345" t="str">
        <f>"Budget "&amp;ANNEE</f>
        <v>Budget 2027</v>
      </c>
      <c r="K53"/>
      <c r="N53"/>
      <c r="O53"/>
    </row>
    <row r="54" spans="1:15">
      <c r="A54" s="2054">
        <f t="shared" ref="A54:A92" si="1">ANNEE</f>
        <v>2027</v>
      </c>
      <c r="B54" s="1360">
        <v>33001</v>
      </c>
      <c r="C54" s="1360">
        <v>11101</v>
      </c>
      <c r="D54" s="1361"/>
      <c r="E54" s="1361"/>
      <c r="F54" s="2056" t="s">
        <v>2994</v>
      </c>
      <c r="G54" s="1361"/>
      <c r="H54" s="2057"/>
      <c r="I54" s="2058">
        <f>Tutelle2!G3</f>
        <v>0</v>
      </c>
      <c r="J54" s="1348"/>
      <c r="N54" t="str">
        <f>IF(OR(I54="-",I54=0),"",MAX($N$53:N53)+1)</f>
        <v/>
      </c>
      <c r="O54">
        <v>1</v>
      </c>
    </row>
    <row r="55" spans="1:15">
      <c r="A55" s="1971">
        <f t="shared" si="1"/>
        <v>2027</v>
      </c>
      <c r="B55" s="1339">
        <v>33001</v>
      </c>
      <c r="C55" s="1339">
        <v>11108</v>
      </c>
      <c r="D55" s="1340"/>
      <c r="E55" s="1340"/>
      <c r="F55" s="2059" t="s">
        <v>25</v>
      </c>
      <c r="G55" s="1340"/>
      <c r="H55" s="146"/>
      <c r="I55" s="2060">
        <f>Tutelle2!G4</f>
        <v>0</v>
      </c>
      <c r="J55" s="1348"/>
      <c r="N55" t="str">
        <f>IF(OR(I55="-",I55=0),"",MAX($N$53:N54)+1)</f>
        <v/>
      </c>
      <c r="O55">
        <v>2</v>
      </c>
    </row>
    <row r="56" spans="1:15">
      <c r="A56" s="1967">
        <f t="shared" si="1"/>
        <v>2027</v>
      </c>
      <c r="B56" s="1968">
        <v>33001</v>
      </c>
      <c r="C56" s="1968">
        <v>11110</v>
      </c>
      <c r="D56" s="1968"/>
      <c r="E56" s="1968"/>
      <c r="F56" s="2061" t="str">
        <f>Tutelle2!F12</f>
        <v>Rémunération du personnel opérationnel  NAPAP</v>
      </c>
      <c r="G56" s="1968"/>
      <c r="H56" s="1968"/>
      <c r="I56" s="2062">
        <f>Tutelle2!G12</f>
        <v>0</v>
      </c>
      <c r="J56" s="1348"/>
      <c r="N56" t="str">
        <f>IF(OR(I56="-",I56=0),"",MAX($N$53:N55)+1)</f>
        <v/>
      </c>
      <c r="O56">
        <v>3</v>
      </c>
    </row>
    <row r="57" spans="1:15">
      <c r="A57" s="1971">
        <f t="shared" si="1"/>
        <v>2027</v>
      </c>
      <c r="B57" s="1339">
        <v>33001</v>
      </c>
      <c r="C57" s="1339">
        <v>11201</v>
      </c>
      <c r="D57" s="1340"/>
      <c r="E57" s="1340"/>
      <c r="F57" s="2059" t="s">
        <v>2909</v>
      </c>
      <c r="G57" s="1340"/>
      <c r="H57" s="146"/>
      <c r="I57" s="2060">
        <f>Tutelle2!G5</f>
        <v>0</v>
      </c>
      <c r="J57" s="1348"/>
      <c r="N57" t="str">
        <f>IF(OR(I57="-",I57=0),"",MAX($N$53:N56)+1)</f>
        <v/>
      </c>
      <c r="O57">
        <v>4</v>
      </c>
    </row>
    <row r="58" spans="1:15">
      <c r="A58" s="1967">
        <f t="shared" si="1"/>
        <v>2027</v>
      </c>
      <c r="B58" s="1968">
        <v>33001</v>
      </c>
      <c r="C58" s="1968">
        <v>11210</v>
      </c>
      <c r="D58" s="1968"/>
      <c r="E58" s="1968"/>
      <c r="F58" s="2061" t="str">
        <f>Tutelle2!F13</f>
        <v>Pécule de Vacances du personnel opérationnel NAPAP</v>
      </c>
      <c r="G58" s="1968"/>
      <c r="H58" s="1968"/>
      <c r="I58" s="2062">
        <f>Tutelle2!G13</f>
        <v>0</v>
      </c>
      <c r="J58" s="1348"/>
      <c r="N58" t="str">
        <f>IF(OR(I58="-",I58=0),"",MAX($N$53:N57)+1)</f>
        <v/>
      </c>
      <c r="O58">
        <v>5</v>
      </c>
    </row>
    <row r="59" spans="1:15">
      <c r="A59" s="1971">
        <f t="shared" si="1"/>
        <v>2027</v>
      </c>
      <c r="B59" s="1339">
        <v>33001</v>
      </c>
      <c r="C59" s="1339">
        <v>11301</v>
      </c>
      <c r="D59" s="1340"/>
      <c r="E59" s="1340"/>
      <c r="F59" s="2059" t="s">
        <v>1930</v>
      </c>
      <c r="G59" s="1340"/>
      <c r="H59" s="146"/>
      <c r="I59" s="2062">
        <f>Tutelle2!G6+Tutelle2!G14</f>
        <v>0</v>
      </c>
      <c r="J59" s="1348"/>
      <c r="N59" t="str">
        <f>IF(OR(I59="-",I59=0),"",MAX($N$53:N58)+1)</f>
        <v/>
      </c>
      <c r="O59">
        <v>6</v>
      </c>
    </row>
    <row r="60" spans="1:15">
      <c r="A60" s="1971">
        <f t="shared" si="1"/>
        <v>2027</v>
      </c>
      <c r="B60" s="1339">
        <v>33001</v>
      </c>
      <c r="C60" s="1339">
        <v>11308</v>
      </c>
      <c r="D60" s="1340"/>
      <c r="E60" s="1340"/>
      <c r="F60" s="2059" t="s">
        <v>1931</v>
      </c>
      <c r="G60" s="1340"/>
      <c r="H60" s="146"/>
      <c r="I60" s="2060">
        <f>Tutelle2!G8</f>
        <v>0</v>
      </c>
      <c r="N60" t="str">
        <f>IF(OR(I60="-",I60=0),"",MAX($N$53:N59)+1)</f>
        <v/>
      </c>
      <c r="O60">
        <v>7</v>
      </c>
    </row>
    <row r="61" spans="1:15">
      <c r="A61" s="1971">
        <f t="shared" si="1"/>
        <v>2027</v>
      </c>
      <c r="B61" s="1339">
        <v>33001</v>
      </c>
      <c r="C61" s="1339">
        <v>11321</v>
      </c>
      <c r="D61" s="1340"/>
      <c r="E61" s="1340"/>
      <c r="F61" s="2059" t="s">
        <v>1748</v>
      </c>
      <c r="G61" s="1340"/>
      <c r="H61" s="146"/>
      <c r="I61" s="2060">
        <f>Tutelle2!G7</f>
        <v>0</v>
      </c>
      <c r="N61" t="str">
        <f>IF(OR(I61="-",I61=0),"",MAX($N$53:N60)+1)</f>
        <v/>
      </c>
      <c r="O61">
        <v>8</v>
      </c>
    </row>
    <row r="62" spans="1:15">
      <c r="A62" s="1971">
        <f t="shared" si="1"/>
        <v>2027</v>
      </c>
      <c r="B62" s="1339">
        <v>33001</v>
      </c>
      <c r="C62" s="1339">
        <v>11501</v>
      </c>
      <c r="D62" s="1340"/>
      <c r="E62" s="1340"/>
      <c r="F62" s="2059" t="s">
        <v>366</v>
      </c>
      <c r="G62" s="1340"/>
      <c r="H62" s="146"/>
      <c r="I62" s="2060">
        <f>Tutelle2!G9</f>
        <v>0</v>
      </c>
      <c r="N62" t="str">
        <f>IF(OR(I62="-",I62=0),"",MAX($N$53:N61)+1)</f>
        <v/>
      </c>
      <c r="O62">
        <v>9</v>
      </c>
    </row>
    <row r="63" spans="1:15">
      <c r="A63" s="1971">
        <f t="shared" si="1"/>
        <v>2027</v>
      </c>
      <c r="B63" s="1339">
        <v>33001</v>
      </c>
      <c r="C63" s="1339">
        <v>11701</v>
      </c>
      <c r="D63" s="1340"/>
      <c r="E63" s="1340"/>
      <c r="F63" s="2059" t="s">
        <v>2497</v>
      </c>
      <c r="G63" s="1340"/>
      <c r="H63" s="146"/>
      <c r="I63" s="2060">
        <f>Tutelle2!G35</f>
        <v>0</v>
      </c>
      <c r="N63" t="str">
        <f>IF(OR(I63="-",I63=0),"",MAX($N$53:N62)+1)</f>
        <v/>
      </c>
      <c r="O63">
        <v>10</v>
      </c>
    </row>
    <row r="64" spans="1:15">
      <c r="A64" s="1971">
        <f t="shared" si="1"/>
        <v>2027</v>
      </c>
      <c r="B64" s="1339">
        <v>33001</v>
      </c>
      <c r="C64" s="1339">
        <v>11801</v>
      </c>
      <c r="D64" s="1340"/>
      <c r="E64" s="1340"/>
      <c r="F64" s="2059" t="s">
        <v>2498</v>
      </c>
      <c r="G64" s="1340"/>
      <c r="H64" s="146"/>
      <c r="I64" s="2062">
        <f>Tutelle2!G36+Tutelle2!G15</f>
        <v>0</v>
      </c>
      <c r="N64" t="str">
        <f>IF(OR(I64="-",I64=0),"",MAX($N$53:N63)+1)</f>
        <v/>
      </c>
      <c r="O64">
        <v>11</v>
      </c>
    </row>
    <row r="65" spans="1:15">
      <c r="A65" s="1971">
        <f t="shared" si="1"/>
        <v>2027</v>
      </c>
      <c r="B65" s="1339">
        <v>33001</v>
      </c>
      <c r="C65" s="1339">
        <v>12101</v>
      </c>
      <c r="D65" s="1340"/>
      <c r="E65" s="1340"/>
      <c r="F65" s="2059" t="s">
        <v>2473</v>
      </c>
      <c r="G65" s="1340"/>
      <c r="H65" s="146"/>
      <c r="I65" s="2060">
        <f>Tutelle2!G37</f>
        <v>0</v>
      </c>
      <c r="N65" t="str">
        <f>IF(OR(I65="-",I65=0),"",MAX($N$53:N64)+1)</f>
        <v/>
      </c>
      <c r="O65">
        <v>12</v>
      </c>
    </row>
    <row r="66" spans="1:15">
      <c r="A66" s="1971">
        <f t="shared" si="1"/>
        <v>2027</v>
      </c>
      <c r="B66" s="1339">
        <v>33001</v>
      </c>
      <c r="C66" s="1339">
        <v>12103</v>
      </c>
      <c r="D66" s="1340"/>
      <c r="E66" s="1340"/>
      <c r="F66" s="2059" t="s">
        <v>4056</v>
      </c>
      <c r="G66" s="1340"/>
      <c r="H66" s="146"/>
      <c r="I66" s="2060">
        <f>Tutelle2!G38</f>
        <v>0</v>
      </c>
      <c r="N66" t="str">
        <f>IF(OR(I66="-",I66=0),"",MAX($N$53:N65)+1)</f>
        <v/>
      </c>
      <c r="O66">
        <v>13</v>
      </c>
    </row>
    <row r="67" spans="1:15">
      <c r="A67" s="1971">
        <f t="shared" si="1"/>
        <v>2027</v>
      </c>
      <c r="B67" s="1339">
        <v>33001</v>
      </c>
      <c r="C67" s="1339">
        <v>12148</v>
      </c>
      <c r="D67" s="1340"/>
      <c r="E67" s="1340"/>
      <c r="F67" s="2059" t="s">
        <v>1441</v>
      </c>
      <c r="G67" s="1340"/>
      <c r="H67" s="146"/>
      <c r="I67" s="2060">
        <f>Tutelle2!G39</f>
        <v>0</v>
      </c>
      <c r="N67" t="str">
        <f>IF(OR(I67="-",I67=0),"",MAX($N$53:N66)+1)</f>
        <v/>
      </c>
      <c r="O67">
        <v>14</v>
      </c>
    </row>
    <row r="68" spans="1:15">
      <c r="A68" s="1971">
        <f t="shared" si="1"/>
        <v>2027</v>
      </c>
      <c r="B68" s="1339">
        <v>33091</v>
      </c>
      <c r="C68" s="1339">
        <v>11101</v>
      </c>
      <c r="D68" s="1340"/>
      <c r="E68" s="1340"/>
      <c r="F68" s="2059" t="s">
        <v>367</v>
      </c>
      <c r="G68" s="1340"/>
      <c r="H68" s="146"/>
      <c r="I68" s="2060">
        <f>Tutelle2!G18</f>
        <v>0</v>
      </c>
      <c r="N68" t="str">
        <f>IF(OR(I68="-",I68=0),"",MAX($N$53:N67)+1)</f>
        <v/>
      </c>
      <c r="O68">
        <v>15</v>
      </c>
    </row>
    <row r="69" spans="1:15">
      <c r="A69" s="2063">
        <f t="shared" si="1"/>
        <v>2027</v>
      </c>
      <c r="B69" s="1341">
        <v>33091</v>
      </c>
      <c r="C69" s="1341">
        <v>11102</v>
      </c>
      <c r="D69" s="1341"/>
      <c r="E69" s="1341"/>
      <c r="F69" s="2064" t="s">
        <v>2069</v>
      </c>
      <c r="G69" s="1341"/>
      <c r="H69" s="2065"/>
      <c r="I69" s="2066">
        <f>Tutelle2!G27</f>
        <v>0</v>
      </c>
      <c r="N69" t="str">
        <f>IF(OR(I69="-",I69=0),"",MAX($N$53:N68)+1)</f>
        <v/>
      </c>
      <c r="O69">
        <v>16</v>
      </c>
    </row>
    <row r="70" spans="1:15">
      <c r="A70" s="1971">
        <f t="shared" si="1"/>
        <v>2027</v>
      </c>
      <c r="B70" s="1339">
        <v>33091</v>
      </c>
      <c r="C70" s="1339">
        <v>11108</v>
      </c>
      <c r="D70" s="1340"/>
      <c r="E70" s="1340"/>
      <c r="F70" s="2059" t="s">
        <v>128</v>
      </c>
      <c r="G70" s="1340"/>
      <c r="H70" s="146"/>
      <c r="I70" s="2060">
        <f>Tutelle2!G19</f>
        <v>0</v>
      </c>
      <c r="N70" t="str">
        <f>IF(OR(I70="-",I70=0),"",MAX($N$53:N69)+1)</f>
        <v/>
      </c>
      <c r="O70">
        <v>17</v>
      </c>
    </row>
    <row r="71" spans="1:15">
      <c r="A71" s="2063">
        <f t="shared" si="1"/>
        <v>2027</v>
      </c>
      <c r="B71" s="1341">
        <v>33091</v>
      </c>
      <c r="C71" s="1341">
        <v>11109</v>
      </c>
      <c r="D71" s="1341"/>
      <c r="E71" s="1341"/>
      <c r="F71" s="2064" t="s">
        <v>467</v>
      </c>
      <c r="G71" s="1341"/>
      <c r="H71" s="2065"/>
      <c r="I71" s="2066">
        <f>Tutelle2!G28</f>
        <v>0</v>
      </c>
      <c r="N71" t="str">
        <f>IF(OR(I71="-",I71=0),"",MAX($N$53:N70)+1)</f>
        <v/>
      </c>
      <c r="O71">
        <v>18</v>
      </c>
    </row>
    <row r="72" spans="1:15">
      <c r="A72" s="1971">
        <f t="shared" si="1"/>
        <v>2027</v>
      </c>
      <c r="B72" s="1339">
        <v>33091</v>
      </c>
      <c r="C72" s="1339">
        <v>11201</v>
      </c>
      <c r="D72" s="1340"/>
      <c r="E72" s="1340"/>
      <c r="F72" s="2059" t="s">
        <v>129</v>
      </c>
      <c r="G72" s="1340"/>
      <c r="H72" s="146"/>
      <c r="I72" s="2060">
        <f>Tutelle2!G20</f>
        <v>0</v>
      </c>
      <c r="N72" t="str">
        <f>IF(OR(I72="-",I72=0),"",MAX($N$53:N71)+1)</f>
        <v/>
      </c>
      <c r="O72">
        <v>19</v>
      </c>
    </row>
    <row r="73" spans="1:15">
      <c r="A73" s="2063">
        <f t="shared" si="1"/>
        <v>2027</v>
      </c>
      <c r="B73" s="1341">
        <v>33091</v>
      </c>
      <c r="C73" s="1341">
        <v>11202</v>
      </c>
      <c r="D73" s="1341"/>
      <c r="E73" s="1341"/>
      <c r="F73" s="2064" t="s">
        <v>1886</v>
      </c>
      <c r="G73" s="1341"/>
      <c r="H73" s="2065"/>
      <c r="I73" s="2066">
        <f>Tutelle2!G29</f>
        <v>0</v>
      </c>
      <c r="N73" t="str">
        <f>IF(OR(I73="-",I73=0),"",MAX($N$53:N72)+1)</f>
        <v/>
      </c>
      <c r="O73">
        <v>20</v>
      </c>
    </row>
    <row r="74" spans="1:15">
      <c r="A74" s="1971">
        <f t="shared" si="1"/>
        <v>2027</v>
      </c>
      <c r="B74" s="1339">
        <v>33091</v>
      </c>
      <c r="C74" s="1339">
        <v>11301</v>
      </c>
      <c r="D74" s="1340"/>
      <c r="E74" s="1340"/>
      <c r="F74" s="2059" t="s">
        <v>1932</v>
      </c>
      <c r="G74" s="1340"/>
      <c r="H74" s="146"/>
      <c r="I74" s="2060">
        <f>Tutelle2!G21</f>
        <v>0</v>
      </c>
      <c r="N74" t="str">
        <f>IF(OR(I74="-",I74=0),"",MAX($N$53:N73)+1)</f>
        <v/>
      </c>
      <c r="O74">
        <v>21</v>
      </c>
    </row>
    <row r="75" spans="1:15">
      <c r="A75" s="2063">
        <f t="shared" si="1"/>
        <v>2027</v>
      </c>
      <c r="B75" s="1341">
        <v>33091</v>
      </c>
      <c r="C75" s="1341">
        <v>11302</v>
      </c>
      <c r="D75" s="1341"/>
      <c r="E75" s="1341"/>
      <c r="F75" s="2064" t="s">
        <v>1934</v>
      </c>
      <c r="G75" s="1341"/>
      <c r="H75" s="2065"/>
      <c r="I75" s="2066">
        <f>Tutelle2!G30</f>
        <v>0</v>
      </c>
      <c r="N75" t="str">
        <f>IF(OR(I75="-",I75=0),"",MAX($N$53:N74)+1)</f>
        <v/>
      </c>
      <c r="O75">
        <v>22</v>
      </c>
    </row>
    <row r="76" spans="1:15">
      <c r="A76" s="1971">
        <f t="shared" si="1"/>
        <v>2027</v>
      </c>
      <c r="B76" s="1339">
        <v>33091</v>
      </c>
      <c r="C76" s="1339">
        <v>11308</v>
      </c>
      <c r="D76" s="1340"/>
      <c r="E76" s="1340"/>
      <c r="F76" s="2059" t="s">
        <v>1933</v>
      </c>
      <c r="G76" s="1340"/>
      <c r="H76" s="146"/>
      <c r="I76" s="2060">
        <f>Tutelle2!G23</f>
        <v>0</v>
      </c>
      <c r="N76" t="str">
        <f>IF(OR(I76="-",I76=0),"",MAX($N$53:N75)+1)</f>
        <v/>
      </c>
      <c r="O76">
        <v>23</v>
      </c>
    </row>
    <row r="77" spans="1:15">
      <c r="A77" s="2063">
        <f t="shared" si="1"/>
        <v>2027</v>
      </c>
      <c r="B77" s="1341">
        <v>33091</v>
      </c>
      <c r="C77" s="1341">
        <v>11309</v>
      </c>
      <c r="D77" s="1341"/>
      <c r="E77" s="1341"/>
      <c r="F77" s="2064" t="s">
        <v>1928</v>
      </c>
      <c r="G77" s="1341"/>
      <c r="H77" s="2065"/>
      <c r="I77" s="2066">
        <f>Tutelle2!G31</f>
        <v>0</v>
      </c>
      <c r="N77" t="str">
        <f>IF(OR(I77="-",I77=0),"",MAX($N$53:N76)+1)</f>
        <v/>
      </c>
      <c r="O77">
        <v>24</v>
      </c>
    </row>
    <row r="78" spans="1:15">
      <c r="A78" s="1971">
        <f t="shared" si="1"/>
        <v>2027</v>
      </c>
      <c r="B78" s="1339">
        <v>33091</v>
      </c>
      <c r="C78" s="1339">
        <v>11321</v>
      </c>
      <c r="D78" s="1340"/>
      <c r="E78" s="1340"/>
      <c r="F78" s="2059" t="s">
        <v>291</v>
      </c>
      <c r="G78" s="1340"/>
      <c r="H78" s="146"/>
      <c r="I78" s="2060">
        <f>Tutelle2!G22</f>
        <v>0</v>
      </c>
      <c r="N78" t="str">
        <f>IF(OR(I78="-",I78=0),"",MAX($N$53:N77)+1)</f>
        <v/>
      </c>
      <c r="O78">
        <v>25</v>
      </c>
    </row>
    <row r="79" spans="1:15">
      <c r="A79" s="1971">
        <f t="shared" si="1"/>
        <v>2027</v>
      </c>
      <c r="B79" s="1339">
        <v>33091</v>
      </c>
      <c r="C79" s="1339">
        <v>11501</v>
      </c>
      <c r="D79" s="1340"/>
      <c r="E79" s="1340"/>
      <c r="F79" s="2059" t="s">
        <v>2068</v>
      </c>
      <c r="G79" s="1340"/>
      <c r="H79" s="146"/>
      <c r="I79" s="2060">
        <f>Tutelle2!G24</f>
        <v>0</v>
      </c>
      <c r="N79" t="str">
        <f>IF(OR(I79="-",I79=0),"",MAX($N$53:N78)+1)</f>
        <v/>
      </c>
      <c r="O79">
        <v>26</v>
      </c>
    </row>
    <row r="80" spans="1:15">
      <c r="A80" s="2063">
        <f t="shared" si="1"/>
        <v>2027</v>
      </c>
      <c r="B80" s="1341">
        <v>33091</v>
      </c>
      <c r="C80" s="1341">
        <v>11502</v>
      </c>
      <c r="D80" s="1341"/>
      <c r="E80" s="1341"/>
      <c r="F80" s="2064" t="s">
        <v>329</v>
      </c>
      <c r="G80" s="1341"/>
      <c r="H80" s="2065"/>
      <c r="I80" s="2066">
        <f>Tutelle2!G32</f>
        <v>0</v>
      </c>
      <c r="N80" t="str">
        <f>IF(OR(I80="-",I80=0),"",MAX($N$53:N79)+1)</f>
        <v/>
      </c>
      <c r="O80">
        <v>27</v>
      </c>
    </row>
    <row r="81" spans="1:15">
      <c r="A81" s="1971">
        <f t="shared" si="1"/>
        <v>2027</v>
      </c>
      <c r="B81" s="1339">
        <v>33091</v>
      </c>
      <c r="C81" s="1339">
        <v>11701</v>
      </c>
      <c r="D81" s="1340"/>
      <c r="E81" s="1340"/>
      <c r="F81" s="2059" t="s">
        <v>2759</v>
      </c>
      <c r="G81" s="1340"/>
      <c r="H81" s="146"/>
      <c r="I81" s="2060">
        <f>Tutelle2!G42</f>
        <v>0</v>
      </c>
      <c r="N81" t="str">
        <f>IF(OR(I81="-",I81=0),"",MAX($N$53:N80)+1)</f>
        <v/>
      </c>
      <c r="O81">
        <v>28</v>
      </c>
    </row>
    <row r="82" spans="1:15">
      <c r="A82" s="1971">
        <f t="shared" si="1"/>
        <v>2027</v>
      </c>
      <c r="B82" s="1339">
        <v>33091</v>
      </c>
      <c r="C82" s="1339">
        <v>11801</v>
      </c>
      <c r="D82" s="1340"/>
      <c r="E82" s="1340"/>
      <c r="F82" s="2059" t="s">
        <v>1310</v>
      </c>
      <c r="G82" s="1340"/>
      <c r="H82" s="146"/>
      <c r="I82" s="2060">
        <f>Tutelle2!G43</f>
        <v>0</v>
      </c>
      <c r="N82" t="str">
        <f>IF(OR(I82="-",I82=0),"",MAX($N$53:N81)+1)</f>
        <v/>
      </c>
      <c r="O82">
        <v>29</v>
      </c>
    </row>
    <row r="83" spans="1:15">
      <c r="A83" s="1971">
        <f t="shared" si="1"/>
        <v>2027</v>
      </c>
      <c r="B83" s="1339">
        <v>33091</v>
      </c>
      <c r="C83" s="1339">
        <v>12101</v>
      </c>
      <c r="D83" s="1340"/>
      <c r="E83" s="1340"/>
      <c r="F83" s="2059" t="s">
        <v>2425</v>
      </c>
      <c r="G83" s="1340"/>
      <c r="H83" s="146"/>
      <c r="I83" s="2060">
        <f>Tutelle2!G44</f>
        <v>0</v>
      </c>
      <c r="N83" t="str">
        <f>IF(OR(I83="-",I83=0),"",MAX($N$53:N82)+1)</f>
        <v/>
      </c>
      <c r="O83">
        <v>30</v>
      </c>
    </row>
    <row r="84" spans="1:15">
      <c r="A84" s="1971">
        <f t="shared" si="1"/>
        <v>2027</v>
      </c>
      <c r="B84" s="1339">
        <v>33091</v>
      </c>
      <c r="C84" s="1339">
        <v>12148</v>
      </c>
      <c r="D84" s="1340"/>
      <c r="E84" s="1340"/>
      <c r="F84" s="2059" t="s">
        <v>4598</v>
      </c>
      <c r="G84" s="1340"/>
      <c r="H84" s="146"/>
      <c r="I84" s="2060">
        <f>Tutelle2!G45</f>
        <v>0</v>
      </c>
      <c r="N84" t="str">
        <f>IF(OR(I84="-",I84=0),"",MAX($N$53:N83)+1)</f>
        <v/>
      </c>
      <c r="O84">
        <v>31</v>
      </c>
    </row>
    <row r="85" spans="1:15">
      <c r="A85" s="1971">
        <f t="shared" si="1"/>
        <v>2027</v>
      </c>
      <c r="B85" s="1339">
        <v>33098</v>
      </c>
      <c r="C85" s="1339">
        <v>11101</v>
      </c>
      <c r="D85" s="1340"/>
      <c r="E85" s="1340"/>
      <c r="F85" s="2059" t="s">
        <v>4599</v>
      </c>
      <c r="G85" s="1340"/>
      <c r="H85" s="146"/>
      <c r="I85" s="2060">
        <f>Tutelle2!G48</f>
        <v>0</v>
      </c>
      <c r="N85" t="str">
        <f>IF(OR(I85="-",I85=0),"",MAX($N$53:N84)+1)</f>
        <v/>
      </c>
      <c r="O85">
        <v>32</v>
      </c>
    </row>
    <row r="86" spans="1:15">
      <c r="A86" s="1971">
        <f t="shared" si="1"/>
        <v>2027</v>
      </c>
      <c r="B86" s="1339">
        <v>33098</v>
      </c>
      <c r="C86" s="1339">
        <v>11301</v>
      </c>
      <c r="D86" s="1340"/>
      <c r="E86" s="1340"/>
      <c r="F86" s="2059" t="s">
        <v>1929</v>
      </c>
      <c r="G86" s="1340"/>
      <c r="H86" s="146"/>
      <c r="I86" s="2060">
        <f>Tutelle2!G49</f>
        <v>0</v>
      </c>
      <c r="N86" t="str">
        <f>IF(OR(I86="-",I86=0),"",MAX($N$53:N85)+1)</f>
        <v/>
      </c>
      <c r="O86">
        <v>33</v>
      </c>
    </row>
    <row r="87" spans="1:15">
      <c r="A87" s="1971">
        <f t="shared" si="1"/>
        <v>2027</v>
      </c>
      <c r="B87" s="1339">
        <v>33098</v>
      </c>
      <c r="C87" s="1339">
        <v>11801</v>
      </c>
      <c r="D87" s="1340"/>
      <c r="E87" s="1340"/>
      <c r="F87" s="2059" t="s">
        <v>4545</v>
      </c>
      <c r="G87" s="1340"/>
      <c r="H87" s="146"/>
      <c r="I87" s="2060">
        <f>Tutelle2!G50</f>
        <v>0</v>
      </c>
      <c r="N87" t="str">
        <f>IF(OR(I87="-",I87=0),"",MAX($N$53:N86)+1)</f>
        <v/>
      </c>
      <c r="O87">
        <v>34</v>
      </c>
    </row>
    <row r="88" spans="1:15">
      <c r="A88" s="1971">
        <f t="shared" si="1"/>
        <v>2027</v>
      </c>
      <c r="B88" s="1339">
        <v>33098</v>
      </c>
      <c r="C88" s="1339">
        <v>12101</v>
      </c>
      <c r="D88" s="1340"/>
      <c r="E88" s="1340"/>
      <c r="F88" s="2059" t="s">
        <v>1792</v>
      </c>
      <c r="G88" s="1340"/>
      <c r="H88" s="146"/>
      <c r="I88" s="2060">
        <f>Tutelle2!G51</f>
        <v>0</v>
      </c>
      <c r="N88" t="str">
        <f>IF(OR(I88="-",I88=0),"",MAX($N$53:N87)+1)</f>
        <v/>
      </c>
      <c r="O88">
        <v>35</v>
      </c>
    </row>
    <row r="89" spans="1:15">
      <c r="A89" s="1971">
        <f t="shared" si="1"/>
        <v>2027</v>
      </c>
      <c r="B89" s="1339">
        <v>33099</v>
      </c>
      <c r="C89" s="1339">
        <v>11101</v>
      </c>
      <c r="D89" s="1340"/>
      <c r="E89" s="1340"/>
      <c r="F89" s="2059" t="s">
        <v>3044</v>
      </c>
      <c r="G89" s="1340"/>
      <c r="H89" s="146"/>
      <c r="I89" s="2060">
        <f>Tutelle2!G52</f>
        <v>0</v>
      </c>
      <c r="N89" t="str">
        <f>IF(OR(I89="-",I89=0),"",MAX($N$53:N88)+1)</f>
        <v/>
      </c>
      <c r="O89">
        <v>36</v>
      </c>
    </row>
    <row r="90" spans="1:15">
      <c r="A90" s="1971">
        <f t="shared" si="1"/>
        <v>2027</v>
      </c>
      <c r="B90" s="1339">
        <v>33099</v>
      </c>
      <c r="C90" s="1339">
        <v>11301</v>
      </c>
      <c r="D90" s="1340"/>
      <c r="E90" s="1340"/>
      <c r="F90" s="2059" t="s">
        <v>3049</v>
      </c>
      <c r="G90" s="1340"/>
      <c r="H90" s="146"/>
      <c r="I90" s="2060">
        <f>Tutelle2!G53</f>
        <v>0</v>
      </c>
      <c r="N90" t="str">
        <f>IF(OR(I90="-",I90=0),"",MAX($N$53:N89)+1)</f>
        <v/>
      </c>
      <c r="O90">
        <v>37</v>
      </c>
    </row>
    <row r="91" spans="1:15">
      <c r="A91" s="1971">
        <f t="shared" si="1"/>
        <v>2027</v>
      </c>
      <c r="B91" s="1339">
        <v>33099</v>
      </c>
      <c r="C91" s="1339">
        <v>11801</v>
      </c>
      <c r="D91" s="1340"/>
      <c r="E91" s="1340"/>
      <c r="F91" s="2059" t="s">
        <v>4545</v>
      </c>
      <c r="G91" s="1340"/>
      <c r="H91" s="146"/>
      <c r="I91" s="2060">
        <f>Tutelle2!G54</f>
        <v>0</v>
      </c>
      <c r="N91" t="str">
        <f>IF(OR(I91="-",I91=0),"",MAX($N$53:N90)+1)</f>
        <v/>
      </c>
      <c r="O91">
        <v>38</v>
      </c>
    </row>
    <row r="92" spans="1:15" ht="13.5" thickBot="1">
      <c r="A92" s="1342">
        <f t="shared" si="1"/>
        <v>2027</v>
      </c>
      <c r="B92" s="1343">
        <v>33099</v>
      </c>
      <c r="C92" s="1343">
        <v>12101</v>
      </c>
      <c r="D92" s="1344"/>
      <c r="E92" s="1344"/>
      <c r="F92" s="2067" t="s">
        <v>1792</v>
      </c>
      <c r="G92" s="1344"/>
      <c r="H92" s="2068"/>
      <c r="I92" s="2069">
        <f>Tutelle2!G55</f>
        <v>0</v>
      </c>
      <c r="N92" t="str">
        <f>IF(OR(I92="-",I92=0),"",MAX($N$53:N91)+1)</f>
        <v/>
      </c>
      <c r="O92">
        <v>39</v>
      </c>
    </row>
    <row r="93" spans="1:15">
      <c r="B93">
        <f>SUM(B12:B50)</f>
        <v>1289349</v>
      </c>
      <c r="C93">
        <f>SUM(C12:C50)</f>
        <v>447741</v>
      </c>
    </row>
    <row r="94" spans="1:15">
      <c r="B94">
        <f>SUM(B54:B92)</f>
        <v>1289349</v>
      </c>
      <c r="C94">
        <f>SUM(C54:C92)</f>
        <v>447741</v>
      </c>
    </row>
  </sheetData>
  <mergeCells count="4">
    <mergeCell ref="B6:H6"/>
    <mergeCell ref="E10:G10"/>
    <mergeCell ref="E52:G52"/>
    <mergeCell ref="A1:C2"/>
  </mergeCells>
  <phoneticPr fontId="38" type="noConversion"/>
  <conditionalFormatting sqref="B6:H6">
    <cfRule type="expression" dxfId="0" priority="1" stopIfTrue="1">
      <formula>$G$8&lt;&gt;0</formula>
    </cfRule>
  </conditionalFormatting>
  <hyperlinks>
    <hyperlink ref="C4" r:id="rId1" xr:uid="{00000000-0004-0000-1000-000000000000}"/>
  </hyperlinks>
  <printOptions horizontalCentered="1" verticalCentered="1"/>
  <pageMargins left="0.32" right="0.21" top="0.49" bottom="0.31" header="0.28000000000000003" footer="0.09"/>
  <pageSetup scale="75" orientation="landscape" r:id="rId2"/>
  <headerFooter alignWithMargins="0">
    <oddHeader>&amp;C&amp;Z&amp;F - &amp;A</oddHeader>
    <oddFooter>&amp;C&amp;P/&amp;N</oddFooter>
  </headerFooter>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ut4"/>
  <dimension ref="A1:IU59"/>
  <sheetViews>
    <sheetView workbookViewId="0">
      <selection activeCell="B8" sqref="B8"/>
    </sheetView>
  </sheetViews>
  <sheetFormatPr defaultColWidth="0" defaultRowHeight="12.75" customHeight="1" zeroHeight="1"/>
  <cols>
    <col min="1" max="1" width="11.5703125" customWidth="1"/>
    <col min="2" max="2" width="72.42578125" customWidth="1"/>
    <col min="3" max="5" width="13.7109375" customWidth="1"/>
    <col min="6" max="6" width="4.140625" customWidth="1"/>
    <col min="7" max="7" width="15.85546875" customWidth="1"/>
    <col min="8" max="8" width="11" bestFit="1" customWidth="1"/>
    <col min="9" max="9" width="6" bestFit="1" customWidth="1"/>
    <col min="10" max="10" width="28.5703125" bestFit="1" customWidth="1"/>
    <col min="11" max="11" width="13.7109375" customWidth="1"/>
    <col min="12" max="12" width="4" customWidth="1"/>
  </cols>
  <sheetData>
    <row r="1" spans="1:255" ht="13.5" thickBot="1">
      <c r="D1" s="1389">
        <f ca="1" xml:space="preserve"> TODAY()</f>
        <v>46302</v>
      </c>
      <c r="E1" s="1390">
        <f ca="1">D1</f>
        <v>46302</v>
      </c>
    </row>
    <row r="2" spans="1:255" ht="29.25" customHeight="1">
      <c r="A2" s="3422" t="str">
        <f>"Budget "&amp;ANNEE &amp;"   Zone de Police  "&amp;ZoneNr</f>
        <v xml:space="preserve">Budget 2027   Zone de Police  </v>
      </c>
      <c r="B2" s="3423"/>
      <c r="C2" s="1416"/>
      <c r="D2" s="1416"/>
      <c r="E2" s="1417"/>
    </row>
    <row r="3" spans="1:255" ht="12.75" customHeight="1">
      <c r="A3" s="3424"/>
      <c r="B3" s="3425"/>
      <c r="C3" s="536"/>
      <c r="D3" s="1420" t="s">
        <v>103</v>
      </c>
      <c r="E3" s="1421"/>
    </row>
    <row r="4" spans="1:255" ht="13.5" customHeight="1" thickBot="1">
      <c r="A4" s="3426"/>
      <c r="B4" s="3427"/>
      <c r="C4" s="1418"/>
      <c r="D4" s="1418"/>
      <c r="E4" s="1419"/>
    </row>
    <row r="5" spans="1:255" ht="13.5" thickBot="1">
      <c r="C5" s="1979">
        <f>(ROUND(C6,2)-ROUND(Tutelle1!F133,2))</f>
        <v>0</v>
      </c>
      <c r="D5" s="1980"/>
      <c r="E5" s="1980"/>
    </row>
    <row r="6" spans="1:255" ht="13.5" thickBot="1">
      <c r="B6" s="1391" t="s">
        <v>1201</v>
      </c>
      <c r="C6" s="1392">
        <f>SUM(C9:C47)</f>
        <v>0</v>
      </c>
      <c r="D6" s="1392">
        <f>SUM(D9:D47)</f>
        <v>0</v>
      </c>
      <c r="E6" s="1393">
        <f>SUM(E9:E47)</f>
        <v>0</v>
      </c>
      <c r="G6" s="3416" t="s">
        <v>1202</v>
      </c>
      <c r="H6" s="3417"/>
      <c r="I6" s="3417"/>
      <c r="J6" s="3417"/>
      <c r="K6" s="3418"/>
    </row>
    <row r="7" spans="1:255">
      <c r="C7" s="1331" t="str">
        <f>IF(C5=0,"ok",CONCATENATE("error ",INT(C5*100)/100))</f>
        <v>ok</v>
      </c>
      <c r="D7" s="48"/>
      <c r="E7" s="48"/>
      <c r="G7" s="3419"/>
      <c r="H7" s="3420"/>
      <c r="I7" s="3420"/>
      <c r="J7" s="3420"/>
      <c r="K7" s="3421"/>
    </row>
    <row r="8" spans="1:255" ht="25.5">
      <c r="A8" s="1394" t="s">
        <v>1200</v>
      </c>
      <c r="B8" s="1394" t="s">
        <v>1196</v>
      </c>
      <c r="C8" s="1395" t="s">
        <v>1203</v>
      </c>
      <c r="D8" s="1396" t="s">
        <v>142</v>
      </c>
      <c r="E8" s="1395" t="s">
        <v>143</v>
      </c>
      <c r="G8" s="1396" t="s">
        <v>3854</v>
      </c>
      <c r="H8" s="1396" t="s">
        <v>1197</v>
      </c>
      <c r="I8" s="1396" t="s">
        <v>1198</v>
      </c>
      <c r="J8" s="1396" t="s">
        <v>3542</v>
      </c>
      <c r="K8" s="1396" t="s">
        <v>1199</v>
      </c>
    </row>
    <row r="9" spans="1:255" s="1692" customFormat="1">
      <c r="A9" s="1692" t="str">
        <f>+Tutelle_UitgKrediet!B54&amp;Tutelle_UitgKrediet!C54</f>
        <v>3300111101</v>
      </c>
      <c r="B9" s="2000" t="str">
        <f>Tutelle_UitgKrediet!F54</f>
        <v xml:space="preserve">Rémunération du personnel opérationnel </v>
      </c>
      <c r="C9" s="1694">
        <f>Tutelle_UitgKrediet!I54</f>
        <v>0</v>
      </c>
      <c r="D9" s="1694">
        <f t="shared" ref="D9:D47" si="0">IF(ISNA(VLOOKUP(A9,ImportAccessX,4,0)),0,VLOOKUP(A9,ImportAccessX,4,0))</f>
        <v>0</v>
      </c>
      <c r="E9" s="1694">
        <f t="shared" ref="E9:E47" si="1">C9+D9</f>
        <v>0</v>
      </c>
      <c r="G9" s="2051">
        <f>+VALUE(A9)</f>
        <v>3300111101</v>
      </c>
      <c r="H9" s="2001"/>
      <c r="I9" s="2001"/>
      <c r="J9" s="2001"/>
      <c r="K9" s="2002"/>
    </row>
    <row r="10" spans="1:255" s="1692" customFormat="1">
      <c r="A10" s="1692" t="str">
        <f>+Tutelle_UitgKrediet!B55&amp;Tutelle_UitgKrediet!C55</f>
        <v>3300111108</v>
      </c>
      <c r="B10" s="2000" t="str">
        <f>Tutelle_UitgKrediet!F55</f>
        <v xml:space="preserve">Allocations variables pour prestations du personnel opérationnel </v>
      </c>
      <c r="C10" s="1694">
        <f>Tutelle_UitgKrediet!I55</f>
        <v>0</v>
      </c>
      <c r="D10" s="1694">
        <f t="shared" si="0"/>
        <v>0</v>
      </c>
      <c r="E10" s="1694">
        <f t="shared" si="1"/>
        <v>0</v>
      </c>
      <c r="G10" s="2051">
        <f t="shared" ref="G10:G47" si="2">+VALUE(A10)</f>
        <v>3300111108</v>
      </c>
      <c r="H10" s="2001"/>
      <c r="I10" s="2001"/>
      <c r="J10" s="2001"/>
      <c r="K10" s="2002"/>
    </row>
    <row r="11" spans="1:255" s="1692" customFormat="1">
      <c r="A11" s="2003" t="str">
        <f>+Tutelle_UitgKrediet!B56&amp;Tutelle_UitgKrediet!C56</f>
        <v>3300111110</v>
      </c>
      <c r="B11" s="2004" t="str">
        <f>Tutelle_UitgKrediet!F56</f>
        <v>Rémunération du personnel opérationnel  NAPAP</v>
      </c>
      <c r="C11" s="2005">
        <f>Tutelle_UitgKrediet!I56</f>
        <v>0</v>
      </c>
      <c r="D11" s="2005">
        <f t="shared" si="0"/>
        <v>0</v>
      </c>
      <c r="E11" s="2005">
        <f t="shared" si="1"/>
        <v>0</v>
      </c>
      <c r="G11" s="2051">
        <f t="shared" si="2"/>
        <v>3300111110</v>
      </c>
      <c r="H11" s="1694"/>
      <c r="I11" s="1694"/>
      <c r="J11" s="1694"/>
      <c r="L11" s="2000"/>
      <c r="M11" s="1694"/>
      <c r="N11" s="1694"/>
      <c r="O11" s="1694"/>
      <c r="Q11" s="2000"/>
      <c r="R11" s="1694"/>
      <c r="S11" s="1694"/>
      <c r="T11" s="1694"/>
      <c r="V11" s="2000"/>
      <c r="W11" s="1694"/>
      <c r="X11" s="1694"/>
      <c r="Y11" s="1694"/>
      <c r="AA11" s="2000"/>
      <c r="AB11" s="1694"/>
      <c r="AC11" s="1694"/>
      <c r="AD11" s="1694"/>
      <c r="AF11" s="2000"/>
      <c r="AG11" s="1694"/>
      <c r="AH11" s="1694"/>
      <c r="AI11" s="1694"/>
      <c r="AK11" s="2000"/>
      <c r="AL11" s="1694"/>
      <c r="AM11" s="1694"/>
      <c r="AN11" s="1694"/>
      <c r="AP11" s="2000"/>
      <c r="AQ11" s="1694"/>
      <c r="AR11" s="1694"/>
      <c r="AS11" s="1694"/>
      <c r="AU11" s="2000"/>
      <c r="AV11" s="1694"/>
      <c r="AW11" s="1694"/>
      <c r="AX11" s="1694"/>
      <c r="AZ11" s="2000"/>
      <c r="BA11" s="1694"/>
      <c r="BB11" s="1694"/>
      <c r="BC11" s="1694"/>
      <c r="BE11" s="2000"/>
      <c r="BF11" s="1694"/>
      <c r="BG11" s="1694"/>
      <c r="BH11" s="1694"/>
      <c r="BJ11" s="2000"/>
      <c r="BK11" s="1694"/>
      <c r="BL11" s="1694"/>
      <c r="BM11" s="1694"/>
      <c r="BO11" s="2000"/>
      <c r="BP11" s="1694"/>
      <c r="BQ11" s="1694"/>
      <c r="BR11" s="1694"/>
      <c r="BT11" s="2000"/>
      <c r="BU11" s="1694"/>
      <c r="BV11" s="1694"/>
      <c r="BW11" s="1694"/>
      <c r="BY11" s="2000"/>
      <c r="BZ11" s="1694"/>
      <c r="CA11" s="1694"/>
      <c r="CB11" s="1694"/>
      <c r="CD11" s="2000"/>
      <c r="CE11" s="1694"/>
      <c r="CF11" s="1694"/>
      <c r="CG11" s="1694"/>
      <c r="CI11" s="2000"/>
      <c r="CJ11" s="1694"/>
      <c r="CK11" s="1694"/>
      <c r="CL11" s="1694"/>
      <c r="CN11" s="2000"/>
      <c r="CO11" s="1694"/>
      <c r="CP11" s="1694"/>
      <c r="CQ11" s="1694"/>
      <c r="CS11" s="2000"/>
      <c r="CT11" s="1694"/>
      <c r="CU11" s="1694"/>
      <c r="CV11" s="1694"/>
      <c r="CX11" s="2000"/>
      <c r="CY11" s="1694"/>
      <c r="CZ11" s="1694"/>
      <c r="DA11" s="1694"/>
      <c r="DC11" s="2000"/>
      <c r="DD11" s="1694"/>
      <c r="DE11" s="1694"/>
      <c r="DF11" s="1694"/>
      <c r="DH11" s="2000"/>
      <c r="DI11" s="1694"/>
      <c r="DJ11" s="1694"/>
      <c r="DK11" s="1694"/>
      <c r="DM11" s="2000"/>
      <c r="DN11" s="1694"/>
      <c r="DO11" s="1694"/>
      <c r="DP11" s="1694"/>
      <c r="DR11" s="2000"/>
      <c r="DS11" s="1694"/>
      <c r="DT11" s="1694"/>
      <c r="DU11" s="1694"/>
      <c r="DW11" s="2000"/>
      <c r="DX11" s="1694"/>
      <c r="DY11" s="1694"/>
      <c r="DZ11" s="1694"/>
      <c r="EB11" s="2000"/>
      <c r="EC11" s="1694"/>
      <c r="ED11" s="1694"/>
      <c r="EE11" s="1694"/>
      <c r="EG11" s="2000"/>
      <c r="EH11" s="1694"/>
      <c r="EI11" s="1694"/>
      <c r="EJ11" s="1694"/>
      <c r="EL11" s="2000"/>
      <c r="EM11" s="1694"/>
      <c r="EN11" s="1694"/>
      <c r="EO11" s="1694"/>
      <c r="EQ11" s="2000"/>
      <c r="ER11" s="1694"/>
      <c r="ES11" s="1694"/>
      <c r="ET11" s="1694"/>
      <c r="EV11" s="2000"/>
      <c r="EW11" s="1694"/>
      <c r="EX11" s="1694"/>
      <c r="EY11" s="1694"/>
      <c r="FA11" s="2000"/>
      <c r="FB11" s="1694"/>
      <c r="FC11" s="1694"/>
      <c r="FD11" s="1694"/>
      <c r="FF11" s="2000"/>
      <c r="FG11" s="1694"/>
      <c r="FH11" s="1694"/>
      <c r="FI11" s="1694"/>
      <c r="FK11" s="2000"/>
      <c r="FL11" s="1694"/>
      <c r="FM11" s="1694"/>
      <c r="FN11" s="1694"/>
      <c r="FP11" s="2000"/>
      <c r="FQ11" s="1694"/>
      <c r="FR11" s="1694"/>
      <c r="FS11" s="1694"/>
      <c r="FU11" s="2000"/>
      <c r="FV11" s="1694"/>
      <c r="FW11" s="1694"/>
      <c r="FX11" s="1694"/>
      <c r="FZ11" s="2000"/>
      <c r="GA11" s="1694"/>
      <c r="GB11" s="1694"/>
      <c r="GC11" s="1694"/>
      <c r="GE11" s="2000"/>
      <c r="GF11" s="1694"/>
      <c r="GG11" s="1694"/>
      <c r="GH11" s="1694"/>
      <c r="GJ11" s="2000"/>
      <c r="GK11" s="1694"/>
      <c r="GL11" s="1694"/>
      <c r="GM11" s="1694"/>
      <c r="GO11" s="2000"/>
      <c r="GP11" s="1694"/>
      <c r="GQ11" s="1694"/>
      <c r="GR11" s="1694"/>
      <c r="GT11" s="2000"/>
      <c r="GU11" s="1694"/>
      <c r="GV11" s="1694"/>
      <c r="GW11" s="1694"/>
      <c r="GY11" s="2000"/>
      <c r="GZ11" s="1694"/>
      <c r="HA11" s="1694"/>
      <c r="HB11" s="1694"/>
      <c r="HD11" s="2000"/>
      <c r="HE11" s="1694"/>
      <c r="HF11" s="1694"/>
      <c r="HG11" s="1694"/>
      <c r="HI11" s="2000"/>
      <c r="HJ11" s="1694"/>
      <c r="HK11" s="1694"/>
      <c r="HL11" s="1694"/>
      <c r="HN11" s="2000"/>
      <c r="HO11" s="1694"/>
      <c r="HP11" s="1694"/>
      <c r="HQ11" s="1694"/>
      <c r="HS11" s="2000"/>
      <c r="HT11" s="1694"/>
      <c r="HU11" s="1694"/>
      <c r="HV11" s="1694"/>
      <c r="HX11" s="2000"/>
      <c r="HY11" s="1694"/>
      <c r="HZ11" s="1694"/>
      <c r="IA11" s="1694"/>
      <c r="IC11" s="2000"/>
      <c r="ID11" s="1694"/>
      <c r="IE11" s="1694"/>
      <c r="IF11" s="1694"/>
      <c r="IH11" s="2000"/>
      <c r="II11" s="1694"/>
      <c r="IJ11" s="1694"/>
      <c r="IK11" s="1694"/>
      <c r="IM11" s="2000"/>
      <c r="IN11" s="1694"/>
      <c r="IO11" s="1694"/>
      <c r="IP11" s="1694"/>
      <c r="IR11" s="2000"/>
      <c r="IS11" s="1694"/>
      <c r="IT11" s="1694"/>
      <c r="IU11" s="1694"/>
    </row>
    <row r="12" spans="1:255" s="1692" customFormat="1">
      <c r="A12" s="1692" t="str">
        <f>+Tutelle_UitgKrediet!B57&amp;Tutelle_UitgKrediet!C57</f>
        <v>3300111201</v>
      </c>
      <c r="B12" s="2000" t="str">
        <f>Tutelle_UitgKrediet!F57</f>
        <v xml:space="preserve">Pécule de Vacances du personnel opérationnel </v>
      </c>
      <c r="C12" s="1694">
        <f>Tutelle_UitgKrediet!I57</f>
        <v>0</v>
      </c>
      <c r="D12" s="1694">
        <f t="shared" si="0"/>
        <v>0</v>
      </c>
      <c r="E12" s="1694">
        <f t="shared" si="1"/>
        <v>0</v>
      </c>
      <c r="G12" s="2051">
        <f t="shared" si="2"/>
        <v>3300111201</v>
      </c>
      <c r="H12" s="1694"/>
      <c r="I12" s="1694"/>
      <c r="J12" s="1694"/>
      <c r="L12" s="2000"/>
      <c r="M12" s="1694"/>
      <c r="N12" s="1694"/>
      <c r="O12" s="1694"/>
      <c r="Q12" s="2000"/>
      <c r="R12" s="1694"/>
      <c r="S12" s="1694"/>
      <c r="T12" s="1694"/>
      <c r="V12" s="2000"/>
      <c r="W12" s="1694"/>
      <c r="X12" s="1694"/>
      <c r="Y12" s="1694"/>
      <c r="AA12" s="2000"/>
      <c r="AB12" s="1694"/>
      <c r="AC12" s="1694"/>
      <c r="AD12" s="1694"/>
      <c r="AF12" s="2000"/>
      <c r="AG12" s="1694"/>
      <c r="AH12" s="1694"/>
      <c r="AI12" s="1694"/>
      <c r="AK12" s="2000"/>
      <c r="AL12" s="1694"/>
      <c r="AM12" s="1694"/>
      <c r="AN12" s="1694"/>
      <c r="AP12" s="2000"/>
      <c r="AQ12" s="1694"/>
      <c r="AR12" s="1694"/>
      <c r="AS12" s="1694"/>
      <c r="AU12" s="2000"/>
      <c r="AV12" s="1694"/>
      <c r="AW12" s="1694"/>
      <c r="AX12" s="1694"/>
      <c r="AZ12" s="2000"/>
      <c r="BA12" s="1694"/>
      <c r="BB12" s="1694"/>
      <c r="BC12" s="1694"/>
      <c r="BE12" s="2000"/>
      <c r="BF12" s="1694"/>
      <c r="BG12" s="1694"/>
      <c r="BH12" s="1694"/>
      <c r="BJ12" s="2000"/>
      <c r="BK12" s="1694"/>
      <c r="BL12" s="1694"/>
      <c r="BM12" s="1694"/>
      <c r="BO12" s="2000"/>
      <c r="BP12" s="1694"/>
      <c r="BQ12" s="1694"/>
      <c r="BR12" s="1694"/>
      <c r="BT12" s="2000"/>
      <c r="BU12" s="1694"/>
      <c r="BV12" s="1694"/>
      <c r="BW12" s="1694"/>
      <c r="BY12" s="2000"/>
      <c r="BZ12" s="1694"/>
      <c r="CA12" s="1694"/>
      <c r="CB12" s="1694"/>
      <c r="CD12" s="2000"/>
      <c r="CE12" s="1694"/>
      <c r="CF12" s="1694"/>
      <c r="CG12" s="1694"/>
      <c r="CI12" s="2000"/>
      <c r="CJ12" s="1694"/>
      <c r="CK12" s="1694"/>
      <c r="CL12" s="1694"/>
      <c r="CN12" s="2000"/>
      <c r="CO12" s="1694"/>
      <c r="CP12" s="1694"/>
      <c r="CQ12" s="1694"/>
      <c r="CS12" s="2000"/>
      <c r="CT12" s="1694"/>
      <c r="CU12" s="1694"/>
      <c r="CV12" s="1694"/>
      <c r="CX12" s="2000"/>
      <c r="CY12" s="1694"/>
      <c r="CZ12" s="1694"/>
      <c r="DA12" s="1694"/>
      <c r="DC12" s="2000"/>
      <c r="DD12" s="1694"/>
      <c r="DE12" s="1694"/>
      <c r="DF12" s="1694"/>
      <c r="DH12" s="2000"/>
      <c r="DI12" s="1694"/>
      <c r="DJ12" s="1694"/>
      <c r="DK12" s="1694"/>
      <c r="DM12" s="2000"/>
      <c r="DN12" s="1694"/>
      <c r="DO12" s="1694"/>
      <c r="DP12" s="1694"/>
      <c r="DR12" s="2000"/>
      <c r="DS12" s="1694"/>
      <c r="DT12" s="1694"/>
      <c r="DU12" s="1694"/>
      <c r="DW12" s="2000"/>
      <c r="DX12" s="1694"/>
      <c r="DY12" s="1694"/>
      <c r="DZ12" s="1694"/>
      <c r="EB12" s="2000"/>
      <c r="EC12" s="1694"/>
      <c r="ED12" s="1694"/>
      <c r="EE12" s="1694"/>
      <c r="EG12" s="2000"/>
      <c r="EH12" s="1694"/>
      <c r="EI12" s="1694"/>
      <c r="EJ12" s="1694"/>
      <c r="EL12" s="2000"/>
      <c r="EM12" s="1694"/>
      <c r="EN12" s="1694"/>
      <c r="EO12" s="1694"/>
      <c r="EQ12" s="2000"/>
      <c r="ER12" s="1694"/>
      <c r="ES12" s="1694"/>
      <c r="ET12" s="1694"/>
      <c r="EV12" s="2000"/>
      <c r="EW12" s="1694"/>
      <c r="EX12" s="1694"/>
      <c r="EY12" s="1694"/>
      <c r="FA12" s="2000"/>
      <c r="FB12" s="1694"/>
      <c r="FC12" s="1694"/>
      <c r="FD12" s="1694"/>
      <c r="FF12" s="2000"/>
      <c r="FG12" s="1694"/>
      <c r="FH12" s="1694"/>
      <c r="FI12" s="1694"/>
      <c r="FK12" s="2000"/>
      <c r="FL12" s="1694"/>
      <c r="FM12" s="1694"/>
      <c r="FN12" s="1694"/>
      <c r="FP12" s="2000"/>
      <c r="FQ12" s="1694"/>
      <c r="FR12" s="1694"/>
      <c r="FS12" s="1694"/>
      <c r="FU12" s="2000"/>
      <c r="FV12" s="1694"/>
      <c r="FW12" s="1694"/>
      <c r="FX12" s="1694"/>
      <c r="FZ12" s="2000"/>
      <c r="GA12" s="1694"/>
      <c r="GB12" s="1694"/>
      <c r="GC12" s="1694"/>
      <c r="GE12" s="2000"/>
      <c r="GF12" s="1694"/>
      <c r="GG12" s="1694"/>
      <c r="GH12" s="1694"/>
      <c r="GJ12" s="2000"/>
      <c r="GK12" s="1694"/>
      <c r="GL12" s="1694"/>
      <c r="GM12" s="1694"/>
      <c r="GO12" s="2000"/>
      <c r="GP12" s="1694"/>
      <c r="GQ12" s="1694"/>
      <c r="GR12" s="1694"/>
      <c r="GT12" s="2000"/>
      <c r="GU12" s="1694"/>
      <c r="GV12" s="1694"/>
      <c r="GW12" s="1694"/>
      <c r="GY12" s="2000"/>
      <c r="GZ12" s="1694"/>
      <c r="HA12" s="1694"/>
      <c r="HB12" s="1694"/>
      <c r="HD12" s="2000"/>
      <c r="HE12" s="1694"/>
      <c r="HF12" s="1694"/>
      <c r="HG12" s="1694"/>
      <c r="HI12" s="2000"/>
      <c r="HJ12" s="1694"/>
      <c r="HK12" s="1694"/>
      <c r="HL12" s="1694"/>
      <c r="HN12" s="2000"/>
      <c r="HO12" s="1694"/>
      <c r="HP12" s="1694"/>
      <c r="HQ12" s="1694"/>
      <c r="HS12" s="2000"/>
      <c r="HT12" s="1694"/>
      <c r="HU12" s="1694"/>
      <c r="HV12" s="1694"/>
      <c r="HX12" s="2000"/>
      <c r="HY12" s="1694"/>
      <c r="HZ12" s="1694"/>
      <c r="IA12" s="1694"/>
      <c r="IC12" s="2000"/>
      <c r="ID12" s="1694"/>
      <c r="IE12" s="1694"/>
      <c r="IF12" s="1694"/>
      <c r="IH12" s="2000"/>
      <c r="II12" s="1694"/>
      <c r="IJ12" s="1694"/>
      <c r="IK12" s="1694"/>
      <c r="IM12" s="2000"/>
      <c r="IN12" s="1694"/>
      <c r="IO12" s="1694"/>
      <c r="IP12" s="1694"/>
      <c r="IR12" s="2000"/>
      <c r="IS12" s="1694"/>
      <c r="IT12" s="1694"/>
      <c r="IU12" s="1694"/>
    </row>
    <row r="13" spans="1:255" s="1692" customFormat="1">
      <c r="A13" s="2003" t="str">
        <f>+Tutelle_UitgKrediet!B58&amp;Tutelle_UitgKrediet!C58</f>
        <v>3300111210</v>
      </c>
      <c r="B13" s="2004" t="str">
        <f>Tutelle_UitgKrediet!F58</f>
        <v>Pécule de Vacances du personnel opérationnel NAPAP</v>
      </c>
      <c r="C13" s="2005">
        <f>Tutelle_UitgKrediet!I58</f>
        <v>0</v>
      </c>
      <c r="D13" s="2005">
        <f t="shared" si="0"/>
        <v>0</v>
      </c>
      <c r="E13" s="2005">
        <f t="shared" si="1"/>
        <v>0</v>
      </c>
      <c r="G13" s="2051">
        <f t="shared" si="2"/>
        <v>3300111210</v>
      </c>
      <c r="H13" s="1694"/>
      <c r="I13" s="1694"/>
      <c r="J13" s="1694"/>
      <c r="L13" s="2000"/>
      <c r="M13" s="1694"/>
      <c r="N13" s="1694"/>
      <c r="O13" s="1694"/>
      <c r="Q13" s="2000"/>
      <c r="R13" s="1694"/>
      <c r="S13" s="1694"/>
      <c r="T13" s="1694"/>
      <c r="V13" s="2000"/>
      <c r="W13" s="1694"/>
      <c r="X13" s="1694"/>
      <c r="Y13" s="1694"/>
      <c r="AA13" s="2000"/>
      <c r="AB13" s="1694"/>
      <c r="AC13" s="1694"/>
      <c r="AD13" s="1694"/>
      <c r="AF13" s="2000"/>
      <c r="AG13" s="1694"/>
      <c r="AH13" s="1694"/>
      <c r="AI13" s="1694"/>
      <c r="AK13" s="2000"/>
      <c r="AL13" s="1694"/>
      <c r="AM13" s="1694"/>
      <c r="AN13" s="1694"/>
      <c r="AP13" s="2000"/>
      <c r="AQ13" s="1694"/>
      <c r="AR13" s="1694"/>
      <c r="AS13" s="1694"/>
      <c r="AU13" s="2000"/>
      <c r="AV13" s="1694"/>
      <c r="AW13" s="1694"/>
      <c r="AX13" s="1694"/>
      <c r="AZ13" s="2000"/>
      <c r="BA13" s="1694"/>
      <c r="BB13" s="1694"/>
      <c r="BC13" s="1694"/>
      <c r="BE13" s="2000"/>
      <c r="BF13" s="1694"/>
      <c r="BG13" s="1694"/>
      <c r="BH13" s="1694"/>
      <c r="BJ13" s="2000"/>
      <c r="BK13" s="1694"/>
      <c r="BL13" s="1694"/>
      <c r="BM13" s="1694"/>
      <c r="BO13" s="2000"/>
      <c r="BP13" s="1694"/>
      <c r="BQ13" s="1694"/>
      <c r="BR13" s="1694"/>
      <c r="BT13" s="2000"/>
      <c r="BU13" s="1694"/>
      <c r="BV13" s="1694"/>
      <c r="BW13" s="1694"/>
      <c r="BY13" s="2000"/>
      <c r="BZ13" s="1694"/>
      <c r="CA13" s="1694"/>
      <c r="CB13" s="1694"/>
      <c r="CD13" s="2000"/>
      <c r="CE13" s="1694"/>
      <c r="CF13" s="1694"/>
      <c r="CG13" s="1694"/>
      <c r="CI13" s="2000"/>
      <c r="CJ13" s="1694"/>
      <c r="CK13" s="1694"/>
      <c r="CL13" s="1694"/>
      <c r="CN13" s="2000"/>
      <c r="CO13" s="1694"/>
      <c r="CP13" s="1694"/>
      <c r="CQ13" s="1694"/>
      <c r="CS13" s="2000"/>
      <c r="CT13" s="1694"/>
      <c r="CU13" s="1694"/>
      <c r="CV13" s="1694"/>
      <c r="CX13" s="2000"/>
      <c r="CY13" s="1694"/>
      <c r="CZ13" s="1694"/>
      <c r="DA13" s="1694"/>
      <c r="DC13" s="2000"/>
      <c r="DD13" s="1694"/>
      <c r="DE13" s="1694"/>
      <c r="DF13" s="1694"/>
      <c r="DH13" s="2000"/>
      <c r="DI13" s="1694"/>
      <c r="DJ13" s="1694"/>
      <c r="DK13" s="1694"/>
      <c r="DM13" s="2000"/>
      <c r="DN13" s="1694"/>
      <c r="DO13" s="1694"/>
      <c r="DP13" s="1694"/>
      <c r="DR13" s="2000"/>
      <c r="DS13" s="1694"/>
      <c r="DT13" s="1694"/>
      <c r="DU13" s="1694"/>
      <c r="DW13" s="2000"/>
      <c r="DX13" s="1694"/>
      <c r="DY13" s="1694"/>
      <c r="DZ13" s="1694"/>
      <c r="EB13" s="2000"/>
      <c r="EC13" s="1694"/>
      <c r="ED13" s="1694"/>
      <c r="EE13" s="1694"/>
      <c r="EG13" s="2000"/>
      <c r="EH13" s="1694"/>
      <c r="EI13" s="1694"/>
      <c r="EJ13" s="1694"/>
      <c r="EL13" s="2000"/>
      <c r="EM13" s="1694"/>
      <c r="EN13" s="1694"/>
      <c r="EO13" s="1694"/>
      <c r="EQ13" s="2000"/>
      <c r="ER13" s="1694"/>
      <c r="ES13" s="1694"/>
      <c r="ET13" s="1694"/>
      <c r="EV13" s="2000"/>
      <c r="EW13" s="1694"/>
      <c r="EX13" s="1694"/>
      <c r="EY13" s="1694"/>
      <c r="FA13" s="2000"/>
      <c r="FB13" s="1694"/>
      <c r="FC13" s="1694"/>
      <c r="FD13" s="1694"/>
      <c r="FF13" s="2000"/>
      <c r="FG13" s="1694"/>
      <c r="FH13" s="1694"/>
      <c r="FI13" s="1694"/>
      <c r="FK13" s="2000"/>
      <c r="FL13" s="1694"/>
      <c r="FM13" s="1694"/>
      <c r="FN13" s="1694"/>
      <c r="FP13" s="2000"/>
      <c r="FQ13" s="1694"/>
      <c r="FR13" s="1694"/>
      <c r="FS13" s="1694"/>
      <c r="FU13" s="2000"/>
      <c r="FV13" s="1694"/>
      <c r="FW13" s="1694"/>
      <c r="FX13" s="1694"/>
      <c r="FZ13" s="2000"/>
      <c r="GA13" s="1694"/>
      <c r="GB13" s="1694"/>
      <c r="GC13" s="1694"/>
      <c r="GE13" s="2000"/>
      <c r="GF13" s="1694"/>
      <c r="GG13" s="1694"/>
      <c r="GH13" s="1694"/>
      <c r="GJ13" s="2000"/>
      <c r="GK13" s="1694"/>
      <c r="GL13" s="1694"/>
      <c r="GM13" s="1694"/>
      <c r="GO13" s="2000"/>
      <c r="GP13" s="1694"/>
      <c r="GQ13" s="1694"/>
      <c r="GR13" s="1694"/>
      <c r="GT13" s="2000"/>
      <c r="GU13" s="1694"/>
      <c r="GV13" s="1694"/>
      <c r="GW13" s="1694"/>
      <c r="GY13" s="2000"/>
      <c r="GZ13" s="1694"/>
      <c r="HA13" s="1694"/>
      <c r="HB13" s="1694"/>
      <c r="HD13" s="2000"/>
      <c r="HE13" s="1694"/>
      <c r="HF13" s="1694"/>
      <c r="HG13" s="1694"/>
      <c r="HI13" s="2000"/>
      <c r="HJ13" s="1694"/>
      <c r="HK13" s="1694"/>
      <c r="HL13" s="1694"/>
      <c r="HN13" s="2000"/>
      <c r="HO13" s="1694"/>
      <c r="HP13" s="1694"/>
      <c r="HQ13" s="1694"/>
      <c r="HS13" s="2000"/>
      <c r="HT13" s="1694"/>
      <c r="HU13" s="1694"/>
      <c r="HV13" s="1694"/>
      <c r="HX13" s="2000"/>
      <c r="HY13" s="1694"/>
      <c r="HZ13" s="1694"/>
      <c r="IA13" s="1694"/>
      <c r="IC13" s="2000"/>
      <c r="ID13" s="1694"/>
      <c r="IE13" s="1694"/>
      <c r="IF13" s="1694"/>
      <c r="IH13" s="2000"/>
      <c r="II13" s="1694"/>
      <c r="IJ13" s="1694"/>
      <c r="IK13" s="1694"/>
      <c r="IM13" s="2000"/>
      <c r="IN13" s="1694"/>
      <c r="IO13" s="1694"/>
      <c r="IP13" s="1694"/>
      <c r="IR13" s="2000"/>
      <c r="IS13" s="1694"/>
      <c r="IT13" s="1694"/>
      <c r="IU13" s="1694"/>
    </row>
    <row r="14" spans="1:255" s="1692" customFormat="1" ht="25.5">
      <c r="A14" s="1692" t="str">
        <f>+Tutelle_UitgKrediet!B59&amp;Tutelle_UitgKrediet!C59</f>
        <v>3300111301</v>
      </c>
      <c r="B14" s="2000" t="str">
        <f>Tutelle_UitgKrediet!F59</f>
        <v xml:space="preserve">Cotisations patronales ordinaires à l'ORPSS (Traitement et allocations fixes)  du personnel opérationnel </v>
      </c>
      <c r="C14" s="1694">
        <f>Tutelle_UitgKrediet!I59</f>
        <v>0</v>
      </c>
      <c r="D14" s="1694">
        <f t="shared" si="0"/>
        <v>0</v>
      </c>
      <c r="E14" s="1694">
        <f t="shared" si="1"/>
        <v>0</v>
      </c>
      <c r="G14" s="2051">
        <f t="shared" si="2"/>
        <v>3300111301</v>
      </c>
      <c r="H14" s="2001"/>
      <c r="I14" s="2001"/>
      <c r="J14" s="2001"/>
      <c r="K14" s="2002"/>
    </row>
    <row r="15" spans="1:255" s="1692" customFormat="1" ht="25.5">
      <c r="A15" s="1692" t="str">
        <f>+Tutelle_UitgKrediet!B60&amp;Tutelle_UitgKrediet!C60</f>
        <v>3300111308</v>
      </c>
      <c r="B15" s="2000" t="str">
        <f>Tutelle_UitgKrediet!F60</f>
        <v>Cotisations patronales à l'ORPSS sur les allocations variables pour prestations du personnel opérationnel</v>
      </c>
      <c r="C15" s="1694">
        <f>Tutelle_UitgKrediet!I60</f>
        <v>0</v>
      </c>
      <c r="D15" s="1694">
        <f t="shared" si="0"/>
        <v>0</v>
      </c>
      <c r="E15" s="1694">
        <f t="shared" si="1"/>
        <v>0</v>
      </c>
      <c r="G15" s="2051">
        <f t="shared" si="2"/>
        <v>3300111308</v>
      </c>
      <c r="H15" s="2001"/>
      <c r="I15" s="2001"/>
      <c r="J15" s="2001"/>
      <c r="K15" s="2002"/>
    </row>
    <row r="16" spans="1:255" s="1692" customFormat="1">
      <c r="A16" s="1692" t="str">
        <f>+Tutelle_UitgKrediet!B61&amp;Tutelle_UitgKrediet!C61</f>
        <v>3300111321</v>
      </c>
      <c r="B16" s="2000" t="str">
        <f>Tutelle_UitgKrediet!F61</f>
        <v xml:space="preserve">Cotisations patronales pension du personnel opérationnel </v>
      </c>
      <c r="C16" s="1694">
        <f>Tutelle_UitgKrediet!I61</f>
        <v>0</v>
      </c>
      <c r="D16" s="1694">
        <f t="shared" si="0"/>
        <v>0</v>
      </c>
      <c r="E16" s="1694">
        <f t="shared" si="1"/>
        <v>0</v>
      </c>
      <c r="G16" s="2051">
        <f t="shared" si="2"/>
        <v>3300111321</v>
      </c>
      <c r="H16" s="2001"/>
      <c r="I16" s="2001"/>
      <c r="J16" s="2001"/>
      <c r="K16" s="2002"/>
    </row>
    <row r="17" spans="1:11" s="1692" customFormat="1" ht="25.5">
      <c r="A17" s="1692" t="str">
        <f>+Tutelle_UitgKrediet!B62&amp;Tutelle_UitgKrediet!C62</f>
        <v>3300111501</v>
      </c>
      <c r="B17" s="2000" t="str">
        <f>Tutelle_UitgKrediet!F62</f>
        <v>Indemnités pour frais de déplacement du et vers le lieu de travail du personnel opérationnel</v>
      </c>
      <c r="C17" s="1694">
        <f>Tutelle_UitgKrediet!I62</f>
        <v>0</v>
      </c>
      <c r="D17" s="1694">
        <f t="shared" si="0"/>
        <v>0</v>
      </c>
      <c r="E17" s="1694">
        <f t="shared" si="1"/>
        <v>0</v>
      </c>
      <c r="G17" s="2051">
        <f t="shared" si="2"/>
        <v>3300111501</v>
      </c>
      <c r="H17" s="2001"/>
      <c r="I17" s="2001"/>
      <c r="J17" s="2001"/>
      <c r="K17" s="2002"/>
    </row>
    <row r="18" spans="1:11" s="1692" customFormat="1">
      <c r="A18" s="1692" t="str">
        <f>+Tutelle_UitgKrediet!B63&amp;Tutelle_UitgKrediet!C63</f>
        <v>3300111701</v>
      </c>
      <c r="B18" s="2000" t="str">
        <f>Tutelle_UitgKrediet!F63</f>
        <v>Primes pour l'assurance des accidents de travail du personnel Opérationnel</v>
      </c>
      <c r="C18" s="1694">
        <f>Tutelle_UitgKrediet!I63</f>
        <v>0</v>
      </c>
      <c r="D18" s="1694">
        <f t="shared" si="0"/>
        <v>0</v>
      </c>
      <c r="E18" s="1694">
        <f t="shared" si="1"/>
        <v>0</v>
      </c>
      <c r="G18" s="2051">
        <f t="shared" si="2"/>
        <v>3300111701</v>
      </c>
      <c r="H18" s="2001"/>
      <c r="I18" s="2001"/>
      <c r="J18" s="2001"/>
      <c r="K18" s="2002"/>
    </row>
    <row r="19" spans="1:11" s="1692" customFormat="1">
      <c r="A19" s="1692" t="str">
        <f>+Tutelle_UitgKrediet!B64&amp;Tutelle_UitgKrediet!C64</f>
        <v>3300111801</v>
      </c>
      <c r="B19" s="2000" t="str">
        <f>Tutelle_UitgKrediet!F64</f>
        <v>Cotisations au service social du personnel Opérationnel</v>
      </c>
      <c r="C19" s="1694">
        <f>Tutelle_UitgKrediet!I64</f>
        <v>0</v>
      </c>
      <c r="D19" s="1694">
        <f t="shared" si="0"/>
        <v>0</v>
      </c>
      <c r="E19" s="1694">
        <f t="shared" si="1"/>
        <v>0</v>
      </c>
      <c r="G19" s="2051">
        <f t="shared" si="2"/>
        <v>3300111801</v>
      </c>
      <c r="H19" s="2001"/>
      <c r="I19" s="2001"/>
      <c r="J19" s="2001"/>
      <c r="K19" s="2002"/>
    </row>
    <row r="20" spans="1:11" s="1692" customFormat="1">
      <c r="A20" s="1692" t="str">
        <f>+Tutelle_UitgKrediet!B65&amp;Tutelle_UitgKrediet!C65</f>
        <v>3300112101</v>
      </c>
      <c r="B20" s="2000" t="str">
        <f>Tutelle_UitgKrediet!F65</f>
        <v>Indemnisation des frais de déplacement et de séjour du personnel Opérationnel</v>
      </c>
      <c r="C20" s="1694">
        <f>Tutelle_UitgKrediet!I65</f>
        <v>0</v>
      </c>
      <c r="D20" s="1694">
        <f t="shared" si="0"/>
        <v>0</v>
      </c>
      <c r="E20" s="1694">
        <f t="shared" si="1"/>
        <v>0</v>
      </c>
      <c r="G20" s="2051">
        <f t="shared" si="2"/>
        <v>3300112101</v>
      </c>
      <c r="H20" s="2001"/>
      <c r="I20" s="2001"/>
      <c r="J20" s="2001"/>
      <c r="K20" s="2002"/>
    </row>
    <row r="21" spans="1:11" s="1692" customFormat="1">
      <c r="A21" s="1692" t="str">
        <f>+Tutelle_UitgKrediet!B66&amp;Tutelle_UitgKrediet!C66</f>
        <v>3300112103</v>
      </c>
      <c r="B21" s="2000" t="str">
        <f>Tutelle_UitgKrediet!F66</f>
        <v>Indemnité pour entretien de la tenue du personnel Opérationnel</v>
      </c>
      <c r="C21" s="1694">
        <f>Tutelle_UitgKrediet!I66</f>
        <v>0</v>
      </c>
      <c r="D21" s="1694">
        <f t="shared" si="0"/>
        <v>0</v>
      </c>
      <c r="E21" s="1694">
        <f t="shared" si="1"/>
        <v>0</v>
      </c>
      <c r="G21" s="2051">
        <f t="shared" si="2"/>
        <v>3300112103</v>
      </c>
      <c r="H21" s="2001"/>
      <c r="I21" s="2001"/>
      <c r="J21" s="2001"/>
      <c r="K21" s="2002"/>
    </row>
    <row r="22" spans="1:11" s="1692" customFormat="1">
      <c r="A22" s="1692" t="str">
        <f>+Tutelle_UitgKrediet!B67&amp;Tutelle_UitgKrediet!C67</f>
        <v>3300112148</v>
      </c>
      <c r="B22" s="2000" t="str">
        <f>Tutelle_UitgKrediet!F67</f>
        <v>Autres indemnités du personnel Opérationnel</v>
      </c>
      <c r="C22" s="1694">
        <f>Tutelle_UitgKrediet!I67</f>
        <v>0</v>
      </c>
      <c r="D22" s="1694">
        <f t="shared" si="0"/>
        <v>0</v>
      </c>
      <c r="E22" s="1694">
        <f t="shared" si="1"/>
        <v>0</v>
      </c>
      <c r="G22" s="2051">
        <f t="shared" si="2"/>
        <v>3300112148</v>
      </c>
      <c r="H22" s="2001"/>
      <c r="I22" s="2001"/>
      <c r="J22" s="2001"/>
      <c r="K22" s="2002"/>
    </row>
    <row r="23" spans="1:11" s="1692" customFormat="1">
      <c r="A23" s="1692" t="str">
        <f>+Tutelle_UitgKrediet!B68&amp;Tutelle_UitgKrediet!C68</f>
        <v>3309111101</v>
      </c>
      <c r="B23" s="2000" t="str">
        <f>Tutelle_UitgKrediet!F68</f>
        <v xml:space="preserve">Rémunération du personnel CALog </v>
      </c>
      <c r="C23" s="1694">
        <f>Tutelle_UitgKrediet!I68</f>
        <v>0</v>
      </c>
      <c r="D23" s="1694">
        <f t="shared" si="0"/>
        <v>0</v>
      </c>
      <c r="E23" s="1694">
        <f t="shared" si="1"/>
        <v>0</v>
      </c>
      <c r="G23" s="2051">
        <f t="shared" si="2"/>
        <v>3309111101</v>
      </c>
      <c r="H23" s="2001"/>
      <c r="I23" s="2001"/>
      <c r="J23" s="2001"/>
      <c r="K23" s="2002"/>
    </row>
    <row r="24" spans="1:11" s="1692" customFormat="1">
      <c r="A24" s="1692" t="str">
        <f>+Tutelle_UitgKrediet!B69&amp;Tutelle_UitgKrediet!C69</f>
        <v>3309111102</v>
      </c>
      <c r="B24" s="2000" t="str">
        <f>Tutelle_UitgKrediet!F69</f>
        <v>Rémunération pour Agent(s) Premier Emploi</v>
      </c>
      <c r="C24" s="1694">
        <f>Tutelle_UitgKrediet!I69</f>
        <v>0</v>
      </c>
      <c r="D24" s="1694">
        <f t="shared" si="0"/>
        <v>0</v>
      </c>
      <c r="E24" s="1694">
        <f t="shared" si="1"/>
        <v>0</v>
      </c>
      <c r="G24" s="2051">
        <f t="shared" si="2"/>
        <v>3309111102</v>
      </c>
      <c r="H24" s="2001"/>
      <c r="I24" s="2001"/>
      <c r="J24" s="2001"/>
      <c r="K24" s="2002"/>
    </row>
    <row r="25" spans="1:11" s="1692" customFormat="1">
      <c r="A25" s="1692" t="str">
        <f>+Tutelle_UitgKrediet!B70&amp;Tutelle_UitgKrediet!C70</f>
        <v>3309111108</v>
      </c>
      <c r="B25" s="2000" t="str">
        <f>Tutelle_UitgKrediet!F70</f>
        <v xml:space="preserve">Allocations variables pour prestations du personnel CALog </v>
      </c>
      <c r="C25" s="1694">
        <f>Tutelle_UitgKrediet!I70</f>
        <v>0</v>
      </c>
      <c r="D25" s="1694">
        <f t="shared" si="0"/>
        <v>0</v>
      </c>
      <c r="E25" s="1694">
        <f t="shared" si="1"/>
        <v>0</v>
      </c>
      <c r="G25" s="2051">
        <f t="shared" si="2"/>
        <v>3309111108</v>
      </c>
      <c r="H25" s="2001"/>
      <c r="I25" s="2001"/>
      <c r="J25" s="2001"/>
      <c r="K25" s="2002"/>
    </row>
    <row r="26" spans="1:11" s="1692" customFormat="1">
      <c r="A26" s="1692" t="str">
        <f>+Tutelle_UitgKrediet!B71&amp;Tutelle_UitgKrediet!C71</f>
        <v>3309111109</v>
      </c>
      <c r="B26" s="2000" t="str">
        <f>Tutelle_UitgKrediet!F71</f>
        <v>Allocations variables pour prestations pour Agent(s) Premier Emploi</v>
      </c>
      <c r="C26" s="1694">
        <f>Tutelle_UitgKrediet!I71</f>
        <v>0</v>
      </c>
      <c r="D26" s="1694">
        <f t="shared" si="0"/>
        <v>0</v>
      </c>
      <c r="E26" s="1694">
        <f t="shared" si="1"/>
        <v>0</v>
      </c>
      <c r="G26" s="2051">
        <f t="shared" si="2"/>
        <v>3309111109</v>
      </c>
      <c r="H26" s="2001"/>
      <c r="I26" s="2001"/>
      <c r="J26" s="2001"/>
      <c r="K26" s="2002"/>
    </row>
    <row r="27" spans="1:11" s="1692" customFormat="1">
      <c r="A27" s="1692" t="str">
        <f>+Tutelle_UitgKrediet!B72&amp;Tutelle_UitgKrediet!C72</f>
        <v>3309111201</v>
      </c>
      <c r="B27" s="2000" t="str">
        <f>Tutelle_UitgKrediet!F72</f>
        <v xml:space="preserve">Pécule de Vacances du personnel CALog </v>
      </c>
      <c r="C27" s="1694">
        <f>Tutelle_UitgKrediet!I72</f>
        <v>0</v>
      </c>
      <c r="D27" s="1694">
        <f t="shared" si="0"/>
        <v>0</v>
      </c>
      <c r="E27" s="1694">
        <f t="shared" si="1"/>
        <v>0</v>
      </c>
      <c r="G27" s="2051">
        <f t="shared" si="2"/>
        <v>3309111201</v>
      </c>
      <c r="H27" s="2001"/>
      <c r="I27" s="2001"/>
      <c r="J27" s="2001"/>
      <c r="K27" s="2002"/>
    </row>
    <row r="28" spans="1:11" s="1692" customFormat="1">
      <c r="A28" s="1692" t="str">
        <f>+Tutelle_UitgKrediet!B73&amp;Tutelle_UitgKrediet!C73</f>
        <v>3309111202</v>
      </c>
      <c r="B28" s="2000" t="str">
        <f>Tutelle_UitgKrediet!F73</f>
        <v>Pécule de Vacances pour Agent(s) Premier Emploi</v>
      </c>
      <c r="C28" s="1694">
        <f>Tutelle_UitgKrediet!I73</f>
        <v>0</v>
      </c>
      <c r="D28" s="1694">
        <f t="shared" si="0"/>
        <v>0</v>
      </c>
      <c r="E28" s="1694">
        <f t="shared" si="1"/>
        <v>0</v>
      </c>
      <c r="G28" s="2051">
        <f t="shared" si="2"/>
        <v>3309111202</v>
      </c>
      <c r="H28" s="2001"/>
      <c r="I28" s="2001"/>
      <c r="J28" s="2001"/>
      <c r="K28" s="2002"/>
    </row>
    <row r="29" spans="1:11" s="1692" customFormat="1" ht="25.5">
      <c r="A29" s="1692" t="str">
        <f>+Tutelle_UitgKrediet!B74&amp;Tutelle_UitgKrediet!C74</f>
        <v>3309111301</v>
      </c>
      <c r="B29" s="2000" t="str">
        <f>Tutelle_UitgKrediet!F74</f>
        <v xml:space="preserve">Cotisations patronales ordinaires à l'ORPSS (Traitement et allocations fixes)  du personnel CALog </v>
      </c>
      <c r="C29" s="1694">
        <f>Tutelle_UitgKrediet!I74</f>
        <v>0</v>
      </c>
      <c r="D29" s="1694">
        <f t="shared" si="0"/>
        <v>0</v>
      </c>
      <c r="E29" s="1694">
        <f t="shared" si="1"/>
        <v>0</v>
      </c>
      <c r="G29" s="2051">
        <f t="shared" si="2"/>
        <v>3309111301</v>
      </c>
      <c r="H29" s="2001"/>
      <c r="I29" s="2001"/>
      <c r="J29" s="2001"/>
      <c r="K29" s="2002"/>
    </row>
    <row r="30" spans="1:11" s="1692" customFormat="1" ht="25.5">
      <c r="A30" s="1692" t="str">
        <f>+Tutelle_UitgKrediet!B75&amp;Tutelle_UitgKrediet!C75</f>
        <v>3309111302</v>
      </c>
      <c r="B30" s="2000" t="str">
        <f>Tutelle_UitgKrediet!F75</f>
        <v>Cotisations patronales ordinaires à l'ORPSS (Traitement et allocations fixes) pour Agent(s) Premier Emploi</v>
      </c>
      <c r="C30" s="1694">
        <f>Tutelle_UitgKrediet!I75</f>
        <v>0</v>
      </c>
      <c r="D30" s="1694">
        <f t="shared" si="0"/>
        <v>0</v>
      </c>
      <c r="E30" s="1694">
        <f t="shared" si="1"/>
        <v>0</v>
      </c>
      <c r="G30" s="2051">
        <f t="shared" si="2"/>
        <v>3309111302</v>
      </c>
      <c r="H30" s="2001"/>
      <c r="I30" s="2001"/>
      <c r="J30" s="2001"/>
      <c r="K30" s="2002"/>
    </row>
    <row r="31" spans="1:11" s="1692" customFormat="1" ht="25.5">
      <c r="A31" s="1692" t="str">
        <f>+Tutelle_UitgKrediet!B76&amp;Tutelle_UitgKrediet!C76</f>
        <v>3309111308</v>
      </c>
      <c r="B31" s="2000" t="str">
        <f>Tutelle_UitgKrediet!F76</f>
        <v>Cotisations patronales à l'ORPSS sur les allocations variables pour prestations du personnel CALog</v>
      </c>
      <c r="C31" s="1694">
        <f>Tutelle_UitgKrediet!I76</f>
        <v>0</v>
      </c>
      <c r="D31" s="1694">
        <f t="shared" si="0"/>
        <v>0</v>
      </c>
      <c r="E31" s="1694">
        <f t="shared" si="1"/>
        <v>0</v>
      </c>
      <c r="G31" s="2051">
        <f t="shared" si="2"/>
        <v>3309111308</v>
      </c>
      <c r="H31" s="2001"/>
      <c r="I31" s="2001"/>
      <c r="J31" s="2001"/>
      <c r="K31" s="2002"/>
    </row>
    <row r="32" spans="1:11" s="1692" customFormat="1" ht="25.5">
      <c r="A32" s="1692" t="str">
        <f>+Tutelle_UitgKrediet!B77&amp;Tutelle_UitgKrediet!C77</f>
        <v>3309111309</v>
      </c>
      <c r="B32" s="2000" t="str">
        <f>Tutelle_UitgKrediet!F77</f>
        <v>Cotisations patronales à l'ORPSS sur les allocations variables pour prestations pour Agent(s) Premier Emploi</v>
      </c>
      <c r="C32" s="1694">
        <f>Tutelle_UitgKrediet!I77</f>
        <v>0</v>
      </c>
      <c r="D32" s="1694">
        <f t="shared" si="0"/>
        <v>0</v>
      </c>
      <c r="E32" s="1694">
        <f t="shared" si="1"/>
        <v>0</v>
      </c>
      <c r="G32" s="2051">
        <f t="shared" si="2"/>
        <v>3309111309</v>
      </c>
      <c r="H32" s="2001"/>
      <c r="I32" s="2001"/>
      <c r="J32" s="2001"/>
      <c r="K32" s="2002"/>
    </row>
    <row r="33" spans="1:11" s="1692" customFormat="1">
      <c r="A33" s="1692" t="str">
        <f>+Tutelle_UitgKrediet!B78&amp;Tutelle_UitgKrediet!C78</f>
        <v>3309111321</v>
      </c>
      <c r="B33" s="2000" t="str">
        <f>Tutelle_UitgKrediet!F78</f>
        <v xml:space="preserve">Cotisations patronales pension du personnel CALog </v>
      </c>
      <c r="C33" s="1694">
        <f>Tutelle_UitgKrediet!I78</f>
        <v>0</v>
      </c>
      <c r="D33" s="1694">
        <f t="shared" si="0"/>
        <v>0</v>
      </c>
      <c r="E33" s="1694">
        <f t="shared" si="1"/>
        <v>0</v>
      </c>
      <c r="G33" s="2051">
        <f t="shared" si="2"/>
        <v>3309111321</v>
      </c>
      <c r="H33" s="2001"/>
      <c r="I33" s="2001"/>
      <c r="J33" s="2001"/>
      <c r="K33" s="2002"/>
    </row>
    <row r="34" spans="1:11" s="1692" customFormat="1" ht="25.5">
      <c r="A34" s="1692" t="str">
        <f>+Tutelle_UitgKrediet!B79&amp;Tutelle_UitgKrediet!C79</f>
        <v>3309111501</v>
      </c>
      <c r="B34" s="2000" t="str">
        <f>Tutelle_UitgKrediet!F79</f>
        <v>Indemnités pour frais de déplacement du et vers le lieu de travail du personnel CALog</v>
      </c>
      <c r="C34" s="1694">
        <f>Tutelle_UitgKrediet!I79</f>
        <v>0</v>
      </c>
      <c r="D34" s="1694">
        <f t="shared" si="0"/>
        <v>0</v>
      </c>
      <c r="E34" s="1694">
        <f t="shared" si="1"/>
        <v>0</v>
      </c>
      <c r="G34" s="2051">
        <f t="shared" si="2"/>
        <v>3309111501</v>
      </c>
      <c r="H34" s="2001"/>
      <c r="I34" s="2001"/>
      <c r="J34" s="2001"/>
      <c r="K34" s="2002"/>
    </row>
    <row r="35" spans="1:11" s="1692" customFormat="1" ht="25.5">
      <c r="A35" s="1692" t="str">
        <f>+Tutelle_UitgKrediet!B80&amp;Tutelle_UitgKrediet!C80</f>
        <v>3309111502</v>
      </c>
      <c r="B35" s="2000" t="str">
        <f>Tutelle_UitgKrediet!F80</f>
        <v>Indemnités pour frais de déplacement du et vers le lieu de travail pour Agent(s) Premier Emploi</v>
      </c>
      <c r="C35" s="1694">
        <f>Tutelle_UitgKrediet!I80</f>
        <v>0</v>
      </c>
      <c r="D35" s="1694">
        <f t="shared" si="0"/>
        <v>0</v>
      </c>
      <c r="E35" s="1694">
        <f t="shared" si="1"/>
        <v>0</v>
      </c>
      <c r="G35" s="2051">
        <f t="shared" si="2"/>
        <v>3309111502</v>
      </c>
      <c r="H35" s="2001"/>
      <c r="I35" s="2001"/>
      <c r="J35" s="2001"/>
      <c r="K35" s="2002"/>
    </row>
    <row r="36" spans="1:11" s="1692" customFormat="1" ht="14.25" customHeight="1">
      <c r="A36" s="1692" t="str">
        <f>+Tutelle_UitgKrediet!B81&amp;Tutelle_UitgKrediet!C81</f>
        <v>3309111701</v>
      </c>
      <c r="B36" s="2000" t="str">
        <f>Tutelle_UitgKrediet!F81</f>
        <v>Primes pour l'assurance des accidents de travail du Cadre Administratif et Logistique</v>
      </c>
      <c r="C36" s="1694">
        <f>Tutelle_UitgKrediet!I81</f>
        <v>0</v>
      </c>
      <c r="D36" s="1694">
        <f t="shared" si="0"/>
        <v>0</v>
      </c>
      <c r="E36" s="1694">
        <f t="shared" si="1"/>
        <v>0</v>
      </c>
      <c r="G36" s="2051">
        <f t="shared" si="2"/>
        <v>3309111701</v>
      </c>
      <c r="H36" s="2001"/>
      <c r="I36" s="2001"/>
      <c r="J36" s="2001"/>
      <c r="K36" s="2002"/>
    </row>
    <row r="37" spans="1:11" s="1692" customFormat="1">
      <c r="A37" s="1692" t="str">
        <f>+Tutelle_UitgKrediet!B82&amp;Tutelle_UitgKrediet!C82</f>
        <v>3309111801</v>
      </c>
      <c r="B37" s="2000" t="str">
        <f>Tutelle_UitgKrediet!F82</f>
        <v>Cotisations au service social du Cadre Administratif et Logistique</v>
      </c>
      <c r="C37" s="1694">
        <f>Tutelle_UitgKrediet!I82</f>
        <v>0</v>
      </c>
      <c r="D37" s="1694">
        <f t="shared" si="0"/>
        <v>0</v>
      </c>
      <c r="E37" s="1694">
        <f t="shared" si="1"/>
        <v>0</v>
      </c>
      <c r="G37" s="2051">
        <f t="shared" si="2"/>
        <v>3309111801</v>
      </c>
      <c r="H37" s="2001"/>
      <c r="I37" s="2001"/>
      <c r="J37" s="2001"/>
      <c r="K37" s="2002"/>
    </row>
    <row r="38" spans="1:11" s="1692" customFormat="1" ht="25.5">
      <c r="A38" s="1692" t="str">
        <f>+Tutelle_UitgKrediet!B83&amp;Tutelle_UitgKrediet!C83</f>
        <v>3309112101</v>
      </c>
      <c r="B38" s="2000" t="str">
        <f>Tutelle_UitgKrediet!F83</f>
        <v>Indemnisation des frais de déplacement et de séjour du Cadre Administratif et Logistique</v>
      </c>
      <c r="C38" s="1694">
        <f>Tutelle_UitgKrediet!I83</f>
        <v>0</v>
      </c>
      <c r="D38" s="1694">
        <f t="shared" si="0"/>
        <v>0</v>
      </c>
      <c r="E38" s="1694">
        <f t="shared" si="1"/>
        <v>0</v>
      </c>
      <c r="G38" s="2051">
        <f t="shared" si="2"/>
        <v>3309112101</v>
      </c>
      <c r="H38" s="2001"/>
      <c r="I38" s="2001"/>
      <c r="J38" s="2001"/>
      <c r="K38" s="2002"/>
    </row>
    <row r="39" spans="1:11" s="1692" customFormat="1">
      <c r="A39" s="1692" t="str">
        <f>+Tutelle_UitgKrediet!B84&amp;Tutelle_UitgKrediet!C84</f>
        <v>3309112148</v>
      </c>
      <c r="B39" s="2000" t="str">
        <f>Tutelle_UitgKrediet!F84</f>
        <v>Autres indemnités du Cadre Administratif et Logistique</v>
      </c>
      <c r="C39" s="1694">
        <f>Tutelle_UitgKrediet!I84</f>
        <v>0</v>
      </c>
      <c r="D39" s="1694">
        <f t="shared" si="0"/>
        <v>0</v>
      </c>
      <c r="E39" s="1694">
        <f t="shared" si="1"/>
        <v>0</v>
      </c>
      <c r="G39" s="2051">
        <f t="shared" si="2"/>
        <v>3309112148</v>
      </c>
      <c r="H39" s="2001"/>
      <c r="I39" s="2001"/>
      <c r="J39" s="2001"/>
      <c r="K39" s="2002"/>
    </row>
    <row r="40" spans="1:11" s="1692" customFormat="1">
      <c r="A40" s="1692" t="str">
        <f>+Tutelle_UitgKrediet!B85&amp;Tutelle_UitgKrediet!C85</f>
        <v>3309811101</v>
      </c>
      <c r="B40" s="2000" t="str">
        <f>Tutelle_UitgKrediet!F85</f>
        <v>Rémunération secrétaire de la zone de Police</v>
      </c>
      <c r="C40" s="1694">
        <f>Tutelle_UitgKrediet!I85</f>
        <v>0</v>
      </c>
      <c r="D40" s="1694">
        <f t="shared" si="0"/>
        <v>0</v>
      </c>
      <c r="E40" s="1694">
        <f t="shared" si="1"/>
        <v>0</v>
      </c>
      <c r="G40" s="2051">
        <f t="shared" si="2"/>
        <v>3309811101</v>
      </c>
      <c r="H40" s="2001"/>
      <c r="I40" s="2001"/>
      <c r="J40" s="2001"/>
      <c r="K40" s="2002"/>
    </row>
    <row r="41" spans="1:11" s="1692" customFormat="1">
      <c r="A41" s="1692" t="str">
        <f>+Tutelle_UitgKrediet!B86&amp;Tutelle_UitgKrediet!C86</f>
        <v>3309811301</v>
      </c>
      <c r="B41" s="2000" t="str">
        <f>Tutelle_UitgKrediet!F86</f>
        <v>Cotisations patronales à l'ORPSS pour le secrétaire de la zone de Police</v>
      </c>
      <c r="C41" s="1694">
        <f>Tutelle_UitgKrediet!I86</f>
        <v>0</v>
      </c>
      <c r="D41" s="1694">
        <f t="shared" si="0"/>
        <v>0</v>
      </c>
      <c r="E41" s="1694">
        <f t="shared" si="1"/>
        <v>0</v>
      </c>
      <c r="F41" s="1692" t="s">
        <v>998</v>
      </c>
      <c r="G41" s="2051">
        <f t="shared" si="2"/>
        <v>3309811301</v>
      </c>
      <c r="H41" s="2001"/>
      <c r="I41" s="2001"/>
      <c r="J41" s="2001"/>
      <c r="K41" s="2002"/>
    </row>
    <row r="42" spans="1:11" s="1692" customFormat="1">
      <c r="A42" s="1692" t="str">
        <f>+Tutelle_UitgKrediet!B87&amp;Tutelle_UitgKrediet!C87</f>
        <v>3309811801</v>
      </c>
      <c r="B42" s="2000" t="str">
        <f>Tutelle_UitgKrediet!F87</f>
        <v>Cotisations au service social</v>
      </c>
      <c r="C42" s="1694">
        <f>Tutelle_UitgKrediet!I87</f>
        <v>0</v>
      </c>
      <c r="D42" s="1694">
        <f t="shared" si="0"/>
        <v>0</v>
      </c>
      <c r="E42" s="1694">
        <f t="shared" si="1"/>
        <v>0</v>
      </c>
      <c r="G42" s="2051">
        <f t="shared" si="2"/>
        <v>3309811801</v>
      </c>
      <c r="H42" s="2001"/>
      <c r="I42" s="2001"/>
      <c r="J42" s="2001"/>
      <c r="K42" s="2002"/>
    </row>
    <row r="43" spans="1:11" s="1692" customFormat="1">
      <c r="A43" s="1692" t="str">
        <f>+Tutelle_UitgKrediet!B88&amp;Tutelle_UitgKrediet!C88</f>
        <v>3309812101</v>
      </c>
      <c r="B43" s="2000" t="str">
        <f>Tutelle_UitgKrediet!F88</f>
        <v xml:space="preserve">Indemnisation des frais de déplacement et de séjour </v>
      </c>
      <c r="C43" s="1694">
        <f>Tutelle_UitgKrediet!I88</f>
        <v>0</v>
      </c>
      <c r="D43" s="1694">
        <f t="shared" si="0"/>
        <v>0</v>
      </c>
      <c r="E43" s="1694">
        <f t="shared" si="1"/>
        <v>0</v>
      </c>
      <c r="G43" s="2051">
        <f t="shared" si="2"/>
        <v>3309812101</v>
      </c>
      <c r="H43" s="2001"/>
      <c r="I43" s="2001"/>
      <c r="J43" s="2001"/>
      <c r="K43" s="2002"/>
    </row>
    <row r="44" spans="1:11" s="1692" customFormat="1">
      <c r="A44" s="1692" t="str">
        <f>+Tutelle_UitgKrediet!B89&amp;Tutelle_UitgKrediet!C89</f>
        <v>3309911101</v>
      </c>
      <c r="B44" s="2000" t="str">
        <f>Tutelle_UitgKrediet!F89</f>
        <v>Rémunération du Directeur Financier  de la zone de Police</v>
      </c>
      <c r="C44" s="1694">
        <f>Tutelle_UitgKrediet!I89</f>
        <v>0</v>
      </c>
      <c r="D44" s="1694">
        <f t="shared" si="0"/>
        <v>0</v>
      </c>
      <c r="E44" s="1694">
        <f t="shared" si="1"/>
        <v>0</v>
      </c>
      <c r="G44" s="2051">
        <f t="shared" si="2"/>
        <v>3309911101</v>
      </c>
      <c r="H44" s="2001"/>
      <c r="I44" s="2001"/>
      <c r="J44" s="2001"/>
      <c r="K44" s="2002"/>
    </row>
    <row r="45" spans="1:11" s="1692" customFormat="1">
      <c r="A45" s="1692" t="str">
        <f>+Tutelle_UitgKrediet!B90&amp;Tutelle_UitgKrediet!C90</f>
        <v>3309911301</v>
      </c>
      <c r="B45" s="2000" t="str">
        <f>Tutelle_UitgKrediet!F90</f>
        <v>Cotisations patronales à l'ORPSS pour le Directeur Financier  de la zone de Police</v>
      </c>
      <c r="C45" s="1694">
        <f>Tutelle_UitgKrediet!I90</f>
        <v>0</v>
      </c>
      <c r="D45" s="1694">
        <f t="shared" si="0"/>
        <v>0</v>
      </c>
      <c r="E45" s="1694">
        <f t="shared" si="1"/>
        <v>0</v>
      </c>
      <c r="G45" s="2051">
        <f t="shared" si="2"/>
        <v>3309911301</v>
      </c>
      <c r="H45" s="2001"/>
      <c r="I45" s="2001"/>
      <c r="J45" s="2001"/>
      <c r="K45" s="2002"/>
    </row>
    <row r="46" spans="1:11" s="1692" customFormat="1">
      <c r="A46" s="1692" t="str">
        <f>+Tutelle_UitgKrediet!B91&amp;Tutelle_UitgKrediet!C91</f>
        <v>3309911801</v>
      </c>
      <c r="B46" s="2000" t="str">
        <f>Tutelle_UitgKrediet!F91</f>
        <v>Cotisations au service social</v>
      </c>
      <c r="C46" s="1694">
        <f>Tutelle_UitgKrediet!I91</f>
        <v>0</v>
      </c>
      <c r="D46" s="1694">
        <f t="shared" si="0"/>
        <v>0</v>
      </c>
      <c r="E46" s="1694">
        <f t="shared" si="1"/>
        <v>0</v>
      </c>
      <c r="G46" s="2051">
        <f t="shared" si="2"/>
        <v>3309911801</v>
      </c>
      <c r="H46" s="2001"/>
      <c r="I46" s="2001"/>
      <c r="J46" s="2001"/>
      <c r="K46" s="2002"/>
    </row>
    <row r="47" spans="1:11" s="1692" customFormat="1">
      <c r="A47" s="1692" t="str">
        <f>+Tutelle_UitgKrediet!B92&amp;Tutelle_UitgKrediet!C92</f>
        <v>3309912101</v>
      </c>
      <c r="B47" s="2000" t="str">
        <f>Tutelle_UitgKrediet!F92</f>
        <v xml:space="preserve">Indemnisation des frais de déplacement et de séjour </v>
      </c>
      <c r="C47" s="1694">
        <f>Tutelle_UitgKrediet!I92</f>
        <v>0</v>
      </c>
      <c r="D47" s="1694">
        <f t="shared" si="0"/>
        <v>0</v>
      </c>
      <c r="E47" s="1694">
        <f t="shared" si="1"/>
        <v>0</v>
      </c>
      <c r="G47" s="2051">
        <f t="shared" si="2"/>
        <v>3309912101</v>
      </c>
    </row>
    <row r="48" spans="1:11">
      <c r="A48" s="1692"/>
      <c r="B48" s="2000"/>
      <c r="C48" s="1694"/>
      <c r="D48" s="47"/>
      <c r="E48" s="47"/>
      <c r="G48" s="2052"/>
    </row>
    <row r="49" spans="1:7">
      <c r="A49" s="1692"/>
      <c r="B49" s="2000"/>
      <c r="C49" s="1694"/>
      <c r="G49" s="2051">
        <f>SUM(G9:G48)</f>
        <v>128935347741</v>
      </c>
    </row>
    <row r="50" spans="1:7"/>
    <row r="51" spans="1:7">
      <c r="A51" t="s">
        <v>998</v>
      </c>
    </row>
    <row r="52" spans="1:7">
      <c r="A52" t="s">
        <v>998</v>
      </c>
    </row>
    <row r="53" spans="1:7" hidden="1">
      <c r="A53" t="s">
        <v>998</v>
      </c>
    </row>
    <row r="54" spans="1:7" hidden="1">
      <c r="A54" t="s">
        <v>998</v>
      </c>
    </row>
    <row r="55" spans="1:7" hidden="1">
      <c r="A55" t="s">
        <v>998</v>
      </c>
    </row>
    <row r="56" spans="1:7" hidden="1">
      <c r="A56" t="s">
        <v>998</v>
      </c>
    </row>
    <row r="57" spans="1:7" hidden="1">
      <c r="A57" t="s">
        <v>998</v>
      </c>
    </row>
    <row r="58" spans="1:7" ht="12.75" customHeight="1"/>
    <row r="59" spans="1:7" ht="12.75" customHeight="1"/>
  </sheetData>
  <mergeCells count="2">
    <mergeCell ref="G6:K7"/>
    <mergeCell ref="A2:B4"/>
  </mergeCells>
  <phoneticPr fontId="38" type="noConversion"/>
  <pageMargins left="0.75" right="0.75" top="1" bottom="1" header="0.5" footer="0.5"/>
  <pageSetup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ut5"/>
  <dimension ref="A1:K73"/>
  <sheetViews>
    <sheetView topLeftCell="A10" workbookViewId="0">
      <selection activeCell="B8" sqref="B8"/>
    </sheetView>
  </sheetViews>
  <sheetFormatPr defaultColWidth="0" defaultRowHeight="12.75" customHeight="1" zeroHeight="1"/>
  <cols>
    <col min="1" max="1" width="11.5703125" customWidth="1"/>
    <col min="2" max="2" width="62.5703125" customWidth="1"/>
    <col min="3" max="5" width="13.7109375" customWidth="1"/>
    <col min="6" max="6" width="4.140625" customWidth="1"/>
    <col min="7" max="7" width="5.28515625" customWidth="1"/>
    <col min="8" max="8" width="15.42578125" customWidth="1"/>
    <col min="9" max="9" width="6" bestFit="1" customWidth="1"/>
    <col min="10" max="10" width="28.5703125" bestFit="1" customWidth="1"/>
    <col min="11" max="11" width="13.7109375" customWidth="1"/>
    <col min="12" max="12" width="3.140625" customWidth="1"/>
  </cols>
  <sheetData>
    <row r="1" spans="1:11" ht="13.5" thickBot="1">
      <c r="D1" s="1389">
        <f ca="1" xml:space="preserve"> TODAY()</f>
        <v>46302</v>
      </c>
      <c r="E1" s="1390">
        <f ca="1">D1</f>
        <v>46302</v>
      </c>
    </row>
    <row r="2" spans="1:11" ht="42" customHeight="1">
      <c r="A2" s="3422" t="str">
        <f>"Budget "&amp;ANNEE &amp;"   Zone de Police  "&amp;ZoneNr</f>
        <v xml:space="preserve">Budget 2027   Zone de Police  </v>
      </c>
      <c r="B2" s="3423"/>
      <c r="C2" s="1416"/>
      <c r="D2" s="1416"/>
      <c r="E2" s="1417"/>
    </row>
    <row r="3" spans="1:11" ht="12.75" customHeight="1">
      <c r="A3" s="3424"/>
      <c r="B3" s="3425"/>
      <c r="C3" s="536"/>
      <c r="D3" s="1420" t="s">
        <v>103</v>
      </c>
      <c r="E3" s="1421">
        <f>X_SuiviImport!E3</f>
        <v>0</v>
      </c>
    </row>
    <row r="4" spans="1:11" ht="13.5" customHeight="1" thickBot="1">
      <c r="A4" s="3426"/>
      <c r="B4" s="3427"/>
      <c r="C4" s="1418"/>
      <c r="D4" s="1418"/>
      <c r="E4" s="1419"/>
    </row>
    <row r="5" spans="1:11" ht="13.5" thickBot="1">
      <c r="C5" s="1981">
        <f>ROUND(C6,2)-ROUND(Tutelle2!J58,2)</f>
        <v>0</v>
      </c>
    </row>
    <row r="6" spans="1:11" ht="13.5" thickBot="1">
      <c r="B6" s="1391" t="s">
        <v>1201</v>
      </c>
      <c r="C6" s="1399">
        <f>SUM(C8:C48)</f>
        <v>0</v>
      </c>
      <c r="D6" s="1399">
        <f>SUM(D8:D48)</f>
        <v>0</v>
      </c>
      <c r="E6" s="1400">
        <f>SUM(E8:E48)</f>
        <v>0</v>
      </c>
      <c r="H6" s="3416" t="s">
        <v>1202</v>
      </c>
      <c r="I6" s="3417"/>
      <c r="J6" s="3417"/>
      <c r="K6" s="3418"/>
    </row>
    <row r="7" spans="1:11">
      <c r="C7" s="1331" t="str">
        <f>IF(C5=0,"ok",CONCATENATE("error ",INT(C5*100)/100))</f>
        <v>ok</v>
      </c>
      <c r="G7" s="48"/>
      <c r="H7" s="3419"/>
      <c r="I7" s="3420"/>
      <c r="J7" s="3420"/>
      <c r="K7" s="3421"/>
    </row>
    <row r="8" spans="1:11" ht="25.5">
      <c r="A8" s="1394" t="s">
        <v>1200</v>
      </c>
      <c r="B8" s="1394" t="s">
        <v>1196</v>
      </c>
      <c r="C8" s="1395" t="s">
        <v>1203</v>
      </c>
      <c r="D8" s="1396" t="s">
        <v>142</v>
      </c>
      <c r="E8" s="1395" t="s">
        <v>143</v>
      </c>
      <c r="H8" s="1411" t="s">
        <v>1197</v>
      </c>
      <c r="I8" s="1396" t="s">
        <v>1198</v>
      </c>
      <c r="J8" s="1396" t="s">
        <v>3542</v>
      </c>
      <c r="K8" s="1412" t="s">
        <v>1199</v>
      </c>
    </row>
    <row r="9" spans="1:11" ht="15.75" customHeight="1">
      <c r="A9" s="1401" t="str">
        <f>Tutelle_UitgKrediet!B12&amp;Tutelle_UitgKrediet!C12</f>
        <v>3300111101</v>
      </c>
      <c r="B9" s="1397" t="str">
        <f>Tutelle_UitgKrediet!F12</f>
        <v xml:space="preserve">Rémunération du personnel opérationnel </v>
      </c>
      <c r="C9" s="1402">
        <f>Tutelle_UitgKrediet!H12</f>
        <v>0</v>
      </c>
      <c r="D9" s="1402">
        <f t="shared" ref="D9:D47" si="0">IF(ISNA(VLOOKUP(A9,ImportAccessX_1,4,0)),0,VLOOKUP(A9,ImportAccessX_1,4,0))</f>
        <v>0</v>
      </c>
      <c r="E9" s="1402">
        <f>IF(ISTEXT(C9),0,C9)+D9</f>
        <v>0</v>
      </c>
      <c r="G9" s="1410"/>
      <c r="H9" s="2051"/>
      <c r="I9" s="1413"/>
      <c r="J9" s="2053"/>
      <c r="K9" s="1414"/>
    </row>
    <row r="10" spans="1:11">
      <c r="A10" s="1401" t="str">
        <f>Tutelle_UitgKrediet!B13&amp;Tutelle_UitgKrediet!C13</f>
        <v>3300111108</v>
      </c>
      <c r="B10" s="1397" t="str">
        <f>Tutelle_UitgKrediet!F13</f>
        <v xml:space="preserve">Allocations variables pour prestations du personnel opérationnel </v>
      </c>
      <c r="C10" s="1402">
        <f>Tutelle_UitgKrediet!H13</f>
        <v>0</v>
      </c>
      <c r="D10" s="1402">
        <f t="shared" si="0"/>
        <v>0</v>
      </c>
      <c r="E10" s="1402">
        <f t="shared" ref="E10:E47" si="1">IF(ISTEXT(C10),0,C10)+D10</f>
        <v>0</v>
      </c>
      <c r="G10" s="1403"/>
      <c r="H10" s="2051"/>
      <c r="I10" s="1404"/>
      <c r="J10" s="2053"/>
      <c r="K10" s="1405"/>
    </row>
    <row r="11" spans="1:11">
      <c r="A11" s="1977" t="str">
        <f>Tutelle_UitgKrediet!B14&amp;Tutelle_UitgKrediet!C14</f>
        <v>3300111110</v>
      </c>
      <c r="B11" s="1976" t="str">
        <f>Tutelle_UitgKrediet!F14</f>
        <v>Rémunération du personnel opérationnel  NAPAP</v>
      </c>
      <c r="C11" s="1978">
        <f>Tutelle_UitgKrediet!H14</f>
        <v>0</v>
      </c>
      <c r="D11" s="1978">
        <f>IF(ISNA(VLOOKUP(A11,ImportAccessX_1,4,0)),0,VLOOKUP(A11,ImportAccessX_1,4,0))</f>
        <v>0</v>
      </c>
      <c r="E11" s="1978">
        <f>IF(ISTEXT(C11),0,C11)+D11</f>
        <v>0</v>
      </c>
      <c r="G11" s="1403"/>
      <c r="H11" s="2051"/>
      <c r="I11" s="1413"/>
      <c r="J11" s="2053"/>
      <c r="K11" s="1405"/>
    </row>
    <row r="12" spans="1:11">
      <c r="A12" s="1401" t="str">
        <f>Tutelle_UitgKrediet!B15&amp;Tutelle_UitgKrediet!C15</f>
        <v>3300111201</v>
      </c>
      <c r="B12" s="1397" t="str">
        <f>Tutelle_UitgKrediet!F15</f>
        <v xml:space="preserve">Pécule de Vacances du personnel opérationnel </v>
      </c>
      <c r="C12" s="1402">
        <f>Tutelle_UitgKrediet!H15</f>
        <v>0</v>
      </c>
      <c r="D12" s="1402">
        <f t="shared" si="0"/>
        <v>0</v>
      </c>
      <c r="E12" s="1402">
        <f t="shared" si="1"/>
        <v>0</v>
      </c>
      <c r="G12" s="1403"/>
      <c r="H12" s="2051"/>
      <c r="I12" s="1404"/>
      <c r="J12" s="2053"/>
      <c r="K12" s="1405"/>
    </row>
    <row r="13" spans="1:11">
      <c r="A13" s="1977" t="str">
        <f>Tutelle_UitgKrediet!B16&amp;Tutelle_UitgKrediet!C16</f>
        <v>3300111210</v>
      </c>
      <c r="B13" s="1976" t="str">
        <f>Tutelle_UitgKrediet!F16</f>
        <v>Pécule de Vacances du personnel opérationnel NAPAP</v>
      </c>
      <c r="C13" s="1978">
        <f>Tutelle_UitgKrediet!H16</f>
        <v>0</v>
      </c>
      <c r="D13" s="1978">
        <f>IF(ISNA(VLOOKUP(A13,ImportAccessX_1,4,0)),0,VLOOKUP(A13,ImportAccessX_1,4,0))</f>
        <v>0</v>
      </c>
      <c r="E13" s="1978">
        <f>IF(ISTEXT(C13),0,C13)+D13</f>
        <v>0</v>
      </c>
      <c r="G13" s="1403"/>
      <c r="H13" s="2051"/>
      <c r="I13" s="1413"/>
      <c r="J13" s="2053"/>
      <c r="K13" s="1405"/>
    </row>
    <row r="14" spans="1:11" ht="25.5">
      <c r="A14" s="1401" t="str">
        <f>Tutelle_UitgKrediet!B17&amp;Tutelle_UitgKrediet!C17</f>
        <v>3300111301</v>
      </c>
      <c r="B14" s="1397" t="str">
        <f>Tutelle_UitgKrediet!F17</f>
        <v xml:space="preserve">Cotisations patronales ordinaires à l'ORPSS (Traitement et allocations fixes)  du personnel opérationnel </v>
      </c>
      <c r="C14" s="1402">
        <f>Tutelle_UitgKrediet!H17</f>
        <v>0</v>
      </c>
      <c r="D14" s="1402">
        <f t="shared" si="0"/>
        <v>0</v>
      </c>
      <c r="E14" s="1402">
        <f t="shared" si="1"/>
        <v>0</v>
      </c>
      <c r="G14" s="1403"/>
      <c r="H14" s="2051"/>
      <c r="I14" s="1404"/>
      <c r="J14" s="2053"/>
      <c r="K14" s="1405"/>
    </row>
    <row r="15" spans="1:11" ht="25.5">
      <c r="A15" s="1401" t="str">
        <f>Tutelle_UitgKrediet!B18&amp;Tutelle_UitgKrediet!C18</f>
        <v>3300111308</v>
      </c>
      <c r="B15" s="1397" t="str">
        <f>Tutelle_UitgKrediet!F18</f>
        <v>Cotisations patronales à l'ORPSS sur les allocations variables pour prestations du personnel opérationnel</v>
      </c>
      <c r="C15" s="1402">
        <f>Tutelle_UitgKrediet!H18</f>
        <v>0</v>
      </c>
      <c r="D15" s="1402">
        <f t="shared" si="0"/>
        <v>0</v>
      </c>
      <c r="E15" s="1402">
        <f t="shared" si="1"/>
        <v>0</v>
      </c>
      <c r="H15" s="2051"/>
      <c r="I15" s="1413"/>
      <c r="J15" s="2053"/>
    </row>
    <row r="16" spans="1:11">
      <c r="A16" s="1401" t="str">
        <f>Tutelle_UitgKrediet!B19&amp;Tutelle_UitgKrediet!C19</f>
        <v>3300111321</v>
      </c>
      <c r="B16" s="1397" t="str">
        <f>Tutelle_UitgKrediet!F19</f>
        <v xml:space="preserve">Cotisations patronales pension du personnel opérationnel </v>
      </c>
      <c r="C16" s="1402">
        <f>Tutelle_UitgKrediet!H19</f>
        <v>0</v>
      </c>
      <c r="D16" s="1402">
        <f t="shared" si="0"/>
        <v>0</v>
      </c>
      <c r="E16" s="1402">
        <f t="shared" si="1"/>
        <v>0</v>
      </c>
      <c r="H16" s="2051"/>
      <c r="I16" s="1404"/>
      <c r="J16" s="2053"/>
    </row>
    <row r="17" spans="1:11" ht="25.5">
      <c r="A17" s="1401" t="str">
        <f>Tutelle_UitgKrediet!B20&amp;Tutelle_UitgKrediet!C20</f>
        <v>3300111501</v>
      </c>
      <c r="B17" s="1397" t="str">
        <f>Tutelle_UitgKrediet!F20</f>
        <v>Indemnités pour frais de déplacement du et vers le lieu de travail du personnel opérationnel</v>
      </c>
      <c r="C17" s="1402">
        <f>Tutelle_UitgKrediet!H20</f>
        <v>0</v>
      </c>
      <c r="D17" s="1402">
        <f t="shared" si="0"/>
        <v>0</v>
      </c>
      <c r="E17" s="1402">
        <f t="shared" si="1"/>
        <v>0</v>
      </c>
      <c r="H17" s="2051"/>
      <c r="I17" s="1413"/>
      <c r="J17" s="2053"/>
    </row>
    <row r="18" spans="1:11" ht="25.5">
      <c r="A18" s="1401" t="str">
        <f>Tutelle_UitgKrediet!B21&amp;Tutelle_UitgKrediet!C21</f>
        <v>3300111701</v>
      </c>
      <c r="B18" s="1397" t="str">
        <f>Tutelle_UitgKrediet!F21</f>
        <v>Primes pour l'assurance des accidents de travail du personnel Opérationnel</v>
      </c>
      <c r="C18" s="1402">
        <f>Tutelle_UitgKrediet!H21</f>
        <v>0</v>
      </c>
      <c r="D18" s="1402">
        <f t="shared" si="0"/>
        <v>0</v>
      </c>
      <c r="E18" s="1402">
        <f t="shared" si="1"/>
        <v>0</v>
      </c>
      <c r="G18" s="1403"/>
      <c r="H18" s="2051"/>
      <c r="I18" s="1404"/>
      <c r="J18" s="2053"/>
      <c r="K18" s="1405"/>
    </row>
    <row r="19" spans="1:11">
      <c r="A19" s="1401" t="str">
        <f>Tutelle_UitgKrediet!B22&amp;Tutelle_UitgKrediet!C22</f>
        <v>3300111801</v>
      </c>
      <c r="B19" s="1397" t="str">
        <f>Tutelle_UitgKrediet!F22</f>
        <v>Cotisations au service social du personnel Opérationnel</v>
      </c>
      <c r="C19" s="1402">
        <f>Tutelle_UitgKrediet!H22</f>
        <v>0</v>
      </c>
      <c r="D19" s="1402">
        <f t="shared" si="0"/>
        <v>0</v>
      </c>
      <c r="E19" s="1402">
        <f t="shared" si="1"/>
        <v>0</v>
      </c>
      <c r="G19" s="1403"/>
      <c r="H19" s="2051"/>
      <c r="I19" s="1413"/>
      <c r="J19" s="2053"/>
      <c r="K19" s="1405"/>
    </row>
    <row r="20" spans="1:11" ht="25.5">
      <c r="A20" s="1401" t="str">
        <f>Tutelle_UitgKrediet!B23&amp;Tutelle_UitgKrediet!C23</f>
        <v>3300112101</v>
      </c>
      <c r="B20" s="1397" t="str">
        <f>Tutelle_UitgKrediet!F23</f>
        <v>Indemnisation des frais de déplacement et de séjour du personnel Opérationnel</v>
      </c>
      <c r="C20" s="1402">
        <f>Tutelle_UitgKrediet!H23</f>
        <v>0</v>
      </c>
      <c r="D20" s="1402">
        <f t="shared" si="0"/>
        <v>0</v>
      </c>
      <c r="E20" s="1402">
        <f t="shared" si="1"/>
        <v>0</v>
      </c>
      <c r="G20" s="1403"/>
      <c r="H20" s="2051"/>
      <c r="I20" s="1404"/>
      <c r="J20" s="2053"/>
      <c r="K20" s="1405"/>
    </row>
    <row r="21" spans="1:11">
      <c r="A21" s="1401" t="str">
        <f>Tutelle_UitgKrediet!B24&amp;Tutelle_UitgKrediet!C24</f>
        <v>3300112103</v>
      </c>
      <c r="B21" s="1397" t="str">
        <f>Tutelle_UitgKrediet!F24</f>
        <v>Indemnité pour entretien de la tenue du personnel Opérationnel</v>
      </c>
      <c r="C21" s="1402">
        <f>Tutelle_UitgKrediet!H24</f>
        <v>0</v>
      </c>
      <c r="D21" s="1402">
        <f t="shared" si="0"/>
        <v>0</v>
      </c>
      <c r="E21" s="1402">
        <f t="shared" si="1"/>
        <v>0</v>
      </c>
      <c r="G21" s="1403"/>
      <c r="H21" s="2051"/>
      <c r="I21" s="1413"/>
      <c r="J21" s="2053"/>
      <c r="K21" s="1405"/>
    </row>
    <row r="22" spans="1:11">
      <c r="A22" s="1401" t="str">
        <f>Tutelle_UitgKrediet!B25&amp;Tutelle_UitgKrediet!C25</f>
        <v>3300112148</v>
      </c>
      <c r="B22" s="1397" t="str">
        <f>Tutelle_UitgKrediet!F25</f>
        <v>Autres indemnités du personnel Opérationnel</v>
      </c>
      <c r="C22" s="1402">
        <f>Tutelle_UitgKrediet!H25</f>
        <v>0</v>
      </c>
      <c r="D22" s="1402">
        <f t="shared" si="0"/>
        <v>0</v>
      </c>
      <c r="E22" s="1402">
        <f t="shared" si="1"/>
        <v>0</v>
      </c>
      <c r="G22" s="1403"/>
      <c r="H22" s="2051"/>
      <c r="I22" s="1404"/>
      <c r="J22" s="2053"/>
      <c r="K22" s="1405"/>
    </row>
    <row r="23" spans="1:11">
      <c r="A23" s="1401" t="str">
        <f>Tutelle_UitgKrediet!B26&amp;Tutelle_UitgKrediet!C26</f>
        <v>3309111101</v>
      </c>
      <c r="B23" s="1397" t="str">
        <f>Tutelle_UitgKrediet!F26</f>
        <v xml:space="preserve">Rémunération du personnel CALog </v>
      </c>
      <c r="C23" s="1402">
        <f>Tutelle_UitgKrediet!H26</f>
        <v>0</v>
      </c>
      <c r="D23" s="1402">
        <f t="shared" si="0"/>
        <v>0</v>
      </c>
      <c r="E23" s="1402">
        <f t="shared" si="1"/>
        <v>0</v>
      </c>
      <c r="G23" s="1403"/>
      <c r="H23" s="2051"/>
      <c r="I23" s="1413"/>
      <c r="J23" s="2053"/>
      <c r="K23" s="1405"/>
    </row>
    <row r="24" spans="1:11">
      <c r="A24" s="1401" t="str">
        <f>Tutelle_UitgKrediet!B27&amp;Tutelle_UitgKrediet!C27</f>
        <v>3309111102</v>
      </c>
      <c r="B24" s="1397" t="str">
        <f>Tutelle_UitgKrediet!F27</f>
        <v>Rémunération pour Agent(s) Premier Emploi</v>
      </c>
      <c r="C24" s="1402">
        <f>Tutelle_UitgKrediet!H27</f>
        <v>0</v>
      </c>
      <c r="D24" s="1402">
        <f t="shared" si="0"/>
        <v>0</v>
      </c>
      <c r="E24" s="1402">
        <f t="shared" si="1"/>
        <v>0</v>
      </c>
      <c r="F24" s="1403"/>
      <c r="G24" s="1403"/>
      <c r="H24" s="2051"/>
      <c r="I24" s="1413"/>
      <c r="J24" s="2053"/>
      <c r="K24" s="1405"/>
    </row>
    <row r="25" spans="1:11">
      <c r="A25" s="1401" t="str">
        <f>Tutelle_UitgKrediet!B28&amp;Tutelle_UitgKrediet!C28</f>
        <v>3309111108</v>
      </c>
      <c r="B25" s="1397" t="str">
        <f>Tutelle_UitgKrediet!F28</f>
        <v xml:space="preserve">Allocations variables pour prestations du personnel CALog </v>
      </c>
      <c r="C25" s="1402">
        <f>Tutelle_UitgKrediet!H28</f>
        <v>0</v>
      </c>
      <c r="D25" s="1402">
        <f t="shared" si="0"/>
        <v>0</v>
      </c>
      <c r="E25" s="1402">
        <f t="shared" si="1"/>
        <v>0</v>
      </c>
      <c r="G25" s="1403"/>
      <c r="H25" s="2051"/>
      <c r="I25" s="1404"/>
      <c r="J25" s="2053"/>
      <c r="K25" s="1405"/>
    </row>
    <row r="26" spans="1:11">
      <c r="A26" s="1401" t="str">
        <f>Tutelle_UitgKrediet!B29&amp;Tutelle_UitgKrediet!C29</f>
        <v>3309111109</v>
      </c>
      <c r="B26" s="1397" t="str">
        <f>Tutelle_UitgKrediet!F29</f>
        <v>Allocations variables pour prestations pour Agent(s) Premier Emploi</v>
      </c>
      <c r="C26" s="1402">
        <f>Tutelle_UitgKrediet!H29</f>
        <v>0</v>
      </c>
      <c r="D26" s="1402">
        <f t="shared" si="0"/>
        <v>0</v>
      </c>
      <c r="E26" s="1402">
        <f t="shared" si="1"/>
        <v>0</v>
      </c>
      <c r="G26" s="1403"/>
      <c r="H26" s="2051"/>
      <c r="I26" s="1413"/>
      <c r="J26" s="2053"/>
      <c r="K26" s="1405"/>
    </row>
    <row r="27" spans="1:11">
      <c r="A27" s="1401" t="str">
        <f>Tutelle_UitgKrediet!B30&amp;Tutelle_UitgKrediet!C30</f>
        <v>3309111201</v>
      </c>
      <c r="B27" s="1397" t="str">
        <f>Tutelle_UitgKrediet!F30</f>
        <v xml:space="preserve">Pécule de Vacances du personnel CALog </v>
      </c>
      <c r="C27" s="1402">
        <f>Tutelle_UitgKrediet!H30</f>
        <v>0</v>
      </c>
      <c r="D27" s="1402">
        <f t="shared" si="0"/>
        <v>0</v>
      </c>
      <c r="E27" s="1402">
        <f t="shared" si="1"/>
        <v>0</v>
      </c>
      <c r="G27" s="1403"/>
      <c r="H27" s="2051"/>
      <c r="I27" s="1404"/>
      <c r="J27" s="2053"/>
      <c r="K27" s="1405"/>
    </row>
    <row r="28" spans="1:11">
      <c r="A28" s="1401" t="str">
        <f>Tutelle_UitgKrediet!B31&amp;Tutelle_UitgKrediet!C31</f>
        <v>3309111202</v>
      </c>
      <c r="B28" s="1397" t="str">
        <f>Tutelle_UitgKrediet!F31</f>
        <v>Pécule de Vacances pour Agent(s) Premier Emploi</v>
      </c>
      <c r="C28" s="1402">
        <f>Tutelle_UitgKrediet!H31</f>
        <v>0</v>
      </c>
      <c r="D28" s="1402">
        <f t="shared" si="0"/>
        <v>0</v>
      </c>
      <c r="E28" s="1402">
        <f t="shared" si="1"/>
        <v>0</v>
      </c>
      <c r="G28" s="1403"/>
      <c r="H28" s="2051"/>
      <c r="I28" s="1413"/>
      <c r="J28" s="2053"/>
      <c r="K28" s="1405"/>
    </row>
    <row r="29" spans="1:11" ht="25.5">
      <c r="A29" s="1401" t="str">
        <f>Tutelle_UitgKrediet!B32&amp;Tutelle_UitgKrediet!C32</f>
        <v>3309111301</v>
      </c>
      <c r="B29" s="1397" t="str">
        <f>Tutelle_UitgKrediet!F32</f>
        <v xml:space="preserve">Cotisations patronales ordinaires à l'ORPSS (Traitement et allocations fixes)  du personnel CALog </v>
      </c>
      <c r="C29" s="1402">
        <f>Tutelle_UitgKrediet!H32</f>
        <v>0</v>
      </c>
      <c r="D29" s="1402">
        <f t="shared" si="0"/>
        <v>0</v>
      </c>
      <c r="E29" s="1402">
        <f t="shared" si="1"/>
        <v>0</v>
      </c>
      <c r="G29" s="1403"/>
      <c r="H29" s="2051"/>
      <c r="I29" s="1404"/>
      <c r="J29" s="2053"/>
      <c r="K29" s="1405"/>
    </row>
    <row r="30" spans="1:11" ht="25.5">
      <c r="A30" s="1401" t="str">
        <f>Tutelle_UitgKrediet!B33&amp;Tutelle_UitgKrediet!C33</f>
        <v>3309111302</v>
      </c>
      <c r="B30" s="1397" t="str">
        <f>Tutelle_UitgKrediet!F33</f>
        <v>Cotisations patronales ordinaires à l'ORPSS (Traitement et allocations fixes) pour Agent(s) Premier Emploi</v>
      </c>
      <c r="C30" s="1402">
        <f>Tutelle_UitgKrediet!H33</f>
        <v>0</v>
      </c>
      <c r="D30" s="1402">
        <f t="shared" si="0"/>
        <v>0</v>
      </c>
      <c r="E30" s="1402">
        <f t="shared" si="1"/>
        <v>0</v>
      </c>
      <c r="G30" s="1403"/>
      <c r="H30" s="2051"/>
      <c r="I30" s="1413"/>
      <c r="J30" s="2053"/>
      <c r="K30" s="1405"/>
    </row>
    <row r="31" spans="1:11" ht="25.5">
      <c r="A31" s="1401" t="str">
        <f>Tutelle_UitgKrediet!B34&amp;Tutelle_UitgKrediet!C34</f>
        <v>3309111308</v>
      </c>
      <c r="B31" s="1397" t="str">
        <f>Tutelle_UitgKrediet!F34</f>
        <v>Cotisations patronales à l'ORPSS sur les allocations variables pour prestations du personnel CALog</v>
      </c>
      <c r="C31" s="1402">
        <f>Tutelle_UitgKrediet!H34</f>
        <v>0</v>
      </c>
      <c r="D31" s="1402">
        <f t="shared" si="0"/>
        <v>0</v>
      </c>
      <c r="E31" s="1402">
        <f t="shared" si="1"/>
        <v>0</v>
      </c>
      <c r="G31" s="1403"/>
      <c r="H31" s="2051"/>
      <c r="I31" s="1404"/>
      <c r="J31" s="2053"/>
      <c r="K31" s="1405"/>
    </row>
    <row r="32" spans="1:11" ht="25.5">
      <c r="A32" s="1401" t="str">
        <f>Tutelle_UitgKrediet!B35&amp;Tutelle_UitgKrediet!C35</f>
        <v>3309111309</v>
      </c>
      <c r="B32" s="1397" t="str">
        <f>Tutelle_UitgKrediet!F35</f>
        <v>Cotisations patronales à l'ORPSS sur les allocations variables pour prestations pour Agent(s) Premier Emploi</v>
      </c>
      <c r="C32" s="1402">
        <f>Tutelle_UitgKrediet!H35</f>
        <v>0</v>
      </c>
      <c r="D32" s="1402">
        <f t="shared" si="0"/>
        <v>0</v>
      </c>
      <c r="E32" s="1402">
        <f t="shared" si="1"/>
        <v>0</v>
      </c>
      <c r="G32" s="1403"/>
      <c r="H32" s="2051"/>
      <c r="I32" s="1413"/>
      <c r="J32" s="2053"/>
      <c r="K32" s="1405"/>
    </row>
    <row r="33" spans="1:11">
      <c r="A33" s="1401" t="str">
        <f>Tutelle_UitgKrediet!B36&amp;Tutelle_UitgKrediet!C36</f>
        <v>3309111321</v>
      </c>
      <c r="B33" s="1397" t="str">
        <f>Tutelle_UitgKrediet!F36</f>
        <v xml:space="preserve">Cotisations patronales pension du personnel CALog </v>
      </c>
      <c r="C33" s="1402">
        <f>Tutelle_UitgKrediet!H36</f>
        <v>0</v>
      </c>
      <c r="D33" s="1402">
        <f t="shared" si="0"/>
        <v>0</v>
      </c>
      <c r="E33" s="1402">
        <f t="shared" si="1"/>
        <v>0</v>
      </c>
      <c r="G33" s="1403"/>
      <c r="H33" s="2051"/>
      <c r="I33" s="1404"/>
      <c r="J33" s="2053"/>
      <c r="K33" s="1405"/>
    </row>
    <row r="34" spans="1:11" ht="25.5">
      <c r="A34" s="1401" t="str">
        <f>Tutelle_UitgKrediet!B37&amp;Tutelle_UitgKrediet!C37</f>
        <v>3309111501</v>
      </c>
      <c r="B34" s="1397" t="str">
        <f>Tutelle_UitgKrediet!F37</f>
        <v>Indemnités pour frais de déplacement du et vers le lieu de travail du personnel CALog</v>
      </c>
      <c r="C34" s="1402">
        <f>Tutelle_UitgKrediet!H37</f>
        <v>0</v>
      </c>
      <c r="D34" s="1402">
        <f t="shared" si="0"/>
        <v>0</v>
      </c>
      <c r="E34" s="1402">
        <f t="shared" si="1"/>
        <v>0</v>
      </c>
      <c r="G34" s="1403"/>
      <c r="H34" s="2051"/>
      <c r="I34" s="1413"/>
      <c r="J34" s="2053"/>
      <c r="K34" s="1405"/>
    </row>
    <row r="35" spans="1:11" ht="25.5">
      <c r="A35" s="1401" t="str">
        <f>Tutelle_UitgKrediet!B38&amp;Tutelle_UitgKrediet!C38</f>
        <v>3309111502</v>
      </c>
      <c r="B35" s="1397" t="str">
        <f>Tutelle_UitgKrediet!F38</f>
        <v>Indemnités pour frais de déplacement du et vers le lieu de travail pour Agent(s) Premier Emploi</v>
      </c>
      <c r="C35" s="1402">
        <f>Tutelle_UitgKrediet!H38</f>
        <v>0</v>
      </c>
      <c r="D35" s="1402">
        <f t="shared" si="0"/>
        <v>0</v>
      </c>
      <c r="E35" s="1402">
        <f t="shared" si="1"/>
        <v>0</v>
      </c>
      <c r="F35" s="1406"/>
      <c r="G35" s="1403"/>
      <c r="H35" s="2051"/>
      <c r="I35" s="1404"/>
      <c r="J35" s="2053"/>
      <c r="K35" s="1405"/>
    </row>
    <row r="36" spans="1:11" ht="25.5">
      <c r="A36" s="1401" t="str">
        <f>Tutelle_UitgKrediet!B39&amp;Tutelle_UitgKrediet!C39</f>
        <v>3309111701</v>
      </c>
      <c r="B36" s="1397" t="str">
        <f>Tutelle_UitgKrediet!F39</f>
        <v>Primes pour l'assurance des accidents de travail du Cadre Administratif et Logistique</v>
      </c>
      <c r="C36" s="1402">
        <f>Tutelle_UitgKrediet!H39</f>
        <v>0</v>
      </c>
      <c r="D36" s="1402">
        <f t="shared" si="0"/>
        <v>0</v>
      </c>
      <c r="E36" s="1402">
        <f t="shared" si="1"/>
        <v>0</v>
      </c>
      <c r="G36" s="1403"/>
      <c r="H36" s="2051"/>
      <c r="I36" s="1413"/>
      <c r="J36" s="2053"/>
      <c r="K36" s="1405"/>
    </row>
    <row r="37" spans="1:11">
      <c r="A37" s="1401" t="str">
        <f>Tutelle_UitgKrediet!B40&amp;Tutelle_UitgKrediet!C40</f>
        <v>3309111801</v>
      </c>
      <c r="B37" s="1397" t="str">
        <f>Tutelle_UitgKrediet!F40</f>
        <v>Cotisations au service social du Cadre Administratif et Logistique</v>
      </c>
      <c r="C37" s="1402">
        <f>Tutelle_UitgKrediet!H40</f>
        <v>0</v>
      </c>
      <c r="D37" s="1402">
        <f t="shared" si="0"/>
        <v>0</v>
      </c>
      <c r="E37" s="1402">
        <f t="shared" si="1"/>
        <v>0</v>
      </c>
      <c r="G37" s="1403"/>
      <c r="H37" s="2051"/>
      <c r="I37" s="1413"/>
      <c r="J37" s="2053"/>
      <c r="K37" s="1405"/>
    </row>
    <row r="38" spans="1:11" ht="25.5">
      <c r="A38" s="1401" t="str">
        <f>Tutelle_UitgKrediet!B41&amp;Tutelle_UitgKrediet!C41</f>
        <v>3309112101</v>
      </c>
      <c r="B38" s="1397" t="str">
        <f>Tutelle_UitgKrediet!F41</f>
        <v>Indemnisation des frais de déplacement et de séjour du Cadre Administratif et Logistique</v>
      </c>
      <c r="C38" s="1402">
        <f>Tutelle_UitgKrediet!H41</f>
        <v>0</v>
      </c>
      <c r="D38" s="1402">
        <f t="shared" si="0"/>
        <v>0</v>
      </c>
      <c r="E38" s="1402">
        <f t="shared" si="1"/>
        <v>0</v>
      </c>
      <c r="G38" s="1403"/>
      <c r="H38" s="2051"/>
      <c r="I38" s="1404"/>
      <c r="J38" s="2053"/>
      <c r="K38" s="1405"/>
    </row>
    <row r="39" spans="1:11">
      <c r="A39" s="1401" t="str">
        <f>Tutelle_UitgKrediet!B42&amp;Tutelle_UitgKrediet!C42</f>
        <v>3309112148</v>
      </c>
      <c r="B39" s="1397" t="str">
        <f>Tutelle_UitgKrediet!F42</f>
        <v>Autres indemnités du Cadre Administratif et Logistique</v>
      </c>
      <c r="C39" s="1402">
        <f>Tutelle_UitgKrediet!H42</f>
        <v>0</v>
      </c>
      <c r="D39" s="1402">
        <f t="shared" si="0"/>
        <v>0</v>
      </c>
      <c r="E39" s="1402">
        <f t="shared" si="1"/>
        <v>0</v>
      </c>
      <c r="G39" s="1403"/>
      <c r="H39" s="2051"/>
      <c r="I39" s="1413"/>
      <c r="J39" s="2053"/>
      <c r="K39" s="1405"/>
    </row>
    <row r="40" spans="1:11" ht="14.25" customHeight="1">
      <c r="A40" s="1401" t="str">
        <f>Tutelle_UitgKrediet!B43&amp;Tutelle_UitgKrediet!C43</f>
        <v>3309811101</v>
      </c>
      <c r="B40" s="1397" t="str">
        <f>Tutelle_UitgKrediet!F43</f>
        <v>Rémunération secrétaire de la zone de Police</v>
      </c>
      <c r="C40" s="1402">
        <f>Tutelle_UitgKrediet!H43</f>
        <v>0</v>
      </c>
      <c r="D40" s="1402">
        <f t="shared" si="0"/>
        <v>0</v>
      </c>
      <c r="E40" s="1402">
        <f t="shared" si="1"/>
        <v>0</v>
      </c>
      <c r="G40" s="1403"/>
      <c r="H40" s="2051"/>
      <c r="I40" s="1404"/>
      <c r="J40" s="2053"/>
      <c r="K40" s="1405"/>
    </row>
    <row r="41" spans="1:11" ht="25.5">
      <c r="A41" s="1401" t="str">
        <f>Tutelle_UitgKrediet!B44&amp;Tutelle_UitgKrediet!C44</f>
        <v>3309811301</v>
      </c>
      <c r="B41" s="1397" t="str">
        <f>Tutelle_UitgKrediet!F44</f>
        <v>Cotisations patronales à l'ORPSS pour le secrétaire de la zone de Police</v>
      </c>
      <c r="C41" s="1402">
        <f>Tutelle_UitgKrediet!H44</f>
        <v>0</v>
      </c>
      <c r="D41" s="1402">
        <f t="shared" si="0"/>
        <v>0</v>
      </c>
      <c r="E41" s="1402">
        <f t="shared" si="1"/>
        <v>0</v>
      </c>
      <c r="G41" s="1403"/>
      <c r="H41" s="2051"/>
      <c r="I41" s="1413"/>
      <c r="J41" s="2053"/>
      <c r="K41" s="1405"/>
    </row>
    <row r="42" spans="1:11">
      <c r="A42" s="1401" t="str">
        <f>Tutelle_UitgKrediet!B45&amp;Tutelle_UitgKrediet!C45</f>
        <v>3309811801</v>
      </c>
      <c r="B42" s="1397" t="str">
        <f>Tutelle_UitgKrediet!F45</f>
        <v>Cotisations au service social</v>
      </c>
      <c r="C42" s="1402">
        <f>Tutelle_UitgKrediet!H45</f>
        <v>0</v>
      </c>
      <c r="D42" s="1402">
        <f t="shared" si="0"/>
        <v>0</v>
      </c>
      <c r="E42" s="1402">
        <f t="shared" si="1"/>
        <v>0</v>
      </c>
      <c r="G42" s="1403"/>
      <c r="H42" s="2051"/>
      <c r="I42" s="1404"/>
      <c r="J42" s="2053"/>
      <c r="K42" s="1407"/>
    </row>
    <row r="43" spans="1:11">
      <c r="A43" s="1401" t="str">
        <f>Tutelle_UitgKrediet!B46&amp;Tutelle_UitgKrediet!C46</f>
        <v>3309812101</v>
      </c>
      <c r="B43" s="1397" t="str">
        <f>Tutelle_UitgKrediet!F46</f>
        <v xml:space="preserve">Indemnisation des frais de déplacement et de séjour </v>
      </c>
      <c r="C43" s="1402">
        <f>Tutelle_UitgKrediet!H46</f>
        <v>0</v>
      </c>
      <c r="D43" s="1402">
        <f t="shared" si="0"/>
        <v>0</v>
      </c>
      <c r="E43" s="1402">
        <f t="shared" si="1"/>
        <v>0</v>
      </c>
      <c r="F43" s="1406"/>
      <c r="G43" s="1403"/>
      <c r="H43" s="2051"/>
      <c r="I43" s="1413"/>
      <c r="J43" s="2053"/>
      <c r="K43" s="1407"/>
    </row>
    <row r="44" spans="1:11">
      <c r="A44" s="1401" t="str">
        <f>Tutelle_UitgKrediet!B47&amp;Tutelle_UitgKrediet!C47</f>
        <v>3309911101</v>
      </c>
      <c r="B44" s="1397" t="str">
        <f>Tutelle_UitgKrediet!F47</f>
        <v>Rémunération du Directeur Financier de la zone de Police</v>
      </c>
      <c r="C44" s="1402">
        <f>Tutelle_UitgKrediet!H47</f>
        <v>0</v>
      </c>
      <c r="D44" s="1402">
        <f t="shared" si="0"/>
        <v>0</v>
      </c>
      <c r="E44" s="1402">
        <f t="shared" si="1"/>
        <v>0</v>
      </c>
      <c r="G44" s="1403"/>
      <c r="H44" s="2051"/>
      <c r="I44" s="1404"/>
      <c r="J44" s="2053"/>
      <c r="K44" s="1407"/>
    </row>
    <row r="45" spans="1:11" ht="25.5">
      <c r="A45" s="1401" t="str">
        <f>Tutelle_UitgKrediet!B48&amp;Tutelle_UitgKrediet!C48</f>
        <v>3309911301</v>
      </c>
      <c r="B45" s="1397" t="str">
        <f>Tutelle_UitgKrediet!F48</f>
        <v>Cotisations patronales à l'ORPSS pour le  Directeur Financier  de la zone de Police</v>
      </c>
      <c r="C45" s="1402">
        <f>Tutelle_UitgKrediet!H48</f>
        <v>0</v>
      </c>
      <c r="D45" s="1402">
        <f t="shared" si="0"/>
        <v>0</v>
      </c>
      <c r="E45" s="1402">
        <f t="shared" si="1"/>
        <v>0</v>
      </c>
      <c r="G45" s="1403"/>
      <c r="H45" s="2051"/>
      <c r="I45" s="1413"/>
      <c r="J45" s="2053"/>
      <c r="K45" s="1407"/>
    </row>
    <row r="46" spans="1:11">
      <c r="A46" s="1401" t="str">
        <f>Tutelle_UitgKrediet!B49&amp;Tutelle_UitgKrediet!C49</f>
        <v>3309911801</v>
      </c>
      <c r="B46" s="1397" t="str">
        <f>Tutelle_UitgKrediet!F49</f>
        <v>Cotisations au service social</v>
      </c>
      <c r="C46" s="1402">
        <f>Tutelle_UitgKrediet!H49</f>
        <v>0</v>
      </c>
      <c r="D46" s="1402">
        <f t="shared" si="0"/>
        <v>0</v>
      </c>
      <c r="E46" s="1402">
        <f t="shared" si="1"/>
        <v>0</v>
      </c>
      <c r="G46" s="1403"/>
      <c r="H46" s="2051"/>
      <c r="I46" s="1404"/>
      <c r="J46" s="2053"/>
      <c r="K46" s="1407"/>
    </row>
    <row r="47" spans="1:11">
      <c r="A47" s="1401" t="str">
        <f>Tutelle_UitgKrediet!B50&amp;Tutelle_UitgKrediet!C50</f>
        <v>3309912101</v>
      </c>
      <c r="B47" s="1397" t="str">
        <f>Tutelle_UitgKrediet!F50</f>
        <v xml:space="preserve">Indemnisation des frais de déplacement et de séjour </v>
      </c>
      <c r="C47" s="1402">
        <f>Tutelle_UitgKrediet!H50</f>
        <v>0</v>
      </c>
      <c r="D47" s="1402">
        <f t="shared" si="0"/>
        <v>0</v>
      </c>
      <c r="E47" s="1402">
        <f t="shared" si="1"/>
        <v>0</v>
      </c>
      <c r="H47" s="2051"/>
      <c r="I47" s="1413"/>
      <c r="J47" s="2053"/>
      <c r="K47" s="1408"/>
    </row>
    <row r="48" spans="1:11">
      <c r="B48" s="1398"/>
      <c r="C48" s="47"/>
      <c r="D48" s="47"/>
      <c r="E48" s="47"/>
      <c r="H48" s="2052"/>
      <c r="I48" s="2052"/>
      <c r="J48" s="2052"/>
      <c r="K48" s="2052"/>
    </row>
    <row r="49" spans="2:10">
      <c r="B49" s="1398"/>
      <c r="C49" s="47"/>
      <c r="D49" s="47"/>
      <c r="E49" s="47"/>
      <c r="H49" s="2051"/>
      <c r="J49" s="2053"/>
    </row>
    <row r="50" spans="2:10">
      <c r="B50" s="1398"/>
      <c r="C50" s="47"/>
      <c r="D50" s="47"/>
      <c r="E50" s="47"/>
    </row>
    <row r="51" spans="2:10">
      <c r="B51" s="1398"/>
      <c r="C51" s="47"/>
      <c r="D51" s="47"/>
      <c r="E51" s="47"/>
    </row>
    <row r="52" spans="2:10">
      <c r="B52" s="1398"/>
      <c r="C52" s="47"/>
      <c r="D52" s="47"/>
      <c r="E52" s="47"/>
    </row>
    <row r="53" spans="2:10" hidden="1">
      <c r="B53" s="1398"/>
      <c r="C53" s="47"/>
      <c r="D53" s="47"/>
      <c r="E53" s="47"/>
      <c r="F53" t="s">
        <v>998</v>
      </c>
    </row>
    <row r="54" spans="2:10" hidden="1">
      <c r="B54" s="1398"/>
      <c r="C54" s="47"/>
      <c r="D54" s="47"/>
      <c r="E54" s="47"/>
    </row>
    <row r="55" spans="2:10" hidden="1">
      <c r="B55" s="1398"/>
      <c r="C55" s="47"/>
      <c r="D55" s="47"/>
      <c r="E55" s="47"/>
    </row>
    <row r="56" spans="2:10" hidden="1">
      <c r="B56" s="1398"/>
      <c r="C56" s="47"/>
      <c r="D56" s="47"/>
      <c r="E56" s="47"/>
    </row>
    <row r="57" spans="2:10" hidden="1">
      <c r="B57" s="1398"/>
      <c r="C57" s="47"/>
      <c r="D57" s="47"/>
      <c r="E57" s="47"/>
    </row>
    <row r="58" spans="2:10" hidden="1">
      <c r="B58" s="1398"/>
      <c r="C58" s="47"/>
      <c r="D58" s="47"/>
      <c r="E58" s="47"/>
    </row>
    <row r="59" spans="2:10" hidden="1">
      <c r="B59" s="1398"/>
      <c r="C59" s="47"/>
      <c r="D59" s="47"/>
      <c r="E59" s="47"/>
    </row>
    <row r="60" spans="2:10" hidden="1">
      <c r="B60" s="1398"/>
      <c r="C60" s="47"/>
      <c r="D60" s="47"/>
      <c r="E60" s="47"/>
    </row>
    <row r="61" spans="2:10" hidden="1">
      <c r="B61" s="1398"/>
      <c r="C61" s="47"/>
      <c r="D61" s="47"/>
      <c r="E61" s="47"/>
    </row>
    <row r="62" spans="2:10" hidden="1">
      <c r="B62" s="1398"/>
      <c r="C62" s="47"/>
      <c r="D62" s="47"/>
      <c r="E62" s="47"/>
    </row>
    <row r="63" spans="2:10" hidden="1">
      <c r="B63" s="1398"/>
      <c r="C63" s="47"/>
      <c r="D63" s="47"/>
      <c r="E63" s="47"/>
    </row>
    <row r="67" spans="1:1" hidden="1">
      <c r="A67" t="s">
        <v>998</v>
      </c>
    </row>
    <row r="68" spans="1:1" hidden="1">
      <c r="A68" t="s">
        <v>998</v>
      </c>
    </row>
    <row r="69" spans="1:1" hidden="1">
      <c r="A69" t="s">
        <v>998</v>
      </c>
    </row>
    <row r="70" spans="1:1" hidden="1">
      <c r="A70" t="s">
        <v>998</v>
      </c>
    </row>
    <row r="71" spans="1:1" hidden="1">
      <c r="A71" t="s">
        <v>998</v>
      </c>
    </row>
    <row r="72" spans="1:1" hidden="1">
      <c r="A72" t="s">
        <v>998</v>
      </c>
    </row>
    <row r="73" spans="1:1" hidden="1">
      <c r="A73" t="s">
        <v>998</v>
      </c>
    </row>
  </sheetData>
  <sheetProtection password="F972" sheet="1"/>
  <mergeCells count="2">
    <mergeCell ref="H6:K7"/>
    <mergeCell ref="A2:B4"/>
  </mergeCells>
  <phoneticPr fontId="38" type="noConversion"/>
  <pageMargins left="0.75" right="0.75" top="1" bottom="1" header="0.5" footer="0.5"/>
  <pageSetup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BarElement"/>
  <dimension ref="A1:S161"/>
  <sheetViews>
    <sheetView workbookViewId="0">
      <selection activeCell="G12" sqref="G12"/>
    </sheetView>
  </sheetViews>
  <sheetFormatPr defaultColWidth="11.42578125" defaultRowHeight="11.25"/>
  <cols>
    <col min="1" max="1" width="11.42578125" style="969" customWidth="1"/>
    <col min="2" max="2" width="12.28515625" style="969" customWidth="1"/>
    <col min="3" max="3" width="13.140625" style="969" bestFit="1" customWidth="1"/>
    <col min="4" max="4" width="14.42578125" style="969" customWidth="1"/>
    <col min="5" max="5" width="12.5703125" style="969" bestFit="1" customWidth="1"/>
    <col min="6" max="6" width="24.85546875" style="969" bestFit="1" customWidth="1"/>
    <col min="7" max="7" width="9.7109375" style="969" bestFit="1" customWidth="1"/>
    <col min="8" max="8" width="10.42578125" style="1185" bestFit="1" customWidth="1"/>
    <col min="9" max="9" width="14" style="969" bestFit="1" customWidth="1"/>
    <col min="10" max="10" width="19.28515625" style="969" bestFit="1" customWidth="1"/>
    <col min="11" max="11" width="17.7109375" style="969" bestFit="1" customWidth="1"/>
    <col min="12" max="12" width="21.28515625" style="969" bestFit="1" customWidth="1"/>
    <col min="13" max="13" width="21.7109375" style="969" bestFit="1" customWidth="1"/>
    <col min="14" max="14" width="13.7109375" style="969" bestFit="1" customWidth="1"/>
    <col min="15" max="15" width="11.28515625" style="969" bestFit="1" customWidth="1"/>
    <col min="16" max="16" width="17.42578125" style="969" bestFit="1" customWidth="1"/>
    <col min="17" max="17" width="18.140625" style="968" bestFit="1" customWidth="1"/>
    <col min="18" max="18" width="11.42578125" style="968" customWidth="1"/>
    <col min="19" max="19" width="25" style="968" customWidth="1"/>
    <col min="20" max="16384" width="11.42578125" style="968"/>
  </cols>
  <sheetData>
    <row r="1" spans="1:19" s="1039" customFormat="1" ht="33.75" customHeight="1">
      <c r="A1" s="965"/>
      <c r="B1" s="965"/>
      <c r="C1" s="965"/>
      <c r="D1" s="114"/>
      <c r="E1" s="114"/>
      <c r="F1" s="965"/>
      <c r="G1" s="965"/>
      <c r="H1" s="1184"/>
      <c r="I1" s="965"/>
      <c r="J1" s="965"/>
      <c r="K1" s="965"/>
      <c r="L1" s="965"/>
      <c r="M1" s="965"/>
      <c r="N1" s="965"/>
      <c r="O1" s="965"/>
      <c r="P1" s="965"/>
      <c r="Q1" s="966"/>
      <c r="R1" s="968"/>
      <c r="S1" s="968"/>
    </row>
    <row r="2" spans="1:19" s="967" customFormat="1" ht="22.5">
      <c r="A2" s="1088" t="s">
        <v>3493</v>
      </c>
      <c r="B2" s="1089" t="s">
        <v>2984</v>
      </c>
      <c r="C2" s="1090" t="s">
        <v>1335</v>
      </c>
      <c r="D2" s="1091" t="s">
        <v>3700</v>
      </c>
      <c r="E2" s="1091" t="s">
        <v>80</v>
      </c>
      <c r="F2" s="1091" t="s">
        <v>3701</v>
      </c>
      <c r="G2" s="1091" t="s">
        <v>4280</v>
      </c>
      <c r="H2" s="1091" t="s">
        <v>2928</v>
      </c>
      <c r="I2" s="1091" t="s">
        <v>2929</v>
      </c>
      <c r="J2" s="1091" t="s">
        <v>2930</v>
      </c>
      <c r="K2" s="1091" t="s">
        <v>1334</v>
      </c>
      <c r="L2" s="1091" t="s">
        <v>2931</v>
      </c>
      <c r="M2" s="1091" t="s">
        <v>2522</v>
      </c>
      <c r="N2" s="1091" t="s">
        <v>81</v>
      </c>
      <c r="O2" s="1092" t="s">
        <v>2523</v>
      </c>
      <c r="P2" s="1089" t="s">
        <v>2524</v>
      </c>
      <c r="Q2" s="1089" t="s">
        <v>2525</v>
      </c>
      <c r="R2" s="968"/>
      <c r="S2" s="968"/>
    </row>
    <row r="3" spans="1:19">
      <c r="A3" s="115"/>
      <c r="B3" s="177" t="s">
        <v>1596</v>
      </c>
      <c r="C3" s="177" t="s">
        <v>1336</v>
      </c>
      <c r="D3" s="177" t="s">
        <v>1594</v>
      </c>
      <c r="E3" s="177" t="s">
        <v>1597</v>
      </c>
      <c r="F3" s="177" t="s">
        <v>1595</v>
      </c>
      <c r="G3" s="177" t="s">
        <v>441</v>
      </c>
      <c r="H3" s="177" t="s">
        <v>455</v>
      </c>
      <c r="I3" s="177" t="s">
        <v>1598</v>
      </c>
      <c r="J3" s="177" t="s">
        <v>1599</v>
      </c>
      <c r="K3" s="177" t="s">
        <v>1334</v>
      </c>
      <c r="L3" s="177" t="s">
        <v>3607</v>
      </c>
      <c r="M3" s="177" t="s">
        <v>2499</v>
      </c>
      <c r="N3" s="177" t="s">
        <v>81</v>
      </c>
      <c r="O3" s="177" t="s">
        <v>2504</v>
      </c>
      <c r="P3" s="177" t="s">
        <v>2505</v>
      </c>
      <c r="Q3" s="177" t="s">
        <v>4336</v>
      </c>
    </row>
    <row r="144" spans="2:2">
      <c r="B144" s="2823"/>
    </row>
    <row r="161" spans="2:2">
      <c r="B161" s="2823"/>
    </row>
  </sheetData>
  <phoneticPr fontId="38" type="noConversion"/>
  <pageMargins left="0.75" right="0.75" top="1" bottom="1" header="0.5" footer="0.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295" r:id="rId4" name="Button 127">
              <controlPr defaultSize="0" print="0" autoFill="0" autoPict="0" macro="[0]!mFilterBarElement">
                <anchor moveWithCells="1" sizeWithCells="1">
                  <from>
                    <xdr:col>1</xdr:col>
                    <xdr:colOff>0</xdr:colOff>
                    <xdr:row>0</xdr:row>
                    <xdr:rowOff>0</xdr:rowOff>
                  </from>
                  <to>
                    <xdr:col>3</xdr:col>
                    <xdr:colOff>0</xdr:colOff>
                    <xdr:row>1</xdr:row>
                    <xdr:rowOff>0</xdr:rowOff>
                  </to>
                </anchor>
              </controlPr>
            </control>
          </mc:Choice>
        </mc:AlternateContent>
        <mc:AlternateContent xmlns:mc="http://schemas.openxmlformats.org/markup-compatibility/2006">
          <mc:Choice Requires="x14">
            <control shapeId="7296" r:id="rId5" name="Button 128">
              <controlPr defaultSize="0" print="0" autoFill="0" autoPict="0" macro="[0]!mSortBarElement">
                <anchor moveWithCells="1" sizeWithCells="1">
                  <from>
                    <xdr:col>3</xdr:col>
                    <xdr:colOff>0</xdr:colOff>
                    <xdr:row>0</xdr:row>
                    <xdr:rowOff>0</xdr:rowOff>
                  </from>
                  <to>
                    <xdr:col>5</xdr:col>
                    <xdr:colOff>0</xdr:colOff>
                    <xdr:row>1</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
  <dimension ref="A1:C188"/>
  <sheetViews>
    <sheetView workbookViewId="0"/>
  </sheetViews>
  <sheetFormatPr defaultColWidth="11.42578125" defaultRowHeight="12.75"/>
  <sheetData>
    <row r="1" spans="1:3" ht="25.5">
      <c r="A1" s="2070">
        <v>5267</v>
      </c>
      <c r="B1" s="2071" t="s">
        <v>4242</v>
      </c>
      <c r="C1" s="2072"/>
    </row>
    <row r="2" spans="1:3" ht="63.75">
      <c r="A2" s="2070">
        <v>5268</v>
      </c>
      <c r="B2" s="2071" t="s">
        <v>3390</v>
      </c>
      <c r="C2" s="2072">
        <v>2020</v>
      </c>
    </row>
    <row r="3" spans="1:3" ht="38.25">
      <c r="A3" s="2070">
        <v>5269</v>
      </c>
      <c r="B3" s="2071" t="s">
        <v>3391</v>
      </c>
      <c r="C3" s="2072">
        <v>2017</v>
      </c>
    </row>
    <row r="4" spans="1:3" ht="102">
      <c r="A4" s="2070">
        <v>5270</v>
      </c>
      <c r="B4" s="2071" t="s">
        <v>1442</v>
      </c>
      <c r="C4" s="2072">
        <v>2017</v>
      </c>
    </row>
    <row r="5" spans="1:3" ht="15">
      <c r="A5" s="2070">
        <v>5271</v>
      </c>
      <c r="B5" s="2071" t="s">
        <v>1443</v>
      </c>
      <c r="C5" s="2073">
        <v>2017</v>
      </c>
    </row>
    <row r="6" spans="1:3" ht="76.5">
      <c r="A6" s="2070">
        <v>5272</v>
      </c>
      <c r="B6" s="2071" t="s">
        <v>1444</v>
      </c>
      <c r="C6" s="2072">
        <v>2015</v>
      </c>
    </row>
    <row r="7" spans="1:3" ht="25.5">
      <c r="A7" s="2070">
        <v>5273</v>
      </c>
      <c r="B7" s="2071" t="s">
        <v>1445</v>
      </c>
      <c r="C7" s="2073">
        <v>2020</v>
      </c>
    </row>
    <row r="8" spans="1:3">
      <c r="A8" s="2070">
        <v>5274</v>
      </c>
      <c r="B8" s="2071" t="s">
        <v>1446</v>
      </c>
      <c r="C8" s="2072">
        <v>2019</v>
      </c>
    </row>
    <row r="9" spans="1:3" ht="38.25">
      <c r="A9" s="2070">
        <v>5275</v>
      </c>
      <c r="B9" s="2071" t="s">
        <v>1447</v>
      </c>
      <c r="C9" s="2072"/>
    </row>
    <row r="10" spans="1:3" ht="63.75">
      <c r="A10" s="2070">
        <v>5276</v>
      </c>
      <c r="B10" s="2071" t="s">
        <v>2282</v>
      </c>
      <c r="C10" s="2072">
        <v>2019</v>
      </c>
    </row>
    <row r="11" spans="1:3">
      <c r="A11" s="2070">
        <v>5277</v>
      </c>
      <c r="B11" s="2071" t="s">
        <v>2283</v>
      </c>
      <c r="C11" s="2072">
        <v>2019</v>
      </c>
    </row>
    <row r="12" spans="1:3" ht="25.5">
      <c r="A12" s="2070">
        <v>5278</v>
      </c>
      <c r="B12" s="2071" t="s">
        <v>2284</v>
      </c>
      <c r="C12" s="2072">
        <v>2015</v>
      </c>
    </row>
    <row r="13" spans="1:3">
      <c r="A13" s="2070">
        <v>5279</v>
      </c>
      <c r="B13" s="2071" t="s">
        <v>2285</v>
      </c>
      <c r="C13" s="2072">
        <v>2019</v>
      </c>
    </row>
    <row r="14" spans="1:3" ht="51">
      <c r="A14" s="2070">
        <v>5280</v>
      </c>
      <c r="B14" s="2071" t="s">
        <v>2286</v>
      </c>
      <c r="C14" s="2072">
        <v>2015</v>
      </c>
    </row>
    <row r="15" spans="1:3" ht="76.5">
      <c r="A15" s="2070">
        <v>5281</v>
      </c>
      <c r="B15" s="2071" t="s">
        <v>1371</v>
      </c>
      <c r="C15" s="2072">
        <v>2017</v>
      </c>
    </row>
    <row r="16" spans="1:3">
      <c r="A16" s="2070">
        <v>5282</v>
      </c>
      <c r="B16" s="2071" t="s">
        <v>1372</v>
      </c>
      <c r="C16" s="2072">
        <v>2015</v>
      </c>
    </row>
    <row r="17" spans="1:3" ht="63.75">
      <c r="A17" s="2070">
        <v>5283</v>
      </c>
      <c r="B17" s="2071" t="s">
        <v>3210</v>
      </c>
      <c r="C17" s="2072">
        <v>2019</v>
      </c>
    </row>
    <row r="18" spans="1:3" ht="25.5">
      <c r="A18" s="2070">
        <v>5284</v>
      </c>
      <c r="B18" s="2071" t="s">
        <v>3211</v>
      </c>
      <c r="C18" s="2072">
        <v>2019</v>
      </c>
    </row>
    <row r="19" spans="1:3" ht="38.25">
      <c r="A19" s="2070">
        <v>5285</v>
      </c>
      <c r="B19" s="2071" t="s">
        <v>3212</v>
      </c>
      <c r="C19" s="2072">
        <v>2019</v>
      </c>
    </row>
    <row r="20" spans="1:3" ht="140.25">
      <c r="A20" s="2070">
        <v>5286</v>
      </c>
      <c r="B20" s="2071" t="s">
        <v>3941</v>
      </c>
      <c r="C20" s="2072">
        <v>2017</v>
      </c>
    </row>
    <row r="21" spans="1:3" ht="25.5">
      <c r="A21" s="2070">
        <v>5287</v>
      </c>
      <c r="B21" s="2071" t="s">
        <v>903</v>
      </c>
      <c r="C21" s="2072">
        <v>2015</v>
      </c>
    </row>
    <row r="22" spans="1:3" ht="114.75">
      <c r="A22" s="2070">
        <v>5288</v>
      </c>
      <c r="B22" s="2071" t="s">
        <v>2718</v>
      </c>
      <c r="C22" s="2072"/>
    </row>
    <row r="23" spans="1:3" ht="38.25">
      <c r="A23" s="2070">
        <v>5289</v>
      </c>
      <c r="B23" s="2071" t="s">
        <v>242</v>
      </c>
      <c r="C23" s="2072">
        <v>2019</v>
      </c>
    </row>
    <row r="24" spans="1:3" ht="76.5">
      <c r="A24" s="2070">
        <v>5290</v>
      </c>
      <c r="B24" s="2071" t="s">
        <v>4233</v>
      </c>
      <c r="C24" s="2072">
        <v>2018</v>
      </c>
    </row>
    <row r="25" spans="1:3" ht="76.5">
      <c r="A25" s="2070">
        <v>5291</v>
      </c>
      <c r="B25" s="2071" t="s">
        <v>2</v>
      </c>
      <c r="C25" s="2072">
        <v>2017</v>
      </c>
    </row>
    <row r="26" spans="1:3" ht="51">
      <c r="A26" s="2070">
        <v>5292</v>
      </c>
      <c r="B26" s="2071" t="s">
        <v>2803</v>
      </c>
      <c r="C26" s="2072">
        <v>2016</v>
      </c>
    </row>
    <row r="27" spans="1:3" ht="76.5">
      <c r="A27" s="2070">
        <v>5293</v>
      </c>
      <c r="B27" s="2071" t="s">
        <v>2804</v>
      </c>
      <c r="C27" s="2072">
        <v>2016</v>
      </c>
    </row>
    <row r="28" spans="1:3" ht="114.75">
      <c r="A28" s="2070">
        <v>5294</v>
      </c>
      <c r="B28" s="2071" t="s">
        <v>1466</v>
      </c>
      <c r="C28" s="2072">
        <v>2017</v>
      </c>
    </row>
    <row r="29" spans="1:3">
      <c r="A29" s="2070">
        <v>5295</v>
      </c>
      <c r="B29" s="2071" t="s">
        <v>1467</v>
      </c>
      <c r="C29" s="2072">
        <v>2017</v>
      </c>
    </row>
    <row r="30" spans="1:3" ht="140.25">
      <c r="A30" s="2070">
        <v>5296</v>
      </c>
      <c r="B30" s="2071" t="s">
        <v>1468</v>
      </c>
      <c r="C30" s="2072">
        <v>2019</v>
      </c>
    </row>
    <row r="31" spans="1:3" ht="51">
      <c r="A31" s="2070">
        <v>5297</v>
      </c>
      <c r="B31" s="2071" t="s">
        <v>1470</v>
      </c>
      <c r="C31" s="2072">
        <v>2017</v>
      </c>
    </row>
    <row r="32" spans="1:3" ht="51">
      <c r="A32" s="2070">
        <v>5298</v>
      </c>
      <c r="B32" s="2071" t="s">
        <v>3483</v>
      </c>
      <c r="C32" s="2072">
        <v>2014</v>
      </c>
    </row>
    <row r="33" spans="1:3" ht="102">
      <c r="A33" s="2070">
        <v>5299</v>
      </c>
      <c r="B33" s="2071" t="s">
        <v>3484</v>
      </c>
      <c r="C33" s="2072">
        <v>2014</v>
      </c>
    </row>
    <row r="34" spans="1:3" ht="178.5">
      <c r="A34" s="2070">
        <v>5300</v>
      </c>
      <c r="B34" s="2071" t="s">
        <v>3754</v>
      </c>
      <c r="C34" s="2072">
        <v>2017</v>
      </c>
    </row>
    <row r="35" spans="1:3" ht="127.5">
      <c r="A35" s="2070">
        <v>5301</v>
      </c>
      <c r="B35" s="2071" t="s">
        <v>2896</v>
      </c>
      <c r="C35" s="2072">
        <v>2015</v>
      </c>
    </row>
    <row r="36" spans="1:3" ht="114.75">
      <c r="A36" s="2070">
        <v>5302</v>
      </c>
      <c r="B36" s="2071" t="s">
        <v>2485</v>
      </c>
      <c r="C36" s="2072">
        <v>2017</v>
      </c>
    </row>
    <row r="37" spans="1:3">
      <c r="A37" s="2070">
        <v>5303</v>
      </c>
      <c r="B37" s="2071" t="s">
        <v>2486</v>
      </c>
      <c r="C37" s="2072">
        <v>2016</v>
      </c>
    </row>
    <row r="38" spans="1:3" ht="38.25">
      <c r="A38" s="2070">
        <v>5304</v>
      </c>
      <c r="B38" s="2071" t="s">
        <v>2487</v>
      </c>
      <c r="C38" s="2072">
        <v>2015</v>
      </c>
    </row>
    <row r="39" spans="1:3" ht="63.75">
      <c r="A39" s="2070">
        <v>5305</v>
      </c>
      <c r="B39" s="2071" t="s">
        <v>2488</v>
      </c>
      <c r="C39" s="2072">
        <v>2014</v>
      </c>
    </row>
    <row r="40" spans="1:3" ht="63.75">
      <c r="A40" s="2070">
        <v>5306</v>
      </c>
      <c r="B40" s="2071" t="s">
        <v>1656</v>
      </c>
      <c r="C40" s="2072">
        <v>2017</v>
      </c>
    </row>
    <row r="41" spans="1:3" ht="25.5">
      <c r="A41" s="2070">
        <v>5307</v>
      </c>
      <c r="B41" s="2071" t="s">
        <v>7</v>
      </c>
      <c r="C41" s="2072">
        <v>2016</v>
      </c>
    </row>
    <row r="42" spans="1:3" ht="25.5">
      <c r="A42" s="2070">
        <v>5308</v>
      </c>
      <c r="B42" s="2071" t="s">
        <v>8</v>
      </c>
      <c r="C42" s="2072">
        <v>2018</v>
      </c>
    </row>
    <row r="43" spans="1:3" ht="25.5">
      <c r="A43" s="2070">
        <v>5309</v>
      </c>
      <c r="B43" s="2071" t="s">
        <v>9</v>
      </c>
      <c r="C43" s="2072">
        <v>2019</v>
      </c>
    </row>
    <row r="44" spans="1:3" ht="63.75">
      <c r="A44" s="2070">
        <v>5310</v>
      </c>
      <c r="B44" s="2071" t="s">
        <v>10</v>
      </c>
      <c r="C44" s="2072"/>
    </row>
    <row r="45" spans="1:3" ht="25.5">
      <c r="A45" s="2070">
        <v>5311</v>
      </c>
      <c r="B45" s="2071" t="s">
        <v>11</v>
      </c>
      <c r="C45" s="2072">
        <v>2015</v>
      </c>
    </row>
    <row r="46" spans="1:3" ht="63.75">
      <c r="A46" s="2070">
        <v>5312</v>
      </c>
      <c r="B46" s="2071" t="s">
        <v>2458</v>
      </c>
      <c r="C46" s="2072">
        <v>2014</v>
      </c>
    </row>
    <row r="47" spans="1:3" ht="25.5">
      <c r="A47" s="2070">
        <v>5313</v>
      </c>
      <c r="B47" s="2071" t="s">
        <v>190</v>
      </c>
      <c r="C47" s="2072">
        <v>2015</v>
      </c>
    </row>
    <row r="48" spans="1:3" ht="63.75">
      <c r="A48" s="2070">
        <v>5314</v>
      </c>
      <c r="B48" s="2071" t="s">
        <v>191</v>
      </c>
      <c r="C48" s="2072">
        <v>2017</v>
      </c>
    </row>
    <row r="49" spans="1:3" ht="38.25">
      <c r="A49" s="2070">
        <v>5315</v>
      </c>
      <c r="B49" s="2071" t="s">
        <v>192</v>
      </c>
      <c r="C49" s="2072">
        <v>2019</v>
      </c>
    </row>
    <row r="50" spans="1:3" ht="51">
      <c r="A50" s="2070">
        <v>5316</v>
      </c>
      <c r="B50" s="2071" t="s">
        <v>62</v>
      </c>
      <c r="C50" s="2072">
        <v>2016</v>
      </c>
    </row>
    <row r="51" spans="1:3">
      <c r="A51" s="2070">
        <v>5317</v>
      </c>
      <c r="B51" s="2071" t="s">
        <v>63</v>
      </c>
      <c r="C51" s="2072">
        <v>2016</v>
      </c>
    </row>
    <row r="52" spans="1:3" ht="25.5">
      <c r="A52" s="2070">
        <v>5318</v>
      </c>
      <c r="B52" s="2071" t="s">
        <v>64</v>
      </c>
      <c r="C52" s="2072">
        <v>2016</v>
      </c>
    </row>
    <row r="53" spans="1:3" ht="38.25">
      <c r="A53" s="2070">
        <v>5319</v>
      </c>
      <c r="B53" s="2071" t="s">
        <v>65</v>
      </c>
      <c r="C53" s="2072">
        <v>2019</v>
      </c>
    </row>
    <row r="54" spans="1:3" ht="63.75">
      <c r="A54" s="2070">
        <v>5320</v>
      </c>
      <c r="B54" s="2071" t="s">
        <v>852</v>
      </c>
      <c r="C54" s="2072">
        <v>2015</v>
      </c>
    </row>
    <row r="55" spans="1:3" ht="25.5">
      <c r="A55" s="2070">
        <v>5321</v>
      </c>
      <c r="B55" s="2071" t="s">
        <v>853</v>
      </c>
      <c r="C55" s="2072"/>
    </row>
    <row r="56" spans="1:3">
      <c r="A56" s="2070">
        <v>5322</v>
      </c>
      <c r="B56" s="2071" t="s">
        <v>854</v>
      </c>
      <c r="C56" s="2072">
        <v>2017</v>
      </c>
    </row>
    <row r="57" spans="1:3" ht="63.75">
      <c r="A57" s="2070">
        <v>5323</v>
      </c>
      <c r="B57" s="2071" t="s">
        <v>5116</v>
      </c>
      <c r="C57" s="2072">
        <v>2019</v>
      </c>
    </row>
    <row r="58" spans="1:3" ht="25.5">
      <c r="A58" s="2070">
        <v>5324</v>
      </c>
      <c r="B58" s="2071" t="s">
        <v>855</v>
      </c>
      <c r="C58" s="2072">
        <v>2015</v>
      </c>
    </row>
    <row r="59" spans="1:3">
      <c r="A59" s="2070">
        <v>5325</v>
      </c>
      <c r="B59" s="2071" t="s">
        <v>130</v>
      </c>
      <c r="C59" s="2072">
        <v>2015</v>
      </c>
    </row>
    <row r="60" spans="1:3" ht="63.75">
      <c r="A60" s="2070">
        <v>5326</v>
      </c>
      <c r="B60" s="2071" t="s">
        <v>5117</v>
      </c>
      <c r="C60" s="2072">
        <v>2018</v>
      </c>
    </row>
    <row r="61" spans="1:3" ht="76.5">
      <c r="A61" s="2070">
        <v>5327</v>
      </c>
      <c r="B61" s="2071" t="s">
        <v>131</v>
      </c>
      <c r="C61" s="2072">
        <v>2019</v>
      </c>
    </row>
    <row r="62" spans="1:3" ht="63.75">
      <c r="A62" s="2070">
        <v>5328</v>
      </c>
      <c r="B62" s="2071" t="s">
        <v>132</v>
      </c>
      <c r="C62" s="2072">
        <v>2017</v>
      </c>
    </row>
    <row r="63" spans="1:3" ht="51">
      <c r="A63" s="2070">
        <v>5329</v>
      </c>
      <c r="B63" s="2071" t="s">
        <v>971</v>
      </c>
      <c r="C63" s="2072"/>
    </row>
    <row r="64" spans="1:3">
      <c r="A64" s="2070">
        <v>5330</v>
      </c>
      <c r="B64" s="2071" t="s">
        <v>972</v>
      </c>
      <c r="C64" s="2074">
        <v>2015</v>
      </c>
    </row>
    <row r="65" spans="1:3" ht="51">
      <c r="A65" s="2070">
        <v>5331</v>
      </c>
      <c r="B65" s="2071" t="s">
        <v>973</v>
      </c>
      <c r="C65" s="2074">
        <v>2016</v>
      </c>
    </row>
    <row r="66" spans="1:3" ht="25.5">
      <c r="A66" s="2070">
        <v>5332</v>
      </c>
      <c r="B66" s="2071" t="s">
        <v>975</v>
      </c>
      <c r="C66" s="2074">
        <v>2015</v>
      </c>
    </row>
    <row r="67" spans="1:3" ht="63.75">
      <c r="A67" s="2070">
        <v>5333</v>
      </c>
      <c r="B67" s="2071" t="s">
        <v>3859</v>
      </c>
      <c r="C67" s="2074">
        <v>2019</v>
      </c>
    </row>
    <row r="68" spans="1:3" ht="76.5">
      <c r="A68" s="2070">
        <v>5334</v>
      </c>
      <c r="B68" s="2071" t="s">
        <v>369</v>
      </c>
      <c r="C68" s="2074">
        <v>2016</v>
      </c>
    </row>
    <row r="69" spans="1:3" ht="76.5">
      <c r="A69" s="2070">
        <v>5335</v>
      </c>
      <c r="B69" s="2071" t="s">
        <v>370</v>
      </c>
      <c r="C69" s="2074"/>
    </row>
    <row r="70" spans="1:3" ht="38.25">
      <c r="A70" s="2070">
        <v>5336</v>
      </c>
      <c r="B70" s="2071" t="s">
        <v>3450</v>
      </c>
      <c r="C70" s="2074">
        <v>2019</v>
      </c>
    </row>
    <row r="71" spans="1:3" ht="63.75">
      <c r="A71" s="2070">
        <v>5337</v>
      </c>
      <c r="B71" s="2071" t="s">
        <v>3826</v>
      </c>
      <c r="C71" s="2074">
        <v>2019</v>
      </c>
    </row>
    <row r="72" spans="1:3" ht="89.25">
      <c r="A72" s="2070">
        <v>5338</v>
      </c>
      <c r="B72" s="2071" t="s">
        <v>3828</v>
      </c>
      <c r="C72" s="2074">
        <v>2016</v>
      </c>
    </row>
    <row r="73" spans="1:3" ht="25.5">
      <c r="A73" s="2070">
        <v>5339</v>
      </c>
      <c r="B73" s="2075" t="s">
        <v>1278</v>
      </c>
      <c r="C73" s="2074">
        <v>2017</v>
      </c>
    </row>
    <row r="74" spans="1:3" ht="89.25">
      <c r="A74" s="2070">
        <v>5340</v>
      </c>
      <c r="B74" s="2075" t="s">
        <v>3468</v>
      </c>
      <c r="C74" s="2074">
        <v>2017</v>
      </c>
    </row>
    <row r="75" spans="1:3" ht="38.25">
      <c r="A75" s="2070">
        <v>5341</v>
      </c>
      <c r="B75" s="2075" t="s">
        <v>759</v>
      </c>
      <c r="C75" s="2074"/>
    </row>
    <row r="76" spans="1:3" ht="51">
      <c r="A76" s="2070">
        <v>5342</v>
      </c>
      <c r="B76" s="2075" t="s">
        <v>760</v>
      </c>
      <c r="C76" s="2074">
        <v>2016</v>
      </c>
    </row>
    <row r="77" spans="1:3" ht="76.5">
      <c r="A77" s="2070">
        <v>5343</v>
      </c>
      <c r="B77" s="2075" t="s">
        <v>761</v>
      </c>
      <c r="C77" s="2074">
        <v>2016</v>
      </c>
    </row>
    <row r="78" spans="1:3" ht="51">
      <c r="A78" s="2070">
        <v>5344</v>
      </c>
      <c r="B78" s="2075" t="s">
        <v>762</v>
      </c>
      <c r="C78" s="2074">
        <v>2017</v>
      </c>
    </row>
    <row r="79" spans="1:3">
      <c r="A79" s="2070">
        <v>5345</v>
      </c>
      <c r="B79" s="2071" t="s">
        <v>2089</v>
      </c>
      <c r="C79" s="2074">
        <v>2020</v>
      </c>
    </row>
    <row r="80" spans="1:3">
      <c r="A80" s="2076">
        <v>5346</v>
      </c>
      <c r="B80" s="2077" t="s">
        <v>2090</v>
      </c>
      <c r="C80" s="2078">
        <v>2017</v>
      </c>
    </row>
    <row r="81" spans="1:3" ht="51">
      <c r="A81" s="2070">
        <v>5347</v>
      </c>
      <c r="B81" s="2071" t="s">
        <v>2871</v>
      </c>
      <c r="C81" s="2074"/>
    </row>
    <row r="82" spans="1:3" ht="25.5">
      <c r="A82" s="2070">
        <v>5348</v>
      </c>
      <c r="B82" s="2071" t="s">
        <v>3132</v>
      </c>
      <c r="C82" s="2074">
        <v>2016</v>
      </c>
    </row>
    <row r="83" spans="1:3" ht="63.75">
      <c r="A83" s="2070">
        <v>5349</v>
      </c>
      <c r="B83" s="2071" t="s">
        <v>3258</v>
      </c>
      <c r="C83" s="2074">
        <v>2014</v>
      </c>
    </row>
    <row r="84" spans="1:3" ht="38.25">
      <c r="A84" s="2070">
        <v>5350</v>
      </c>
      <c r="B84" s="2071" t="s">
        <v>3259</v>
      </c>
      <c r="C84" s="2074">
        <v>2016</v>
      </c>
    </row>
    <row r="85" spans="1:3" ht="76.5">
      <c r="A85" s="2070">
        <v>5351</v>
      </c>
      <c r="B85" s="2071" t="s">
        <v>999</v>
      </c>
      <c r="C85" s="2074">
        <v>2020</v>
      </c>
    </row>
    <row r="86" spans="1:3">
      <c r="A86" s="2070">
        <v>5352</v>
      </c>
      <c r="B86" s="2071" t="s">
        <v>1647</v>
      </c>
      <c r="C86" s="2074">
        <v>2017</v>
      </c>
    </row>
    <row r="87" spans="1:3">
      <c r="A87" s="2070">
        <v>5353</v>
      </c>
      <c r="B87" s="2071" t="s">
        <v>1648</v>
      </c>
      <c r="C87" s="2074"/>
    </row>
    <row r="88" spans="1:3" ht="25.5">
      <c r="A88" s="2070">
        <v>5354</v>
      </c>
      <c r="B88" s="2071" t="s">
        <v>1649</v>
      </c>
      <c r="C88" s="2074">
        <v>2016</v>
      </c>
    </row>
    <row r="89" spans="1:3" ht="51">
      <c r="A89" s="2070">
        <v>5355</v>
      </c>
      <c r="B89" s="2071" t="s">
        <v>1650</v>
      </c>
      <c r="C89" s="2074">
        <v>2015</v>
      </c>
    </row>
    <row r="90" spans="1:3" ht="38.25">
      <c r="A90" s="2070">
        <v>5356</v>
      </c>
      <c r="B90" s="2071" t="s">
        <v>1651</v>
      </c>
      <c r="C90" s="2074">
        <v>2017</v>
      </c>
    </row>
    <row r="91" spans="1:3" ht="63.75">
      <c r="A91" s="2076">
        <v>5359</v>
      </c>
      <c r="B91" s="2077" t="s">
        <v>4257</v>
      </c>
      <c r="C91" s="2078">
        <v>2002</v>
      </c>
    </row>
    <row r="92" spans="1:3">
      <c r="A92" s="2076">
        <v>5360</v>
      </c>
      <c r="B92" s="2077" t="s">
        <v>4258</v>
      </c>
      <c r="C92" s="2078">
        <v>2017</v>
      </c>
    </row>
    <row r="93" spans="1:3" ht="25.5">
      <c r="A93" s="2076">
        <v>5361</v>
      </c>
      <c r="B93" s="2077" t="s">
        <v>53</v>
      </c>
      <c r="C93" s="2078">
        <v>2018</v>
      </c>
    </row>
    <row r="94" spans="1:3" ht="25.5">
      <c r="A94" s="2070">
        <v>5362</v>
      </c>
      <c r="B94" s="2071" t="s">
        <v>54</v>
      </c>
      <c r="C94" s="2074">
        <v>2016</v>
      </c>
    </row>
    <row r="95" spans="1:3" ht="38.25">
      <c r="A95" s="2070">
        <v>5363</v>
      </c>
      <c r="B95" s="2071" t="s">
        <v>2895</v>
      </c>
      <c r="C95" s="2074">
        <v>2015</v>
      </c>
    </row>
    <row r="96" spans="1:3" ht="102">
      <c r="A96" s="2076">
        <v>5364</v>
      </c>
      <c r="B96" s="2077" t="s">
        <v>3362</v>
      </c>
      <c r="C96" s="2078">
        <v>2018</v>
      </c>
    </row>
    <row r="97" spans="1:3" ht="38.25">
      <c r="A97" s="2079">
        <v>5365</v>
      </c>
      <c r="B97" s="2080" t="s">
        <v>3363</v>
      </c>
      <c r="C97" s="2081">
        <v>2016</v>
      </c>
    </row>
    <row r="98" spans="1:3" ht="38.25">
      <c r="A98" s="2076">
        <v>5366</v>
      </c>
      <c r="B98" s="2077" t="s">
        <v>2679</v>
      </c>
      <c r="C98" s="2078">
        <v>2015</v>
      </c>
    </row>
    <row r="99" spans="1:3" ht="38.25">
      <c r="A99" s="2070">
        <v>5367</v>
      </c>
      <c r="B99" s="2071" t="s">
        <v>2684</v>
      </c>
      <c r="C99" s="2074">
        <v>2017</v>
      </c>
    </row>
    <row r="100" spans="1:3" ht="25.5">
      <c r="A100" s="2070">
        <v>5368</v>
      </c>
      <c r="B100" s="2071" t="s">
        <v>2685</v>
      </c>
      <c r="C100" s="2074">
        <v>2016</v>
      </c>
    </row>
    <row r="101" spans="1:3" ht="76.5">
      <c r="A101" s="2070">
        <v>5369</v>
      </c>
      <c r="B101" s="2071" t="s">
        <v>413</v>
      </c>
      <c r="C101" s="2074">
        <v>2016</v>
      </c>
    </row>
    <row r="102" spans="1:3">
      <c r="A102" s="2076">
        <v>5371</v>
      </c>
      <c r="B102" s="2077" t="s">
        <v>416</v>
      </c>
      <c r="C102" s="2078">
        <v>2017</v>
      </c>
    </row>
    <row r="103" spans="1:3" ht="51">
      <c r="A103" s="2070">
        <v>5372</v>
      </c>
      <c r="B103" s="2071" t="s">
        <v>561</v>
      </c>
      <c r="C103" s="2074">
        <v>2016</v>
      </c>
    </row>
    <row r="104" spans="1:3" ht="38.25">
      <c r="A104" s="2070">
        <v>5373</v>
      </c>
      <c r="B104" s="2071" t="s">
        <v>562</v>
      </c>
      <c r="C104" s="2074">
        <v>2016</v>
      </c>
    </row>
    <row r="105" spans="1:3" ht="25.5">
      <c r="A105" s="2070">
        <v>5375</v>
      </c>
      <c r="B105" s="2071" t="s">
        <v>564</v>
      </c>
      <c r="C105" s="2074">
        <v>2016</v>
      </c>
    </row>
    <row r="106" spans="1:3" ht="51">
      <c r="A106" s="2070">
        <v>5376</v>
      </c>
      <c r="B106" s="2071" t="s">
        <v>4463</v>
      </c>
      <c r="C106" s="2074">
        <v>2016</v>
      </c>
    </row>
    <row r="107" spans="1:3" ht="51">
      <c r="A107" s="2076">
        <v>5377</v>
      </c>
      <c r="B107" s="2077" t="s">
        <v>4464</v>
      </c>
      <c r="C107" s="2078">
        <v>2017</v>
      </c>
    </row>
    <row r="108" spans="1:3" ht="63.75">
      <c r="A108" s="2070">
        <v>5379</v>
      </c>
      <c r="B108" s="2071" t="s">
        <v>977</v>
      </c>
      <c r="C108" s="2074">
        <v>2015</v>
      </c>
    </row>
    <row r="109" spans="1:3" ht="25.5">
      <c r="A109" s="2076">
        <v>5380</v>
      </c>
      <c r="B109" s="2077" t="s">
        <v>5040</v>
      </c>
      <c r="C109" s="2078">
        <v>2017</v>
      </c>
    </row>
    <row r="110" spans="1:3" ht="38.25">
      <c r="A110" s="2070">
        <v>5381</v>
      </c>
      <c r="B110" s="2071" t="s">
        <v>978</v>
      </c>
      <c r="C110" s="2074">
        <v>2016</v>
      </c>
    </row>
    <row r="111" spans="1:3">
      <c r="A111" s="2070">
        <v>5382</v>
      </c>
      <c r="B111" s="2071" t="s">
        <v>979</v>
      </c>
      <c r="C111" s="2074">
        <v>2016</v>
      </c>
    </row>
    <row r="112" spans="1:3" ht="38.25">
      <c r="A112" s="2070">
        <v>5383</v>
      </c>
      <c r="B112" s="2071" t="s">
        <v>2891</v>
      </c>
      <c r="C112" s="2074">
        <v>2017</v>
      </c>
    </row>
    <row r="113" spans="1:3" ht="63.75">
      <c r="A113" s="2070">
        <v>5385</v>
      </c>
      <c r="B113" s="2071" t="s">
        <v>20</v>
      </c>
      <c r="C113" s="2074">
        <v>2016</v>
      </c>
    </row>
    <row r="114" spans="1:3">
      <c r="A114" s="2070">
        <v>5388</v>
      </c>
      <c r="B114" s="2071" t="s">
        <v>24</v>
      </c>
      <c r="C114" s="2074"/>
    </row>
    <row r="115" spans="1:3" ht="63.75">
      <c r="A115" s="2070">
        <v>5389</v>
      </c>
      <c r="B115" s="2071" t="s">
        <v>3808</v>
      </c>
      <c r="C115" s="2074">
        <v>2016</v>
      </c>
    </row>
    <row r="116" spans="1:3" ht="38.25">
      <c r="A116" s="2070">
        <v>5390</v>
      </c>
      <c r="B116" s="2071" t="s">
        <v>3809</v>
      </c>
      <c r="C116" s="2074">
        <v>2015</v>
      </c>
    </row>
    <row r="117" spans="1:3" ht="51">
      <c r="A117" s="2079">
        <v>5391</v>
      </c>
      <c r="B117" s="2080" t="s">
        <v>1258</v>
      </c>
      <c r="C117" s="2081">
        <v>2016</v>
      </c>
    </row>
    <row r="118" spans="1:3" ht="25.5">
      <c r="A118" s="2070">
        <v>5392</v>
      </c>
      <c r="B118" s="2071" t="s">
        <v>1259</v>
      </c>
      <c r="C118" s="2074">
        <v>2015</v>
      </c>
    </row>
    <row r="119" spans="1:3" ht="25.5">
      <c r="A119" s="2070">
        <v>5393</v>
      </c>
      <c r="B119" s="2071" t="s">
        <v>1260</v>
      </c>
      <c r="C119" s="2074">
        <v>2016</v>
      </c>
    </row>
    <row r="120" spans="1:3">
      <c r="A120" s="2070">
        <v>5394</v>
      </c>
      <c r="B120" s="2071" t="s">
        <v>1261</v>
      </c>
      <c r="C120" s="2074">
        <v>2015</v>
      </c>
    </row>
    <row r="121" spans="1:3" ht="51">
      <c r="A121" s="2070">
        <v>5395</v>
      </c>
      <c r="B121" s="2071" t="s">
        <v>1262</v>
      </c>
      <c r="C121" s="2074">
        <v>2017</v>
      </c>
    </row>
    <row r="122" spans="1:3" ht="38.25">
      <c r="A122" s="2076">
        <v>5396</v>
      </c>
      <c r="B122" s="2077" t="s">
        <v>1699</v>
      </c>
      <c r="C122" s="2078">
        <v>2017</v>
      </c>
    </row>
    <row r="123" spans="1:3" ht="38.25">
      <c r="A123" s="2070">
        <v>5399</v>
      </c>
      <c r="B123" s="2071" t="s">
        <v>199</v>
      </c>
      <c r="C123" s="2074">
        <v>2016</v>
      </c>
    </row>
    <row r="124" spans="1:3">
      <c r="A124" s="2070">
        <v>5400</v>
      </c>
      <c r="B124" s="2071" t="s">
        <v>200</v>
      </c>
      <c r="C124" s="2074">
        <v>2019</v>
      </c>
    </row>
    <row r="125" spans="1:3" ht="38.25">
      <c r="A125" s="2070">
        <v>5401</v>
      </c>
      <c r="B125" s="2071" t="s">
        <v>201</v>
      </c>
      <c r="C125" s="2074">
        <v>2017</v>
      </c>
    </row>
    <row r="126" spans="1:3" ht="25.5">
      <c r="A126" s="2070">
        <v>5402</v>
      </c>
      <c r="B126" s="2071" t="s">
        <v>202</v>
      </c>
      <c r="C126" s="2074">
        <v>2017</v>
      </c>
    </row>
    <row r="127" spans="1:3" ht="63.75">
      <c r="A127" s="2076">
        <v>5403</v>
      </c>
      <c r="B127" s="2077" t="s">
        <v>3260</v>
      </c>
      <c r="C127" s="2078">
        <v>2017</v>
      </c>
    </row>
    <row r="128" spans="1:3" ht="76.5">
      <c r="A128" s="2070">
        <v>5405</v>
      </c>
      <c r="B128" s="2071" t="s">
        <v>5041</v>
      </c>
      <c r="C128" s="2074">
        <v>2017</v>
      </c>
    </row>
    <row r="129" spans="1:3">
      <c r="A129" s="2076">
        <v>5406</v>
      </c>
      <c r="B129" s="2077" t="s">
        <v>2626</v>
      </c>
      <c r="C129" s="2078">
        <v>2016</v>
      </c>
    </row>
    <row r="130" spans="1:3" ht="51">
      <c r="A130" s="2070">
        <v>5407</v>
      </c>
      <c r="B130" s="2071" t="s">
        <v>2643</v>
      </c>
      <c r="C130" s="2074">
        <v>2015</v>
      </c>
    </row>
    <row r="131" spans="1:3" ht="51">
      <c r="A131" s="2070">
        <v>5408</v>
      </c>
      <c r="B131" s="2071" t="s">
        <v>5042</v>
      </c>
      <c r="C131" s="2074">
        <v>2016</v>
      </c>
    </row>
    <row r="132" spans="1:3" ht="51">
      <c r="A132" s="2070">
        <v>5409</v>
      </c>
      <c r="B132" s="2071" t="s">
        <v>2644</v>
      </c>
      <c r="C132" s="2074">
        <v>2017</v>
      </c>
    </row>
    <row r="133" spans="1:3">
      <c r="A133" s="2070">
        <v>5410</v>
      </c>
      <c r="B133" s="2071" t="s">
        <v>2645</v>
      </c>
      <c r="C133" s="2074">
        <v>2015</v>
      </c>
    </row>
    <row r="134" spans="1:3" ht="25.5">
      <c r="A134" s="2076">
        <v>5411</v>
      </c>
      <c r="B134" s="2077" t="s">
        <v>2646</v>
      </c>
      <c r="C134" s="2078">
        <v>2019</v>
      </c>
    </row>
    <row r="135" spans="1:3" ht="51">
      <c r="A135" s="2070">
        <v>5412</v>
      </c>
      <c r="B135" s="2071" t="s">
        <v>2647</v>
      </c>
      <c r="C135" s="2074">
        <v>2017</v>
      </c>
    </row>
    <row r="136" spans="1:3">
      <c r="A136" s="2070">
        <v>5415</v>
      </c>
      <c r="B136" s="2071" t="s">
        <v>4341</v>
      </c>
      <c r="C136" s="2074">
        <v>2016</v>
      </c>
    </row>
    <row r="137" spans="1:3" ht="51">
      <c r="A137" s="2070">
        <v>5416</v>
      </c>
      <c r="B137" s="2071" t="s">
        <v>4342</v>
      </c>
      <c r="C137" s="2074">
        <v>2019</v>
      </c>
    </row>
    <row r="138" spans="1:3" ht="51">
      <c r="A138" s="2070">
        <v>5417</v>
      </c>
      <c r="B138" s="2071" t="s">
        <v>4343</v>
      </c>
      <c r="C138" s="2074"/>
    </row>
    <row r="139" spans="1:3" ht="51">
      <c r="A139" s="2070">
        <v>5418</v>
      </c>
      <c r="B139" s="2071" t="s">
        <v>4344</v>
      </c>
      <c r="C139" s="2074">
        <v>2016</v>
      </c>
    </row>
    <row r="140" spans="1:3" ht="76.5">
      <c r="A140" s="2076">
        <v>5419</v>
      </c>
      <c r="B140" s="2077" t="s">
        <v>4345</v>
      </c>
      <c r="C140" s="2082">
        <v>2018</v>
      </c>
    </row>
    <row r="141" spans="1:3" ht="25.5">
      <c r="A141" s="2070">
        <v>5420</v>
      </c>
      <c r="B141" s="2071" t="s">
        <v>4346</v>
      </c>
      <c r="C141" s="2074">
        <v>2016</v>
      </c>
    </row>
    <row r="142" spans="1:3" ht="25.5">
      <c r="A142" s="2076">
        <v>5421</v>
      </c>
      <c r="B142" s="2077" t="s">
        <v>2190</v>
      </c>
      <c r="C142" s="2078">
        <v>2018</v>
      </c>
    </row>
    <row r="143" spans="1:3" ht="51">
      <c r="A143" s="2070">
        <v>5422</v>
      </c>
      <c r="B143" s="2071" t="s">
        <v>3773</v>
      </c>
      <c r="C143" s="2074">
        <v>2020</v>
      </c>
    </row>
    <row r="144" spans="1:3" ht="25.5">
      <c r="A144" s="2070">
        <v>5423</v>
      </c>
      <c r="B144" s="2071" t="s">
        <v>529</v>
      </c>
      <c r="C144" s="2074">
        <v>2016</v>
      </c>
    </row>
    <row r="145" spans="1:3">
      <c r="A145" s="2070">
        <v>5424</v>
      </c>
      <c r="B145" s="2071" t="s">
        <v>3869</v>
      </c>
      <c r="C145" s="2074">
        <v>2016</v>
      </c>
    </row>
    <row r="146" spans="1:3" ht="102">
      <c r="A146" s="2070">
        <v>5425</v>
      </c>
      <c r="B146" s="2071" t="s">
        <v>3870</v>
      </c>
      <c r="C146" s="2074">
        <v>2016</v>
      </c>
    </row>
    <row r="147" spans="1:3" ht="51">
      <c r="A147" s="2070">
        <v>5426</v>
      </c>
      <c r="B147" s="2071" t="s">
        <v>3871</v>
      </c>
      <c r="C147" s="2074"/>
    </row>
    <row r="148" spans="1:3">
      <c r="A148" s="2070">
        <v>5427</v>
      </c>
      <c r="B148" s="2071" t="s">
        <v>3872</v>
      </c>
      <c r="C148" s="2074">
        <v>2017</v>
      </c>
    </row>
    <row r="149" spans="1:3" ht="25.5">
      <c r="A149" s="2070">
        <v>5428</v>
      </c>
      <c r="B149" s="2071" t="s">
        <v>3873</v>
      </c>
      <c r="C149" s="2074">
        <v>2016</v>
      </c>
    </row>
    <row r="150" spans="1:3" ht="51">
      <c r="A150" s="2070">
        <v>5429</v>
      </c>
      <c r="B150" s="2071" t="s">
        <v>3874</v>
      </c>
      <c r="C150" s="2074">
        <v>2019</v>
      </c>
    </row>
    <row r="151" spans="1:3">
      <c r="A151" s="2070">
        <v>5432</v>
      </c>
      <c r="B151" s="2071" t="s">
        <v>1888</v>
      </c>
      <c r="C151" s="2074">
        <v>2016</v>
      </c>
    </row>
    <row r="152" spans="1:3" ht="25.5">
      <c r="A152" s="2070">
        <v>5433</v>
      </c>
      <c r="B152" s="2071" t="s">
        <v>1889</v>
      </c>
      <c r="C152" s="2074">
        <v>2017</v>
      </c>
    </row>
    <row r="153" spans="1:3">
      <c r="A153" s="2070">
        <v>5434</v>
      </c>
      <c r="B153" s="2071" t="s">
        <v>1890</v>
      </c>
      <c r="C153" s="2074">
        <v>2016</v>
      </c>
    </row>
    <row r="154" spans="1:3" ht="38.25">
      <c r="A154" s="2070">
        <v>5435</v>
      </c>
      <c r="B154" s="2071" t="s">
        <v>3163</v>
      </c>
      <c r="C154" s="2074"/>
    </row>
    <row r="155" spans="1:3" ht="25.5">
      <c r="A155" s="2070">
        <v>5436</v>
      </c>
      <c r="B155" s="2071" t="s">
        <v>3164</v>
      </c>
      <c r="C155" s="2074">
        <v>2020</v>
      </c>
    </row>
    <row r="156" spans="1:3" ht="25.5">
      <c r="A156" s="2070">
        <v>5437</v>
      </c>
      <c r="B156" s="2071" t="s">
        <v>3165</v>
      </c>
      <c r="C156" s="2074">
        <v>2016</v>
      </c>
    </row>
    <row r="157" spans="1:3" ht="38.25">
      <c r="A157" s="2070">
        <v>5438</v>
      </c>
      <c r="B157" s="2071" t="s">
        <v>3166</v>
      </c>
      <c r="C157" s="2074">
        <v>2016</v>
      </c>
    </row>
    <row r="158" spans="1:3" ht="25.5">
      <c r="A158" s="2070">
        <v>5439</v>
      </c>
      <c r="B158" s="2071" t="s">
        <v>3167</v>
      </c>
      <c r="C158" s="2074">
        <v>2015</v>
      </c>
    </row>
    <row r="159" spans="1:3">
      <c r="A159" s="2070">
        <v>5440</v>
      </c>
      <c r="B159" s="2071" t="s">
        <v>3168</v>
      </c>
      <c r="C159" s="2074">
        <v>2016</v>
      </c>
    </row>
    <row r="160" spans="1:3" ht="25.5">
      <c r="A160" s="2070">
        <v>5441</v>
      </c>
      <c r="B160" s="2071" t="s">
        <v>3169</v>
      </c>
      <c r="C160" s="2074">
        <v>2017</v>
      </c>
    </row>
    <row r="161" spans="1:3">
      <c r="A161" s="2070">
        <v>5442</v>
      </c>
      <c r="B161" s="2071" t="s">
        <v>3170</v>
      </c>
      <c r="C161" s="2074">
        <v>2016</v>
      </c>
    </row>
    <row r="162" spans="1:3" ht="25.5">
      <c r="A162" s="2070">
        <v>5443</v>
      </c>
      <c r="B162" s="2071" t="s">
        <v>3171</v>
      </c>
      <c r="C162" s="2074">
        <v>2016</v>
      </c>
    </row>
    <row r="163" spans="1:3">
      <c r="A163" s="2070">
        <v>5444</v>
      </c>
      <c r="B163" s="2071" t="s">
        <v>3173</v>
      </c>
      <c r="C163" s="2074">
        <v>2016</v>
      </c>
    </row>
    <row r="164" spans="1:3" ht="38.25">
      <c r="A164" s="2070">
        <v>5445</v>
      </c>
      <c r="B164" s="2071" t="s">
        <v>650</v>
      </c>
      <c r="C164" s="2074">
        <v>2017</v>
      </c>
    </row>
    <row r="165" spans="1:3" ht="38.25">
      <c r="A165" s="2070">
        <v>5446</v>
      </c>
      <c r="B165" s="2071" t="s">
        <v>236</v>
      </c>
      <c r="C165" s="2074"/>
    </row>
    <row r="166" spans="1:3" ht="38.25">
      <c r="A166" s="2076">
        <v>5447</v>
      </c>
      <c r="B166" s="2077" t="s">
        <v>1387</v>
      </c>
      <c r="C166" s="2078">
        <v>2015</v>
      </c>
    </row>
    <row r="167" spans="1:3" ht="76.5">
      <c r="A167" s="2070">
        <v>5448</v>
      </c>
      <c r="B167" s="2071" t="s">
        <v>1388</v>
      </c>
      <c r="C167" s="2074">
        <v>2017</v>
      </c>
    </row>
    <row r="168" spans="1:3">
      <c r="A168" s="2070">
        <v>5449</v>
      </c>
      <c r="B168" s="2071" t="s">
        <v>1389</v>
      </c>
      <c r="C168" s="2074">
        <v>2016</v>
      </c>
    </row>
    <row r="169" spans="1:3" ht="25.5">
      <c r="A169" s="2070">
        <v>5450</v>
      </c>
      <c r="B169" s="2071" t="s">
        <v>1390</v>
      </c>
      <c r="C169" s="2074">
        <v>2016</v>
      </c>
    </row>
    <row r="170" spans="1:3">
      <c r="A170" s="2076">
        <v>5451</v>
      </c>
      <c r="B170" s="2077" t="s">
        <v>1391</v>
      </c>
      <c r="C170" s="2078">
        <v>2018</v>
      </c>
    </row>
    <row r="171" spans="1:3" ht="63.75">
      <c r="A171" s="2070">
        <v>5452</v>
      </c>
      <c r="B171" s="2071" t="s">
        <v>1392</v>
      </c>
      <c r="C171" s="2074">
        <v>2016</v>
      </c>
    </row>
    <row r="172" spans="1:3" ht="38.25">
      <c r="A172" s="2070">
        <v>5453</v>
      </c>
      <c r="B172" s="2071" t="s">
        <v>1393</v>
      </c>
      <c r="C172" s="2074">
        <v>2016</v>
      </c>
    </row>
    <row r="173" spans="1:3" ht="89.25">
      <c r="A173" s="2076">
        <v>5454</v>
      </c>
      <c r="B173" s="2077" t="s">
        <v>1394</v>
      </c>
      <c r="C173" s="2078">
        <v>2019</v>
      </c>
    </row>
    <row r="174" spans="1:3" ht="38.25">
      <c r="A174" s="2070">
        <v>5455</v>
      </c>
      <c r="B174" s="2071" t="s">
        <v>1395</v>
      </c>
      <c r="C174" s="2074">
        <v>2019</v>
      </c>
    </row>
    <row r="175" spans="1:3" ht="38.25">
      <c r="A175" s="2070">
        <v>5456</v>
      </c>
      <c r="B175" s="2071" t="s">
        <v>1396</v>
      </c>
      <c r="C175" s="2074">
        <v>2016</v>
      </c>
    </row>
    <row r="176" spans="1:3" ht="76.5">
      <c r="A176" s="2070">
        <v>5457</v>
      </c>
      <c r="B176" s="2071" t="s">
        <v>5038</v>
      </c>
      <c r="C176" s="2074">
        <v>2017</v>
      </c>
    </row>
    <row r="177" spans="1:3" ht="25.5">
      <c r="A177" s="2070">
        <v>5458</v>
      </c>
      <c r="B177" s="2071" t="s">
        <v>1397</v>
      </c>
      <c r="C177" s="2074">
        <v>2015</v>
      </c>
    </row>
    <row r="178" spans="1:3" ht="38.25">
      <c r="A178" s="2076">
        <v>5459</v>
      </c>
      <c r="B178" s="2077" t="s">
        <v>2932</v>
      </c>
      <c r="C178" s="2078">
        <v>2014</v>
      </c>
    </row>
    <row r="179" spans="1:3" ht="51">
      <c r="A179" s="2070">
        <v>5460</v>
      </c>
      <c r="B179" s="2071" t="s">
        <v>437</v>
      </c>
      <c r="C179" s="2074"/>
    </row>
    <row r="180" spans="1:3" ht="38.25">
      <c r="A180" s="2076">
        <v>5461</v>
      </c>
      <c r="B180" s="2077" t="s">
        <v>1793</v>
      </c>
      <c r="C180" s="2078">
        <v>2015</v>
      </c>
    </row>
    <row r="181" spans="1:3" ht="140.25">
      <c r="A181" s="2076">
        <v>5462</v>
      </c>
      <c r="B181" s="2077" t="s">
        <v>5039</v>
      </c>
      <c r="C181" s="2078">
        <v>2014</v>
      </c>
    </row>
    <row r="182" spans="1:3" ht="51">
      <c r="A182" s="2070">
        <v>5853</v>
      </c>
      <c r="B182" s="2071" t="s">
        <v>3535</v>
      </c>
      <c r="C182" s="2074">
        <v>2020</v>
      </c>
    </row>
    <row r="183" spans="1:3" ht="76.5">
      <c r="A183" s="2070">
        <v>5888</v>
      </c>
      <c r="B183" s="2071" t="s">
        <v>611</v>
      </c>
      <c r="C183" s="2074">
        <v>2016</v>
      </c>
    </row>
    <row r="184" spans="1:3" ht="76.5">
      <c r="A184" s="2070">
        <v>5904</v>
      </c>
      <c r="B184" s="2071" t="s">
        <v>1638</v>
      </c>
      <c r="C184" s="2074">
        <v>2019</v>
      </c>
    </row>
    <row r="185" spans="1:3" ht="63.75">
      <c r="A185" s="2076">
        <v>5905</v>
      </c>
      <c r="B185" s="2077" t="s">
        <v>4213</v>
      </c>
      <c r="C185" s="2078">
        <v>2017</v>
      </c>
    </row>
    <row r="186" spans="1:3" ht="25.5">
      <c r="A186" s="2070">
        <v>5906</v>
      </c>
      <c r="B186" s="2071" t="s">
        <v>3536</v>
      </c>
      <c r="C186" s="2074">
        <v>2016</v>
      </c>
    </row>
    <row r="187" spans="1:3" ht="114.75">
      <c r="A187" s="2070">
        <v>5907</v>
      </c>
      <c r="B187" s="2071" t="s">
        <v>3538</v>
      </c>
      <c r="C187" s="2074">
        <v>2019</v>
      </c>
    </row>
    <row r="188" spans="1:3" ht="89.25">
      <c r="A188" s="2070">
        <v>5908</v>
      </c>
      <c r="B188" s="2071" t="s">
        <v>4633</v>
      </c>
      <c r="C188" s="2074">
        <v>2016</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uppl">
    <pageSetUpPr fitToPage="1"/>
  </sheetPr>
  <dimension ref="A1:CB165"/>
  <sheetViews>
    <sheetView workbookViewId="0">
      <selection activeCell="CC4" sqref="CC4"/>
    </sheetView>
  </sheetViews>
  <sheetFormatPr defaultColWidth="11.42578125" defaultRowHeight="11.25"/>
  <cols>
    <col min="1" max="1" width="11.85546875" style="969" bestFit="1" customWidth="1"/>
    <col min="2" max="2" width="24.140625" style="969" bestFit="1" customWidth="1"/>
    <col min="3" max="3" width="9.5703125" style="969" bestFit="1" customWidth="1"/>
    <col min="4" max="4" width="8.5703125" style="969" bestFit="1" customWidth="1"/>
    <col min="5" max="6" width="5.140625" style="969" bestFit="1" customWidth="1"/>
    <col min="7" max="7" width="8.5703125" style="969" bestFit="1" customWidth="1"/>
    <col min="8" max="8" width="9.42578125" style="969" bestFit="1" customWidth="1"/>
    <col min="9" max="9" width="5.140625" style="969" bestFit="1" customWidth="1"/>
    <col min="10" max="10" width="7.28515625" style="969" bestFit="1" customWidth="1"/>
    <col min="11" max="12" width="7.140625" style="969" bestFit="1" customWidth="1"/>
    <col min="13" max="13" width="8.7109375" style="969" bestFit="1" customWidth="1"/>
    <col min="14" max="14" width="8.5703125" style="969" bestFit="1" customWidth="1"/>
    <col min="15" max="15" width="5" style="969" bestFit="1" customWidth="1"/>
    <col min="16" max="16" width="7.140625" style="969" bestFit="1" customWidth="1"/>
    <col min="17" max="18" width="8.140625" style="969" bestFit="1" customWidth="1"/>
    <col min="19" max="19" width="8.7109375" style="969" bestFit="1" customWidth="1"/>
    <col min="20" max="20" width="8.5703125" style="969" bestFit="1" customWidth="1"/>
    <col min="21" max="21" width="5" style="969" bestFit="1" customWidth="1"/>
    <col min="22" max="22" width="7.140625" style="969" bestFit="1" customWidth="1"/>
    <col min="23" max="23" width="11.7109375" style="969" bestFit="1" customWidth="1"/>
    <col min="24" max="24" width="8.5703125" style="969" bestFit="1" customWidth="1"/>
    <col min="25" max="26" width="9.42578125" style="969" bestFit="1" customWidth="1"/>
    <col min="27" max="27" width="8.5703125" style="969" bestFit="1" customWidth="1"/>
    <col min="28" max="28" width="12.28515625" style="969" bestFit="1" customWidth="1"/>
    <col min="29" max="29" width="8.5703125" style="969" bestFit="1" customWidth="1"/>
    <col min="30" max="30" width="9.42578125" style="969" bestFit="1" customWidth="1"/>
    <col min="31" max="32" width="7.140625" style="969" bestFit="1" customWidth="1"/>
    <col min="33" max="34" width="12.140625" style="969" bestFit="1" customWidth="1"/>
    <col min="35" max="35" width="11.7109375" style="969" bestFit="1" customWidth="1"/>
    <col min="36" max="36" width="9.42578125" style="969" bestFit="1" customWidth="1"/>
    <col min="37" max="37" width="5" style="969" bestFit="1" customWidth="1"/>
    <col min="38" max="38" width="7.140625" style="969" bestFit="1" customWidth="1"/>
    <col min="39" max="40" width="9.42578125" style="969" bestFit="1" customWidth="1"/>
    <col min="41" max="42" width="7.28515625" style="969" bestFit="1" customWidth="1"/>
    <col min="43" max="44" width="9.42578125" style="969" bestFit="1" customWidth="1"/>
    <col min="45" max="46" width="7.28515625" style="969" bestFit="1" customWidth="1"/>
    <col min="47" max="47" width="9.140625" style="969" bestFit="1" customWidth="1"/>
    <col min="48" max="49" width="7.28515625" style="969" bestFit="1" customWidth="1"/>
    <col min="50" max="50" width="12.85546875" style="1473" customWidth="1"/>
    <col min="51" max="51" width="9.42578125" style="969" bestFit="1" customWidth="1"/>
    <col min="52" max="54" width="9.140625" style="969" bestFit="1" customWidth="1"/>
    <col min="55" max="55" width="9.5703125" style="969" bestFit="1" customWidth="1"/>
    <col min="56" max="56" width="19.7109375" style="969" bestFit="1" customWidth="1"/>
    <col min="57" max="58" width="9.140625" style="969" bestFit="1" customWidth="1"/>
    <col min="59" max="59" width="11.5703125" style="969" bestFit="1" customWidth="1"/>
    <col min="60" max="60" width="9.42578125" style="969" bestFit="1" customWidth="1"/>
    <col min="61" max="63" width="11.7109375" style="969" bestFit="1" customWidth="1"/>
    <col min="64" max="64" width="9.140625" style="969" bestFit="1" customWidth="1"/>
    <col min="65" max="65" width="13.7109375" style="970" bestFit="1" customWidth="1"/>
    <col min="66" max="66" width="12" style="970" bestFit="1" customWidth="1"/>
    <col min="67" max="67" width="13.140625" style="970" bestFit="1" customWidth="1"/>
    <col min="68" max="69" width="9.140625" style="970" bestFit="1" customWidth="1"/>
    <col min="70" max="16384" width="11.42578125" style="970"/>
  </cols>
  <sheetData>
    <row r="1" spans="1:80" s="54" customFormat="1" ht="30" customHeight="1">
      <c r="A1" s="113"/>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c r="BM1" s="80"/>
      <c r="BN1" s="80"/>
      <c r="BO1" s="80"/>
      <c r="BP1" s="80"/>
      <c r="BQ1" s="80"/>
      <c r="BR1" s="80"/>
      <c r="BS1" s="80"/>
      <c r="BT1" s="80"/>
      <c r="BU1" s="80"/>
      <c r="BV1" s="80"/>
    </row>
    <row r="2" spans="1:80" s="54" customFormat="1" ht="12.75">
      <c r="A2" s="1222">
        <v>1</v>
      </c>
      <c r="B2" s="1222">
        <v>2</v>
      </c>
      <c r="C2" s="1222">
        <v>3</v>
      </c>
      <c r="D2" s="1222">
        <v>4</v>
      </c>
      <c r="E2" s="1222">
        <v>5</v>
      </c>
      <c r="F2" s="1222">
        <v>6</v>
      </c>
      <c r="G2" s="1222">
        <v>7</v>
      </c>
      <c r="H2" s="1222">
        <v>8</v>
      </c>
      <c r="I2" s="1222">
        <v>9</v>
      </c>
      <c r="J2" s="1222">
        <v>10</v>
      </c>
      <c r="K2" s="1222">
        <v>11</v>
      </c>
      <c r="L2" s="1222">
        <v>12</v>
      </c>
      <c r="M2" s="1222">
        <v>13</v>
      </c>
      <c r="N2" s="1222">
        <v>14</v>
      </c>
      <c r="O2" s="1222">
        <v>15</v>
      </c>
      <c r="P2" s="1222">
        <v>16</v>
      </c>
      <c r="Q2" s="1222">
        <v>17</v>
      </c>
      <c r="R2" s="1222">
        <v>18</v>
      </c>
      <c r="S2" s="1222">
        <v>19</v>
      </c>
      <c r="T2" s="1222">
        <v>20</v>
      </c>
      <c r="U2" s="1222">
        <v>21</v>
      </c>
      <c r="V2" s="1222">
        <v>22</v>
      </c>
      <c r="W2" s="1222">
        <v>23</v>
      </c>
      <c r="X2" s="1222">
        <v>24</v>
      </c>
      <c r="Y2" s="1222">
        <v>25</v>
      </c>
      <c r="Z2" s="1222">
        <v>26</v>
      </c>
      <c r="AA2" s="1222">
        <v>27</v>
      </c>
      <c r="AB2" s="1222">
        <v>28</v>
      </c>
      <c r="AC2" s="1222">
        <v>29</v>
      </c>
      <c r="AD2" s="1222">
        <v>30</v>
      </c>
      <c r="AE2" s="1222">
        <v>31</v>
      </c>
      <c r="AF2" s="1222">
        <v>32</v>
      </c>
      <c r="AG2" s="1222">
        <v>33</v>
      </c>
      <c r="AH2" s="1222">
        <v>34</v>
      </c>
      <c r="AI2" s="1222">
        <v>35</v>
      </c>
      <c r="AJ2" s="1222">
        <v>36</v>
      </c>
      <c r="AK2" s="1222">
        <v>37</v>
      </c>
      <c r="AL2" s="1222">
        <v>38</v>
      </c>
      <c r="AM2" s="1222">
        <v>39</v>
      </c>
      <c r="AN2" s="1222">
        <v>40</v>
      </c>
      <c r="AO2" s="1222">
        <v>41</v>
      </c>
      <c r="AP2" s="1222">
        <v>42</v>
      </c>
      <c r="AQ2" s="1222">
        <v>43</v>
      </c>
      <c r="AR2" s="1222">
        <v>44</v>
      </c>
      <c r="AS2" s="1222">
        <v>45</v>
      </c>
      <c r="AT2" s="1222">
        <v>46</v>
      </c>
      <c r="AU2" s="1222">
        <v>47</v>
      </c>
      <c r="AV2" s="1223">
        <v>48</v>
      </c>
      <c r="AW2" s="1224">
        <v>49</v>
      </c>
      <c r="AX2" s="1223">
        <v>50</v>
      </c>
      <c r="AY2" s="1222">
        <v>51</v>
      </c>
      <c r="AZ2" s="1222">
        <v>52</v>
      </c>
      <c r="BA2" s="1222">
        <v>53</v>
      </c>
      <c r="BB2" s="1222">
        <v>54</v>
      </c>
      <c r="BC2" s="1222">
        <v>55</v>
      </c>
      <c r="BD2" s="1222">
        <v>56</v>
      </c>
      <c r="BE2" s="1222">
        <v>57</v>
      </c>
      <c r="BF2" s="1222">
        <v>58</v>
      </c>
      <c r="BG2" s="1222">
        <v>59</v>
      </c>
      <c r="BH2" s="1222">
        <v>60</v>
      </c>
      <c r="BI2" s="1222">
        <v>61</v>
      </c>
      <c r="BJ2" s="1222">
        <v>62</v>
      </c>
      <c r="BK2" s="1222">
        <v>63</v>
      </c>
      <c r="BL2" s="1222">
        <v>64</v>
      </c>
      <c r="BM2" s="1222" t="s">
        <v>2037</v>
      </c>
      <c r="BN2" s="1222" t="s">
        <v>4321</v>
      </c>
      <c r="BO2" s="1222" t="s">
        <v>4322</v>
      </c>
      <c r="BP2" s="1222" t="s">
        <v>4323</v>
      </c>
      <c r="BQ2" s="1222" t="s">
        <v>408</v>
      </c>
      <c r="BR2" s="1222" t="s">
        <v>409</v>
      </c>
      <c r="BS2" s="1222" t="s">
        <v>4324</v>
      </c>
      <c r="BT2" s="1222" t="s">
        <v>4325</v>
      </c>
      <c r="BU2" s="1222" t="s">
        <v>4326</v>
      </c>
      <c r="BV2" s="1222" t="s">
        <v>4327</v>
      </c>
      <c r="BW2" s="1222" t="s">
        <v>4328</v>
      </c>
      <c r="BX2" s="1222" t="s">
        <v>4329</v>
      </c>
      <c r="BY2" s="1222" t="s">
        <v>4330</v>
      </c>
      <c r="BZ2" s="1222" t="s">
        <v>4331</v>
      </c>
      <c r="CA2" s="1222" t="s">
        <v>4332</v>
      </c>
      <c r="CB2" s="1825" t="s">
        <v>4333</v>
      </c>
    </row>
    <row r="3" spans="1:80" s="54" customFormat="1" ht="25.5" customHeight="1">
      <c r="A3" s="1225"/>
      <c r="B3" s="1225"/>
      <c r="C3" s="1226" t="s">
        <v>1337</v>
      </c>
      <c r="D3" s="1227" t="s">
        <v>1338</v>
      </c>
      <c r="E3" s="3428" t="s">
        <v>1339</v>
      </c>
      <c r="F3" s="3428"/>
      <c r="G3" s="1228" t="s">
        <v>1340</v>
      </c>
      <c r="H3" s="3428" t="s">
        <v>1341</v>
      </c>
      <c r="I3" s="3428"/>
      <c r="J3" s="3428" t="s">
        <v>1342</v>
      </c>
      <c r="K3" s="3428"/>
      <c r="L3" s="3428" t="s">
        <v>1343</v>
      </c>
      <c r="M3" s="3428"/>
      <c r="N3" s="1228" t="s">
        <v>3944</v>
      </c>
      <c r="O3" s="3429" t="s">
        <v>3945</v>
      </c>
      <c r="P3" s="3430"/>
      <c r="Q3" s="3430"/>
      <c r="R3" s="3430"/>
      <c r="S3" s="3431"/>
      <c r="T3" s="1229" t="s">
        <v>3946</v>
      </c>
      <c r="U3" s="3429" t="s">
        <v>3945</v>
      </c>
      <c r="V3" s="3431"/>
      <c r="W3" s="1229" t="s">
        <v>3947</v>
      </c>
      <c r="X3" s="1229" t="s">
        <v>3948</v>
      </c>
      <c r="Y3" s="1229" t="s">
        <v>3948</v>
      </c>
      <c r="Z3" s="1229" t="s">
        <v>3949</v>
      </c>
      <c r="AA3" s="1229" t="s">
        <v>3950</v>
      </c>
      <c r="AB3" s="1229" t="s">
        <v>3951</v>
      </c>
      <c r="AC3" s="1229" t="s">
        <v>3952</v>
      </c>
      <c r="AD3" s="3435" t="s">
        <v>3953</v>
      </c>
      <c r="AE3" s="3436"/>
      <c r="AF3" s="3436"/>
      <c r="AG3" s="3436"/>
      <c r="AH3" s="3437"/>
      <c r="AI3" s="1230" t="s">
        <v>2503</v>
      </c>
      <c r="AJ3" s="1231" t="s">
        <v>2790</v>
      </c>
      <c r="AK3" s="3438" t="s">
        <v>710</v>
      </c>
      <c r="AL3" s="3439"/>
      <c r="AM3" s="3440" t="s">
        <v>3954</v>
      </c>
      <c r="AN3" s="3440"/>
      <c r="AO3" s="3440"/>
      <c r="AP3" s="3440"/>
      <c r="AQ3" s="3440"/>
      <c r="AR3" s="3440"/>
      <c r="AS3" s="3440"/>
      <c r="AT3" s="3440"/>
      <c r="AU3" s="1232" t="s">
        <v>2788</v>
      </c>
      <c r="AV3" s="3441" t="s">
        <v>634</v>
      </c>
      <c r="AW3" s="3442"/>
      <c r="AX3" s="1471" t="s">
        <v>3678</v>
      </c>
      <c r="AY3" s="1233"/>
      <c r="AZ3" s="1233" t="s">
        <v>2855</v>
      </c>
      <c r="BA3" s="1233" t="s">
        <v>2856</v>
      </c>
      <c r="BB3" s="1233" t="s">
        <v>2789</v>
      </c>
      <c r="BC3" s="1230" t="s">
        <v>3913</v>
      </c>
      <c r="BD3" s="1460" t="s">
        <v>4388</v>
      </c>
      <c r="BE3" s="1233" t="s">
        <v>204</v>
      </c>
      <c r="BF3" s="1233" t="s">
        <v>2787</v>
      </c>
      <c r="BG3" s="3432" t="s">
        <v>3901</v>
      </c>
      <c r="BH3" s="3432"/>
      <c r="BI3" s="1235" t="s">
        <v>929</v>
      </c>
      <c r="BJ3" s="1235" t="s">
        <v>2785</v>
      </c>
      <c r="BK3" s="1235" t="s">
        <v>2784</v>
      </c>
      <c r="BL3" s="1235" t="s">
        <v>708</v>
      </c>
      <c r="BM3" s="1297" t="s">
        <v>4389</v>
      </c>
      <c r="BN3" s="1297" t="s">
        <v>4390</v>
      </c>
      <c r="BO3" s="1460" t="s">
        <v>4391</v>
      </c>
      <c r="BP3" s="1297" t="s">
        <v>3899</v>
      </c>
      <c r="BQ3" s="1297" t="s">
        <v>4372</v>
      </c>
      <c r="BR3" s="1297" t="s">
        <v>4373</v>
      </c>
      <c r="BS3" s="1297" t="s">
        <v>4374</v>
      </c>
      <c r="BT3" s="1234" t="s">
        <v>928</v>
      </c>
      <c r="BU3" s="1234" t="s">
        <v>928</v>
      </c>
      <c r="BV3" s="1234" t="s">
        <v>928</v>
      </c>
      <c r="BW3" s="1233" t="s">
        <v>5428</v>
      </c>
      <c r="BX3" s="1233" t="s">
        <v>5431</v>
      </c>
    </row>
    <row r="4" spans="1:80" s="1241" customFormat="1" ht="93.75" customHeight="1">
      <c r="A4" s="1236" t="s">
        <v>2387</v>
      </c>
      <c r="B4" s="1236" t="s">
        <v>1210</v>
      </c>
      <c r="C4" s="1237" t="s">
        <v>3853</v>
      </c>
      <c r="D4" s="1237" t="s">
        <v>2011</v>
      </c>
      <c r="E4" s="1237" t="s">
        <v>2012</v>
      </c>
      <c r="F4" s="1237" t="s">
        <v>2013</v>
      </c>
      <c r="G4" s="1237" t="s">
        <v>2014</v>
      </c>
      <c r="H4" s="1237" t="s">
        <v>4509</v>
      </c>
      <c r="I4" s="1237" t="s">
        <v>3094</v>
      </c>
      <c r="J4" s="1238" t="s">
        <v>3095</v>
      </c>
      <c r="K4" s="1238" t="s">
        <v>3096</v>
      </c>
      <c r="L4" s="1238" t="s">
        <v>4062</v>
      </c>
      <c r="M4" s="1238" t="s">
        <v>3097</v>
      </c>
      <c r="N4" s="1238" t="s">
        <v>3098</v>
      </c>
      <c r="O4" s="3433" t="s">
        <v>3099</v>
      </c>
      <c r="P4" s="3433"/>
      <c r="Q4" s="1238" t="s">
        <v>3154</v>
      </c>
      <c r="R4" s="1238" t="s">
        <v>3154</v>
      </c>
      <c r="S4" s="1238" t="s">
        <v>3154</v>
      </c>
      <c r="T4" s="1238" t="s">
        <v>3100</v>
      </c>
      <c r="U4" s="3433" t="s">
        <v>4537</v>
      </c>
      <c r="V4" s="3433"/>
      <c r="W4" s="1238" t="s">
        <v>400</v>
      </c>
      <c r="X4" s="1238" t="s">
        <v>401</v>
      </c>
      <c r="Y4" s="1238" t="s">
        <v>402</v>
      </c>
      <c r="Z4" s="1238" t="s">
        <v>2987</v>
      </c>
      <c r="AA4" s="1238" t="s">
        <v>3242</v>
      </c>
      <c r="AB4" s="1238" t="s">
        <v>3243</v>
      </c>
      <c r="AC4" s="1238" t="s">
        <v>3244</v>
      </c>
      <c r="AD4" s="1238" t="s">
        <v>3245</v>
      </c>
      <c r="AE4" s="1238" t="s">
        <v>349</v>
      </c>
      <c r="AF4" s="1238" t="s">
        <v>3246</v>
      </c>
      <c r="AG4" s="1238" t="s">
        <v>3247</v>
      </c>
      <c r="AH4" s="1238" t="s">
        <v>3247</v>
      </c>
      <c r="AI4" s="1238" t="s">
        <v>3248</v>
      </c>
      <c r="AJ4" s="1238" t="s">
        <v>1613</v>
      </c>
      <c r="AK4" s="3434" t="s">
        <v>1614</v>
      </c>
      <c r="AL4" s="3434"/>
      <c r="AM4" s="1238" t="s">
        <v>3702</v>
      </c>
      <c r="AN4" s="1238" t="s">
        <v>2558</v>
      </c>
      <c r="AO4" s="1238" t="s">
        <v>1238</v>
      </c>
      <c r="AP4" s="1238" t="s">
        <v>958</v>
      </c>
      <c r="AQ4" s="1238" t="s">
        <v>1172</v>
      </c>
      <c r="AR4" s="1238" t="s">
        <v>1173</v>
      </c>
      <c r="AS4" s="1238" t="s">
        <v>1581</v>
      </c>
      <c r="AT4" s="1238" t="s">
        <v>1582</v>
      </c>
      <c r="AU4" s="1239" t="s">
        <v>5341</v>
      </c>
      <c r="AV4" s="1236" t="s">
        <v>5340</v>
      </c>
      <c r="AW4" s="1238" t="s">
        <v>1583</v>
      </c>
      <c r="AX4" s="1472" t="s">
        <v>1584</v>
      </c>
      <c r="AY4" s="1238" t="s">
        <v>521</v>
      </c>
      <c r="AZ4" s="1238" t="s">
        <v>522</v>
      </c>
      <c r="BA4" s="1238" t="s">
        <v>1910</v>
      </c>
      <c r="BB4" s="1238" t="s">
        <v>1744</v>
      </c>
      <c r="BC4" s="1238" t="s">
        <v>2630</v>
      </c>
      <c r="BD4" s="1238" t="s">
        <v>4375</v>
      </c>
      <c r="BE4" s="1236" t="s">
        <v>5342</v>
      </c>
      <c r="BF4" s="1238" t="s">
        <v>4376</v>
      </c>
      <c r="BG4" s="1238" t="s">
        <v>327</v>
      </c>
      <c r="BH4" s="1238" t="s">
        <v>328</v>
      </c>
      <c r="BI4" s="1238" t="s">
        <v>2114</v>
      </c>
      <c r="BJ4" s="1238" t="s">
        <v>2115</v>
      </c>
      <c r="BK4" s="1238" t="s">
        <v>2116</v>
      </c>
      <c r="BL4" s="1238" t="s">
        <v>2117</v>
      </c>
      <c r="BM4" s="1238" t="s">
        <v>4392</v>
      </c>
      <c r="BN4" s="1238" t="s">
        <v>4377</v>
      </c>
      <c r="BO4" s="1241" t="s">
        <v>4378</v>
      </c>
      <c r="BP4" s="1241" t="s">
        <v>4379</v>
      </c>
      <c r="BQ4" s="1241" t="s">
        <v>4380</v>
      </c>
      <c r="BR4" s="1241" t="s">
        <v>4381</v>
      </c>
      <c r="BS4" s="1241" t="s">
        <v>4382</v>
      </c>
      <c r="BT4" s="1240" t="s">
        <v>2118</v>
      </c>
      <c r="BU4" s="1240" t="s">
        <v>2119</v>
      </c>
      <c r="BV4" s="1240" t="s">
        <v>2120</v>
      </c>
      <c r="BW4" s="2932" t="s">
        <v>5427</v>
      </c>
      <c r="BX4" s="2932" t="s">
        <v>5430</v>
      </c>
      <c r="BY4" s="2932" t="s">
        <v>5433</v>
      </c>
      <c r="BZ4" s="2932" t="s">
        <v>5434</v>
      </c>
    </row>
    <row r="5" spans="1:80" ht="12.75">
      <c r="A5" s="2048" t="s">
        <v>4393</v>
      </c>
      <c r="B5" s="2048" t="s">
        <v>3701</v>
      </c>
      <c r="C5" s="2048" t="s">
        <v>2121</v>
      </c>
      <c r="D5" s="2048">
        <v>4038</v>
      </c>
      <c r="E5" s="2048">
        <v>4098</v>
      </c>
      <c r="F5" s="2048">
        <v>4037</v>
      </c>
      <c r="G5" s="2048">
        <v>4222</v>
      </c>
      <c r="H5" s="2048">
        <v>4001</v>
      </c>
      <c r="I5" s="2048">
        <v>4002</v>
      </c>
      <c r="J5" s="2048">
        <v>4012</v>
      </c>
      <c r="K5" s="2048" t="s">
        <v>2122</v>
      </c>
      <c r="L5" s="2048" t="s">
        <v>2123</v>
      </c>
      <c r="M5" s="2048" t="s">
        <v>2124</v>
      </c>
      <c r="N5" s="2048" t="s">
        <v>2125</v>
      </c>
      <c r="O5" s="2048">
        <v>4061</v>
      </c>
      <c r="P5" s="2048" t="s">
        <v>2126</v>
      </c>
      <c r="Q5" s="2048" t="s">
        <v>2127</v>
      </c>
      <c r="R5" s="2048" t="s">
        <v>2128</v>
      </c>
      <c r="S5" s="2048" t="s">
        <v>2129</v>
      </c>
      <c r="T5" s="2048" t="s">
        <v>2130</v>
      </c>
      <c r="U5" s="2048">
        <v>4166</v>
      </c>
      <c r="V5" s="2048" t="s">
        <v>2131</v>
      </c>
      <c r="W5" s="2048" t="s">
        <v>2132</v>
      </c>
      <c r="X5" s="2048" t="s">
        <v>2133</v>
      </c>
      <c r="Y5" s="2048" t="s">
        <v>2134</v>
      </c>
      <c r="Z5" s="2048" t="s">
        <v>2135</v>
      </c>
      <c r="AA5" s="2048" t="s">
        <v>2136</v>
      </c>
      <c r="AB5" s="2048" t="s">
        <v>2137</v>
      </c>
      <c r="AC5" s="2048" t="s">
        <v>2138</v>
      </c>
      <c r="AD5" s="2048" t="s">
        <v>4584</v>
      </c>
      <c r="AE5" s="2048" t="s">
        <v>4585</v>
      </c>
      <c r="AF5" s="2048" t="s">
        <v>4586</v>
      </c>
      <c r="AG5" s="2048" t="s">
        <v>4587</v>
      </c>
      <c r="AH5" s="2048" t="s">
        <v>4588</v>
      </c>
      <c r="AI5" s="2048" t="s">
        <v>4589</v>
      </c>
      <c r="AJ5" s="2048" t="s">
        <v>3128</v>
      </c>
      <c r="AK5" s="2048">
        <v>4048</v>
      </c>
      <c r="AL5" s="2048" t="s">
        <v>3129</v>
      </c>
      <c r="AM5" s="2048">
        <v>4163</v>
      </c>
      <c r="AN5" s="2048">
        <v>4163</v>
      </c>
      <c r="AO5" s="2048">
        <v>4163</v>
      </c>
      <c r="AP5" s="2048">
        <v>4163</v>
      </c>
      <c r="AQ5" s="2048">
        <v>4163</v>
      </c>
      <c r="AR5" s="2048">
        <v>4163</v>
      </c>
      <c r="AS5" s="2048">
        <v>4163</v>
      </c>
      <c r="AT5" s="2048">
        <v>4163</v>
      </c>
      <c r="AU5" s="2049">
        <f>AM5*O_T1+AN5*M_T1+AO5*A_T1+AP5*N_T1+AQ5*O_T2+AR5*M_T2+AS5*A_T2+AT5*N_T2</f>
        <v>109486.90000000001</v>
      </c>
      <c r="AV5" s="2048" t="s">
        <v>3130</v>
      </c>
      <c r="AW5" s="2048" t="s">
        <v>3131</v>
      </c>
      <c r="AX5" s="2050" t="s">
        <v>169</v>
      </c>
      <c r="AY5" s="2048" t="s">
        <v>2275</v>
      </c>
      <c r="AZ5" s="2048">
        <v>4024</v>
      </c>
      <c r="BA5" s="2048" t="s">
        <v>2276</v>
      </c>
      <c r="BB5" s="2048" t="s">
        <v>2277</v>
      </c>
      <c r="BC5" s="2048" t="s">
        <v>2278</v>
      </c>
      <c r="BD5" s="2048" t="s">
        <v>4383</v>
      </c>
      <c r="BE5" s="2048" t="s">
        <v>2279</v>
      </c>
      <c r="BF5" s="2048">
        <v>4045</v>
      </c>
      <c r="BG5" s="2048" t="s">
        <v>2280</v>
      </c>
      <c r="BH5" s="2048" t="s">
        <v>3214</v>
      </c>
      <c r="BI5" s="2048" t="s">
        <v>3215</v>
      </c>
      <c r="BJ5" s="2048" t="s">
        <v>3216</v>
      </c>
      <c r="BK5" s="2048" t="s">
        <v>3217</v>
      </c>
      <c r="BL5" s="2048" t="s">
        <v>3218</v>
      </c>
      <c r="BM5" s="2048" t="s">
        <v>4384</v>
      </c>
      <c r="BN5" s="2048" t="s">
        <v>4385</v>
      </c>
      <c r="BO5" s="2048" t="s">
        <v>4386</v>
      </c>
      <c r="BP5" s="2048">
        <v>4096</v>
      </c>
      <c r="BQ5" s="2048">
        <v>4286</v>
      </c>
      <c r="BR5" s="2048">
        <v>4287</v>
      </c>
      <c r="BS5" s="2048" t="s">
        <v>4387</v>
      </c>
      <c r="BW5" t="s">
        <v>5424</v>
      </c>
      <c r="BX5" t="s">
        <v>5429</v>
      </c>
      <c r="BY5" t="s">
        <v>5425</v>
      </c>
      <c r="BZ5" t="s">
        <v>5426</v>
      </c>
    </row>
    <row r="6" spans="1:80">
      <c r="A6" s="2047"/>
      <c r="C6" s="2046"/>
      <c r="D6" s="2046"/>
      <c r="E6" s="2046"/>
      <c r="F6" s="2046"/>
      <c r="G6" s="2046"/>
      <c r="H6" s="2046"/>
      <c r="I6" s="2046"/>
      <c r="J6" s="2046"/>
      <c r="K6" s="2046"/>
      <c r="L6" s="2046"/>
      <c r="M6" s="2046"/>
      <c r="N6" s="2046"/>
      <c r="O6" s="2046"/>
      <c r="P6" s="2046"/>
      <c r="Q6" s="2046"/>
      <c r="R6" s="2046"/>
      <c r="S6" s="2046"/>
      <c r="T6" s="2046"/>
      <c r="U6" s="2046"/>
      <c r="V6" s="2046"/>
      <c r="W6" s="2046"/>
      <c r="X6" s="2046"/>
      <c r="Y6" s="2046"/>
      <c r="Z6" s="2046"/>
      <c r="AA6" s="2046"/>
      <c r="AB6" s="2046"/>
      <c r="AC6" s="2046"/>
      <c r="AD6" s="2046"/>
      <c r="AE6" s="2046"/>
      <c r="AF6" s="2046"/>
      <c r="AG6" s="2046"/>
      <c r="AH6" s="2046"/>
      <c r="AI6" s="2046"/>
      <c r="AJ6" s="2046"/>
      <c r="AK6" s="2046"/>
      <c r="AL6" s="2046"/>
      <c r="AM6" s="2046"/>
      <c r="AN6" s="2046"/>
      <c r="AO6" s="2046"/>
      <c r="AP6" s="2046"/>
      <c r="AQ6" s="2046"/>
      <c r="AR6" s="2046"/>
      <c r="AS6" s="2046"/>
      <c r="AT6" s="2046"/>
      <c r="AU6" s="2046"/>
      <c r="AV6" s="2046"/>
      <c r="AW6" s="2046"/>
      <c r="AX6" s="2046"/>
      <c r="AY6" s="2046"/>
      <c r="AZ6" s="2046"/>
      <c r="BA6" s="2046"/>
      <c r="BB6" s="2046"/>
      <c r="BC6" s="2046"/>
      <c r="BD6" s="2046"/>
      <c r="BE6" s="2046"/>
      <c r="BF6" s="2046"/>
      <c r="BG6" s="2046"/>
      <c r="BH6" s="2046"/>
      <c r="BI6" s="2046"/>
      <c r="BJ6" s="2046"/>
      <c r="BK6" s="2046"/>
      <c r="BL6" s="2046"/>
      <c r="BM6" s="2047"/>
      <c r="BN6" s="2047"/>
      <c r="BO6" s="2047"/>
      <c r="BP6" s="2047"/>
      <c r="BQ6" s="2047"/>
      <c r="BR6" s="2047"/>
      <c r="BS6" s="2047"/>
      <c r="BT6" s="2047"/>
      <c r="BU6" s="2047"/>
      <c r="BV6" s="2047"/>
      <c r="BW6" s="2047"/>
      <c r="BX6" s="2047"/>
      <c r="BY6" s="2047"/>
      <c r="BZ6" s="2047"/>
      <c r="CA6" s="2047"/>
      <c r="CB6" s="2047"/>
    </row>
    <row r="7" spans="1:80">
      <c r="A7" s="2047"/>
      <c r="C7" s="2046"/>
      <c r="D7" s="2046"/>
      <c r="E7" s="2046"/>
      <c r="F7" s="2046"/>
      <c r="G7" s="2046"/>
      <c r="H7" s="2046"/>
      <c r="I7" s="2046"/>
      <c r="J7" s="2046"/>
      <c r="K7" s="2046"/>
      <c r="L7" s="2046"/>
      <c r="M7" s="2046"/>
      <c r="N7" s="2046"/>
      <c r="O7" s="2046"/>
      <c r="P7" s="2046"/>
      <c r="Q7" s="2046"/>
      <c r="R7" s="2046"/>
      <c r="S7" s="2046"/>
      <c r="T7" s="2046"/>
      <c r="U7" s="2046"/>
      <c r="V7" s="2046"/>
      <c r="W7" s="2046"/>
      <c r="X7" s="2046"/>
      <c r="Y7" s="2046"/>
      <c r="Z7" s="2046"/>
      <c r="AA7" s="2046"/>
      <c r="AB7" s="2046"/>
      <c r="AC7" s="2046"/>
      <c r="AD7" s="2046"/>
      <c r="AE7" s="2046"/>
      <c r="AF7" s="2046"/>
      <c r="AG7" s="2046"/>
      <c r="AH7" s="2046"/>
      <c r="AI7" s="2046"/>
      <c r="AJ7" s="2046"/>
      <c r="AK7" s="2046"/>
      <c r="AL7" s="2046"/>
      <c r="AM7" s="2046"/>
      <c r="AN7" s="2046"/>
      <c r="AO7" s="2046"/>
      <c r="AP7" s="2046"/>
      <c r="AQ7" s="2046"/>
      <c r="AR7" s="2046"/>
      <c r="AS7" s="2046"/>
      <c r="AT7" s="2046"/>
      <c r="AU7" s="2046"/>
      <c r="AV7" s="2046"/>
      <c r="AW7" s="2046"/>
      <c r="AX7" s="2046"/>
      <c r="AY7" s="2046"/>
      <c r="AZ7" s="2046"/>
      <c r="BA7" s="2046"/>
      <c r="BB7" s="2046"/>
      <c r="BC7" s="2046"/>
      <c r="BD7" s="2046"/>
      <c r="BE7" s="2046"/>
      <c r="BF7" s="2046"/>
      <c r="BG7" s="2046"/>
      <c r="BH7" s="2046"/>
      <c r="BI7" s="2046"/>
      <c r="BJ7" s="2046"/>
      <c r="BK7" s="2046"/>
      <c r="BL7" s="2046"/>
      <c r="BM7" s="2047"/>
      <c r="BN7" s="2047"/>
      <c r="BO7" s="2047"/>
      <c r="BP7" s="2047"/>
      <c r="BQ7" s="2047"/>
      <c r="BR7" s="2047"/>
      <c r="BS7" s="2047"/>
      <c r="BT7" s="2047"/>
      <c r="BU7" s="2047"/>
      <c r="BV7" s="2047"/>
      <c r="BW7" s="2047"/>
      <c r="BX7" s="2047"/>
      <c r="BY7" s="2047"/>
      <c r="BZ7" s="2047"/>
      <c r="CA7" s="2047"/>
      <c r="CB7" s="2047"/>
    </row>
    <row r="8" spans="1:80">
      <c r="A8" s="2047"/>
      <c r="C8" s="2046"/>
      <c r="D8" s="2046"/>
      <c r="E8" s="2046"/>
      <c r="F8" s="2046"/>
      <c r="G8" s="2046"/>
      <c r="H8" s="2046"/>
      <c r="I8" s="2046"/>
      <c r="J8" s="2046"/>
      <c r="K8" s="2046"/>
      <c r="L8" s="2046"/>
      <c r="M8" s="2046"/>
      <c r="N8" s="2046"/>
      <c r="O8" s="2046"/>
      <c r="P8" s="2046"/>
      <c r="Q8" s="2046"/>
      <c r="R8" s="2046"/>
      <c r="S8" s="2046"/>
      <c r="T8" s="2046"/>
      <c r="U8" s="2046"/>
      <c r="V8" s="2046"/>
      <c r="W8" s="2046"/>
      <c r="X8" s="2046"/>
      <c r="Y8" s="2046"/>
      <c r="Z8" s="2046"/>
      <c r="AA8" s="2046"/>
      <c r="AB8" s="2046"/>
      <c r="AC8" s="2046"/>
      <c r="AD8" s="2046"/>
      <c r="AE8" s="2046"/>
      <c r="AF8" s="2046"/>
      <c r="AG8" s="2046"/>
      <c r="AH8" s="2046"/>
      <c r="AI8" s="2046"/>
      <c r="AJ8" s="2046"/>
      <c r="AK8" s="2046"/>
      <c r="AL8" s="2046"/>
      <c r="AM8" s="2046"/>
      <c r="AN8" s="2046"/>
      <c r="AO8" s="2046"/>
      <c r="AP8" s="2046"/>
      <c r="AQ8" s="2046"/>
      <c r="AR8" s="2046"/>
      <c r="AS8" s="2046"/>
      <c r="AT8" s="2046"/>
      <c r="AU8" s="2046"/>
      <c r="AV8" s="2046"/>
      <c r="AW8" s="2046"/>
      <c r="AX8" s="2046"/>
      <c r="AY8" s="2046"/>
      <c r="AZ8" s="2046"/>
      <c r="BA8" s="2046"/>
      <c r="BB8" s="2046"/>
      <c r="BC8" s="2046"/>
      <c r="BD8" s="2046"/>
      <c r="BE8" s="2046"/>
      <c r="BF8" s="2046"/>
      <c r="BG8" s="2046"/>
      <c r="BH8" s="2046"/>
      <c r="BI8" s="2046"/>
      <c r="BJ8" s="2046"/>
      <c r="BK8" s="2046"/>
      <c r="BL8" s="2046"/>
      <c r="BM8" s="2047"/>
      <c r="BN8" s="2047"/>
      <c r="BO8" s="2047"/>
      <c r="BP8" s="2047"/>
      <c r="BQ8" s="2047"/>
      <c r="BR8" s="2047"/>
      <c r="BS8" s="2047"/>
      <c r="BT8" s="2047"/>
      <c r="BU8" s="2047"/>
      <c r="BV8" s="2047"/>
      <c r="BW8" s="2047"/>
      <c r="BX8" s="2047"/>
      <c r="BY8" s="2047"/>
      <c r="BZ8" s="2047"/>
      <c r="CA8" s="2047"/>
      <c r="CB8" s="2047"/>
    </row>
    <row r="9" spans="1:80">
      <c r="A9" s="2047"/>
      <c r="C9" s="2046"/>
      <c r="D9" s="2046"/>
      <c r="E9" s="2046"/>
      <c r="F9" s="2046"/>
      <c r="G9" s="2046"/>
      <c r="H9" s="2046"/>
      <c r="I9" s="2046"/>
      <c r="J9" s="2046"/>
      <c r="K9" s="2046"/>
      <c r="L9" s="2046"/>
      <c r="M9" s="2046"/>
      <c r="N9" s="2046"/>
      <c r="O9" s="2046"/>
      <c r="P9" s="2046"/>
      <c r="Q9" s="2046"/>
      <c r="R9" s="2046"/>
      <c r="S9" s="2046"/>
      <c r="T9" s="2046"/>
      <c r="U9" s="2046"/>
      <c r="V9" s="2046"/>
      <c r="W9" s="2046"/>
      <c r="X9" s="2046"/>
      <c r="Y9" s="2046"/>
      <c r="Z9" s="2046"/>
      <c r="AA9" s="2046"/>
      <c r="AB9" s="2046"/>
      <c r="AC9" s="2046"/>
      <c r="AD9" s="2046"/>
      <c r="AE9" s="2046"/>
      <c r="AF9" s="2046"/>
      <c r="AG9" s="2046"/>
      <c r="AH9" s="2046"/>
      <c r="AI9" s="2046"/>
      <c r="AJ9" s="2046"/>
      <c r="AK9" s="2046"/>
      <c r="AL9" s="2046"/>
      <c r="AM9" s="2046"/>
      <c r="AN9" s="2046"/>
      <c r="AO9" s="2046"/>
      <c r="AP9" s="2046"/>
      <c r="AQ9" s="2046"/>
      <c r="AR9" s="2046"/>
      <c r="AS9" s="2046"/>
      <c r="AT9" s="2046"/>
      <c r="AU9" s="2046"/>
      <c r="AV9" s="2046"/>
      <c r="AW9" s="2046"/>
      <c r="AX9" s="2046"/>
      <c r="AY9" s="2046"/>
      <c r="AZ9" s="2046"/>
      <c r="BA9" s="2046"/>
      <c r="BB9" s="2046"/>
      <c r="BC9" s="2046"/>
      <c r="BD9" s="2046"/>
      <c r="BE9" s="2046"/>
      <c r="BF9" s="2046"/>
      <c r="BG9" s="2046"/>
      <c r="BH9" s="2046"/>
      <c r="BI9" s="2046"/>
      <c r="BJ9" s="2046"/>
      <c r="BK9" s="2046"/>
      <c r="BL9" s="2046"/>
      <c r="BM9" s="2047"/>
      <c r="BN9" s="2047"/>
      <c r="BO9" s="2047"/>
      <c r="BP9" s="2047"/>
      <c r="BQ9" s="2047"/>
      <c r="BR9" s="2047"/>
      <c r="BS9" s="2047"/>
      <c r="BT9" s="2047"/>
      <c r="BU9" s="2047"/>
      <c r="BV9" s="2047"/>
      <c r="BW9" s="2047"/>
      <c r="BX9" s="2047"/>
      <c r="BY9" s="2047"/>
      <c r="BZ9" s="2047"/>
      <c r="CA9" s="2047"/>
      <c r="CB9" s="2047"/>
    </row>
    <row r="10" spans="1:80">
      <c r="A10" s="2047"/>
      <c r="C10" s="2046"/>
      <c r="D10" s="2046"/>
      <c r="E10" s="2046"/>
      <c r="F10" s="2046"/>
      <c r="G10" s="2046"/>
      <c r="H10" s="2046"/>
      <c r="I10" s="2046"/>
      <c r="J10" s="2046"/>
      <c r="K10" s="2046"/>
      <c r="L10" s="2046"/>
      <c r="M10" s="2046"/>
      <c r="N10" s="2046"/>
      <c r="O10" s="2046"/>
      <c r="P10" s="2046"/>
      <c r="Q10" s="2046"/>
      <c r="R10" s="2046"/>
      <c r="S10" s="2046"/>
      <c r="T10" s="2046"/>
      <c r="U10" s="2046"/>
      <c r="V10" s="2046"/>
      <c r="W10" s="2046"/>
      <c r="X10" s="2046"/>
      <c r="Y10" s="2046"/>
      <c r="Z10" s="2046"/>
      <c r="AA10" s="2046"/>
      <c r="AB10" s="2046"/>
      <c r="AC10" s="2046"/>
      <c r="AD10" s="2046"/>
      <c r="AE10" s="2046"/>
      <c r="AF10" s="2046"/>
      <c r="AG10" s="2046"/>
      <c r="AH10" s="2046"/>
      <c r="AI10" s="2046"/>
      <c r="AJ10" s="2046"/>
      <c r="AK10" s="2046"/>
      <c r="AL10" s="2046"/>
      <c r="AM10" s="2046"/>
      <c r="AN10" s="2046"/>
      <c r="AO10" s="2046"/>
      <c r="AP10" s="2046"/>
      <c r="AQ10" s="2046"/>
      <c r="AR10" s="2046"/>
      <c r="AS10" s="2046"/>
      <c r="AT10" s="2046"/>
      <c r="AU10" s="2046"/>
      <c r="AV10" s="2046"/>
      <c r="AW10" s="2046"/>
      <c r="AX10" s="2046"/>
      <c r="AY10" s="2046"/>
      <c r="AZ10" s="2046"/>
      <c r="BA10" s="2046"/>
      <c r="BB10" s="2046"/>
      <c r="BC10" s="2046"/>
      <c r="BD10" s="2046"/>
      <c r="BE10" s="2046"/>
      <c r="BF10" s="2046"/>
      <c r="BG10" s="2046"/>
      <c r="BH10" s="2046"/>
      <c r="BI10" s="2046"/>
      <c r="BJ10" s="2046"/>
      <c r="BK10" s="2046"/>
      <c r="BL10" s="2046"/>
      <c r="BM10" s="2047"/>
      <c r="BN10" s="2047"/>
      <c r="BO10" s="2047"/>
      <c r="BP10" s="2047"/>
      <c r="BQ10" s="2047"/>
      <c r="BR10" s="2047"/>
      <c r="BS10" s="2047"/>
      <c r="BT10" s="2047"/>
      <c r="BU10" s="2047"/>
      <c r="BV10" s="2047"/>
      <c r="BW10" s="2047"/>
      <c r="BX10" s="2047"/>
      <c r="BY10" s="2047"/>
      <c r="BZ10" s="2047"/>
      <c r="CA10" s="2047"/>
      <c r="CB10" s="2047"/>
    </row>
    <row r="11" spans="1:80">
      <c r="A11" s="2047"/>
      <c r="C11" s="2046"/>
      <c r="D11" s="2046"/>
      <c r="E11" s="2046"/>
      <c r="F11" s="2046"/>
      <c r="G11" s="2046"/>
      <c r="H11" s="2046"/>
      <c r="I11" s="2046"/>
      <c r="J11" s="2046"/>
      <c r="K11" s="2046"/>
      <c r="L11" s="2046"/>
      <c r="M11" s="2046"/>
      <c r="N11" s="2046"/>
      <c r="O11" s="2046"/>
      <c r="P11" s="2046"/>
      <c r="Q11" s="2046"/>
      <c r="R11" s="2046"/>
      <c r="S11" s="2046"/>
      <c r="T11" s="2046"/>
      <c r="U11" s="2046"/>
      <c r="V11" s="2046"/>
      <c r="W11" s="2046"/>
      <c r="X11" s="2046"/>
      <c r="Y11" s="2046"/>
      <c r="Z11" s="2046"/>
      <c r="AA11" s="2046"/>
      <c r="AB11" s="2046"/>
      <c r="AC11" s="2046"/>
      <c r="AD11" s="2046"/>
      <c r="AE11" s="2046"/>
      <c r="AF11" s="2046"/>
      <c r="AG11" s="2046"/>
      <c r="AH11" s="2046"/>
      <c r="AI11" s="2046"/>
      <c r="AJ11" s="2046"/>
      <c r="AK11" s="2046"/>
      <c r="AL11" s="2046"/>
      <c r="AM11" s="2046"/>
      <c r="AN11" s="2046"/>
      <c r="AO11" s="2046"/>
      <c r="AP11" s="2046"/>
      <c r="AQ11" s="2046"/>
      <c r="AR11" s="2046"/>
      <c r="AS11" s="2046"/>
      <c r="AT11" s="2046"/>
      <c r="AU11" s="2046"/>
      <c r="AV11" s="2046"/>
      <c r="AW11" s="2046"/>
      <c r="AX11" s="2046"/>
      <c r="AY11" s="2046"/>
      <c r="AZ11" s="2046"/>
      <c r="BA11" s="2046"/>
      <c r="BB11" s="2046"/>
      <c r="BC11" s="2046"/>
      <c r="BD11" s="2046"/>
      <c r="BE11" s="2046"/>
      <c r="BF11" s="2046"/>
      <c r="BG11" s="2046"/>
      <c r="BH11" s="2046"/>
      <c r="BI11" s="2046"/>
      <c r="BJ11" s="2046"/>
      <c r="BK11" s="2046"/>
      <c r="BL11" s="2046"/>
      <c r="BM11" s="2047"/>
      <c r="BN11" s="2047"/>
      <c r="BO11" s="2047"/>
      <c r="BP11" s="2047"/>
      <c r="BQ11" s="2047"/>
      <c r="BR11" s="2047"/>
      <c r="BS11" s="2047"/>
      <c r="BT11" s="2047"/>
      <c r="BU11" s="2047"/>
      <c r="BV11" s="2047"/>
      <c r="BW11" s="2047"/>
      <c r="BX11" s="2047"/>
      <c r="BY11" s="2047"/>
      <c r="BZ11" s="2047"/>
      <c r="CA11" s="2047"/>
      <c r="CB11" s="2047"/>
    </row>
    <row r="12" spans="1:80">
      <c r="A12" s="2047"/>
      <c r="C12" s="2046"/>
      <c r="D12" s="2046"/>
      <c r="E12" s="2046"/>
      <c r="F12" s="2046"/>
      <c r="G12" s="2046"/>
      <c r="H12" s="2046"/>
      <c r="I12" s="2046"/>
      <c r="J12" s="2046"/>
      <c r="K12" s="2046"/>
      <c r="L12" s="2046"/>
      <c r="M12" s="2046"/>
      <c r="N12" s="2046"/>
      <c r="O12" s="2046"/>
      <c r="P12" s="2046"/>
      <c r="Q12" s="2046"/>
      <c r="R12" s="2046"/>
      <c r="S12" s="2046"/>
      <c r="T12" s="2046"/>
      <c r="U12" s="2046"/>
      <c r="V12" s="2046"/>
      <c r="W12" s="2046"/>
      <c r="X12" s="2046"/>
      <c r="Y12" s="2046"/>
      <c r="Z12" s="2046"/>
      <c r="AA12" s="2046"/>
      <c r="AB12" s="2046"/>
      <c r="AC12" s="2046"/>
      <c r="AD12" s="2046"/>
      <c r="AE12" s="2046"/>
      <c r="AF12" s="2046"/>
      <c r="AG12" s="2046"/>
      <c r="AH12" s="2046"/>
      <c r="AI12" s="2046"/>
      <c r="AJ12" s="2046"/>
      <c r="AK12" s="2046"/>
      <c r="AL12" s="2046"/>
      <c r="AM12" s="2046"/>
      <c r="AN12" s="2046"/>
      <c r="AO12" s="2046"/>
      <c r="AP12" s="2046"/>
      <c r="AQ12" s="2046"/>
      <c r="AR12" s="2046"/>
      <c r="AS12" s="2046"/>
      <c r="AT12" s="2046"/>
      <c r="AU12" s="2046"/>
      <c r="AV12" s="2046"/>
      <c r="AW12" s="2046"/>
      <c r="AX12" s="2046"/>
      <c r="AY12" s="2046"/>
      <c r="AZ12" s="2046"/>
      <c r="BA12" s="2046"/>
      <c r="BB12" s="2046"/>
      <c r="BC12" s="2046"/>
      <c r="BD12" s="2046"/>
      <c r="BE12" s="2046"/>
      <c r="BF12" s="2046"/>
      <c r="BG12" s="2046"/>
      <c r="BH12" s="2046"/>
      <c r="BI12" s="2046"/>
      <c r="BJ12" s="2046"/>
      <c r="BK12" s="2046"/>
      <c r="BL12" s="2046"/>
      <c r="BM12" s="2047"/>
      <c r="BN12" s="2047"/>
      <c r="BO12" s="2047"/>
      <c r="BP12" s="2047"/>
      <c r="BQ12" s="2047"/>
      <c r="BR12" s="2047"/>
      <c r="BS12" s="2047"/>
      <c r="BT12" s="2047"/>
      <c r="BU12" s="2047"/>
      <c r="BV12" s="2047"/>
      <c r="BW12" s="2047"/>
      <c r="BX12" s="2047"/>
      <c r="BY12" s="2047"/>
      <c r="BZ12" s="2047"/>
      <c r="CA12" s="2047"/>
      <c r="CB12" s="2047"/>
    </row>
    <row r="13" spans="1:80">
      <c r="A13" s="2047"/>
      <c r="C13" s="2046"/>
      <c r="D13" s="2046"/>
      <c r="E13" s="2046"/>
      <c r="F13" s="2046"/>
      <c r="G13" s="2046"/>
      <c r="H13" s="2046"/>
      <c r="I13" s="2046"/>
      <c r="J13" s="2046"/>
      <c r="K13" s="2046"/>
      <c r="L13" s="2046"/>
      <c r="M13" s="2046"/>
      <c r="N13" s="2046"/>
      <c r="O13" s="2046"/>
      <c r="P13" s="2046"/>
      <c r="Q13" s="2046"/>
      <c r="R13" s="2046"/>
      <c r="S13" s="2046"/>
      <c r="T13" s="2046"/>
      <c r="U13" s="2046"/>
      <c r="V13" s="2046"/>
      <c r="W13" s="2046"/>
      <c r="X13" s="2046"/>
      <c r="Y13" s="2046"/>
      <c r="Z13" s="2046"/>
      <c r="AA13" s="2046"/>
      <c r="AB13" s="2046"/>
      <c r="AC13" s="2046"/>
      <c r="AD13" s="2046"/>
      <c r="AE13" s="2046"/>
      <c r="AF13" s="2046"/>
      <c r="AG13" s="2046"/>
      <c r="AH13" s="2046"/>
      <c r="AI13" s="2046"/>
      <c r="AJ13" s="2046"/>
      <c r="AK13" s="2046"/>
      <c r="AL13" s="2046"/>
      <c r="AM13" s="2046"/>
      <c r="AN13" s="2046"/>
      <c r="AO13" s="2046"/>
      <c r="AP13" s="2046"/>
      <c r="AQ13" s="2046"/>
      <c r="AR13" s="2046"/>
      <c r="AS13" s="2046"/>
      <c r="AT13" s="2046"/>
      <c r="AU13" s="2046"/>
      <c r="AV13" s="2046"/>
      <c r="AW13" s="2046"/>
      <c r="AX13" s="2046"/>
      <c r="AY13" s="2046"/>
      <c r="AZ13" s="2046"/>
      <c r="BA13" s="2046"/>
      <c r="BB13" s="2046"/>
      <c r="BC13" s="2046"/>
      <c r="BD13" s="2046"/>
      <c r="BE13" s="2046"/>
      <c r="BF13" s="2046"/>
      <c r="BG13" s="2046"/>
      <c r="BH13" s="2046"/>
      <c r="BI13" s="2046"/>
      <c r="BJ13" s="2046"/>
      <c r="BK13" s="2046"/>
      <c r="BL13" s="2046"/>
      <c r="BM13" s="2047"/>
      <c r="BN13" s="2047"/>
      <c r="BO13" s="2047"/>
      <c r="BP13" s="2047"/>
      <c r="BQ13" s="2047"/>
      <c r="BR13" s="2047"/>
      <c r="BS13" s="2047"/>
      <c r="BT13" s="2047"/>
      <c r="BU13" s="2047"/>
      <c r="BV13" s="2047"/>
      <c r="BW13" s="2047"/>
      <c r="BX13" s="2047"/>
      <c r="BY13" s="2047"/>
      <c r="BZ13" s="2047"/>
      <c r="CA13" s="2047"/>
      <c r="CB13" s="2047"/>
    </row>
    <row r="14" spans="1:80">
      <c r="A14" s="2047"/>
      <c r="C14" s="2046"/>
      <c r="D14" s="2046"/>
      <c r="E14" s="2046"/>
      <c r="F14" s="2046"/>
      <c r="G14" s="2046"/>
      <c r="H14" s="2046"/>
      <c r="I14" s="2046"/>
      <c r="J14" s="2046"/>
      <c r="K14" s="2046"/>
      <c r="L14" s="2046"/>
      <c r="M14" s="2046"/>
      <c r="N14" s="2046"/>
      <c r="O14" s="2046"/>
      <c r="P14" s="2046"/>
      <c r="Q14" s="2046"/>
      <c r="R14" s="2046"/>
      <c r="S14" s="2046"/>
      <c r="T14" s="2046"/>
      <c r="U14" s="2046"/>
      <c r="V14" s="2046"/>
      <c r="W14" s="2046"/>
      <c r="X14" s="2046"/>
      <c r="Y14" s="2046"/>
      <c r="Z14" s="2046"/>
      <c r="AA14" s="2046"/>
      <c r="AB14" s="2046"/>
      <c r="AC14" s="2046"/>
      <c r="AD14" s="2046"/>
      <c r="AE14" s="2046"/>
      <c r="AF14" s="2046"/>
      <c r="AG14" s="2046"/>
      <c r="AH14" s="2046"/>
      <c r="AI14" s="2046"/>
      <c r="AJ14" s="2046"/>
      <c r="AK14" s="2046"/>
      <c r="AL14" s="2046"/>
      <c r="AM14" s="2046"/>
      <c r="AN14" s="2046"/>
      <c r="AO14" s="2046"/>
      <c r="AP14" s="2046"/>
      <c r="AQ14" s="2046"/>
      <c r="AR14" s="2046"/>
      <c r="AS14" s="2046"/>
      <c r="AT14" s="2046"/>
      <c r="AU14" s="2046"/>
      <c r="AV14" s="2046"/>
      <c r="AW14" s="2046"/>
      <c r="AX14" s="2046"/>
      <c r="AY14" s="2046"/>
      <c r="AZ14" s="2046"/>
      <c r="BA14" s="2046"/>
      <c r="BB14" s="2046"/>
      <c r="BC14" s="2046"/>
      <c r="BD14" s="2046"/>
      <c r="BE14" s="2046"/>
      <c r="BF14" s="2046"/>
      <c r="BG14" s="2046"/>
      <c r="BH14" s="2046"/>
      <c r="BI14" s="2046"/>
      <c r="BJ14" s="2046"/>
      <c r="BK14" s="2046"/>
      <c r="BL14" s="2046"/>
      <c r="BM14" s="2047"/>
      <c r="BN14" s="2047"/>
      <c r="BO14" s="2047"/>
      <c r="BP14" s="2047"/>
      <c r="BQ14" s="2047"/>
      <c r="BR14" s="2047"/>
      <c r="BS14" s="2047"/>
      <c r="BT14" s="2047"/>
      <c r="BU14" s="2047"/>
      <c r="BV14" s="2047"/>
      <c r="BW14" s="2047"/>
      <c r="BX14" s="2047"/>
      <c r="BY14" s="2047"/>
      <c r="BZ14" s="2047"/>
      <c r="CA14" s="2047"/>
      <c r="CB14" s="2047"/>
    </row>
    <row r="15" spans="1:80">
      <c r="A15" s="2047"/>
      <c r="C15" s="2046"/>
      <c r="D15" s="2046"/>
      <c r="E15" s="2046"/>
      <c r="F15" s="2046"/>
      <c r="G15" s="2046"/>
      <c r="H15" s="2046"/>
      <c r="I15" s="2046"/>
      <c r="J15" s="2046"/>
      <c r="K15" s="2046"/>
      <c r="L15" s="2046"/>
      <c r="M15" s="2046"/>
      <c r="N15" s="2046"/>
      <c r="O15" s="2046"/>
      <c r="P15" s="2046"/>
      <c r="Q15" s="2046"/>
      <c r="R15" s="2046"/>
      <c r="S15" s="2046"/>
      <c r="T15" s="2046"/>
      <c r="U15" s="2046"/>
      <c r="V15" s="2046"/>
      <c r="W15" s="2046"/>
      <c r="X15" s="2046"/>
      <c r="Y15" s="2046"/>
      <c r="Z15" s="2046"/>
      <c r="AA15" s="2046"/>
      <c r="AB15" s="2046"/>
      <c r="AC15" s="2046"/>
      <c r="AD15" s="2046"/>
      <c r="AE15" s="2046"/>
      <c r="AF15" s="2046"/>
      <c r="AG15" s="2046"/>
      <c r="AH15" s="2046"/>
      <c r="AI15" s="2046"/>
      <c r="AJ15" s="2046"/>
      <c r="AK15" s="2046"/>
      <c r="AL15" s="2046"/>
      <c r="AM15" s="2046"/>
      <c r="AN15" s="2046"/>
      <c r="AO15" s="2046"/>
      <c r="AP15" s="2046"/>
      <c r="AQ15" s="2046"/>
      <c r="AR15" s="2046"/>
      <c r="AS15" s="2046"/>
      <c r="AT15" s="2046"/>
      <c r="AU15" s="2046"/>
      <c r="AV15" s="2046"/>
      <c r="AW15" s="2046"/>
      <c r="AX15" s="2046"/>
      <c r="AY15" s="2046"/>
      <c r="AZ15" s="2046"/>
      <c r="BA15" s="2046"/>
      <c r="BB15" s="2046"/>
      <c r="BC15" s="2046"/>
      <c r="BD15" s="2046"/>
      <c r="BE15" s="2046"/>
      <c r="BF15" s="2046"/>
      <c r="BG15" s="2046"/>
      <c r="BH15" s="2046"/>
      <c r="BI15" s="2046"/>
      <c r="BJ15" s="2046"/>
      <c r="BK15" s="2046"/>
      <c r="BL15" s="2046"/>
      <c r="BM15" s="2047"/>
      <c r="BN15" s="2047"/>
      <c r="BO15" s="2047"/>
      <c r="BP15" s="2047"/>
      <c r="BQ15" s="2047"/>
      <c r="BR15" s="2047"/>
      <c r="BS15" s="2047"/>
      <c r="BT15" s="2047"/>
      <c r="BU15" s="2047"/>
      <c r="BV15" s="2047"/>
      <c r="BW15" s="2047"/>
      <c r="BX15" s="2047"/>
      <c r="BY15" s="2047"/>
      <c r="BZ15" s="2047"/>
      <c r="CA15" s="2047"/>
      <c r="CB15" s="2047"/>
    </row>
    <row r="16" spans="1:80">
      <c r="A16" s="2047"/>
      <c r="C16" s="2046"/>
      <c r="D16" s="2046"/>
      <c r="E16" s="2046"/>
      <c r="F16" s="2046"/>
      <c r="G16" s="2046"/>
      <c r="H16" s="2046"/>
      <c r="I16" s="2046"/>
      <c r="J16" s="2046"/>
      <c r="K16" s="2046"/>
      <c r="L16" s="2046"/>
      <c r="M16" s="2046"/>
      <c r="N16" s="2046"/>
      <c r="O16" s="2046"/>
      <c r="P16" s="2046"/>
      <c r="Q16" s="2046"/>
      <c r="R16" s="2046"/>
      <c r="S16" s="2046"/>
      <c r="T16" s="2046"/>
      <c r="U16" s="2046"/>
      <c r="V16" s="2046"/>
      <c r="W16" s="2046"/>
      <c r="X16" s="2046"/>
      <c r="Y16" s="2046"/>
      <c r="Z16" s="2046"/>
      <c r="AA16" s="2046"/>
      <c r="AB16" s="2046"/>
      <c r="AC16" s="2046"/>
      <c r="AD16" s="2046"/>
      <c r="AE16" s="2046"/>
      <c r="AF16" s="2046"/>
      <c r="AG16" s="2046"/>
      <c r="AH16" s="2046"/>
      <c r="AI16" s="2046"/>
      <c r="AJ16" s="2046"/>
      <c r="AK16" s="2046"/>
      <c r="AL16" s="2046"/>
      <c r="AM16" s="2046"/>
      <c r="AN16" s="2046"/>
      <c r="AO16" s="2046"/>
      <c r="AP16" s="2046"/>
      <c r="AQ16" s="2046"/>
      <c r="AR16" s="2046"/>
      <c r="AS16" s="2046"/>
      <c r="AT16" s="2046"/>
      <c r="AU16" s="2046"/>
      <c r="AV16" s="2046"/>
      <c r="AW16" s="2046"/>
      <c r="AX16" s="2046"/>
      <c r="AY16" s="2046"/>
      <c r="AZ16" s="2046"/>
      <c r="BA16" s="2046"/>
      <c r="BB16" s="2046"/>
      <c r="BC16" s="2046"/>
      <c r="BD16" s="2046"/>
      <c r="BE16" s="2046"/>
      <c r="BF16" s="2046"/>
      <c r="BG16" s="2046"/>
      <c r="BH16" s="2046"/>
      <c r="BI16" s="2046"/>
      <c r="BJ16" s="2046"/>
      <c r="BK16" s="2046"/>
      <c r="BL16" s="2046"/>
      <c r="BM16" s="2047"/>
      <c r="BN16" s="2047"/>
      <c r="BO16" s="2047"/>
      <c r="BP16" s="2047"/>
      <c r="BQ16" s="2047"/>
      <c r="BR16" s="2047"/>
      <c r="BS16" s="2047"/>
      <c r="BT16" s="2047"/>
      <c r="BU16" s="2047"/>
      <c r="BV16" s="2047"/>
      <c r="BW16" s="2047"/>
      <c r="BX16" s="2047"/>
      <c r="BY16" s="2047"/>
      <c r="BZ16" s="2047"/>
      <c r="CA16" s="2047"/>
      <c r="CB16" s="2047"/>
    </row>
    <row r="17" spans="1:80">
      <c r="A17" s="2047"/>
      <c r="C17" s="2046"/>
      <c r="D17" s="2046"/>
      <c r="E17" s="2046"/>
      <c r="F17" s="2046"/>
      <c r="G17" s="2046"/>
      <c r="H17" s="2046"/>
      <c r="I17" s="2046"/>
      <c r="J17" s="2046"/>
      <c r="K17" s="2046"/>
      <c r="L17" s="2046"/>
      <c r="M17" s="2046"/>
      <c r="N17" s="2046"/>
      <c r="O17" s="2046"/>
      <c r="P17" s="2046"/>
      <c r="Q17" s="2046"/>
      <c r="R17" s="2046"/>
      <c r="S17" s="2046"/>
      <c r="T17" s="2046"/>
      <c r="U17" s="2046"/>
      <c r="V17" s="2046"/>
      <c r="W17" s="2046"/>
      <c r="X17" s="2046"/>
      <c r="Y17" s="2046"/>
      <c r="Z17" s="2046"/>
      <c r="AA17" s="2046"/>
      <c r="AB17" s="2046"/>
      <c r="AC17" s="2046"/>
      <c r="AD17" s="2046"/>
      <c r="AE17" s="2046"/>
      <c r="AF17" s="2046"/>
      <c r="AG17" s="2046"/>
      <c r="AH17" s="2046"/>
      <c r="AI17" s="2046"/>
      <c r="AJ17" s="2046"/>
      <c r="AK17" s="2046"/>
      <c r="AL17" s="2046"/>
      <c r="AM17" s="2046"/>
      <c r="AN17" s="2046"/>
      <c r="AO17" s="2046"/>
      <c r="AP17" s="2046"/>
      <c r="AQ17" s="2046"/>
      <c r="AR17" s="2046"/>
      <c r="AS17" s="2046"/>
      <c r="AT17" s="2046"/>
      <c r="AU17" s="2046"/>
      <c r="AV17" s="2046"/>
      <c r="AW17" s="2046"/>
      <c r="AX17" s="2046"/>
      <c r="AY17" s="2046"/>
      <c r="AZ17" s="2046"/>
      <c r="BA17" s="2046"/>
      <c r="BB17" s="2046"/>
      <c r="BC17" s="2046"/>
      <c r="BD17" s="2046"/>
      <c r="BE17" s="2046"/>
      <c r="BF17" s="2046"/>
      <c r="BG17" s="2046"/>
      <c r="BH17" s="2046"/>
      <c r="BI17" s="2046"/>
      <c r="BJ17" s="2046"/>
      <c r="BK17" s="2046"/>
      <c r="BL17" s="2046"/>
      <c r="BM17" s="2047"/>
      <c r="BN17" s="2047"/>
      <c r="BO17" s="2047"/>
      <c r="BP17" s="2047"/>
      <c r="BQ17" s="2047"/>
      <c r="BR17" s="2047"/>
      <c r="BS17" s="2047"/>
      <c r="BT17" s="2047"/>
      <c r="BU17" s="2047"/>
      <c r="BV17" s="2047"/>
      <c r="BW17" s="2047"/>
      <c r="BX17" s="2047"/>
      <c r="BY17" s="2047"/>
      <c r="BZ17" s="2047"/>
      <c r="CA17" s="2047"/>
      <c r="CB17" s="2047"/>
    </row>
    <row r="18" spans="1:80">
      <c r="A18" s="2047"/>
      <c r="C18" s="2046"/>
      <c r="D18" s="2046"/>
      <c r="E18" s="2046"/>
      <c r="F18" s="2046"/>
      <c r="G18" s="2046"/>
      <c r="H18" s="2046"/>
      <c r="I18" s="2046"/>
      <c r="J18" s="2046"/>
      <c r="K18" s="2046"/>
      <c r="L18" s="2046"/>
      <c r="M18" s="2046"/>
      <c r="N18" s="2046"/>
      <c r="O18" s="2046"/>
      <c r="P18" s="2046"/>
      <c r="Q18" s="2046"/>
      <c r="R18" s="2046"/>
      <c r="S18" s="2046"/>
      <c r="T18" s="2046"/>
      <c r="U18" s="2046"/>
      <c r="V18" s="2046"/>
      <c r="W18" s="2046"/>
      <c r="X18" s="2046"/>
      <c r="Y18" s="2046"/>
      <c r="Z18" s="2046"/>
      <c r="AA18" s="2046"/>
      <c r="AB18" s="2046"/>
      <c r="AC18" s="2046"/>
      <c r="AD18" s="2046"/>
      <c r="AE18" s="2046"/>
      <c r="AF18" s="2046"/>
      <c r="AG18" s="2046"/>
      <c r="AH18" s="2046"/>
      <c r="AI18" s="2046"/>
      <c r="AJ18" s="2046"/>
      <c r="AK18" s="2046"/>
      <c r="AL18" s="2046"/>
      <c r="AM18" s="2046"/>
      <c r="AN18" s="2046"/>
      <c r="AO18" s="2046"/>
      <c r="AP18" s="2046"/>
      <c r="AQ18" s="2046"/>
      <c r="AR18" s="2046"/>
      <c r="AS18" s="2046"/>
      <c r="AT18" s="2046"/>
      <c r="AU18" s="2046"/>
      <c r="AV18" s="2046"/>
      <c r="AW18" s="2046"/>
      <c r="AX18" s="2046"/>
      <c r="AY18" s="2046"/>
      <c r="AZ18" s="2046"/>
      <c r="BA18" s="2046"/>
      <c r="BB18" s="2046"/>
      <c r="BC18" s="2046"/>
      <c r="BD18" s="2046"/>
      <c r="BE18" s="2046"/>
      <c r="BF18" s="2046"/>
      <c r="BG18" s="2046"/>
      <c r="BH18" s="2046"/>
      <c r="BI18" s="2046"/>
      <c r="BJ18" s="2046"/>
      <c r="BK18" s="2046"/>
      <c r="BL18" s="2046"/>
      <c r="BM18" s="2047"/>
      <c r="BN18" s="2047"/>
      <c r="BO18" s="2047"/>
      <c r="BP18" s="2047"/>
      <c r="BQ18" s="2047"/>
      <c r="BR18" s="2047"/>
      <c r="BS18" s="2047"/>
      <c r="BT18" s="2047"/>
      <c r="BU18" s="2047"/>
      <c r="BV18" s="2047"/>
      <c r="BW18" s="2047"/>
      <c r="BX18" s="2047"/>
      <c r="BY18" s="2047"/>
      <c r="BZ18" s="2047"/>
      <c r="CA18" s="2047"/>
      <c r="CB18" s="2047"/>
    </row>
    <row r="19" spans="1:80">
      <c r="A19" s="2047"/>
      <c r="C19" s="2046"/>
      <c r="D19" s="2046"/>
      <c r="E19" s="2046"/>
      <c r="F19" s="2046"/>
      <c r="G19" s="2046"/>
      <c r="H19" s="2046"/>
      <c r="I19" s="2046"/>
      <c r="J19" s="2046"/>
      <c r="K19" s="2046"/>
      <c r="L19" s="2046"/>
      <c r="M19" s="2046"/>
      <c r="N19" s="2046"/>
      <c r="O19" s="2046"/>
      <c r="P19" s="2046"/>
      <c r="Q19" s="2046"/>
      <c r="R19" s="2046"/>
      <c r="S19" s="2046"/>
      <c r="T19" s="2046"/>
      <c r="U19" s="2046"/>
      <c r="V19" s="2046"/>
      <c r="W19" s="2046"/>
      <c r="X19" s="2046"/>
      <c r="Y19" s="2046"/>
      <c r="Z19" s="2046"/>
      <c r="AA19" s="2046"/>
      <c r="AB19" s="2046"/>
      <c r="AC19" s="2046"/>
      <c r="AD19" s="2046"/>
      <c r="AE19" s="2046"/>
      <c r="AF19" s="2046"/>
      <c r="AG19" s="2046"/>
      <c r="AH19" s="2046"/>
      <c r="AI19" s="2046"/>
      <c r="AJ19" s="2046"/>
      <c r="AK19" s="2046"/>
      <c r="AL19" s="2046"/>
      <c r="AM19" s="2046"/>
      <c r="AN19" s="2046"/>
      <c r="AO19" s="2046"/>
      <c r="AP19" s="2046"/>
      <c r="AQ19" s="2046"/>
      <c r="AR19" s="2046"/>
      <c r="AS19" s="2046"/>
      <c r="AT19" s="2046"/>
      <c r="AU19" s="2046"/>
      <c r="AV19" s="2046"/>
      <c r="AW19" s="2046"/>
      <c r="AX19" s="2046"/>
      <c r="AY19" s="2046"/>
      <c r="AZ19" s="2046"/>
      <c r="BA19" s="2046"/>
      <c r="BB19" s="2046"/>
      <c r="BC19" s="2046"/>
      <c r="BD19" s="2046"/>
      <c r="BE19" s="2046"/>
      <c r="BF19" s="2046"/>
      <c r="BG19" s="2046"/>
      <c r="BH19" s="2046"/>
      <c r="BI19" s="2046"/>
      <c r="BJ19" s="2046"/>
      <c r="BK19" s="2046"/>
      <c r="BL19" s="2046"/>
      <c r="BM19" s="2047"/>
      <c r="BN19" s="2047"/>
      <c r="BO19" s="2047"/>
      <c r="BP19" s="2047"/>
      <c r="BQ19" s="2047"/>
      <c r="BR19" s="2047"/>
      <c r="BS19" s="2047"/>
      <c r="BT19" s="2047"/>
      <c r="BU19" s="2047"/>
      <c r="BV19" s="2047"/>
      <c r="BW19" s="2047"/>
      <c r="BX19" s="2047"/>
      <c r="BY19" s="2047"/>
      <c r="BZ19" s="2047"/>
      <c r="CA19" s="2047"/>
      <c r="CB19" s="2047"/>
    </row>
    <row r="20" spans="1:80">
      <c r="A20" s="2047"/>
      <c r="C20" s="2046"/>
      <c r="D20" s="2046"/>
      <c r="E20" s="2046"/>
      <c r="F20" s="2046"/>
      <c r="G20" s="2046"/>
      <c r="H20" s="2046"/>
      <c r="I20" s="2046"/>
      <c r="J20" s="2046"/>
      <c r="K20" s="2046"/>
      <c r="L20" s="2046"/>
      <c r="M20" s="2046"/>
      <c r="N20" s="2046"/>
      <c r="O20" s="2046"/>
      <c r="P20" s="2046"/>
      <c r="Q20" s="2046"/>
      <c r="R20" s="2046"/>
      <c r="S20" s="2046"/>
      <c r="T20" s="2046"/>
      <c r="U20" s="2046"/>
      <c r="V20" s="2046"/>
      <c r="W20" s="2046"/>
      <c r="X20" s="2046"/>
      <c r="Y20" s="2046"/>
      <c r="Z20" s="2046"/>
      <c r="AA20" s="2046"/>
      <c r="AB20" s="2046"/>
      <c r="AC20" s="2046"/>
      <c r="AD20" s="2046"/>
      <c r="AE20" s="2046"/>
      <c r="AF20" s="2046"/>
      <c r="AG20" s="2046"/>
      <c r="AH20" s="2046"/>
      <c r="AI20" s="2046"/>
      <c r="AJ20" s="2046"/>
      <c r="AK20" s="2046"/>
      <c r="AL20" s="2046"/>
      <c r="AM20" s="2046"/>
      <c r="AN20" s="2046"/>
      <c r="AO20" s="2046"/>
      <c r="AP20" s="2046"/>
      <c r="AQ20" s="2046"/>
      <c r="AR20" s="2046"/>
      <c r="AS20" s="2046"/>
      <c r="AT20" s="2046"/>
      <c r="AU20" s="2046"/>
      <c r="AV20" s="2046"/>
      <c r="AW20" s="2046"/>
      <c r="AX20" s="2046"/>
      <c r="AY20" s="2046"/>
      <c r="AZ20" s="2046"/>
      <c r="BA20" s="2046"/>
      <c r="BB20" s="2046"/>
      <c r="BC20" s="2046"/>
      <c r="BD20" s="2046"/>
      <c r="BE20" s="2046"/>
      <c r="BF20" s="2046"/>
      <c r="BG20" s="2046"/>
      <c r="BH20" s="2046"/>
      <c r="BI20" s="2046"/>
      <c r="BJ20" s="2046"/>
      <c r="BK20" s="2046"/>
      <c r="BL20" s="2046"/>
      <c r="BM20" s="2047"/>
      <c r="BN20" s="2047"/>
      <c r="BO20" s="2047"/>
      <c r="BP20" s="2047"/>
      <c r="BQ20" s="2047"/>
      <c r="BR20" s="2047"/>
      <c r="BS20" s="2047"/>
      <c r="BT20" s="2047"/>
      <c r="BU20" s="2047"/>
      <c r="BV20" s="2047"/>
      <c r="BW20" s="2047"/>
      <c r="BX20" s="2047"/>
      <c r="BY20" s="2047"/>
      <c r="BZ20" s="2047"/>
      <c r="CA20" s="2047"/>
      <c r="CB20" s="2047"/>
    </row>
    <row r="21" spans="1:80">
      <c r="A21" s="2047"/>
      <c r="C21" s="2046"/>
      <c r="D21" s="2046"/>
      <c r="E21" s="2046"/>
      <c r="F21" s="2046"/>
      <c r="G21" s="2046"/>
      <c r="H21" s="2046"/>
      <c r="I21" s="2046"/>
      <c r="J21" s="2046"/>
      <c r="K21" s="2046"/>
      <c r="L21" s="2046"/>
      <c r="M21" s="2046"/>
      <c r="N21" s="2046"/>
      <c r="O21" s="2046"/>
      <c r="P21" s="2046"/>
      <c r="Q21" s="2046"/>
      <c r="R21" s="2046"/>
      <c r="S21" s="2046"/>
      <c r="T21" s="2046"/>
      <c r="U21" s="2046"/>
      <c r="V21" s="2046"/>
      <c r="W21" s="2046"/>
      <c r="X21" s="2046"/>
      <c r="Y21" s="2046"/>
      <c r="Z21" s="2046"/>
      <c r="AA21" s="2046"/>
      <c r="AB21" s="2046"/>
      <c r="AC21" s="2046"/>
      <c r="AD21" s="2046"/>
      <c r="AE21" s="2046"/>
      <c r="AF21" s="2046"/>
      <c r="AG21" s="2046"/>
      <c r="AH21" s="2046"/>
      <c r="AI21" s="2046"/>
      <c r="AJ21" s="2046"/>
      <c r="AK21" s="2046"/>
      <c r="AL21" s="2046"/>
      <c r="AM21" s="2046"/>
      <c r="AN21" s="2046"/>
      <c r="AO21" s="2046"/>
      <c r="AP21" s="2046"/>
      <c r="AQ21" s="2046"/>
      <c r="AR21" s="2046"/>
      <c r="AS21" s="2046"/>
      <c r="AT21" s="2046"/>
      <c r="AU21" s="2046"/>
      <c r="AV21" s="2046"/>
      <c r="AW21" s="2046"/>
      <c r="AX21" s="2046"/>
      <c r="AY21" s="2046"/>
      <c r="AZ21" s="2046"/>
      <c r="BA21" s="2046"/>
      <c r="BB21" s="2046"/>
      <c r="BC21" s="2046"/>
      <c r="BD21" s="2046"/>
      <c r="BE21" s="2046"/>
      <c r="BF21" s="2046"/>
      <c r="BG21" s="2046"/>
      <c r="BH21" s="2046"/>
      <c r="BI21" s="2046"/>
      <c r="BJ21" s="2046"/>
      <c r="BK21" s="2046"/>
      <c r="BL21" s="2046"/>
      <c r="BM21" s="2047"/>
      <c r="BN21" s="2047"/>
      <c r="BO21" s="2047"/>
      <c r="BP21" s="2047"/>
      <c r="BQ21" s="2047"/>
      <c r="BR21" s="2047"/>
      <c r="BS21" s="2047"/>
      <c r="BT21" s="2047"/>
      <c r="BU21" s="2047"/>
      <c r="BV21" s="2047"/>
      <c r="BW21" s="2047"/>
      <c r="BX21" s="2047"/>
      <c r="BY21" s="2047"/>
      <c r="BZ21" s="2047"/>
      <c r="CA21" s="2047"/>
      <c r="CB21" s="2047"/>
    </row>
    <row r="22" spans="1:80">
      <c r="A22" s="2047"/>
      <c r="C22" s="2046"/>
      <c r="D22" s="2046"/>
      <c r="E22" s="2046"/>
      <c r="F22" s="2046"/>
      <c r="G22" s="2046"/>
      <c r="H22" s="2046"/>
      <c r="I22" s="2046"/>
      <c r="J22" s="2046"/>
      <c r="K22" s="2046"/>
      <c r="L22" s="2046"/>
      <c r="M22" s="2046"/>
      <c r="N22" s="2046"/>
      <c r="O22" s="2046"/>
      <c r="P22" s="2046"/>
      <c r="Q22" s="2046"/>
      <c r="R22" s="2046"/>
      <c r="S22" s="2046"/>
      <c r="T22" s="2046"/>
      <c r="U22" s="2046"/>
      <c r="V22" s="2046"/>
      <c r="W22" s="2046"/>
      <c r="X22" s="2046"/>
      <c r="Y22" s="2046"/>
      <c r="Z22" s="2046"/>
      <c r="AA22" s="2046"/>
      <c r="AB22" s="2046"/>
      <c r="AC22" s="2046"/>
      <c r="AD22" s="2046"/>
      <c r="AE22" s="2046"/>
      <c r="AF22" s="2046"/>
      <c r="AG22" s="2046"/>
      <c r="AH22" s="2046"/>
      <c r="AI22" s="2046"/>
      <c r="AJ22" s="2046"/>
      <c r="AK22" s="2046"/>
      <c r="AL22" s="2046"/>
      <c r="AM22" s="2046"/>
      <c r="AN22" s="2046"/>
      <c r="AO22" s="2046"/>
      <c r="AP22" s="2046"/>
      <c r="AQ22" s="2046"/>
      <c r="AR22" s="2046"/>
      <c r="AS22" s="2046"/>
      <c r="AT22" s="2046"/>
      <c r="AU22" s="2046"/>
      <c r="AV22" s="2046"/>
      <c r="AW22" s="2046"/>
      <c r="AX22" s="2046"/>
      <c r="AY22" s="2046"/>
      <c r="AZ22" s="2046"/>
      <c r="BA22" s="2046"/>
      <c r="BB22" s="2046"/>
      <c r="BC22" s="2046"/>
      <c r="BD22" s="2046"/>
      <c r="BE22" s="2046"/>
      <c r="BF22" s="2046"/>
      <c r="BG22" s="2046"/>
      <c r="BH22" s="2046"/>
      <c r="BI22" s="2046"/>
      <c r="BJ22" s="2046"/>
      <c r="BK22" s="2046"/>
      <c r="BL22" s="2046"/>
      <c r="BM22" s="2047"/>
      <c r="BN22" s="2047"/>
      <c r="BO22" s="2047"/>
      <c r="BP22" s="2047"/>
      <c r="BQ22" s="2047"/>
      <c r="BR22" s="2047"/>
      <c r="BS22" s="2047"/>
      <c r="BT22" s="2047"/>
      <c r="BU22" s="2047"/>
      <c r="BV22" s="2047"/>
      <c r="BW22" s="2047"/>
      <c r="BX22" s="2047"/>
      <c r="BY22" s="2047"/>
      <c r="BZ22" s="2047"/>
      <c r="CA22" s="2047"/>
      <c r="CB22" s="2047"/>
    </row>
    <row r="23" spans="1:80">
      <c r="A23" s="2047"/>
      <c r="C23" s="2046"/>
      <c r="D23" s="2046"/>
      <c r="E23" s="2046"/>
      <c r="F23" s="2046"/>
      <c r="G23" s="2046"/>
      <c r="H23" s="2046"/>
      <c r="I23" s="2046"/>
      <c r="J23" s="2046"/>
      <c r="K23" s="2046"/>
      <c r="L23" s="2046"/>
      <c r="M23" s="2046"/>
      <c r="N23" s="2046"/>
      <c r="O23" s="2046"/>
      <c r="P23" s="2046"/>
      <c r="Q23" s="2046"/>
      <c r="R23" s="2046"/>
      <c r="S23" s="2046"/>
      <c r="T23" s="2046"/>
      <c r="U23" s="2046"/>
      <c r="V23" s="2046"/>
      <c r="W23" s="2046"/>
      <c r="X23" s="2046"/>
      <c r="Y23" s="2046"/>
      <c r="Z23" s="2046"/>
      <c r="AA23" s="2046"/>
      <c r="AB23" s="2046"/>
      <c r="AC23" s="2046"/>
      <c r="AD23" s="2046"/>
      <c r="AE23" s="2046"/>
      <c r="AF23" s="2046"/>
      <c r="AG23" s="2046"/>
      <c r="AH23" s="2046"/>
      <c r="AI23" s="2046"/>
      <c r="AJ23" s="2046"/>
      <c r="AK23" s="2046"/>
      <c r="AL23" s="2046"/>
      <c r="AM23" s="2046"/>
      <c r="AN23" s="2046"/>
      <c r="AO23" s="2046"/>
      <c r="AP23" s="2046"/>
      <c r="AQ23" s="2046"/>
      <c r="AR23" s="2046"/>
      <c r="AS23" s="2046"/>
      <c r="AT23" s="2046"/>
      <c r="AU23" s="2046"/>
      <c r="AV23" s="2046"/>
      <c r="AW23" s="2046"/>
      <c r="AX23" s="2046"/>
      <c r="AY23" s="2046"/>
      <c r="AZ23" s="2046"/>
      <c r="BA23" s="2046"/>
      <c r="BB23" s="2046"/>
      <c r="BC23" s="2046"/>
      <c r="BD23" s="2046"/>
      <c r="BE23" s="2046"/>
      <c r="BF23" s="2046"/>
      <c r="BG23" s="2046"/>
      <c r="BH23" s="2046"/>
      <c r="BI23" s="2046"/>
      <c r="BJ23" s="2046"/>
      <c r="BK23" s="2046"/>
      <c r="BL23" s="2046"/>
      <c r="BM23" s="2047"/>
      <c r="BN23" s="2047"/>
      <c r="BO23" s="2047"/>
      <c r="BP23" s="2047"/>
      <c r="BQ23" s="2047"/>
      <c r="BR23" s="2047"/>
      <c r="BS23" s="2047"/>
      <c r="BT23" s="2047"/>
      <c r="BU23" s="2047"/>
      <c r="BV23" s="2047"/>
      <c r="BW23" s="2047"/>
      <c r="BX23" s="2047"/>
      <c r="BY23" s="2047"/>
      <c r="BZ23" s="2047"/>
      <c r="CA23" s="2047"/>
      <c r="CB23" s="2047"/>
    </row>
    <row r="24" spans="1:80">
      <c r="A24" s="2047"/>
      <c r="C24" s="2046"/>
      <c r="D24" s="2046"/>
      <c r="E24" s="2046"/>
      <c r="F24" s="2046"/>
      <c r="G24" s="2046"/>
      <c r="H24" s="2046"/>
      <c r="I24" s="2046"/>
      <c r="J24" s="2046"/>
      <c r="K24" s="2046"/>
      <c r="L24" s="2046"/>
      <c r="M24" s="2046"/>
      <c r="N24" s="2046"/>
      <c r="O24" s="2046"/>
      <c r="P24" s="2046"/>
      <c r="Q24" s="2046"/>
      <c r="R24" s="2046"/>
      <c r="S24" s="2046"/>
      <c r="T24" s="2046"/>
      <c r="U24" s="2046"/>
      <c r="V24" s="2046"/>
      <c r="W24" s="2046"/>
      <c r="X24" s="2046"/>
      <c r="Y24" s="2046"/>
      <c r="Z24" s="2046"/>
      <c r="AA24" s="2046"/>
      <c r="AB24" s="2046"/>
      <c r="AC24" s="2046"/>
      <c r="AD24" s="2046"/>
      <c r="AE24" s="2046"/>
      <c r="AF24" s="2046"/>
      <c r="AG24" s="2046"/>
      <c r="AH24" s="2046"/>
      <c r="AI24" s="2046"/>
      <c r="AJ24" s="2046"/>
      <c r="AK24" s="2046"/>
      <c r="AL24" s="2046"/>
      <c r="AM24" s="2046"/>
      <c r="AN24" s="2046"/>
      <c r="AO24" s="2046"/>
      <c r="AP24" s="2046"/>
      <c r="AQ24" s="2046"/>
      <c r="AR24" s="2046"/>
      <c r="AS24" s="2046"/>
      <c r="AT24" s="2046"/>
      <c r="AU24" s="2046"/>
      <c r="AV24" s="2046"/>
      <c r="AW24" s="2046"/>
      <c r="AX24" s="2046"/>
      <c r="AY24" s="2046"/>
      <c r="AZ24" s="2046"/>
      <c r="BA24" s="2046"/>
      <c r="BB24" s="2046"/>
      <c r="BC24" s="2046"/>
      <c r="BD24" s="2046"/>
      <c r="BE24" s="2046"/>
      <c r="BF24" s="2046"/>
      <c r="BG24" s="2046"/>
      <c r="BH24" s="2046"/>
      <c r="BI24" s="2046"/>
      <c r="BJ24" s="2046"/>
      <c r="BK24" s="2046"/>
      <c r="BL24" s="2046"/>
      <c r="BM24" s="2047"/>
      <c r="BN24" s="2047"/>
      <c r="BO24" s="2047"/>
      <c r="BP24" s="2047"/>
      <c r="BQ24" s="2047"/>
      <c r="BR24" s="2047"/>
      <c r="BS24" s="2047"/>
      <c r="BT24" s="2047"/>
      <c r="BU24" s="2047"/>
      <c r="BV24" s="2047"/>
      <c r="BW24" s="2047"/>
      <c r="BX24" s="2047"/>
      <c r="BY24" s="2047"/>
      <c r="BZ24" s="2047"/>
      <c r="CA24" s="2047"/>
      <c r="CB24" s="2047"/>
    </row>
    <row r="25" spans="1:80">
      <c r="A25" s="2047"/>
      <c r="C25" s="2046"/>
      <c r="D25" s="2046"/>
      <c r="E25" s="2046"/>
      <c r="F25" s="2046"/>
      <c r="G25" s="2046"/>
      <c r="H25" s="2046"/>
      <c r="I25" s="2046"/>
      <c r="J25" s="2046"/>
      <c r="K25" s="2046"/>
      <c r="L25" s="2046"/>
      <c r="M25" s="2046"/>
      <c r="N25" s="2046"/>
      <c r="O25" s="2046"/>
      <c r="P25" s="2046"/>
      <c r="Q25" s="2046"/>
      <c r="R25" s="2046"/>
      <c r="S25" s="2046"/>
      <c r="T25" s="2046"/>
      <c r="U25" s="2046"/>
      <c r="V25" s="2046"/>
      <c r="W25" s="2046"/>
      <c r="X25" s="2046"/>
      <c r="Y25" s="2046"/>
      <c r="Z25" s="2046"/>
      <c r="AA25" s="2046"/>
      <c r="AB25" s="2046"/>
      <c r="AC25" s="2046"/>
      <c r="AD25" s="2046"/>
      <c r="AE25" s="2046"/>
      <c r="AF25" s="2046"/>
      <c r="AG25" s="2046"/>
      <c r="AH25" s="2046"/>
      <c r="AI25" s="2046"/>
      <c r="AJ25" s="2046"/>
      <c r="AK25" s="2046"/>
      <c r="AL25" s="2046"/>
      <c r="AM25" s="2046"/>
      <c r="AN25" s="2046"/>
      <c r="AO25" s="2046"/>
      <c r="AP25" s="2046"/>
      <c r="AQ25" s="2046"/>
      <c r="AR25" s="2046"/>
      <c r="AS25" s="2046"/>
      <c r="AT25" s="2046"/>
      <c r="AU25" s="2046"/>
      <c r="AV25" s="2046"/>
      <c r="AW25" s="2046"/>
      <c r="AX25" s="2046"/>
      <c r="AY25" s="2046"/>
      <c r="AZ25" s="2046"/>
      <c r="BA25" s="2046"/>
      <c r="BB25" s="2046"/>
      <c r="BC25" s="2046"/>
      <c r="BD25" s="2046"/>
      <c r="BE25" s="2046"/>
      <c r="BF25" s="2046"/>
      <c r="BG25" s="2046"/>
      <c r="BH25" s="2046"/>
      <c r="BI25" s="2046"/>
      <c r="BJ25" s="2046"/>
      <c r="BK25" s="2046"/>
      <c r="BL25" s="2046"/>
      <c r="BM25" s="2047"/>
      <c r="BN25" s="2047"/>
      <c r="BO25" s="2047"/>
      <c r="BP25" s="2047"/>
      <c r="BQ25" s="2047"/>
      <c r="BR25" s="2047"/>
      <c r="BS25" s="2047"/>
      <c r="BT25" s="2047"/>
      <c r="BU25" s="2047"/>
      <c r="BV25" s="2047"/>
      <c r="BW25" s="2047"/>
      <c r="BX25" s="2047"/>
      <c r="BY25" s="2047"/>
      <c r="BZ25" s="2047"/>
      <c r="CA25" s="2047"/>
      <c r="CB25" s="2047"/>
    </row>
    <row r="26" spans="1:80">
      <c r="A26" s="2047"/>
      <c r="C26" s="2046"/>
      <c r="D26" s="2046"/>
      <c r="E26" s="2046"/>
      <c r="F26" s="2046"/>
      <c r="G26" s="2046"/>
      <c r="H26" s="2046"/>
      <c r="I26" s="2046"/>
      <c r="J26" s="2046"/>
      <c r="K26" s="2046"/>
      <c r="L26" s="2046"/>
      <c r="M26" s="2046"/>
      <c r="N26" s="2046"/>
      <c r="O26" s="2046"/>
      <c r="P26" s="2046"/>
      <c r="Q26" s="2046"/>
      <c r="R26" s="2046"/>
      <c r="S26" s="2046"/>
      <c r="T26" s="2046"/>
      <c r="U26" s="2046"/>
      <c r="V26" s="2046"/>
      <c r="W26" s="2046"/>
      <c r="X26" s="2046"/>
      <c r="Y26" s="2046"/>
      <c r="Z26" s="2046"/>
      <c r="AA26" s="2046"/>
      <c r="AB26" s="2046"/>
      <c r="AC26" s="2046"/>
      <c r="AD26" s="2046"/>
      <c r="AE26" s="2046"/>
      <c r="AF26" s="2046"/>
      <c r="AG26" s="2046"/>
      <c r="AH26" s="2046"/>
      <c r="AI26" s="2046"/>
      <c r="AJ26" s="2046"/>
      <c r="AK26" s="2046"/>
      <c r="AL26" s="2046"/>
      <c r="AM26" s="2046"/>
      <c r="AN26" s="2046"/>
      <c r="AO26" s="2046"/>
      <c r="AP26" s="2046"/>
      <c r="AQ26" s="2046"/>
      <c r="AR26" s="2046"/>
      <c r="AS26" s="2046"/>
      <c r="AT26" s="2046"/>
      <c r="AU26" s="2046"/>
      <c r="AV26" s="2046"/>
      <c r="AW26" s="2046"/>
      <c r="AX26" s="2046"/>
      <c r="AY26" s="2046"/>
      <c r="AZ26" s="2046"/>
      <c r="BA26" s="2046"/>
      <c r="BB26" s="2046"/>
      <c r="BC26" s="2046"/>
      <c r="BD26" s="2046"/>
      <c r="BE26" s="2046"/>
      <c r="BF26" s="2046"/>
      <c r="BG26" s="2046"/>
      <c r="BH26" s="2046"/>
      <c r="BI26" s="2046"/>
      <c r="BJ26" s="2046"/>
      <c r="BK26" s="2046"/>
      <c r="BL26" s="2046"/>
      <c r="BM26" s="2047"/>
      <c r="BN26" s="2047"/>
      <c r="BO26" s="2047"/>
      <c r="BP26" s="2047"/>
      <c r="BQ26" s="2047"/>
      <c r="BR26" s="2047"/>
      <c r="BS26" s="2047"/>
      <c r="BT26" s="2047"/>
      <c r="BU26" s="2047"/>
      <c r="BV26" s="2047"/>
      <c r="BW26" s="2047"/>
      <c r="BX26" s="2047"/>
      <c r="BY26" s="2047"/>
      <c r="BZ26" s="2047"/>
      <c r="CA26" s="2047"/>
      <c r="CB26" s="2047"/>
    </row>
    <row r="27" spans="1:80">
      <c r="A27" s="2047"/>
      <c r="C27" s="2046"/>
      <c r="D27" s="2046"/>
      <c r="E27" s="2046"/>
      <c r="F27" s="2046"/>
      <c r="G27" s="2046"/>
      <c r="H27" s="2046"/>
      <c r="I27" s="2046"/>
      <c r="J27" s="2046"/>
      <c r="K27" s="2046"/>
      <c r="L27" s="2046"/>
      <c r="M27" s="2046"/>
      <c r="N27" s="2046"/>
      <c r="O27" s="2046"/>
      <c r="P27" s="2046"/>
      <c r="Q27" s="2046"/>
      <c r="R27" s="2046"/>
      <c r="S27" s="2046"/>
      <c r="T27" s="2046"/>
      <c r="U27" s="2046"/>
      <c r="V27" s="2046"/>
      <c r="W27" s="2046"/>
      <c r="X27" s="2046"/>
      <c r="Y27" s="2046"/>
      <c r="Z27" s="2046"/>
      <c r="AA27" s="2046"/>
      <c r="AB27" s="2046"/>
      <c r="AC27" s="2046"/>
      <c r="AD27" s="2046"/>
      <c r="AE27" s="2046"/>
      <c r="AF27" s="2046"/>
      <c r="AG27" s="2046"/>
      <c r="AH27" s="2046"/>
      <c r="AI27" s="2046"/>
      <c r="AJ27" s="2046"/>
      <c r="AK27" s="2046"/>
      <c r="AL27" s="2046"/>
      <c r="AM27" s="2046"/>
      <c r="AN27" s="2046"/>
      <c r="AO27" s="2046"/>
      <c r="AP27" s="2046"/>
      <c r="AQ27" s="2046"/>
      <c r="AR27" s="2046"/>
      <c r="AS27" s="2046"/>
      <c r="AT27" s="2046"/>
      <c r="AU27" s="2046"/>
      <c r="AV27" s="2046"/>
      <c r="AW27" s="2046"/>
      <c r="AX27" s="2046"/>
      <c r="AY27" s="2046"/>
      <c r="AZ27" s="2046"/>
      <c r="BA27" s="2046"/>
      <c r="BB27" s="2046"/>
      <c r="BC27" s="2046"/>
      <c r="BD27" s="2046"/>
      <c r="BE27" s="2046"/>
      <c r="BF27" s="2046"/>
      <c r="BG27" s="2046"/>
      <c r="BH27" s="2046"/>
      <c r="BI27" s="2046"/>
      <c r="BJ27" s="2046"/>
      <c r="BK27" s="2046"/>
      <c r="BL27" s="2046"/>
      <c r="BM27" s="2047"/>
      <c r="BN27" s="2047"/>
      <c r="BO27" s="2047"/>
      <c r="BP27" s="2047"/>
      <c r="BQ27" s="2047"/>
      <c r="BR27" s="2047"/>
      <c r="BS27" s="2047"/>
      <c r="BT27" s="2047"/>
      <c r="BU27" s="2047"/>
      <c r="BV27" s="2047"/>
      <c r="BW27" s="2047"/>
      <c r="BX27" s="2047"/>
      <c r="BY27" s="2047"/>
      <c r="BZ27" s="2047"/>
      <c r="CA27" s="2047"/>
      <c r="CB27" s="2047"/>
    </row>
    <row r="28" spans="1:80">
      <c r="A28" s="2047"/>
      <c r="C28" s="2046"/>
      <c r="D28" s="2046"/>
      <c r="E28" s="2046"/>
      <c r="F28" s="2046"/>
      <c r="G28" s="2046"/>
      <c r="H28" s="2046"/>
      <c r="I28" s="2046"/>
      <c r="J28" s="2046"/>
      <c r="K28" s="2046"/>
      <c r="L28" s="2046"/>
      <c r="M28" s="2046"/>
      <c r="N28" s="2046"/>
      <c r="O28" s="2046"/>
      <c r="P28" s="2046"/>
      <c r="Q28" s="2046"/>
      <c r="R28" s="2046"/>
      <c r="S28" s="2046"/>
      <c r="T28" s="2046"/>
      <c r="U28" s="2046"/>
      <c r="V28" s="2046"/>
      <c r="W28" s="2046"/>
      <c r="X28" s="2046"/>
      <c r="Y28" s="2046"/>
      <c r="Z28" s="2046"/>
      <c r="AA28" s="2046"/>
      <c r="AB28" s="2046"/>
      <c r="AC28" s="2046"/>
      <c r="AD28" s="2046"/>
      <c r="AE28" s="2046"/>
      <c r="AF28" s="2046"/>
      <c r="AG28" s="2046"/>
      <c r="AH28" s="2046"/>
      <c r="AI28" s="2046"/>
      <c r="AJ28" s="2046"/>
      <c r="AK28" s="2046"/>
      <c r="AL28" s="2046"/>
      <c r="AM28" s="2046"/>
      <c r="AN28" s="2046"/>
      <c r="AO28" s="2046"/>
      <c r="AP28" s="2046"/>
      <c r="AQ28" s="2046"/>
      <c r="AR28" s="2046"/>
      <c r="AS28" s="2046"/>
      <c r="AT28" s="2046"/>
      <c r="AU28" s="2046"/>
      <c r="AV28" s="2046"/>
      <c r="AW28" s="2046"/>
      <c r="AX28" s="2046"/>
      <c r="AY28" s="2046"/>
      <c r="AZ28" s="2046"/>
      <c r="BA28" s="2046"/>
      <c r="BB28" s="2046"/>
      <c r="BC28" s="2046"/>
      <c r="BD28" s="2046"/>
      <c r="BE28" s="2046"/>
      <c r="BF28" s="2046"/>
      <c r="BG28" s="2046"/>
      <c r="BH28" s="2046"/>
      <c r="BI28" s="2046"/>
      <c r="BJ28" s="2046"/>
      <c r="BK28" s="2046"/>
      <c r="BL28" s="2046"/>
      <c r="BM28" s="2047"/>
      <c r="BN28" s="2047"/>
      <c r="BO28" s="2047"/>
      <c r="BP28" s="2047"/>
      <c r="BQ28" s="2047"/>
      <c r="BR28" s="2047"/>
      <c r="BS28" s="2047"/>
      <c r="BT28" s="2047"/>
      <c r="BU28" s="2047"/>
      <c r="BV28" s="2047"/>
      <c r="BW28" s="2047"/>
      <c r="BX28" s="2047"/>
      <c r="BY28" s="2047"/>
      <c r="BZ28" s="2047"/>
      <c r="CA28" s="2047"/>
      <c r="CB28" s="2047"/>
    </row>
    <row r="29" spans="1:80">
      <c r="A29" s="2047"/>
      <c r="C29" s="2046"/>
      <c r="D29" s="2046"/>
      <c r="E29" s="2046"/>
      <c r="F29" s="2046"/>
      <c r="G29" s="2046"/>
      <c r="H29" s="2046"/>
      <c r="I29" s="2046"/>
      <c r="J29" s="2046"/>
      <c r="K29" s="2046"/>
      <c r="L29" s="2046"/>
      <c r="M29" s="2046"/>
      <c r="N29" s="2046"/>
      <c r="O29" s="2046"/>
      <c r="P29" s="2046"/>
      <c r="Q29" s="2046"/>
      <c r="R29" s="2046"/>
      <c r="S29" s="2046"/>
      <c r="T29" s="2046"/>
      <c r="U29" s="2046"/>
      <c r="V29" s="2046"/>
      <c r="W29" s="2046"/>
      <c r="X29" s="2046"/>
      <c r="Y29" s="2046"/>
      <c r="Z29" s="2046"/>
      <c r="AA29" s="2046"/>
      <c r="AB29" s="2046"/>
      <c r="AC29" s="2046"/>
      <c r="AD29" s="2046"/>
      <c r="AE29" s="2046"/>
      <c r="AF29" s="2046"/>
      <c r="AG29" s="2046"/>
      <c r="AH29" s="2046"/>
      <c r="AI29" s="2046"/>
      <c r="AJ29" s="2046"/>
      <c r="AK29" s="2046"/>
      <c r="AL29" s="2046"/>
      <c r="AM29" s="2046"/>
      <c r="AN29" s="2046"/>
      <c r="AO29" s="2046"/>
      <c r="AP29" s="2046"/>
      <c r="AQ29" s="2046"/>
      <c r="AR29" s="2046"/>
      <c r="AS29" s="2046"/>
      <c r="AT29" s="2046"/>
      <c r="AU29" s="2046"/>
      <c r="AV29" s="2046"/>
      <c r="AW29" s="2046"/>
      <c r="AX29" s="2046"/>
      <c r="AY29" s="2046"/>
      <c r="AZ29" s="2046"/>
      <c r="BA29" s="2046"/>
      <c r="BB29" s="2046"/>
      <c r="BC29" s="2046"/>
      <c r="BD29" s="2046"/>
      <c r="BE29" s="2046"/>
      <c r="BF29" s="2046"/>
      <c r="BG29" s="2046"/>
      <c r="BH29" s="2046"/>
      <c r="BI29" s="2046"/>
      <c r="BJ29" s="2046"/>
      <c r="BK29" s="2046"/>
      <c r="BL29" s="2046"/>
      <c r="BM29" s="2047"/>
      <c r="BN29" s="2047"/>
      <c r="BO29" s="2047"/>
      <c r="BP29" s="2047"/>
      <c r="BQ29" s="2047"/>
      <c r="BR29" s="2047"/>
      <c r="BS29" s="2047"/>
      <c r="BT29" s="2047"/>
      <c r="BU29" s="2047"/>
      <c r="BV29" s="2047"/>
      <c r="BW29" s="2047"/>
      <c r="BX29" s="2047"/>
      <c r="BY29" s="2047"/>
      <c r="BZ29" s="2047"/>
      <c r="CA29" s="2047"/>
      <c r="CB29" s="2047"/>
    </row>
    <row r="30" spans="1:80">
      <c r="A30" s="2047"/>
      <c r="C30" s="2046"/>
      <c r="D30" s="2046"/>
      <c r="E30" s="2046"/>
      <c r="F30" s="2046"/>
      <c r="G30" s="2046"/>
      <c r="H30" s="2046"/>
      <c r="I30" s="2046"/>
      <c r="J30" s="2046"/>
      <c r="K30" s="2046"/>
      <c r="L30" s="2046"/>
      <c r="M30" s="2046"/>
      <c r="N30" s="2046"/>
      <c r="O30" s="2046"/>
      <c r="P30" s="2046"/>
      <c r="Q30" s="2046"/>
      <c r="R30" s="2046"/>
      <c r="S30" s="2046"/>
      <c r="T30" s="2046"/>
      <c r="U30" s="2046"/>
      <c r="V30" s="2046"/>
      <c r="W30" s="2046"/>
      <c r="X30" s="2046"/>
      <c r="Y30" s="2046"/>
      <c r="Z30" s="2046"/>
      <c r="AA30" s="2046"/>
      <c r="AB30" s="2046"/>
      <c r="AC30" s="2046"/>
      <c r="AD30" s="2046"/>
      <c r="AE30" s="2046"/>
      <c r="AF30" s="2046"/>
      <c r="AG30" s="2046"/>
      <c r="AH30" s="2046"/>
      <c r="AI30" s="2046"/>
      <c r="AJ30" s="2046"/>
      <c r="AK30" s="2046"/>
      <c r="AL30" s="2046"/>
      <c r="AM30" s="2046"/>
      <c r="AN30" s="2046"/>
      <c r="AO30" s="2046"/>
      <c r="AP30" s="2046"/>
      <c r="AQ30" s="2046"/>
      <c r="AR30" s="2046"/>
      <c r="AS30" s="2046"/>
      <c r="AT30" s="2046"/>
      <c r="AU30" s="2046"/>
      <c r="AV30" s="2046"/>
      <c r="AW30" s="2046"/>
      <c r="AX30" s="2046"/>
      <c r="AY30" s="2046"/>
      <c r="AZ30" s="2046"/>
      <c r="BA30" s="2046"/>
      <c r="BB30" s="2046"/>
      <c r="BC30" s="2046"/>
      <c r="BD30" s="2046"/>
      <c r="BE30" s="2046"/>
      <c r="BF30" s="2046"/>
      <c r="BG30" s="2046"/>
      <c r="BH30" s="2046"/>
      <c r="BI30" s="2046"/>
      <c r="BJ30" s="2046"/>
      <c r="BK30" s="2046"/>
      <c r="BL30" s="2046"/>
      <c r="BM30" s="2047"/>
      <c r="BN30" s="2047"/>
      <c r="BO30" s="2047"/>
      <c r="BP30" s="2047"/>
      <c r="BQ30" s="2047"/>
      <c r="BR30" s="2047"/>
      <c r="BS30" s="2047"/>
      <c r="BT30" s="2047"/>
      <c r="BU30" s="2047"/>
      <c r="BV30" s="2047"/>
      <c r="BW30" s="2047"/>
      <c r="BX30" s="2047"/>
      <c r="BY30" s="2047"/>
      <c r="BZ30" s="2047"/>
      <c r="CA30" s="2047"/>
      <c r="CB30" s="2047"/>
    </row>
    <row r="31" spans="1:80">
      <c r="A31" s="2047"/>
      <c r="C31" s="2046"/>
      <c r="D31" s="2046"/>
      <c r="E31" s="2046"/>
      <c r="F31" s="2046"/>
      <c r="G31" s="2046"/>
      <c r="H31" s="2046"/>
      <c r="I31" s="2046"/>
      <c r="J31" s="2046"/>
      <c r="K31" s="2046"/>
      <c r="L31" s="2046"/>
      <c r="M31" s="2046"/>
      <c r="N31" s="2046"/>
      <c r="O31" s="2046"/>
      <c r="P31" s="2046"/>
      <c r="Q31" s="2046"/>
      <c r="R31" s="2046"/>
      <c r="S31" s="2046"/>
      <c r="T31" s="2046"/>
      <c r="U31" s="2046"/>
      <c r="V31" s="2046"/>
      <c r="W31" s="2046"/>
      <c r="X31" s="2046"/>
      <c r="Y31" s="2046"/>
      <c r="Z31" s="2046"/>
      <c r="AA31" s="2046"/>
      <c r="AB31" s="2046"/>
      <c r="AC31" s="2046"/>
      <c r="AD31" s="2046"/>
      <c r="AE31" s="2046"/>
      <c r="AF31" s="2046"/>
      <c r="AG31" s="2046"/>
      <c r="AH31" s="2046"/>
      <c r="AI31" s="2046"/>
      <c r="AJ31" s="2046"/>
      <c r="AK31" s="2046"/>
      <c r="AL31" s="2046"/>
      <c r="AM31" s="2046"/>
      <c r="AN31" s="2046"/>
      <c r="AO31" s="2046"/>
      <c r="AP31" s="2046"/>
      <c r="AQ31" s="2046"/>
      <c r="AR31" s="2046"/>
      <c r="AS31" s="2046"/>
      <c r="AT31" s="2046"/>
      <c r="AU31" s="2046"/>
      <c r="AV31" s="2046"/>
      <c r="AW31" s="2046"/>
      <c r="AX31" s="2046"/>
      <c r="AY31" s="2046"/>
      <c r="AZ31" s="2046"/>
      <c r="BA31" s="2046"/>
      <c r="BB31" s="2046"/>
      <c r="BC31" s="2046"/>
      <c r="BD31" s="2046"/>
      <c r="BE31" s="2046"/>
      <c r="BF31" s="2046"/>
      <c r="BG31" s="2046"/>
      <c r="BH31" s="2046"/>
      <c r="BI31" s="2046"/>
      <c r="BJ31" s="2046"/>
      <c r="BK31" s="2046"/>
      <c r="BL31" s="2046"/>
      <c r="BM31" s="2047"/>
      <c r="BN31" s="2047"/>
      <c r="BO31" s="2047"/>
      <c r="BP31" s="2047"/>
      <c r="BQ31" s="2047"/>
      <c r="BR31" s="2047"/>
      <c r="BS31" s="2047"/>
      <c r="BT31" s="2047"/>
      <c r="BU31" s="2047"/>
      <c r="BV31" s="2047"/>
      <c r="BW31" s="2047"/>
      <c r="BX31" s="2047"/>
      <c r="BY31" s="2047"/>
      <c r="BZ31" s="2047"/>
      <c r="CA31" s="2047"/>
      <c r="CB31" s="2047"/>
    </row>
    <row r="32" spans="1:80">
      <c r="A32" s="2047"/>
      <c r="C32" s="2046"/>
      <c r="D32" s="2046"/>
      <c r="E32" s="2046"/>
      <c r="F32" s="2046"/>
      <c r="G32" s="2046"/>
      <c r="H32" s="2046"/>
      <c r="I32" s="2046"/>
      <c r="J32" s="2046"/>
      <c r="K32" s="2046"/>
      <c r="L32" s="2046"/>
      <c r="M32" s="2046"/>
      <c r="N32" s="2046"/>
      <c r="O32" s="2046"/>
      <c r="P32" s="2046"/>
      <c r="Q32" s="2046"/>
      <c r="R32" s="2046"/>
      <c r="S32" s="2046"/>
      <c r="T32" s="2046"/>
      <c r="U32" s="2046"/>
      <c r="V32" s="2046"/>
      <c r="W32" s="2046"/>
      <c r="X32" s="2046"/>
      <c r="Y32" s="2046"/>
      <c r="Z32" s="2046"/>
      <c r="AA32" s="2046"/>
      <c r="AB32" s="2046"/>
      <c r="AC32" s="2046"/>
      <c r="AD32" s="2046"/>
      <c r="AE32" s="2046"/>
      <c r="AF32" s="2046"/>
      <c r="AG32" s="2046"/>
      <c r="AH32" s="2046"/>
      <c r="AI32" s="2046"/>
      <c r="AJ32" s="2046"/>
      <c r="AK32" s="2046"/>
      <c r="AL32" s="2046"/>
      <c r="AM32" s="2046"/>
      <c r="AN32" s="2046"/>
      <c r="AO32" s="2046"/>
      <c r="AP32" s="2046"/>
      <c r="AQ32" s="2046"/>
      <c r="AR32" s="2046"/>
      <c r="AS32" s="2046"/>
      <c r="AT32" s="2046"/>
      <c r="AU32" s="2046"/>
      <c r="AV32" s="2046"/>
      <c r="AW32" s="2046"/>
      <c r="AX32" s="2046"/>
      <c r="AY32" s="2046"/>
      <c r="AZ32" s="2046"/>
      <c r="BA32" s="2046"/>
      <c r="BB32" s="2046"/>
      <c r="BC32" s="2046"/>
      <c r="BD32" s="2046"/>
      <c r="BE32" s="2046"/>
      <c r="BF32" s="2046"/>
      <c r="BG32" s="2046"/>
      <c r="BH32" s="2046"/>
      <c r="BI32" s="2046"/>
      <c r="BJ32" s="2046"/>
      <c r="BK32" s="2046"/>
      <c r="BL32" s="2046"/>
      <c r="BM32" s="2047"/>
      <c r="BN32" s="2047"/>
      <c r="BO32" s="2047"/>
      <c r="BP32" s="2047"/>
      <c r="BQ32" s="2047"/>
      <c r="BR32" s="2047"/>
      <c r="BS32" s="2047"/>
      <c r="BT32" s="2047"/>
      <c r="BU32" s="2047"/>
      <c r="BV32" s="2047"/>
      <c r="BW32" s="2047"/>
      <c r="BX32" s="2047"/>
      <c r="BY32" s="2047"/>
      <c r="BZ32" s="2047"/>
      <c r="CA32" s="2047"/>
      <c r="CB32" s="2047"/>
    </row>
    <row r="33" spans="1:80">
      <c r="A33" s="2047"/>
      <c r="C33" s="2046"/>
      <c r="D33" s="2046"/>
      <c r="E33" s="2046"/>
      <c r="F33" s="2046"/>
      <c r="G33" s="2046"/>
      <c r="H33" s="2046"/>
      <c r="I33" s="2046"/>
      <c r="J33" s="2046"/>
      <c r="K33" s="2046"/>
      <c r="L33" s="2046"/>
      <c r="M33" s="2046"/>
      <c r="N33" s="2046"/>
      <c r="O33" s="2046"/>
      <c r="P33" s="2046"/>
      <c r="Q33" s="2046"/>
      <c r="R33" s="2046"/>
      <c r="S33" s="2046"/>
      <c r="T33" s="2046"/>
      <c r="U33" s="2046"/>
      <c r="V33" s="2046"/>
      <c r="W33" s="2046"/>
      <c r="X33" s="2046"/>
      <c r="Y33" s="2046"/>
      <c r="Z33" s="2046"/>
      <c r="AA33" s="2046"/>
      <c r="AB33" s="2046"/>
      <c r="AC33" s="2046"/>
      <c r="AD33" s="2046"/>
      <c r="AE33" s="2046"/>
      <c r="AF33" s="2046"/>
      <c r="AG33" s="2046"/>
      <c r="AH33" s="2046"/>
      <c r="AI33" s="2046"/>
      <c r="AJ33" s="2046"/>
      <c r="AK33" s="2046"/>
      <c r="AL33" s="2046"/>
      <c r="AM33" s="2046"/>
      <c r="AN33" s="2046"/>
      <c r="AO33" s="2046"/>
      <c r="AP33" s="2046"/>
      <c r="AQ33" s="2046"/>
      <c r="AR33" s="2046"/>
      <c r="AS33" s="2046"/>
      <c r="AT33" s="2046"/>
      <c r="AU33" s="2046"/>
      <c r="AV33" s="2046"/>
      <c r="AW33" s="2046"/>
      <c r="AX33" s="2046"/>
      <c r="AY33" s="2046"/>
      <c r="AZ33" s="2046"/>
      <c r="BA33" s="2046"/>
      <c r="BB33" s="2046"/>
      <c r="BC33" s="2046"/>
      <c r="BD33" s="2046"/>
      <c r="BE33" s="2046"/>
      <c r="BF33" s="2046"/>
      <c r="BG33" s="2046"/>
      <c r="BH33" s="2046"/>
      <c r="BI33" s="2046"/>
      <c r="BJ33" s="2046"/>
      <c r="BK33" s="2046"/>
      <c r="BL33" s="2046"/>
      <c r="BM33" s="2047"/>
      <c r="BN33" s="2047"/>
      <c r="BO33" s="2047"/>
      <c r="BP33" s="2047"/>
      <c r="BQ33" s="2047"/>
      <c r="BR33" s="2047"/>
      <c r="BS33" s="2047"/>
      <c r="BT33" s="2047"/>
      <c r="BU33" s="2047"/>
      <c r="BV33" s="2047"/>
      <c r="BW33" s="2047"/>
      <c r="BX33" s="2047"/>
      <c r="BY33" s="2047"/>
      <c r="BZ33" s="2047"/>
      <c r="CA33" s="2047"/>
      <c r="CB33" s="2047"/>
    </row>
    <row r="34" spans="1:80">
      <c r="A34" s="2047"/>
      <c r="C34" s="2046"/>
      <c r="D34" s="2046"/>
      <c r="E34" s="2046"/>
      <c r="F34" s="2046"/>
      <c r="G34" s="2046"/>
      <c r="H34" s="2046"/>
      <c r="I34" s="2046"/>
      <c r="J34" s="2046"/>
      <c r="K34" s="2046"/>
      <c r="L34" s="2046"/>
      <c r="M34" s="2046"/>
      <c r="N34" s="2046"/>
      <c r="O34" s="2046"/>
      <c r="P34" s="2046"/>
      <c r="Q34" s="2046"/>
      <c r="R34" s="2046"/>
      <c r="S34" s="2046"/>
      <c r="T34" s="2046"/>
      <c r="U34" s="2046"/>
      <c r="V34" s="2046"/>
      <c r="W34" s="2046"/>
      <c r="X34" s="2046"/>
      <c r="Y34" s="2046"/>
      <c r="Z34" s="2046"/>
      <c r="AA34" s="2046"/>
      <c r="AB34" s="2046"/>
      <c r="AC34" s="2046"/>
      <c r="AD34" s="2046"/>
      <c r="AE34" s="2046"/>
      <c r="AF34" s="2046"/>
      <c r="AG34" s="2046"/>
      <c r="AH34" s="2046"/>
      <c r="AI34" s="2046"/>
      <c r="AJ34" s="2046"/>
      <c r="AK34" s="2046"/>
      <c r="AL34" s="2046"/>
      <c r="AM34" s="2046"/>
      <c r="AN34" s="2046"/>
      <c r="AO34" s="2046"/>
      <c r="AP34" s="2046"/>
      <c r="AQ34" s="2046"/>
      <c r="AR34" s="2046"/>
      <c r="AS34" s="2046"/>
      <c r="AT34" s="2046"/>
      <c r="AU34" s="2046"/>
      <c r="AV34" s="2046"/>
      <c r="AW34" s="2046"/>
      <c r="AX34" s="2046"/>
      <c r="AY34" s="2046"/>
      <c r="AZ34" s="2046"/>
      <c r="BA34" s="2046"/>
      <c r="BB34" s="2046"/>
      <c r="BC34" s="2046"/>
      <c r="BD34" s="2046"/>
      <c r="BE34" s="2046"/>
      <c r="BF34" s="2046"/>
      <c r="BG34" s="2046"/>
      <c r="BH34" s="2046"/>
      <c r="BI34" s="2046"/>
      <c r="BJ34" s="2046"/>
      <c r="BK34" s="2046"/>
      <c r="BL34" s="2046"/>
      <c r="BM34" s="2047"/>
      <c r="BN34" s="2047"/>
      <c r="BO34" s="2047"/>
      <c r="BP34" s="2047"/>
      <c r="BQ34" s="2047"/>
      <c r="BR34" s="2047"/>
      <c r="BS34" s="2047"/>
      <c r="BT34" s="2047"/>
      <c r="BU34" s="2047"/>
      <c r="BV34" s="2047"/>
      <c r="BW34" s="2047"/>
      <c r="BX34" s="2047"/>
      <c r="BY34" s="2047"/>
      <c r="BZ34" s="2047"/>
      <c r="CA34" s="2047"/>
      <c r="CB34" s="2047"/>
    </row>
    <row r="35" spans="1:80">
      <c r="A35" s="2047"/>
      <c r="C35" s="2046"/>
      <c r="D35" s="2046"/>
      <c r="E35" s="2046"/>
      <c r="F35" s="2046"/>
      <c r="G35" s="2046"/>
      <c r="H35" s="2046"/>
      <c r="I35" s="2046"/>
      <c r="J35" s="2046"/>
      <c r="K35" s="2046"/>
      <c r="L35" s="2046"/>
      <c r="M35" s="2046"/>
      <c r="N35" s="2046"/>
      <c r="O35" s="2046"/>
      <c r="P35" s="2046"/>
      <c r="Q35" s="2046"/>
      <c r="R35" s="2046"/>
      <c r="S35" s="2046"/>
      <c r="T35" s="2046"/>
      <c r="U35" s="2046"/>
      <c r="V35" s="2046"/>
      <c r="W35" s="2046"/>
      <c r="X35" s="2046"/>
      <c r="Y35" s="2046"/>
      <c r="Z35" s="2046"/>
      <c r="AA35" s="2046"/>
      <c r="AB35" s="2046"/>
      <c r="AC35" s="2046"/>
      <c r="AD35" s="2046"/>
      <c r="AE35" s="2046"/>
      <c r="AF35" s="2046"/>
      <c r="AG35" s="2046"/>
      <c r="AH35" s="2046"/>
      <c r="AI35" s="2046"/>
      <c r="AJ35" s="2046"/>
      <c r="AK35" s="2046"/>
      <c r="AL35" s="2046"/>
      <c r="AM35" s="2046"/>
      <c r="AN35" s="2046"/>
      <c r="AO35" s="2046"/>
      <c r="AP35" s="2046"/>
      <c r="AQ35" s="2046"/>
      <c r="AR35" s="2046"/>
      <c r="AS35" s="2046"/>
      <c r="AT35" s="2046"/>
      <c r="AU35" s="2046"/>
      <c r="AV35" s="2046"/>
      <c r="AW35" s="2046"/>
      <c r="AX35" s="2046"/>
      <c r="AY35" s="2046"/>
      <c r="AZ35" s="2046"/>
      <c r="BA35" s="2046"/>
      <c r="BB35" s="2046"/>
      <c r="BC35" s="2046"/>
      <c r="BD35" s="2046"/>
      <c r="BE35" s="2046"/>
      <c r="BF35" s="2046"/>
      <c r="BG35" s="2046"/>
      <c r="BH35" s="2046"/>
      <c r="BI35" s="2046"/>
      <c r="BJ35" s="2046"/>
      <c r="BK35" s="2046"/>
      <c r="BL35" s="2046"/>
      <c r="BM35" s="2047"/>
      <c r="BN35" s="2047"/>
      <c r="BO35" s="2047"/>
      <c r="BP35" s="2047"/>
      <c r="BQ35" s="2047"/>
      <c r="BR35" s="2047"/>
      <c r="BS35" s="2047"/>
      <c r="BT35" s="2047"/>
      <c r="BU35" s="2047"/>
      <c r="BV35" s="2047"/>
      <c r="BW35" s="2047"/>
      <c r="BX35" s="2047"/>
      <c r="BY35" s="2047"/>
      <c r="BZ35" s="2047"/>
      <c r="CA35" s="2047"/>
      <c r="CB35" s="2047"/>
    </row>
    <row r="36" spans="1:80">
      <c r="A36" s="2047"/>
      <c r="C36" s="2046"/>
      <c r="D36" s="2046"/>
      <c r="E36" s="2046"/>
      <c r="F36" s="2046"/>
      <c r="G36" s="2046"/>
      <c r="H36" s="2046"/>
      <c r="I36" s="2046"/>
      <c r="J36" s="2046"/>
      <c r="K36" s="2046"/>
      <c r="L36" s="2046"/>
      <c r="M36" s="2046"/>
      <c r="N36" s="2046"/>
      <c r="O36" s="2046"/>
      <c r="P36" s="2046"/>
      <c r="Q36" s="2046"/>
      <c r="R36" s="2046"/>
      <c r="S36" s="2046"/>
      <c r="T36" s="2046"/>
      <c r="U36" s="2046"/>
      <c r="V36" s="2046"/>
      <c r="W36" s="2046"/>
      <c r="X36" s="2046"/>
      <c r="Y36" s="2046"/>
      <c r="Z36" s="2046"/>
      <c r="AA36" s="2046"/>
      <c r="AB36" s="2046"/>
      <c r="AC36" s="2046"/>
      <c r="AD36" s="2046"/>
      <c r="AE36" s="2046"/>
      <c r="AF36" s="2046"/>
      <c r="AG36" s="2046"/>
      <c r="AH36" s="2046"/>
      <c r="AI36" s="2046"/>
      <c r="AJ36" s="2046"/>
      <c r="AK36" s="2046"/>
      <c r="AL36" s="2046"/>
      <c r="AM36" s="2046"/>
      <c r="AN36" s="2046"/>
      <c r="AO36" s="2046"/>
      <c r="AP36" s="2046"/>
      <c r="AQ36" s="2046"/>
      <c r="AR36" s="2046"/>
      <c r="AS36" s="2046"/>
      <c r="AT36" s="2046"/>
      <c r="AU36" s="2046"/>
      <c r="AV36" s="2046"/>
      <c r="AW36" s="2046"/>
      <c r="AX36" s="2046"/>
      <c r="AY36" s="2046"/>
      <c r="AZ36" s="2046"/>
      <c r="BA36" s="2046"/>
      <c r="BB36" s="2046"/>
      <c r="BC36" s="2046"/>
      <c r="BD36" s="2046"/>
      <c r="BE36" s="2046"/>
      <c r="BF36" s="2046"/>
      <c r="BG36" s="2046"/>
      <c r="BH36" s="2046"/>
      <c r="BI36" s="2046"/>
      <c r="BJ36" s="2046"/>
      <c r="BK36" s="2046"/>
      <c r="BL36" s="2046"/>
      <c r="BM36" s="2047"/>
      <c r="BN36" s="2047"/>
      <c r="BO36" s="2047"/>
      <c r="BP36" s="2047"/>
      <c r="BQ36" s="2047"/>
      <c r="BR36" s="2047"/>
      <c r="BS36" s="2047"/>
      <c r="BT36" s="2047"/>
      <c r="BU36" s="2047"/>
      <c r="BV36" s="2047"/>
      <c r="BW36" s="2047"/>
      <c r="BX36" s="2047"/>
      <c r="BY36" s="2047"/>
      <c r="BZ36" s="2047"/>
      <c r="CA36" s="2047"/>
      <c r="CB36" s="2047"/>
    </row>
    <row r="37" spans="1:80">
      <c r="A37" s="2047"/>
      <c r="C37" s="2046"/>
      <c r="D37" s="2046"/>
      <c r="E37" s="2046"/>
      <c r="F37" s="2046"/>
      <c r="G37" s="2046"/>
      <c r="H37" s="2046"/>
      <c r="I37" s="2046"/>
      <c r="J37" s="2046"/>
      <c r="K37" s="2046"/>
      <c r="L37" s="2046"/>
      <c r="M37" s="2046"/>
      <c r="N37" s="2046"/>
      <c r="O37" s="2046"/>
      <c r="P37" s="2046"/>
      <c r="Q37" s="2046"/>
      <c r="R37" s="2046"/>
      <c r="S37" s="2046"/>
      <c r="T37" s="2046"/>
      <c r="U37" s="2046"/>
      <c r="V37" s="2046"/>
      <c r="W37" s="2046"/>
      <c r="X37" s="2046"/>
      <c r="Y37" s="2046"/>
      <c r="Z37" s="2046"/>
      <c r="AA37" s="2046"/>
      <c r="AB37" s="2046"/>
      <c r="AC37" s="2046"/>
      <c r="AD37" s="2046"/>
      <c r="AE37" s="2046"/>
      <c r="AF37" s="2046"/>
      <c r="AG37" s="2046"/>
      <c r="AH37" s="2046"/>
      <c r="AI37" s="2046"/>
      <c r="AJ37" s="2046"/>
      <c r="AK37" s="2046"/>
      <c r="AL37" s="2046"/>
      <c r="AM37" s="2046"/>
      <c r="AN37" s="2046"/>
      <c r="AO37" s="2046"/>
      <c r="AP37" s="2046"/>
      <c r="AQ37" s="2046"/>
      <c r="AR37" s="2046"/>
      <c r="AS37" s="2046"/>
      <c r="AT37" s="2046"/>
      <c r="AU37" s="2046"/>
      <c r="AV37" s="2046"/>
      <c r="AW37" s="2046"/>
      <c r="AX37" s="2046"/>
      <c r="AY37" s="2046"/>
      <c r="AZ37" s="2046"/>
      <c r="BA37" s="2046"/>
      <c r="BB37" s="2046"/>
      <c r="BC37" s="2046"/>
      <c r="BD37" s="2046"/>
      <c r="BE37" s="2046"/>
      <c r="BF37" s="2046"/>
      <c r="BG37" s="2046"/>
      <c r="BH37" s="2046"/>
      <c r="BI37" s="2046"/>
      <c r="BJ37" s="2046"/>
      <c r="BK37" s="2046"/>
      <c r="BL37" s="2046"/>
      <c r="BM37" s="2047"/>
      <c r="BN37" s="2047"/>
      <c r="BO37" s="2047"/>
      <c r="BP37" s="2047"/>
      <c r="BQ37" s="2047"/>
      <c r="BR37" s="2047"/>
      <c r="BS37" s="2047"/>
      <c r="BT37" s="2047"/>
      <c r="BU37" s="2047"/>
      <c r="BV37" s="2047"/>
      <c r="BW37" s="2047"/>
      <c r="BX37" s="2047"/>
      <c r="BY37" s="2047"/>
      <c r="BZ37" s="2047"/>
      <c r="CA37" s="2047"/>
      <c r="CB37" s="2047"/>
    </row>
    <row r="38" spans="1:80">
      <c r="A38" s="2047"/>
      <c r="C38" s="2046"/>
      <c r="D38" s="2046"/>
      <c r="E38" s="2046"/>
      <c r="F38" s="2046"/>
      <c r="G38" s="2046"/>
      <c r="H38" s="2046"/>
      <c r="I38" s="2046"/>
      <c r="J38" s="2046"/>
      <c r="K38" s="2046"/>
      <c r="L38" s="2046"/>
      <c r="M38" s="2046"/>
      <c r="N38" s="2046"/>
      <c r="O38" s="2046"/>
      <c r="P38" s="2046"/>
      <c r="Q38" s="2046"/>
      <c r="R38" s="2046"/>
      <c r="S38" s="2046"/>
      <c r="T38" s="2046"/>
      <c r="U38" s="2046"/>
      <c r="V38" s="2046"/>
      <c r="W38" s="2046"/>
      <c r="X38" s="2046"/>
      <c r="Y38" s="2046"/>
      <c r="Z38" s="2046"/>
      <c r="AA38" s="2046"/>
      <c r="AB38" s="2046"/>
      <c r="AC38" s="2046"/>
      <c r="AD38" s="2046"/>
      <c r="AE38" s="2046"/>
      <c r="AF38" s="2046"/>
      <c r="AG38" s="2046"/>
      <c r="AH38" s="2046"/>
      <c r="AI38" s="2046"/>
      <c r="AJ38" s="2046"/>
      <c r="AK38" s="2046"/>
      <c r="AL38" s="2046"/>
      <c r="AM38" s="2046"/>
      <c r="AN38" s="2046"/>
      <c r="AO38" s="2046"/>
      <c r="AP38" s="2046"/>
      <c r="AQ38" s="2046"/>
      <c r="AR38" s="2046"/>
      <c r="AS38" s="2046"/>
      <c r="AT38" s="2046"/>
      <c r="AU38" s="2046"/>
      <c r="AV38" s="2046"/>
      <c r="AW38" s="2046"/>
      <c r="AX38" s="2046"/>
      <c r="AY38" s="2046"/>
      <c r="AZ38" s="2046"/>
      <c r="BA38" s="2046"/>
      <c r="BB38" s="2046"/>
      <c r="BC38" s="2046"/>
      <c r="BD38" s="2046"/>
      <c r="BE38" s="2046"/>
      <c r="BF38" s="2046"/>
      <c r="BG38" s="2046"/>
      <c r="BH38" s="2046"/>
      <c r="BI38" s="2046"/>
      <c r="BJ38" s="2046"/>
      <c r="BK38" s="2046"/>
      <c r="BL38" s="2046"/>
      <c r="BM38" s="2047"/>
      <c r="BN38" s="2047"/>
      <c r="BO38" s="2047"/>
      <c r="BP38" s="2047"/>
      <c r="BQ38" s="2047"/>
      <c r="BR38" s="2047"/>
      <c r="BS38" s="2047"/>
      <c r="BT38" s="2047"/>
      <c r="BU38" s="2047"/>
      <c r="BV38" s="2047"/>
      <c r="BW38" s="2047"/>
      <c r="BX38" s="2047"/>
      <c r="BY38" s="2047"/>
      <c r="BZ38" s="2047"/>
      <c r="CA38" s="2047"/>
      <c r="CB38" s="2047"/>
    </row>
    <row r="39" spans="1:80">
      <c r="A39" s="2047"/>
      <c r="C39" s="2046"/>
      <c r="D39" s="2046"/>
      <c r="E39" s="2046"/>
      <c r="F39" s="2046"/>
      <c r="G39" s="2046"/>
      <c r="H39" s="2046"/>
      <c r="I39" s="2046"/>
      <c r="J39" s="2046"/>
      <c r="K39" s="2046"/>
      <c r="L39" s="2046"/>
      <c r="M39" s="2046"/>
      <c r="N39" s="2046"/>
      <c r="O39" s="2046"/>
      <c r="P39" s="2046"/>
      <c r="Q39" s="2046"/>
      <c r="R39" s="2046"/>
      <c r="S39" s="2046"/>
      <c r="T39" s="2046"/>
      <c r="U39" s="2046"/>
      <c r="V39" s="2046"/>
      <c r="W39" s="2046"/>
      <c r="X39" s="2046"/>
      <c r="Y39" s="2046"/>
      <c r="Z39" s="2046"/>
      <c r="AA39" s="2046"/>
      <c r="AB39" s="2046"/>
      <c r="AC39" s="2046"/>
      <c r="AD39" s="2046"/>
      <c r="AE39" s="2046"/>
      <c r="AF39" s="2046"/>
      <c r="AG39" s="2046"/>
      <c r="AH39" s="2046"/>
      <c r="AI39" s="2046"/>
      <c r="AJ39" s="2046"/>
      <c r="AK39" s="2046"/>
      <c r="AL39" s="2046"/>
      <c r="AM39" s="2046"/>
      <c r="AN39" s="2046"/>
      <c r="AO39" s="2046"/>
      <c r="AP39" s="2046"/>
      <c r="AQ39" s="2046"/>
      <c r="AR39" s="2046"/>
      <c r="AS39" s="2046"/>
      <c r="AT39" s="2046"/>
      <c r="AU39" s="2046"/>
      <c r="AV39" s="2046"/>
      <c r="AW39" s="2046"/>
      <c r="AX39" s="2046"/>
      <c r="AY39" s="2046"/>
      <c r="AZ39" s="2046"/>
      <c r="BA39" s="2046"/>
      <c r="BB39" s="2046"/>
      <c r="BC39" s="2046"/>
      <c r="BD39" s="2046"/>
      <c r="BE39" s="2046"/>
      <c r="BF39" s="2046"/>
      <c r="BG39" s="2046"/>
      <c r="BH39" s="2046"/>
      <c r="BI39" s="2046"/>
      <c r="BJ39" s="2046"/>
      <c r="BK39" s="2046"/>
      <c r="BL39" s="2046"/>
      <c r="BM39" s="2047"/>
      <c r="BN39" s="2047"/>
      <c r="BO39" s="2047"/>
      <c r="BP39" s="2047"/>
      <c r="BQ39" s="2047"/>
      <c r="BR39" s="2047"/>
      <c r="BS39" s="2047"/>
      <c r="BT39" s="2047"/>
      <c r="BU39" s="2047"/>
      <c r="BV39" s="2047"/>
      <c r="BW39" s="2047"/>
      <c r="BX39" s="2047"/>
      <c r="BY39" s="2047"/>
      <c r="BZ39" s="2047"/>
      <c r="CA39" s="2047"/>
      <c r="CB39" s="2047"/>
    </row>
    <row r="40" spans="1:80">
      <c r="A40" s="2047"/>
      <c r="C40" s="2046"/>
      <c r="D40" s="2046"/>
      <c r="E40" s="2046"/>
      <c r="F40" s="2046"/>
      <c r="G40" s="2046"/>
      <c r="H40" s="2046"/>
      <c r="I40" s="2046"/>
      <c r="J40" s="2046"/>
      <c r="K40" s="2046"/>
      <c r="L40" s="2046"/>
      <c r="M40" s="2046"/>
      <c r="N40" s="2046"/>
      <c r="O40" s="2046"/>
      <c r="P40" s="2046"/>
      <c r="Q40" s="2046"/>
      <c r="R40" s="2046"/>
      <c r="S40" s="2046"/>
      <c r="T40" s="2046"/>
      <c r="U40" s="2046"/>
      <c r="V40" s="2046"/>
      <c r="W40" s="2046"/>
      <c r="X40" s="2046"/>
      <c r="Y40" s="2046"/>
      <c r="Z40" s="2046"/>
      <c r="AA40" s="2046"/>
      <c r="AB40" s="2046"/>
      <c r="AC40" s="2046"/>
      <c r="AD40" s="2046"/>
      <c r="AE40" s="2046"/>
      <c r="AF40" s="2046"/>
      <c r="AG40" s="2046"/>
      <c r="AH40" s="2046"/>
      <c r="AI40" s="2046"/>
      <c r="AJ40" s="2046"/>
      <c r="AK40" s="2046"/>
      <c r="AL40" s="2046"/>
      <c r="AM40" s="2046"/>
      <c r="AN40" s="2046"/>
      <c r="AO40" s="2046"/>
      <c r="AP40" s="2046"/>
      <c r="AQ40" s="2046"/>
      <c r="AR40" s="2046"/>
      <c r="AS40" s="2046"/>
      <c r="AT40" s="2046"/>
      <c r="AU40" s="2046"/>
      <c r="AV40" s="2046"/>
      <c r="AW40" s="2046"/>
      <c r="AX40" s="2046"/>
      <c r="AY40" s="2046"/>
      <c r="AZ40" s="2046"/>
      <c r="BA40" s="2046"/>
      <c r="BB40" s="2046"/>
      <c r="BC40" s="2046"/>
      <c r="BD40" s="2046"/>
      <c r="BE40" s="2046"/>
      <c r="BF40" s="2046"/>
      <c r="BG40" s="2046"/>
      <c r="BH40" s="2046"/>
      <c r="BI40" s="2046"/>
      <c r="BJ40" s="2046"/>
      <c r="BK40" s="2046"/>
      <c r="BL40" s="2046"/>
      <c r="BM40" s="2047"/>
      <c r="BN40" s="2047"/>
      <c r="BO40" s="2047"/>
      <c r="BP40" s="2047"/>
      <c r="BQ40" s="2047"/>
      <c r="BR40" s="2047"/>
      <c r="BS40" s="2047"/>
      <c r="BT40" s="2047"/>
      <c r="BU40" s="2047"/>
      <c r="BV40" s="2047"/>
      <c r="BW40" s="2047"/>
      <c r="BX40" s="2047"/>
      <c r="BY40" s="2047"/>
      <c r="BZ40" s="2047"/>
      <c r="CA40" s="2047"/>
      <c r="CB40" s="2047"/>
    </row>
    <row r="41" spans="1:80">
      <c r="A41" s="2047"/>
      <c r="C41" s="2046"/>
      <c r="D41" s="2046"/>
      <c r="E41" s="2046"/>
      <c r="F41" s="2046"/>
      <c r="G41" s="2046"/>
      <c r="H41" s="2046"/>
      <c r="I41" s="2046"/>
      <c r="J41" s="2046"/>
      <c r="K41" s="2046"/>
      <c r="L41" s="2046"/>
      <c r="M41" s="2046"/>
      <c r="N41" s="2046"/>
      <c r="O41" s="2046"/>
      <c r="P41" s="2046"/>
      <c r="Q41" s="2046"/>
      <c r="R41" s="2046"/>
      <c r="S41" s="2046"/>
      <c r="T41" s="2046"/>
      <c r="U41" s="2046"/>
      <c r="V41" s="2046"/>
      <c r="W41" s="2046"/>
      <c r="X41" s="2046"/>
      <c r="Y41" s="2046"/>
      <c r="Z41" s="2046"/>
      <c r="AA41" s="2046"/>
      <c r="AB41" s="2046"/>
      <c r="AC41" s="2046"/>
      <c r="AD41" s="2046"/>
      <c r="AE41" s="2046"/>
      <c r="AF41" s="2046"/>
      <c r="AG41" s="2046"/>
      <c r="AH41" s="2046"/>
      <c r="AI41" s="2046"/>
      <c r="AJ41" s="2046"/>
      <c r="AK41" s="2046"/>
      <c r="AL41" s="2046"/>
      <c r="AM41" s="2046"/>
      <c r="AN41" s="2046"/>
      <c r="AO41" s="2046"/>
      <c r="AP41" s="2046"/>
      <c r="AQ41" s="2046"/>
      <c r="AR41" s="2046"/>
      <c r="AS41" s="2046"/>
      <c r="AT41" s="2046"/>
      <c r="AU41" s="2046"/>
      <c r="AV41" s="2046"/>
      <c r="AW41" s="2046"/>
      <c r="AX41" s="2046"/>
      <c r="AY41" s="2046"/>
      <c r="AZ41" s="2046"/>
      <c r="BA41" s="2046"/>
      <c r="BB41" s="2046"/>
      <c r="BC41" s="2046"/>
      <c r="BD41" s="2046"/>
      <c r="BE41" s="2046"/>
      <c r="BF41" s="2046"/>
      <c r="BG41" s="2046"/>
      <c r="BH41" s="2046"/>
      <c r="BI41" s="2046"/>
      <c r="BJ41" s="2046"/>
      <c r="BK41" s="2046"/>
      <c r="BL41" s="2046"/>
      <c r="BM41" s="2047"/>
      <c r="BN41" s="2047"/>
      <c r="BO41" s="2047"/>
      <c r="BP41" s="2047"/>
      <c r="BQ41" s="2047"/>
      <c r="BR41" s="2047"/>
      <c r="BS41" s="2047"/>
      <c r="BT41" s="2047"/>
      <c r="BU41" s="2047"/>
      <c r="BV41" s="2047"/>
      <c r="BW41" s="2047"/>
      <c r="BX41" s="2047"/>
      <c r="BY41" s="2047"/>
      <c r="BZ41" s="2047"/>
      <c r="CA41" s="2047"/>
      <c r="CB41" s="2047"/>
    </row>
    <row r="42" spans="1:80">
      <c r="A42" s="2047"/>
      <c r="C42" s="2046"/>
      <c r="D42" s="2046"/>
      <c r="E42" s="2046"/>
      <c r="F42" s="2046"/>
      <c r="G42" s="2046"/>
      <c r="H42" s="2046"/>
      <c r="I42" s="2046"/>
      <c r="J42" s="2046"/>
      <c r="K42" s="2046"/>
      <c r="L42" s="2046"/>
      <c r="M42" s="2046"/>
      <c r="N42" s="2046"/>
      <c r="O42" s="2046"/>
      <c r="P42" s="2046"/>
      <c r="Q42" s="2046"/>
      <c r="R42" s="2046"/>
      <c r="S42" s="2046"/>
      <c r="T42" s="2046"/>
      <c r="U42" s="2046"/>
      <c r="V42" s="2046"/>
      <c r="W42" s="2046"/>
      <c r="X42" s="2046"/>
      <c r="Y42" s="2046"/>
      <c r="Z42" s="2046"/>
      <c r="AA42" s="2046"/>
      <c r="AB42" s="2046"/>
      <c r="AC42" s="2046"/>
      <c r="AD42" s="2046"/>
      <c r="AE42" s="2046"/>
      <c r="AF42" s="2046"/>
      <c r="AG42" s="2046"/>
      <c r="AH42" s="2046"/>
      <c r="AI42" s="2046"/>
      <c r="AJ42" s="2046"/>
      <c r="AK42" s="2046"/>
      <c r="AL42" s="2046"/>
      <c r="AM42" s="2046"/>
      <c r="AN42" s="2046"/>
      <c r="AO42" s="2046"/>
      <c r="AP42" s="2046"/>
      <c r="AQ42" s="2046"/>
      <c r="AR42" s="2046"/>
      <c r="AS42" s="2046"/>
      <c r="AT42" s="2046"/>
      <c r="AU42" s="2046"/>
      <c r="AV42" s="2046"/>
      <c r="AW42" s="2046"/>
      <c r="AX42" s="2046"/>
      <c r="AY42" s="2046"/>
      <c r="AZ42" s="2046"/>
      <c r="BA42" s="2046"/>
      <c r="BB42" s="2046"/>
      <c r="BC42" s="2046"/>
      <c r="BD42" s="2046"/>
      <c r="BE42" s="2046"/>
      <c r="BF42" s="2046"/>
      <c r="BG42" s="2046"/>
      <c r="BH42" s="2046"/>
      <c r="BI42" s="2046"/>
      <c r="BJ42" s="2046"/>
      <c r="BK42" s="2046"/>
      <c r="BL42" s="2046"/>
      <c r="BM42" s="2047"/>
      <c r="BN42" s="2047"/>
      <c r="BO42" s="2047"/>
      <c r="BP42" s="2047"/>
      <c r="BQ42" s="2047"/>
      <c r="BR42" s="2047"/>
      <c r="BS42" s="2047"/>
      <c r="BT42" s="2047"/>
      <c r="BU42" s="2047"/>
      <c r="BV42" s="2047"/>
      <c r="BW42" s="2047"/>
      <c r="BX42" s="2047"/>
      <c r="BY42" s="2047"/>
      <c r="BZ42" s="2047"/>
      <c r="CA42" s="2047"/>
      <c r="CB42" s="2047"/>
    </row>
    <row r="43" spans="1:80">
      <c r="A43" s="2047"/>
      <c r="C43" s="2046"/>
      <c r="D43" s="2046"/>
      <c r="E43" s="2046"/>
      <c r="F43" s="2046"/>
      <c r="G43" s="2046"/>
      <c r="H43" s="2046"/>
      <c r="I43" s="2046"/>
      <c r="J43" s="2046"/>
      <c r="K43" s="2046"/>
      <c r="L43" s="2046"/>
      <c r="M43" s="2046"/>
      <c r="N43" s="2046"/>
      <c r="O43" s="2046"/>
      <c r="P43" s="2046"/>
      <c r="Q43" s="2046"/>
      <c r="R43" s="2046"/>
      <c r="S43" s="2046"/>
      <c r="T43" s="2046"/>
      <c r="U43" s="2046"/>
      <c r="V43" s="2046"/>
      <c r="W43" s="2046"/>
      <c r="X43" s="2046"/>
      <c r="Y43" s="2046"/>
      <c r="Z43" s="2046"/>
      <c r="AA43" s="2046"/>
      <c r="AB43" s="2046"/>
      <c r="AC43" s="2046"/>
      <c r="AD43" s="2046"/>
      <c r="AE43" s="2046"/>
      <c r="AF43" s="2046"/>
      <c r="AG43" s="2046"/>
      <c r="AH43" s="2046"/>
      <c r="AI43" s="2046"/>
      <c r="AJ43" s="2046"/>
      <c r="AK43" s="2046"/>
      <c r="AL43" s="2046"/>
      <c r="AM43" s="2046"/>
      <c r="AN43" s="2046"/>
      <c r="AO43" s="2046"/>
      <c r="AP43" s="2046"/>
      <c r="AQ43" s="2046"/>
      <c r="AR43" s="2046"/>
      <c r="AS43" s="2046"/>
      <c r="AT43" s="2046"/>
      <c r="AU43" s="2046"/>
      <c r="AV43" s="2046"/>
      <c r="AW43" s="2046"/>
      <c r="AX43" s="2046"/>
      <c r="AY43" s="2046"/>
      <c r="AZ43" s="2046"/>
      <c r="BA43" s="2046"/>
      <c r="BB43" s="2046"/>
      <c r="BC43" s="2046"/>
      <c r="BD43" s="2046"/>
      <c r="BE43" s="2046"/>
      <c r="BF43" s="2046"/>
      <c r="BG43" s="2046"/>
      <c r="BH43" s="2046"/>
      <c r="BI43" s="2046"/>
      <c r="BJ43" s="2046"/>
      <c r="BK43" s="2046"/>
      <c r="BL43" s="2046"/>
      <c r="BM43" s="2047"/>
      <c r="BN43" s="2047"/>
      <c r="BO43" s="2047"/>
      <c r="BP43" s="2047"/>
      <c r="BQ43" s="2047"/>
      <c r="BR43" s="2047"/>
      <c r="BS43" s="2047"/>
      <c r="BT43" s="2047"/>
      <c r="BU43" s="2047"/>
      <c r="BV43" s="2047"/>
      <c r="BW43" s="2047"/>
      <c r="BX43" s="2047"/>
      <c r="BY43" s="2047"/>
      <c r="BZ43" s="2047"/>
      <c r="CA43" s="2047"/>
      <c r="CB43" s="2047"/>
    </row>
    <row r="44" spans="1:80">
      <c r="A44" s="2047"/>
      <c r="C44" s="2046"/>
      <c r="D44" s="2046"/>
      <c r="E44" s="2046"/>
      <c r="F44" s="2046"/>
      <c r="G44" s="2046"/>
      <c r="H44" s="2046"/>
      <c r="I44" s="2046"/>
      <c r="J44" s="2046"/>
      <c r="K44" s="2046"/>
      <c r="L44" s="2046"/>
      <c r="M44" s="2046"/>
      <c r="N44" s="2046"/>
      <c r="O44" s="2046"/>
      <c r="P44" s="2046"/>
      <c r="Q44" s="2046"/>
      <c r="R44" s="2046"/>
      <c r="S44" s="2046"/>
      <c r="T44" s="2046"/>
      <c r="U44" s="2046"/>
      <c r="V44" s="2046"/>
      <c r="W44" s="2046"/>
      <c r="X44" s="2046"/>
      <c r="Y44" s="2046"/>
      <c r="Z44" s="2046"/>
      <c r="AA44" s="2046"/>
      <c r="AB44" s="2046"/>
      <c r="AC44" s="2046"/>
      <c r="AD44" s="2046"/>
      <c r="AE44" s="2046"/>
      <c r="AF44" s="2046"/>
      <c r="AG44" s="2046"/>
      <c r="AH44" s="2046"/>
      <c r="AI44" s="2046"/>
      <c r="AJ44" s="2046"/>
      <c r="AK44" s="2046"/>
      <c r="AL44" s="2046"/>
      <c r="AM44" s="2046"/>
      <c r="AN44" s="2046"/>
      <c r="AO44" s="2046"/>
      <c r="AP44" s="2046"/>
      <c r="AQ44" s="2046"/>
      <c r="AR44" s="2046"/>
      <c r="AS44" s="2046"/>
      <c r="AT44" s="2046"/>
      <c r="AU44" s="2046"/>
      <c r="AV44" s="2046"/>
      <c r="AW44" s="2046"/>
      <c r="AX44" s="2046"/>
      <c r="AY44" s="2046"/>
      <c r="AZ44" s="2046"/>
      <c r="BA44" s="2046"/>
      <c r="BB44" s="2046"/>
      <c r="BC44" s="2046"/>
      <c r="BD44" s="2046"/>
      <c r="BE44" s="2046"/>
      <c r="BF44" s="2046"/>
      <c r="BG44" s="2046"/>
      <c r="BH44" s="2046"/>
      <c r="BI44" s="2046"/>
      <c r="BJ44" s="2046"/>
      <c r="BK44" s="2046"/>
      <c r="BL44" s="2046"/>
      <c r="BM44" s="2047"/>
      <c r="BN44" s="2047"/>
      <c r="BO44" s="2047"/>
      <c r="BP44" s="2047"/>
      <c r="BQ44" s="2047"/>
      <c r="BR44" s="2047"/>
      <c r="BS44" s="2047"/>
      <c r="BT44" s="2047"/>
      <c r="BU44" s="2047"/>
      <c r="BV44" s="2047"/>
      <c r="BW44" s="2047"/>
      <c r="BX44" s="2047"/>
      <c r="BY44" s="2047"/>
      <c r="BZ44" s="2047"/>
      <c r="CA44" s="2047"/>
      <c r="CB44" s="2047"/>
    </row>
    <row r="45" spans="1:80">
      <c r="A45" s="2047"/>
      <c r="C45" s="2046"/>
      <c r="D45" s="2046"/>
      <c r="E45" s="2046"/>
      <c r="F45" s="2046"/>
      <c r="G45" s="2046"/>
      <c r="H45" s="2046"/>
      <c r="I45" s="2046"/>
      <c r="J45" s="2046"/>
      <c r="K45" s="2046"/>
      <c r="L45" s="2046"/>
      <c r="M45" s="2046"/>
      <c r="N45" s="2046"/>
      <c r="O45" s="2046"/>
      <c r="P45" s="2046"/>
      <c r="Q45" s="2046"/>
      <c r="R45" s="2046"/>
      <c r="S45" s="2046"/>
      <c r="T45" s="2046"/>
      <c r="U45" s="2046"/>
      <c r="V45" s="2046"/>
      <c r="W45" s="2046"/>
      <c r="X45" s="2046"/>
      <c r="Y45" s="2046"/>
      <c r="Z45" s="2046"/>
      <c r="AA45" s="2046"/>
      <c r="AB45" s="2046"/>
      <c r="AC45" s="2046"/>
      <c r="AD45" s="2046"/>
      <c r="AE45" s="2046"/>
      <c r="AF45" s="2046"/>
      <c r="AG45" s="2046"/>
      <c r="AH45" s="2046"/>
      <c r="AI45" s="2046"/>
      <c r="AJ45" s="2046"/>
      <c r="AK45" s="2046"/>
      <c r="AL45" s="2046"/>
      <c r="AM45" s="2046"/>
      <c r="AN45" s="2046"/>
      <c r="AO45" s="2046"/>
      <c r="AP45" s="2046"/>
      <c r="AQ45" s="2046"/>
      <c r="AR45" s="2046"/>
      <c r="AS45" s="2046"/>
      <c r="AT45" s="2046"/>
      <c r="AU45" s="2046"/>
      <c r="AV45" s="2046"/>
      <c r="AW45" s="2046"/>
      <c r="AX45" s="2046"/>
      <c r="AY45" s="2046"/>
      <c r="AZ45" s="2046"/>
      <c r="BA45" s="2046"/>
      <c r="BB45" s="2046"/>
      <c r="BC45" s="2046"/>
      <c r="BD45" s="2046"/>
      <c r="BE45" s="2046"/>
      <c r="BF45" s="2046"/>
      <c r="BG45" s="2046"/>
      <c r="BH45" s="2046"/>
      <c r="BI45" s="2046"/>
      <c r="BJ45" s="2046"/>
      <c r="BK45" s="2046"/>
      <c r="BL45" s="2046"/>
      <c r="BM45" s="2047"/>
      <c r="BN45" s="2047"/>
      <c r="BO45" s="2047"/>
      <c r="BP45" s="2047"/>
      <c r="BQ45" s="2047"/>
      <c r="BR45" s="2047"/>
      <c r="BS45" s="2047"/>
      <c r="BT45" s="2047"/>
      <c r="BU45" s="2047"/>
      <c r="BV45" s="2047"/>
      <c r="BW45" s="2047"/>
      <c r="BX45" s="2047"/>
      <c r="BY45" s="2047"/>
      <c r="BZ45" s="2047"/>
      <c r="CA45" s="2047"/>
      <c r="CB45" s="2047"/>
    </row>
    <row r="46" spans="1:80">
      <c r="A46" s="2047"/>
      <c r="C46" s="2046"/>
      <c r="D46" s="2046"/>
      <c r="E46" s="2046"/>
      <c r="F46" s="2046"/>
      <c r="G46" s="2046"/>
      <c r="H46" s="2046"/>
      <c r="I46" s="2046"/>
      <c r="J46" s="2046"/>
      <c r="K46" s="2046"/>
      <c r="L46" s="2046"/>
      <c r="M46" s="2046"/>
      <c r="N46" s="2046"/>
      <c r="O46" s="2046"/>
      <c r="P46" s="2046"/>
      <c r="Q46" s="2046"/>
      <c r="R46" s="2046"/>
      <c r="S46" s="2046"/>
      <c r="T46" s="2046"/>
      <c r="U46" s="2046"/>
      <c r="V46" s="2046"/>
      <c r="W46" s="2046"/>
      <c r="X46" s="2046"/>
      <c r="Y46" s="2046"/>
      <c r="Z46" s="2046"/>
      <c r="AA46" s="2046"/>
      <c r="AB46" s="2046"/>
      <c r="AC46" s="2046"/>
      <c r="AD46" s="2046"/>
      <c r="AE46" s="2046"/>
      <c r="AF46" s="2046"/>
      <c r="AG46" s="2046"/>
      <c r="AH46" s="2046"/>
      <c r="AI46" s="2046"/>
      <c r="AJ46" s="2046"/>
      <c r="AK46" s="2046"/>
      <c r="AL46" s="2046"/>
      <c r="AM46" s="2046"/>
      <c r="AN46" s="2046"/>
      <c r="AO46" s="2046"/>
      <c r="AP46" s="2046"/>
      <c r="AQ46" s="2046"/>
      <c r="AR46" s="2046"/>
      <c r="AS46" s="2046"/>
      <c r="AT46" s="2046"/>
      <c r="AU46" s="2046"/>
      <c r="AV46" s="2046"/>
      <c r="AW46" s="2046"/>
      <c r="AX46" s="2046"/>
      <c r="AY46" s="2046"/>
      <c r="AZ46" s="2046"/>
      <c r="BA46" s="2046"/>
      <c r="BB46" s="2046"/>
      <c r="BC46" s="2046"/>
      <c r="BD46" s="2046"/>
      <c r="BE46" s="2046"/>
      <c r="BF46" s="2046"/>
      <c r="BG46" s="2046"/>
      <c r="BH46" s="2046"/>
      <c r="BI46" s="2046"/>
      <c r="BJ46" s="2046"/>
      <c r="BK46" s="2046"/>
      <c r="BL46" s="2046"/>
      <c r="BM46" s="2047"/>
      <c r="BN46" s="2047"/>
      <c r="BO46" s="2047"/>
      <c r="BP46" s="2047"/>
      <c r="BQ46" s="2047"/>
      <c r="BR46" s="2047"/>
      <c r="BS46" s="2047"/>
      <c r="BT46" s="2047"/>
      <c r="BU46" s="2047"/>
      <c r="BV46" s="2047"/>
      <c r="BW46" s="2047"/>
      <c r="BX46" s="2047"/>
      <c r="BY46" s="2047"/>
      <c r="BZ46" s="2047"/>
      <c r="CA46" s="2047"/>
      <c r="CB46" s="2047"/>
    </row>
    <row r="47" spans="1:80">
      <c r="A47" s="2047"/>
      <c r="C47" s="2046"/>
      <c r="D47" s="2046"/>
      <c r="E47" s="2046"/>
      <c r="F47" s="2046"/>
      <c r="G47" s="2046"/>
      <c r="H47" s="2046"/>
      <c r="I47" s="2046"/>
      <c r="J47" s="2046"/>
      <c r="K47" s="2046"/>
      <c r="L47" s="2046"/>
      <c r="M47" s="2046"/>
      <c r="N47" s="2046"/>
      <c r="O47" s="2046"/>
      <c r="P47" s="2046"/>
      <c r="Q47" s="2046"/>
      <c r="R47" s="2046"/>
      <c r="S47" s="2046"/>
      <c r="T47" s="2046"/>
      <c r="U47" s="2046"/>
      <c r="V47" s="2046"/>
      <c r="W47" s="2046"/>
      <c r="X47" s="2046"/>
      <c r="Y47" s="2046"/>
      <c r="Z47" s="2046"/>
      <c r="AA47" s="2046"/>
      <c r="AB47" s="2046"/>
      <c r="AC47" s="2046"/>
      <c r="AD47" s="2046"/>
      <c r="AE47" s="2046"/>
      <c r="AF47" s="2046"/>
      <c r="AG47" s="2046"/>
      <c r="AH47" s="2046"/>
      <c r="AI47" s="2046"/>
      <c r="AJ47" s="2046"/>
      <c r="AK47" s="2046"/>
      <c r="AL47" s="2046"/>
      <c r="AM47" s="2046"/>
      <c r="AN47" s="2046"/>
      <c r="AO47" s="2046"/>
      <c r="AP47" s="2046"/>
      <c r="AQ47" s="2046"/>
      <c r="AR47" s="2046"/>
      <c r="AS47" s="2046"/>
      <c r="AT47" s="2046"/>
      <c r="AU47" s="2046"/>
      <c r="AV47" s="2046"/>
      <c r="AW47" s="2046"/>
      <c r="AX47" s="2046"/>
      <c r="AY47" s="2046"/>
      <c r="AZ47" s="2046"/>
      <c r="BA47" s="2046"/>
      <c r="BB47" s="2046"/>
      <c r="BC47" s="2046"/>
      <c r="BD47" s="2046"/>
      <c r="BE47" s="2046"/>
      <c r="BF47" s="2046"/>
      <c r="BG47" s="2046"/>
      <c r="BH47" s="2046"/>
      <c r="BI47" s="2046"/>
      <c r="BJ47" s="2046"/>
      <c r="BK47" s="2046"/>
      <c r="BL47" s="2046"/>
      <c r="BM47" s="2047"/>
      <c r="BN47" s="2047"/>
      <c r="BO47" s="2047"/>
      <c r="BP47" s="2047"/>
      <c r="BQ47" s="2047"/>
      <c r="BR47" s="2047"/>
      <c r="BS47" s="2047"/>
      <c r="BT47" s="2047"/>
      <c r="BU47" s="2047"/>
      <c r="BV47" s="2047"/>
      <c r="BW47" s="2047"/>
      <c r="BX47" s="2047"/>
      <c r="BY47" s="2047"/>
      <c r="BZ47" s="2047"/>
      <c r="CA47" s="2047"/>
      <c r="CB47" s="2047"/>
    </row>
    <row r="48" spans="1:80">
      <c r="A48" s="2047"/>
      <c r="C48" s="2046"/>
      <c r="D48" s="2046"/>
      <c r="E48" s="2046"/>
      <c r="F48" s="2046"/>
      <c r="G48" s="2046"/>
      <c r="H48" s="2046"/>
      <c r="I48" s="2046"/>
      <c r="J48" s="2046"/>
      <c r="K48" s="2046"/>
      <c r="L48" s="2046"/>
      <c r="M48" s="2046"/>
      <c r="N48" s="2046"/>
      <c r="O48" s="2046"/>
      <c r="P48" s="2046"/>
      <c r="Q48" s="2046"/>
      <c r="R48" s="2046"/>
      <c r="S48" s="2046"/>
      <c r="T48" s="2046"/>
      <c r="U48" s="2046"/>
      <c r="V48" s="2046"/>
      <c r="W48" s="2046"/>
      <c r="X48" s="2046"/>
      <c r="Y48" s="2046"/>
      <c r="Z48" s="2046"/>
      <c r="AA48" s="2046"/>
      <c r="AB48" s="2046"/>
      <c r="AC48" s="2046"/>
      <c r="AD48" s="2046"/>
      <c r="AE48" s="2046"/>
      <c r="AF48" s="2046"/>
      <c r="AG48" s="2046"/>
      <c r="AH48" s="2046"/>
      <c r="AI48" s="2046"/>
      <c r="AJ48" s="2046"/>
      <c r="AK48" s="2046"/>
      <c r="AL48" s="2046"/>
      <c r="AM48" s="2046"/>
      <c r="AN48" s="2046"/>
      <c r="AO48" s="2046"/>
      <c r="AP48" s="2046"/>
      <c r="AQ48" s="2046"/>
      <c r="AR48" s="2046"/>
      <c r="AS48" s="2046"/>
      <c r="AT48" s="2046"/>
      <c r="AU48" s="2046"/>
      <c r="AV48" s="2046"/>
      <c r="AW48" s="2046"/>
      <c r="AX48" s="2046"/>
      <c r="AY48" s="2046"/>
      <c r="AZ48" s="2046"/>
      <c r="BA48" s="2046"/>
      <c r="BB48" s="2046"/>
      <c r="BC48" s="2046"/>
      <c r="BD48" s="2046"/>
      <c r="BE48" s="2046"/>
      <c r="BF48" s="2046"/>
      <c r="BG48" s="2046"/>
      <c r="BH48" s="2046"/>
      <c r="BI48" s="2046"/>
      <c r="BJ48" s="2046"/>
      <c r="BK48" s="2046"/>
      <c r="BL48" s="2046"/>
      <c r="BM48" s="2047"/>
      <c r="BN48" s="2047"/>
      <c r="BO48" s="2047"/>
      <c r="BP48" s="2047"/>
      <c r="BQ48" s="2047"/>
      <c r="BR48" s="2047"/>
      <c r="BS48" s="2047"/>
      <c r="BT48" s="2047"/>
      <c r="BU48" s="2047"/>
      <c r="BV48" s="2047"/>
      <c r="BW48" s="2047"/>
      <c r="BX48" s="2047"/>
      <c r="BY48" s="2047"/>
      <c r="BZ48" s="2047"/>
      <c r="CA48" s="2047"/>
      <c r="CB48" s="2047"/>
    </row>
    <row r="49" spans="1:80">
      <c r="A49" s="2047"/>
      <c r="C49" s="2046"/>
      <c r="D49" s="2046"/>
      <c r="E49" s="2046"/>
      <c r="F49" s="2046"/>
      <c r="G49" s="2046"/>
      <c r="H49" s="2046"/>
      <c r="I49" s="2046"/>
      <c r="J49" s="2046"/>
      <c r="K49" s="2046"/>
      <c r="L49" s="2046"/>
      <c r="M49" s="2046"/>
      <c r="N49" s="2046"/>
      <c r="O49" s="2046"/>
      <c r="P49" s="2046"/>
      <c r="Q49" s="2046"/>
      <c r="R49" s="2046"/>
      <c r="S49" s="2046"/>
      <c r="T49" s="2046"/>
      <c r="U49" s="2046"/>
      <c r="V49" s="2046"/>
      <c r="W49" s="2046"/>
      <c r="X49" s="2046"/>
      <c r="Y49" s="2046"/>
      <c r="Z49" s="2046"/>
      <c r="AA49" s="2046"/>
      <c r="AB49" s="2046"/>
      <c r="AC49" s="2046"/>
      <c r="AD49" s="2046"/>
      <c r="AE49" s="2046"/>
      <c r="AF49" s="2046"/>
      <c r="AG49" s="2046"/>
      <c r="AH49" s="2046"/>
      <c r="AI49" s="2046"/>
      <c r="AJ49" s="2046"/>
      <c r="AK49" s="2046"/>
      <c r="AL49" s="2046"/>
      <c r="AM49" s="2046"/>
      <c r="AN49" s="2046"/>
      <c r="AO49" s="2046"/>
      <c r="AP49" s="2046"/>
      <c r="AQ49" s="2046"/>
      <c r="AR49" s="2046"/>
      <c r="AS49" s="2046"/>
      <c r="AT49" s="2046"/>
      <c r="AU49" s="2046"/>
      <c r="AV49" s="2046"/>
      <c r="AW49" s="2046"/>
      <c r="AX49" s="2046"/>
      <c r="AY49" s="2046"/>
      <c r="AZ49" s="2046"/>
      <c r="BA49" s="2046"/>
      <c r="BB49" s="2046"/>
      <c r="BC49" s="2046"/>
      <c r="BD49" s="2046"/>
      <c r="BE49" s="2046"/>
      <c r="BF49" s="2046"/>
      <c r="BG49" s="2046"/>
      <c r="BH49" s="2046"/>
      <c r="BI49" s="2046"/>
      <c r="BJ49" s="2046"/>
      <c r="BK49" s="2046"/>
      <c r="BL49" s="2046"/>
      <c r="BM49" s="2047"/>
      <c r="BN49" s="2047"/>
      <c r="BO49" s="2047"/>
      <c r="BP49" s="2047"/>
      <c r="BQ49" s="2047"/>
      <c r="BR49" s="2047"/>
      <c r="BS49" s="2047"/>
      <c r="BT49" s="2047"/>
      <c r="BU49" s="2047"/>
      <c r="BV49" s="2047"/>
      <c r="BW49" s="2047"/>
      <c r="BX49" s="2047"/>
      <c r="BY49" s="2047"/>
      <c r="BZ49" s="2047"/>
      <c r="CA49" s="2047"/>
      <c r="CB49" s="2047"/>
    </row>
    <row r="50" spans="1:80">
      <c r="A50" s="2047"/>
      <c r="C50" s="2046"/>
      <c r="D50" s="2046"/>
      <c r="E50" s="2046"/>
      <c r="F50" s="2046"/>
      <c r="G50" s="2046"/>
      <c r="H50" s="2046"/>
      <c r="I50" s="2046"/>
      <c r="J50" s="2046"/>
      <c r="K50" s="2046"/>
      <c r="L50" s="2046"/>
      <c r="M50" s="2046"/>
      <c r="N50" s="2046"/>
      <c r="O50" s="2046"/>
      <c r="P50" s="2046"/>
      <c r="Q50" s="2046"/>
      <c r="R50" s="2046"/>
      <c r="S50" s="2046"/>
      <c r="T50" s="2046"/>
      <c r="U50" s="2046"/>
      <c r="V50" s="2046"/>
      <c r="W50" s="2046"/>
      <c r="X50" s="2046"/>
      <c r="Y50" s="2046"/>
      <c r="Z50" s="2046"/>
      <c r="AA50" s="2046"/>
      <c r="AB50" s="2046"/>
      <c r="AC50" s="2046"/>
      <c r="AD50" s="2046"/>
      <c r="AE50" s="2046"/>
      <c r="AF50" s="2046"/>
      <c r="AG50" s="2046"/>
      <c r="AH50" s="2046"/>
      <c r="AI50" s="2046"/>
      <c r="AJ50" s="2046"/>
      <c r="AK50" s="2046"/>
      <c r="AL50" s="2046"/>
      <c r="AM50" s="2046"/>
      <c r="AN50" s="2046"/>
      <c r="AO50" s="2046"/>
      <c r="AP50" s="2046"/>
      <c r="AQ50" s="2046"/>
      <c r="AR50" s="2046"/>
      <c r="AS50" s="2046"/>
      <c r="AT50" s="2046"/>
      <c r="AU50" s="2046"/>
      <c r="AV50" s="2046"/>
      <c r="AW50" s="2046"/>
      <c r="AX50" s="2046"/>
      <c r="AY50" s="2046"/>
      <c r="AZ50" s="2046"/>
      <c r="BA50" s="2046"/>
      <c r="BB50" s="2046"/>
      <c r="BC50" s="2046"/>
      <c r="BD50" s="2046"/>
      <c r="BE50" s="2046"/>
      <c r="BF50" s="2046"/>
      <c r="BG50" s="2046"/>
      <c r="BH50" s="2046"/>
      <c r="BI50" s="2046"/>
      <c r="BJ50" s="2046"/>
      <c r="BK50" s="2046"/>
      <c r="BL50" s="2046"/>
      <c r="BM50" s="2047"/>
      <c r="BN50" s="2047"/>
      <c r="BO50" s="2047"/>
      <c r="BP50" s="2047"/>
      <c r="BQ50" s="2047"/>
      <c r="BR50" s="2047"/>
      <c r="BS50" s="2047"/>
      <c r="BT50" s="2047"/>
      <c r="BU50" s="2047"/>
      <c r="BV50" s="2047"/>
      <c r="BW50" s="2047"/>
      <c r="BX50" s="2047"/>
      <c r="BY50" s="2047"/>
      <c r="BZ50" s="2047"/>
      <c r="CA50" s="2047"/>
      <c r="CB50" s="2047"/>
    </row>
    <row r="51" spans="1:80">
      <c r="A51" s="2047"/>
      <c r="C51" s="2046"/>
      <c r="D51" s="2046"/>
      <c r="E51" s="2046"/>
      <c r="F51" s="2046"/>
      <c r="G51" s="2046"/>
      <c r="H51" s="2046"/>
      <c r="I51" s="2046"/>
      <c r="J51" s="2046"/>
      <c r="K51" s="2046"/>
      <c r="L51" s="2046"/>
      <c r="M51" s="2046"/>
      <c r="N51" s="2046"/>
      <c r="O51" s="2046"/>
      <c r="P51" s="2046"/>
      <c r="Q51" s="2046"/>
      <c r="R51" s="2046"/>
      <c r="S51" s="2046"/>
      <c r="T51" s="2046"/>
      <c r="U51" s="2046"/>
      <c r="V51" s="2046"/>
      <c r="W51" s="2046"/>
      <c r="X51" s="2046"/>
      <c r="Y51" s="2046"/>
      <c r="Z51" s="2046"/>
      <c r="AA51" s="2046"/>
      <c r="AB51" s="2046"/>
      <c r="AC51" s="2046"/>
      <c r="AD51" s="2046"/>
      <c r="AE51" s="2046"/>
      <c r="AF51" s="2046"/>
      <c r="AG51" s="2046"/>
      <c r="AH51" s="2046"/>
      <c r="AI51" s="2046"/>
      <c r="AJ51" s="2046"/>
      <c r="AK51" s="2046"/>
      <c r="AL51" s="2046"/>
      <c r="AM51" s="2046"/>
      <c r="AN51" s="2046"/>
      <c r="AO51" s="2046"/>
      <c r="AP51" s="2046"/>
      <c r="AQ51" s="2046"/>
      <c r="AR51" s="2046"/>
      <c r="AS51" s="2046"/>
      <c r="AT51" s="2046"/>
      <c r="AU51" s="2046"/>
      <c r="AV51" s="2046"/>
      <c r="AW51" s="2046"/>
      <c r="AX51" s="2046"/>
      <c r="AY51" s="2046"/>
      <c r="AZ51" s="2046"/>
      <c r="BA51" s="2046"/>
      <c r="BB51" s="2046"/>
      <c r="BC51" s="2046"/>
      <c r="BD51" s="2046"/>
      <c r="BE51" s="2046"/>
      <c r="BF51" s="2046"/>
      <c r="BG51" s="2046"/>
      <c r="BH51" s="2046"/>
      <c r="BI51" s="2046"/>
      <c r="BJ51" s="2046"/>
      <c r="BK51" s="2046"/>
      <c r="BL51" s="2046"/>
      <c r="BM51" s="2047"/>
      <c r="BN51" s="2047"/>
      <c r="BO51" s="2047"/>
      <c r="BP51" s="2047"/>
      <c r="BQ51" s="2047"/>
      <c r="BR51" s="2047"/>
      <c r="BS51" s="2047"/>
      <c r="BT51" s="2047"/>
      <c r="BU51" s="2047"/>
      <c r="BV51" s="2047"/>
      <c r="BW51" s="2047"/>
      <c r="BX51" s="2047"/>
      <c r="BY51" s="2047"/>
      <c r="BZ51" s="2047"/>
      <c r="CA51" s="2047"/>
      <c r="CB51" s="2047"/>
    </row>
    <row r="52" spans="1:80">
      <c r="A52" s="2047"/>
      <c r="C52" s="2046"/>
      <c r="D52" s="2046"/>
      <c r="E52" s="2046"/>
      <c r="F52" s="2046"/>
      <c r="G52" s="2046"/>
      <c r="H52" s="2046"/>
      <c r="I52" s="2046"/>
      <c r="J52" s="2046"/>
      <c r="K52" s="2046"/>
      <c r="L52" s="2046"/>
      <c r="M52" s="2046"/>
      <c r="N52" s="2046"/>
      <c r="O52" s="2046"/>
      <c r="P52" s="2046"/>
      <c r="Q52" s="2046"/>
      <c r="R52" s="2046"/>
      <c r="S52" s="2046"/>
      <c r="T52" s="2046"/>
      <c r="U52" s="2046"/>
      <c r="V52" s="2046"/>
      <c r="W52" s="2046"/>
      <c r="X52" s="2046"/>
      <c r="Y52" s="2046"/>
      <c r="Z52" s="2046"/>
      <c r="AA52" s="2046"/>
      <c r="AB52" s="2046"/>
      <c r="AC52" s="2046"/>
      <c r="AD52" s="2046"/>
      <c r="AE52" s="2046"/>
      <c r="AF52" s="2046"/>
      <c r="AG52" s="2046"/>
      <c r="AH52" s="2046"/>
      <c r="AI52" s="2046"/>
      <c r="AJ52" s="2046"/>
      <c r="AK52" s="2046"/>
      <c r="AL52" s="2046"/>
      <c r="AM52" s="2046"/>
      <c r="AN52" s="2046"/>
      <c r="AO52" s="2046"/>
      <c r="AP52" s="2046"/>
      <c r="AQ52" s="2046"/>
      <c r="AR52" s="2046"/>
      <c r="AS52" s="2046"/>
      <c r="AT52" s="2046"/>
      <c r="AU52" s="2046"/>
      <c r="AV52" s="2046"/>
      <c r="AW52" s="2046"/>
      <c r="AX52" s="2046"/>
      <c r="AY52" s="2046"/>
      <c r="AZ52" s="2046"/>
      <c r="BA52" s="2046"/>
      <c r="BB52" s="2046"/>
      <c r="BC52" s="2046"/>
      <c r="BD52" s="2046"/>
      <c r="BE52" s="2046"/>
      <c r="BF52" s="2046"/>
      <c r="BG52" s="2046"/>
      <c r="BH52" s="2046"/>
      <c r="BI52" s="2046"/>
      <c r="BJ52" s="2046"/>
      <c r="BK52" s="2046"/>
      <c r="BL52" s="2046"/>
      <c r="BM52" s="2047"/>
      <c r="BN52" s="2047"/>
      <c r="BO52" s="2047"/>
      <c r="BP52" s="2047"/>
      <c r="BQ52" s="2047"/>
      <c r="BR52" s="2047"/>
      <c r="BS52" s="2047"/>
      <c r="BT52" s="2047"/>
      <c r="BU52" s="2047"/>
      <c r="BV52" s="2047"/>
      <c r="BW52" s="2047"/>
      <c r="BX52" s="2047"/>
      <c r="BY52" s="2047"/>
      <c r="BZ52" s="2047"/>
      <c r="CA52" s="2047"/>
      <c r="CB52" s="2047"/>
    </row>
    <row r="53" spans="1:80">
      <c r="A53" s="2047"/>
      <c r="C53" s="2046"/>
      <c r="D53" s="2046"/>
      <c r="E53" s="2046"/>
      <c r="F53" s="2046"/>
      <c r="G53" s="2046"/>
      <c r="H53" s="2046"/>
      <c r="I53" s="2046"/>
      <c r="J53" s="2046"/>
      <c r="K53" s="2046"/>
      <c r="L53" s="2046"/>
      <c r="M53" s="2046"/>
      <c r="N53" s="2046"/>
      <c r="O53" s="2046"/>
      <c r="P53" s="2046"/>
      <c r="Q53" s="2046"/>
      <c r="R53" s="2046"/>
      <c r="S53" s="2046"/>
      <c r="T53" s="2046"/>
      <c r="U53" s="2046"/>
      <c r="V53" s="2046"/>
      <c r="W53" s="2046"/>
      <c r="X53" s="2046"/>
      <c r="Y53" s="2046"/>
      <c r="Z53" s="2046"/>
      <c r="AA53" s="2046"/>
      <c r="AB53" s="2046"/>
      <c r="AC53" s="2046"/>
      <c r="AD53" s="2046"/>
      <c r="AE53" s="2046"/>
      <c r="AF53" s="2046"/>
      <c r="AG53" s="2046"/>
      <c r="AH53" s="2046"/>
      <c r="AI53" s="2046"/>
      <c r="AJ53" s="2046"/>
      <c r="AK53" s="2046"/>
      <c r="AL53" s="2046"/>
      <c r="AM53" s="2046"/>
      <c r="AN53" s="2046"/>
      <c r="AO53" s="2046"/>
      <c r="AP53" s="2046"/>
      <c r="AQ53" s="2046"/>
      <c r="AR53" s="2046"/>
      <c r="AS53" s="2046"/>
      <c r="AT53" s="2046"/>
      <c r="AU53" s="2046"/>
      <c r="AV53" s="2046"/>
      <c r="AW53" s="2046"/>
      <c r="AX53" s="2046"/>
      <c r="AY53" s="2046"/>
      <c r="AZ53" s="2046"/>
      <c r="BA53" s="2046"/>
      <c r="BB53" s="2046"/>
      <c r="BC53" s="2046"/>
      <c r="BD53" s="2046"/>
      <c r="BE53" s="2046"/>
      <c r="BF53" s="2046"/>
      <c r="BG53" s="2046"/>
      <c r="BH53" s="2046"/>
      <c r="BI53" s="2046"/>
      <c r="BJ53" s="2046"/>
      <c r="BK53" s="2046"/>
      <c r="BL53" s="2046"/>
      <c r="BM53" s="2047"/>
      <c r="BN53" s="2047"/>
      <c r="BO53" s="2047"/>
      <c r="BP53" s="2047"/>
      <c r="BQ53" s="2047"/>
      <c r="BR53" s="2047"/>
      <c r="BS53" s="2047"/>
      <c r="BT53" s="2047"/>
      <c r="BU53" s="2047"/>
      <c r="BV53" s="2047"/>
      <c r="BW53" s="2047"/>
      <c r="BX53" s="2047"/>
      <c r="BY53" s="2047"/>
      <c r="BZ53" s="2047"/>
      <c r="CA53" s="2047"/>
      <c r="CB53" s="2047"/>
    </row>
    <row r="54" spans="1:80">
      <c r="A54" s="2047"/>
      <c r="C54" s="2046"/>
      <c r="D54" s="2046"/>
      <c r="E54" s="2046"/>
      <c r="F54" s="2046"/>
      <c r="G54" s="2046"/>
      <c r="H54" s="2046"/>
      <c r="I54" s="2046"/>
      <c r="J54" s="2046"/>
      <c r="K54" s="2046"/>
      <c r="L54" s="2046"/>
      <c r="M54" s="2046"/>
      <c r="N54" s="2046"/>
      <c r="O54" s="2046"/>
      <c r="P54" s="2046"/>
      <c r="Q54" s="2046"/>
      <c r="R54" s="2046"/>
      <c r="S54" s="2046"/>
      <c r="T54" s="2046"/>
      <c r="U54" s="2046"/>
      <c r="V54" s="2046"/>
      <c r="W54" s="2046"/>
      <c r="X54" s="2046"/>
      <c r="Y54" s="2046"/>
      <c r="Z54" s="2046"/>
      <c r="AA54" s="2046"/>
      <c r="AB54" s="2046"/>
      <c r="AC54" s="2046"/>
      <c r="AD54" s="2046"/>
      <c r="AE54" s="2046"/>
      <c r="AF54" s="2046"/>
      <c r="AG54" s="2046"/>
      <c r="AH54" s="2046"/>
      <c r="AI54" s="2046"/>
      <c r="AJ54" s="2046"/>
      <c r="AK54" s="2046"/>
      <c r="AL54" s="2046"/>
      <c r="AM54" s="2046"/>
      <c r="AN54" s="2046"/>
      <c r="AO54" s="2046"/>
      <c r="AP54" s="2046"/>
      <c r="AQ54" s="2046"/>
      <c r="AR54" s="2046"/>
      <c r="AS54" s="2046"/>
      <c r="AT54" s="2046"/>
      <c r="AU54" s="2046"/>
      <c r="AV54" s="2046"/>
      <c r="AW54" s="2046"/>
      <c r="AX54" s="2046"/>
      <c r="AY54" s="2046"/>
      <c r="AZ54" s="2046"/>
      <c r="BA54" s="2046"/>
      <c r="BB54" s="2046"/>
      <c r="BC54" s="2046"/>
      <c r="BD54" s="2046"/>
      <c r="BE54" s="2046"/>
      <c r="BF54" s="2046"/>
      <c r="BG54" s="2046"/>
      <c r="BH54" s="2046"/>
      <c r="BI54" s="2046"/>
      <c r="BJ54" s="2046"/>
      <c r="BK54" s="2046"/>
      <c r="BL54" s="2046"/>
      <c r="BM54" s="2047"/>
      <c r="BN54" s="2047"/>
      <c r="BO54" s="2047"/>
      <c r="BP54" s="2047"/>
      <c r="BQ54" s="2047"/>
      <c r="BR54" s="2047"/>
      <c r="BS54" s="2047"/>
      <c r="BT54" s="2047"/>
      <c r="BU54" s="2047"/>
      <c r="BV54" s="2047"/>
      <c r="BW54" s="2047"/>
      <c r="BX54" s="2047"/>
      <c r="BY54" s="2047"/>
      <c r="BZ54" s="2047"/>
      <c r="CA54" s="2047"/>
      <c r="CB54" s="2047"/>
    </row>
    <row r="55" spans="1:80">
      <c r="A55" s="2047"/>
      <c r="C55" s="2046"/>
      <c r="D55" s="2046"/>
      <c r="E55" s="2046"/>
      <c r="F55" s="2046"/>
      <c r="G55" s="2046"/>
      <c r="H55" s="2046"/>
      <c r="I55" s="2046"/>
      <c r="J55" s="2046"/>
      <c r="K55" s="2046"/>
      <c r="L55" s="2046"/>
      <c r="M55" s="2046"/>
      <c r="N55" s="2046"/>
      <c r="O55" s="2046"/>
      <c r="P55" s="2046"/>
      <c r="Q55" s="2046"/>
      <c r="R55" s="2046"/>
      <c r="S55" s="2046"/>
      <c r="T55" s="2046"/>
      <c r="U55" s="2046"/>
      <c r="V55" s="2046"/>
      <c r="W55" s="2046"/>
      <c r="X55" s="2046"/>
      <c r="Y55" s="2046"/>
      <c r="Z55" s="2046"/>
      <c r="AA55" s="2046"/>
      <c r="AB55" s="2046"/>
      <c r="AC55" s="2046"/>
      <c r="AD55" s="2046"/>
      <c r="AE55" s="2046"/>
      <c r="AF55" s="2046"/>
      <c r="AG55" s="2046"/>
      <c r="AH55" s="2046"/>
      <c r="AI55" s="2046"/>
      <c r="AJ55" s="2046"/>
      <c r="AK55" s="2046"/>
      <c r="AL55" s="2046"/>
      <c r="AM55" s="2046"/>
      <c r="AN55" s="2046"/>
      <c r="AO55" s="2046"/>
      <c r="AP55" s="2046"/>
      <c r="AQ55" s="2046"/>
      <c r="AR55" s="2046"/>
      <c r="AS55" s="2046"/>
      <c r="AT55" s="2046"/>
      <c r="AU55" s="2046"/>
      <c r="AV55" s="2046"/>
      <c r="AW55" s="2046"/>
      <c r="AX55" s="2046"/>
      <c r="AY55" s="2046"/>
      <c r="AZ55" s="2046"/>
      <c r="BA55" s="2046"/>
      <c r="BB55" s="2046"/>
      <c r="BC55" s="2046"/>
      <c r="BD55" s="2046"/>
      <c r="BE55" s="2046"/>
      <c r="BF55" s="2046"/>
      <c r="BG55" s="2046"/>
      <c r="BH55" s="2046"/>
      <c r="BI55" s="2046"/>
      <c r="BJ55" s="2046"/>
      <c r="BK55" s="2046"/>
      <c r="BL55" s="2046"/>
      <c r="BM55" s="2047"/>
      <c r="BN55" s="2047"/>
      <c r="BO55" s="2047"/>
      <c r="BP55" s="2047"/>
      <c r="BQ55" s="2047"/>
      <c r="BR55" s="2047"/>
      <c r="BS55" s="2047"/>
      <c r="BT55" s="2047"/>
      <c r="BU55" s="2047"/>
      <c r="BV55" s="2047"/>
      <c r="BW55" s="2047"/>
      <c r="BX55" s="2047"/>
      <c r="BY55" s="2047"/>
      <c r="BZ55" s="2047"/>
      <c r="CA55" s="2047"/>
      <c r="CB55" s="2047"/>
    </row>
    <row r="56" spans="1:80">
      <c r="A56" s="2047"/>
      <c r="C56" s="2046"/>
      <c r="D56" s="2046"/>
      <c r="E56" s="2046"/>
      <c r="F56" s="2046"/>
      <c r="G56" s="2046"/>
      <c r="H56" s="2046"/>
      <c r="I56" s="2046"/>
      <c r="J56" s="2046"/>
      <c r="K56" s="2046"/>
      <c r="L56" s="2046"/>
      <c r="M56" s="2046"/>
      <c r="N56" s="2046"/>
      <c r="O56" s="2046"/>
      <c r="P56" s="2046"/>
      <c r="Q56" s="2046"/>
      <c r="R56" s="2046"/>
      <c r="S56" s="2046"/>
      <c r="T56" s="2046"/>
      <c r="U56" s="2046"/>
      <c r="V56" s="2046"/>
      <c r="W56" s="2046"/>
      <c r="X56" s="2046"/>
      <c r="Y56" s="2046"/>
      <c r="Z56" s="2046"/>
      <c r="AA56" s="2046"/>
      <c r="AB56" s="2046"/>
      <c r="AC56" s="2046"/>
      <c r="AD56" s="2046"/>
      <c r="AE56" s="2046"/>
      <c r="AF56" s="2046"/>
      <c r="AG56" s="2046"/>
      <c r="AH56" s="2046"/>
      <c r="AI56" s="2046"/>
      <c r="AJ56" s="2046"/>
      <c r="AK56" s="2046"/>
      <c r="AL56" s="2046"/>
      <c r="AM56" s="2046"/>
      <c r="AN56" s="2046"/>
      <c r="AO56" s="2046"/>
      <c r="AP56" s="2046"/>
      <c r="AQ56" s="2046"/>
      <c r="AR56" s="2046"/>
      <c r="AS56" s="2046"/>
      <c r="AT56" s="2046"/>
      <c r="AU56" s="2046"/>
      <c r="AV56" s="2046"/>
      <c r="AW56" s="2046"/>
      <c r="AX56" s="2046"/>
      <c r="AY56" s="2046"/>
      <c r="AZ56" s="2046"/>
      <c r="BA56" s="2046"/>
      <c r="BB56" s="2046"/>
      <c r="BC56" s="2046"/>
      <c r="BD56" s="2046"/>
      <c r="BE56" s="2046"/>
      <c r="BF56" s="2046"/>
      <c r="BG56" s="2046"/>
      <c r="BH56" s="2046"/>
      <c r="BI56" s="2046"/>
      <c r="BJ56" s="2046"/>
      <c r="BK56" s="2046"/>
      <c r="BL56" s="2046"/>
      <c r="BM56" s="2047"/>
      <c r="BN56" s="2047"/>
      <c r="BO56" s="2047"/>
      <c r="BP56" s="2047"/>
      <c r="BQ56" s="2047"/>
      <c r="BR56" s="2047"/>
      <c r="BS56" s="2047"/>
      <c r="BT56" s="2047"/>
      <c r="BU56" s="2047"/>
      <c r="BV56" s="2047"/>
      <c r="BW56" s="2047"/>
      <c r="BX56" s="2047"/>
      <c r="BY56" s="2047"/>
      <c r="BZ56" s="2047"/>
      <c r="CA56" s="2047"/>
      <c r="CB56" s="2047"/>
    </row>
    <row r="57" spans="1:80">
      <c r="A57" s="2047"/>
      <c r="C57" s="2046"/>
      <c r="D57" s="2046"/>
      <c r="E57" s="2046"/>
      <c r="F57" s="2046"/>
      <c r="G57" s="2046"/>
      <c r="H57" s="2046"/>
      <c r="I57" s="2046"/>
      <c r="J57" s="2046"/>
      <c r="K57" s="2046"/>
      <c r="L57" s="2046"/>
      <c r="M57" s="2046"/>
      <c r="N57" s="2046"/>
      <c r="O57" s="2046"/>
      <c r="P57" s="2046"/>
      <c r="Q57" s="2046"/>
      <c r="R57" s="2046"/>
      <c r="S57" s="2046"/>
      <c r="T57" s="2046"/>
      <c r="U57" s="2046"/>
      <c r="V57" s="2046"/>
      <c r="W57" s="2046"/>
      <c r="X57" s="2046"/>
      <c r="Y57" s="2046"/>
      <c r="Z57" s="2046"/>
      <c r="AA57" s="2046"/>
      <c r="AB57" s="2046"/>
      <c r="AC57" s="2046"/>
      <c r="AD57" s="2046"/>
      <c r="AE57" s="2046"/>
      <c r="AF57" s="2046"/>
      <c r="AG57" s="2046"/>
      <c r="AH57" s="2046"/>
      <c r="AI57" s="2046"/>
      <c r="AJ57" s="2046"/>
      <c r="AK57" s="2046"/>
      <c r="AL57" s="2046"/>
      <c r="AM57" s="2046"/>
      <c r="AN57" s="2046"/>
      <c r="AO57" s="2046"/>
      <c r="AP57" s="2046"/>
      <c r="AQ57" s="2046"/>
      <c r="AR57" s="2046"/>
      <c r="AS57" s="2046"/>
      <c r="AT57" s="2046"/>
      <c r="AU57" s="2046"/>
      <c r="AV57" s="2046"/>
      <c r="AW57" s="2046"/>
      <c r="AX57" s="2046"/>
      <c r="AY57" s="2046"/>
      <c r="AZ57" s="2046"/>
      <c r="BA57" s="2046"/>
      <c r="BB57" s="2046"/>
      <c r="BC57" s="2046"/>
      <c r="BD57" s="2046"/>
      <c r="BE57" s="2046"/>
      <c r="BF57" s="2046"/>
      <c r="BG57" s="2046"/>
      <c r="BH57" s="2046"/>
      <c r="BI57" s="2046"/>
      <c r="BJ57" s="2046"/>
      <c r="BK57" s="2046"/>
      <c r="BL57" s="2046"/>
      <c r="BM57" s="2047"/>
      <c r="BN57" s="2047"/>
      <c r="BO57" s="2047"/>
      <c r="BP57" s="2047"/>
      <c r="BQ57" s="2047"/>
      <c r="BR57" s="2047"/>
      <c r="BS57" s="2047"/>
      <c r="BT57" s="2047"/>
      <c r="BU57" s="2047"/>
      <c r="BV57" s="2047"/>
      <c r="BW57" s="2047"/>
      <c r="BX57" s="2047"/>
      <c r="BY57" s="2047"/>
      <c r="BZ57" s="2047"/>
      <c r="CA57" s="2047"/>
      <c r="CB57" s="2047"/>
    </row>
    <row r="58" spans="1:80">
      <c r="A58" s="2047"/>
      <c r="C58" s="2046"/>
      <c r="D58" s="2046"/>
      <c r="E58" s="2046"/>
      <c r="F58" s="2046"/>
      <c r="G58" s="2046"/>
      <c r="H58" s="2046"/>
      <c r="I58" s="2046"/>
      <c r="J58" s="2046"/>
      <c r="K58" s="2046"/>
      <c r="L58" s="2046"/>
      <c r="M58" s="2046"/>
      <c r="N58" s="2046"/>
      <c r="O58" s="2046"/>
      <c r="P58" s="2046"/>
      <c r="Q58" s="2046"/>
      <c r="R58" s="2046"/>
      <c r="S58" s="2046"/>
      <c r="T58" s="2046"/>
      <c r="U58" s="2046"/>
      <c r="V58" s="2046"/>
      <c r="W58" s="2046"/>
      <c r="X58" s="2046"/>
      <c r="Y58" s="2046"/>
      <c r="Z58" s="2046"/>
      <c r="AA58" s="2046"/>
      <c r="AB58" s="2046"/>
      <c r="AC58" s="2046"/>
      <c r="AD58" s="2046"/>
      <c r="AE58" s="2046"/>
      <c r="AF58" s="2046"/>
      <c r="AG58" s="2046"/>
      <c r="AH58" s="2046"/>
      <c r="AI58" s="2046"/>
      <c r="AJ58" s="2046"/>
      <c r="AK58" s="2046"/>
      <c r="AL58" s="2046"/>
      <c r="AM58" s="2046"/>
      <c r="AN58" s="2046"/>
      <c r="AO58" s="2046"/>
      <c r="AP58" s="2046"/>
      <c r="AQ58" s="2046"/>
      <c r="AR58" s="2046"/>
      <c r="AS58" s="2046"/>
      <c r="AT58" s="2046"/>
      <c r="AU58" s="2046"/>
      <c r="AV58" s="2046"/>
      <c r="AW58" s="2046"/>
      <c r="AX58" s="2046"/>
      <c r="AY58" s="2046"/>
      <c r="AZ58" s="2046"/>
      <c r="BA58" s="2046"/>
      <c r="BB58" s="2046"/>
      <c r="BC58" s="2046"/>
      <c r="BD58" s="2046"/>
      <c r="BE58" s="2046"/>
      <c r="BF58" s="2046"/>
      <c r="BG58" s="2046"/>
      <c r="BH58" s="2046"/>
      <c r="BI58" s="2046"/>
      <c r="BJ58" s="2046"/>
      <c r="BK58" s="2046"/>
      <c r="BL58" s="2046"/>
      <c r="BM58" s="2047"/>
      <c r="BN58" s="2047"/>
      <c r="BO58" s="2047"/>
      <c r="BP58" s="2047"/>
      <c r="BQ58" s="2047"/>
      <c r="BR58" s="2047"/>
      <c r="BS58" s="2047"/>
      <c r="BT58" s="2047"/>
      <c r="BU58" s="2047"/>
      <c r="BV58" s="2047"/>
      <c r="BW58" s="2047"/>
      <c r="BX58" s="2047"/>
      <c r="BY58" s="2047"/>
      <c r="BZ58" s="2047"/>
      <c r="CA58" s="2047"/>
      <c r="CB58" s="2047"/>
    </row>
    <row r="59" spans="1:80">
      <c r="A59" s="2047"/>
      <c r="C59" s="2046"/>
      <c r="D59" s="2046"/>
      <c r="E59" s="2046"/>
      <c r="F59" s="2046"/>
      <c r="G59" s="2046"/>
      <c r="H59" s="2046"/>
      <c r="I59" s="2046"/>
      <c r="J59" s="2046"/>
      <c r="K59" s="2046"/>
      <c r="L59" s="2046"/>
      <c r="M59" s="2046"/>
      <c r="N59" s="2046"/>
      <c r="O59" s="2046"/>
      <c r="P59" s="2046"/>
      <c r="Q59" s="2046"/>
      <c r="R59" s="2046"/>
      <c r="S59" s="2046"/>
      <c r="T59" s="2046"/>
      <c r="U59" s="2046"/>
      <c r="V59" s="2046"/>
      <c r="W59" s="2046"/>
      <c r="X59" s="2046"/>
      <c r="Y59" s="2046"/>
      <c r="Z59" s="2046"/>
      <c r="AA59" s="2046"/>
      <c r="AB59" s="2046"/>
      <c r="AC59" s="2046"/>
      <c r="AD59" s="2046"/>
      <c r="AE59" s="2046"/>
      <c r="AF59" s="2046"/>
      <c r="AG59" s="2046"/>
      <c r="AH59" s="2046"/>
      <c r="AI59" s="2046"/>
      <c r="AJ59" s="2046"/>
      <c r="AK59" s="2046"/>
      <c r="AL59" s="2046"/>
      <c r="AM59" s="2046"/>
      <c r="AN59" s="2046"/>
      <c r="AO59" s="2046"/>
      <c r="AP59" s="2046"/>
      <c r="AQ59" s="2046"/>
      <c r="AR59" s="2046"/>
      <c r="AS59" s="2046"/>
      <c r="AT59" s="2046"/>
      <c r="AU59" s="2046"/>
      <c r="AV59" s="2046"/>
      <c r="AW59" s="2046"/>
      <c r="AX59" s="2046"/>
      <c r="AY59" s="2046"/>
      <c r="AZ59" s="2046"/>
      <c r="BA59" s="2046"/>
      <c r="BB59" s="2046"/>
      <c r="BC59" s="2046"/>
      <c r="BD59" s="2046"/>
      <c r="BE59" s="2046"/>
      <c r="BF59" s="2046"/>
      <c r="BG59" s="2046"/>
      <c r="BH59" s="2046"/>
      <c r="BI59" s="2046"/>
      <c r="BJ59" s="2046"/>
      <c r="BK59" s="2046"/>
      <c r="BL59" s="2046"/>
      <c r="BM59" s="2047"/>
      <c r="BN59" s="2047"/>
      <c r="BO59" s="2047"/>
      <c r="BP59" s="2047"/>
      <c r="BQ59" s="2047"/>
      <c r="BR59" s="2047"/>
      <c r="BS59" s="2047"/>
      <c r="BT59" s="2047"/>
      <c r="BU59" s="2047"/>
      <c r="BV59" s="2047"/>
      <c r="BW59" s="2047"/>
      <c r="BX59" s="2047"/>
      <c r="BY59" s="2047"/>
      <c r="BZ59" s="2047"/>
      <c r="CA59" s="2047"/>
      <c r="CB59" s="2047"/>
    </row>
    <row r="60" spans="1:80">
      <c r="A60" s="2047"/>
      <c r="C60" s="2046"/>
      <c r="D60" s="2046"/>
      <c r="E60" s="2046"/>
      <c r="F60" s="2046"/>
      <c r="G60" s="2046"/>
      <c r="H60" s="2046"/>
      <c r="I60" s="2046"/>
      <c r="J60" s="2046"/>
      <c r="K60" s="2046"/>
      <c r="L60" s="2046"/>
      <c r="M60" s="2046"/>
      <c r="N60" s="2046"/>
      <c r="O60" s="2046"/>
      <c r="P60" s="2046"/>
      <c r="Q60" s="2046"/>
      <c r="R60" s="2046"/>
      <c r="S60" s="2046"/>
      <c r="T60" s="2046"/>
      <c r="U60" s="2046"/>
      <c r="V60" s="2046"/>
      <c r="W60" s="2046"/>
      <c r="X60" s="2046"/>
      <c r="Y60" s="2046"/>
      <c r="Z60" s="2046"/>
      <c r="AA60" s="2046"/>
      <c r="AB60" s="2046"/>
      <c r="AC60" s="2046"/>
      <c r="AD60" s="2046"/>
      <c r="AE60" s="2046"/>
      <c r="AF60" s="2046"/>
      <c r="AG60" s="2046"/>
      <c r="AH60" s="2046"/>
      <c r="AI60" s="2046"/>
      <c r="AJ60" s="2046"/>
      <c r="AK60" s="2046"/>
      <c r="AL60" s="2046"/>
      <c r="AM60" s="2046"/>
      <c r="AN60" s="2046"/>
      <c r="AO60" s="2046"/>
      <c r="AP60" s="2046"/>
      <c r="AQ60" s="2046"/>
      <c r="AR60" s="2046"/>
      <c r="AS60" s="2046"/>
      <c r="AT60" s="2046"/>
      <c r="AU60" s="2046"/>
      <c r="AV60" s="2046"/>
      <c r="AW60" s="2046"/>
      <c r="AX60" s="2046"/>
      <c r="AY60" s="2046"/>
      <c r="AZ60" s="2046"/>
      <c r="BA60" s="2046"/>
      <c r="BB60" s="2046"/>
      <c r="BC60" s="2046"/>
      <c r="BD60" s="2046"/>
      <c r="BE60" s="2046"/>
      <c r="BF60" s="2046"/>
      <c r="BG60" s="2046"/>
      <c r="BH60" s="2046"/>
      <c r="BI60" s="2046"/>
      <c r="BJ60" s="2046"/>
      <c r="BK60" s="2046"/>
      <c r="BL60" s="2046"/>
      <c r="BM60" s="2047"/>
      <c r="BN60" s="2047"/>
      <c r="BO60" s="2047"/>
      <c r="BP60" s="2047"/>
      <c r="BQ60" s="2047"/>
      <c r="BR60" s="2047"/>
      <c r="BS60" s="2047"/>
      <c r="BT60" s="2047"/>
      <c r="BU60" s="2047"/>
      <c r="BV60" s="2047"/>
      <c r="BW60" s="2047"/>
      <c r="BX60" s="2047"/>
      <c r="BY60" s="2047"/>
      <c r="BZ60" s="2047"/>
      <c r="CA60" s="2047"/>
      <c r="CB60" s="2047"/>
    </row>
    <row r="61" spans="1:80">
      <c r="A61" s="2047"/>
      <c r="C61" s="2046"/>
      <c r="D61" s="2046"/>
      <c r="E61" s="2046"/>
      <c r="F61" s="2046"/>
      <c r="G61" s="2046"/>
      <c r="H61" s="2046"/>
      <c r="I61" s="2046"/>
      <c r="J61" s="2046"/>
      <c r="K61" s="2046"/>
      <c r="L61" s="2046"/>
      <c r="M61" s="2046"/>
      <c r="N61" s="2046"/>
      <c r="O61" s="2046"/>
      <c r="P61" s="2046"/>
      <c r="Q61" s="2046"/>
      <c r="R61" s="2046"/>
      <c r="S61" s="2046"/>
      <c r="T61" s="2046"/>
      <c r="U61" s="2046"/>
      <c r="V61" s="2046"/>
      <c r="W61" s="2046"/>
      <c r="X61" s="2046"/>
      <c r="Y61" s="2046"/>
      <c r="Z61" s="2046"/>
      <c r="AA61" s="2046"/>
      <c r="AB61" s="2046"/>
      <c r="AC61" s="2046"/>
      <c r="AD61" s="2046"/>
      <c r="AE61" s="2046"/>
      <c r="AF61" s="2046"/>
      <c r="AG61" s="2046"/>
      <c r="AH61" s="2046"/>
      <c r="AI61" s="2046"/>
      <c r="AJ61" s="2046"/>
      <c r="AK61" s="2046"/>
      <c r="AL61" s="2046"/>
      <c r="AM61" s="2046"/>
      <c r="AN61" s="2046"/>
      <c r="AO61" s="2046"/>
      <c r="AP61" s="2046"/>
      <c r="AQ61" s="2046"/>
      <c r="AR61" s="2046"/>
      <c r="AS61" s="2046"/>
      <c r="AT61" s="2046"/>
      <c r="AU61" s="2046"/>
      <c r="AV61" s="2046"/>
      <c r="AW61" s="2046"/>
      <c r="AX61" s="2046"/>
      <c r="AY61" s="2046"/>
      <c r="AZ61" s="2046"/>
      <c r="BA61" s="2046"/>
      <c r="BB61" s="2046"/>
      <c r="BC61" s="2046"/>
      <c r="BD61" s="2046"/>
      <c r="BE61" s="2046"/>
      <c r="BF61" s="2046"/>
      <c r="BG61" s="2046"/>
      <c r="BH61" s="2046"/>
      <c r="BI61" s="2046"/>
      <c r="BJ61" s="2046"/>
      <c r="BK61" s="2046"/>
      <c r="BL61" s="2046"/>
      <c r="BM61" s="2047"/>
      <c r="BN61" s="2047"/>
      <c r="BO61" s="2047"/>
      <c r="BP61" s="2047"/>
      <c r="BQ61" s="2047"/>
      <c r="BR61" s="2047"/>
      <c r="BS61" s="2047"/>
      <c r="BT61" s="2047"/>
      <c r="BU61" s="2047"/>
      <c r="BV61" s="2047"/>
      <c r="BW61" s="2047"/>
      <c r="BX61" s="2047"/>
      <c r="BY61" s="2047"/>
      <c r="BZ61" s="2047"/>
      <c r="CA61" s="2047"/>
      <c r="CB61" s="2047"/>
    </row>
    <row r="62" spans="1:80">
      <c r="A62" s="2047"/>
      <c r="C62" s="2046"/>
      <c r="D62" s="2046"/>
      <c r="E62" s="2046"/>
      <c r="F62" s="2046"/>
      <c r="G62" s="2046"/>
      <c r="H62" s="2046"/>
      <c r="I62" s="2046"/>
      <c r="J62" s="2046"/>
      <c r="K62" s="2046"/>
      <c r="L62" s="2046"/>
      <c r="M62" s="2046"/>
      <c r="N62" s="2046"/>
      <c r="O62" s="2046"/>
      <c r="P62" s="2046"/>
      <c r="Q62" s="2046"/>
      <c r="R62" s="2046"/>
      <c r="S62" s="2046"/>
      <c r="T62" s="2046"/>
      <c r="U62" s="2046"/>
      <c r="V62" s="2046"/>
      <c r="W62" s="2046"/>
      <c r="X62" s="2046"/>
      <c r="Y62" s="2046"/>
      <c r="Z62" s="2046"/>
      <c r="AA62" s="2046"/>
      <c r="AB62" s="2046"/>
      <c r="AC62" s="2046"/>
      <c r="AD62" s="2046"/>
      <c r="AE62" s="2046"/>
      <c r="AF62" s="2046"/>
      <c r="AG62" s="2046"/>
      <c r="AH62" s="2046"/>
      <c r="AI62" s="2046"/>
      <c r="AJ62" s="2046"/>
      <c r="AK62" s="2046"/>
      <c r="AL62" s="2046"/>
      <c r="AM62" s="2046"/>
      <c r="AN62" s="2046"/>
      <c r="AO62" s="2046"/>
      <c r="AP62" s="2046"/>
      <c r="AQ62" s="2046"/>
      <c r="AR62" s="2046"/>
      <c r="AS62" s="2046"/>
      <c r="AT62" s="2046"/>
      <c r="AU62" s="2046"/>
      <c r="AV62" s="2046"/>
      <c r="AW62" s="2046"/>
      <c r="AX62" s="2046"/>
      <c r="AY62" s="2046"/>
      <c r="AZ62" s="2046"/>
      <c r="BA62" s="2046"/>
      <c r="BB62" s="2046"/>
      <c r="BC62" s="2046"/>
      <c r="BD62" s="2046"/>
      <c r="BE62" s="2046"/>
      <c r="BF62" s="2046"/>
      <c r="BG62" s="2046"/>
      <c r="BH62" s="2046"/>
      <c r="BI62" s="2046"/>
      <c r="BJ62" s="2046"/>
      <c r="BK62" s="2046"/>
      <c r="BL62" s="2046"/>
      <c r="BM62" s="2047"/>
      <c r="BN62" s="2047"/>
      <c r="BO62" s="2047"/>
      <c r="BP62" s="2047"/>
      <c r="BQ62" s="2047"/>
      <c r="BR62" s="2047"/>
      <c r="BS62" s="2047"/>
      <c r="BT62" s="2047"/>
      <c r="BU62" s="2047"/>
      <c r="BV62" s="2047"/>
      <c r="BW62" s="2047"/>
      <c r="BX62" s="2047"/>
      <c r="BY62" s="2047"/>
      <c r="BZ62" s="2047"/>
      <c r="CA62" s="2047"/>
      <c r="CB62" s="2047"/>
    </row>
    <row r="63" spans="1:80">
      <c r="A63" s="2047"/>
      <c r="C63" s="2046"/>
      <c r="D63" s="2046"/>
      <c r="E63" s="2046"/>
      <c r="F63" s="2046"/>
      <c r="G63" s="2046"/>
      <c r="H63" s="2046"/>
      <c r="I63" s="2046"/>
      <c r="J63" s="2046"/>
      <c r="K63" s="2046"/>
      <c r="L63" s="2046"/>
      <c r="M63" s="2046"/>
      <c r="N63" s="2046"/>
      <c r="O63" s="2046"/>
      <c r="P63" s="2046"/>
      <c r="Q63" s="2046"/>
      <c r="R63" s="2046"/>
      <c r="S63" s="2046"/>
      <c r="T63" s="2046"/>
      <c r="U63" s="2046"/>
      <c r="V63" s="2046"/>
      <c r="W63" s="2046"/>
      <c r="X63" s="2046"/>
      <c r="Y63" s="2046"/>
      <c r="Z63" s="2046"/>
      <c r="AA63" s="2046"/>
      <c r="AB63" s="2046"/>
      <c r="AC63" s="2046"/>
      <c r="AD63" s="2046"/>
      <c r="AE63" s="2046"/>
      <c r="AF63" s="2046"/>
      <c r="AG63" s="2046"/>
      <c r="AH63" s="2046"/>
      <c r="AI63" s="2046"/>
      <c r="AJ63" s="2046"/>
      <c r="AK63" s="2046"/>
      <c r="AL63" s="2046"/>
      <c r="AM63" s="2046"/>
      <c r="AN63" s="2046"/>
      <c r="AO63" s="2046"/>
      <c r="AP63" s="2046"/>
      <c r="AQ63" s="2046"/>
      <c r="AR63" s="2046"/>
      <c r="AS63" s="2046"/>
      <c r="AT63" s="2046"/>
      <c r="AU63" s="2046"/>
      <c r="AV63" s="2046"/>
      <c r="AW63" s="2046"/>
      <c r="AX63" s="2046"/>
      <c r="AY63" s="2046"/>
      <c r="AZ63" s="2046"/>
      <c r="BA63" s="2046"/>
      <c r="BB63" s="2046"/>
      <c r="BC63" s="2046"/>
      <c r="BD63" s="2046"/>
      <c r="BE63" s="2046"/>
      <c r="BF63" s="2046"/>
      <c r="BG63" s="2046"/>
      <c r="BH63" s="2046"/>
      <c r="BI63" s="2046"/>
      <c r="BJ63" s="2046"/>
      <c r="BK63" s="2046"/>
      <c r="BL63" s="2046"/>
      <c r="BM63" s="2047"/>
      <c r="BN63" s="2047"/>
      <c r="BO63" s="2047"/>
      <c r="BP63" s="2047"/>
      <c r="BQ63" s="2047"/>
      <c r="BR63" s="2047"/>
      <c r="BS63" s="2047"/>
      <c r="BT63" s="2047"/>
      <c r="BU63" s="2047"/>
      <c r="BV63" s="2047"/>
      <c r="BW63" s="2047"/>
      <c r="BX63" s="2047"/>
      <c r="BY63" s="2047"/>
      <c r="BZ63" s="2047"/>
      <c r="CA63" s="2047"/>
      <c r="CB63" s="2047"/>
    </row>
    <row r="64" spans="1:80">
      <c r="A64" s="2047"/>
      <c r="C64" s="2046"/>
      <c r="D64" s="2046"/>
      <c r="E64" s="2046"/>
      <c r="F64" s="2046"/>
      <c r="G64" s="2046"/>
      <c r="H64" s="2046"/>
      <c r="I64" s="2046"/>
      <c r="J64" s="2046"/>
      <c r="K64" s="2046"/>
      <c r="L64" s="2046"/>
      <c r="M64" s="2046"/>
      <c r="N64" s="2046"/>
      <c r="O64" s="2046"/>
      <c r="P64" s="2046"/>
      <c r="Q64" s="2046"/>
      <c r="R64" s="2046"/>
      <c r="S64" s="2046"/>
      <c r="T64" s="2046"/>
      <c r="U64" s="2046"/>
      <c r="V64" s="2046"/>
      <c r="W64" s="2046"/>
      <c r="X64" s="2046"/>
      <c r="Y64" s="2046"/>
      <c r="Z64" s="2046"/>
      <c r="AA64" s="2046"/>
      <c r="AB64" s="2046"/>
      <c r="AC64" s="2046"/>
      <c r="AD64" s="2046"/>
      <c r="AE64" s="2046"/>
      <c r="AF64" s="2046"/>
      <c r="AG64" s="2046"/>
      <c r="AH64" s="2046"/>
      <c r="AI64" s="2046"/>
      <c r="AJ64" s="2046"/>
      <c r="AK64" s="2046"/>
      <c r="AL64" s="2046"/>
      <c r="AM64" s="2046"/>
      <c r="AN64" s="2046"/>
      <c r="AO64" s="2046"/>
      <c r="AP64" s="2046"/>
      <c r="AQ64" s="2046"/>
      <c r="AR64" s="2046"/>
      <c r="AS64" s="2046"/>
      <c r="AT64" s="2046"/>
      <c r="AU64" s="2046"/>
      <c r="AV64" s="2046"/>
      <c r="AW64" s="2046"/>
      <c r="AX64" s="2046"/>
      <c r="AY64" s="2046"/>
      <c r="AZ64" s="2046"/>
      <c r="BA64" s="2046"/>
      <c r="BB64" s="2046"/>
      <c r="BC64" s="2046"/>
      <c r="BD64" s="2046"/>
      <c r="BE64" s="2046"/>
      <c r="BF64" s="2046"/>
      <c r="BG64" s="2046"/>
      <c r="BH64" s="2046"/>
      <c r="BI64" s="2046"/>
      <c r="BJ64" s="2046"/>
      <c r="BK64" s="2046"/>
      <c r="BL64" s="2046"/>
      <c r="BM64" s="2047"/>
      <c r="BN64" s="2047"/>
      <c r="BO64" s="2047"/>
      <c r="BP64" s="2047"/>
      <c r="BQ64" s="2047"/>
      <c r="BR64" s="2047"/>
      <c r="BS64" s="2047"/>
      <c r="BT64" s="2047"/>
      <c r="BU64" s="2047"/>
      <c r="BV64" s="2047"/>
      <c r="BW64" s="2047"/>
      <c r="BX64" s="2047"/>
      <c r="BY64" s="2047"/>
      <c r="BZ64" s="2047"/>
      <c r="CA64" s="2047"/>
      <c r="CB64" s="2047"/>
    </row>
    <row r="65" spans="1:80">
      <c r="A65" s="2047"/>
      <c r="C65" s="2046"/>
      <c r="D65" s="2046"/>
      <c r="E65" s="2046"/>
      <c r="F65" s="2046"/>
      <c r="G65" s="2046"/>
      <c r="H65" s="2046"/>
      <c r="I65" s="2046"/>
      <c r="J65" s="2046"/>
      <c r="K65" s="2046"/>
      <c r="L65" s="2046"/>
      <c r="M65" s="2046"/>
      <c r="N65" s="2046"/>
      <c r="O65" s="2046"/>
      <c r="P65" s="2046"/>
      <c r="Q65" s="2046"/>
      <c r="R65" s="2046"/>
      <c r="S65" s="2046"/>
      <c r="T65" s="2046"/>
      <c r="U65" s="2046"/>
      <c r="V65" s="2046"/>
      <c r="W65" s="2046"/>
      <c r="X65" s="2046"/>
      <c r="Y65" s="2046"/>
      <c r="Z65" s="2046"/>
      <c r="AA65" s="2046"/>
      <c r="AB65" s="2046"/>
      <c r="AC65" s="2046"/>
      <c r="AD65" s="2046"/>
      <c r="AE65" s="2046"/>
      <c r="AF65" s="2046"/>
      <c r="AG65" s="2046"/>
      <c r="AH65" s="2046"/>
      <c r="AI65" s="2046"/>
      <c r="AJ65" s="2046"/>
      <c r="AK65" s="2046"/>
      <c r="AL65" s="2046"/>
      <c r="AM65" s="2046"/>
      <c r="AN65" s="2046"/>
      <c r="AO65" s="2046"/>
      <c r="AP65" s="2046"/>
      <c r="AQ65" s="2046"/>
      <c r="AR65" s="2046"/>
      <c r="AS65" s="2046"/>
      <c r="AT65" s="2046"/>
      <c r="AU65" s="2046"/>
      <c r="AV65" s="2046"/>
      <c r="AW65" s="2046"/>
      <c r="AX65" s="2046"/>
      <c r="AY65" s="2046"/>
      <c r="AZ65" s="2046"/>
      <c r="BA65" s="2046"/>
      <c r="BB65" s="2046"/>
      <c r="BC65" s="2046"/>
      <c r="BD65" s="2046"/>
      <c r="BE65" s="2046"/>
      <c r="BF65" s="2046"/>
      <c r="BG65" s="2046"/>
      <c r="BH65" s="2046"/>
      <c r="BI65" s="2046"/>
      <c r="BJ65" s="2046"/>
      <c r="BK65" s="2046"/>
      <c r="BL65" s="2046"/>
      <c r="BM65" s="2047"/>
      <c r="BN65" s="2047"/>
      <c r="BO65" s="2047"/>
      <c r="BP65" s="2047"/>
      <c r="BQ65" s="2047"/>
      <c r="BR65" s="2047"/>
      <c r="BS65" s="2047"/>
      <c r="BT65" s="2047"/>
      <c r="BU65" s="2047"/>
      <c r="BV65" s="2047"/>
      <c r="BW65" s="2047"/>
      <c r="BX65" s="2047"/>
      <c r="BY65" s="2047"/>
      <c r="BZ65" s="2047"/>
      <c r="CA65" s="2047"/>
      <c r="CB65" s="2047"/>
    </row>
    <row r="66" spans="1:80">
      <c r="A66" s="2047"/>
      <c r="C66" s="2046"/>
      <c r="D66" s="2046"/>
      <c r="E66" s="2046"/>
      <c r="F66" s="2046"/>
      <c r="G66" s="2046"/>
      <c r="H66" s="2046"/>
      <c r="I66" s="2046"/>
      <c r="J66" s="2046"/>
      <c r="K66" s="2046"/>
      <c r="L66" s="2046"/>
      <c r="M66" s="2046"/>
      <c r="N66" s="2046"/>
      <c r="O66" s="2046"/>
      <c r="P66" s="2046"/>
      <c r="Q66" s="2046"/>
      <c r="R66" s="2046"/>
      <c r="S66" s="2046"/>
      <c r="T66" s="2046"/>
      <c r="U66" s="2046"/>
      <c r="V66" s="2046"/>
      <c r="W66" s="2046"/>
      <c r="X66" s="2046"/>
      <c r="Y66" s="2046"/>
      <c r="Z66" s="2046"/>
      <c r="AA66" s="2046"/>
      <c r="AB66" s="2046"/>
      <c r="AC66" s="2046"/>
      <c r="AD66" s="2046"/>
      <c r="AE66" s="2046"/>
      <c r="AF66" s="2046"/>
      <c r="AG66" s="2046"/>
      <c r="AH66" s="2046"/>
      <c r="AI66" s="2046"/>
      <c r="AJ66" s="2046"/>
      <c r="AK66" s="2046"/>
      <c r="AL66" s="2046"/>
      <c r="AM66" s="2046"/>
      <c r="AN66" s="2046"/>
      <c r="AO66" s="2046"/>
      <c r="AP66" s="2046"/>
      <c r="AQ66" s="2046"/>
      <c r="AR66" s="2046"/>
      <c r="AS66" s="2046"/>
      <c r="AT66" s="2046"/>
      <c r="AU66" s="2046"/>
      <c r="AV66" s="2046"/>
      <c r="AW66" s="2046"/>
      <c r="AX66" s="2046"/>
      <c r="AY66" s="2046"/>
      <c r="AZ66" s="2046"/>
      <c r="BA66" s="2046"/>
      <c r="BB66" s="2046"/>
      <c r="BC66" s="2046"/>
      <c r="BD66" s="2046"/>
      <c r="BE66" s="2046"/>
      <c r="BF66" s="2046"/>
      <c r="BG66" s="2046"/>
      <c r="BH66" s="2046"/>
      <c r="BI66" s="2046"/>
      <c r="BJ66" s="2046"/>
      <c r="BK66" s="2046"/>
      <c r="BL66" s="2046"/>
      <c r="BM66" s="2047"/>
      <c r="BN66" s="2047"/>
      <c r="BO66" s="2047"/>
      <c r="BP66" s="2047"/>
      <c r="BQ66" s="2047"/>
      <c r="BR66" s="2047"/>
      <c r="BS66" s="2047"/>
      <c r="BT66" s="2047"/>
      <c r="BU66" s="2047"/>
      <c r="BV66" s="2047"/>
      <c r="BW66" s="2047"/>
      <c r="BX66" s="2047"/>
      <c r="BY66" s="2047"/>
      <c r="BZ66" s="2047"/>
      <c r="CA66" s="2047"/>
      <c r="CB66" s="2047"/>
    </row>
    <row r="67" spans="1:80">
      <c r="A67" s="2047"/>
      <c r="C67" s="2046"/>
      <c r="D67" s="2046"/>
      <c r="E67" s="2046"/>
      <c r="F67" s="2046"/>
      <c r="G67" s="2046"/>
      <c r="H67" s="2046"/>
      <c r="I67" s="2046"/>
      <c r="J67" s="2046"/>
      <c r="K67" s="2046"/>
      <c r="L67" s="2046"/>
      <c r="M67" s="2046"/>
      <c r="N67" s="2046"/>
      <c r="O67" s="2046"/>
      <c r="P67" s="2046"/>
      <c r="Q67" s="2046"/>
      <c r="R67" s="2046"/>
      <c r="S67" s="2046"/>
      <c r="T67" s="2046"/>
      <c r="U67" s="2046"/>
      <c r="V67" s="2046"/>
      <c r="W67" s="2046"/>
      <c r="X67" s="2046"/>
      <c r="Y67" s="2046"/>
      <c r="Z67" s="2046"/>
      <c r="AA67" s="2046"/>
      <c r="AB67" s="2046"/>
      <c r="AC67" s="2046"/>
      <c r="AD67" s="2046"/>
      <c r="AE67" s="2046"/>
      <c r="AF67" s="2046"/>
      <c r="AG67" s="2046"/>
      <c r="AH67" s="2046"/>
      <c r="AI67" s="2046"/>
      <c r="AJ67" s="2046"/>
      <c r="AK67" s="2046"/>
      <c r="AL67" s="2046"/>
      <c r="AM67" s="2046"/>
      <c r="AN67" s="2046"/>
      <c r="AO67" s="2046"/>
      <c r="AP67" s="2046"/>
      <c r="AQ67" s="2046"/>
      <c r="AR67" s="2046"/>
      <c r="AS67" s="2046"/>
      <c r="AT67" s="2046"/>
      <c r="AU67" s="2046"/>
      <c r="AV67" s="2046"/>
      <c r="AW67" s="2046"/>
      <c r="AX67" s="2046"/>
      <c r="AY67" s="2046"/>
      <c r="AZ67" s="2046"/>
      <c r="BA67" s="2046"/>
      <c r="BB67" s="2046"/>
      <c r="BC67" s="2046"/>
      <c r="BD67" s="2046"/>
      <c r="BE67" s="2046"/>
      <c r="BF67" s="2046"/>
      <c r="BG67" s="2046"/>
      <c r="BH67" s="2046"/>
      <c r="BI67" s="2046"/>
      <c r="BJ67" s="2046"/>
      <c r="BK67" s="2046"/>
      <c r="BL67" s="2046"/>
      <c r="BM67" s="2047"/>
      <c r="BN67" s="2047"/>
      <c r="BO67" s="2047"/>
      <c r="BP67" s="2047"/>
      <c r="BQ67" s="2047"/>
      <c r="BR67" s="2047"/>
      <c r="BS67" s="2047"/>
      <c r="BT67" s="2047"/>
      <c r="BU67" s="2047"/>
      <c r="BV67" s="2047"/>
      <c r="BW67" s="2047"/>
      <c r="BX67" s="2047"/>
      <c r="BY67" s="2047"/>
      <c r="BZ67" s="2047"/>
      <c r="CA67" s="2047"/>
      <c r="CB67" s="2047"/>
    </row>
    <row r="68" spans="1:80">
      <c r="A68" s="2047"/>
      <c r="C68" s="2046"/>
      <c r="D68" s="2046"/>
      <c r="E68" s="2046"/>
      <c r="F68" s="2046"/>
      <c r="G68" s="2046"/>
      <c r="H68" s="2046"/>
      <c r="I68" s="2046"/>
      <c r="J68" s="2046"/>
      <c r="K68" s="2046"/>
      <c r="L68" s="2046"/>
      <c r="M68" s="2046"/>
      <c r="N68" s="2046"/>
      <c r="O68" s="2046"/>
      <c r="P68" s="2046"/>
      <c r="Q68" s="2046"/>
      <c r="R68" s="2046"/>
      <c r="S68" s="2046"/>
      <c r="T68" s="2046"/>
      <c r="U68" s="2046"/>
      <c r="V68" s="2046"/>
      <c r="W68" s="2046"/>
      <c r="X68" s="2046"/>
      <c r="Y68" s="2046"/>
      <c r="Z68" s="2046"/>
      <c r="AA68" s="2046"/>
      <c r="AB68" s="2046"/>
      <c r="AC68" s="2046"/>
      <c r="AD68" s="2046"/>
      <c r="AE68" s="2046"/>
      <c r="AF68" s="2046"/>
      <c r="AG68" s="2046"/>
      <c r="AH68" s="2046"/>
      <c r="AI68" s="2046"/>
      <c r="AJ68" s="2046"/>
      <c r="AK68" s="2046"/>
      <c r="AL68" s="2046"/>
      <c r="AM68" s="2046"/>
      <c r="AN68" s="2046"/>
      <c r="AO68" s="2046"/>
      <c r="AP68" s="2046"/>
      <c r="AQ68" s="2046"/>
      <c r="AR68" s="2046"/>
      <c r="AS68" s="2046"/>
      <c r="AT68" s="2046"/>
      <c r="AU68" s="2046"/>
      <c r="AV68" s="2046"/>
      <c r="AW68" s="2046"/>
      <c r="AX68" s="2046"/>
      <c r="AY68" s="2046"/>
      <c r="AZ68" s="2046"/>
      <c r="BA68" s="2046"/>
      <c r="BB68" s="2046"/>
      <c r="BC68" s="2046"/>
      <c r="BD68" s="2046"/>
      <c r="BE68" s="2046"/>
      <c r="BF68" s="2046"/>
      <c r="BG68" s="2046"/>
      <c r="BH68" s="2046"/>
      <c r="BI68" s="2046"/>
      <c r="BJ68" s="2046"/>
      <c r="BK68" s="2046"/>
      <c r="BL68" s="2046"/>
      <c r="BM68" s="2047"/>
      <c r="BN68" s="2047"/>
      <c r="BO68" s="2047"/>
      <c r="BP68" s="2047"/>
      <c r="BQ68" s="2047"/>
      <c r="BR68" s="2047"/>
      <c r="BS68" s="2047"/>
      <c r="BT68" s="2047"/>
      <c r="BU68" s="2047"/>
      <c r="BV68" s="2047"/>
      <c r="BW68" s="2047"/>
      <c r="BX68" s="2047"/>
      <c r="BY68" s="2047"/>
      <c r="BZ68" s="2047"/>
      <c r="CA68" s="2047"/>
      <c r="CB68" s="2047"/>
    </row>
    <row r="69" spans="1:80">
      <c r="A69" s="2047"/>
      <c r="C69" s="2046"/>
      <c r="D69" s="2046"/>
      <c r="E69" s="2046"/>
      <c r="F69" s="2046"/>
      <c r="G69" s="2046"/>
      <c r="H69" s="2046"/>
      <c r="I69" s="2046"/>
      <c r="J69" s="2046"/>
      <c r="K69" s="2046"/>
      <c r="L69" s="2046"/>
      <c r="M69" s="2046"/>
      <c r="N69" s="2046"/>
      <c r="O69" s="2046"/>
      <c r="P69" s="2046"/>
      <c r="Q69" s="2046"/>
      <c r="R69" s="2046"/>
      <c r="S69" s="2046"/>
      <c r="T69" s="2046"/>
      <c r="U69" s="2046"/>
      <c r="V69" s="2046"/>
      <c r="W69" s="2046"/>
      <c r="X69" s="2046"/>
      <c r="Y69" s="2046"/>
      <c r="Z69" s="2046"/>
      <c r="AA69" s="2046"/>
      <c r="AB69" s="2046"/>
      <c r="AC69" s="2046"/>
      <c r="AD69" s="2046"/>
      <c r="AE69" s="2046"/>
      <c r="AF69" s="2046"/>
      <c r="AG69" s="2046"/>
      <c r="AH69" s="2046"/>
      <c r="AI69" s="2046"/>
      <c r="AJ69" s="2046"/>
      <c r="AK69" s="2046"/>
      <c r="AL69" s="2046"/>
      <c r="AM69" s="2046"/>
      <c r="AN69" s="2046"/>
      <c r="AO69" s="2046"/>
      <c r="AP69" s="2046"/>
      <c r="AQ69" s="2046"/>
      <c r="AR69" s="2046"/>
      <c r="AS69" s="2046"/>
      <c r="AT69" s="2046"/>
      <c r="AU69" s="2046"/>
      <c r="AV69" s="2046"/>
      <c r="AW69" s="2046"/>
      <c r="AX69" s="2046"/>
      <c r="AY69" s="2046"/>
      <c r="AZ69" s="2046"/>
      <c r="BA69" s="2046"/>
      <c r="BB69" s="2046"/>
      <c r="BC69" s="2046"/>
      <c r="BD69" s="2046"/>
      <c r="BE69" s="2046"/>
      <c r="BF69" s="2046"/>
      <c r="BG69" s="2046"/>
      <c r="BH69" s="2046"/>
      <c r="BI69" s="2046"/>
      <c r="BJ69" s="2046"/>
      <c r="BK69" s="2046"/>
      <c r="BL69" s="2046"/>
      <c r="BM69" s="2047"/>
      <c r="BN69" s="2047"/>
      <c r="BO69" s="2047"/>
      <c r="BP69" s="2047"/>
      <c r="BQ69" s="2047"/>
      <c r="BR69" s="2047"/>
      <c r="BS69" s="2047"/>
      <c r="BT69" s="2047"/>
      <c r="BU69" s="2047"/>
      <c r="BV69" s="2047"/>
      <c r="BW69" s="2047"/>
      <c r="BX69" s="2047"/>
      <c r="BY69" s="2047"/>
      <c r="BZ69" s="2047"/>
      <c r="CA69" s="2047"/>
      <c r="CB69" s="2047"/>
    </row>
    <row r="70" spans="1:80">
      <c r="A70" s="2047"/>
      <c r="C70" s="2046"/>
      <c r="D70" s="2046"/>
      <c r="E70" s="2046"/>
      <c r="F70" s="2046"/>
      <c r="G70" s="2046"/>
      <c r="H70" s="2046"/>
      <c r="I70" s="2046"/>
      <c r="J70" s="2046"/>
      <c r="K70" s="2046"/>
      <c r="L70" s="2046"/>
      <c r="M70" s="2046"/>
      <c r="N70" s="2046"/>
      <c r="O70" s="2046"/>
      <c r="P70" s="2046"/>
      <c r="Q70" s="2046"/>
      <c r="R70" s="2046"/>
      <c r="S70" s="2046"/>
      <c r="T70" s="2046"/>
      <c r="U70" s="2046"/>
      <c r="V70" s="2046"/>
      <c r="W70" s="2046"/>
      <c r="X70" s="2046"/>
      <c r="Y70" s="2046"/>
      <c r="Z70" s="2046"/>
      <c r="AA70" s="2046"/>
      <c r="AB70" s="2046"/>
      <c r="AC70" s="2046"/>
      <c r="AD70" s="2046"/>
      <c r="AE70" s="2046"/>
      <c r="AF70" s="2046"/>
      <c r="AG70" s="2046"/>
      <c r="AH70" s="2046"/>
      <c r="AI70" s="2046"/>
      <c r="AJ70" s="2046"/>
      <c r="AK70" s="2046"/>
      <c r="AL70" s="2046"/>
      <c r="AM70" s="2046"/>
      <c r="AN70" s="2046"/>
      <c r="AO70" s="2046"/>
      <c r="AP70" s="2046"/>
      <c r="AQ70" s="2046"/>
      <c r="AR70" s="2046"/>
      <c r="AS70" s="2046"/>
      <c r="AT70" s="2046"/>
      <c r="AU70" s="2046"/>
      <c r="AV70" s="2046"/>
      <c r="AW70" s="2046"/>
      <c r="AX70" s="2046"/>
      <c r="AY70" s="2046"/>
      <c r="AZ70" s="2046"/>
      <c r="BA70" s="2046"/>
      <c r="BB70" s="2046"/>
      <c r="BC70" s="2046"/>
      <c r="BD70" s="2046"/>
      <c r="BE70" s="2046"/>
      <c r="BF70" s="2046"/>
      <c r="BG70" s="2046"/>
      <c r="BH70" s="2046"/>
      <c r="BI70" s="2046"/>
      <c r="BJ70" s="2046"/>
      <c r="BK70" s="2046"/>
      <c r="BL70" s="2046"/>
      <c r="BM70" s="2047"/>
      <c r="BN70" s="2047"/>
      <c r="BO70" s="2047"/>
      <c r="BP70" s="2047"/>
      <c r="BQ70" s="2047"/>
      <c r="BR70" s="2047"/>
      <c r="BS70" s="2047"/>
      <c r="BT70" s="2047"/>
      <c r="BU70" s="2047"/>
      <c r="BV70" s="2047"/>
      <c r="BW70" s="2047"/>
      <c r="BX70" s="2047"/>
      <c r="BY70" s="2047"/>
      <c r="BZ70" s="2047"/>
      <c r="CA70" s="2047"/>
      <c r="CB70" s="2047"/>
    </row>
    <row r="71" spans="1:80">
      <c r="A71" s="2047"/>
      <c r="C71" s="2046"/>
      <c r="D71" s="2046"/>
      <c r="E71" s="2046"/>
      <c r="F71" s="2046"/>
      <c r="G71" s="2046"/>
      <c r="H71" s="2046"/>
      <c r="I71" s="2046"/>
      <c r="J71" s="2046"/>
      <c r="K71" s="2046"/>
      <c r="L71" s="2046"/>
      <c r="M71" s="2046"/>
      <c r="N71" s="2046"/>
      <c r="O71" s="2046"/>
      <c r="P71" s="2046"/>
      <c r="Q71" s="2046"/>
      <c r="R71" s="2046"/>
      <c r="S71" s="2046"/>
      <c r="T71" s="2046"/>
      <c r="U71" s="2046"/>
      <c r="V71" s="2046"/>
      <c r="W71" s="2046"/>
      <c r="X71" s="2046"/>
      <c r="Y71" s="2046"/>
      <c r="Z71" s="2046"/>
      <c r="AA71" s="2046"/>
      <c r="AB71" s="2046"/>
      <c r="AC71" s="2046"/>
      <c r="AD71" s="2046"/>
      <c r="AE71" s="2046"/>
      <c r="AF71" s="2046"/>
      <c r="AG71" s="2046"/>
      <c r="AH71" s="2046"/>
      <c r="AI71" s="2046"/>
      <c r="AJ71" s="2046"/>
      <c r="AK71" s="2046"/>
      <c r="AL71" s="2046"/>
      <c r="AM71" s="2046"/>
      <c r="AN71" s="2046"/>
      <c r="AO71" s="2046"/>
      <c r="AP71" s="2046"/>
      <c r="AQ71" s="2046"/>
      <c r="AR71" s="2046"/>
      <c r="AS71" s="2046"/>
      <c r="AT71" s="2046"/>
      <c r="AU71" s="2046"/>
      <c r="AV71" s="2046"/>
      <c r="AW71" s="2046"/>
      <c r="AX71" s="2046"/>
      <c r="AY71" s="2046"/>
      <c r="AZ71" s="2046"/>
      <c r="BA71" s="2046"/>
      <c r="BB71" s="2046"/>
      <c r="BC71" s="2046"/>
      <c r="BD71" s="2046"/>
      <c r="BE71" s="2046"/>
      <c r="BF71" s="2046"/>
      <c r="BG71" s="2046"/>
      <c r="BH71" s="2046"/>
      <c r="BI71" s="2046"/>
      <c r="BJ71" s="2046"/>
      <c r="BK71" s="2046"/>
      <c r="BL71" s="2046"/>
      <c r="BM71" s="2047"/>
      <c r="BN71" s="2047"/>
      <c r="BO71" s="2047"/>
      <c r="BP71" s="2047"/>
      <c r="BQ71" s="2047"/>
      <c r="BR71" s="2047"/>
      <c r="BS71" s="2047"/>
      <c r="BT71" s="2047"/>
      <c r="BU71" s="2047"/>
      <c r="BV71" s="2047"/>
      <c r="BW71" s="2047"/>
      <c r="BX71" s="2047"/>
      <c r="BY71" s="2047"/>
      <c r="BZ71" s="2047"/>
      <c r="CA71" s="2047"/>
      <c r="CB71" s="2047"/>
    </row>
    <row r="72" spans="1:80">
      <c r="A72" s="2047"/>
      <c r="C72" s="2046"/>
      <c r="D72" s="2046"/>
      <c r="E72" s="2046"/>
      <c r="F72" s="2046"/>
      <c r="G72" s="2046"/>
      <c r="H72" s="2046"/>
      <c r="I72" s="2046"/>
      <c r="J72" s="2046"/>
      <c r="K72" s="2046"/>
      <c r="L72" s="2046"/>
      <c r="M72" s="2046"/>
      <c r="N72" s="2046"/>
      <c r="O72" s="2046"/>
      <c r="P72" s="2046"/>
      <c r="Q72" s="2046"/>
      <c r="R72" s="2046"/>
      <c r="S72" s="2046"/>
      <c r="T72" s="2046"/>
      <c r="U72" s="2046"/>
      <c r="V72" s="2046"/>
      <c r="W72" s="2046"/>
      <c r="X72" s="2046"/>
      <c r="Y72" s="2046"/>
      <c r="Z72" s="2046"/>
      <c r="AA72" s="2046"/>
      <c r="AB72" s="2046"/>
      <c r="AC72" s="2046"/>
      <c r="AD72" s="2046"/>
      <c r="AE72" s="2046"/>
      <c r="AF72" s="2046"/>
      <c r="AG72" s="2046"/>
      <c r="AH72" s="2046"/>
      <c r="AI72" s="2046"/>
      <c r="AJ72" s="2046"/>
      <c r="AK72" s="2046"/>
      <c r="AL72" s="2046"/>
      <c r="AM72" s="2046"/>
      <c r="AN72" s="2046"/>
      <c r="AO72" s="2046"/>
      <c r="AP72" s="2046"/>
      <c r="AQ72" s="2046"/>
      <c r="AR72" s="2046"/>
      <c r="AS72" s="2046"/>
      <c r="AT72" s="2046"/>
      <c r="AU72" s="2046"/>
      <c r="AV72" s="2046"/>
      <c r="AW72" s="2046"/>
      <c r="AX72" s="2046"/>
      <c r="AY72" s="2046"/>
      <c r="AZ72" s="2046"/>
      <c r="BA72" s="2046"/>
      <c r="BB72" s="2046"/>
      <c r="BC72" s="2046"/>
      <c r="BD72" s="2046"/>
      <c r="BE72" s="2046"/>
      <c r="BF72" s="2046"/>
      <c r="BG72" s="2046"/>
      <c r="BH72" s="2046"/>
      <c r="BI72" s="2046"/>
      <c r="BJ72" s="2046"/>
      <c r="BK72" s="2046"/>
      <c r="BL72" s="2046"/>
      <c r="BM72" s="2047"/>
      <c r="BN72" s="2047"/>
      <c r="BO72" s="2047"/>
      <c r="BP72" s="2047"/>
      <c r="BQ72" s="2047"/>
      <c r="BR72" s="2047"/>
      <c r="BS72" s="2047"/>
      <c r="BT72" s="2047"/>
      <c r="BU72" s="2047"/>
      <c r="BV72" s="2047"/>
      <c r="BW72" s="2047"/>
      <c r="BX72" s="2047"/>
      <c r="BY72" s="2047"/>
      <c r="BZ72" s="2047"/>
      <c r="CA72" s="2047"/>
      <c r="CB72" s="2047"/>
    </row>
    <row r="73" spans="1:80">
      <c r="A73" s="2047"/>
      <c r="C73" s="2046"/>
      <c r="D73" s="2046"/>
      <c r="E73" s="2046"/>
      <c r="F73" s="2046"/>
      <c r="G73" s="2046"/>
      <c r="H73" s="2046"/>
      <c r="I73" s="2046"/>
      <c r="J73" s="2046"/>
      <c r="K73" s="2046"/>
      <c r="L73" s="2046"/>
      <c r="M73" s="2046"/>
      <c r="N73" s="2046"/>
      <c r="O73" s="2046"/>
      <c r="P73" s="2046"/>
      <c r="Q73" s="2046"/>
      <c r="R73" s="2046"/>
      <c r="S73" s="2046"/>
      <c r="T73" s="2046"/>
      <c r="U73" s="2046"/>
      <c r="V73" s="2046"/>
      <c r="W73" s="2046"/>
      <c r="X73" s="2046"/>
      <c r="Y73" s="2046"/>
      <c r="Z73" s="2046"/>
      <c r="AA73" s="2046"/>
      <c r="AB73" s="2046"/>
      <c r="AC73" s="2046"/>
      <c r="AD73" s="2046"/>
      <c r="AE73" s="2046"/>
      <c r="AF73" s="2046"/>
      <c r="AG73" s="2046"/>
      <c r="AH73" s="2046"/>
      <c r="AI73" s="2046"/>
      <c r="AJ73" s="2046"/>
      <c r="AK73" s="2046"/>
      <c r="AL73" s="2046"/>
      <c r="AM73" s="2046"/>
      <c r="AN73" s="2046"/>
      <c r="AO73" s="2046"/>
      <c r="AP73" s="2046"/>
      <c r="AQ73" s="2046"/>
      <c r="AR73" s="2046"/>
      <c r="AS73" s="2046"/>
      <c r="AT73" s="2046"/>
      <c r="AU73" s="2046"/>
      <c r="AV73" s="2046"/>
      <c r="AW73" s="2046"/>
      <c r="AX73" s="2046"/>
      <c r="AY73" s="2046"/>
      <c r="AZ73" s="2046"/>
      <c r="BA73" s="2046"/>
      <c r="BB73" s="2046"/>
      <c r="BC73" s="2046"/>
      <c r="BD73" s="2046"/>
      <c r="BE73" s="2046"/>
      <c r="BF73" s="2046"/>
      <c r="BG73" s="2046"/>
      <c r="BH73" s="2046"/>
      <c r="BI73" s="2046"/>
      <c r="BJ73" s="2046"/>
      <c r="BK73" s="2046"/>
      <c r="BL73" s="2046"/>
      <c r="BM73" s="2047"/>
      <c r="BN73" s="2047"/>
      <c r="BO73" s="2047"/>
      <c r="BP73" s="2047"/>
      <c r="BQ73" s="2047"/>
      <c r="BR73" s="2047"/>
      <c r="BS73" s="2047"/>
      <c r="BT73" s="2047"/>
      <c r="BU73" s="2047"/>
      <c r="BV73" s="2047"/>
      <c r="BW73" s="2047"/>
      <c r="BX73" s="2047"/>
      <c r="BY73" s="2047"/>
      <c r="BZ73" s="2047"/>
      <c r="CA73" s="2047"/>
      <c r="CB73" s="2047"/>
    </row>
    <row r="74" spans="1:80">
      <c r="A74" s="2047"/>
      <c r="C74" s="2046"/>
      <c r="D74" s="2046"/>
      <c r="E74" s="2046"/>
      <c r="F74" s="2046"/>
      <c r="G74" s="2046"/>
      <c r="H74" s="2046"/>
      <c r="I74" s="2046"/>
      <c r="J74" s="2046"/>
      <c r="K74" s="2046"/>
      <c r="L74" s="2046"/>
      <c r="M74" s="2046"/>
      <c r="N74" s="2046"/>
      <c r="O74" s="2046"/>
      <c r="P74" s="2046"/>
      <c r="Q74" s="2046"/>
      <c r="R74" s="2046"/>
      <c r="S74" s="2046"/>
      <c r="T74" s="2046"/>
      <c r="U74" s="2046"/>
      <c r="V74" s="2046"/>
      <c r="W74" s="2046"/>
      <c r="X74" s="2046"/>
      <c r="Y74" s="2046"/>
      <c r="Z74" s="2046"/>
      <c r="AA74" s="2046"/>
      <c r="AB74" s="2046"/>
      <c r="AC74" s="2046"/>
      <c r="AD74" s="2046"/>
      <c r="AE74" s="2046"/>
      <c r="AF74" s="2046"/>
      <c r="AG74" s="2046"/>
      <c r="AH74" s="2046"/>
      <c r="AI74" s="2046"/>
      <c r="AJ74" s="2046"/>
      <c r="AK74" s="2046"/>
      <c r="AL74" s="2046"/>
      <c r="AM74" s="2046"/>
      <c r="AN74" s="2046"/>
      <c r="AO74" s="2046"/>
      <c r="AP74" s="2046"/>
      <c r="AQ74" s="2046"/>
      <c r="AR74" s="2046"/>
      <c r="AS74" s="2046"/>
      <c r="AT74" s="2046"/>
      <c r="AU74" s="2046"/>
      <c r="AV74" s="2046"/>
      <c r="AW74" s="2046"/>
      <c r="AX74" s="2046"/>
      <c r="AY74" s="2046"/>
      <c r="AZ74" s="2046"/>
      <c r="BA74" s="2046"/>
      <c r="BB74" s="2046"/>
      <c r="BC74" s="2046"/>
      <c r="BD74" s="2046"/>
      <c r="BE74" s="2046"/>
      <c r="BF74" s="2046"/>
      <c r="BG74" s="2046"/>
      <c r="BH74" s="2046"/>
      <c r="BI74" s="2046"/>
      <c r="BJ74" s="2046"/>
      <c r="BK74" s="2046"/>
      <c r="BL74" s="2046"/>
      <c r="BM74" s="2047"/>
      <c r="BN74" s="2047"/>
      <c r="BO74" s="2047"/>
      <c r="BP74" s="2047"/>
      <c r="BQ74" s="2047"/>
      <c r="BR74" s="2047"/>
      <c r="BS74" s="2047"/>
      <c r="BT74" s="2047"/>
      <c r="BU74" s="2047"/>
      <c r="BV74" s="2047"/>
      <c r="BW74" s="2047"/>
      <c r="BX74" s="2047"/>
      <c r="BY74" s="2047"/>
      <c r="BZ74" s="2047"/>
      <c r="CA74" s="2047"/>
      <c r="CB74" s="2047"/>
    </row>
    <row r="75" spans="1:80">
      <c r="A75" s="2047"/>
      <c r="C75" s="2046"/>
      <c r="D75" s="2046"/>
      <c r="E75" s="2046"/>
      <c r="F75" s="2046"/>
      <c r="G75" s="2046"/>
      <c r="H75" s="2046"/>
      <c r="I75" s="2046"/>
      <c r="J75" s="2046"/>
      <c r="K75" s="2046"/>
      <c r="L75" s="2046"/>
      <c r="M75" s="2046"/>
      <c r="N75" s="2046"/>
      <c r="O75" s="2046"/>
      <c r="P75" s="2046"/>
      <c r="Q75" s="2046"/>
      <c r="R75" s="2046"/>
      <c r="S75" s="2046"/>
      <c r="T75" s="2046"/>
      <c r="U75" s="2046"/>
      <c r="V75" s="2046"/>
      <c r="W75" s="2046"/>
      <c r="X75" s="2046"/>
      <c r="Y75" s="2046"/>
      <c r="Z75" s="2046"/>
      <c r="AA75" s="2046"/>
      <c r="AB75" s="2046"/>
      <c r="AC75" s="2046"/>
      <c r="AD75" s="2046"/>
      <c r="AE75" s="2046"/>
      <c r="AF75" s="2046"/>
      <c r="AG75" s="2046"/>
      <c r="AH75" s="2046"/>
      <c r="AI75" s="2046"/>
      <c r="AJ75" s="2046"/>
      <c r="AK75" s="2046"/>
      <c r="AL75" s="2046"/>
      <c r="AM75" s="2046"/>
      <c r="AN75" s="2046"/>
      <c r="AO75" s="2046"/>
      <c r="AP75" s="2046"/>
      <c r="AQ75" s="2046"/>
      <c r="AR75" s="2046"/>
      <c r="AS75" s="2046"/>
      <c r="AT75" s="2046"/>
      <c r="AU75" s="2046"/>
      <c r="AV75" s="2046"/>
      <c r="AW75" s="2046"/>
      <c r="AX75" s="2046"/>
      <c r="AY75" s="2046"/>
      <c r="AZ75" s="2046"/>
      <c r="BA75" s="2046"/>
      <c r="BB75" s="2046"/>
      <c r="BC75" s="2046"/>
      <c r="BD75" s="2046"/>
      <c r="BE75" s="2046"/>
      <c r="BF75" s="2046"/>
      <c r="BG75" s="2046"/>
      <c r="BH75" s="2046"/>
      <c r="BI75" s="2046"/>
      <c r="BJ75" s="2046"/>
      <c r="BK75" s="2046"/>
      <c r="BL75" s="2046"/>
      <c r="BM75" s="2047"/>
      <c r="BN75" s="2047"/>
      <c r="BO75" s="2047"/>
      <c r="BP75" s="2047"/>
      <c r="BQ75" s="2047"/>
      <c r="BR75" s="2047"/>
      <c r="BS75" s="2047"/>
      <c r="BT75" s="2047"/>
      <c r="BU75" s="2047"/>
      <c r="BV75" s="2047"/>
      <c r="BW75" s="2047"/>
      <c r="BX75" s="2047"/>
      <c r="BY75" s="2047"/>
      <c r="BZ75" s="2047"/>
      <c r="CA75" s="2047"/>
      <c r="CB75" s="2047"/>
    </row>
    <row r="76" spans="1:80">
      <c r="A76" s="2047"/>
      <c r="C76" s="2046"/>
      <c r="D76" s="2046"/>
      <c r="E76" s="2046"/>
      <c r="F76" s="2046"/>
      <c r="G76" s="2046"/>
      <c r="H76" s="2046"/>
      <c r="I76" s="2046"/>
      <c r="J76" s="2046"/>
      <c r="K76" s="2046"/>
      <c r="L76" s="2046"/>
      <c r="M76" s="2046"/>
      <c r="N76" s="2046"/>
      <c r="O76" s="2046"/>
      <c r="P76" s="2046"/>
      <c r="Q76" s="2046"/>
      <c r="R76" s="2046"/>
      <c r="S76" s="2046"/>
      <c r="T76" s="2046"/>
      <c r="U76" s="2046"/>
      <c r="V76" s="2046"/>
      <c r="W76" s="2046"/>
      <c r="X76" s="2046"/>
      <c r="Y76" s="2046"/>
      <c r="Z76" s="2046"/>
      <c r="AA76" s="2046"/>
      <c r="AB76" s="2046"/>
      <c r="AC76" s="2046"/>
      <c r="AD76" s="2046"/>
      <c r="AE76" s="2046"/>
      <c r="AF76" s="2046"/>
      <c r="AG76" s="2046"/>
      <c r="AH76" s="2046"/>
      <c r="AI76" s="2046"/>
      <c r="AJ76" s="2046"/>
      <c r="AK76" s="2046"/>
      <c r="AL76" s="2046"/>
      <c r="AM76" s="2046"/>
      <c r="AN76" s="2046"/>
      <c r="AO76" s="2046"/>
      <c r="AP76" s="2046"/>
      <c r="AQ76" s="2046"/>
      <c r="AR76" s="2046"/>
      <c r="AS76" s="2046"/>
      <c r="AT76" s="2046"/>
      <c r="AU76" s="2046"/>
      <c r="AV76" s="2046"/>
      <c r="AW76" s="2046"/>
      <c r="AX76" s="2046"/>
      <c r="AY76" s="2046"/>
      <c r="AZ76" s="2046"/>
      <c r="BA76" s="2046"/>
      <c r="BB76" s="2046"/>
      <c r="BC76" s="2046"/>
      <c r="BD76" s="2046"/>
      <c r="BE76" s="2046"/>
      <c r="BF76" s="2046"/>
      <c r="BG76" s="2046"/>
      <c r="BH76" s="2046"/>
      <c r="BI76" s="2046"/>
      <c r="BJ76" s="2046"/>
      <c r="BK76" s="2046"/>
      <c r="BL76" s="2046"/>
      <c r="BM76" s="2047"/>
      <c r="BN76" s="2047"/>
      <c r="BO76" s="2047"/>
      <c r="BP76" s="2047"/>
      <c r="BQ76" s="2047"/>
      <c r="BR76" s="2047"/>
      <c r="BS76" s="2047"/>
      <c r="BT76" s="2047"/>
      <c r="BU76" s="2047"/>
      <c r="BV76" s="2047"/>
      <c r="BW76" s="2047"/>
      <c r="BX76" s="2047"/>
      <c r="BY76" s="2047"/>
      <c r="BZ76" s="2047"/>
      <c r="CA76" s="2047"/>
      <c r="CB76" s="2047"/>
    </row>
    <row r="77" spans="1:80">
      <c r="A77" s="2047"/>
      <c r="C77" s="2046"/>
      <c r="D77" s="2046"/>
      <c r="E77" s="2046"/>
      <c r="F77" s="2046"/>
      <c r="G77" s="2046"/>
      <c r="H77" s="2046"/>
      <c r="I77" s="2046"/>
      <c r="J77" s="2046"/>
      <c r="K77" s="2046"/>
      <c r="L77" s="2046"/>
      <c r="M77" s="2046"/>
      <c r="N77" s="2046"/>
      <c r="O77" s="2046"/>
      <c r="P77" s="2046"/>
      <c r="Q77" s="2046"/>
      <c r="R77" s="2046"/>
      <c r="S77" s="2046"/>
      <c r="T77" s="2046"/>
      <c r="U77" s="2046"/>
      <c r="V77" s="2046"/>
      <c r="W77" s="2046"/>
      <c r="X77" s="2046"/>
      <c r="Y77" s="2046"/>
      <c r="Z77" s="2046"/>
      <c r="AA77" s="2046"/>
      <c r="AB77" s="2046"/>
      <c r="AC77" s="2046"/>
      <c r="AD77" s="2046"/>
      <c r="AE77" s="2046"/>
      <c r="AF77" s="2046"/>
      <c r="AG77" s="2046"/>
      <c r="AH77" s="2046"/>
      <c r="AI77" s="2046"/>
      <c r="AJ77" s="2046"/>
      <c r="AK77" s="2046"/>
      <c r="AL77" s="2046"/>
      <c r="AM77" s="2046"/>
      <c r="AN77" s="2046"/>
      <c r="AO77" s="2046"/>
      <c r="AP77" s="2046"/>
      <c r="AQ77" s="2046"/>
      <c r="AR77" s="2046"/>
      <c r="AS77" s="2046"/>
      <c r="AT77" s="2046"/>
      <c r="AU77" s="2046"/>
      <c r="AV77" s="2046"/>
      <c r="AW77" s="2046"/>
      <c r="AX77" s="2046"/>
      <c r="AY77" s="2046"/>
      <c r="AZ77" s="2046"/>
      <c r="BA77" s="2046"/>
      <c r="BB77" s="2046"/>
      <c r="BC77" s="2046"/>
      <c r="BD77" s="2046"/>
      <c r="BE77" s="2046"/>
      <c r="BF77" s="2046"/>
      <c r="BG77" s="2046"/>
      <c r="BH77" s="2046"/>
      <c r="BI77" s="2046"/>
      <c r="BJ77" s="2046"/>
      <c r="BK77" s="2046"/>
      <c r="BL77" s="2046"/>
      <c r="BM77" s="2047"/>
      <c r="BN77" s="2047"/>
      <c r="BO77" s="2047"/>
      <c r="BP77" s="2047"/>
      <c r="BQ77" s="2047"/>
      <c r="BR77" s="2047"/>
      <c r="BS77" s="2047"/>
      <c r="BT77" s="2047"/>
      <c r="BU77" s="2047"/>
      <c r="BV77" s="2047"/>
      <c r="BW77" s="2047"/>
      <c r="BX77" s="2047"/>
      <c r="BY77" s="2047"/>
      <c r="BZ77" s="2047"/>
      <c r="CA77" s="2047"/>
      <c r="CB77" s="2047"/>
    </row>
    <row r="78" spans="1:80">
      <c r="A78" s="2047"/>
      <c r="C78" s="2046"/>
      <c r="D78" s="2046"/>
      <c r="E78" s="2046"/>
      <c r="F78" s="2046"/>
      <c r="G78" s="2046"/>
      <c r="H78" s="2046"/>
      <c r="I78" s="2046"/>
      <c r="J78" s="2046"/>
      <c r="K78" s="2046"/>
      <c r="L78" s="2046"/>
      <c r="M78" s="2046"/>
      <c r="N78" s="2046"/>
      <c r="O78" s="2046"/>
      <c r="P78" s="2046"/>
      <c r="Q78" s="2046"/>
      <c r="R78" s="2046"/>
      <c r="S78" s="2046"/>
      <c r="T78" s="2046"/>
      <c r="U78" s="2046"/>
      <c r="V78" s="2046"/>
      <c r="W78" s="2046"/>
      <c r="X78" s="2046"/>
      <c r="Y78" s="2046"/>
      <c r="Z78" s="2046"/>
      <c r="AA78" s="2046"/>
      <c r="AB78" s="2046"/>
      <c r="AC78" s="2046"/>
      <c r="AD78" s="2046"/>
      <c r="AE78" s="2046"/>
      <c r="AF78" s="2046"/>
      <c r="AG78" s="2046"/>
      <c r="AH78" s="2046"/>
      <c r="AI78" s="2046"/>
      <c r="AJ78" s="2046"/>
      <c r="AK78" s="2046"/>
      <c r="AL78" s="2046"/>
      <c r="AM78" s="2046"/>
      <c r="AN78" s="2046"/>
      <c r="AO78" s="2046"/>
      <c r="AP78" s="2046"/>
      <c r="AQ78" s="2046"/>
      <c r="AR78" s="2046"/>
      <c r="AS78" s="2046"/>
      <c r="AT78" s="2046"/>
      <c r="AU78" s="2046"/>
      <c r="AV78" s="2046"/>
      <c r="AW78" s="2046"/>
      <c r="AX78" s="2046"/>
      <c r="AY78" s="2046"/>
      <c r="AZ78" s="2046"/>
      <c r="BA78" s="2046"/>
      <c r="BB78" s="2046"/>
      <c r="BC78" s="2046"/>
      <c r="BD78" s="2046"/>
      <c r="BE78" s="2046"/>
      <c r="BF78" s="2046"/>
      <c r="BG78" s="2046"/>
      <c r="BH78" s="2046"/>
      <c r="BI78" s="2046"/>
      <c r="BJ78" s="2046"/>
      <c r="BK78" s="2046"/>
      <c r="BL78" s="2046"/>
      <c r="BM78" s="2047"/>
      <c r="BN78" s="2047"/>
      <c r="BO78" s="2047"/>
      <c r="BP78" s="2047"/>
      <c r="BQ78" s="2047"/>
      <c r="BR78" s="2047"/>
      <c r="BS78" s="2047"/>
      <c r="BT78" s="2047"/>
      <c r="BU78" s="2047"/>
      <c r="BV78" s="2047"/>
      <c r="BW78" s="2047"/>
      <c r="BX78" s="2047"/>
      <c r="BY78" s="2047"/>
      <c r="BZ78" s="2047"/>
      <c r="CA78" s="2047"/>
      <c r="CB78" s="2047"/>
    </row>
    <row r="79" spans="1:80">
      <c r="A79" s="2047"/>
      <c r="C79" s="2046"/>
      <c r="D79" s="2046"/>
      <c r="E79" s="2046"/>
      <c r="F79" s="2046"/>
      <c r="G79" s="2046"/>
      <c r="H79" s="2046"/>
      <c r="I79" s="2046"/>
      <c r="J79" s="2046"/>
      <c r="K79" s="2046"/>
      <c r="L79" s="2046"/>
      <c r="M79" s="2046"/>
      <c r="N79" s="2046"/>
      <c r="O79" s="2046"/>
      <c r="P79" s="2046"/>
      <c r="Q79" s="2046"/>
      <c r="R79" s="2046"/>
      <c r="S79" s="2046"/>
      <c r="T79" s="2046"/>
      <c r="U79" s="2046"/>
      <c r="V79" s="2046"/>
      <c r="W79" s="2046"/>
      <c r="X79" s="2046"/>
      <c r="Y79" s="2046"/>
      <c r="Z79" s="2046"/>
      <c r="AA79" s="2046"/>
      <c r="AB79" s="2046"/>
      <c r="AC79" s="2046"/>
      <c r="AD79" s="2046"/>
      <c r="AE79" s="2046"/>
      <c r="AF79" s="2046"/>
      <c r="AG79" s="2046"/>
      <c r="AH79" s="2046"/>
      <c r="AI79" s="2046"/>
      <c r="AJ79" s="2046"/>
      <c r="AK79" s="2046"/>
      <c r="AL79" s="2046"/>
      <c r="AM79" s="2046"/>
      <c r="AN79" s="2046"/>
      <c r="AO79" s="2046"/>
      <c r="AP79" s="2046"/>
      <c r="AQ79" s="2046"/>
      <c r="AR79" s="2046"/>
      <c r="AS79" s="2046"/>
      <c r="AT79" s="2046"/>
      <c r="AU79" s="2046"/>
      <c r="AV79" s="2046"/>
      <c r="AW79" s="2046"/>
      <c r="AX79" s="2046"/>
      <c r="AY79" s="2046"/>
      <c r="AZ79" s="2046"/>
      <c r="BA79" s="2046"/>
      <c r="BB79" s="2046"/>
      <c r="BC79" s="2046"/>
      <c r="BD79" s="2046"/>
      <c r="BE79" s="2046"/>
      <c r="BF79" s="2046"/>
      <c r="BG79" s="2046"/>
      <c r="BH79" s="2046"/>
      <c r="BI79" s="2046"/>
      <c r="BJ79" s="2046"/>
      <c r="BK79" s="2046"/>
      <c r="BL79" s="2046"/>
      <c r="BM79" s="2047"/>
      <c r="BN79" s="2047"/>
      <c r="BO79" s="2047"/>
      <c r="BP79" s="2047"/>
      <c r="BQ79" s="2047"/>
      <c r="BR79" s="2047"/>
      <c r="BS79" s="2047"/>
      <c r="BT79" s="2047"/>
      <c r="BU79" s="2047"/>
      <c r="BV79" s="2047"/>
      <c r="BW79" s="2047"/>
      <c r="BX79" s="2047"/>
      <c r="BY79" s="2047"/>
      <c r="BZ79" s="2047"/>
      <c r="CA79" s="2047"/>
      <c r="CB79" s="2047"/>
    </row>
    <row r="80" spans="1:80">
      <c r="A80" s="2047"/>
      <c r="C80" s="2046"/>
      <c r="D80" s="2046"/>
      <c r="E80" s="2046"/>
      <c r="F80" s="2046"/>
      <c r="G80" s="2046"/>
      <c r="H80" s="2046"/>
      <c r="I80" s="2046"/>
      <c r="J80" s="2046"/>
      <c r="K80" s="2046"/>
      <c r="L80" s="2046"/>
      <c r="M80" s="2046"/>
      <c r="N80" s="2046"/>
      <c r="O80" s="2046"/>
      <c r="P80" s="2046"/>
      <c r="Q80" s="2046"/>
      <c r="R80" s="2046"/>
      <c r="S80" s="2046"/>
      <c r="T80" s="2046"/>
      <c r="U80" s="2046"/>
      <c r="V80" s="2046"/>
      <c r="W80" s="2046"/>
      <c r="X80" s="2046"/>
      <c r="Y80" s="2046"/>
      <c r="Z80" s="2046"/>
      <c r="AA80" s="2046"/>
      <c r="AB80" s="2046"/>
      <c r="AC80" s="2046"/>
      <c r="AD80" s="2046"/>
      <c r="AE80" s="2046"/>
      <c r="AF80" s="2046"/>
      <c r="AG80" s="2046"/>
      <c r="AH80" s="2046"/>
      <c r="AI80" s="2046"/>
      <c r="AJ80" s="2046"/>
      <c r="AK80" s="2046"/>
      <c r="AL80" s="2046"/>
      <c r="AM80" s="2046"/>
      <c r="AN80" s="2046"/>
      <c r="AO80" s="2046"/>
      <c r="AP80" s="2046"/>
      <c r="AQ80" s="2046"/>
      <c r="AR80" s="2046"/>
      <c r="AS80" s="2046"/>
      <c r="AT80" s="2046"/>
      <c r="AU80" s="2046"/>
      <c r="AV80" s="2046"/>
      <c r="AW80" s="2046"/>
      <c r="AX80" s="2046"/>
      <c r="AY80" s="2046"/>
      <c r="AZ80" s="2046"/>
      <c r="BA80" s="2046"/>
      <c r="BB80" s="2046"/>
      <c r="BC80" s="2046"/>
      <c r="BD80" s="2046"/>
      <c r="BE80" s="2046"/>
      <c r="BF80" s="2046"/>
      <c r="BG80" s="2046"/>
      <c r="BH80" s="2046"/>
      <c r="BI80" s="2046"/>
      <c r="BJ80" s="2046"/>
      <c r="BK80" s="2046"/>
      <c r="BL80" s="2046"/>
      <c r="BM80" s="2047"/>
      <c r="BN80" s="2047"/>
      <c r="BO80" s="2047"/>
      <c r="BP80" s="2047"/>
      <c r="BQ80" s="2047"/>
      <c r="BR80" s="2047"/>
      <c r="BS80" s="2047"/>
      <c r="BT80" s="2047"/>
      <c r="BU80" s="2047"/>
      <c r="BV80" s="2047"/>
      <c r="BW80" s="2047"/>
      <c r="BX80" s="2047"/>
      <c r="BY80" s="2047"/>
      <c r="BZ80" s="2047"/>
      <c r="CA80" s="2047"/>
      <c r="CB80" s="2047"/>
    </row>
    <row r="81" spans="1:80">
      <c r="A81" s="2047"/>
      <c r="C81" s="2046"/>
      <c r="D81" s="2046"/>
      <c r="E81" s="2046"/>
      <c r="F81" s="2046"/>
      <c r="G81" s="2046"/>
      <c r="H81" s="2046"/>
      <c r="I81" s="2046"/>
      <c r="J81" s="2046"/>
      <c r="K81" s="2046"/>
      <c r="L81" s="2046"/>
      <c r="M81" s="2046"/>
      <c r="N81" s="2046"/>
      <c r="O81" s="2046"/>
      <c r="P81" s="2046"/>
      <c r="Q81" s="2046"/>
      <c r="R81" s="2046"/>
      <c r="S81" s="2046"/>
      <c r="T81" s="2046"/>
      <c r="U81" s="2046"/>
      <c r="V81" s="2046"/>
      <c r="W81" s="2046"/>
      <c r="X81" s="2046"/>
      <c r="Y81" s="2046"/>
      <c r="Z81" s="2046"/>
      <c r="AA81" s="2046"/>
      <c r="AB81" s="2046"/>
      <c r="AC81" s="2046"/>
      <c r="AD81" s="2046"/>
      <c r="AE81" s="2046"/>
      <c r="AF81" s="2046"/>
      <c r="AG81" s="2046"/>
      <c r="AH81" s="2046"/>
      <c r="AI81" s="2046"/>
      <c r="AJ81" s="2046"/>
      <c r="AK81" s="2046"/>
      <c r="AL81" s="2046"/>
      <c r="AM81" s="2046"/>
      <c r="AN81" s="2046"/>
      <c r="AO81" s="2046"/>
      <c r="AP81" s="2046"/>
      <c r="AQ81" s="2046"/>
      <c r="AR81" s="2046"/>
      <c r="AS81" s="2046"/>
      <c r="AT81" s="2046"/>
      <c r="AU81" s="2046"/>
      <c r="AV81" s="2046"/>
      <c r="AW81" s="2046"/>
      <c r="AX81" s="2046"/>
      <c r="AY81" s="2046"/>
      <c r="AZ81" s="2046"/>
      <c r="BA81" s="2046"/>
      <c r="BB81" s="2046"/>
      <c r="BC81" s="2046"/>
      <c r="BD81" s="2046"/>
      <c r="BE81" s="2046"/>
      <c r="BF81" s="2046"/>
      <c r="BG81" s="2046"/>
      <c r="BH81" s="2046"/>
      <c r="BI81" s="2046"/>
      <c r="BJ81" s="2046"/>
      <c r="BK81" s="2046"/>
      <c r="BL81" s="2046"/>
      <c r="BM81" s="2047"/>
      <c r="BN81" s="2047"/>
      <c r="BO81" s="2047"/>
      <c r="BP81" s="2047"/>
      <c r="BQ81" s="2047"/>
      <c r="BR81" s="2047"/>
      <c r="BS81" s="2047"/>
      <c r="BT81" s="2047"/>
      <c r="BU81" s="2047"/>
      <c r="BV81" s="2047"/>
      <c r="BW81" s="2047"/>
      <c r="BX81" s="2047"/>
      <c r="BY81" s="2047"/>
      <c r="BZ81" s="2047"/>
      <c r="CA81" s="2047"/>
      <c r="CB81" s="2047"/>
    </row>
    <row r="82" spans="1:80">
      <c r="A82" s="2047"/>
      <c r="C82" s="2046"/>
      <c r="D82" s="2046"/>
      <c r="E82" s="2046"/>
      <c r="F82" s="2046"/>
      <c r="G82" s="2046"/>
      <c r="H82" s="2046"/>
      <c r="I82" s="2046"/>
      <c r="J82" s="2046"/>
      <c r="K82" s="2046"/>
      <c r="L82" s="2046"/>
      <c r="M82" s="2046"/>
      <c r="N82" s="2046"/>
      <c r="O82" s="2046"/>
      <c r="P82" s="2046"/>
      <c r="Q82" s="2046"/>
      <c r="R82" s="2046"/>
      <c r="S82" s="2046"/>
      <c r="T82" s="2046"/>
      <c r="U82" s="2046"/>
      <c r="V82" s="2046"/>
      <c r="W82" s="2046"/>
      <c r="X82" s="2046"/>
      <c r="Y82" s="2046"/>
      <c r="Z82" s="2046"/>
      <c r="AA82" s="2046"/>
      <c r="AB82" s="2046"/>
      <c r="AC82" s="2046"/>
      <c r="AD82" s="2046"/>
      <c r="AE82" s="2046"/>
      <c r="AF82" s="2046"/>
      <c r="AG82" s="2046"/>
      <c r="AH82" s="2046"/>
      <c r="AI82" s="2046"/>
      <c r="AJ82" s="2046"/>
      <c r="AK82" s="2046"/>
      <c r="AL82" s="2046"/>
      <c r="AM82" s="2046"/>
      <c r="AN82" s="2046"/>
      <c r="AO82" s="2046"/>
      <c r="AP82" s="2046"/>
      <c r="AQ82" s="2046"/>
      <c r="AR82" s="2046"/>
      <c r="AS82" s="2046"/>
      <c r="AT82" s="2046"/>
      <c r="AU82" s="2046"/>
      <c r="AV82" s="2046"/>
      <c r="AW82" s="2046"/>
      <c r="AX82" s="2046"/>
      <c r="AY82" s="2046"/>
      <c r="AZ82" s="2046"/>
      <c r="BA82" s="2046"/>
      <c r="BB82" s="2046"/>
      <c r="BC82" s="2046"/>
      <c r="BD82" s="2046"/>
      <c r="BE82" s="2046"/>
      <c r="BF82" s="2046"/>
      <c r="BG82" s="2046"/>
      <c r="BH82" s="2046"/>
      <c r="BI82" s="2046"/>
      <c r="BJ82" s="2046"/>
      <c r="BK82" s="2046"/>
      <c r="BL82" s="2046"/>
      <c r="BM82" s="2047"/>
      <c r="BN82" s="2047"/>
      <c r="BO82" s="2047"/>
      <c r="BP82" s="2047"/>
      <c r="BQ82" s="2047"/>
      <c r="BR82" s="2047"/>
      <c r="BS82" s="2047"/>
      <c r="BT82" s="2047"/>
      <c r="BU82" s="2047"/>
      <c r="BV82" s="2047"/>
      <c r="BW82" s="2047"/>
      <c r="BX82" s="2047"/>
      <c r="BY82" s="2047"/>
      <c r="BZ82" s="2047"/>
      <c r="CA82" s="2047"/>
      <c r="CB82" s="2047"/>
    </row>
    <row r="83" spans="1:80">
      <c r="A83" s="2047"/>
      <c r="C83" s="2046"/>
      <c r="D83" s="2046"/>
      <c r="E83" s="2046"/>
      <c r="F83" s="2046"/>
      <c r="G83" s="2046"/>
      <c r="H83" s="2046"/>
      <c r="I83" s="2046"/>
      <c r="J83" s="2046"/>
      <c r="K83" s="2046"/>
      <c r="L83" s="2046"/>
      <c r="M83" s="2046"/>
      <c r="N83" s="2046"/>
      <c r="O83" s="2046"/>
      <c r="P83" s="2046"/>
      <c r="Q83" s="2046"/>
      <c r="R83" s="2046"/>
      <c r="S83" s="2046"/>
      <c r="T83" s="2046"/>
      <c r="U83" s="2046"/>
      <c r="V83" s="2046"/>
      <c r="W83" s="2046"/>
      <c r="X83" s="2046"/>
      <c r="Y83" s="2046"/>
      <c r="Z83" s="2046"/>
      <c r="AA83" s="2046"/>
      <c r="AB83" s="2046"/>
      <c r="AC83" s="2046"/>
      <c r="AD83" s="2046"/>
      <c r="AE83" s="2046"/>
      <c r="AF83" s="2046"/>
      <c r="AG83" s="2046"/>
      <c r="AH83" s="2046"/>
      <c r="AI83" s="2046"/>
      <c r="AJ83" s="2046"/>
      <c r="AK83" s="2046"/>
      <c r="AL83" s="2046"/>
      <c r="AM83" s="2046"/>
      <c r="AN83" s="2046"/>
      <c r="AO83" s="2046"/>
      <c r="AP83" s="2046"/>
      <c r="AQ83" s="2046"/>
      <c r="AR83" s="2046"/>
      <c r="AS83" s="2046"/>
      <c r="AT83" s="2046"/>
      <c r="AU83" s="2046"/>
      <c r="AV83" s="2046"/>
      <c r="AW83" s="2046"/>
      <c r="AX83" s="2046"/>
      <c r="AY83" s="2046"/>
      <c r="AZ83" s="2046"/>
      <c r="BA83" s="2046"/>
      <c r="BB83" s="2046"/>
      <c r="BC83" s="2046"/>
      <c r="BD83" s="2046"/>
      <c r="BE83" s="2046"/>
      <c r="BF83" s="2046"/>
      <c r="BG83" s="2046"/>
      <c r="BH83" s="2046"/>
      <c r="BI83" s="2046"/>
      <c r="BJ83" s="2046"/>
      <c r="BK83" s="2046"/>
      <c r="BL83" s="2046"/>
      <c r="BM83" s="2047"/>
      <c r="BN83" s="2047"/>
      <c r="BO83" s="2047"/>
      <c r="BP83" s="2047"/>
      <c r="BQ83" s="2047"/>
      <c r="BR83" s="2047"/>
      <c r="BS83" s="2047"/>
      <c r="BT83" s="2047"/>
      <c r="BU83" s="2047"/>
      <c r="BV83" s="2047"/>
      <c r="BW83" s="2047"/>
      <c r="BX83" s="2047"/>
      <c r="BY83" s="2047"/>
      <c r="BZ83" s="2047"/>
      <c r="CA83" s="2047"/>
      <c r="CB83" s="2047"/>
    </row>
    <row r="84" spans="1:80">
      <c r="A84" s="2047"/>
      <c r="C84" s="2046"/>
      <c r="D84" s="2046"/>
      <c r="E84" s="2046"/>
      <c r="F84" s="2046"/>
      <c r="G84" s="2046"/>
      <c r="H84" s="2046"/>
      <c r="I84" s="2046"/>
      <c r="J84" s="2046"/>
      <c r="K84" s="2046"/>
      <c r="L84" s="2046"/>
      <c r="M84" s="2046"/>
      <c r="N84" s="2046"/>
      <c r="O84" s="2046"/>
      <c r="P84" s="2046"/>
      <c r="Q84" s="2046"/>
      <c r="R84" s="2046"/>
      <c r="S84" s="2046"/>
      <c r="T84" s="2046"/>
      <c r="U84" s="2046"/>
      <c r="V84" s="2046"/>
      <c r="W84" s="2046"/>
      <c r="X84" s="2046"/>
      <c r="Y84" s="2046"/>
      <c r="Z84" s="2046"/>
      <c r="AA84" s="2046"/>
      <c r="AB84" s="2046"/>
      <c r="AC84" s="2046"/>
      <c r="AD84" s="2046"/>
      <c r="AE84" s="2046"/>
      <c r="AF84" s="2046"/>
      <c r="AG84" s="2046"/>
      <c r="AH84" s="2046"/>
      <c r="AI84" s="2046"/>
      <c r="AJ84" s="2046"/>
      <c r="AK84" s="2046"/>
      <c r="AL84" s="2046"/>
      <c r="AM84" s="2046"/>
      <c r="AN84" s="2046"/>
      <c r="AO84" s="2046"/>
      <c r="AP84" s="2046"/>
      <c r="AQ84" s="2046"/>
      <c r="AR84" s="2046"/>
      <c r="AS84" s="2046"/>
      <c r="AT84" s="2046"/>
      <c r="AU84" s="2046"/>
      <c r="AV84" s="2046"/>
      <c r="AW84" s="2046"/>
      <c r="AX84" s="2046"/>
      <c r="AY84" s="2046"/>
      <c r="AZ84" s="2046"/>
      <c r="BA84" s="2046"/>
      <c r="BB84" s="2046"/>
      <c r="BC84" s="2046"/>
      <c r="BD84" s="2046"/>
      <c r="BE84" s="2046"/>
      <c r="BF84" s="2046"/>
      <c r="BG84" s="2046"/>
      <c r="BH84" s="2046"/>
      <c r="BI84" s="2046"/>
      <c r="BJ84" s="2046"/>
      <c r="BK84" s="2046"/>
      <c r="BL84" s="2046"/>
      <c r="BM84" s="2047"/>
      <c r="BN84" s="2047"/>
      <c r="BO84" s="2047"/>
      <c r="BP84" s="2047"/>
      <c r="BQ84" s="2047"/>
      <c r="BR84" s="2047"/>
      <c r="BS84" s="2047"/>
      <c r="BT84" s="2047"/>
      <c r="BU84" s="2047"/>
      <c r="BV84" s="2047"/>
      <c r="BW84" s="2047"/>
      <c r="BX84" s="2047"/>
      <c r="BY84" s="2047"/>
      <c r="BZ84" s="2047"/>
      <c r="CA84" s="2047"/>
      <c r="CB84" s="2047"/>
    </row>
    <row r="85" spans="1:80">
      <c r="A85" s="2047"/>
      <c r="C85" s="2046"/>
      <c r="D85" s="2046"/>
      <c r="E85" s="2046"/>
      <c r="F85" s="2046"/>
      <c r="G85" s="2046"/>
      <c r="H85" s="2046"/>
      <c r="I85" s="2046"/>
      <c r="J85" s="2046"/>
      <c r="K85" s="2046"/>
      <c r="L85" s="2046"/>
      <c r="M85" s="2046"/>
      <c r="N85" s="2046"/>
      <c r="O85" s="2046"/>
      <c r="P85" s="2046"/>
      <c r="Q85" s="2046"/>
      <c r="R85" s="2046"/>
      <c r="S85" s="2046"/>
      <c r="T85" s="2046"/>
      <c r="U85" s="2046"/>
      <c r="V85" s="2046"/>
      <c r="W85" s="2046"/>
      <c r="X85" s="2046"/>
      <c r="Y85" s="2046"/>
      <c r="Z85" s="2046"/>
      <c r="AA85" s="2046"/>
      <c r="AB85" s="2046"/>
      <c r="AC85" s="2046"/>
      <c r="AD85" s="2046"/>
      <c r="AE85" s="2046"/>
      <c r="AF85" s="2046"/>
      <c r="AG85" s="2046"/>
      <c r="AH85" s="2046"/>
      <c r="AI85" s="2046"/>
      <c r="AJ85" s="2046"/>
      <c r="AK85" s="2046"/>
      <c r="AL85" s="2046"/>
      <c r="AM85" s="2046"/>
      <c r="AN85" s="2046"/>
      <c r="AO85" s="2046"/>
      <c r="AP85" s="2046"/>
      <c r="AQ85" s="2046"/>
      <c r="AR85" s="2046"/>
      <c r="AS85" s="2046"/>
      <c r="AT85" s="2046"/>
      <c r="AU85" s="2046"/>
      <c r="AV85" s="2046"/>
      <c r="AW85" s="2046"/>
      <c r="AX85" s="2046"/>
      <c r="AY85" s="2046"/>
      <c r="AZ85" s="2046"/>
      <c r="BA85" s="2046"/>
      <c r="BB85" s="2046"/>
      <c r="BC85" s="2046"/>
      <c r="BD85" s="2046"/>
      <c r="BE85" s="2046"/>
      <c r="BF85" s="2046"/>
      <c r="BG85" s="2046"/>
      <c r="BH85" s="2046"/>
      <c r="BI85" s="2046"/>
      <c r="BJ85" s="2046"/>
      <c r="BK85" s="2046"/>
      <c r="BL85" s="2046"/>
      <c r="BM85" s="2047"/>
      <c r="BN85" s="2047"/>
      <c r="BO85" s="2047"/>
      <c r="BP85" s="2047"/>
      <c r="BQ85" s="2047"/>
      <c r="BR85" s="2047"/>
      <c r="BS85" s="2047"/>
      <c r="BT85" s="2047"/>
      <c r="BU85" s="2047"/>
      <c r="BV85" s="2047"/>
      <c r="BW85" s="2047"/>
      <c r="BX85" s="2047"/>
      <c r="BY85" s="2047"/>
      <c r="BZ85" s="2047"/>
      <c r="CA85" s="2047"/>
      <c r="CB85" s="2047"/>
    </row>
    <row r="86" spans="1:80">
      <c r="A86" s="2047"/>
      <c r="C86" s="2046"/>
      <c r="D86" s="2046"/>
      <c r="E86" s="2046"/>
      <c r="F86" s="2046"/>
      <c r="G86" s="2046"/>
      <c r="H86" s="2046"/>
      <c r="I86" s="2046"/>
      <c r="J86" s="2046"/>
      <c r="K86" s="2046"/>
      <c r="L86" s="2046"/>
      <c r="M86" s="2046"/>
      <c r="N86" s="2046"/>
      <c r="O86" s="2046"/>
      <c r="P86" s="2046"/>
      <c r="Q86" s="2046"/>
      <c r="R86" s="2046"/>
      <c r="S86" s="2046"/>
      <c r="T86" s="2046"/>
      <c r="U86" s="2046"/>
      <c r="V86" s="2046"/>
      <c r="W86" s="2046"/>
      <c r="X86" s="2046"/>
      <c r="Y86" s="2046"/>
      <c r="Z86" s="2046"/>
      <c r="AA86" s="2046"/>
      <c r="AB86" s="2046"/>
      <c r="AC86" s="2046"/>
      <c r="AD86" s="2046"/>
      <c r="AE86" s="2046"/>
      <c r="AF86" s="2046"/>
      <c r="AG86" s="2046"/>
      <c r="AH86" s="2046"/>
      <c r="AI86" s="2046"/>
      <c r="AJ86" s="2046"/>
      <c r="AK86" s="2046"/>
      <c r="AL86" s="2046"/>
      <c r="AM86" s="2046"/>
      <c r="AN86" s="2046"/>
      <c r="AO86" s="2046"/>
      <c r="AP86" s="2046"/>
      <c r="AQ86" s="2046"/>
      <c r="AR86" s="2046"/>
      <c r="AS86" s="2046"/>
      <c r="AT86" s="2046"/>
      <c r="AU86" s="2046"/>
      <c r="AV86" s="2046"/>
      <c r="AW86" s="2046"/>
      <c r="AX86" s="2046"/>
      <c r="AY86" s="2046"/>
      <c r="AZ86" s="2046"/>
      <c r="BA86" s="2046"/>
      <c r="BB86" s="2046"/>
      <c r="BC86" s="2046"/>
      <c r="BD86" s="2046"/>
      <c r="BE86" s="2046"/>
      <c r="BF86" s="2046"/>
      <c r="BG86" s="2046"/>
      <c r="BH86" s="2046"/>
      <c r="BI86" s="2046"/>
      <c r="BJ86" s="2046"/>
      <c r="BK86" s="2046"/>
      <c r="BL86" s="2046"/>
      <c r="BM86" s="2047"/>
      <c r="BN86" s="2047"/>
      <c r="BO86" s="2047"/>
      <c r="BP86" s="2047"/>
      <c r="BQ86" s="2047"/>
      <c r="BR86" s="2047"/>
      <c r="BS86" s="2047"/>
      <c r="BT86" s="2047"/>
      <c r="BU86" s="2047"/>
      <c r="BV86" s="2047"/>
      <c r="BW86" s="2047"/>
      <c r="BX86" s="2047"/>
      <c r="BY86" s="2047"/>
      <c r="BZ86" s="2047"/>
      <c r="CA86" s="2047"/>
      <c r="CB86" s="2047"/>
    </row>
    <row r="87" spans="1:80">
      <c r="A87" s="2047"/>
      <c r="C87" s="2046"/>
      <c r="D87" s="2046"/>
      <c r="E87" s="2046"/>
      <c r="F87" s="2046"/>
      <c r="G87" s="2046"/>
      <c r="H87" s="2046"/>
      <c r="I87" s="2046"/>
      <c r="J87" s="2046"/>
      <c r="K87" s="2046"/>
      <c r="L87" s="2046"/>
      <c r="M87" s="2046"/>
      <c r="N87" s="2046"/>
      <c r="O87" s="2046"/>
      <c r="P87" s="2046"/>
      <c r="Q87" s="2046"/>
      <c r="R87" s="2046"/>
      <c r="S87" s="2046"/>
      <c r="T87" s="2046"/>
      <c r="U87" s="2046"/>
      <c r="V87" s="2046"/>
      <c r="W87" s="2046"/>
      <c r="X87" s="2046"/>
      <c r="Y87" s="2046"/>
      <c r="Z87" s="2046"/>
      <c r="AA87" s="2046"/>
      <c r="AB87" s="2046"/>
      <c r="AC87" s="2046"/>
      <c r="AD87" s="2046"/>
      <c r="AE87" s="2046"/>
      <c r="AF87" s="2046"/>
      <c r="AG87" s="2046"/>
      <c r="AH87" s="2046"/>
      <c r="AI87" s="2046"/>
      <c r="AJ87" s="2046"/>
      <c r="AK87" s="2046"/>
      <c r="AL87" s="2046"/>
      <c r="AM87" s="2046"/>
      <c r="AN87" s="2046"/>
      <c r="AO87" s="2046"/>
      <c r="AP87" s="2046"/>
      <c r="AQ87" s="2046"/>
      <c r="AR87" s="2046"/>
      <c r="AS87" s="2046"/>
      <c r="AT87" s="2046"/>
      <c r="AU87" s="2046"/>
      <c r="AV87" s="2046"/>
      <c r="AW87" s="2046"/>
      <c r="AX87" s="2046"/>
      <c r="AY87" s="2046"/>
      <c r="AZ87" s="2046"/>
      <c r="BA87" s="2046"/>
      <c r="BB87" s="2046"/>
      <c r="BC87" s="2046"/>
      <c r="BD87" s="2046"/>
      <c r="BE87" s="2046"/>
      <c r="BF87" s="2046"/>
      <c r="BG87" s="2046"/>
      <c r="BH87" s="2046"/>
      <c r="BI87" s="2046"/>
      <c r="BJ87" s="2046"/>
      <c r="BK87" s="2046"/>
      <c r="BL87" s="2046"/>
      <c r="BM87" s="2047"/>
      <c r="BN87" s="2047"/>
      <c r="BO87" s="2047"/>
      <c r="BP87" s="2047"/>
      <c r="BQ87" s="2047"/>
      <c r="BR87" s="2047"/>
      <c r="BS87" s="2047"/>
      <c r="BT87" s="2047"/>
      <c r="BU87" s="2047"/>
      <c r="BV87" s="2047"/>
      <c r="BW87" s="2047"/>
      <c r="BX87" s="2047"/>
      <c r="BY87" s="2047"/>
      <c r="BZ87" s="2047"/>
      <c r="CA87" s="2047"/>
      <c r="CB87" s="2047"/>
    </row>
    <row r="88" spans="1:80">
      <c r="A88" s="2047"/>
      <c r="C88" s="2046"/>
      <c r="D88" s="2046"/>
      <c r="E88" s="2046"/>
      <c r="F88" s="2046"/>
      <c r="G88" s="2046"/>
      <c r="H88" s="2046"/>
      <c r="I88" s="2046"/>
      <c r="J88" s="2046"/>
      <c r="K88" s="2046"/>
      <c r="L88" s="2046"/>
      <c r="M88" s="2046"/>
      <c r="N88" s="2046"/>
      <c r="O88" s="2046"/>
      <c r="P88" s="2046"/>
      <c r="Q88" s="2046"/>
      <c r="R88" s="2046"/>
      <c r="S88" s="2046"/>
      <c r="T88" s="2046"/>
      <c r="U88" s="2046"/>
      <c r="V88" s="2046"/>
      <c r="W88" s="2046"/>
      <c r="X88" s="2046"/>
      <c r="Y88" s="2046"/>
      <c r="Z88" s="2046"/>
      <c r="AA88" s="2046"/>
      <c r="AB88" s="2046"/>
      <c r="AC88" s="2046"/>
      <c r="AD88" s="2046"/>
      <c r="AE88" s="2046"/>
      <c r="AF88" s="2046"/>
      <c r="AG88" s="2046"/>
      <c r="AH88" s="2046"/>
      <c r="AI88" s="2046"/>
      <c r="AJ88" s="2046"/>
      <c r="AK88" s="2046"/>
      <c r="AL88" s="2046"/>
      <c r="AM88" s="2046"/>
      <c r="AN88" s="2046"/>
      <c r="AO88" s="2046"/>
      <c r="AP88" s="2046"/>
      <c r="AQ88" s="2046"/>
      <c r="AR88" s="2046"/>
      <c r="AS88" s="2046"/>
      <c r="AT88" s="2046"/>
      <c r="AU88" s="2046"/>
      <c r="AV88" s="2046"/>
      <c r="AW88" s="2046"/>
      <c r="AX88" s="2046"/>
      <c r="AY88" s="2046"/>
      <c r="AZ88" s="2046"/>
      <c r="BA88" s="2046"/>
      <c r="BB88" s="2046"/>
      <c r="BC88" s="2046"/>
      <c r="BD88" s="2046"/>
      <c r="BE88" s="2046"/>
      <c r="BF88" s="2046"/>
      <c r="BG88" s="2046"/>
      <c r="BH88" s="2046"/>
      <c r="BI88" s="2046"/>
      <c r="BJ88" s="2046"/>
      <c r="BK88" s="2046"/>
      <c r="BL88" s="2046"/>
      <c r="BM88" s="2047"/>
      <c r="BN88" s="2047"/>
      <c r="BO88" s="2047"/>
      <c r="BP88" s="2047"/>
      <c r="BQ88" s="2047"/>
      <c r="BR88" s="2047"/>
      <c r="BS88" s="2047"/>
      <c r="BT88" s="2047"/>
      <c r="BU88" s="2047"/>
      <c r="BV88" s="2047"/>
      <c r="BW88" s="2047"/>
      <c r="BX88" s="2047"/>
      <c r="BY88" s="2047"/>
      <c r="BZ88" s="2047"/>
      <c r="CA88" s="2047"/>
      <c r="CB88" s="2047"/>
    </row>
    <row r="89" spans="1:80">
      <c r="A89" s="2047"/>
      <c r="C89" s="2046"/>
      <c r="D89" s="2046"/>
      <c r="E89" s="2046"/>
      <c r="F89" s="2046"/>
      <c r="G89" s="2046"/>
      <c r="H89" s="2046"/>
      <c r="I89" s="2046"/>
      <c r="J89" s="2046"/>
      <c r="K89" s="2046"/>
      <c r="L89" s="2046"/>
      <c r="M89" s="2046"/>
      <c r="N89" s="2046"/>
      <c r="O89" s="2046"/>
      <c r="P89" s="2046"/>
      <c r="Q89" s="2046"/>
      <c r="R89" s="2046"/>
      <c r="S89" s="2046"/>
      <c r="T89" s="2046"/>
      <c r="U89" s="2046"/>
      <c r="V89" s="2046"/>
      <c r="W89" s="2046"/>
      <c r="X89" s="2046"/>
      <c r="Y89" s="2046"/>
      <c r="Z89" s="2046"/>
      <c r="AA89" s="2046"/>
      <c r="AB89" s="2046"/>
      <c r="AC89" s="2046"/>
      <c r="AD89" s="2046"/>
      <c r="AE89" s="2046"/>
      <c r="AF89" s="2046"/>
      <c r="AG89" s="2046"/>
      <c r="AH89" s="2046"/>
      <c r="AI89" s="2046"/>
      <c r="AJ89" s="2046"/>
      <c r="AK89" s="2046"/>
      <c r="AL89" s="2046"/>
      <c r="AM89" s="2046"/>
      <c r="AN89" s="2046"/>
      <c r="AO89" s="2046"/>
      <c r="AP89" s="2046"/>
      <c r="AQ89" s="2046"/>
      <c r="AR89" s="2046"/>
      <c r="AS89" s="2046"/>
      <c r="AT89" s="2046"/>
      <c r="AU89" s="2046"/>
      <c r="AV89" s="2046"/>
      <c r="AW89" s="2046"/>
      <c r="AX89" s="2046"/>
      <c r="AY89" s="2046"/>
      <c r="AZ89" s="2046"/>
      <c r="BA89" s="2046"/>
      <c r="BB89" s="2046"/>
      <c r="BC89" s="2046"/>
      <c r="BD89" s="2046"/>
      <c r="BE89" s="2046"/>
      <c r="BF89" s="2046"/>
      <c r="BG89" s="2046"/>
      <c r="BH89" s="2046"/>
      <c r="BI89" s="2046"/>
      <c r="BJ89" s="2046"/>
      <c r="BK89" s="2046"/>
      <c r="BL89" s="2046"/>
      <c r="BM89" s="2047"/>
      <c r="BN89" s="2047"/>
      <c r="BO89" s="2047"/>
      <c r="BP89" s="2047"/>
      <c r="BQ89" s="2047"/>
      <c r="BR89" s="2047"/>
      <c r="BS89" s="2047"/>
      <c r="BT89" s="2047"/>
      <c r="BU89" s="2047"/>
      <c r="BV89" s="2047"/>
      <c r="BW89" s="2047"/>
      <c r="BX89" s="2047"/>
      <c r="BY89" s="2047"/>
      <c r="BZ89" s="2047"/>
      <c r="CA89" s="2047"/>
      <c r="CB89" s="2047"/>
    </row>
    <row r="90" spans="1:80">
      <c r="A90" s="2047"/>
      <c r="C90" s="2046"/>
      <c r="D90" s="2046"/>
      <c r="E90" s="2046"/>
      <c r="F90" s="2046"/>
      <c r="G90" s="2046"/>
      <c r="H90" s="2046"/>
      <c r="I90" s="2046"/>
      <c r="J90" s="2046"/>
      <c r="K90" s="2046"/>
      <c r="L90" s="2046"/>
      <c r="M90" s="2046"/>
      <c r="N90" s="2046"/>
      <c r="O90" s="2046"/>
      <c r="P90" s="2046"/>
      <c r="Q90" s="2046"/>
      <c r="R90" s="2046"/>
      <c r="S90" s="2046"/>
      <c r="T90" s="2046"/>
      <c r="U90" s="2046"/>
      <c r="V90" s="2046"/>
      <c r="W90" s="2046"/>
      <c r="X90" s="2046"/>
      <c r="Y90" s="2046"/>
      <c r="Z90" s="2046"/>
      <c r="AA90" s="2046"/>
      <c r="AB90" s="2046"/>
      <c r="AC90" s="2046"/>
      <c r="AD90" s="2046"/>
      <c r="AE90" s="2046"/>
      <c r="AF90" s="2046"/>
      <c r="AG90" s="2046"/>
      <c r="AH90" s="2046"/>
      <c r="AI90" s="2046"/>
      <c r="AJ90" s="2046"/>
      <c r="AK90" s="2046"/>
      <c r="AL90" s="2046"/>
      <c r="AM90" s="2046"/>
      <c r="AN90" s="2046"/>
      <c r="AO90" s="2046"/>
      <c r="AP90" s="2046"/>
      <c r="AQ90" s="2046"/>
      <c r="AR90" s="2046"/>
      <c r="AS90" s="2046"/>
      <c r="AT90" s="2046"/>
      <c r="AU90" s="2046"/>
      <c r="AV90" s="2046"/>
      <c r="AW90" s="2046"/>
      <c r="AX90" s="2046"/>
      <c r="AY90" s="2046"/>
      <c r="AZ90" s="2046"/>
      <c r="BA90" s="2046"/>
      <c r="BB90" s="2046"/>
      <c r="BC90" s="2046"/>
      <c r="BD90" s="2046"/>
      <c r="BE90" s="2046"/>
      <c r="BF90" s="2046"/>
      <c r="BG90" s="2046"/>
      <c r="BH90" s="2046"/>
      <c r="BI90" s="2046"/>
      <c r="BJ90" s="2046"/>
      <c r="BK90" s="2046"/>
      <c r="BL90" s="2046"/>
      <c r="BM90" s="2047"/>
      <c r="BN90" s="2047"/>
      <c r="BO90" s="2047"/>
      <c r="BP90" s="2047"/>
      <c r="BQ90" s="2047"/>
      <c r="BR90" s="2047"/>
      <c r="BS90" s="2047"/>
      <c r="BT90" s="2047"/>
      <c r="BU90" s="2047"/>
      <c r="BV90" s="2047"/>
      <c r="BW90" s="2047"/>
      <c r="BX90" s="2047"/>
      <c r="BY90" s="2047"/>
      <c r="BZ90" s="2047"/>
      <c r="CA90" s="2047"/>
      <c r="CB90" s="2047"/>
    </row>
    <row r="91" spans="1:80">
      <c r="A91" s="2047"/>
      <c r="C91" s="2046"/>
      <c r="D91" s="2046"/>
      <c r="E91" s="2046"/>
      <c r="F91" s="2046"/>
      <c r="G91" s="2046"/>
      <c r="H91" s="2046"/>
      <c r="I91" s="2046"/>
      <c r="J91" s="2046"/>
      <c r="K91" s="2046"/>
      <c r="L91" s="2046"/>
      <c r="M91" s="2046"/>
      <c r="N91" s="2046"/>
      <c r="O91" s="2046"/>
      <c r="P91" s="2046"/>
      <c r="Q91" s="2046"/>
      <c r="R91" s="2046"/>
      <c r="S91" s="2046"/>
      <c r="T91" s="2046"/>
      <c r="U91" s="2046"/>
      <c r="V91" s="2046"/>
      <c r="W91" s="2046"/>
      <c r="X91" s="2046"/>
      <c r="Y91" s="2046"/>
      <c r="Z91" s="2046"/>
      <c r="AA91" s="2046"/>
      <c r="AB91" s="2046"/>
      <c r="AC91" s="2046"/>
      <c r="AD91" s="2046"/>
      <c r="AE91" s="2046"/>
      <c r="AF91" s="2046"/>
      <c r="AG91" s="2046"/>
      <c r="AH91" s="2046"/>
      <c r="AI91" s="2046"/>
      <c r="AJ91" s="2046"/>
      <c r="AK91" s="2046"/>
      <c r="AL91" s="2046"/>
      <c r="AM91" s="2046"/>
      <c r="AN91" s="2046"/>
      <c r="AO91" s="2046"/>
      <c r="AP91" s="2046"/>
      <c r="AQ91" s="2046"/>
      <c r="AR91" s="2046"/>
      <c r="AS91" s="2046"/>
      <c r="AT91" s="2046"/>
      <c r="AU91" s="2046"/>
      <c r="AV91" s="2046"/>
      <c r="AW91" s="2046"/>
      <c r="AX91" s="2046"/>
      <c r="AY91" s="2046"/>
      <c r="AZ91" s="2046"/>
      <c r="BA91" s="2046"/>
      <c r="BB91" s="2046"/>
      <c r="BC91" s="2046"/>
      <c r="BD91" s="2046"/>
      <c r="BE91" s="2046"/>
      <c r="BF91" s="2046"/>
      <c r="BG91" s="2046"/>
      <c r="BH91" s="2046"/>
      <c r="BI91" s="2046"/>
      <c r="BJ91" s="2046"/>
      <c r="BK91" s="2046"/>
      <c r="BL91" s="2046"/>
      <c r="BM91" s="2047"/>
      <c r="BN91" s="2047"/>
      <c r="BO91" s="2047"/>
      <c r="BP91" s="2047"/>
      <c r="BQ91" s="2047"/>
      <c r="BR91" s="2047"/>
      <c r="BS91" s="2047"/>
      <c r="BT91" s="2047"/>
      <c r="BU91" s="2047"/>
      <c r="BV91" s="2047"/>
      <c r="BW91" s="2047"/>
      <c r="BX91" s="2047"/>
      <c r="BY91" s="2047"/>
      <c r="BZ91" s="2047"/>
      <c r="CA91" s="2047"/>
      <c r="CB91" s="2047"/>
    </row>
    <row r="92" spans="1:80">
      <c r="A92" s="2047"/>
      <c r="C92" s="2046"/>
      <c r="D92" s="2046"/>
      <c r="E92" s="2046"/>
      <c r="F92" s="2046"/>
      <c r="G92" s="2046"/>
      <c r="H92" s="2046"/>
      <c r="I92" s="2046"/>
      <c r="J92" s="2046"/>
      <c r="K92" s="2046"/>
      <c r="L92" s="2046"/>
      <c r="M92" s="2046"/>
      <c r="N92" s="2046"/>
      <c r="O92" s="2046"/>
      <c r="P92" s="2046"/>
      <c r="Q92" s="2046"/>
      <c r="R92" s="2046"/>
      <c r="S92" s="2046"/>
      <c r="T92" s="2046"/>
      <c r="U92" s="2046"/>
      <c r="V92" s="2046"/>
      <c r="W92" s="2046"/>
      <c r="X92" s="2046"/>
      <c r="Y92" s="2046"/>
      <c r="Z92" s="2046"/>
      <c r="AA92" s="2046"/>
      <c r="AB92" s="2046"/>
      <c r="AC92" s="2046"/>
      <c r="AD92" s="2046"/>
      <c r="AE92" s="2046"/>
      <c r="AF92" s="2046"/>
      <c r="AG92" s="2046"/>
      <c r="AH92" s="2046"/>
      <c r="AI92" s="2046"/>
      <c r="AJ92" s="2046"/>
      <c r="AK92" s="2046"/>
      <c r="AL92" s="2046"/>
      <c r="AM92" s="2046"/>
      <c r="AN92" s="2046"/>
      <c r="AO92" s="2046"/>
      <c r="AP92" s="2046"/>
      <c r="AQ92" s="2046"/>
      <c r="AR92" s="2046"/>
      <c r="AS92" s="2046"/>
      <c r="AT92" s="2046"/>
      <c r="AU92" s="2046"/>
      <c r="AV92" s="2046"/>
      <c r="AW92" s="2046"/>
      <c r="AX92" s="2046"/>
      <c r="AY92" s="2046"/>
      <c r="AZ92" s="2046"/>
      <c r="BA92" s="2046"/>
      <c r="BB92" s="2046"/>
      <c r="BC92" s="2046"/>
      <c r="BD92" s="2046"/>
      <c r="BE92" s="2046"/>
      <c r="BF92" s="2046"/>
      <c r="BG92" s="2046"/>
      <c r="BH92" s="2046"/>
      <c r="BI92" s="2046"/>
      <c r="BJ92" s="2046"/>
      <c r="BK92" s="2046"/>
      <c r="BL92" s="2046"/>
      <c r="BM92" s="2047"/>
      <c r="BN92" s="2047"/>
      <c r="BO92" s="2047"/>
      <c r="BP92" s="2047"/>
      <c r="BQ92" s="2047"/>
      <c r="BR92" s="2047"/>
      <c r="BS92" s="2047"/>
      <c r="BT92" s="2047"/>
      <c r="BU92" s="2047"/>
      <c r="BV92" s="2047"/>
      <c r="BW92" s="2047"/>
      <c r="BX92" s="2047"/>
      <c r="BY92" s="2047"/>
      <c r="BZ92" s="2047"/>
      <c r="CA92" s="2047"/>
      <c r="CB92" s="2047"/>
    </row>
    <row r="93" spans="1:80">
      <c r="A93" s="2047"/>
      <c r="C93" s="2046"/>
      <c r="D93" s="2046"/>
      <c r="E93" s="2046"/>
      <c r="F93" s="2046"/>
      <c r="G93" s="2046"/>
      <c r="H93" s="2046"/>
      <c r="I93" s="2046"/>
      <c r="J93" s="2046"/>
      <c r="K93" s="2046"/>
      <c r="L93" s="2046"/>
      <c r="M93" s="2046"/>
      <c r="N93" s="2046"/>
      <c r="O93" s="2046"/>
      <c r="P93" s="2046"/>
      <c r="Q93" s="2046"/>
      <c r="R93" s="2046"/>
      <c r="S93" s="2046"/>
      <c r="T93" s="2046"/>
      <c r="U93" s="2046"/>
      <c r="V93" s="2046"/>
      <c r="W93" s="2046"/>
      <c r="X93" s="2046"/>
      <c r="Y93" s="2046"/>
      <c r="Z93" s="2046"/>
      <c r="AA93" s="2046"/>
      <c r="AB93" s="2046"/>
      <c r="AC93" s="2046"/>
      <c r="AD93" s="2046"/>
      <c r="AE93" s="2046"/>
      <c r="AF93" s="2046"/>
      <c r="AG93" s="2046"/>
      <c r="AH93" s="2046"/>
      <c r="AI93" s="2046"/>
      <c r="AJ93" s="2046"/>
      <c r="AK93" s="2046"/>
      <c r="AL93" s="2046"/>
      <c r="AM93" s="2046"/>
      <c r="AN93" s="2046"/>
      <c r="AO93" s="2046"/>
      <c r="AP93" s="2046"/>
      <c r="AQ93" s="2046"/>
      <c r="AR93" s="2046"/>
      <c r="AS93" s="2046"/>
      <c r="AT93" s="2046"/>
      <c r="AU93" s="2046"/>
      <c r="AV93" s="2046"/>
      <c r="AW93" s="2046"/>
      <c r="AX93" s="2046"/>
      <c r="AY93" s="2046"/>
      <c r="AZ93" s="2046"/>
      <c r="BA93" s="2046"/>
      <c r="BB93" s="2046"/>
      <c r="BC93" s="2046"/>
      <c r="BD93" s="2046"/>
      <c r="BE93" s="2046"/>
      <c r="BF93" s="2046"/>
      <c r="BG93" s="2046"/>
      <c r="BH93" s="2046"/>
      <c r="BI93" s="2046"/>
      <c r="BJ93" s="2046"/>
      <c r="BK93" s="2046"/>
      <c r="BL93" s="2046"/>
      <c r="BM93" s="2047"/>
      <c r="BN93" s="2047"/>
      <c r="BO93" s="2047"/>
      <c r="BP93" s="2047"/>
      <c r="BQ93" s="2047"/>
      <c r="BR93" s="2047"/>
      <c r="BS93" s="2047"/>
      <c r="BT93" s="2047"/>
      <c r="BU93" s="2047"/>
      <c r="BV93" s="2047"/>
      <c r="BW93" s="2047"/>
      <c r="BX93" s="2047"/>
      <c r="BY93" s="2047"/>
      <c r="BZ93" s="2047"/>
      <c r="CA93" s="2047"/>
      <c r="CB93" s="2047"/>
    </row>
    <row r="94" spans="1:80">
      <c r="A94" s="2047"/>
      <c r="C94" s="2046"/>
      <c r="D94" s="2046"/>
      <c r="E94" s="2046"/>
      <c r="F94" s="2046"/>
      <c r="G94" s="2046"/>
      <c r="H94" s="2046"/>
      <c r="I94" s="2046"/>
      <c r="J94" s="2046"/>
      <c r="K94" s="2046"/>
      <c r="L94" s="2046"/>
      <c r="M94" s="2046"/>
      <c r="N94" s="2046"/>
      <c r="O94" s="2046"/>
      <c r="P94" s="2046"/>
      <c r="Q94" s="2046"/>
      <c r="R94" s="2046"/>
      <c r="S94" s="2046"/>
      <c r="T94" s="2046"/>
      <c r="U94" s="2046"/>
      <c r="V94" s="2046"/>
      <c r="W94" s="2046"/>
      <c r="X94" s="2046"/>
      <c r="Y94" s="2046"/>
      <c r="Z94" s="2046"/>
      <c r="AA94" s="2046"/>
      <c r="AB94" s="2046"/>
      <c r="AC94" s="2046"/>
      <c r="AD94" s="2046"/>
      <c r="AE94" s="2046"/>
      <c r="AF94" s="2046"/>
      <c r="AG94" s="2046"/>
      <c r="AH94" s="2046"/>
      <c r="AI94" s="2046"/>
      <c r="AJ94" s="2046"/>
      <c r="AK94" s="2046"/>
      <c r="AL94" s="2046"/>
      <c r="AM94" s="2046"/>
      <c r="AN94" s="2046"/>
      <c r="AO94" s="2046"/>
      <c r="AP94" s="2046"/>
      <c r="AQ94" s="2046"/>
      <c r="AR94" s="2046"/>
      <c r="AS94" s="2046"/>
      <c r="AT94" s="2046"/>
      <c r="AU94" s="2046"/>
      <c r="AV94" s="2046"/>
      <c r="AW94" s="2046"/>
      <c r="AX94" s="2046"/>
      <c r="AY94" s="2046"/>
      <c r="AZ94" s="2046"/>
      <c r="BA94" s="2046"/>
      <c r="BB94" s="2046"/>
      <c r="BC94" s="2046"/>
      <c r="BD94" s="2046"/>
      <c r="BE94" s="2046"/>
      <c r="BF94" s="2046"/>
      <c r="BG94" s="2046"/>
      <c r="BH94" s="2046"/>
      <c r="BI94" s="2046"/>
      <c r="BJ94" s="2046"/>
      <c r="BK94" s="2046"/>
      <c r="BL94" s="2046"/>
      <c r="BM94" s="2047"/>
      <c r="BN94" s="2047"/>
      <c r="BO94" s="2047"/>
      <c r="BP94" s="2047"/>
      <c r="BQ94" s="2047"/>
      <c r="BR94" s="2047"/>
      <c r="BS94" s="2047"/>
      <c r="BT94" s="2047"/>
      <c r="BU94" s="2047"/>
      <c r="BV94" s="2047"/>
      <c r="BW94" s="2047"/>
      <c r="BX94" s="2047"/>
      <c r="BY94" s="2047"/>
      <c r="BZ94" s="2047"/>
      <c r="CA94" s="2047"/>
      <c r="CB94" s="2047"/>
    </row>
    <row r="95" spans="1:80">
      <c r="A95" s="2047"/>
      <c r="C95" s="2046"/>
      <c r="D95" s="2046"/>
      <c r="E95" s="2046"/>
      <c r="F95" s="2046"/>
      <c r="G95" s="2046"/>
      <c r="H95" s="2046"/>
      <c r="I95" s="2046"/>
      <c r="J95" s="2046"/>
      <c r="K95" s="2046"/>
      <c r="L95" s="2046"/>
      <c r="M95" s="2046"/>
      <c r="N95" s="2046"/>
      <c r="O95" s="2046"/>
      <c r="P95" s="2046"/>
      <c r="Q95" s="2046"/>
      <c r="R95" s="2046"/>
      <c r="S95" s="2046"/>
      <c r="T95" s="2046"/>
      <c r="U95" s="2046"/>
      <c r="V95" s="2046"/>
      <c r="W95" s="2046"/>
      <c r="X95" s="2046"/>
      <c r="Y95" s="2046"/>
      <c r="Z95" s="2046"/>
      <c r="AA95" s="2046"/>
      <c r="AB95" s="2046"/>
      <c r="AC95" s="2046"/>
      <c r="AD95" s="2046"/>
      <c r="AE95" s="2046"/>
      <c r="AF95" s="2046"/>
      <c r="AG95" s="2046"/>
      <c r="AH95" s="2046"/>
      <c r="AI95" s="2046"/>
      <c r="AJ95" s="2046"/>
      <c r="AK95" s="2046"/>
      <c r="AL95" s="2046"/>
      <c r="AM95" s="2046"/>
      <c r="AN95" s="2046"/>
      <c r="AO95" s="2046"/>
      <c r="AP95" s="2046"/>
      <c r="AQ95" s="2046"/>
      <c r="AR95" s="2046"/>
      <c r="AS95" s="2046"/>
      <c r="AT95" s="2046"/>
      <c r="AU95" s="2046"/>
      <c r="AV95" s="2046"/>
      <c r="AW95" s="2046"/>
      <c r="AX95" s="2046"/>
      <c r="AY95" s="2046"/>
      <c r="AZ95" s="2046"/>
      <c r="BA95" s="2046"/>
      <c r="BB95" s="2046"/>
      <c r="BC95" s="2046"/>
      <c r="BD95" s="2046"/>
      <c r="BE95" s="2046"/>
      <c r="BF95" s="2046"/>
      <c r="BG95" s="2046"/>
      <c r="BH95" s="2046"/>
      <c r="BI95" s="2046"/>
      <c r="BJ95" s="2046"/>
      <c r="BK95" s="2046"/>
      <c r="BL95" s="2046"/>
      <c r="BM95" s="2047"/>
      <c r="BN95" s="2047"/>
      <c r="BO95" s="2047"/>
      <c r="BP95" s="2047"/>
      <c r="BQ95" s="2047"/>
      <c r="BR95" s="2047"/>
      <c r="BS95" s="2047"/>
      <c r="BT95" s="2047"/>
      <c r="BU95" s="2047"/>
      <c r="BV95" s="2047"/>
      <c r="BW95" s="2047"/>
      <c r="BX95" s="2047"/>
      <c r="BY95" s="2047"/>
      <c r="BZ95" s="2047"/>
      <c r="CA95" s="2047"/>
      <c r="CB95" s="2047"/>
    </row>
    <row r="96" spans="1:80">
      <c r="A96" s="2047"/>
      <c r="C96" s="2046"/>
      <c r="D96" s="2046"/>
      <c r="E96" s="2046"/>
      <c r="F96" s="2046"/>
      <c r="G96" s="2046"/>
      <c r="H96" s="2046"/>
      <c r="I96" s="2046"/>
      <c r="J96" s="2046"/>
      <c r="K96" s="2046"/>
      <c r="L96" s="2046"/>
      <c r="M96" s="2046"/>
      <c r="N96" s="2046"/>
      <c r="O96" s="2046"/>
      <c r="P96" s="2046"/>
      <c r="Q96" s="2046"/>
      <c r="R96" s="2046"/>
      <c r="S96" s="2046"/>
      <c r="T96" s="2046"/>
      <c r="U96" s="2046"/>
      <c r="V96" s="2046"/>
      <c r="W96" s="2046"/>
      <c r="X96" s="2046"/>
      <c r="Y96" s="2046"/>
      <c r="Z96" s="2046"/>
      <c r="AA96" s="2046"/>
      <c r="AB96" s="2046"/>
      <c r="AC96" s="2046"/>
      <c r="AD96" s="2046"/>
      <c r="AE96" s="2046"/>
      <c r="AF96" s="2046"/>
      <c r="AG96" s="2046"/>
      <c r="AH96" s="2046"/>
      <c r="AI96" s="2046"/>
      <c r="AJ96" s="2046"/>
      <c r="AK96" s="2046"/>
      <c r="AL96" s="2046"/>
      <c r="AM96" s="2046"/>
      <c r="AN96" s="2046"/>
      <c r="AO96" s="2046"/>
      <c r="AP96" s="2046"/>
      <c r="AQ96" s="2046"/>
      <c r="AR96" s="2046"/>
      <c r="AS96" s="2046"/>
      <c r="AT96" s="2046"/>
      <c r="AU96" s="2046"/>
      <c r="AV96" s="2046"/>
      <c r="AW96" s="2046"/>
      <c r="AX96" s="2046"/>
      <c r="AY96" s="2046"/>
      <c r="AZ96" s="2046"/>
      <c r="BA96" s="2046"/>
      <c r="BB96" s="2046"/>
      <c r="BC96" s="2046"/>
      <c r="BD96" s="2046"/>
      <c r="BE96" s="2046"/>
      <c r="BF96" s="2046"/>
      <c r="BG96" s="2046"/>
      <c r="BH96" s="2046"/>
      <c r="BI96" s="2046"/>
      <c r="BJ96" s="2046"/>
      <c r="BK96" s="2046"/>
      <c r="BL96" s="2046"/>
      <c r="BM96" s="2047"/>
      <c r="BN96" s="2047"/>
      <c r="BO96" s="2047"/>
      <c r="BP96" s="2047"/>
      <c r="BQ96" s="2047"/>
      <c r="BR96" s="2047"/>
      <c r="BS96" s="2047"/>
      <c r="BT96" s="2047"/>
      <c r="BU96" s="2047"/>
      <c r="BV96" s="2047"/>
      <c r="BW96" s="2047"/>
      <c r="BX96" s="2047"/>
      <c r="BY96" s="2047"/>
      <c r="BZ96" s="2047"/>
      <c r="CA96" s="2047"/>
      <c r="CB96" s="2047"/>
    </row>
    <row r="97" spans="1:80">
      <c r="A97" s="2047"/>
      <c r="C97" s="2046"/>
      <c r="D97" s="2046"/>
      <c r="E97" s="2046"/>
      <c r="F97" s="2046"/>
      <c r="G97" s="2046"/>
      <c r="H97" s="2046"/>
      <c r="I97" s="2046"/>
      <c r="J97" s="2046"/>
      <c r="K97" s="2046"/>
      <c r="L97" s="2046"/>
      <c r="M97" s="2046"/>
      <c r="N97" s="2046"/>
      <c r="O97" s="2046"/>
      <c r="P97" s="2046"/>
      <c r="Q97" s="2046"/>
      <c r="R97" s="2046"/>
      <c r="S97" s="2046"/>
      <c r="T97" s="2046"/>
      <c r="U97" s="2046"/>
      <c r="V97" s="2046"/>
      <c r="W97" s="2046"/>
      <c r="X97" s="2046"/>
      <c r="Y97" s="2046"/>
      <c r="Z97" s="2046"/>
      <c r="AA97" s="2046"/>
      <c r="AB97" s="2046"/>
      <c r="AC97" s="2046"/>
      <c r="AD97" s="2046"/>
      <c r="AE97" s="2046"/>
      <c r="AF97" s="2046"/>
      <c r="AG97" s="2046"/>
      <c r="AH97" s="2046"/>
      <c r="AI97" s="2046"/>
      <c r="AJ97" s="2046"/>
      <c r="AK97" s="2046"/>
      <c r="AL97" s="2046"/>
      <c r="AM97" s="2046"/>
      <c r="AN97" s="2046"/>
      <c r="AO97" s="2046"/>
      <c r="AP97" s="2046"/>
      <c r="AQ97" s="2046"/>
      <c r="AR97" s="2046"/>
      <c r="AS97" s="2046"/>
      <c r="AT97" s="2046"/>
      <c r="AU97" s="2046"/>
      <c r="AV97" s="2046"/>
      <c r="AW97" s="2046"/>
      <c r="AX97" s="2046"/>
      <c r="AY97" s="2046"/>
      <c r="AZ97" s="2046"/>
      <c r="BA97" s="2046"/>
      <c r="BB97" s="2046"/>
      <c r="BC97" s="2046"/>
      <c r="BD97" s="2046"/>
      <c r="BE97" s="2046"/>
      <c r="BF97" s="2046"/>
      <c r="BG97" s="2046"/>
      <c r="BH97" s="2046"/>
      <c r="BI97" s="2046"/>
      <c r="BJ97" s="2046"/>
      <c r="BK97" s="2046"/>
      <c r="BL97" s="2046"/>
      <c r="BM97" s="2047"/>
      <c r="BN97" s="2047"/>
      <c r="BO97" s="2047"/>
      <c r="BP97" s="2047"/>
      <c r="BQ97" s="2047"/>
      <c r="BR97" s="2047"/>
      <c r="BS97" s="2047"/>
      <c r="BT97" s="2047"/>
      <c r="BU97" s="2047"/>
      <c r="BV97" s="2047"/>
      <c r="BW97" s="2047"/>
      <c r="BX97" s="2047"/>
      <c r="BY97" s="2047"/>
      <c r="BZ97" s="2047"/>
      <c r="CA97" s="2047"/>
      <c r="CB97" s="2047"/>
    </row>
    <row r="98" spans="1:80">
      <c r="A98" s="2047"/>
      <c r="C98" s="2046"/>
      <c r="D98" s="2046"/>
      <c r="E98" s="2046"/>
      <c r="F98" s="2046"/>
      <c r="G98" s="2046"/>
      <c r="H98" s="2046"/>
      <c r="I98" s="2046"/>
      <c r="J98" s="2046"/>
      <c r="K98" s="2046"/>
      <c r="L98" s="2046"/>
      <c r="M98" s="2046"/>
      <c r="N98" s="2046"/>
      <c r="O98" s="2046"/>
      <c r="P98" s="2046"/>
      <c r="Q98" s="2046"/>
      <c r="R98" s="2046"/>
      <c r="S98" s="2046"/>
      <c r="T98" s="2046"/>
      <c r="U98" s="2046"/>
      <c r="V98" s="2046"/>
      <c r="W98" s="2046"/>
      <c r="X98" s="2046"/>
      <c r="Y98" s="2046"/>
      <c r="Z98" s="2046"/>
      <c r="AA98" s="2046"/>
      <c r="AB98" s="2046"/>
      <c r="AC98" s="2046"/>
      <c r="AD98" s="2046"/>
      <c r="AE98" s="2046"/>
      <c r="AF98" s="2046"/>
      <c r="AG98" s="2046"/>
      <c r="AH98" s="2046"/>
      <c r="AI98" s="2046"/>
      <c r="AJ98" s="2046"/>
      <c r="AK98" s="2046"/>
      <c r="AL98" s="2046"/>
      <c r="AM98" s="2046"/>
      <c r="AN98" s="2046"/>
      <c r="AO98" s="2046"/>
      <c r="AP98" s="2046"/>
      <c r="AQ98" s="2046"/>
      <c r="AR98" s="2046"/>
      <c r="AS98" s="2046"/>
      <c r="AT98" s="2046"/>
      <c r="AU98" s="2046"/>
      <c r="AV98" s="2046"/>
      <c r="AW98" s="2046"/>
      <c r="AX98" s="2046"/>
      <c r="AY98" s="2046"/>
      <c r="AZ98" s="2046"/>
      <c r="BA98" s="2046"/>
      <c r="BB98" s="2046"/>
      <c r="BC98" s="2046"/>
      <c r="BD98" s="2046"/>
      <c r="BE98" s="2046"/>
      <c r="BF98" s="2046"/>
      <c r="BG98" s="2046"/>
      <c r="BH98" s="2046"/>
      <c r="BI98" s="2046"/>
      <c r="BJ98" s="2046"/>
      <c r="BK98" s="2046"/>
      <c r="BL98" s="2046"/>
      <c r="BM98" s="2047"/>
      <c r="BN98" s="2047"/>
      <c r="BO98" s="2047"/>
      <c r="BP98" s="2047"/>
      <c r="BQ98" s="2047"/>
      <c r="BR98" s="2047"/>
      <c r="BS98" s="2047"/>
      <c r="BT98" s="2047"/>
      <c r="BU98" s="2047"/>
      <c r="BV98" s="2047"/>
      <c r="BW98" s="2047"/>
      <c r="BX98" s="2047"/>
      <c r="BY98" s="2047"/>
      <c r="BZ98" s="2047"/>
      <c r="CA98" s="2047"/>
      <c r="CB98" s="2047"/>
    </row>
    <row r="99" spans="1:80">
      <c r="A99" s="2047"/>
      <c r="C99" s="2046"/>
      <c r="D99" s="2046"/>
      <c r="E99" s="2046"/>
      <c r="F99" s="2046"/>
      <c r="G99" s="2046"/>
      <c r="H99" s="2046"/>
      <c r="I99" s="2046"/>
      <c r="J99" s="2046"/>
      <c r="K99" s="2046"/>
      <c r="L99" s="2046"/>
      <c r="M99" s="2046"/>
      <c r="N99" s="2046"/>
      <c r="O99" s="2046"/>
      <c r="P99" s="2046"/>
      <c r="Q99" s="2046"/>
      <c r="R99" s="2046"/>
      <c r="S99" s="2046"/>
      <c r="T99" s="2046"/>
      <c r="U99" s="2046"/>
      <c r="V99" s="2046"/>
      <c r="W99" s="2046"/>
      <c r="X99" s="2046"/>
      <c r="Y99" s="2046"/>
      <c r="Z99" s="2046"/>
      <c r="AA99" s="2046"/>
      <c r="AB99" s="2046"/>
      <c r="AC99" s="2046"/>
      <c r="AD99" s="2046"/>
      <c r="AE99" s="2046"/>
      <c r="AF99" s="2046"/>
      <c r="AG99" s="2046"/>
      <c r="AH99" s="2046"/>
      <c r="AI99" s="2046"/>
      <c r="AJ99" s="2046"/>
      <c r="AK99" s="2046"/>
      <c r="AL99" s="2046"/>
      <c r="AM99" s="2046"/>
      <c r="AN99" s="2046"/>
      <c r="AO99" s="2046"/>
      <c r="AP99" s="2046"/>
      <c r="AQ99" s="2046"/>
      <c r="AR99" s="2046"/>
      <c r="AS99" s="2046"/>
      <c r="AT99" s="2046"/>
      <c r="AU99" s="2046"/>
      <c r="AV99" s="2046"/>
      <c r="AW99" s="2046"/>
      <c r="AX99" s="2046"/>
      <c r="AY99" s="2046"/>
      <c r="AZ99" s="2046"/>
      <c r="BA99" s="2046"/>
      <c r="BB99" s="2046"/>
      <c r="BC99" s="2046"/>
      <c r="BD99" s="2046"/>
      <c r="BE99" s="2046"/>
      <c r="BF99" s="2046"/>
      <c r="BG99" s="2046"/>
      <c r="BH99" s="2046"/>
      <c r="BI99" s="2046"/>
      <c r="BJ99" s="2046"/>
      <c r="BK99" s="2046"/>
      <c r="BL99" s="2046"/>
      <c r="BM99" s="2047"/>
      <c r="BN99" s="2047"/>
      <c r="BO99" s="2047"/>
      <c r="BP99" s="2047"/>
      <c r="BQ99" s="2047"/>
      <c r="BR99" s="2047"/>
      <c r="BS99" s="2047"/>
      <c r="BT99" s="2047"/>
      <c r="BU99" s="2047"/>
      <c r="BV99" s="2047"/>
      <c r="BW99" s="2047"/>
      <c r="BX99" s="2047"/>
      <c r="BY99" s="2047"/>
      <c r="BZ99" s="2047"/>
      <c r="CA99" s="2047"/>
      <c r="CB99" s="2047"/>
    </row>
    <row r="100" spans="1:80">
      <c r="A100" s="2047"/>
      <c r="C100" s="2046"/>
      <c r="D100" s="2046"/>
      <c r="E100" s="2046"/>
      <c r="F100" s="2046"/>
      <c r="G100" s="2046"/>
      <c r="H100" s="2046"/>
      <c r="I100" s="2046"/>
      <c r="J100" s="2046"/>
      <c r="K100" s="2046"/>
      <c r="L100" s="2046"/>
      <c r="M100" s="2046"/>
      <c r="N100" s="2046"/>
      <c r="O100" s="2046"/>
      <c r="P100" s="2046"/>
      <c r="Q100" s="2046"/>
      <c r="R100" s="2046"/>
      <c r="S100" s="2046"/>
      <c r="T100" s="2046"/>
      <c r="U100" s="2046"/>
      <c r="V100" s="2046"/>
      <c r="W100" s="2046"/>
      <c r="X100" s="2046"/>
      <c r="Y100" s="2046"/>
      <c r="Z100" s="2046"/>
      <c r="AA100" s="2046"/>
      <c r="AB100" s="2046"/>
      <c r="AC100" s="2046"/>
      <c r="AD100" s="2046"/>
      <c r="AE100" s="2046"/>
      <c r="AF100" s="2046"/>
      <c r="AG100" s="2046"/>
      <c r="AH100" s="2046"/>
      <c r="AI100" s="2046"/>
      <c r="AJ100" s="2046"/>
      <c r="AK100" s="2046"/>
      <c r="AL100" s="2046"/>
      <c r="AM100" s="2046"/>
      <c r="AN100" s="2046"/>
      <c r="AO100" s="2046"/>
      <c r="AP100" s="2046"/>
      <c r="AQ100" s="2046"/>
      <c r="AR100" s="2046"/>
      <c r="AS100" s="2046"/>
      <c r="AT100" s="2046"/>
      <c r="AU100" s="2046"/>
      <c r="AV100" s="2046"/>
      <c r="AW100" s="2046"/>
      <c r="AX100" s="2046"/>
      <c r="AY100" s="2046"/>
      <c r="AZ100" s="2046"/>
      <c r="BA100" s="2046"/>
      <c r="BB100" s="2046"/>
      <c r="BC100" s="2046"/>
      <c r="BD100" s="2046"/>
      <c r="BE100" s="2046"/>
      <c r="BF100" s="2046"/>
      <c r="BG100" s="2046"/>
      <c r="BH100" s="2046"/>
      <c r="BI100" s="2046"/>
      <c r="BJ100" s="2046"/>
      <c r="BK100" s="2046"/>
      <c r="BL100" s="2046"/>
      <c r="BM100" s="2047"/>
      <c r="BN100" s="2047"/>
      <c r="BO100" s="2047"/>
      <c r="BP100" s="2047"/>
      <c r="BQ100" s="2047"/>
      <c r="BR100" s="2047"/>
      <c r="BS100" s="2047"/>
      <c r="BT100" s="2047"/>
      <c r="BU100" s="2047"/>
      <c r="BV100" s="2047"/>
      <c r="BW100" s="2047"/>
      <c r="BX100" s="2047"/>
      <c r="BY100" s="2047"/>
      <c r="BZ100" s="2047"/>
      <c r="CA100" s="2047"/>
      <c r="CB100" s="2047"/>
    </row>
    <row r="101" spans="1:80">
      <c r="A101" s="2047"/>
      <c r="C101" s="2046"/>
      <c r="D101" s="2046"/>
      <c r="E101" s="2046"/>
      <c r="F101" s="2046"/>
      <c r="G101" s="2046"/>
      <c r="H101" s="2046"/>
      <c r="I101" s="2046"/>
      <c r="J101" s="2046"/>
      <c r="K101" s="2046"/>
      <c r="L101" s="2046"/>
      <c r="M101" s="2046"/>
      <c r="N101" s="2046"/>
      <c r="O101" s="2046"/>
      <c r="P101" s="2046"/>
      <c r="Q101" s="2046"/>
      <c r="R101" s="2046"/>
      <c r="S101" s="2046"/>
      <c r="T101" s="2046"/>
      <c r="U101" s="2046"/>
      <c r="V101" s="2046"/>
      <c r="W101" s="2046"/>
      <c r="X101" s="2046"/>
      <c r="Y101" s="2046"/>
      <c r="Z101" s="2046"/>
      <c r="AA101" s="2046"/>
      <c r="AB101" s="2046"/>
      <c r="AC101" s="2046"/>
      <c r="AD101" s="2046"/>
      <c r="AE101" s="2046"/>
      <c r="AF101" s="2046"/>
      <c r="AG101" s="2046"/>
      <c r="AH101" s="2046"/>
      <c r="AI101" s="2046"/>
      <c r="AJ101" s="2046"/>
      <c r="AK101" s="2046"/>
      <c r="AL101" s="2046"/>
      <c r="AM101" s="2046"/>
      <c r="AN101" s="2046"/>
      <c r="AO101" s="2046"/>
      <c r="AP101" s="2046"/>
      <c r="AQ101" s="2046"/>
      <c r="AR101" s="2046"/>
      <c r="AS101" s="2046"/>
      <c r="AT101" s="2046"/>
      <c r="AU101" s="2046"/>
      <c r="AV101" s="2046"/>
      <c r="AW101" s="2046"/>
      <c r="AX101" s="2046"/>
      <c r="AY101" s="2046"/>
      <c r="AZ101" s="2046"/>
      <c r="BA101" s="2046"/>
      <c r="BB101" s="2046"/>
      <c r="BC101" s="2046"/>
      <c r="BD101" s="2046"/>
      <c r="BE101" s="2046"/>
      <c r="BF101" s="2046"/>
      <c r="BG101" s="2046"/>
      <c r="BH101" s="2046"/>
      <c r="BI101" s="2046"/>
      <c r="BJ101" s="2046"/>
      <c r="BK101" s="2046"/>
      <c r="BL101" s="2046"/>
      <c r="BM101" s="2047"/>
      <c r="BN101" s="2047"/>
      <c r="BO101" s="2047"/>
      <c r="BP101" s="2047"/>
      <c r="BQ101" s="2047"/>
      <c r="BR101" s="2047"/>
      <c r="BS101" s="2047"/>
      <c r="BT101" s="2047"/>
      <c r="BU101" s="2047"/>
      <c r="BV101" s="2047"/>
      <c r="BW101" s="2047"/>
      <c r="BX101" s="2047"/>
      <c r="BY101" s="2047"/>
      <c r="BZ101" s="2047"/>
      <c r="CA101" s="2047"/>
      <c r="CB101" s="2047"/>
    </row>
    <row r="102" spans="1:80">
      <c r="A102" s="2047"/>
      <c r="C102" s="2046"/>
      <c r="D102" s="2046"/>
      <c r="E102" s="2046"/>
      <c r="F102" s="2046"/>
      <c r="G102" s="2046"/>
      <c r="H102" s="2046"/>
      <c r="I102" s="2046"/>
      <c r="J102" s="2046"/>
      <c r="K102" s="2046"/>
      <c r="L102" s="2046"/>
      <c r="M102" s="2046"/>
      <c r="N102" s="2046"/>
      <c r="O102" s="2046"/>
      <c r="P102" s="2046"/>
      <c r="Q102" s="2046"/>
      <c r="R102" s="2046"/>
      <c r="S102" s="2046"/>
      <c r="T102" s="2046"/>
      <c r="U102" s="2046"/>
      <c r="V102" s="2046"/>
      <c r="W102" s="2046"/>
      <c r="X102" s="2046"/>
      <c r="Y102" s="2046"/>
      <c r="Z102" s="2046"/>
      <c r="AA102" s="2046"/>
      <c r="AB102" s="2046"/>
      <c r="AC102" s="2046"/>
      <c r="AD102" s="2046"/>
      <c r="AE102" s="2046"/>
      <c r="AF102" s="2046"/>
      <c r="AG102" s="2046"/>
      <c r="AH102" s="2046"/>
      <c r="AI102" s="2046"/>
      <c r="AJ102" s="2046"/>
      <c r="AK102" s="2046"/>
      <c r="AL102" s="2046"/>
      <c r="AM102" s="2046"/>
      <c r="AN102" s="2046"/>
      <c r="AO102" s="2046"/>
      <c r="AP102" s="2046"/>
      <c r="AQ102" s="2046"/>
      <c r="AR102" s="2046"/>
      <c r="AS102" s="2046"/>
      <c r="AT102" s="2046"/>
      <c r="AU102" s="2046"/>
      <c r="AV102" s="2046"/>
      <c r="AW102" s="2046"/>
      <c r="AX102" s="2046"/>
      <c r="AY102" s="2046"/>
      <c r="AZ102" s="2046"/>
      <c r="BA102" s="2046"/>
      <c r="BB102" s="2046"/>
      <c r="BC102" s="2046"/>
      <c r="BD102" s="2046"/>
      <c r="BE102" s="2046"/>
      <c r="BF102" s="2046"/>
      <c r="BG102" s="2046"/>
      <c r="BH102" s="2046"/>
      <c r="BI102" s="2046"/>
      <c r="BJ102" s="2046"/>
      <c r="BK102" s="2046"/>
      <c r="BL102" s="2046"/>
      <c r="BM102" s="2047"/>
      <c r="BN102" s="2047"/>
      <c r="BO102" s="2047"/>
      <c r="BP102" s="2047"/>
      <c r="BQ102" s="2047"/>
      <c r="BR102" s="2047"/>
      <c r="BS102" s="2047"/>
      <c r="BT102" s="2047"/>
      <c r="BU102" s="2047"/>
      <c r="BV102" s="2047"/>
      <c r="BW102" s="2047"/>
      <c r="BX102" s="2047"/>
      <c r="BY102" s="2047"/>
      <c r="BZ102" s="2047"/>
      <c r="CA102" s="2047"/>
      <c r="CB102" s="2047"/>
    </row>
    <row r="103" spans="1:80">
      <c r="A103" s="2047"/>
      <c r="C103" s="2046"/>
      <c r="D103" s="2046"/>
      <c r="E103" s="2046"/>
      <c r="F103" s="2046"/>
      <c r="G103" s="2046"/>
      <c r="H103" s="2046"/>
      <c r="I103" s="2046"/>
      <c r="J103" s="2046"/>
      <c r="K103" s="2046"/>
      <c r="L103" s="2046"/>
      <c r="M103" s="2046"/>
      <c r="N103" s="2046"/>
      <c r="O103" s="2046"/>
      <c r="P103" s="2046"/>
      <c r="Q103" s="2046"/>
      <c r="R103" s="2046"/>
      <c r="S103" s="2046"/>
      <c r="T103" s="2046"/>
      <c r="U103" s="2046"/>
      <c r="V103" s="2046"/>
      <c r="W103" s="2046"/>
      <c r="X103" s="2046"/>
      <c r="Y103" s="2046"/>
      <c r="Z103" s="2046"/>
      <c r="AA103" s="2046"/>
      <c r="AB103" s="2046"/>
      <c r="AC103" s="2046"/>
      <c r="AD103" s="2046"/>
      <c r="AE103" s="2046"/>
      <c r="AF103" s="2046"/>
      <c r="AG103" s="2046"/>
      <c r="AH103" s="2046"/>
      <c r="AI103" s="2046"/>
      <c r="AJ103" s="2046"/>
      <c r="AK103" s="2046"/>
      <c r="AL103" s="2046"/>
      <c r="AM103" s="2046"/>
      <c r="AN103" s="2046"/>
      <c r="AO103" s="2046"/>
      <c r="AP103" s="2046"/>
      <c r="AQ103" s="2046"/>
      <c r="AR103" s="2046"/>
      <c r="AS103" s="2046"/>
      <c r="AT103" s="2046"/>
      <c r="AU103" s="2046"/>
      <c r="AV103" s="2046"/>
      <c r="AW103" s="2046"/>
      <c r="AX103" s="2046"/>
      <c r="AY103" s="2046"/>
      <c r="AZ103" s="2046"/>
      <c r="BA103" s="2046"/>
      <c r="BB103" s="2046"/>
      <c r="BC103" s="2046"/>
      <c r="BD103" s="2046"/>
      <c r="BE103" s="2046"/>
      <c r="BF103" s="2046"/>
      <c r="BG103" s="2046"/>
      <c r="BH103" s="2046"/>
      <c r="BI103" s="2046"/>
      <c r="BJ103" s="2046"/>
      <c r="BK103" s="2046"/>
      <c r="BL103" s="2046"/>
      <c r="BM103" s="2047"/>
      <c r="BN103" s="2047"/>
      <c r="BO103" s="2047"/>
      <c r="BP103" s="2047"/>
      <c r="BQ103" s="2047"/>
      <c r="BR103" s="2047"/>
      <c r="BS103" s="2047"/>
      <c r="BT103" s="2047"/>
      <c r="BU103" s="2047"/>
      <c r="BV103" s="2047"/>
      <c r="BW103" s="2047"/>
      <c r="BX103" s="2047"/>
      <c r="BY103" s="2047"/>
      <c r="BZ103" s="2047"/>
      <c r="CA103" s="2047"/>
      <c r="CB103" s="2047"/>
    </row>
    <row r="104" spans="1:80">
      <c r="A104" s="2047"/>
      <c r="C104" s="2046"/>
      <c r="D104" s="2046"/>
      <c r="E104" s="2046"/>
      <c r="F104" s="2046"/>
      <c r="G104" s="2046"/>
      <c r="H104" s="2046"/>
      <c r="I104" s="2046"/>
      <c r="J104" s="2046"/>
      <c r="K104" s="2046"/>
      <c r="L104" s="2046"/>
      <c r="M104" s="2046"/>
      <c r="N104" s="2046"/>
      <c r="O104" s="2046"/>
      <c r="P104" s="2046"/>
      <c r="Q104" s="2046"/>
      <c r="R104" s="2046"/>
      <c r="S104" s="2046"/>
      <c r="T104" s="2046"/>
      <c r="U104" s="2046"/>
      <c r="V104" s="2046"/>
      <c r="W104" s="2046"/>
      <c r="X104" s="2046"/>
      <c r="Y104" s="2046"/>
      <c r="Z104" s="2046"/>
      <c r="AA104" s="2046"/>
      <c r="AB104" s="2046"/>
      <c r="AC104" s="2046"/>
      <c r="AD104" s="2046"/>
      <c r="AE104" s="2046"/>
      <c r="AF104" s="2046"/>
      <c r="AG104" s="2046"/>
      <c r="AH104" s="2046"/>
      <c r="AI104" s="2046"/>
      <c r="AJ104" s="2046"/>
      <c r="AK104" s="2046"/>
      <c r="AL104" s="2046"/>
      <c r="AM104" s="2046"/>
      <c r="AN104" s="2046"/>
      <c r="AO104" s="2046"/>
      <c r="AP104" s="2046"/>
      <c r="AQ104" s="2046"/>
      <c r="AR104" s="2046"/>
      <c r="AS104" s="2046"/>
      <c r="AT104" s="2046"/>
      <c r="AU104" s="2046"/>
      <c r="AV104" s="2046"/>
      <c r="AW104" s="2046"/>
      <c r="AX104" s="2046"/>
      <c r="AY104" s="2046"/>
      <c r="AZ104" s="2046"/>
      <c r="BA104" s="2046"/>
      <c r="BB104" s="2046"/>
      <c r="BC104" s="2046"/>
      <c r="BD104" s="2046"/>
      <c r="BE104" s="2046"/>
      <c r="BF104" s="2046"/>
      <c r="BG104" s="2046"/>
      <c r="BH104" s="2046"/>
      <c r="BI104" s="2046"/>
      <c r="BJ104" s="2046"/>
      <c r="BK104" s="2046"/>
      <c r="BL104" s="2046"/>
      <c r="BM104" s="2047"/>
      <c r="BN104" s="2047"/>
      <c r="BO104" s="2047"/>
      <c r="BP104" s="2047"/>
      <c r="BQ104" s="2047"/>
      <c r="BR104" s="2047"/>
      <c r="BS104" s="2047"/>
      <c r="BT104" s="2047"/>
      <c r="BU104" s="2047"/>
      <c r="BV104" s="2047"/>
      <c r="BW104" s="2047"/>
      <c r="BX104" s="2047"/>
      <c r="BY104" s="2047"/>
      <c r="BZ104" s="2047"/>
      <c r="CA104" s="2047"/>
      <c r="CB104" s="2047"/>
    </row>
    <row r="105" spans="1:80">
      <c r="A105" s="2047"/>
      <c r="C105" s="2046"/>
      <c r="D105" s="2046"/>
      <c r="E105" s="2046"/>
      <c r="F105" s="2046"/>
      <c r="G105" s="2046"/>
      <c r="H105" s="2046"/>
      <c r="I105" s="2046"/>
      <c r="J105" s="2046"/>
      <c r="K105" s="2046"/>
      <c r="L105" s="2046"/>
      <c r="M105" s="2046"/>
      <c r="N105" s="2046"/>
      <c r="O105" s="2046"/>
      <c r="P105" s="2046"/>
      <c r="Q105" s="2046"/>
      <c r="R105" s="2046"/>
      <c r="S105" s="2046"/>
      <c r="T105" s="2046"/>
      <c r="U105" s="2046"/>
      <c r="V105" s="2046"/>
      <c r="W105" s="2046"/>
      <c r="X105" s="2046"/>
      <c r="Y105" s="2046"/>
      <c r="Z105" s="2046"/>
      <c r="AA105" s="2046"/>
      <c r="AB105" s="2046"/>
      <c r="AC105" s="2046"/>
      <c r="AD105" s="2046"/>
      <c r="AE105" s="2046"/>
      <c r="AF105" s="2046"/>
      <c r="AG105" s="2046"/>
      <c r="AH105" s="2046"/>
      <c r="AI105" s="2046"/>
      <c r="AJ105" s="2046"/>
      <c r="AK105" s="2046"/>
      <c r="AL105" s="2046"/>
      <c r="AM105" s="2046"/>
      <c r="AN105" s="2046"/>
      <c r="AO105" s="2046"/>
      <c r="AP105" s="2046"/>
      <c r="AQ105" s="2046"/>
      <c r="AR105" s="2046"/>
      <c r="AS105" s="2046"/>
      <c r="AT105" s="2046"/>
      <c r="AU105" s="2046"/>
      <c r="AV105" s="2046"/>
      <c r="AW105" s="2046"/>
      <c r="AX105" s="2046"/>
      <c r="AY105" s="2046"/>
      <c r="AZ105" s="2046"/>
      <c r="BA105" s="2046"/>
      <c r="BB105" s="2046"/>
      <c r="BC105" s="2046"/>
      <c r="BD105" s="2046"/>
      <c r="BE105" s="2046"/>
      <c r="BF105" s="2046"/>
      <c r="BG105" s="2046"/>
      <c r="BH105" s="2046"/>
      <c r="BI105" s="2046"/>
      <c r="BJ105" s="2046"/>
      <c r="BK105" s="2046"/>
      <c r="BL105" s="2046"/>
      <c r="BM105" s="2047"/>
      <c r="BN105" s="2047"/>
      <c r="BO105" s="2047"/>
      <c r="BP105" s="2047"/>
      <c r="BQ105" s="2047"/>
      <c r="BR105" s="2047"/>
      <c r="BS105" s="2047"/>
      <c r="BT105" s="2047"/>
      <c r="BU105" s="2047"/>
      <c r="BV105" s="2047"/>
      <c r="BW105" s="2047"/>
      <c r="BX105" s="2047"/>
      <c r="BY105" s="2047"/>
      <c r="BZ105" s="2047"/>
      <c r="CA105" s="2047"/>
      <c r="CB105" s="2047"/>
    </row>
    <row r="106" spans="1:80">
      <c r="A106" s="2047"/>
      <c r="C106" s="2046"/>
      <c r="D106" s="2046"/>
      <c r="E106" s="2046"/>
      <c r="F106" s="2046"/>
      <c r="G106" s="2046"/>
      <c r="H106" s="2046"/>
      <c r="I106" s="2046"/>
      <c r="J106" s="2046"/>
      <c r="K106" s="2046"/>
      <c r="L106" s="2046"/>
      <c r="M106" s="2046"/>
      <c r="N106" s="2046"/>
      <c r="O106" s="2046"/>
      <c r="P106" s="2046"/>
      <c r="Q106" s="2046"/>
      <c r="R106" s="2046"/>
      <c r="S106" s="2046"/>
      <c r="T106" s="2046"/>
      <c r="U106" s="2046"/>
      <c r="V106" s="2046"/>
      <c r="W106" s="2046"/>
      <c r="X106" s="2046"/>
      <c r="Y106" s="2046"/>
      <c r="Z106" s="2046"/>
      <c r="AA106" s="2046"/>
      <c r="AB106" s="2046"/>
      <c r="AC106" s="2046"/>
      <c r="AD106" s="2046"/>
      <c r="AE106" s="2046"/>
      <c r="AF106" s="2046"/>
      <c r="AG106" s="2046"/>
      <c r="AH106" s="2046"/>
      <c r="AI106" s="2046"/>
      <c r="AJ106" s="2046"/>
      <c r="AK106" s="2046"/>
      <c r="AL106" s="2046"/>
      <c r="AM106" s="2046"/>
      <c r="AN106" s="2046"/>
      <c r="AO106" s="2046"/>
      <c r="AP106" s="2046"/>
      <c r="AQ106" s="2046"/>
      <c r="AR106" s="2046"/>
      <c r="AS106" s="2046"/>
      <c r="AT106" s="2046"/>
      <c r="AU106" s="2046"/>
      <c r="AV106" s="2046"/>
      <c r="AW106" s="2046"/>
      <c r="AX106" s="2046"/>
      <c r="AY106" s="2046"/>
      <c r="AZ106" s="2046"/>
      <c r="BA106" s="2046"/>
      <c r="BB106" s="2046"/>
      <c r="BC106" s="2046"/>
      <c r="BD106" s="2046"/>
      <c r="BE106" s="2046"/>
      <c r="BF106" s="2046"/>
      <c r="BG106" s="2046"/>
      <c r="BH106" s="2046"/>
      <c r="BI106" s="2046"/>
      <c r="BJ106" s="2046"/>
      <c r="BK106" s="2046"/>
      <c r="BL106" s="2046"/>
      <c r="BM106" s="2047"/>
      <c r="BN106" s="2047"/>
      <c r="BO106" s="2047"/>
      <c r="BP106" s="2047"/>
      <c r="BQ106" s="2047"/>
      <c r="BR106" s="2047"/>
      <c r="BS106" s="2047"/>
      <c r="BT106" s="2047"/>
      <c r="BU106" s="2047"/>
      <c r="BV106" s="2047"/>
      <c r="BW106" s="2047"/>
      <c r="BX106" s="2047"/>
      <c r="BY106" s="2047"/>
      <c r="BZ106" s="2047"/>
      <c r="CA106" s="2047"/>
      <c r="CB106" s="2047"/>
    </row>
    <row r="107" spans="1:80">
      <c r="A107" s="2047"/>
      <c r="C107" s="2046"/>
      <c r="D107" s="2046"/>
      <c r="E107" s="2046"/>
      <c r="F107" s="2046"/>
      <c r="G107" s="2046"/>
      <c r="H107" s="2046"/>
      <c r="I107" s="2046"/>
      <c r="J107" s="2046"/>
      <c r="K107" s="2046"/>
      <c r="L107" s="2046"/>
      <c r="M107" s="2046"/>
      <c r="N107" s="2046"/>
      <c r="O107" s="2046"/>
      <c r="P107" s="2046"/>
      <c r="Q107" s="2046"/>
      <c r="R107" s="2046"/>
      <c r="S107" s="2046"/>
      <c r="T107" s="2046"/>
      <c r="U107" s="2046"/>
      <c r="V107" s="2046"/>
      <c r="W107" s="2046"/>
      <c r="X107" s="2046"/>
      <c r="Y107" s="2046"/>
      <c r="Z107" s="2046"/>
      <c r="AA107" s="2046"/>
      <c r="AB107" s="2046"/>
      <c r="AC107" s="2046"/>
      <c r="AD107" s="2046"/>
      <c r="AE107" s="2046"/>
      <c r="AF107" s="2046"/>
      <c r="AG107" s="2046"/>
      <c r="AH107" s="2046"/>
      <c r="AI107" s="2046"/>
      <c r="AJ107" s="2046"/>
      <c r="AK107" s="2046"/>
      <c r="AL107" s="2046"/>
      <c r="AM107" s="2046"/>
      <c r="AN107" s="2046"/>
      <c r="AO107" s="2046"/>
      <c r="AP107" s="2046"/>
      <c r="AQ107" s="2046"/>
      <c r="AR107" s="2046"/>
      <c r="AS107" s="2046"/>
      <c r="AT107" s="2046"/>
      <c r="AU107" s="2046"/>
      <c r="AV107" s="2046"/>
      <c r="AW107" s="2046"/>
      <c r="AX107" s="2046"/>
      <c r="AY107" s="2046"/>
      <c r="AZ107" s="2046"/>
      <c r="BA107" s="2046"/>
      <c r="BB107" s="2046"/>
      <c r="BC107" s="2046"/>
      <c r="BD107" s="2046"/>
      <c r="BE107" s="2046"/>
      <c r="BF107" s="2046"/>
      <c r="BG107" s="2046"/>
      <c r="BH107" s="2046"/>
      <c r="BI107" s="2046"/>
      <c r="BJ107" s="2046"/>
      <c r="BK107" s="2046"/>
      <c r="BL107" s="2046"/>
      <c r="BM107" s="2047"/>
      <c r="BN107" s="2047"/>
      <c r="BO107" s="2047"/>
      <c r="BP107" s="2047"/>
      <c r="BQ107" s="2047"/>
      <c r="BR107" s="2047"/>
      <c r="BS107" s="2047"/>
      <c r="BT107" s="2047"/>
      <c r="BU107" s="2047"/>
      <c r="BV107" s="2047"/>
      <c r="BW107" s="2047"/>
      <c r="BX107" s="2047"/>
      <c r="BY107" s="2047"/>
      <c r="BZ107" s="2047"/>
      <c r="CA107" s="2047"/>
      <c r="CB107" s="2047"/>
    </row>
    <row r="108" spans="1:80">
      <c r="A108" s="2047"/>
      <c r="C108" s="2046"/>
      <c r="D108" s="2046"/>
      <c r="E108" s="2046"/>
      <c r="F108" s="2046"/>
      <c r="G108" s="2046"/>
      <c r="H108" s="2046"/>
      <c r="I108" s="2046"/>
      <c r="J108" s="2046"/>
      <c r="K108" s="2046"/>
      <c r="L108" s="2046"/>
      <c r="M108" s="2046"/>
      <c r="N108" s="2046"/>
      <c r="O108" s="2046"/>
      <c r="P108" s="2046"/>
      <c r="Q108" s="2046"/>
      <c r="R108" s="2046"/>
      <c r="S108" s="2046"/>
      <c r="T108" s="2046"/>
      <c r="U108" s="2046"/>
      <c r="V108" s="2046"/>
      <c r="W108" s="2046"/>
      <c r="X108" s="2046"/>
      <c r="Y108" s="2046"/>
      <c r="Z108" s="2046"/>
      <c r="AA108" s="2046"/>
      <c r="AB108" s="2046"/>
      <c r="AC108" s="2046"/>
      <c r="AD108" s="2046"/>
      <c r="AE108" s="2046"/>
      <c r="AF108" s="2046"/>
      <c r="AG108" s="2046"/>
      <c r="AH108" s="2046"/>
      <c r="AI108" s="2046"/>
      <c r="AJ108" s="2046"/>
      <c r="AK108" s="2046"/>
      <c r="AL108" s="2046"/>
      <c r="AM108" s="2046"/>
      <c r="AN108" s="2046"/>
      <c r="AO108" s="2046"/>
      <c r="AP108" s="2046"/>
      <c r="AQ108" s="2046"/>
      <c r="AR108" s="2046"/>
      <c r="AS108" s="2046"/>
      <c r="AT108" s="2046"/>
      <c r="AU108" s="2046"/>
      <c r="AV108" s="2046"/>
      <c r="AW108" s="2046"/>
      <c r="AX108" s="2046"/>
      <c r="AY108" s="2046"/>
      <c r="AZ108" s="2046"/>
      <c r="BA108" s="2046"/>
      <c r="BB108" s="2046"/>
      <c r="BC108" s="2046"/>
      <c r="BD108" s="2046"/>
      <c r="BE108" s="2046"/>
      <c r="BF108" s="2046"/>
      <c r="BG108" s="2046"/>
      <c r="BH108" s="2046"/>
      <c r="BI108" s="2046"/>
      <c r="BJ108" s="2046"/>
      <c r="BK108" s="2046"/>
      <c r="BL108" s="2046"/>
      <c r="BM108" s="2047"/>
      <c r="BN108" s="2047"/>
      <c r="BO108" s="2047"/>
      <c r="BP108" s="2047"/>
      <c r="BQ108" s="2047"/>
      <c r="BR108" s="2047"/>
      <c r="BS108" s="2047"/>
      <c r="BT108" s="2047"/>
      <c r="BU108" s="2047"/>
      <c r="BV108" s="2047"/>
      <c r="BW108" s="2047"/>
      <c r="BX108" s="2047"/>
      <c r="BY108" s="2047"/>
      <c r="BZ108" s="2047"/>
      <c r="CA108" s="2047"/>
      <c r="CB108" s="2047"/>
    </row>
    <row r="109" spans="1:80">
      <c r="A109" s="2047"/>
      <c r="C109" s="2046"/>
      <c r="D109" s="2046"/>
      <c r="E109" s="2046"/>
      <c r="F109" s="2046"/>
      <c r="G109" s="2046"/>
      <c r="H109" s="2046"/>
      <c r="I109" s="2046"/>
      <c r="J109" s="2046"/>
      <c r="K109" s="2046"/>
      <c r="L109" s="2046"/>
      <c r="M109" s="2046"/>
      <c r="N109" s="2046"/>
      <c r="O109" s="2046"/>
      <c r="P109" s="2046"/>
      <c r="Q109" s="2046"/>
      <c r="R109" s="2046"/>
      <c r="S109" s="2046"/>
      <c r="T109" s="2046"/>
      <c r="U109" s="2046"/>
      <c r="V109" s="2046"/>
      <c r="W109" s="2046"/>
      <c r="X109" s="2046"/>
      <c r="Y109" s="2046"/>
      <c r="Z109" s="2046"/>
      <c r="AA109" s="2046"/>
      <c r="AB109" s="2046"/>
      <c r="AC109" s="2046"/>
      <c r="AD109" s="2046"/>
      <c r="AE109" s="2046"/>
      <c r="AF109" s="2046"/>
      <c r="AG109" s="2046"/>
      <c r="AH109" s="2046"/>
      <c r="AI109" s="2046"/>
      <c r="AJ109" s="2046"/>
      <c r="AK109" s="2046"/>
      <c r="AL109" s="2046"/>
      <c r="AM109" s="2046"/>
      <c r="AN109" s="2046"/>
      <c r="AO109" s="2046"/>
      <c r="AP109" s="2046"/>
      <c r="AQ109" s="2046"/>
      <c r="AR109" s="2046"/>
      <c r="AS109" s="2046"/>
      <c r="AT109" s="2046"/>
      <c r="AU109" s="2046"/>
      <c r="AV109" s="2046"/>
      <c r="AW109" s="2046"/>
      <c r="AX109" s="2046"/>
      <c r="AY109" s="2046"/>
      <c r="AZ109" s="2046"/>
      <c r="BA109" s="2046"/>
      <c r="BB109" s="2046"/>
      <c r="BC109" s="2046"/>
      <c r="BD109" s="2046"/>
      <c r="BE109" s="2046"/>
      <c r="BF109" s="2046"/>
      <c r="BG109" s="2046"/>
      <c r="BH109" s="2046"/>
      <c r="BI109" s="2046"/>
      <c r="BJ109" s="2046"/>
      <c r="BK109" s="2046"/>
      <c r="BL109" s="2046"/>
      <c r="BM109" s="2047"/>
      <c r="BN109" s="2047"/>
      <c r="BO109" s="2047"/>
      <c r="BP109" s="2047"/>
      <c r="BQ109" s="2047"/>
      <c r="BR109" s="2047"/>
      <c r="BS109" s="2047"/>
      <c r="BT109" s="2047"/>
      <c r="BU109" s="2047"/>
      <c r="BV109" s="2047"/>
      <c r="BW109" s="2047"/>
      <c r="BX109" s="2047"/>
      <c r="BY109" s="2047"/>
      <c r="BZ109" s="2047"/>
      <c r="CA109" s="2047"/>
      <c r="CB109" s="2047"/>
    </row>
    <row r="110" spans="1:80">
      <c r="A110" s="2047"/>
      <c r="C110" s="2046"/>
      <c r="D110" s="2046"/>
      <c r="E110" s="2046"/>
      <c r="F110" s="2046"/>
      <c r="G110" s="2046"/>
      <c r="H110" s="2046"/>
      <c r="I110" s="2046"/>
      <c r="J110" s="2046"/>
      <c r="K110" s="2046"/>
      <c r="L110" s="2046"/>
      <c r="M110" s="2046"/>
      <c r="N110" s="2046"/>
      <c r="O110" s="2046"/>
      <c r="P110" s="2046"/>
      <c r="Q110" s="2046"/>
      <c r="R110" s="2046"/>
      <c r="S110" s="2046"/>
      <c r="T110" s="2046"/>
      <c r="U110" s="2046"/>
      <c r="V110" s="2046"/>
      <c r="W110" s="2046"/>
      <c r="X110" s="2046"/>
      <c r="Y110" s="2046"/>
      <c r="Z110" s="2046"/>
      <c r="AA110" s="2046"/>
      <c r="AB110" s="2046"/>
      <c r="AC110" s="2046"/>
      <c r="AD110" s="2046"/>
      <c r="AE110" s="2046"/>
      <c r="AF110" s="2046"/>
      <c r="AG110" s="2046"/>
      <c r="AH110" s="2046"/>
      <c r="AI110" s="2046"/>
      <c r="AJ110" s="2046"/>
      <c r="AK110" s="2046"/>
      <c r="AL110" s="2046"/>
      <c r="AM110" s="2046"/>
      <c r="AN110" s="2046"/>
      <c r="AO110" s="2046"/>
      <c r="AP110" s="2046"/>
      <c r="AQ110" s="2046"/>
      <c r="AR110" s="2046"/>
      <c r="AS110" s="2046"/>
      <c r="AT110" s="2046"/>
      <c r="AU110" s="2046"/>
      <c r="AV110" s="2046"/>
      <c r="AW110" s="2046"/>
      <c r="AX110" s="2046"/>
      <c r="AY110" s="2046"/>
      <c r="AZ110" s="2046"/>
      <c r="BA110" s="2046"/>
      <c r="BB110" s="2046"/>
      <c r="BC110" s="2046"/>
      <c r="BD110" s="2046"/>
      <c r="BE110" s="2046"/>
      <c r="BF110" s="2046"/>
      <c r="BG110" s="2046"/>
      <c r="BH110" s="2046"/>
      <c r="BI110" s="2046"/>
      <c r="BJ110" s="2046"/>
      <c r="BK110" s="2046"/>
      <c r="BL110" s="2046"/>
      <c r="BM110" s="2047"/>
      <c r="BN110" s="2047"/>
      <c r="BO110" s="2047"/>
      <c r="BP110" s="2047"/>
      <c r="BQ110" s="2047"/>
      <c r="BR110" s="2047"/>
      <c r="BS110" s="2047"/>
      <c r="BT110" s="2047"/>
      <c r="BU110" s="2047"/>
      <c r="BV110" s="2047"/>
      <c r="BW110" s="2047"/>
      <c r="BX110" s="2047"/>
      <c r="BY110" s="2047"/>
      <c r="BZ110" s="2047"/>
      <c r="CA110" s="2047"/>
      <c r="CB110" s="2047"/>
    </row>
    <row r="111" spans="1:80">
      <c r="A111" s="2047"/>
      <c r="C111" s="2046"/>
      <c r="D111" s="2046"/>
      <c r="E111" s="2046"/>
      <c r="F111" s="2046"/>
      <c r="G111" s="2046"/>
      <c r="H111" s="2046"/>
      <c r="I111" s="2046"/>
      <c r="J111" s="2046"/>
      <c r="K111" s="2046"/>
      <c r="L111" s="2046"/>
      <c r="M111" s="2046"/>
      <c r="N111" s="2046"/>
      <c r="O111" s="2046"/>
      <c r="P111" s="2046"/>
      <c r="Q111" s="2046"/>
      <c r="R111" s="2046"/>
      <c r="S111" s="2046"/>
      <c r="T111" s="2046"/>
      <c r="U111" s="2046"/>
      <c r="V111" s="2046"/>
      <c r="W111" s="2046"/>
      <c r="X111" s="2046"/>
      <c r="Y111" s="2046"/>
      <c r="Z111" s="2046"/>
      <c r="AA111" s="2046"/>
      <c r="AB111" s="2046"/>
      <c r="AC111" s="2046"/>
      <c r="AD111" s="2046"/>
      <c r="AE111" s="2046"/>
      <c r="AF111" s="2046"/>
      <c r="AG111" s="2046"/>
      <c r="AH111" s="2046"/>
      <c r="AI111" s="2046"/>
      <c r="AJ111" s="2046"/>
      <c r="AK111" s="2046"/>
      <c r="AL111" s="2046"/>
      <c r="AM111" s="2046"/>
      <c r="AN111" s="2046"/>
      <c r="AO111" s="2046"/>
      <c r="AP111" s="2046"/>
      <c r="AQ111" s="2046"/>
      <c r="AR111" s="2046"/>
      <c r="AS111" s="2046"/>
      <c r="AT111" s="2046"/>
      <c r="AU111" s="2046"/>
      <c r="AV111" s="2046"/>
      <c r="AW111" s="2046"/>
      <c r="AX111" s="2046"/>
      <c r="AY111" s="2046"/>
      <c r="AZ111" s="2046"/>
      <c r="BA111" s="2046"/>
      <c r="BB111" s="2046"/>
      <c r="BC111" s="2046"/>
      <c r="BD111" s="2046"/>
      <c r="BE111" s="2046"/>
      <c r="BF111" s="2046"/>
      <c r="BG111" s="2046"/>
      <c r="BH111" s="2046"/>
      <c r="BI111" s="2046"/>
      <c r="BJ111" s="2046"/>
      <c r="BK111" s="2046"/>
      <c r="BL111" s="2046"/>
      <c r="BM111" s="2047"/>
      <c r="BN111" s="2047"/>
      <c r="BO111" s="2047"/>
      <c r="BP111" s="2047"/>
      <c r="BQ111" s="2047"/>
      <c r="BR111" s="2047"/>
      <c r="BS111" s="2047"/>
      <c r="BT111" s="2047"/>
      <c r="BU111" s="2047"/>
      <c r="BV111" s="2047"/>
      <c r="BW111" s="2047"/>
      <c r="BX111" s="2047"/>
      <c r="BY111" s="2047"/>
      <c r="BZ111" s="2047"/>
      <c r="CA111" s="2047"/>
      <c r="CB111" s="2047"/>
    </row>
    <row r="112" spans="1:80">
      <c r="A112" s="2047"/>
      <c r="C112" s="2046"/>
      <c r="D112" s="2046"/>
      <c r="E112" s="2046"/>
      <c r="F112" s="2046"/>
      <c r="G112" s="2046"/>
      <c r="H112" s="2046"/>
      <c r="I112" s="2046"/>
      <c r="J112" s="2046"/>
      <c r="K112" s="2046"/>
      <c r="L112" s="2046"/>
      <c r="M112" s="2046"/>
      <c r="N112" s="2046"/>
      <c r="O112" s="2046"/>
      <c r="P112" s="2046"/>
      <c r="Q112" s="2046"/>
      <c r="R112" s="2046"/>
      <c r="S112" s="2046"/>
      <c r="T112" s="2046"/>
      <c r="U112" s="2046"/>
      <c r="V112" s="2046"/>
      <c r="W112" s="2046"/>
      <c r="X112" s="2046"/>
      <c r="Y112" s="2046"/>
      <c r="Z112" s="2046"/>
      <c r="AA112" s="2046"/>
      <c r="AB112" s="2046"/>
      <c r="AC112" s="2046"/>
      <c r="AD112" s="2046"/>
      <c r="AE112" s="2046"/>
      <c r="AF112" s="2046"/>
      <c r="AG112" s="2046"/>
      <c r="AH112" s="2046"/>
      <c r="AI112" s="2046"/>
      <c r="AJ112" s="2046"/>
      <c r="AK112" s="2046"/>
      <c r="AL112" s="2046"/>
      <c r="AM112" s="2046"/>
      <c r="AN112" s="2046"/>
      <c r="AO112" s="2046"/>
      <c r="AP112" s="2046"/>
      <c r="AQ112" s="2046"/>
      <c r="AR112" s="2046"/>
      <c r="AS112" s="2046"/>
      <c r="AT112" s="2046"/>
      <c r="AU112" s="2046"/>
      <c r="AV112" s="2046"/>
      <c r="AW112" s="2046"/>
      <c r="AX112" s="2046"/>
      <c r="AY112" s="2046"/>
      <c r="AZ112" s="2046"/>
      <c r="BA112" s="2046"/>
      <c r="BB112" s="2046"/>
      <c r="BC112" s="2046"/>
      <c r="BD112" s="2046"/>
      <c r="BE112" s="2046"/>
      <c r="BF112" s="2046"/>
      <c r="BG112" s="2046"/>
      <c r="BH112" s="2046"/>
      <c r="BI112" s="2046"/>
      <c r="BJ112" s="2046"/>
      <c r="BK112" s="2046"/>
      <c r="BL112" s="2046"/>
      <c r="BM112" s="2047"/>
      <c r="BN112" s="2047"/>
      <c r="BO112" s="2047"/>
      <c r="BP112" s="2047"/>
      <c r="BQ112" s="2047"/>
      <c r="BR112" s="2047"/>
      <c r="BS112" s="2047"/>
      <c r="BT112" s="2047"/>
      <c r="BU112" s="2047"/>
      <c r="BV112" s="2047"/>
      <c r="BW112" s="2047"/>
      <c r="BX112" s="2047"/>
      <c r="BY112" s="2047"/>
      <c r="BZ112" s="2047"/>
      <c r="CA112" s="2047"/>
      <c r="CB112" s="2047"/>
    </row>
    <row r="113" spans="1:80">
      <c r="A113" s="2047"/>
      <c r="C113" s="2046"/>
      <c r="D113" s="2046"/>
      <c r="E113" s="2046"/>
      <c r="F113" s="2046"/>
      <c r="G113" s="2046"/>
      <c r="H113" s="2046"/>
      <c r="I113" s="2046"/>
      <c r="J113" s="2046"/>
      <c r="K113" s="2046"/>
      <c r="L113" s="2046"/>
      <c r="M113" s="2046"/>
      <c r="N113" s="2046"/>
      <c r="O113" s="2046"/>
      <c r="P113" s="2046"/>
      <c r="Q113" s="2046"/>
      <c r="R113" s="2046"/>
      <c r="S113" s="2046"/>
      <c r="T113" s="2046"/>
      <c r="U113" s="2046"/>
      <c r="V113" s="2046"/>
      <c r="W113" s="2046"/>
      <c r="X113" s="2046"/>
      <c r="Y113" s="2046"/>
      <c r="Z113" s="2046"/>
      <c r="AA113" s="2046"/>
      <c r="AB113" s="2046"/>
      <c r="AC113" s="2046"/>
      <c r="AD113" s="2046"/>
      <c r="AE113" s="2046"/>
      <c r="AF113" s="2046"/>
      <c r="AG113" s="2046"/>
      <c r="AH113" s="2046"/>
      <c r="AI113" s="2046"/>
      <c r="AJ113" s="2046"/>
      <c r="AK113" s="2046"/>
      <c r="AL113" s="2046"/>
      <c r="AM113" s="2046"/>
      <c r="AN113" s="2046"/>
      <c r="AO113" s="2046"/>
      <c r="AP113" s="2046"/>
      <c r="AQ113" s="2046"/>
      <c r="AR113" s="2046"/>
      <c r="AS113" s="2046"/>
      <c r="AT113" s="2046"/>
      <c r="AU113" s="2046"/>
      <c r="AV113" s="2046"/>
      <c r="AW113" s="2046"/>
      <c r="AX113" s="2046"/>
      <c r="AY113" s="2046"/>
      <c r="AZ113" s="2046"/>
      <c r="BA113" s="2046"/>
      <c r="BB113" s="2046"/>
      <c r="BC113" s="2046"/>
      <c r="BD113" s="2046"/>
      <c r="BE113" s="2046"/>
      <c r="BF113" s="2046"/>
      <c r="BG113" s="2046"/>
      <c r="BH113" s="2046"/>
      <c r="BI113" s="2046"/>
      <c r="BJ113" s="2046"/>
      <c r="BK113" s="2046"/>
      <c r="BL113" s="2046"/>
      <c r="BM113" s="2047"/>
      <c r="BN113" s="2047"/>
      <c r="BO113" s="2047"/>
      <c r="BP113" s="2047"/>
      <c r="BQ113" s="2047"/>
      <c r="BR113" s="2047"/>
      <c r="BS113" s="2047"/>
      <c r="BT113" s="2047"/>
      <c r="BU113" s="2047"/>
      <c r="BV113" s="2047"/>
      <c r="BW113" s="2047"/>
      <c r="BX113" s="2047"/>
      <c r="BY113" s="2047"/>
      <c r="BZ113" s="2047"/>
      <c r="CA113" s="2047"/>
      <c r="CB113" s="2047"/>
    </row>
    <row r="114" spans="1:80">
      <c r="A114" s="2047"/>
      <c r="C114" s="2046"/>
      <c r="D114" s="2046"/>
      <c r="E114" s="2046"/>
      <c r="F114" s="2046"/>
      <c r="G114" s="2046"/>
      <c r="H114" s="2046"/>
      <c r="I114" s="2046"/>
      <c r="J114" s="2046"/>
      <c r="K114" s="2046"/>
      <c r="L114" s="2046"/>
      <c r="M114" s="2046"/>
      <c r="N114" s="2046"/>
      <c r="O114" s="2046"/>
      <c r="P114" s="2046"/>
      <c r="Q114" s="2046"/>
      <c r="R114" s="2046"/>
      <c r="S114" s="2046"/>
      <c r="T114" s="2046"/>
      <c r="U114" s="2046"/>
      <c r="V114" s="2046"/>
      <c r="W114" s="2046"/>
      <c r="X114" s="2046"/>
      <c r="Y114" s="2046"/>
      <c r="Z114" s="2046"/>
      <c r="AA114" s="2046"/>
      <c r="AB114" s="2046"/>
      <c r="AC114" s="2046"/>
      <c r="AD114" s="2046"/>
      <c r="AE114" s="2046"/>
      <c r="AF114" s="2046"/>
      <c r="AG114" s="2046"/>
      <c r="AH114" s="2046"/>
      <c r="AI114" s="2046"/>
      <c r="AJ114" s="2046"/>
      <c r="AK114" s="2046"/>
      <c r="AL114" s="2046"/>
      <c r="AM114" s="2046"/>
      <c r="AN114" s="2046"/>
      <c r="AO114" s="2046"/>
      <c r="AP114" s="2046"/>
      <c r="AQ114" s="2046"/>
      <c r="AR114" s="2046"/>
      <c r="AS114" s="2046"/>
      <c r="AT114" s="2046"/>
      <c r="AU114" s="2046"/>
      <c r="AV114" s="2046"/>
      <c r="AW114" s="2046"/>
      <c r="AX114" s="2046"/>
      <c r="AY114" s="2046"/>
      <c r="AZ114" s="2046"/>
      <c r="BA114" s="2046"/>
      <c r="BB114" s="2046"/>
      <c r="BC114" s="2046"/>
      <c r="BD114" s="2046"/>
      <c r="BE114" s="2046"/>
      <c r="BF114" s="2046"/>
      <c r="BG114" s="2046"/>
      <c r="BH114" s="2046"/>
      <c r="BI114" s="2046"/>
      <c r="BJ114" s="2046"/>
      <c r="BK114" s="2046"/>
      <c r="BL114" s="2046"/>
      <c r="BM114" s="2047"/>
      <c r="BN114" s="2047"/>
      <c r="BO114" s="2047"/>
      <c r="BP114" s="2047"/>
      <c r="BQ114" s="2047"/>
      <c r="BR114" s="2047"/>
      <c r="BS114" s="2047"/>
      <c r="BT114" s="2047"/>
      <c r="BU114" s="2047"/>
      <c r="BV114" s="2047"/>
      <c r="BW114" s="2047"/>
      <c r="BX114" s="2047"/>
      <c r="BY114" s="2047"/>
      <c r="BZ114" s="2047"/>
      <c r="CA114" s="2047"/>
      <c r="CB114" s="2047"/>
    </row>
    <row r="115" spans="1:80">
      <c r="A115" s="2047"/>
      <c r="C115" s="2046"/>
      <c r="D115" s="2046"/>
      <c r="E115" s="2046"/>
      <c r="F115" s="2046"/>
      <c r="G115" s="2046"/>
      <c r="H115" s="2046"/>
      <c r="I115" s="2046"/>
      <c r="J115" s="2046"/>
      <c r="K115" s="2046"/>
      <c r="L115" s="2046"/>
      <c r="M115" s="2046"/>
      <c r="N115" s="2046"/>
      <c r="O115" s="2046"/>
      <c r="P115" s="2046"/>
      <c r="Q115" s="2046"/>
      <c r="R115" s="2046"/>
      <c r="S115" s="2046"/>
      <c r="T115" s="2046"/>
      <c r="U115" s="2046"/>
      <c r="V115" s="2046"/>
      <c r="W115" s="2046"/>
      <c r="X115" s="2046"/>
      <c r="Y115" s="2046"/>
      <c r="Z115" s="2046"/>
      <c r="AA115" s="2046"/>
      <c r="AB115" s="2046"/>
      <c r="AC115" s="2046"/>
      <c r="AD115" s="2046"/>
      <c r="AE115" s="2046"/>
      <c r="AF115" s="2046"/>
      <c r="AG115" s="2046"/>
      <c r="AH115" s="2046"/>
      <c r="AI115" s="2046"/>
      <c r="AJ115" s="2046"/>
      <c r="AK115" s="2046"/>
      <c r="AL115" s="2046"/>
      <c r="AM115" s="2046"/>
      <c r="AN115" s="2046"/>
      <c r="AO115" s="2046"/>
      <c r="AP115" s="2046"/>
      <c r="AQ115" s="2046"/>
      <c r="AR115" s="2046"/>
      <c r="AS115" s="2046"/>
      <c r="AT115" s="2046"/>
      <c r="AU115" s="2046"/>
      <c r="AV115" s="2046"/>
      <c r="AW115" s="2046"/>
      <c r="AX115" s="2046"/>
      <c r="AY115" s="2046"/>
      <c r="AZ115" s="2046"/>
      <c r="BA115" s="2046"/>
      <c r="BB115" s="2046"/>
      <c r="BC115" s="2046"/>
      <c r="BD115" s="2046"/>
      <c r="BE115" s="2046"/>
      <c r="BF115" s="2046"/>
      <c r="BG115" s="2046"/>
      <c r="BH115" s="2046"/>
      <c r="BI115" s="2046"/>
      <c r="BJ115" s="2046"/>
      <c r="BK115" s="2046"/>
      <c r="BL115" s="2046"/>
      <c r="BM115" s="2047"/>
      <c r="BN115" s="2047"/>
      <c r="BO115" s="2047"/>
      <c r="BP115" s="2047"/>
      <c r="BQ115" s="2047"/>
      <c r="BR115" s="2047"/>
      <c r="BS115" s="2047"/>
      <c r="BT115" s="2047"/>
      <c r="BU115" s="2047"/>
      <c r="BV115" s="2047"/>
      <c r="BW115" s="2047"/>
      <c r="BX115" s="2047"/>
      <c r="BY115" s="2047"/>
      <c r="BZ115" s="2047"/>
      <c r="CA115" s="2047"/>
      <c r="CB115" s="2047"/>
    </row>
    <row r="116" spans="1:80">
      <c r="A116" s="2047"/>
      <c r="C116" s="2046"/>
      <c r="D116" s="2046"/>
      <c r="E116" s="2046"/>
      <c r="F116" s="2046"/>
      <c r="G116" s="2046"/>
      <c r="H116" s="2046"/>
      <c r="I116" s="2046"/>
      <c r="J116" s="2046"/>
      <c r="K116" s="2046"/>
      <c r="L116" s="2046"/>
      <c r="M116" s="2046"/>
      <c r="N116" s="2046"/>
      <c r="O116" s="2046"/>
      <c r="P116" s="2046"/>
      <c r="Q116" s="2046"/>
      <c r="R116" s="2046"/>
      <c r="S116" s="2046"/>
      <c r="T116" s="2046"/>
      <c r="U116" s="2046"/>
      <c r="V116" s="2046"/>
      <c r="W116" s="2046"/>
      <c r="X116" s="2046"/>
      <c r="Y116" s="2046"/>
      <c r="Z116" s="2046"/>
      <c r="AA116" s="2046"/>
      <c r="AB116" s="2046"/>
      <c r="AC116" s="2046"/>
      <c r="AD116" s="2046"/>
      <c r="AE116" s="2046"/>
      <c r="AF116" s="2046"/>
      <c r="AG116" s="2046"/>
      <c r="AH116" s="2046"/>
      <c r="AI116" s="2046"/>
      <c r="AJ116" s="2046"/>
      <c r="AK116" s="2046"/>
      <c r="AL116" s="2046"/>
      <c r="AM116" s="2046"/>
      <c r="AN116" s="2046"/>
      <c r="AO116" s="2046"/>
      <c r="AP116" s="2046"/>
      <c r="AQ116" s="2046"/>
      <c r="AR116" s="2046"/>
      <c r="AS116" s="2046"/>
      <c r="AT116" s="2046"/>
      <c r="AU116" s="2046"/>
      <c r="AV116" s="2046"/>
      <c r="AW116" s="2046"/>
      <c r="AX116" s="2046"/>
      <c r="AY116" s="2046"/>
      <c r="AZ116" s="2046"/>
      <c r="BA116" s="2046"/>
      <c r="BB116" s="2046"/>
      <c r="BC116" s="2046"/>
      <c r="BD116" s="2046"/>
      <c r="BE116" s="2046"/>
      <c r="BF116" s="2046"/>
      <c r="BG116" s="2046"/>
      <c r="BH116" s="2046"/>
      <c r="BI116" s="2046"/>
      <c r="BJ116" s="2046"/>
      <c r="BK116" s="2046"/>
      <c r="BL116" s="2046"/>
      <c r="BM116" s="2047"/>
      <c r="BN116" s="2047"/>
      <c r="BO116" s="2047"/>
      <c r="BP116" s="2047"/>
      <c r="BQ116" s="2047"/>
      <c r="BR116" s="2047"/>
      <c r="BS116" s="2047"/>
      <c r="BT116" s="2047"/>
      <c r="BU116" s="2047"/>
      <c r="BV116" s="2047"/>
      <c r="BW116" s="2047"/>
      <c r="BX116" s="2047"/>
      <c r="BY116" s="2047"/>
      <c r="BZ116" s="2047"/>
      <c r="CA116" s="2047"/>
      <c r="CB116" s="2047"/>
    </row>
    <row r="117" spans="1:80">
      <c r="A117" s="2047"/>
      <c r="C117" s="2046"/>
      <c r="D117" s="2046"/>
      <c r="E117" s="2046"/>
      <c r="F117" s="2046"/>
      <c r="G117" s="2046"/>
      <c r="H117" s="2046"/>
      <c r="I117" s="2046"/>
      <c r="J117" s="2046"/>
      <c r="K117" s="2046"/>
      <c r="L117" s="2046"/>
      <c r="M117" s="2046"/>
      <c r="N117" s="2046"/>
      <c r="O117" s="2046"/>
      <c r="P117" s="2046"/>
      <c r="Q117" s="2046"/>
      <c r="R117" s="2046"/>
      <c r="S117" s="2046"/>
      <c r="T117" s="2046"/>
      <c r="U117" s="2046"/>
      <c r="V117" s="2046"/>
      <c r="W117" s="2046"/>
      <c r="X117" s="2046"/>
      <c r="Y117" s="2046"/>
      <c r="Z117" s="2046"/>
      <c r="AA117" s="2046"/>
      <c r="AB117" s="2046"/>
      <c r="AC117" s="2046"/>
      <c r="AD117" s="2046"/>
      <c r="AE117" s="2046"/>
      <c r="AF117" s="2046"/>
      <c r="AG117" s="2046"/>
      <c r="AH117" s="2046"/>
      <c r="AI117" s="2046"/>
      <c r="AJ117" s="2046"/>
      <c r="AK117" s="2046"/>
      <c r="AL117" s="2046"/>
      <c r="AM117" s="2046"/>
      <c r="AN117" s="2046"/>
      <c r="AO117" s="2046"/>
      <c r="AP117" s="2046"/>
      <c r="AQ117" s="2046"/>
      <c r="AR117" s="2046"/>
      <c r="AS117" s="2046"/>
      <c r="AT117" s="2046"/>
      <c r="AU117" s="2046"/>
      <c r="AV117" s="2046"/>
      <c r="AW117" s="2046"/>
      <c r="AX117" s="2046"/>
      <c r="AY117" s="2046"/>
      <c r="AZ117" s="2046"/>
      <c r="BA117" s="2046"/>
      <c r="BB117" s="2046"/>
      <c r="BC117" s="2046"/>
      <c r="BD117" s="2046"/>
      <c r="BE117" s="2046"/>
      <c r="BF117" s="2046"/>
      <c r="BG117" s="2046"/>
      <c r="BH117" s="2046"/>
      <c r="BI117" s="2046"/>
      <c r="BJ117" s="2046"/>
      <c r="BK117" s="2046"/>
      <c r="BL117" s="2046"/>
      <c r="BM117" s="2047"/>
      <c r="BN117" s="2047"/>
      <c r="BO117" s="2047"/>
      <c r="BP117" s="2047"/>
      <c r="BQ117" s="2047"/>
      <c r="BR117" s="2047"/>
      <c r="BS117" s="2047"/>
      <c r="BT117" s="2047"/>
      <c r="BU117" s="2047"/>
      <c r="BV117" s="2047"/>
      <c r="BW117" s="2047"/>
      <c r="BX117" s="2047"/>
      <c r="BY117" s="2047"/>
      <c r="BZ117" s="2047"/>
      <c r="CA117" s="2047"/>
      <c r="CB117" s="2047"/>
    </row>
    <row r="118" spans="1:80">
      <c r="A118" s="2047"/>
      <c r="C118" s="2046"/>
      <c r="D118" s="2046"/>
      <c r="E118" s="2046"/>
      <c r="F118" s="2046"/>
      <c r="G118" s="2046"/>
      <c r="H118" s="2046"/>
      <c r="I118" s="2046"/>
      <c r="J118" s="2046"/>
      <c r="K118" s="2046"/>
      <c r="L118" s="2046"/>
      <c r="M118" s="2046"/>
      <c r="N118" s="2046"/>
      <c r="O118" s="2046"/>
      <c r="P118" s="2046"/>
      <c r="Q118" s="2046"/>
      <c r="R118" s="2046"/>
      <c r="S118" s="2046"/>
      <c r="T118" s="2046"/>
      <c r="U118" s="2046"/>
      <c r="V118" s="2046"/>
      <c r="W118" s="2046"/>
      <c r="X118" s="2046"/>
      <c r="Y118" s="2046"/>
      <c r="Z118" s="2046"/>
      <c r="AA118" s="2046"/>
      <c r="AB118" s="2046"/>
      <c r="AC118" s="2046"/>
      <c r="AD118" s="2046"/>
      <c r="AE118" s="2046"/>
      <c r="AF118" s="2046"/>
      <c r="AG118" s="2046"/>
      <c r="AH118" s="2046"/>
      <c r="AI118" s="2046"/>
      <c r="AJ118" s="2046"/>
      <c r="AK118" s="2046"/>
      <c r="AL118" s="2046"/>
      <c r="AM118" s="2046"/>
      <c r="AN118" s="2046"/>
      <c r="AO118" s="2046"/>
      <c r="AP118" s="2046"/>
      <c r="AQ118" s="2046"/>
      <c r="AR118" s="2046"/>
      <c r="AS118" s="2046"/>
      <c r="AT118" s="2046"/>
      <c r="AU118" s="2046"/>
      <c r="AV118" s="2046"/>
      <c r="AW118" s="2046"/>
      <c r="AX118" s="2046"/>
      <c r="AY118" s="2046"/>
      <c r="AZ118" s="2046"/>
      <c r="BA118" s="2046"/>
      <c r="BB118" s="2046"/>
      <c r="BC118" s="2046"/>
      <c r="BD118" s="2046"/>
      <c r="BE118" s="2046"/>
      <c r="BF118" s="2046"/>
      <c r="BG118" s="2046"/>
      <c r="BH118" s="2046"/>
      <c r="BI118" s="2046"/>
      <c r="BJ118" s="2046"/>
      <c r="BK118" s="2046"/>
      <c r="BL118" s="2046"/>
      <c r="BM118" s="2047"/>
      <c r="BN118" s="2047"/>
      <c r="BO118" s="2047"/>
      <c r="BP118" s="2047"/>
      <c r="BQ118" s="2047"/>
      <c r="BR118" s="2047"/>
      <c r="BS118" s="2047"/>
      <c r="BT118" s="2047"/>
      <c r="BU118" s="2047"/>
      <c r="BV118" s="2047"/>
      <c r="BW118" s="2047"/>
      <c r="BX118" s="2047"/>
      <c r="BY118" s="2047"/>
      <c r="BZ118" s="2047"/>
      <c r="CA118" s="2047"/>
      <c r="CB118" s="2047"/>
    </row>
    <row r="119" spans="1:80">
      <c r="A119" s="2047"/>
      <c r="C119" s="2046"/>
      <c r="D119" s="2046"/>
      <c r="E119" s="2046"/>
      <c r="F119" s="2046"/>
      <c r="G119" s="2046"/>
      <c r="H119" s="2046"/>
      <c r="I119" s="2046"/>
      <c r="J119" s="2046"/>
      <c r="K119" s="2046"/>
      <c r="L119" s="2046"/>
      <c r="M119" s="2046"/>
      <c r="N119" s="2046"/>
      <c r="O119" s="2046"/>
      <c r="P119" s="2046"/>
      <c r="Q119" s="2046"/>
      <c r="R119" s="2046"/>
      <c r="S119" s="2046"/>
      <c r="T119" s="2046"/>
      <c r="U119" s="2046"/>
      <c r="V119" s="2046"/>
      <c r="W119" s="2046"/>
      <c r="X119" s="2046"/>
      <c r="Y119" s="2046"/>
      <c r="Z119" s="2046"/>
      <c r="AA119" s="2046"/>
      <c r="AB119" s="2046"/>
      <c r="AC119" s="2046"/>
      <c r="AD119" s="2046"/>
      <c r="AE119" s="2046"/>
      <c r="AF119" s="2046"/>
      <c r="AG119" s="2046"/>
      <c r="AH119" s="2046"/>
      <c r="AI119" s="2046"/>
      <c r="AJ119" s="2046"/>
      <c r="AK119" s="2046"/>
      <c r="AL119" s="2046"/>
      <c r="AM119" s="2046"/>
      <c r="AN119" s="2046"/>
      <c r="AO119" s="2046"/>
      <c r="AP119" s="2046"/>
      <c r="AQ119" s="2046"/>
      <c r="AR119" s="2046"/>
      <c r="AS119" s="2046"/>
      <c r="AT119" s="2046"/>
      <c r="AU119" s="2046"/>
      <c r="AV119" s="2046"/>
      <c r="AW119" s="2046"/>
      <c r="AX119" s="2046"/>
      <c r="AY119" s="2046"/>
      <c r="AZ119" s="2046"/>
      <c r="BA119" s="2046"/>
      <c r="BB119" s="2046"/>
      <c r="BC119" s="2046"/>
      <c r="BD119" s="2046"/>
      <c r="BE119" s="2046"/>
      <c r="BF119" s="2046"/>
      <c r="BG119" s="2046"/>
      <c r="BH119" s="2046"/>
      <c r="BI119" s="2046"/>
      <c r="BJ119" s="2046"/>
      <c r="BK119" s="2046"/>
      <c r="BL119" s="2046"/>
      <c r="BM119" s="2047"/>
      <c r="BN119" s="2047"/>
      <c r="BO119" s="2047"/>
      <c r="BP119" s="2047"/>
      <c r="BQ119" s="2047"/>
      <c r="BR119" s="2047"/>
      <c r="BS119" s="2047"/>
      <c r="BT119" s="2047"/>
      <c r="BU119" s="2047"/>
      <c r="BV119" s="2047"/>
      <c r="BW119" s="2047"/>
      <c r="BX119" s="2047"/>
      <c r="BY119" s="2047"/>
      <c r="BZ119" s="2047"/>
      <c r="CA119" s="2047"/>
      <c r="CB119" s="2047"/>
    </row>
    <row r="120" spans="1:80">
      <c r="A120" s="2047"/>
      <c r="C120" s="2046"/>
      <c r="D120" s="2046"/>
      <c r="E120" s="2046"/>
      <c r="F120" s="2046"/>
      <c r="G120" s="2046"/>
      <c r="H120" s="2046"/>
      <c r="I120" s="2046"/>
      <c r="J120" s="2046"/>
      <c r="K120" s="2046"/>
      <c r="L120" s="2046"/>
      <c r="M120" s="2046"/>
      <c r="N120" s="2046"/>
      <c r="O120" s="2046"/>
      <c r="P120" s="2046"/>
      <c r="Q120" s="2046"/>
      <c r="R120" s="2046"/>
      <c r="S120" s="2046"/>
      <c r="T120" s="2046"/>
      <c r="U120" s="2046"/>
      <c r="V120" s="2046"/>
      <c r="W120" s="2046"/>
      <c r="X120" s="2046"/>
      <c r="Y120" s="2046"/>
      <c r="Z120" s="2046"/>
      <c r="AA120" s="2046"/>
      <c r="AB120" s="2046"/>
      <c r="AC120" s="2046"/>
      <c r="AD120" s="2046"/>
      <c r="AE120" s="2046"/>
      <c r="AF120" s="2046"/>
      <c r="AG120" s="2046"/>
      <c r="AH120" s="2046"/>
      <c r="AI120" s="2046"/>
      <c r="AJ120" s="2046"/>
      <c r="AK120" s="2046"/>
      <c r="AL120" s="2046"/>
      <c r="AM120" s="2046"/>
      <c r="AN120" s="2046"/>
      <c r="AO120" s="2046"/>
      <c r="AP120" s="2046"/>
      <c r="AQ120" s="2046"/>
      <c r="AR120" s="2046"/>
      <c r="AS120" s="2046"/>
      <c r="AT120" s="2046"/>
      <c r="AU120" s="2046"/>
      <c r="AV120" s="2046"/>
      <c r="AW120" s="2046"/>
      <c r="AX120" s="2046"/>
      <c r="AY120" s="2046"/>
      <c r="AZ120" s="2046"/>
      <c r="BA120" s="2046"/>
      <c r="BB120" s="2046"/>
      <c r="BC120" s="2046"/>
      <c r="BD120" s="2046"/>
      <c r="BE120" s="2046"/>
      <c r="BF120" s="2046"/>
      <c r="BG120" s="2046"/>
      <c r="BH120" s="2046"/>
      <c r="BI120" s="2046"/>
      <c r="BJ120" s="2046"/>
      <c r="BK120" s="2046"/>
      <c r="BL120" s="2046"/>
      <c r="BM120" s="2047"/>
      <c r="BN120" s="2047"/>
      <c r="BO120" s="2047"/>
      <c r="BP120" s="2047"/>
      <c r="BQ120" s="2047"/>
      <c r="BR120" s="2047"/>
      <c r="BS120" s="2047"/>
      <c r="BT120" s="2047"/>
      <c r="BU120" s="2047"/>
      <c r="BV120" s="2047"/>
      <c r="BW120" s="2047"/>
      <c r="BX120" s="2047"/>
      <c r="BY120" s="2047"/>
      <c r="BZ120" s="2047"/>
      <c r="CA120" s="2047"/>
      <c r="CB120" s="2047"/>
    </row>
    <row r="121" spans="1:80">
      <c r="A121" s="2047"/>
      <c r="C121" s="2046"/>
      <c r="D121" s="2046"/>
      <c r="E121" s="2046"/>
      <c r="F121" s="2046"/>
      <c r="G121" s="2046"/>
      <c r="H121" s="2046"/>
      <c r="I121" s="2046"/>
      <c r="J121" s="2046"/>
      <c r="K121" s="2046"/>
      <c r="L121" s="2046"/>
      <c r="M121" s="2046"/>
      <c r="N121" s="2046"/>
      <c r="O121" s="2046"/>
      <c r="P121" s="2046"/>
      <c r="Q121" s="2046"/>
      <c r="R121" s="2046"/>
      <c r="S121" s="2046"/>
      <c r="T121" s="2046"/>
      <c r="U121" s="2046"/>
      <c r="V121" s="2046"/>
      <c r="W121" s="2046"/>
      <c r="X121" s="2046"/>
      <c r="Y121" s="2046"/>
      <c r="Z121" s="2046"/>
      <c r="AA121" s="2046"/>
      <c r="AB121" s="2046"/>
      <c r="AC121" s="2046"/>
      <c r="AD121" s="2046"/>
      <c r="AE121" s="2046"/>
      <c r="AF121" s="2046"/>
      <c r="AG121" s="2046"/>
      <c r="AH121" s="2046"/>
      <c r="AI121" s="2046"/>
      <c r="AJ121" s="2046"/>
      <c r="AK121" s="2046"/>
      <c r="AL121" s="2046"/>
      <c r="AM121" s="2046"/>
      <c r="AN121" s="2046"/>
      <c r="AO121" s="2046"/>
      <c r="AP121" s="2046"/>
      <c r="AQ121" s="2046"/>
      <c r="AR121" s="2046"/>
      <c r="AS121" s="2046"/>
      <c r="AT121" s="2046"/>
      <c r="AU121" s="2046"/>
      <c r="AV121" s="2046"/>
      <c r="AW121" s="2046"/>
      <c r="AX121" s="2046"/>
      <c r="AY121" s="2046"/>
      <c r="AZ121" s="2046"/>
      <c r="BA121" s="2046"/>
      <c r="BB121" s="2046"/>
      <c r="BC121" s="2046"/>
      <c r="BD121" s="2046"/>
      <c r="BE121" s="2046"/>
      <c r="BF121" s="2046"/>
      <c r="BG121" s="2046"/>
      <c r="BH121" s="2046"/>
      <c r="BI121" s="2046"/>
      <c r="BJ121" s="2046"/>
      <c r="BK121" s="2046"/>
      <c r="BL121" s="2046"/>
      <c r="BM121" s="2047"/>
      <c r="BN121" s="2047"/>
      <c r="BO121" s="2047"/>
      <c r="BP121" s="2047"/>
      <c r="BQ121" s="2047"/>
      <c r="BR121" s="2047"/>
      <c r="BS121" s="2047"/>
      <c r="BT121" s="2047"/>
      <c r="BU121" s="2047"/>
      <c r="BV121" s="2047"/>
      <c r="BW121" s="2047"/>
      <c r="BX121" s="2047"/>
      <c r="BY121" s="2047"/>
      <c r="BZ121" s="2047"/>
      <c r="CA121" s="2047"/>
      <c r="CB121" s="2047"/>
    </row>
    <row r="122" spans="1:80">
      <c r="A122" s="2047"/>
      <c r="C122" s="2046"/>
      <c r="D122" s="2046"/>
      <c r="E122" s="2046"/>
      <c r="F122" s="2046"/>
      <c r="G122" s="2046"/>
      <c r="H122" s="2046"/>
      <c r="I122" s="2046"/>
      <c r="J122" s="2046"/>
      <c r="K122" s="2046"/>
      <c r="L122" s="2046"/>
      <c r="M122" s="2046"/>
      <c r="N122" s="2046"/>
      <c r="O122" s="2046"/>
      <c r="P122" s="2046"/>
      <c r="Q122" s="2046"/>
      <c r="R122" s="2046"/>
      <c r="S122" s="2046"/>
      <c r="T122" s="2046"/>
      <c r="U122" s="2046"/>
      <c r="V122" s="2046"/>
      <c r="W122" s="2046"/>
      <c r="X122" s="2046"/>
      <c r="Y122" s="2046"/>
      <c r="Z122" s="2046"/>
      <c r="AA122" s="2046"/>
      <c r="AB122" s="2046"/>
      <c r="AC122" s="2046"/>
      <c r="AD122" s="2046"/>
      <c r="AE122" s="2046"/>
      <c r="AF122" s="2046"/>
      <c r="AG122" s="2046"/>
      <c r="AH122" s="2046"/>
      <c r="AI122" s="2046"/>
      <c r="AJ122" s="2046"/>
      <c r="AK122" s="2046"/>
      <c r="AL122" s="2046"/>
      <c r="AM122" s="2046"/>
      <c r="AN122" s="2046"/>
      <c r="AO122" s="2046"/>
      <c r="AP122" s="2046"/>
      <c r="AQ122" s="2046"/>
      <c r="AR122" s="2046"/>
      <c r="AS122" s="2046"/>
      <c r="AT122" s="2046"/>
      <c r="AU122" s="2046"/>
      <c r="AV122" s="2046"/>
      <c r="AW122" s="2046"/>
      <c r="AX122" s="2046"/>
      <c r="AY122" s="2046"/>
      <c r="AZ122" s="2046"/>
      <c r="BA122" s="2046"/>
      <c r="BB122" s="2046"/>
      <c r="BC122" s="2046"/>
      <c r="BD122" s="2046"/>
      <c r="BE122" s="2046"/>
      <c r="BF122" s="2046"/>
      <c r="BG122" s="2046"/>
      <c r="BH122" s="2046"/>
      <c r="BI122" s="2046"/>
      <c r="BJ122" s="2046"/>
      <c r="BK122" s="2046"/>
      <c r="BL122" s="2046"/>
      <c r="BM122" s="2047"/>
      <c r="BN122" s="2047"/>
      <c r="BO122" s="2047"/>
      <c r="BP122" s="2047"/>
      <c r="BQ122" s="2047"/>
      <c r="BR122" s="2047"/>
      <c r="BS122" s="2047"/>
      <c r="BT122" s="2047"/>
      <c r="BU122" s="2047"/>
      <c r="BV122" s="2047"/>
      <c r="BW122" s="2047"/>
      <c r="BX122" s="2047"/>
      <c r="BY122" s="2047"/>
      <c r="BZ122" s="2047"/>
      <c r="CA122" s="2047"/>
      <c r="CB122" s="2047"/>
    </row>
    <row r="123" spans="1:80">
      <c r="A123" s="2047"/>
      <c r="C123" s="2046"/>
      <c r="D123" s="2046"/>
      <c r="E123" s="2046"/>
      <c r="F123" s="2046"/>
      <c r="G123" s="2046"/>
      <c r="H123" s="2046"/>
      <c r="I123" s="2046"/>
      <c r="J123" s="2046"/>
      <c r="K123" s="2046"/>
      <c r="L123" s="2046"/>
      <c r="M123" s="2046"/>
      <c r="N123" s="2046"/>
      <c r="O123" s="2046"/>
      <c r="P123" s="2046"/>
      <c r="Q123" s="2046"/>
      <c r="R123" s="2046"/>
      <c r="S123" s="2046"/>
      <c r="T123" s="2046"/>
      <c r="U123" s="2046"/>
      <c r="V123" s="2046"/>
      <c r="W123" s="2046"/>
      <c r="X123" s="2046"/>
      <c r="Y123" s="2046"/>
      <c r="Z123" s="2046"/>
      <c r="AA123" s="2046"/>
      <c r="AB123" s="2046"/>
      <c r="AC123" s="2046"/>
      <c r="AD123" s="2046"/>
      <c r="AE123" s="2046"/>
      <c r="AF123" s="2046"/>
      <c r="AG123" s="2046"/>
      <c r="AH123" s="2046"/>
      <c r="AI123" s="2046"/>
      <c r="AJ123" s="2046"/>
      <c r="AK123" s="2046"/>
      <c r="AL123" s="2046"/>
      <c r="AM123" s="2046"/>
      <c r="AN123" s="2046"/>
      <c r="AO123" s="2046"/>
      <c r="AP123" s="2046"/>
      <c r="AQ123" s="2046"/>
      <c r="AR123" s="2046"/>
      <c r="AS123" s="2046"/>
      <c r="AT123" s="2046"/>
      <c r="AU123" s="2046"/>
      <c r="AV123" s="2046"/>
      <c r="AW123" s="2046"/>
      <c r="AX123" s="2046"/>
      <c r="AY123" s="2046"/>
      <c r="AZ123" s="2046"/>
      <c r="BA123" s="2046"/>
      <c r="BB123" s="2046"/>
      <c r="BC123" s="2046"/>
      <c r="BD123" s="2046"/>
      <c r="BE123" s="2046"/>
      <c r="BF123" s="2046"/>
      <c r="BG123" s="2046"/>
      <c r="BH123" s="2046"/>
      <c r="BI123" s="2046"/>
      <c r="BJ123" s="2046"/>
      <c r="BK123" s="2046"/>
      <c r="BL123" s="2046"/>
      <c r="BM123" s="2047"/>
      <c r="BN123" s="2047"/>
      <c r="BO123" s="2047"/>
      <c r="BP123" s="2047"/>
      <c r="BQ123" s="2047"/>
      <c r="BR123" s="2047"/>
      <c r="BS123" s="2047"/>
      <c r="BT123" s="2047"/>
      <c r="BU123" s="2047"/>
      <c r="BV123" s="2047"/>
      <c r="BW123" s="2047"/>
      <c r="BX123" s="2047"/>
      <c r="BY123" s="2047"/>
      <c r="BZ123" s="2047"/>
      <c r="CA123" s="2047"/>
      <c r="CB123" s="2047"/>
    </row>
    <row r="124" spans="1:80">
      <c r="A124" s="2047"/>
      <c r="C124" s="2046"/>
      <c r="D124" s="2046"/>
      <c r="E124" s="2046"/>
      <c r="F124" s="2046"/>
      <c r="G124" s="2046"/>
      <c r="H124" s="2046"/>
      <c r="I124" s="2046"/>
      <c r="J124" s="2046"/>
      <c r="K124" s="2046"/>
      <c r="L124" s="2046"/>
      <c r="M124" s="2046"/>
      <c r="N124" s="2046"/>
      <c r="O124" s="2046"/>
      <c r="P124" s="2046"/>
      <c r="Q124" s="2046"/>
      <c r="R124" s="2046"/>
      <c r="S124" s="2046"/>
      <c r="T124" s="2046"/>
      <c r="U124" s="2046"/>
      <c r="V124" s="2046"/>
      <c r="W124" s="2046"/>
      <c r="X124" s="2046"/>
      <c r="Y124" s="2046"/>
      <c r="Z124" s="2046"/>
      <c r="AA124" s="2046"/>
      <c r="AB124" s="2046"/>
      <c r="AC124" s="2046"/>
      <c r="AD124" s="2046"/>
      <c r="AE124" s="2046"/>
      <c r="AF124" s="2046"/>
      <c r="AG124" s="2046"/>
      <c r="AH124" s="2046"/>
      <c r="AI124" s="2046"/>
      <c r="AJ124" s="2046"/>
      <c r="AK124" s="2046"/>
      <c r="AL124" s="2046"/>
      <c r="AM124" s="2046"/>
      <c r="AN124" s="2046"/>
      <c r="AO124" s="2046"/>
      <c r="AP124" s="2046"/>
      <c r="AQ124" s="2046"/>
      <c r="AR124" s="2046"/>
      <c r="AS124" s="2046"/>
      <c r="AT124" s="2046"/>
      <c r="AU124" s="2046"/>
      <c r="AV124" s="2046"/>
      <c r="AW124" s="2046"/>
      <c r="AX124" s="2046"/>
      <c r="AY124" s="2046"/>
      <c r="AZ124" s="2046"/>
      <c r="BA124" s="2046"/>
      <c r="BB124" s="2046"/>
      <c r="BC124" s="2046"/>
      <c r="BD124" s="2046"/>
      <c r="BE124" s="2046"/>
      <c r="BF124" s="2046"/>
      <c r="BG124" s="2046"/>
      <c r="BH124" s="2046"/>
      <c r="BI124" s="2046"/>
      <c r="BJ124" s="2046"/>
      <c r="BK124" s="2046"/>
      <c r="BL124" s="2046"/>
      <c r="BM124" s="2047"/>
      <c r="BN124" s="2047"/>
      <c r="BO124" s="2047"/>
      <c r="BP124" s="2047"/>
      <c r="BQ124" s="2047"/>
      <c r="BR124" s="2047"/>
      <c r="BS124" s="2047"/>
      <c r="BT124" s="2047"/>
      <c r="BU124" s="2047"/>
      <c r="BV124" s="2047"/>
      <c r="BW124" s="2047"/>
      <c r="BX124" s="2047"/>
      <c r="BY124" s="2047"/>
      <c r="BZ124" s="2047"/>
      <c r="CA124" s="2047"/>
      <c r="CB124" s="2047"/>
    </row>
    <row r="125" spans="1:80">
      <c r="A125" s="2047"/>
      <c r="C125" s="2046"/>
      <c r="D125" s="2046"/>
      <c r="E125" s="2046"/>
      <c r="F125" s="2046"/>
      <c r="G125" s="2046"/>
      <c r="H125" s="2046"/>
      <c r="I125" s="2046"/>
      <c r="J125" s="2046"/>
      <c r="K125" s="2046"/>
      <c r="L125" s="2046"/>
      <c r="M125" s="2046"/>
      <c r="N125" s="2046"/>
      <c r="O125" s="2046"/>
      <c r="P125" s="2046"/>
      <c r="Q125" s="2046"/>
      <c r="R125" s="2046"/>
      <c r="S125" s="2046"/>
      <c r="T125" s="2046"/>
      <c r="U125" s="2046"/>
      <c r="V125" s="2046"/>
      <c r="W125" s="2046"/>
      <c r="X125" s="2046"/>
      <c r="Y125" s="2046"/>
      <c r="Z125" s="2046"/>
      <c r="AA125" s="2046"/>
      <c r="AB125" s="2046"/>
      <c r="AC125" s="2046"/>
      <c r="AD125" s="2046"/>
      <c r="AE125" s="2046"/>
      <c r="AF125" s="2046"/>
      <c r="AG125" s="2046"/>
      <c r="AH125" s="2046"/>
      <c r="AI125" s="2046"/>
      <c r="AJ125" s="2046"/>
      <c r="AK125" s="2046"/>
      <c r="AL125" s="2046"/>
      <c r="AM125" s="2046"/>
      <c r="AN125" s="2046"/>
      <c r="AO125" s="2046"/>
      <c r="AP125" s="2046"/>
      <c r="AQ125" s="2046"/>
      <c r="AR125" s="2046"/>
      <c r="AS125" s="2046"/>
      <c r="AT125" s="2046"/>
      <c r="AU125" s="2046"/>
      <c r="AV125" s="2046"/>
      <c r="AW125" s="2046"/>
      <c r="AX125" s="2046"/>
      <c r="AY125" s="2046"/>
      <c r="AZ125" s="2046"/>
      <c r="BA125" s="2046"/>
      <c r="BB125" s="2046"/>
      <c r="BC125" s="2046"/>
      <c r="BD125" s="2046"/>
      <c r="BE125" s="2046"/>
      <c r="BF125" s="2046"/>
      <c r="BG125" s="2046"/>
      <c r="BH125" s="2046"/>
      <c r="BI125" s="2046"/>
      <c r="BJ125" s="2046"/>
      <c r="BK125" s="2046"/>
      <c r="BL125" s="2046"/>
      <c r="BM125" s="2047"/>
      <c r="BN125" s="2047"/>
      <c r="BO125" s="2047"/>
      <c r="BP125" s="2047"/>
      <c r="BQ125" s="2047"/>
      <c r="BR125" s="2047"/>
      <c r="BS125" s="2047"/>
      <c r="BT125" s="2047"/>
      <c r="BU125" s="2047"/>
      <c r="BV125" s="2047"/>
      <c r="BW125" s="2047"/>
      <c r="BX125" s="2047"/>
      <c r="BY125" s="2047"/>
      <c r="BZ125" s="2047"/>
      <c r="CA125" s="2047"/>
      <c r="CB125" s="2047"/>
    </row>
    <row r="126" spans="1:80">
      <c r="A126" s="2047"/>
      <c r="C126" s="2046"/>
      <c r="D126" s="2046"/>
      <c r="E126" s="2046"/>
      <c r="F126" s="2046"/>
      <c r="G126" s="2046"/>
      <c r="H126" s="2046"/>
      <c r="I126" s="2046"/>
      <c r="J126" s="2046"/>
      <c r="K126" s="2046"/>
      <c r="L126" s="2046"/>
      <c r="M126" s="2046"/>
      <c r="N126" s="2046"/>
      <c r="O126" s="2046"/>
      <c r="P126" s="2046"/>
      <c r="Q126" s="2046"/>
      <c r="R126" s="2046"/>
      <c r="S126" s="2046"/>
      <c r="T126" s="2046"/>
      <c r="U126" s="2046"/>
      <c r="V126" s="2046"/>
      <c r="W126" s="2046"/>
      <c r="X126" s="2046"/>
      <c r="Y126" s="2046"/>
      <c r="Z126" s="2046"/>
      <c r="AA126" s="2046"/>
      <c r="AB126" s="2046"/>
      <c r="AC126" s="2046"/>
      <c r="AD126" s="2046"/>
      <c r="AE126" s="2046"/>
      <c r="AF126" s="2046"/>
      <c r="AG126" s="2046"/>
      <c r="AH126" s="2046"/>
      <c r="AI126" s="2046"/>
      <c r="AJ126" s="2046"/>
      <c r="AK126" s="2046"/>
      <c r="AL126" s="2046"/>
      <c r="AM126" s="2046"/>
      <c r="AN126" s="2046"/>
      <c r="AO126" s="2046"/>
      <c r="AP126" s="2046"/>
      <c r="AQ126" s="2046"/>
      <c r="AR126" s="2046"/>
      <c r="AS126" s="2046"/>
      <c r="AT126" s="2046"/>
      <c r="AU126" s="2046"/>
      <c r="AV126" s="2046"/>
      <c r="AW126" s="2046"/>
      <c r="AX126" s="2046"/>
      <c r="AY126" s="2046"/>
      <c r="AZ126" s="2046"/>
      <c r="BA126" s="2046"/>
      <c r="BB126" s="2046"/>
      <c r="BC126" s="2046"/>
      <c r="BD126" s="2046"/>
      <c r="BE126" s="2046"/>
      <c r="BF126" s="2046"/>
      <c r="BG126" s="2046"/>
      <c r="BH126" s="2046"/>
      <c r="BI126" s="2046"/>
      <c r="BJ126" s="2046"/>
      <c r="BK126" s="2046"/>
      <c r="BL126" s="2046"/>
      <c r="BM126" s="2047"/>
      <c r="BN126" s="2047"/>
      <c r="BO126" s="2047"/>
      <c r="BP126" s="2047"/>
      <c r="BQ126" s="2047"/>
      <c r="BR126" s="2047"/>
      <c r="BS126" s="2047"/>
      <c r="BT126" s="2047"/>
      <c r="BU126" s="2047"/>
      <c r="BV126" s="2047"/>
      <c r="BW126" s="2047"/>
      <c r="BX126" s="2047"/>
      <c r="BY126" s="2047"/>
      <c r="BZ126" s="2047"/>
      <c r="CA126" s="2047"/>
      <c r="CB126" s="2047"/>
    </row>
    <row r="127" spans="1:80">
      <c r="A127" s="2047"/>
      <c r="C127" s="2046"/>
      <c r="D127" s="2046"/>
      <c r="E127" s="2046"/>
      <c r="F127" s="2046"/>
      <c r="G127" s="2046"/>
      <c r="H127" s="2046"/>
      <c r="I127" s="2046"/>
      <c r="J127" s="2046"/>
      <c r="K127" s="2046"/>
      <c r="L127" s="2046"/>
      <c r="M127" s="2046"/>
      <c r="N127" s="2046"/>
      <c r="O127" s="2046"/>
      <c r="P127" s="2046"/>
      <c r="Q127" s="2046"/>
      <c r="R127" s="2046"/>
      <c r="S127" s="2046"/>
      <c r="T127" s="2046"/>
      <c r="U127" s="2046"/>
      <c r="V127" s="2046"/>
      <c r="W127" s="2046"/>
      <c r="X127" s="2046"/>
      <c r="Y127" s="2046"/>
      <c r="Z127" s="2046"/>
      <c r="AA127" s="2046"/>
      <c r="AB127" s="2046"/>
      <c r="AC127" s="2046"/>
      <c r="AD127" s="2046"/>
      <c r="AE127" s="2046"/>
      <c r="AF127" s="2046"/>
      <c r="AG127" s="2046"/>
      <c r="AH127" s="2046"/>
      <c r="AI127" s="2046"/>
      <c r="AJ127" s="2046"/>
      <c r="AK127" s="2046"/>
      <c r="AL127" s="2046"/>
      <c r="AM127" s="2046"/>
      <c r="AN127" s="2046"/>
      <c r="AO127" s="2046"/>
      <c r="AP127" s="2046"/>
      <c r="AQ127" s="2046"/>
      <c r="AR127" s="2046"/>
      <c r="AS127" s="2046"/>
      <c r="AT127" s="2046"/>
      <c r="AU127" s="2046"/>
      <c r="AV127" s="2046"/>
      <c r="AW127" s="2046"/>
      <c r="AX127" s="2046"/>
      <c r="AY127" s="2046"/>
      <c r="AZ127" s="2046"/>
      <c r="BA127" s="2046"/>
      <c r="BB127" s="2046"/>
      <c r="BC127" s="2046"/>
      <c r="BD127" s="2046"/>
      <c r="BE127" s="2046"/>
      <c r="BF127" s="2046"/>
      <c r="BG127" s="2046"/>
      <c r="BH127" s="2046"/>
      <c r="BI127" s="2046"/>
      <c r="BJ127" s="2046"/>
      <c r="BK127" s="2046"/>
      <c r="BL127" s="2046"/>
      <c r="BM127" s="2047"/>
      <c r="BN127" s="2047"/>
      <c r="BO127" s="2047"/>
      <c r="BP127" s="2047"/>
      <c r="BQ127" s="2047"/>
      <c r="BR127" s="2047"/>
      <c r="BS127" s="2047"/>
      <c r="BT127" s="2047"/>
      <c r="BU127" s="2047"/>
      <c r="BV127" s="2047"/>
      <c r="BW127" s="2047"/>
      <c r="BX127" s="2047"/>
      <c r="BY127" s="2047"/>
      <c r="BZ127" s="2047"/>
      <c r="CA127" s="2047"/>
      <c r="CB127" s="2047"/>
    </row>
    <row r="128" spans="1:80">
      <c r="A128" s="2047"/>
      <c r="C128" s="2046"/>
      <c r="D128" s="2046"/>
      <c r="E128" s="2046"/>
      <c r="F128" s="2046"/>
      <c r="G128" s="2046"/>
      <c r="H128" s="2046"/>
      <c r="I128" s="2046"/>
      <c r="J128" s="2046"/>
      <c r="K128" s="2046"/>
      <c r="L128" s="2046"/>
      <c r="M128" s="2046"/>
      <c r="N128" s="2046"/>
      <c r="O128" s="2046"/>
      <c r="P128" s="2046"/>
      <c r="Q128" s="2046"/>
      <c r="R128" s="2046"/>
      <c r="S128" s="2046"/>
      <c r="T128" s="2046"/>
      <c r="U128" s="2046"/>
      <c r="V128" s="2046"/>
      <c r="W128" s="2046"/>
      <c r="X128" s="2046"/>
      <c r="Y128" s="2046"/>
      <c r="Z128" s="2046"/>
      <c r="AA128" s="2046"/>
      <c r="AB128" s="2046"/>
      <c r="AC128" s="2046"/>
      <c r="AD128" s="2046"/>
      <c r="AE128" s="2046"/>
      <c r="AF128" s="2046"/>
      <c r="AG128" s="2046"/>
      <c r="AH128" s="2046"/>
      <c r="AI128" s="2046"/>
      <c r="AJ128" s="2046"/>
      <c r="AK128" s="2046"/>
      <c r="AL128" s="2046"/>
      <c r="AM128" s="2046"/>
      <c r="AN128" s="2046"/>
      <c r="AO128" s="2046"/>
      <c r="AP128" s="2046"/>
      <c r="AQ128" s="2046"/>
      <c r="AR128" s="2046"/>
      <c r="AS128" s="2046"/>
      <c r="AT128" s="2046"/>
      <c r="AU128" s="2046"/>
      <c r="AV128" s="2046"/>
      <c r="AW128" s="2046"/>
      <c r="AX128" s="2046"/>
      <c r="AY128" s="2046"/>
      <c r="AZ128" s="2046"/>
      <c r="BA128" s="2046"/>
      <c r="BB128" s="2046"/>
      <c r="BC128" s="2046"/>
      <c r="BD128" s="2046"/>
      <c r="BE128" s="2046"/>
      <c r="BF128" s="2046"/>
      <c r="BG128" s="2046"/>
      <c r="BH128" s="2046"/>
      <c r="BI128" s="2046"/>
      <c r="BJ128" s="2046"/>
      <c r="BK128" s="2046"/>
      <c r="BL128" s="2046"/>
      <c r="BM128" s="2047"/>
      <c r="BN128" s="2047"/>
      <c r="BO128" s="2047"/>
      <c r="BP128" s="2047"/>
      <c r="BQ128" s="2047"/>
      <c r="BR128" s="2047"/>
      <c r="BS128" s="2047"/>
      <c r="BT128" s="2047"/>
      <c r="BU128" s="2047"/>
      <c r="BV128" s="2047"/>
      <c r="BW128" s="2047"/>
      <c r="BX128" s="2047"/>
      <c r="BY128" s="2047"/>
      <c r="BZ128" s="2047"/>
      <c r="CA128" s="2047"/>
      <c r="CB128" s="2047"/>
    </row>
    <row r="129" spans="1:80">
      <c r="A129" s="2047"/>
      <c r="C129" s="2046"/>
      <c r="D129" s="2046"/>
      <c r="E129" s="2046"/>
      <c r="F129" s="2046"/>
      <c r="G129" s="2046"/>
      <c r="H129" s="2046"/>
      <c r="I129" s="2046"/>
      <c r="J129" s="2046"/>
      <c r="K129" s="2046"/>
      <c r="L129" s="2046"/>
      <c r="M129" s="2046"/>
      <c r="N129" s="2046"/>
      <c r="O129" s="2046"/>
      <c r="P129" s="2046"/>
      <c r="Q129" s="2046"/>
      <c r="R129" s="2046"/>
      <c r="S129" s="2046"/>
      <c r="T129" s="2046"/>
      <c r="U129" s="2046"/>
      <c r="V129" s="2046"/>
      <c r="W129" s="2046"/>
      <c r="X129" s="2046"/>
      <c r="Y129" s="2046"/>
      <c r="Z129" s="2046"/>
      <c r="AA129" s="2046"/>
      <c r="AB129" s="2046"/>
      <c r="AC129" s="2046"/>
      <c r="AD129" s="2046"/>
      <c r="AE129" s="2046"/>
      <c r="AF129" s="2046"/>
      <c r="AG129" s="2046"/>
      <c r="AH129" s="2046"/>
      <c r="AI129" s="2046"/>
      <c r="AJ129" s="2046"/>
      <c r="AK129" s="2046"/>
      <c r="AL129" s="2046"/>
      <c r="AM129" s="2046"/>
      <c r="AN129" s="2046"/>
      <c r="AO129" s="2046"/>
      <c r="AP129" s="2046"/>
      <c r="AQ129" s="2046"/>
      <c r="AR129" s="2046"/>
      <c r="AS129" s="2046"/>
      <c r="AT129" s="2046"/>
      <c r="AU129" s="2046"/>
      <c r="AV129" s="2046"/>
      <c r="AW129" s="2046"/>
      <c r="AX129" s="2046"/>
      <c r="AY129" s="2046"/>
      <c r="AZ129" s="2046"/>
      <c r="BA129" s="2046"/>
      <c r="BB129" s="2046"/>
      <c r="BC129" s="2046"/>
      <c r="BD129" s="2046"/>
      <c r="BE129" s="2046"/>
      <c r="BF129" s="2046"/>
      <c r="BG129" s="2046"/>
      <c r="BH129" s="2046"/>
      <c r="BI129" s="2046"/>
      <c r="BJ129" s="2046"/>
      <c r="BK129" s="2046"/>
      <c r="BL129" s="2046"/>
      <c r="BM129" s="2047"/>
      <c r="BN129" s="2047"/>
      <c r="BO129" s="2047"/>
      <c r="BP129" s="2047"/>
      <c r="BQ129" s="2047"/>
      <c r="BR129" s="2047"/>
      <c r="BS129" s="2047"/>
      <c r="BT129" s="2047"/>
      <c r="BU129" s="2047"/>
      <c r="BV129" s="2047"/>
      <c r="BW129" s="2047"/>
      <c r="BX129" s="2047"/>
      <c r="BY129" s="2047"/>
      <c r="BZ129" s="2047"/>
      <c r="CA129" s="2047"/>
      <c r="CB129" s="2047"/>
    </row>
    <row r="130" spans="1:80">
      <c r="A130" s="2047"/>
      <c r="C130" s="2046"/>
      <c r="D130" s="2046"/>
      <c r="E130" s="2046"/>
      <c r="F130" s="2046"/>
      <c r="G130" s="2046"/>
      <c r="H130" s="2046"/>
      <c r="I130" s="2046"/>
      <c r="J130" s="2046"/>
      <c r="K130" s="2046"/>
      <c r="L130" s="2046"/>
      <c r="M130" s="2046"/>
      <c r="N130" s="2046"/>
      <c r="O130" s="2046"/>
      <c r="P130" s="2046"/>
      <c r="Q130" s="2046"/>
      <c r="R130" s="2046"/>
      <c r="S130" s="2046"/>
      <c r="T130" s="2046"/>
      <c r="U130" s="2046"/>
      <c r="V130" s="2046"/>
      <c r="W130" s="2046"/>
      <c r="X130" s="2046"/>
      <c r="Y130" s="2046"/>
      <c r="Z130" s="2046"/>
      <c r="AA130" s="2046"/>
      <c r="AB130" s="2046"/>
      <c r="AC130" s="2046"/>
      <c r="AD130" s="2046"/>
      <c r="AE130" s="2046"/>
      <c r="AF130" s="2046"/>
      <c r="AG130" s="2046"/>
      <c r="AH130" s="2046"/>
      <c r="AI130" s="2046"/>
      <c r="AJ130" s="2046"/>
      <c r="AK130" s="2046"/>
      <c r="AL130" s="2046"/>
      <c r="AM130" s="2046"/>
      <c r="AN130" s="2046"/>
      <c r="AO130" s="2046"/>
      <c r="AP130" s="2046"/>
      <c r="AQ130" s="2046"/>
      <c r="AR130" s="2046"/>
      <c r="AS130" s="2046"/>
      <c r="AT130" s="2046"/>
      <c r="AU130" s="2046"/>
      <c r="AV130" s="2046"/>
      <c r="AW130" s="2046"/>
      <c r="AX130" s="2046"/>
      <c r="AY130" s="2046"/>
      <c r="AZ130" s="2046"/>
      <c r="BA130" s="2046"/>
      <c r="BB130" s="2046"/>
      <c r="BC130" s="2046"/>
      <c r="BD130" s="2046"/>
      <c r="BE130" s="2046"/>
      <c r="BF130" s="2046"/>
      <c r="BG130" s="2046"/>
      <c r="BH130" s="2046"/>
      <c r="BI130" s="2046"/>
      <c r="BJ130" s="2046"/>
      <c r="BK130" s="2046"/>
      <c r="BL130" s="2046"/>
      <c r="BM130" s="2047"/>
      <c r="BN130" s="2047"/>
      <c r="BO130" s="2047"/>
      <c r="BP130" s="2047"/>
      <c r="BQ130" s="2047"/>
      <c r="BR130" s="2047"/>
      <c r="BS130" s="2047"/>
      <c r="BT130" s="2047"/>
      <c r="BU130" s="2047"/>
      <c r="BV130" s="2047"/>
      <c r="BW130" s="2047"/>
      <c r="BX130" s="2047"/>
      <c r="BY130" s="2047"/>
      <c r="BZ130" s="2047"/>
      <c r="CA130" s="2047"/>
      <c r="CB130" s="2047"/>
    </row>
    <row r="131" spans="1:80">
      <c r="A131" s="2047"/>
      <c r="C131" s="2046"/>
      <c r="D131" s="2046"/>
      <c r="E131" s="2046"/>
      <c r="F131" s="2046"/>
      <c r="G131" s="2046"/>
      <c r="H131" s="2046"/>
      <c r="I131" s="2046"/>
      <c r="J131" s="2046"/>
      <c r="K131" s="2046"/>
      <c r="L131" s="2046"/>
      <c r="M131" s="2046"/>
      <c r="N131" s="2046"/>
      <c r="O131" s="2046"/>
      <c r="P131" s="2046"/>
      <c r="Q131" s="2046"/>
      <c r="R131" s="2046"/>
      <c r="S131" s="2046"/>
      <c r="T131" s="2046"/>
      <c r="U131" s="2046"/>
      <c r="V131" s="2046"/>
      <c r="W131" s="2046"/>
      <c r="X131" s="2046"/>
      <c r="Y131" s="2046"/>
      <c r="Z131" s="2046"/>
      <c r="AA131" s="2046"/>
      <c r="AB131" s="2046"/>
      <c r="AC131" s="2046"/>
      <c r="AD131" s="2046"/>
      <c r="AE131" s="2046"/>
      <c r="AF131" s="2046"/>
      <c r="AG131" s="2046"/>
      <c r="AH131" s="2046"/>
      <c r="AI131" s="2046"/>
      <c r="AJ131" s="2046"/>
      <c r="AK131" s="2046"/>
      <c r="AL131" s="2046"/>
      <c r="AM131" s="2046"/>
      <c r="AN131" s="2046"/>
      <c r="AO131" s="2046"/>
      <c r="AP131" s="2046"/>
      <c r="AQ131" s="2046"/>
      <c r="AR131" s="2046"/>
      <c r="AS131" s="2046"/>
      <c r="AT131" s="2046"/>
      <c r="AU131" s="2046"/>
      <c r="AV131" s="2046"/>
      <c r="AW131" s="2046"/>
      <c r="AX131" s="2046"/>
      <c r="AY131" s="2046"/>
      <c r="AZ131" s="2046"/>
      <c r="BA131" s="2046"/>
      <c r="BB131" s="2046"/>
      <c r="BC131" s="2046"/>
      <c r="BD131" s="2046"/>
      <c r="BE131" s="2046"/>
      <c r="BF131" s="2046"/>
      <c r="BG131" s="2046"/>
      <c r="BH131" s="2046"/>
      <c r="BI131" s="2046"/>
      <c r="BJ131" s="2046"/>
      <c r="BK131" s="2046"/>
      <c r="BL131" s="2046"/>
      <c r="BM131" s="2047"/>
      <c r="BN131" s="2047"/>
      <c r="BO131" s="2047"/>
      <c r="BP131" s="2047"/>
      <c r="BQ131" s="2047"/>
      <c r="BR131" s="2047"/>
      <c r="BS131" s="2047"/>
      <c r="BT131" s="2047"/>
      <c r="BU131" s="2047"/>
      <c r="BV131" s="2047"/>
      <c r="BW131" s="2047"/>
      <c r="BX131" s="2047"/>
      <c r="BY131" s="2047"/>
      <c r="BZ131" s="2047"/>
      <c r="CA131" s="2047"/>
      <c r="CB131" s="2047"/>
    </row>
    <row r="132" spans="1:80">
      <c r="A132" s="2047"/>
      <c r="C132" s="2046"/>
      <c r="D132" s="2046"/>
      <c r="E132" s="2046"/>
      <c r="F132" s="2046"/>
      <c r="G132" s="2046"/>
      <c r="H132" s="2046"/>
      <c r="I132" s="2046"/>
      <c r="J132" s="2046"/>
      <c r="K132" s="2046"/>
      <c r="L132" s="2046"/>
      <c r="M132" s="2046"/>
      <c r="N132" s="2046"/>
      <c r="O132" s="2046"/>
      <c r="P132" s="2046"/>
      <c r="Q132" s="2046"/>
      <c r="R132" s="2046"/>
      <c r="S132" s="2046"/>
      <c r="T132" s="2046"/>
      <c r="U132" s="2046"/>
      <c r="V132" s="2046"/>
      <c r="W132" s="2046"/>
      <c r="X132" s="2046"/>
      <c r="Y132" s="2046"/>
      <c r="Z132" s="2046"/>
      <c r="AA132" s="2046"/>
      <c r="AB132" s="2046"/>
      <c r="AC132" s="2046"/>
      <c r="AD132" s="2046"/>
      <c r="AE132" s="2046"/>
      <c r="AF132" s="2046"/>
      <c r="AG132" s="2046"/>
      <c r="AH132" s="2046"/>
      <c r="AI132" s="2046"/>
      <c r="AJ132" s="2046"/>
      <c r="AK132" s="2046"/>
      <c r="AL132" s="2046"/>
      <c r="AM132" s="2046"/>
      <c r="AN132" s="2046"/>
      <c r="AO132" s="2046"/>
      <c r="AP132" s="2046"/>
      <c r="AQ132" s="2046"/>
      <c r="AR132" s="2046"/>
      <c r="AS132" s="2046"/>
      <c r="AT132" s="2046"/>
      <c r="AU132" s="2046"/>
      <c r="AV132" s="2046"/>
      <c r="AW132" s="2046"/>
      <c r="AX132" s="2046"/>
      <c r="AY132" s="2046"/>
      <c r="AZ132" s="2046"/>
      <c r="BA132" s="2046"/>
      <c r="BB132" s="2046"/>
      <c r="BC132" s="2046"/>
      <c r="BD132" s="2046"/>
      <c r="BE132" s="2046"/>
      <c r="BF132" s="2046"/>
      <c r="BG132" s="2046"/>
      <c r="BH132" s="2046"/>
      <c r="BI132" s="2046"/>
      <c r="BJ132" s="2046"/>
      <c r="BK132" s="2046"/>
      <c r="BL132" s="2046"/>
      <c r="BM132" s="2047"/>
      <c r="BN132" s="2047"/>
      <c r="BO132" s="2047"/>
      <c r="BP132" s="2047"/>
      <c r="BQ132" s="2047"/>
      <c r="BR132" s="2047"/>
      <c r="BS132" s="2047"/>
      <c r="BT132" s="2047"/>
      <c r="BU132" s="2047"/>
      <c r="BV132" s="2047"/>
      <c r="BW132" s="2047"/>
      <c r="BX132" s="2047"/>
      <c r="BY132" s="2047"/>
      <c r="BZ132" s="2047"/>
      <c r="CA132" s="2047"/>
      <c r="CB132" s="2047"/>
    </row>
    <row r="133" spans="1:80">
      <c r="A133" s="2047"/>
      <c r="C133" s="2046"/>
      <c r="D133" s="2046"/>
      <c r="E133" s="2046"/>
      <c r="F133" s="2046"/>
      <c r="G133" s="2046"/>
      <c r="H133" s="2046"/>
      <c r="I133" s="2046"/>
      <c r="J133" s="2046"/>
      <c r="K133" s="2046"/>
      <c r="L133" s="2046"/>
      <c r="M133" s="2046"/>
      <c r="N133" s="2046"/>
      <c r="O133" s="2046"/>
      <c r="P133" s="2046"/>
      <c r="Q133" s="2046"/>
      <c r="R133" s="2046"/>
      <c r="S133" s="2046"/>
      <c r="T133" s="2046"/>
      <c r="U133" s="2046"/>
      <c r="V133" s="2046"/>
      <c r="W133" s="2046"/>
      <c r="X133" s="2046"/>
      <c r="Y133" s="2046"/>
      <c r="Z133" s="2046"/>
      <c r="AA133" s="2046"/>
      <c r="AB133" s="2046"/>
      <c r="AC133" s="2046"/>
      <c r="AD133" s="2046"/>
      <c r="AE133" s="2046"/>
      <c r="AF133" s="2046"/>
      <c r="AG133" s="2046"/>
      <c r="AH133" s="2046"/>
      <c r="AI133" s="2046"/>
      <c r="AJ133" s="2046"/>
      <c r="AK133" s="2046"/>
      <c r="AL133" s="2046"/>
      <c r="AM133" s="2046"/>
      <c r="AN133" s="2046"/>
      <c r="AO133" s="2046"/>
      <c r="AP133" s="2046"/>
      <c r="AQ133" s="2046"/>
      <c r="AR133" s="2046"/>
      <c r="AS133" s="2046"/>
      <c r="AT133" s="2046"/>
      <c r="AU133" s="2046"/>
      <c r="AV133" s="2046"/>
      <c r="AW133" s="2046"/>
      <c r="AX133" s="2046"/>
      <c r="AY133" s="2046"/>
      <c r="AZ133" s="2046"/>
      <c r="BA133" s="2046"/>
      <c r="BB133" s="2046"/>
      <c r="BC133" s="2046"/>
      <c r="BD133" s="2046"/>
      <c r="BE133" s="2046"/>
      <c r="BF133" s="2046"/>
      <c r="BG133" s="2046"/>
      <c r="BH133" s="2046"/>
      <c r="BI133" s="2046"/>
      <c r="BJ133" s="2046"/>
      <c r="BK133" s="2046"/>
      <c r="BL133" s="2046"/>
      <c r="BM133" s="2047"/>
      <c r="BN133" s="2047"/>
      <c r="BO133" s="2047"/>
      <c r="BP133" s="2047"/>
      <c r="BQ133" s="2047"/>
      <c r="BR133" s="2047"/>
      <c r="BS133" s="2047"/>
      <c r="BT133" s="2047"/>
      <c r="BU133" s="2047"/>
      <c r="BV133" s="2047"/>
      <c r="BW133" s="2047"/>
      <c r="BX133" s="2047"/>
      <c r="BY133" s="2047"/>
      <c r="BZ133" s="2047"/>
      <c r="CA133" s="2047"/>
      <c r="CB133" s="2047"/>
    </row>
    <row r="134" spans="1:80">
      <c r="A134" s="2047"/>
      <c r="C134" s="2046"/>
      <c r="D134" s="2046"/>
      <c r="E134" s="2046"/>
      <c r="F134" s="2046"/>
      <c r="G134" s="2046"/>
      <c r="H134" s="2046"/>
      <c r="I134" s="2046"/>
      <c r="J134" s="2046"/>
      <c r="K134" s="2046"/>
      <c r="L134" s="2046"/>
      <c r="M134" s="2046"/>
      <c r="N134" s="2046"/>
      <c r="O134" s="2046"/>
      <c r="P134" s="2046"/>
      <c r="Q134" s="2046"/>
      <c r="R134" s="2046"/>
      <c r="S134" s="2046"/>
      <c r="T134" s="2046"/>
      <c r="U134" s="2046"/>
      <c r="V134" s="2046"/>
      <c r="W134" s="2046"/>
      <c r="X134" s="2046"/>
      <c r="Y134" s="2046"/>
      <c r="Z134" s="2046"/>
      <c r="AA134" s="2046"/>
      <c r="AB134" s="2046"/>
      <c r="AC134" s="2046"/>
      <c r="AD134" s="2046"/>
      <c r="AE134" s="2046"/>
      <c r="AF134" s="2046"/>
      <c r="AG134" s="2046"/>
      <c r="AH134" s="2046"/>
      <c r="AI134" s="2046"/>
      <c r="AJ134" s="2046"/>
      <c r="AK134" s="2046"/>
      <c r="AL134" s="2046"/>
      <c r="AM134" s="2046"/>
      <c r="AN134" s="2046"/>
      <c r="AO134" s="2046"/>
      <c r="AP134" s="2046"/>
      <c r="AQ134" s="2046"/>
      <c r="AR134" s="2046"/>
      <c r="AS134" s="2046"/>
      <c r="AT134" s="2046"/>
      <c r="AU134" s="2046"/>
      <c r="AV134" s="2046"/>
      <c r="AW134" s="2046"/>
      <c r="AX134" s="2046"/>
      <c r="AY134" s="2046"/>
      <c r="AZ134" s="2046"/>
      <c r="BA134" s="2046"/>
      <c r="BB134" s="2046"/>
      <c r="BC134" s="2046"/>
      <c r="BD134" s="2046"/>
      <c r="BE134" s="2046"/>
      <c r="BF134" s="2046"/>
      <c r="BG134" s="2046"/>
      <c r="BH134" s="2046"/>
      <c r="BI134" s="2046"/>
      <c r="BJ134" s="2046"/>
      <c r="BK134" s="2046"/>
      <c r="BL134" s="2046"/>
      <c r="BM134" s="2047"/>
      <c r="BN134" s="2047"/>
      <c r="BO134" s="2047"/>
      <c r="BP134" s="2047"/>
      <c r="BQ134" s="2047"/>
      <c r="BR134" s="2047"/>
      <c r="BS134" s="2047"/>
      <c r="BT134" s="2047"/>
      <c r="BU134" s="2047"/>
      <c r="BV134" s="2047"/>
      <c r="BW134" s="2047"/>
      <c r="BX134" s="2047"/>
      <c r="BY134" s="2047"/>
      <c r="BZ134" s="2047"/>
      <c r="CA134" s="2047"/>
      <c r="CB134" s="2047"/>
    </row>
    <row r="135" spans="1:80">
      <c r="A135" s="2047"/>
      <c r="C135" s="2046"/>
      <c r="D135" s="2046"/>
      <c r="E135" s="2046"/>
      <c r="F135" s="2046"/>
      <c r="G135" s="2046"/>
      <c r="H135" s="2046"/>
      <c r="I135" s="2046"/>
      <c r="J135" s="2046"/>
      <c r="K135" s="2046"/>
      <c r="L135" s="2046"/>
      <c r="M135" s="2046"/>
      <c r="N135" s="2046"/>
      <c r="O135" s="2046"/>
      <c r="P135" s="2046"/>
      <c r="Q135" s="2046"/>
      <c r="R135" s="2046"/>
      <c r="S135" s="2046"/>
      <c r="T135" s="2046"/>
      <c r="U135" s="2046"/>
      <c r="V135" s="2046"/>
      <c r="W135" s="2046"/>
      <c r="X135" s="2046"/>
      <c r="Y135" s="2046"/>
      <c r="Z135" s="2046"/>
      <c r="AA135" s="2046"/>
      <c r="AB135" s="2046"/>
      <c r="AC135" s="2046"/>
      <c r="AD135" s="2046"/>
      <c r="AE135" s="2046"/>
      <c r="AF135" s="2046"/>
      <c r="AG135" s="2046"/>
      <c r="AH135" s="2046"/>
      <c r="AI135" s="2046"/>
      <c r="AJ135" s="2046"/>
      <c r="AK135" s="2046"/>
      <c r="AL135" s="2046"/>
      <c r="AM135" s="2046"/>
      <c r="AN135" s="2046"/>
      <c r="AO135" s="2046"/>
      <c r="AP135" s="2046"/>
      <c r="AQ135" s="2046"/>
      <c r="AR135" s="2046"/>
      <c r="AS135" s="2046"/>
      <c r="AT135" s="2046"/>
      <c r="AU135" s="2046"/>
      <c r="AV135" s="2046"/>
      <c r="AW135" s="2046"/>
      <c r="AX135" s="2046"/>
      <c r="AY135" s="2046"/>
      <c r="AZ135" s="2046"/>
      <c r="BA135" s="2046"/>
      <c r="BB135" s="2046"/>
      <c r="BC135" s="2046"/>
      <c r="BD135" s="2046"/>
      <c r="BE135" s="2046"/>
      <c r="BF135" s="2046"/>
      <c r="BG135" s="2046"/>
      <c r="BH135" s="2046"/>
      <c r="BI135" s="2046"/>
      <c r="BJ135" s="2046"/>
      <c r="BK135" s="2046"/>
      <c r="BL135" s="2046"/>
      <c r="BM135" s="2047"/>
      <c r="BN135" s="2047"/>
      <c r="BO135" s="2047"/>
      <c r="BP135" s="2047"/>
      <c r="BQ135" s="2047"/>
      <c r="BR135" s="2047"/>
      <c r="BS135" s="2047"/>
      <c r="BT135" s="2047"/>
      <c r="BU135" s="2047"/>
      <c r="BV135" s="2047"/>
      <c r="BW135" s="2047"/>
      <c r="BX135" s="2047"/>
      <c r="BY135" s="2047"/>
      <c r="BZ135" s="2047"/>
      <c r="CA135" s="2047"/>
      <c r="CB135" s="2047"/>
    </row>
    <row r="136" spans="1:80">
      <c r="A136" s="2047"/>
      <c r="C136" s="2046"/>
      <c r="D136" s="2046"/>
      <c r="E136" s="2046"/>
      <c r="F136" s="2046"/>
      <c r="G136" s="2046"/>
      <c r="H136" s="2046"/>
      <c r="I136" s="2046"/>
      <c r="J136" s="2046"/>
      <c r="K136" s="2046"/>
      <c r="L136" s="2046"/>
      <c r="M136" s="2046"/>
      <c r="N136" s="2046"/>
      <c r="O136" s="2046"/>
      <c r="P136" s="2046"/>
      <c r="Q136" s="2046"/>
      <c r="R136" s="2046"/>
      <c r="S136" s="2046"/>
      <c r="T136" s="2046"/>
      <c r="U136" s="2046"/>
      <c r="V136" s="2046"/>
      <c r="W136" s="2046"/>
      <c r="X136" s="2046"/>
      <c r="Y136" s="2046"/>
      <c r="Z136" s="2046"/>
      <c r="AA136" s="2046"/>
      <c r="AB136" s="2046"/>
      <c r="AC136" s="2046"/>
      <c r="AD136" s="2046"/>
      <c r="AE136" s="2046"/>
      <c r="AF136" s="2046"/>
      <c r="AG136" s="2046"/>
      <c r="AH136" s="2046"/>
      <c r="AI136" s="2046"/>
      <c r="AJ136" s="2046"/>
      <c r="AK136" s="2046"/>
      <c r="AL136" s="2046"/>
      <c r="AM136" s="2046"/>
      <c r="AN136" s="2046"/>
      <c r="AO136" s="2046"/>
      <c r="AP136" s="2046"/>
      <c r="AQ136" s="2046"/>
      <c r="AR136" s="2046"/>
      <c r="AS136" s="2046"/>
      <c r="AT136" s="2046"/>
      <c r="AU136" s="2046"/>
      <c r="AV136" s="2046"/>
      <c r="AW136" s="2046"/>
      <c r="AX136" s="2046"/>
      <c r="AY136" s="2046"/>
      <c r="AZ136" s="2046"/>
      <c r="BA136" s="2046"/>
      <c r="BB136" s="2046"/>
      <c r="BC136" s="2046"/>
      <c r="BD136" s="2046"/>
      <c r="BE136" s="2046"/>
      <c r="BF136" s="2046"/>
      <c r="BG136" s="2046"/>
      <c r="BH136" s="2046"/>
      <c r="BI136" s="2046"/>
      <c r="BJ136" s="2046"/>
      <c r="BK136" s="2046"/>
      <c r="BL136" s="2046"/>
      <c r="BM136" s="2047"/>
      <c r="BN136" s="2047"/>
      <c r="BO136" s="2047"/>
      <c r="BP136" s="2047"/>
      <c r="BQ136" s="2047"/>
      <c r="BR136" s="2047"/>
      <c r="BS136" s="2047"/>
      <c r="BT136" s="2047"/>
      <c r="BU136" s="2047"/>
      <c r="BV136" s="2047"/>
      <c r="BW136" s="2047"/>
      <c r="BX136" s="2047"/>
      <c r="BY136" s="2047"/>
      <c r="BZ136" s="2047"/>
      <c r="CA136" s="2047"/>
      <c r="CB136" s="2047"/>
    </row>
    <row r="137" spans="1:80">
      <c r="A137" s="2047"/>
      <c r="C137" s="2046"/>
      <c r="D137" s="2046"/>
      <c r="E137" s="2046"/>
      <c r="F137" s="2046"/>
      <c r="G137" s="2046"/>
      <c r="H137" s="2046"/>
      <c r="I137" s="2046"/>
      <c r="J137" s="2046"/>
      <c r="K137" s="2046"/>
      <c r="L137" s="2046"/>
      <c r="M137" s="2046"/>
      <c r="N137" s="2046"/>
      <c r="O137" s="2046"/>
      <c r="P137" s="2046"/>
      <c r="Q137" s="2046"/>
      <c r="R137" s="2046"/>
      <c r="S137" s="2046"/>
      <c r="T137" s="2046"/>
      <c r="U137" s="2046"/>
      <c r="V137" s="2046"/>
      <c r="W137" s="2046"/>
      <c r="X137" s="2046"/>
      <c r="Y137" s="2046"/>
      <c r="Z137" s="2046"/>
      <c r="AA137" s="2046"/>
      <c r="AB137" s="2046"/>
      <c r="AC137" s="2046"/>
      <c r="AD137" s="2046"/>
      <c r="AE137" s="2046"/>
      <c r="AF137" s="2046"/>
      <c r="AG137" s="2046"/>
      <c r="AH137" s="2046"/>
      <c r="AI137" s="2046"/>
      <c r="AJ137" s="2046"/>
      <c r="AK137" s="2046"/>
      <c r="AL137" s="2046"/>
      <c r="AM137" s="2046"/>
      <c r="AN137" s="2046"/>
      <c r="AO137" s="2046"/>
      <c r="AP137" s="2046"/>
      <c r="AQ137" s="2046"/>
      <c r="AR137" s="2046"/>
      <c r="AS137" s="2046"/>
      <c r="AT137" s="2046"/>
      <c r="AU137" s="2046"/>
      <c r="AV137" s="2046"/>
      <c r="AW137" s="2046"/>
      <c r="AX137" s="2046"/>
      <c r="AY137" s="2046"/>
      <c r="AZ137" s="2046"/>
      <c r="BA137" s="2046"/>
      <c r="BB137" s="2046"/>
      <c r="BC137" s="2046"/>
      <c r="BD137" s="2046"/>
      <c r="BE137" s="2046"/>
      <c r="BF137" s="2046"/>
      <c r="BG137" s="2046"/>
      <c r="BH137" s="2046"/>
      <c r="BI137" s="2046"/>
      <c r="BJ137" s="2046"/>
      <c r="BK137" s="2046"/>
      <c r="BL137" s="2046"/>
      <c r="BM137" s="2047"/>
      <c r="BN137" s="2047"/>
      <c r="BO137" s="2047"/>
      <c r="BP137" s="2047"/>
      <c r="BQ137" s="2047"/>
      <c r="BR137" s="2047"/>
      <c r="BS137" s="2047"/>
      <c r="BT137" s="2047"/>
      <c r="BU137" s="2047"/>
      <c r="BV137" s="2047"/>
      <c r="BW137" s="2047"/>
      <c r="BX137" s="2047"/>
      <c r="BY137" s="2047"/>
      <c r="BZ137" s="2047"/>
      <c r="CA137" s="2047"/>
      <c r="CB137" s="2047"/>
    </row>
    <row r="138" spans="1:80">
      <c r="A138" s="2047"/>
      <c r="C138" s="2046"/>
      <c r="D138" s="2046"/>
      <c r="E138" s="2046"/>
      <c r="F138" s="2046"/>
      <c r="G138" s="2046"/>
      <c r="H138" s="2046"/>
      <c r="I138" s="2046"/>
      <c r="J138" s="2046"/>
      <c r="K138" s="2046"/>
      <c r="L138" s="2046"/>
      <c r="M138" s="2046"/>
      <c r="N138" s="2046"/>
      <c r="O138" s="2046"/>
      <c r="P138" s="2046"/>
      <c r="Q138" s="2046"/>
      <c r="R138" s="2046"/>
      <c r="S138" s="2046"/>
      <c r="T138" s="2046"/>
      <c r="U138" s="2046"/>
      <c r="V138" s="2046"/>
      <c r="W138" s="2046"/>
      <c r="X138" s="2046"/>
      <c r="Y138" s="2046"/>
      <c r="Z138" s="2046"/>
      <c r="AA138" s="2046"/>
      <c r="AB138" s="2046"/>
      <c r="AC138" s="2046"/>
      <c r="AD138" s="2046"/>
      <c r="AE138" s="2046"/>
      <c r="AF138" s="2046"/>
      <c r="AG138" s="2046"/>
      <c r="AH138" s="2046"/>
      <c r="AI138" s="2046"/>
      <c r="AJ138" s="2046"/>
      <c r="AK138" s="2046"/>
      <c r="AL138" s="2046"/>
      <c r="AM138" s="2046"/>
      <c r="AN138" s="2046"/>
      <c r="AO138" s="2046"/>
      <c r="AP138" s="2046"/>
      <c r="AQ138" s="2046"/>
      <c r="AR138" s="2046"/>
      <c r="AS138" s="2046"/>
      <c r="AT138" s="2046"/>
      <c r="AU138" s="2046"/>
      <c r="AV138" s="2046"/>
      <c r="AW138" s="2046"/>
      <c r="AX138" s="2046"/>
      <c r="AY138" s="2046"/>
      <c r="AZ138" s="2046"/>
      <c r="BA138" s="2046"/>
      <c r="BB138" s="2046"/>
      <c r="BC138" s="2046"/>
      <c r="BD138" s="2046"/>
      <c r="BE138" s="2046"/>
      <c r="BF138" s="2046"/>
      <c r="BG138" s="2046"/>
      <c r="BH138" s="2046"/>
      <c r="BI138" s="2046"/>
      <c r="BJ138" s="2046"/>
      <c r="BK138" s="2046"/>
      <c r="BL138" s="2046"/>
      <c r="BM138" s="2047"/>
      <c r="BN138" s="2047"/>
      <c r="BO138" s="2047"/>
      <c r="BP138" s="2047"/>
      <c r="BQ138" s="2047"/>
      <c r="BR138" s="2047"/>
      <c r="BS138" s="2047"/>
      <c r="BT138" s="2047"/>
      <c r="BU138" s="2047"/>
      <c r="BV138" s="2047"/>
      <c r="BW138" s="2047"/>
      <c r="BX138" s="2047"/>
      <c r="BY138" s="2047"/>
      <c r="BZ138" s="2047"/>
      <c r="CA138" s="2047"/>
      <c r="CB138" s="2047"/>
    </row>
    <row r="139" spans="1:80">
      <c r="A139" s="2047"/>
      <c r="C139" s="2046"/>
      <c r="D139" s="2046"/>
      <c r="E139" s="2046"/>
      <c r="F139" s="2046"/>
      <c r="G139" s="2046"/>
      <c r="H139" s="2046"/>
      <c r="I139" s="2046"/>
      <c r="J139" s="2046"/>
      <c r="K139" s="2046"/>
      <c r="L139" s="2046"/>
      <c r="M139" s="2046"/>
      <c r="N139" s="2046"/>
      <c r="O139" s="2046"/>
      <c r="P139" s="2046"/>
      <c r="Q139" s="2046"/>
      <c r="R139" s="2046"/>
      <c r="S139" s="2046"/>
      <c r="T139" s="2046"/>
      <c r="U139" s="2046"/>
      <c r="V139" s="2046"/>
      <c r="W139" s="2046"/>
      <c r="X139" s="2046"/>
      <c r="Y139" s="2046"/>
      <c r="Z139" s="2046"/>
      <c r="AA139" s="2046"/>
      <c r="AB139" s="2046"/>
      <c r="AC139" s="2046"/>
      <c r="AD139" s="2046"/>
      <c r="AE139" s="2046"/>
      <c r="AF139" s="2046"/>
      <c r="AG139" s="2046"/>
      <c r="AH139" s="2046"/>
      <c r="AI139" s="2046"/>
      <c r="AJ139" s="2046"/>
      <c r="AK139" s="2046"/>
      <c r="AL139" s="2046"/>
      <c r="AM139" s="2046"/>
      <c r="AN139" s="2046"/>
      <c r="AO139" s="2046"/>
      <c r="AP139" s="2046"/>
      <c r="AQ139" s="2046"/>
      <c r="AR139" s="2046"/>
      <c r="AS139" s="2046"/>
      <c r="AT139" s="2046"/>
      <c r="AU139" s="2046"/>
      <c r="AV139" s="2046"/>
      <c r="AW139" s="2046"/>
      <c r="AX139" s="2046"/>
      <c r="AY139" s="2046"/>
      <c r="AZ139" s="2046"/>
      <c r="BA139" s="2046"/>
      <c r="BB139" s="2046"/>
      <c r="BC139" s="2046"/>
      <c r="BD139" s="2046"/>
      <c r="BE139" s="2046"/>
      <c r="BF139" s="2046"/>
      <c r="BG139" s="2046"/>
      <c r="BH139" s="2046"/>
      <c r="BI139" s="2046"/>
      <c r="BJ139" s="2046"/>
      <c r="BK139" s="2046"/>
      <c r="BL139" s="2046"/>
      <c r="BM139" s="2047"/>
      <c r="BN139" s="2047"/>
      <c r="BO139" s="2047"/>
      <c r="BP139" s="2047"/>
      <c r="BQ139" s="2047"/>
      <c r="BR139" s="2047"/>
      <c r="BS139" s="2047"/>
      <c r="BT139" s="2047"/>
      <c r="BU139" s="2047"/>
      <c r="BV139" s="2047"/>
      <c r="BW139" s="2047"/>
      <c r="BX139" s="2047"/>
      <c r="BY139" s="2047"/>
      <c r="BZ139" s="2047"/>
      <c r="CA139" s="2047"/>
      <c r="CB139" s="2047"/>
    </row>
    <row r="140" spans="1:80">
      <c r="A140" s="2047"/>
      <c r="C140" s="2046"/>
      <c r="D140" s="2046"/>
      <c r="E140" s="2046"/>
      <c r="F140" s="2046"/>
      <c r="G140" s="2046"/>
      <c r="H140" s="2046"/>
      <c r="I140" s="2046"/>
      <c r="J140" s="2046"/>
      <c r="K140" s="2046"/>
      <c r="L140" s="2046"/>
      <c r="M140" s="2046"/>
      <c r="N140" s="2046"/>
      <c r="O140" s="2046"/>
      <c r="P140" s="2046"/>
      <c r="Q140" s="2046"/>
      <c r="R140" s="2046"/>
      <c r="S140" s="2046"/>
      <c r="T140" s="2046"/>
      <c r="U140" s="2046"/>
      <c r="V140" s="2046"/>
      <c r="W140" s="2046"/>
      <c r="X140" s="2046"/>
      <c r="Y140" s="2046"/>
      <c r="Z140" s="2046"/>
      <c r="AA140" s="2046"/>
      <c r="AB140" s="2046"/>
      <c r="AC140" s="2046"/>
      <c r="AD140" s="2046"/>
      <c r="AE140" s="2046"/>
      <c r="AF140" s="2046"/>
      <c r="AG140" s="2046"/>
      <c r="AH140" s="2046"/>
      <c r="AI140" s="2046"/>
      <c r="AJ140" s="2046"/>
      <c r="AK140" s="2046"/>
      <c r="AL140" s="2046"/>
      <c r="AM140" s="2046"/>
      <c r="AN140" s="2046"/>
      <c r="AO140" s="2046"/>
      <c r="AP140" s="2046"/>
      <c r="AQ140" s="2046"/>
      <c r="AR140" s="2046"/>
      <c r="AS140" s="2046"/>
      <c r="AT140" s="2046"/>
      <c r="AU140" s="2046"/>
      <c r="AV140" s="2046"/>
      <c r="AW140" s="2046"/>
      <c r="AX140" s="2046"/>
      <c r="AY140" s="2046"/>
      <c r="AZ140" s="2046"/>
      <c r="BA140" s="2046"/>
      <c r="BB140" s="2046"/>
      <c r="BC140" s="2046"/>
      <c r="BD140" s="2046"/>
      <c r="BE140" s="2046"/>
      <c r="BF140" s="2046"/>
      <c r="BG140" s="2046"/>
      <c r="BH140" s="2046"/>
      <c r="BI140" s="2046"/>
      <c r="BJ140" s="2046"/>
      <c r="BK140" s="2046"/>
      <c r="BL140" s="2046"/>
      <c r="BM140" s="2047"/>
      <c r="BN140" s="2047"/>
      <c r="BO140" s="2047"/>
      <c r="BP140" s="2047"/>
      <c r="BQ140" s="2047"/>
      <c r="BR140" s="2047"/>
      <c r="BS140" s="2047"/>
      <c r="BT140" s="2047"/>
      <c r="BU140" s="2047"/>
      <c r="BV140" s="2047"/>
      <c r="BW140" s="2047"/>
      <c r="BX140" s="2047"/>
      <c r="BY140" s="2047"/>
      <c r="BZ140" s="2047"/>
      <c r="CA140" s="2047"/>
      <c r="CB140" s="2047"/>
    </row>
    <row r="141" spans="1:80">
      <c r="A141" s="2047"/>
      <c r="C141" s="2046"/>
      <c r="D141" s="2046"/>
      <c r="E141" s="2046"/>
      <c r="F141" s="2046"/>
      <c r="G141" s="2046"/>
      <c r="H141" s="2046"/>
      <c r="I141" s="2046"/>
      <c r="J141" s="2046"/>
      <c r="K141" s="2046"/>
      <c r="L141" s="2046"/>
      <c r="M141" s="2046"/>
      <c r="N141" s="2046"/>
      <c r="O141" s="2046"/>
      <c r="P141" s="2046"/>
      <c r="Q141" s="2046"/>
      <c r="R141" s="2046"/>
      <c r="S141" s="2046"/>
      <c r="T141" s="2046"/>
      <c r="U141" s="2046"/>
      <c r="V141" s="2046"/>
      <c r="W141" s="2046"/>
      <c r="X141" s="2046"/>
      <c r="Y141" s="2046"/>
      <c r="Z141" s="2046"/>
      <c r="AA141" s="2046"/>
      <c r="AB141" s="2046"/>
      <c r="AC141" s="2046"/>
      <c r="AD141" s="2046"/>
      <c r="AE141" s="2046"/>
      <c r="AF141" s="2046"/>
      <c r="AG141" s="2046"/>
      <c r="AH141" s="2046"/>
      <c r="AI141" s="2046"/>
      <c r="AJ141" s="2046"/>
      <c r="AK141" s="2046"/>
      <c r="AL141" s="2046"/>
      <c r="AM141" s="2046"/>
      <c r="AN141" s="2046"/>
      <c r="AO141" s="2046"/>
      <c r="AP141" s="2046"/>
      <c r="AQ141" s="2046"/>
      <c r="AR141" s="2046"/>
      <c r="AS141" s="2046"/>
      <c r="AT141" s="2046"/>
      <c r="AU141" s="2046"/>
      <c r="AV141" s="2046"/>
      <c r="AW141" s="2046"/>
      <c r="AX141" s="2046"/>
      <c r="AY141" s="2046"/>
      <c r="AZ141" s="2046"/>
      <c r="BA141" s="2046"/>
      <c r="BB141" s="2046"/>
      <c r="BC141" s="2046"/>
      <c r="BD141" s="2046"/>
      <c r="BE141" s="2046"/>
      <c r="BF141" s="2046"/>
      <c r="BG141" s="2046"/>
      <c r="BH141" s="2046"/>
      <c r="BI141" s="2046"/>
      <c r="BJ141" s="2046"/>
      <c r="BK141" s="2046"/>
      <c r="BL141" s="2046"/>
      <c r="BM141" s="2047"/>
      <c r="BN141" s="2047"/>
      <c r="BO141" s="2047"/>
      <c r="BP141" s="2047"/>
      <c r="BQ141" s="2047"/>
      <c r="BR141" s="2047"/>
      <c r="BS141" s="2047"/>
      <c r="BT141" s="2047"/>
      <c r="BU141" s="2047"/>
      <c r="BV141" s="2047"/>
      <c r="BW141" s="2047"/>
      <c r="BX141" s="2047"/>
      <c r="BY141" s="2047"/>
      <c r="BZ141" s="2047"/>
      <c r="CA141" s="2047"/>
      <c r="CB141" s="2047"/>
    </row>
    <row r="142" spans="1:80">
      <c r="A142" s="2047"/>
      <c r="C142" s="2046"/>
      <c r="D142" s="2046"/>
      <c r="E142" s="2046"/>
      <c r="F142" s="2046"/>
      <c r="G142" s="2046"/>
      <c r="H142" s="2046"/>
      <c r="I142" s="2046"/>
      <c r="J142" s="2046"/>
      <c r="K142" s="2046"/>
      <c r="L142" s="2046"/>
      <c r="M142" s="2046"/>
      <c r="N142" s="2046"/>
      <c r="O142" s="2046"/>
      <c r="P142" s="2046"/>
      <c r="Q142" s="2046"/>
      <c r="R142" s="2046"/>
      <c r="S142" s="2046"/>
      <c r="T142" s="2046"/>
      <c r="U142" s="2046"/>
      <c r="V142" s="2046"/>
      <c r="W142" s="2046"/>
      <c r="X142" s="2046"/>
      <c r="Y142" s="2046"/>
      <c r="Z142" s="2046"/>
      <c r="AA142" s="2046"/>
      <c r="AB142" s="2046"/>
      <c r="AC142" s="2046"/>
      <c r="AD142" s="2046"/>
      <c r="AE142" s="2046"/>
      <c r="AF142" s="2046"/>
      <c r="AG142" s="2046"/>
      <c r="AH142" s="2046"/>
      <c r="AI142" s="2046"/>
      <c r="AJ142" s="2046"/>
      <c r="AK142" s="2046"/>
      <c r="AL142" s="2046"/>
      <c r="AM142" s="2046"/>
      <c r="AN142" s="2046"/>
      <c r="AO142" s="2046"/>
      <c r="AP142" s="2046"/>
      <c r="AQ142" s="2046"/>
      <c r="AR142" s="2046"/>
      <c r="AS142" s="2046"/>
      <c r="AT142" s="2046"/>
      <c r="AU142" s="2046"/>
      <c r="AV142" s="2046"/>
      <c r="AW142" s="2046"/>
      <c r="AX142" s="2046"/>
      <c r="AY142" s="2046"/>
      <c r="AZ142" s="2046"/>
      <c r="BA142" s="2046"/>
      <c r="BB142" s="2046"/>
      <c r="BC142" s="2046"/>
      <c r="BD142" s="2046"/>
      <c r="BE142" s="2046"/>
      <c r="BF142" s="2046"/>
      <c r="BG142" s="2046"/>
      <c r="BH142" s="2046"/>
      <c r="BI142" s="2046"/>
      <c r="BJ142" s="2046"/>
      <c r="BK142" s="2046"/>
      <c r="BL142" s="2046"/>
      <c r="BM142" s="2047"/>
      <c r="BN142" s="2047"/>
      <c r="BO142" s="2047"/>
      <c r="BP142" s="2047"/>
      <c r="BQ142" s="2047"/>
      <c r="BR142" s="2047"/>
      <c r="BS142" s="2047"/>
      <c r="BT142" s="2047"/>
      <c r="BU142" s="2047"/>
      <c r="BV142" s="2047"/>
      <c r="BW142" s="2047"/>
      <c r="BX142" s="2047"/>
      <c r="BY142" s="2047"/>
      <c r="BZ142" s="2047"/>
      <c r="CA142" s="2047"/>
      <c r="CB142" s="2047"/>
    </row>
    <row r="143" spans="1:80">
      <c r="A143" s="2047"/>
      <c r="C143" s="2046"/>
      <c r="D143" s="2046"/>
      <c r="E143" s="2046"/>
      <c r="F143" s="2046"/>
      <c r="G143" s="2046"/>
      <c r="H143" s="2046"/>
      <c r="I143" s="2046"/>
      <c r="J143" s="2046"/>
      <c r="K143" s="2046"/>
      <c r="L143" s="2046"/>
      <c r="M143" s="2046"/>
      <c r="N143" s="2046"/>
      <c r="O143" s="2046"/>
      <c r="P143" s="2046"/>
      <c r="Q143" s="2046"/>
      <c r="R143" s="2046"/>
      <c r="S143" s="2046"/>
      <c r="T143" s="2046"/>
      <c r="U143" s="2046"/>
      <c r="V143" s="2046"/>
      <c r="W143" s="2046"/>
      <c r="X143" s="2046"/>
      <c r="Y143" s="2046"/>
      <c r="Z143" s="2046"/>
      <c r="AA143" s="2046"/>
      <c r="AB143" s="2046"/>
      <c r="AC143" s="2046"/>
      <c r="AD143" s="2046"/>
      <c r="AE143" s="2046"/>
      <c r="AF143" s="2046"/>
      <c r="AG143" s="2046"/>
      <c r="AH143" s="2046"/>
      <c r="AI143" s="2046"/>
      <c r="AJ143" s="2046"/>
      <c r="AK143" s="2046"/>
      <c r="AL143" s="2046"/>
      <c r="AM143" s="2046"/>
      <c r="AN143" s="2046"/>
      <c r="AO143" s="2046"/>
      <c r="AP143" s="2046"/>
      <c r="AQ143" s="2046"/>
      <c r="AR143" s="2046"/>
      <c r="AS143" s="2046"/>
      <c r="AT143" s="2046"/>
      <c r="AU143" s="2046"/>
      <c r="AV143" s="2046"/>
      <c r="AW143" s="2046"/>
      <c r="AX143" s="2046"/>
      <c r="AY143" s="2046"/>
      <c r="AZ143" s="2046"/>
      <c r="BA143" s="2046"/>
      <c r="BB143" s="2046"/>
      <c r="BC143" s="2046"/>
      <c r="BD143" s="2046"/>
      <c r="BE143" s="2046"/>
      <c r="BF143" s="2046"/>
      <c r="BG143" s="2046"/>
      <c r="BH143" s="2046"/>
      <c r="BI143" s="2046"/>
      <c r="BJ143" s="2046"/>
      <c r="BK143" s="2046"/>
      <c r="BL143" s="2046"/>
      <c r="BM143" s="2047"/>
      <c r="BN143" s="2047"/>
      <c r="BO143" s="2047"/>
      <c r="BP143" s="2047"/>
      <c r="BQ143" s="2047"/>
      <c r="BR143" s="2047"/>
      <c r="BS143" s="2047"/>
      <c r="BT143" s="2047"/>
      <c r="BU143" s="2047"/>
      <c r="BV143" s="2047"/>
      <c r="BW143" s="2047"/>
      <c r="BX143" s="2047"/>
      <c r="BY143" s="2047"/>
      <c r="BZ143" s="2047"/>
      <c r="CA143" s="2047"/>
      <c r="CB143" s="2047"/>
    </row>
    <row r="144" spans="1:80">
      <c r="A144" s="2047"/>
      <c r="C144" s="2046"/>
      <c r="D144" s="2046"/>
      <c r="E144" s="2046"/>
      <c r="F144" s="2046"/>
      <c r="G144" s="2046"/>
      <c r="H144" s="2046"/>
      <c r="I144" s="2046"/>
      <c r="J144" s="2046"/>
      <c r="K144" s="2046"/>
      <c r="L144" s="2046"/>
      <c r="M144" s="2046"/>
      <c r="N144" s="2046"/>
      <c r="O144" s="2046"/>
      <c r="P144" s="2046"/>
      <c r="Q144" s="2046"/>
      <c r="R144" s="2046"/>
      <c r="S144" s="2046"/>
      <c r="T144" s="2046"/>
      <c r="U144" s="2046"/>
      <c r="V144" s="2046"/>
      <c r="W144" s="2046"/>
      <c r="X144" s="2046"/>
      <c r="Y144" s="2046"/>
      <c r="Z144" s="2046"/>
      <c r="AA144" s="2046"/>
      <c r="AB144" s="2046"/>
      <c r="AC144" s="2046"/>
      <c r="AD144" s="2046"/>
      <c r="AE144" s="2046"/>
      <c r="AF144" s="2046"/>
      <c r="AG144" s="2046"/>
      <c r="AH144" s="2046"/>
      <c r="AI144" s="2046"/>
      <c r="AJ144" s="2046"/>
      <c r="AK144" s="2046"/>
      <c r="AL144" s="2046"/>
      <c r="AM144" s="2046"/>
      <c r="AN144" s="2046"/>
      <c r="AO144" s="2046"/>
      <c r="AP144" s="2046"/>
      <c r="AQ144" s="2046"/>
      <c r="AR144" s="2046"/>
      <c r="AS144" s="2046"/>
      <c r="AT144" s="2046"/>
      <c r="AU144" s="2046"/>
      <c r="AV144" s="2046"/>
      <c r="AW144" s="2046"/>
      <c r="AX144" s="2046"/>
      <c r="AY144" s="2046"/>
      <c r="AZ144" s="2046"/>
      <c r="BA144" s="2046"/>
      <c r="BB144" s="2046"/>
      <c r="BC144" s="2046"/>
      <c r="BD144" s="2046"/>
      <c r="BE144" s="2046"/>
      <c r="BF144" s="2046"/>
      <c r="BG144" s="2046"/>
      <c r="BH144" s="2046"/>
      <c r="BI144" s="2046"/>
      <c r="BJ144" s="2046"/>
      <c r="BK144" s="2046"/>
      <c r="BL144" s="2046"/>
      <c r="BM144" s="2047"/>
      <c r="BN144" s="2047"/>
      <c r="BO144" s="2047"/>
      <c r="BP144" s="2047"/>
      <c r="BQ144" s="2047"/>
      <c r="BR144" s="2047"/>
      <c r="BS144" s="2047"/>
      <c r="BT144" s="2047"/>
      <c r="BU144" s="2047"/>
      <c r="BV144" s="2047"/>
      <c r="BW144" s="2047"/>
      <c r="BX144" s="2047"/>
      <c r="BY144" s="2047"/>
      <c r="BZ144" s="2047"/>
      <c r="CA144" s="2047"/>
      <c r="CB144" s="2047"/>
    </row>
    <row r="145" spans="1:80">
      <c r="A145" s="2047"/>
      <c r="C145" s="2046"/>
      <c r="D145" s="2046"/>
      <c r="E145" s="2046"/>
      <c r="F145" s="2046"/>
      <c r="G145" s="2046"/>
      <c r="H145" s="2046"/>
      <c r="I145" s="2046"/>
      <c r="J145" s="2046"/>
      <c r="K145" s="2046"/>
      <c r="L145" s="2046"/>
      <c r="M145" s="2046"/>
      <c r="N145" s="2046"/>
      <c r="O145" s="2046"/>
      <c r="P145" s="2046"/>
      <c r="Q145" s="2046"/>
      <c r="R145" s="2046"/>
      <c r="S145" s="2046"/>
      <c r="T145" s="2046"/>
      <c r="U145" s="2046"/>
      <c r="V145" s="2046"/>
      <c r="W145" s="2046"/>
      <c r="X145" s="2046"/>
      <c r="Y145" s="2046"/>
      <c r="Z145" s="2046"/>
      <c r="AA145" s="2046"/>
      <c r="AB145" s="2046"/>
      <c r="AC145" s="2046"/>
      <c r="AD145" s="2046"/>
      <c r="AE145" s="2046"/>
      <c r="AF145" s="2046"/>
      <c r="AG145" s="2046"/>
      <c r="AH145" s="2046"/>
      <c r="AI145" s="2046"/>
      <c r="AJ145" s="2046"/>
      <c r="AK145" s="2046"/>
      <c r="AL145" s="2046"/>
      <c r="AM145" s="2046"/>
      <c r="AN145" s="2046"/>
      <c r="AO145" s="2046"/>
      <c r="AP145" s="2046"/>
      <c r="AQ145" s="2046"/>
      <c r="AR145" s="2046"/>
      <c r="AS145" s="2046"/>
      <c r="AT145" s="2046"/>
      <c r="AU145" s="2046"/>
      <c r="AV145" s="2046"/>
      <c r="AW145" s="2046"/>
      <c r="AX145" s="2046"/>
      <c r="AY145" s="2046"/>
      <c r="AZ145" s="2046"/>
      <c r="BA145" s="2046"/>
      <c r="BB145" s="2046"/>
      <c r="BC145" s="2046"/>
      <c r="BD145" s="2046"/>
      <c r="BE145" s="2046"/>
      <c r="BF145" s="2046"/>
      <c r="BG145" s="2046"/>
      <c r="BH145" s="2046"/>
      <c r="BI145" s="2046"/>
      <c r="BJ145" s="2046"/>
      <c r="BK145" s="2046"/>
      <c r="BL145" s="2046"/>
      <c r="BM145" s="2047"/>
      <c r="BN145" s="2047"/>
      <c r="BO145" s="2047"/>
      <c r="BP145" s="2047"/>
      <c r="BQ145" s="2047"/>
      <c r="BR145" s="2047"/>
      <c r="BS145" s="2047"/>
      <c r="BT145" s="2047"/>
      <c r="BU145" s="2047"/>
      <c r="BV145" s="2047"/>
      <c r="BW145" s="2047"/>
      <c r="BX145" s="2047"/>
      <c r="BY145" s="2047"/>
      <c r="BZ145" s="2047"/>
      <c r="CA145" s="2047"/>
      <c r="CB145" s="2047"/>
    </row>
    <row r="146" spans="1:80">
      <c r="A146" s="2047"/>
      <c r="C146" s="2046"/>
      <c r="D146" s="2046"/>
      <c r="E146" s="2046"/>
      <c r="F146" s="2046"/>
      <c r="G146" s="2046"/>
      <c r="H146" s="2046"/>
      <c r="I146" s="2046"/>
      <c r="J146" s="2046"/>
      <c r="K146" s="2046"/>
      <c r="L146" s="2046"/>
      <c r="M146" s="2046"/>
      <c r="N146" s="2046"/>
      <c r="O146" s="2046"/>
      <c r="P146" s="2046"/>
      <c r="Q146" s="2046"/>
      <c r="R146" s="2046"/>
      <c r="S146" s="2046"/>
      <c r="T146" s="2046"/>
      <c r="U146" s="2046"/>
      <c r="V146" s="2046"/>
      <c r="W146" s="2046"/>
      <c r="X146" s="2046"/>
      <c r="Y146" s="2046"/>
      <c r="Z146" s="2046"/>
      <c r="AA146" s="2046"/>
      <c r="AB146" s="2046"/>
      <c r="AC146" s="2046"/>
      <c r="AD146" s="2046"/>
      <c r="AE146" s="2046"/>
      <c r="AF146" s="2046"/>
      <c r="AG146" s="2046"/>
      <c r="AH146" s="2046"/>
      <c r="AI146" s="2046"/>
      <c r="AJ146" s="2046"/>
      <c r="AK146" s="2046"/>
      <c r="AL146" s="2046"/>
      <c r="AM146" s="2046"/>
      <c r="AN146" s="2046"/>
      <c r="AO146" s="2046"/>
      <c r="AP146" s="2046"/>
      <c r="AQ146" s="2046"/>
      <c r="AR146" s="2046"/>
      <c r="AS146" s="2046"/>
      <c r="AT146" s="2046"/>
      <c r="AU146" s="2046"/>
      <c r="AV146" s="2046"/>
      <c r="AW146" s="2046"/>
      <c r="AX146" s="2046"/>
      <c r="AY146" s="2046"/>
      <c r="AZ146" s="2046"/>
      <c r="BA146" s="2046"/>
      <c r="BB146" s="2046"/>
      <c r="BC146" s="2046"/>
      <c r="BD146" s="2046"/>
      <c r="BE146" s="2046"/>
      <c r="BF146" s="2046"/>
      <c r="BG146" s="2046"/>
      <c r="BH146" s="2046"/>
      <c r="BI146" s="2046"/>
      <c r="BJ146" s="2046"/>
      <c r="BK146" s="2046"/>
      <c r="BL146" s="2046"/>
      <c r="BM146" s="2047"/>
      <c r="BN146" s="2047"/>
      <c r="BO146" s="2047"/>
      <c r="BP146" s="2047"/>
      <c r="BQ146" s="2047"/>
      <c r="BR146" s="2047"/>
      <c r="BS146" s="2047"/>
      <c r="BT146" s="2047"/>
      <c r="BU146" s="2047"/>
      <c r="BV146" s="2047"/>
      <c r="BW146" s="2047"/>
      <c r="BX146" s="2047"/>
      <c r="BY146" s="2047"/>
      <c r="BZ146" s="2047"/>
      <c r="CA146" s="2047"/>
      <c r="CB146" s="2047"/>
    </row>
    <row r="147" spans="1:80">
      <c r="A147" s="2047"/>
      <c r="C147" s="2046"/>
      <c r="D147" s="2046"/>
      <c r="E147" s="2046"/>
      <c r="F147" s="2046"/>
      <c r="G147" s="2046"/>
      <c r="H147" s="2046"/>
      <c r="I147" s="2046"/>
      <c r="J147" s="2046"/>
      <c r="K147" s="2046"/>
      <c r="L147" s="2046"/>
      <c r="M147" s="2046"/>
      <c r="N147" s="2046"/>
      <c r="O147" s="2046"/>
      <c r="P147" s="2046"/>
      <c r="Q147" s="2046"/>
      <c r="R147" s="2046"/>
      <c r="S147" s="2046"/>
      <c r="T147" s="2046"/>
      <c r="U147" s="2046"/>
      <c r="V147" s="2046"/>
      <c r="W147" s="2046"/>
      <c r="X147" s="2046"/>
      <c r="Y147" s="2046"/>
      <c r="Z147" s="2046"/>
      <c r="AA147" s="2046"/>
      <c r="AB147" s="2046"/>
      <c r="AC147" s="2046"/>
      <c r="AD147" s="2046"/>
      <c r="AE147" s="2046"/>
      <c r="AF147" s="2046"/>
      <c r="AG147" s="2046"/>
      <c r="AH147" s="2046"/>
      <c r="AI147" s="2046"/>
      <c r="AJ147" s="2046"/>
      <c r="AK147" s="2046"/>
      <c r="AL147" s="2046"/>
      <c r="AM147" s="2046"/>
      <c r="AN147" s="2046"/>
      <c r="AO147" s="2046"/>
      <c r="AP147" s="2046"/>
      <c r="AQ147" s="2046"/>
      <c r="AR147" s="2046"/>
      <c r="AS147" s="2046"/>
      <c r="AT147" s="2046"/>
      <c r="AU147" s="2046"/>
      <c r="AV147" s="2046"/>
      <c r="AW147" s="2046"/>
      <c r="AX147" s="2046"/>
      <c r="AY147" s="2046"/>
      <c r="AZ147" s="2046"/>
      <c r="BA147" s="2046"/>
      <c r="BB147" s="2046"/>
      <c r="BC147" s="2046"/>
      <c r="BD147" s="2046"/>
      <c r="BE147" s="2046"/>
      <c r="BF147" s="2046"/>
      <c r="BG147" s="2046"/>
      <c r="BH147" s="2046"/>
      <c r="BI147" s="2046"/>
      <c r="BJ147" s="2046"/>
      <c r="BK147" s="2046"/>
      <c r="BL147" s="2046"/>
      <c r="BM147" s="2047"/>
      <c r="BN147" s="2047"/>
      <c r="BO147" s="2047"/>
      <c r="BP147" s="2047"/>
      <c r="BQ147" s="2047"/>
      <c r="BR147" s="2047"/>
      <c r="BS147" s="2047"/>
      <c r="BT147" s="2047"/>
      <c r="BU147" s="2047"/>
      <c r="BV147" s="2047"/>
      <c r="BW147" s="2047"/>
      <c r="BX147" s="2047"/>
      <c r="BY147" s="2047"/>
      <c r="BZ147" s="2047"/>
      <c r="CA147" s="2047"/>
      <c r="CB147" s="2047"/>
    </row>
    <row r="148" spans="1:80">
      <c r="A148" s="2047"/>
      <c r="C148" s="2046"/>
      <c r="D148" s="2046"/>
      <c r="E148" s="2046"/>
      <c r="F148" s="2046"/>
      <c r="G148" s="2046"/>
      <c r="H148" s="2046"/>
      <c r="I148" s="2046"/>
      <c r="J148" s="2046"/>
      <c r="K148" s="2046"/>
      <c r="L148" s="2046"/>
      <c r="M148" s="2046"/>
      <c r="N148" s="2046"/>
      <c r="O148" s="2046"/>
      <c r="P148" s="2046"/>
      <c r="Q148" s="2046"/>
      <c r="R148" s="2046"/>
      <c r="S148" s="2046"/>
      <c r="T148" s="2046"/>
      <c r="U148" s="2046"/>
      <c r="V148" s="2046"/>
      <c r="W148" s="2046"/>
      <c r="X148" s="2046"/>
      <c r="Y148" s="2046"/>
      <c r="Z148" s="2046"/>
      <c r="AA148" s="2046"/>
      <c r="AB148" s="2046"/>
      <c r="AC148" s="2046"/>
      <c r="AD148" s="2046"/>
      <c r="AE148" s="2046"/>
      <c r="AF148" s="2046"/>
      <c r="AG148" s="2046"/>
      <c r="AH148" s="2046"/>
      <c r="AI148" s="2046"/>
      <c r="AJ148" s="2046"/>
      <c r="AK148" s="2046"/>
      <c r="AL148" s="2046"/>
      <c r="AM148" s="2046"/>
      <c r="AN148" s="2046"/>
      <c r="AO148" s="2046"/>
      <c r="AP148" s="2046"/>
      <c r="AQ148" s="2046"/>
      <c r="AR148" s="2046"/>
      <c r="AS148" s="2046"/>
      <c r="AT148" s="2046"/>
      <c r="AU148" s="2046"/>
      <c r="AV148" s="2046"/>
      <c r="AW148" s="2046"/>
      <c r="AX148" s="2046"/>
      <c r="AY148" s="2046"/>
      <c r="AZ148" s="2046"/>
      <c r="BA148" s="2046"/>
      <c r="BB148" s="2046"/>
      <c r="BC148" s="2046"/>
      <c r="BD148" s="2046"/>
      <c r="BE148" s="2046"/>
      <c r="BF148" s="2046"/>
      <c r="BG148" s="2046"/>
      <c r="BH148" s="2046"/>
      <c r="BI148" s="2046"/>
      <c r="BJ148" s="2046"/>
      <c r="BK148" s="2046"/>
      <c r="BL148" s="2046"/>
      <c r="BM148" s="2047"/>
      <c r="BN148" s="2047"/>
      <c r="BO148" s="2047"/>
      <c r="BP148" s="2047"/>
      <c r="BQ148" s="2047"/>
      <c r="BR148" s="2047"/>
      <c r="BS148" s="2047"/>
      <c r="BT148" s="2047"/>
      <c r="BU148" s="2047"/>
      <c r="BV148" s="2047"/>
      <c r="BW148" s="2047"/>
      <c r="BX148" s="2047"/>
      <c r="BY148" s="2047"/>
      <c r="BZ148" s="2047"/>
      <c r="CA148" s="2047"/>
      <c r="CB148" s="2047"/>
    </row>
    <row r="149" spans="1:80">
      <c r="A149" s="2047"/>
      <c r="C149" s="2046"/>
      <c r="D149" s="2046"/>
      <c r="E149" s="2046"/>
      <c r="F149" s="2046"/>
      <c r="G149" s="2046"/>
      <c r="H149" s="2046"/>
      <c r="I149" s="2046"/>
      <c r="J149" s="2046"/>
      <c r="K149" s="2046"/>
      <c r="L149" s="2046"/>
      <c r="M149" s="2046"/>
      <c r="N149" s="2046"/>
      <c r="O149" s="2046"/>
      <c r="P149" s="2046"/>
      <c r="Q149" s="2046"/>
      <c r="R149" s="2046"/>
      <c r="S149" s="2046"/>
      <c r="T149" s="2046"/>
      <c r="U149" s="2046"/>
      <c r="V149" s="2046"/>
      <c r="W149" s="2046"/>
      <c r="X149" s="2046"/>
      <c r="Y149" s="2046"/>
      <c r="Z149" s="2046"/>
      <c r="AA149" s="2046"/>
      <c r="AB149" s="2046"/>
      <c r="AC149" s="2046"/>
      <c r="AD149" s="2046"/>
      <c r="AE149" s="2046"/>
      <c r="AF149" s="2046"/>
      <c r="AG149" s="2046"/>
      <c r="AH149" s="2046"/>
      <c r="AI149" s="2046"/>
      <c r="AJ149" s="2046"/>
      <c r="AK149" s="2046"/>
      <c r="AL149" s="2046"/>
      <c r="AM149" s="2046"/>
      <c r="AN149" s="2046"/>
      <c r="AO149" s="2046"/>
      <c r="AP149" s="2046"/>
      <c r="AQ149" s="2046"/>
      <c r="AR149" s="2046"/>
      <c r="AS149" s="2046"/>
      <c r="AT149" s="2046"/>
      <c r="AU149" s="2046"/>
      <c r="AV149" s="2046"/>
      <c r="AW149" s="2046"/>
      <c r="AX149" s="2046"/>
      <c r="AY149" s="2046"/>
      <c r="AZ149" s="2046"/>
      <c r="BA149" s="2046"/>
      <c r="BB149" s="2046"/>
      <c r="BC149" s="2046"/>
      <c r="BD149" s="2046"/>
      <c r="BE149" s="2046"/>
      <c r="BF149" s="2046"/>
      <c r="BG149" s="2046"/>
      <c r="BH149" s="2046"/>
      <c r="BI149" s="2046"/>
      <c r="BJ149" s="2046"/>
      <c r="BK149" s="2046"/>
      <c r="BL149" s="2046"/>
      <c r="BM149" s="2047"/>
      <c r="BN149" s="2047"/>
      <c r="BO149" s="2047"/>
      <c r="BP149" s="2047"/>
      <c r="BQ149" s="2047"/>
      <c r="BR149" s="2047"/>
      <c r="BS149" s="2047"/>
      <c r="BT149" s="2047"/>
      <c r="BU149" s="2047"/>
      <c r="BV149" s="2047"/>
      <c r="BW149" s="2047"/>
      <c r="BX149" s="2047"/>
      <c r="BY149" s="2047"/>
      <c r="BZ149" s="2047"/>
      <c r="CA149" s="2047"/>
      <c r="CB149" s="2047"/>
    </row>
    <row r="150" spans="1:80">
      <c r="A150" s="2047"/>
      <c r="C150" s="2046"/>
      <c r="D150" s="2046"/>
      <c r="E150" s="2046"/>
      <c r="F150" s="2046"/>
      <c r="G150" s="2046"/>
      <c r="H150" s="2046"/>
      <c r="I150" s="2046"/>
      <c r="J150" s="2046"/>
      <c r="K150" s="2046"/>
      <c r="L150" s="2046"/>
      <c r="M150" s="2046"/>
      <c r="N150" s="2046"/>
      <c r="O150" s="2046"/>
      <c r="P150" s="2046"/>
      <c r="Q150" s="2046"/>
      <c r="R150" s="2046"/>
      <c r="S150" s="2046"/>
      <c r="T150" s="2046"/>
      <c r="U150" s="2046"/>
      <c r="V150" s="2046"/>
      <c r="W150" s="2046"/>
      <c r="X150" s="2046"/>
      <c r="Y150" s="2046"/>
      <c r="Z150" s="2046"/>
      <c r="AA150" s="2046"/>
      <c r="AB150" s="2046"/>
      <c r="AC150" s="2046"/>
      <c r="AD150" s="2046"/>
      <c r="AE150" s="2046"/>
      <c r="AF150" s="2046"/>
      <c r="AG150" s="2046"/>
      <c r="AH150" s="2046"/>
      <c r="AI150" s="2046"/>
      <c r="AJ150" s="2046"/>
      <c r="AK150" s="2046"/>
      <c r="AL150" s="2046"/>
      <c r="AM150" s="2046"/>
      <c r="AN150" s="2046"/>
      <c r="AO150" s="2046"/>
      <c r="AP150" s="2046"/>
      <c r="AQ150" s="2046"/>
      <c r="AR150" s="2046"/>
      <c r="AS150" s="2046"/>
      <c r="AT150" s="2046"/>
      <c r="AU150" s="2046"/>
      <c r="AV150" s="2046"/>
      <c r="AW150" s="2046"/>
      <c r="AX150" s="2046"/>
      <c r="AY150" s="2046"/>
      <c r="AZ150" s="2046"/>
      <c r="BA150" s="2046"/>
      <c r="BB150" s="2046"/>
      <c r="BC150" s="2046"/>
      <c r="BD150" s="2046"/>
      <c r="BE150" s="2046"/>
      <c r="BF150" s="2046"/>
      <c r="BG150" s="2046"/>
      <c r="BH150" s="2046"/>
      <c r="BI150" s="2046"/>
      <c r="BJ150" s="2046"/>
      <c r="BK150" s="2046"/>
      <c r="BL150" s="2046"/>
      <c r="BM150" s="2047"/>
      <c r="BN150" s="2047"/>
      <c r="BO150" s="2047"/>
      <c r="BP150" s="2047"/>
      <c r="BQ150" s="2047"/>
      <c r="BR150" s="2047"/>
      <c r="BS150" s="2047"/>
      <c r="BT150" s="2047"/>
      <c r="BU150" s="2047"/>
      <c r="BV150" s="2047"/>
      <c r="BW150" s="2047"/>
      <c r="BX150" s="2047"/>
      <c r="BY150" s="2047"/>
      <c r="BZ150" s="2047"/>
      <c r="CA150" s="2047"/>
      <c r="CB150" s="2047"/>
    </row>
    <row r="151" spans="1:80">
      <c r="A151" s="2047"/>
      <c r="C151" s="2046"/>
      <c r="D151" s="2046"/>
      <c r="E151" s="2046"/>
      <c r="F151" s="2046"/>
      <c r="G151" s="2046"/>
      <c r="H151" s="2046"/>
      <c r="I151" s="2046"/>
      <c r="J151" s="2046"/>
      <c r="K151" s="2046"/>
      <c r="L151" s="2046"/>
      <c r="M151" s="2046"/>
      <c r="N151" s="2046"/>
      <c r="O151" s="2046"/>
      <c r="P151" s="2046"/>
      <c r="Q151" s="2046"/>
      <c r="R151" s="2046"/>
      <c r="S151" s="2046"/>
      <c r="T151" s="2046"/>
      <c r="U151" s="2046"/>
      <c r="V151" s="2046"/>
      <c r="W151" s="2046"/>
      <c r="X151" s="2046"/>
      <c r="Y151" s="2046"/>
      <c r="Z151" s="2046"/>
      <c r="AA151" s="2046"/>
      <c r="AB151" s="2046"/>
      <c r="AC151" s="2046"/>
      <c r="AD151" s="2046"/>
      <c r="AE151" s="2046"/>
      <c r="AF151" s="2046"/>
      <c r="AG151" s="2046"/>
      <c r="AH151" s="2046"/>
      <c r="AI151" s="2046"/>
      <c r="AJ151" s="2046"/>
      <c r="AK151" s="2046"/>
      <c r="AL151" s="2046"/>
      <c r="AM151" s="2046"/>
      <c r="AN151" s="2046"/>
      <c r="AO151" s="2046"/>
      <c r="AP151" s="2046"/>
      <c r="AQ151" s="2046"/>
      <c r="AR151" s="2046"/>
      <c r="AS151" s="2046"/>
      <c r="AT151" s="2046"/>
      <c r="AU151" s="2046"/>
      <c r="AV151" s="2046"/>
      <c r="AW151" s="2046"/>
      <c r="AX151" s="2046"/>
      <c r="AY151" s="2046"/>
      <c r="AZ151" s="2046"/>
      <c r="BA151" s="2046"/>
      <c r="BB151" s="2046"/>
      <c r="BC151" s="2046"/>
      <c r="BD151" s="2046"/>
      <c r="BE151" s="2046"/>
      <c r="BF151" s="2046"/>
      <c r="BG151" s="2046"/>
      <c r="BH151" s="2046"/>
      <c r="BI151" s="2046"/>
      <c r="BJ151" s="2046"/>
      <c r="BK151" s="2046"/>
      <c r="BL151" s="2046"/>
      <c r="BM151" s="2047"/>
      <c r="BN151" s="2047"/>
      <c r="BO151" s="2047"/>
      <c r="BP151" s="2047"/>
      <c r="BQ151" s="2047"/>
      <c r="BR151" s="2047"/>
      <c r="BS151" s="2047"/>
      <c r="BT151" s="2047"/>
      <c r="BU151" s="2047"/>
      <c r="BV151" s="2047"/>
      <c r="BW151" s="2047"/>
      <c r="BX151" s="2047"/>
      <c r="BY151" s="2047"/>
      <c r="BZ151" s="2047"/>
      <c r="CA151" s="2047"/>
      <c r="CB151" s="2047"/>
    </row>
    <row r="152" spans="1:80">
      <c r="A152" s="2047"/>
      <c r="C152" s="2046"/>
      <c r="D152" s="2046"/>
      <c r="E152" s="2046"/>
      <c r="F152" s="2046"/>
      <c r="G152" s="2046"/>
      <c r="H152" s="2046"/>
      <c r="I152" s="2046"/>
      <c r="J152" s="2046"/>
      <c r="K152" s="2046"/>
      <c r="L152" s="2046"/>
      <c r="M152" s="2046"/>
      <c r="N152" s="2046"/>
      <c r="O152" s="2046"/>
      <c r="P152" s="2046"/>
      <c r="Q152" s="2046"/>
      <c r="R152" s="2046"/>
      <c r="S152" s="2046"/>
      <c r="T152" s="2046"/>
      <c r="U152" s="2046"/>
      <c r="V152" s="2046"/>
      <c r="W152" s="2046"/>
      <c r="X152" s="2046"/>
      <c r="Y152" s="2046"/>
      <c r="Z152" s="2046"/>
      <c r="AA152" s="2046"/>
      <c r="AB152" s="2046"/>
      <c r="AC152" s="2046"/>
      <c r="AD152" s="2046"/>
      <c r="AE152" s="2046"/>
      <c r="AF152" s="2046"/>
      <c r="AG152" s="2046"/>
      <c r="AH152" s="2046"/>
      <c r="AI152" s="2046"/>
      <c r="AJ152" s="2046"/>
      <c r="AK152" s="2046"/>
      <c r="AL152" s="2046"/>
      <c r="AM152" s="2046"/>
      <c r="AN152" s="2046"/>
      <c r="AO152" s="2046"/>
      <c r="AP152" s="2046"/>
      <c r="AQ152" s="2046"/>
      <c r="AR152" s="2046"/>
      <c r="AS152" s="2046"/>
      <c r="AT152" s="2046"/>
      <c r="AU152" s="2046"/>
      <c r="AV152" s="2046"/>
      <c r="AW152" s="2046"/>
      <c r="AX152" s="2046"/>
      <c r="AY152" s="2046"/>
      <c r="AZ152" s="2046"/>
      <c r="BA152" s="2046"/>
      <c r="BB152" s="2046"/>
      <c r="BC152" s="2046"/>
      <c r="BD152" s="2046"/>
      <c r="BE152" s="2046"/>
      <c r="BF152" s="2046"/>
      <c r="BG152" s="2046"/>
      <c r="BH152" s="2046"/>
      <c r="BI152" s="2046"/>
      <c r="BJ152" s="2046"/>
      <c r="BK152" s="2046"/>
      <c r="BL152" s="2046"/>
      <c r="BM152" s="2047"/>
      <c r="BN152" s="2047"/>
      <c r="BO152" s="2047"/>
      <c r="BP152" s="2047"/>
      <c r="BQ152" s="2047"/>
      <c r="BR152" s="2047"/>
      <c r="BS152" s="2047"/>
      <c r="BT152" s="2047"/>
      <c r="BU152" s="2047"/>
      <c r="BV152" s="2047"/>
      <c r="BW152" s="2047"/>
      <c r="BX152" s="2047"/>
      <c r="BY152" s="2047"/>
      <c r="BZ152" s="2047"/>
      <c r="CA152" s="2047"/>
      <c r="CB152" s="2047"/>
    </row>
    <row r="153" spans="1:80">
      <c r="A153" s="2047"/>
      <c r="C153" s="2046"/>
      <c r="D153" s="2046"/>
      <c r="E153" s="2046"/>
      <c r="F153" s="2046"/>
      <c r="G153" s="2046"/>
      <c r="H153" s="2046"/>
      <c r="I153" s="2046"/>
      <c r="J153" s="2046"/>
      <c r="K153" s="2046"/>
      <c r="L153" s="2046"/>
      <c r="M153" s="2046"/>
      <c r="N153" s="2046"/>
      <c r="O153" s="2046"/>
      <c r="P153" s="2046"/>
      <c r="Q153" s="2046"/>
      <c r="R153" s="2046"/>
      <c r="S153" s="2046"/>
      <c r="T153" s="2046"/>
      <c r="U153" s="2046"/>
      <c r="V153" s="2046"/>
      <c r="W153" s="2046"/>
      <c r="X153" s="2046"/>
      <c r="Y153" s="2046"/>
      <c r="Z153" s="2046"/>
      <c r="AA153" s="2046"/>
      <c r="AB153" s="2046"/>
      <c r="AC153" s="2046"/>
      <c r="AD153" s="2046"/>
      <c r="AE153" s="2046"/>
      <c r="AF153" s="2046"/>
      <c r="AG153" s="2046"/>
      <c r="AH153" s="2046"/>
      <c r="AI153" s="2046"/>
      <c r="AJ153" s="2046"/>
      <c r="AK153" s="2046"/>
      <c r="AL153" s="2046"/>
      <c r="AM153" s="2046"/>
      <c r="AN153" s="2046"/>
      <c r="AO153" s="2046"/>
      <c r="AP153" s="2046"/>
      <c r="AQ153" s="2046"/>
      <c r="AR153" s="2046"/>
      <c r="AS153" s="2046"/>
      <c r="AT153" s="2046"/>
      <c r="AU153" s="2046"/>
      <c r="AV153" s="2046"/>
      <c r="AW153" s="2046"/>
      <c r="AX153" s="2046"/>
      <c r="AY153" s="2046"/>
      <c r="AZ153" s="2046"/>
      <c r="BA153" s="2046"/>
      <c r="BB153" s="2046"/>
      <c r="BC153" s="2046"/>
      <c r="BD153" s="2046"/>
      <c r="BE153" s="2046"/>
      <c r="BF153" s="2046"/>
      <c r="BG153" s="2046"/>
      <c r="BH153" s="2046"/>
      <c r="BI153" s="2046"/>
      <c r="BJ153" s="2046"/>
      <c r="BK153" s="2046"/>
      <c r="BL153" s="2046"/>
      <c r="BM153" s="2047"/>
      <c r="BN153" s="2047"/>
      <c r="BO153" s="2047"/>
      <c r="BP153" s="2047"/>
      <c r="BQ153" s="2047"/>
      <c r="BR153" s="2047"/>
      <c r="BS153" s="2047"/>
      <c r="BT153" s="2047"/>
      <c r="BU153" s="2047"/>
      <c r="BV153" s="2047"/>
      <c r="BW153" s="2047"/>
      <c r="BX153" s="2047"/>
      <c r="BY153" s="2047"/>
      <c r="BZ153" s="2047"/>
      <c r="CA153" s="2047"/>
      <c r="CB153" s="2047"/>
    </row>
    <row r="154" spans="1:80">
      <c r="A154" s="2047"/>
      <c r="C154" s="2046"/>
      <c r="D154" s="2046"/>
      <c r="E154" s="2046"/>
      <c r="F154" s="2046"/>
      <c r="G154" s="2046"/>
      <c r="H154" s="2046"/>
      <c r="I154" s="2046"/>
      <c r="J154" s="2046"/>
      <c r="K154" s="2046"/>
      <c r="L154" s="2046"/>
      <c r="M154" s="2046"/>
      <c r="N154" s="2046"/>
      <c r="O154" s="2046"/>
      <c r="P154" s="2046"/>
      <c r="Q154" s="2046"/>
      <c r="R154" s="2046"/>
      <c r="S154" s="2046"/>
      <c r="T154" s="2046"/>
      <c r="U154" s="2046"/>
      <c r="V154" s="2046"/>
      <c r="W154" s="2046"/>
      <c r="X154" s="2046"/>
      <c r="Y154" s="2046"/>
      <c r="Z154" s="2046"/>
      <c r="AA154" s="2046"/>
      <c r="AB154" s="2046"/>
      <c r="AC154" s="2046"/>
      <c r="AD154" s="2046"/>
      <c r="AE154" s="2046"/>
      <c r="AF154" s="2046"/>
      <c r="AG154" s="2046"/>
      <c r="AH154" s="2046"/>
      <c r="AI154" s="2046"/>
      <c r="AJ154" s="2046"/>
      <c r="AK154" s="2046"/>
      <c r="AL154" s="2046"/>
      <c r="AM154" s="2046"/>
      <c r="AN154" s="2046"/>
      <c r="AO154" s="2046"/>
      <c r="AP154" s="2046"/>
      <c r="AQ154" s="2046"/>
      <c r="AR154" s="2046"/>
      <c r="AS154" s="2046"/>
      <c r="AT154" s="2046"/>
      <c r="AU154" s="2046"/>
      <c r="AV154" s="2046"/>
      <c r="AW154" s="2046"/>
      <c r="AX154" s="2046"/>
      <c r="AY154" s="2046"/>
      <c r="AZ154" s="2046"/>
      <c r="BA154" s="2046"/>
      <c r="BB154" s="2046"/>
      <c r="BC154" s="2046"/>
      <c r="BD154" s="2046"/>
      <c r="BE154" s="2046"/>
      <c r="BF154" s="2046"/>
      <c r="BG154" s="2046"/>
      <c r="BH154" s="2046"/>
      <c r="BI154" s="2046"/>
      <c r="BJ154" s="2046"/>
      <c r="BK154" s="2046"/>
      <c r="BL154" s="2046"/>
      <c r="BM154" s="2047"/>
      <c r="BN154" s="2047"/>
      <c r="BO154" s="2047"/>
      <c r="BP154" s="2047"/>
      <c r="BQ154" s="2047"/>
      <c r="BR154" s="2047"/>
      <c r="BS154" s="2047"/>
      <c r="BT154" s="2047"/>
      <c r="BU154" s="2047"/>
      <c r="BV154" s="2047"/>
      <c r="BW154" s="2047"/>
      <c r="BX154" s="2047"/>
      <c r="BY154" s="2047"/>
      <c r="BZ154" s="2047"/>
      <c r="CA154" s="2047"/>
      <c r="CB154" s="2047"/>
    </row>
    <row r="155" spans="1:80">
      <c r="A155" s="2047"/>
      <c r="C155" s="2046"/>
      <c r="D155" s="2046"/>
      <c r="E155" s="2046"/>
      <c r="F155" s="2046"/>
      <c r="G155" s="2046"/>
      <c r="H155" s="2046"/>
      <c r="I155" s="2046"/>
      <c r="J155" s="2046"/>
      <c r="K155" s="2046"/>
      <c r="L155" s="2046"/>
      <c r="M155" s="2046"/>
      <c r="N155" s="2046"/>
      <c r="O155" s="2046"/>
      <c r="P155" s="2046"/>
      <c r="Q155" s="2046"/>
      <c r="R155" s="2046"/>
      <c r="S155" s="2046"/>
      <c r="T155" s="2046"/>
      <c r="U155" s="2046"/>
      <c r="V155" s="2046"/>
      <c r="W155" s="2046"/>
      <c r="X155" s="2046"/>
      <c r="Y155" s="2046"/>
      <c r="Z155" s="2046"/>
      <c r="AA155" s="2046"/>
      <c r="AB155" s="2046"/>
      <c r="AC155" s="2046"/>
      <c r="AD155" s="2046"/>
      <c r="AE155" s="2046"/>
      <c r="AF155" s="2046"/>
      <c r="AG155" s="2046"/>
      <c r="AH155" s="2046"/>
      <c r="AI155" s="2046"/>
      <c r="AJ155" s="2046"/>
      <c r="AK155" s="2046"/>
      <c r="AL155" s="2046"/>
      <c r="AM155" s="2046"/>
      <c r="AN155" s="2046"/>
      <c r="AO155" s="2046"/>
      <c r="AP155" s="2046"/>
      <c r="AQ155" s="2046"/>
      <c r="AR155" s="2046"/>
      <c r="AS155" s="2046"/>
      <c r="AT155" s="2046"/>
      <c r="AU155" s="2046"/>
      <c r="AV155" s="2046"/>
      <c r="AW155" s="2046"/>
      <c r="AX155" s="2046"/>
      <c r="AY155" s="2046"/>
      <c r="AZ155" s="2046"/>
      <c r="BA155" s="2046"/>
      <c r="BB155" s="2046"/>
      <c r="BC155" s="2046"/>
      <c r="BD155" s="2046"/>
      <c r="BE155" s="2046"/>
      <c r="BF155" s="2046"/>
      <c r="BG155" s="2046"/>
      <c r="BH155" s="2046"/>
      <c r="BI155" s="2046"/>
      <c r="BJ155" s="2046"/>
      <c r="BK155" s="2046"/>
      <c r="BL155" s="2046"/>
      <c r="BM155" s="2047"/>
      <c r="BN155" s="2047"/>
      <c r="BO155" s="2047"/>
      <c r="BP155" s="2047"/>
      <c r="BQ155" s="2047"/>
      <c r="BR155" s="2047"/>
      <c r="BS155" s="2047"/>
      <c r="BT155" s="2047"/>
      <c r="BU155" s="2047"/>
      <c r="BV155" s="2047"/>
      <c r="BW155" s="2047"/>
      <c r="BX155" s="2047"/>
      <c r="BY155" s="2047"/>
      <c r="BZ155" s="2047"/>
      <c r="CA155" s="2047"/>
      <c r="CB155" s="2047"/>
    </row>
    <row r="156" spans="1:80">
      <c r="A156" s="2047"/>
      <c r="C156" s="2046"/>
      <c r="D156" s="2046"/>
      <c r="E156" s="2046"/>
      <c r="F156" s="2046"/>
      <c r="G156" s="2046"/>
      <c r="H156" s="2046"/>
      <c r="I156" s="2046"/>
      <c r="J156" s="2046"/>
      <c r="K156" s="2046"/>
      <c r="L156" s="2046"/>
      <c r="M156" s="2046"/>
      <c r="N156" s="2046"/>
      <c r="O156" s="2046"/>
      <c r="P156" s="2046"/>
      <c r="Q156" s="2046"/>
      <c r="R156" s="2046"/>
      <c r="S156" s="2046"/>
      <c r="T156" s="2046"/>
      <c r="U156" s="2046"/>
      <c r="V156" s="2046"/>
      <c r="W156" s="2046"/>
      <c r="X156" s="2046"/>
      <c r="Y156" s="2046"/>
      <c r="Z156" s="2046"/>
      <c r="AA156" s="2046"/>
      <c r="AB156" s="2046"/>
      <c r="AC156" s="2046"/>
      <c r="AD156" s="2046"/>
      <c r="AE156" s="2046"/>
      <c r="AF156" s="2046"/>
      <c r="AG156" s="2046"/>
      <c r="AH156" s="2046"/>
      <c r="AI156" s="2046"/>
      <c r="AJ156" s="2046"/>
      <c r="AK156" s="2046"/>
      <c r="AL156" s="2046"/>
      <c r="AM156" s="2046"/>
      <c r="AN156" s="2046"/>
      <c r="AO156" s="2046"/>
      <c r="AP156" s="2046"/>
      <c r="AQ156" s="2046"/>
      <c r="AR156" s="2046"/>
      <c r="AS156" s="2046"/>
      <c r="AT156" s="2046"/>
      <c r="AU156" s="2046"/>
      <c r="AV156" s="2046"/>
      <c r="AW156" s="2046"/>
      <c r="AX156" s="2046"/>
      <c r="AY156" s="2046"/>
      <c r="AZ156" s="2046"/>
      <c r="BA156" s="2046"/>
      <c r="BB156" s="2046"/>
      <c r="BC156" s="2046"/>
      <c r="BD156" s="2046"/>
      <c r="BE156" s="2046"/>
      <c r="BF156" s="2046"/>
      <c r="BG156" s="2046"/>
      <c r="BH156" s="2046"/>
      <c r="BI156" s="2046"/>
      <c r="BJ156" s="2046"/>
      <c r="BK156" s="2046"/>
      <c r="BL156" s="2046"/>
      <c r="BM156" s="2047"/>
      <c r="BN156" s="2047"/>
      <c r="BO156" s="2047"/>
      <c r="BP156" s="2047"/>
      <c r="BQ156" s="2047"/>
      <c r="BR156" s="2047"/>
      <c r="BS156" s="2047"/>
      <c r="BT156" s="2047"/>
      <c r="BU156" s="2047"/>
      <c r="BV156" s="2047"/>
      <c r="BW156" s="2047"/>
      <c r="BX156" s="2047"/>
      <c r="BY156" s="2047"/>
      <c r="BZ156" s="2047"/>
      <c r="CA156" s="2047"/>
      <c r="CB156" s="2047"/>
    </row>
    <row r="157" spans="1:80">
      <c r="A157" s="2047"/>
      <c r="C157" s="2046"/>
      <c r="D157" s="2046"/>
      <c r="E157" s="2046"/>
      <c r="F157" s="2046"/>
      <c r="G157" s="2046"/>
      <c r="H157" s="2046"/>
      <c r="I157" s="2046"/>
      <c r="J157" s="2046"/>
      <c r="K157" s="2046"/>
      <c r="L157" s="2046"/>
      <c r="M157" s="2046"/>
      <c r="N157" s="2046"/>
      <c r="O157" s="2046"/>
      <c r="P157" s="2046"/>
      <c r="Q157" s="2046"/>
      <c r="R157" s="2046"/>
      <c r="S157" s="2046"/>
      <c r="T157" s="2046"/>
      <c r="U157" s="2046"/>
      <c r="V157" s="2046"/>
      <c r="W157" s="2046"/>
      <c r="X157" s="2046"/>
      <c r="Y157" s="2046"/>
      <c r="Z157" s="2046"/>
      <c r="AA157" s="2046"/>
      <c r="AB157" s="2046"/>
      <c r="AC157" s="2046"/>
      <c r="AD157" s="2046"/>
      <c r="AE157" s="2046"/>
      <c r="AF157" s="2046"/>
      <c r="AG157" s="2046"/>
      <c r="AH157" s="2046"/>
      <c r="AI157" s="2046"/>
      <c r="AJ157" s="2046"/>
      <c r="AK157" s="2046"/>
      <c r="AL157" s="2046"/>
      <c r="AM157" s="2046"/>
      <c r="AN157" s="2046"/>
      <c r="AO157" s="2046"/>
      <c r="AP157" s="2046"/>
      <c r="AQ157" s="2046"/>
      <c r="AR157" s="2046"/>
      <c r="AS157" s="2046"/>
      <c r="AT157" s="2046"/>
      <c r="AU157" s="2046"/>
      <c r="AV157" s="2046"/>
      <c r="AW157" s="2046"/>
      <c r="AX157" s="2046"/>
      <c r="AY157" s="2046"/>
      <c r="AZ157" s="2046"/>
      <c r="BA157" s="2046"/>
      <c r="BB157" s="2046"/>
      <c r="BC157" s="2046"/>
      <c r="BD157" s="2046"/>
      <c r="BE157" s="2046"/>
      <c r="BF157" s="2046"/>
      <c r="BG157" s="2046"/>
      <c r="BH157" s="2046"/>
      <c r="BI157" s="2046"/>
      <c r="BJ157" s="2046"/>
      <c r="BK157" s="2046"/>
      <c r="BL157" s="2046"/>
      <c r="BM157" s="2047"/>
      <c r="BN157" s="2047"/>
      <c r="BO157" s="2047"/>
      <c r="BP157" s="2047"/>
      <c r="BQ157" s="2047"/>
      <c r="BR157" s="2047"/>
      <c r="BS157" s="2047"/>
      <c r="BT157" s="2047"/>
      <c r="BU157" s="2047"/>
      <c r="BV157" s="2047"/>
      <c r="BW157" s="2047"/>
      <c r="BX157" s="2047"/>
      <c r="BY157" s="2047"/>
      <c r="BZ157" s="2047"/>
      <c r="CA157" s="2047"/>
      <c r="CB157" s="2047"/>
    </row>
    <row r="158" spans="1:80">
      <c r="A158" s="2047"/>
      <c r="C158" s="2046"/>
      <c r="D158" s="2046"/>
      <c r="E158" s="2046"/>
      <c r="F158" s="2046"/>
      <c r="G158" s="2046"/>
      <c r="H158" s="2046"/>
      <c r="I158" s="2046"/>
      <c r="J158" s="2046"/>
      <c r="K158" s="2046"/>
      <c r="L158" s="2046"/>
      <c r="M158" s="2046"/>
      <c r="N158" s="2046"/>
      <c r="O158" s="2046"/>
      <c r="P158" s="2046"/>
      <c r="Q158" s="2046"/>
      <c r="R158" s="2046"/>
      <c r="S158" s="2046"/>
      <c r="T158" s="2046"/>
      <c r="U158" s="2046"/>
      <c r="V158" s="2046"/>
      <c r="W158" s="2046"/>
      <c r="X158" s="2046"/>
      <c r="Y158" s="2046"/>
      <c r="Z158" s="2046"/>
      <c r="AA158" s="2046"/>
      <c r="AB158" s="2046"/>
      <c r="AC158" s="2046"/>
      <c r="AD158" s="2046"/>
      <c r="AE158" s="2046"/>
      <c r="AF158" s="2046"/>
      <c r="AG158" s="2046"/>
      <c r="AH158" s="2046"/>
      <c r="AI158" s="2046"/>
      <c r="AJ158" s="2046"/>
      <c r="AK158" s="2046"/>
      <c r="AL158" s="2046"/>
      <c r="AM158" s="2046"/>
      <c r="AN158" s="2046"/>
      <c r="AO158" s="2046"/>
      <c r="AP158" s="2046"/>
      <c r="AQ158" s="2046"/>
      <c r="AR158" s="2046"/>
      <c r="AS158" s="2046"/>
      <c r="AT158" s="2046"/>
      <c r="AU158" s="2046"/>
      <c r="AV158" s="2046"/>
      <c r="AW158" s="2046"/>
      <c r="AX158" s="2046"/>
      <c r="AY158" s="2046"/>
      <c r="AZ158" s="2046"/>
      <c r="BA158" s="2046"/>
      <c r="BB158" s="2046"/>
      <c r="BC158" s="2046"/>
      <c r="BD158" s="2046"/>
      <c r="BE158" s="2046"/>
      <c r="BF158" s="2046"/>
      <c r="BG158" s="2046"/>
      <c r="BH158" s="2046"/>
      <c r="BI158" s="2046"/>
      <c r="BJ158" s="2046"/>
      <c r="BK158" s="2046"/>
      <c r="BL158" s="2046"/>
      <c r="BM158" s="2047"/>
      <c r="BN158" s="2047"/>
      <c r="BO158" s="2047"/>
      <c r="BP158" s="2047"/>
      <c r="BQ158" s="2047"/>
      <c r="BR158" s="2047"/>
      <c r="BS158" s="2047"/>
      <c r="BT158" s="2047"/>
      <c r="BU158" s="2047"/>
      <c r="BV158" s="2047"/>
      <c r="BW158" s="2047"/>
      <c r="BX158" s="2047"/>
      <c r="BY158" s="2047"/>
      <c r="BZ158" s="2047"/>
      <c r="CA158" s="2047"/>
      <c r="CB158" s="2047"/>
    </row>
    <row r="159" spans="1:80">
      <c r="A159" s="2047"/>
      <c r="C159" s="2046"/>
      <c r="D159" s="2046"/>
      <c r="E159" s="2046"/>
      <c r="F159" s="2046"/>
      <c r="G159" s="2046"/>
      <c r="H159" s="2046"/>
      <c r="I159" s="2046"/>
      <c r="J159" s="2046"/>
      <c r="K159" s="2046"/>
      <c r="L159" s="2046"/>
      <c r="M159" s="2046"/>
      <c r="N159" s="2046"/>
      <c r="O159" s="2046"/>
      <c r="P159" s="2046"/>
      <c r="Q159" s="2046"/>
      <c r="R159" s="2046"/>
      <c r="S159" s="2046"/>
      <c r="T159" s="2046"/>
      <c r="U159" s="2046"/>
      <c r="V159" s="2046"/>
      <c r="W159" s="2046"/>
      <c r="X159" s="2046"/>
      <c r="Y159" s="2046"/>
      <c r="Z159" s="2046"/>
      <c r="AA159" s="2046"/>
      <c r="AB159" s="2046"/>
      <c r="AC159" s="2046"/>
      <c r="AD159" s="2046"/>
      <c r="AE159" s="2046"/>
      <c r="AF159" s="2046"/>
      <c r="AG159" s="2046"/>
      <c r="AH159" s="2046"/>
      <c r="AI159" s="2046"/>
      <c r="AJ159" s="2046"/>
      <c r="AK159" s="2046"/>
      <c r="AL159" s="2046"/>
      <c r="AM159" s="2046"/>
      <c r="AN159" s="2046"/>
      <c r="AO159" s="2046"/>
      <c r="AP159" s="2046"/>
      <c r="AQ159" s="2046"/>
      <c r="AR159" s="2046"/>
      <c r="AS159" s="2046"/>
      <c r="AT159" s="2046"/>
      <c r="AU159" s="2046"/>
      <c r="AV159" s="2046"/>
      <c r="AW159" s="2046"/>
      <c r="AX159" s="2046"/>
      <c r="AY159" s="2046"/>
      <c r="AZ159" s="2046"/>
      <c r="BA159" s="2046"/>
      <c r="BB159" s="2046"/>
      <c r="BC159" s="2046"/>
      <c r="BD159" s="2046"/>
      <c r="BE159" s="2046"/>
      <c r="BF159" s="2046"/>
      <c r="BG159" s="2046"/>
      <c r="BH159" s="2046"/>
      <c r="BI159" s="2046"/>
      <c r="BJ159" s="2046"/>
      <c r="BK159" s="2046"/>
      <c r="BL159" s="2046"/>
      <c r="BM159" s="2047"/>
      <c r="BN159" s="2047"/>
      <c r="BO159" s="2047"/>
      <c r="BP159" s="2047"/>
      <c r="BQ159" s="2047"/>
      <c r="BR159" s="2047"/>
      <c r="BS159" s="2047"/>
      <c r="BT159" s="2047"/>
      <c r="BU159" s="2047"/>
      <c r="BV159" s="2047"/>
      <c r="BW159" s="2047"/>
      <c r="BX159" s="2047"/>
      <c r="BY159" s="2047"/>
      <c r="BZ159" s="2047"/>
      <c r="CA159" s="2047"/>
      <c r="CB159" s="2047"/>
    </row>
    <row r="160" spans="1:80">
      <c r="A160" s="2047"/>
      <c r="C160" s="2046"/>
      <c r="D160" s="2046"/>
      <c r="E160" s="2046"/>
      <c r="F160" s="2046"/>
      <c r="G160" s="2046"/>
      <c r="H160" s="2046"/>
      <c r="I160" s="2046"/>
      <c r="J160" s="2046"/>
      <c r="K160" s="2046"/>
      <c r="L160" s="2046"/>
      <c r="M160" s="2046"/>
      <c r="N160" s="2046"/>
      <c r="O160" s="2046"/>
      <c r="P160" s="2046"/>
      <c r="Q160" s="2046"/>
      <c r="R160" s="2046"/>
      <c r="S160" s="2046"/>
      <c r="T160" s="2046"/>
      <c r="U160" s="2046"/>
      <c r="V160" s="2046"/>
      <c r="W160" s="2046"/>
      <c r="X160" s="2046"/>
      <c r="Y160" s="2046"/>
      <c r="Z160" s="2046"/>
      <c r="AA160" s="2046"/>
      <c r="AB160" s="2046"/>
      <c r="AC160" s="2046"/>
      <c r="AD160" s="2046"/>
      <c r="AE160" s="2046"/>
      <c r="AF160" s="2046"/>
      <c r="AG160" s="2046"/>
      <c r="AH160" s="2046"/>
      <c r="AI160" s="2046"/>
      <c r="AJ160" s="2046"/>
      <c r="AK160" s="2046"/>
      <c r="AL160" s="2046"/>
      <c r="AM160" s="2046"/>
      <c r="AN160" s="2046"/>
      <c r="AO160" s="2046"/>
      <c r="AP160" s="2046"/>
      <c r="AQ160" s="2046"/>
      <c r="AR160" s="2046"/>
      <c r="AS160" s="2046"/>
      <c r="AT160" s="2046"/>
      <c r="AU160" s="2046"/>
      <c r="AV160" s="2046"/>
      <c r="AW160" s="2046"/>
      <c r="AX160" s="2046"/>
      <c r="AY160" s="2046"/>
      <c r="AZ160" s="2046"/>
      <c r="BA160" s="2046"/>
      <c r="BB160" s="2046"/>
      <c r="BC160" s="2046"/>
      <c r="BD160" s="2046"/>
      <c r="BE160" s="2046"/>
      <c r="BF160" s="2046"/>
      <c r="BG160" s="2046"/>
      <c r="BH160" s="2046"/>
      <c r="BI160" s="2046"/>
      <c r="BJ160" s="2046"/>
      <c r="BK160" s="2046"/>
      <c r="BL160" s="2046"/>
      <c r="BM160" s="2047"/>
      <c r="BN160" s="2047"/>
      <c r="BO160" s="2047"/>
      <c r="BP160" s="2047"/>
      <c r="BQ160" s="2047"/>
      <c r="BR160" s="2047"/>
      <c r="BS160" s="2047"/>
      <c r="BT160" s="2047"/>
      <c r="BU160" s="2047"/>
      <c r="BV160" s="2047"/>
      <c r="BW160" s="2047"/>
      <c r="BX160" s="2047"/>
      <c r="BY160" s="2047"/>
      <c r="BZ160" s="2047"/>
      <c r="CA160" s="2047"/>
      <c r="CB160" s="2047"/>
    </row>
    <row r="161" spans="1:80">
      <c r="A161" s="2047"/>
      <c r="C161" s="2046"/>
      <c r="D161" s="2046"/>
      <c r="E161" s="2046"/>
      <c r="F161" s="2046"/>
      <c r="G161" s="2046"/>
      <c r="H161" s="2046"/>
      <c r="I161" s="2046"/>
      <c r="J161" s="2046"/>
      <c r="K161" s="2046"/>
      <c r="L161" s="2046"/>
      <c r="M161" s="2046"/>
      <c r="N161" s="2046"/>
      <c r="O161" s="2046"/>
      <c r="P161" s="2046"/>
      <c r="Q161" s="2046"/>
      <c r="R161" s="2046"/>
      <c r="S161" s="2046"/>
      <c r="T161" s="2046"/>
      <c r="U161" s="2046"/>
      <c r="V161" s="2046"/>
      <c r="W161" s="2046"/>
      <c r="X161" s="2046"/>
      <c r="Y161" s="2046"/>
      <c r="Z161" s="2046"/>
      <c r="AA161" s="2046"/>
      <c r="AB161" s="2046"/>
      <c r="AC161" s="2046"/>
      <c r="AD161" s="2046"/>
      <c r="AE161" s="2046"/>
      <c r="AF161" s="2046"/>
      <c r="AG161" s="2046"/>
      <c r="AH161" s="2046"/>
      <c r="AI161" s="2046"/>
      <c r="AJ161" s="2046"/>
      <c r="AK161" s="2046"/>
      <c r="AL161" s="2046"/>
      <c r="AM161" s="2046"/>
      <c r="AN161" s="2046"/>
      <c r="AO161" s="2046"/>
      <c r="AP161" s="2046"/>
      <c r="AQ161" s="2046"/>
      <c r="AR161" s="2046"/>
      <c r="AS161" s="2046"/>
      <c r="AT161" s="2046"/>
      <c r="AU161" s="2046"/>
      <c r="AV161" s="2046"/>
      <c r="AW161" s="2046"/>
      <c r="AX161" s="2046"/>
      <c r="AY161" s="2046"/>
      <c r="AZ161" s="2046"/>
      <c r="BA161" s="2046"/>
      <c r="BB161" s="2046"/>
      <c r="BC161" s="2046"/>
      <c r="BD161" s="2046"/>
      <c r="BE161" s="2046"/>
      <c r="BF161" s="2046"/>
      <c r="BG161" s="2046"/>
      <c r="BH161" s="2046"/>
      <c r="BI161" s="2046"/>
      <c r="BJ161" s="2046"/>
      <c r="BK161" s="2046"/>
      <c r="BL161" s="2046"/>
      <c r="BM161" s="2047"/>
      <c r="BN161" s="2047"/>
      <c r="BO161" s="2047"/>
      <c r="BP161" s="2047"/>
      <c r="BQ161" s="2047"/>
      <c r="BR161" s="2047"/>
      <c r="BS161" s="2047"/>
      <c r="BT161" s="2047"/>
      <c r="BU161" s="2047"/>
      <c r="BV161" s="2047"/>
      <c r="BW161" s="2047"/>
      <c r="BX161" s="2047"/>
      <c r="BY161" s="2047"/>
      <c r="BZ161" s="2047"/>
      <c r="CA161" s="2047"/>
      <c r="CB161" s="2047"/>
    </row>
    <row r="162" spans="1:80">
      <c r="A162" s="2047"/>
      <c r="C162" s="2046"/>
      <c r="D162" s="2046"/>
      <c r="E162" s="2046"/>
      <c r="F162" s="2046"/>
      <c r="G162" s="2046"/>
      <c r="H162" s="2046"/>
      <c r="I162" s="2046"/>
      <c r="J162" s="2046"/>
      <c r="K162" s="2046"/>
      <c r="L162" s="2046"/>
      <c r="M162" s="2046"/>
      <c r="N162" s="2046"/>
      <c r="O162" s="2046"/>
      <c r="P162" s="2046"/>
      <c r="Q162" s="2046"/>
      <c r="R162" s="2046"/>
      <c r="S162" s="2046"/>
      <c r="T162" s="2046"/>
      <c r="U162" s="2046"/>
      <c r="V162" s="2046"/>
      <c r="W162" s="2046"/>
      <c r="X162" s="2046"/>
      <c r="Y162" s="2046"/>
      <c r="Z162" s="2046"/>
      <c r="AA162" s="2046"/>
      <c r="AB162" s="2046"/>
      <c r="AC162" s="2046"/>
      <c r="AD162" s="2046"/>
      <c r="AE162" s="2046"/>
      <c r="AF162" s="2046"/>
      <c r="AG162" s="2046"/>
      <c r="AH162" s="2046"/>
      <c r="AI162" s="2046"/>
      <c r="AJ162" s="2046"/>
      <c r="AK162" s="2046"/>
      <c r="AL162" s="2046"/>
      <c r="AM162" s="2046"/>
      <c r="AN162" s="2046"/>
      <c r="AO162" s="2046"/>
      <c r="AP162" s="2046"/>
      <c r="AQ162" s="2046"/>
      <c r="AR162" s="2046"/>
      <c r="AS162" s="2046"/>
      <c r="AT162" s="2046"/>
      <c r="AU162" s="2046"/>
      <c r="AV162" s="2046"/>
      <c r="AW162" s="2046"/>
      <c r="AX162" s="2046"/>
      <c r="AY162" s="2046"/>
      <c r="AZ162" s="2046"/>
      <c r="BA162" s="2046"/>
      <c r="BB162" s="2046"/>
      <c r="BC162" s="2046"/>
      <c r="BD162" s="2046"/>
      <c r="BE162" s="2046"/>
      <c r="BF162" s="2046"/>
      <c r="BG162" s="2046"/>
      <c r="BH162" s="2046"/>
      <c r="BI162" s="2046"/>
      <c r="BJ162" s="2046"/>
      <c r="BK162" s="2046"/>
      <c r="BL162" s="2046"/>
      <c r="BM162" s="2047"/>
      <c r="BN162" s="2047"/>
      <c r="BO162" s="2047"/>
      <c r="BP162" s="2047"/>
      <c r="BQ162" s="2047"/>
      <c r="BR162" s="2047"/>
      <c r="BS162" s="2047"/>
      <c r="BT162" s="2047"/>
      <c r="BU162" s="2047"/>
      <c r="BV162" s="2047"/>
      <c r="BW162" s="2047"/>
      <c r="BX162" s="2047"/>
      <c r="BY162" s="2047"/>
      <c r="BZ162" s="2047"/>
      <c r="CA162" s="2047"/>
      <c r="CB162" s="2047"/>
    </row>
    <row r="163" spans="1:80">
      <c r="A163" s="2047"/>
      <c r="C163" s="2046"/>
      <c r="D163" s="2046"/>
      <c r="E163" s="2046"/>
      <c r="F163" s="2046"/>
      <c r="G163" s="2046"/>
      <c r="H163" s="2046"/>
      <c r="I163" s="2046"/>
      <c r="J163" s="2046"/>
      <c r="K163" s="2046"/>
      <c r="L163" s="2046"/>
      <c r="M163" s="2046"/>
      <c r="N163" s="2046"/>
      <c r="O163" s="2046"/>
      <c r="P163" s="2046"/>
      <c r="Q163" s="2046"/>
      <c r="R163" s="2046"/>
      <c r="S163" s="2046"/>
      <c r="T163" s="2046"/>
      <c r="U163" s="2046"/>
      <c r="V163" s="2046"/>
      <c r="W163" s="2046"/>
      <c r="X163" s="2046"/>
      <c r="Y163" s="2046"/>
      <c r="Z163" s="2046"/>
      <c r="AA163" s="2046"/>
      <c r="AB163" s="2046"/>
      <c r="AC163" s="2046"/>
      <c r="AD163" s="2046"/>
      <c r="AE163" s="2046"/>
      <c r="AF163" s="2046"/>
      <c r="AG163" s="2046"/>
      <c r="AH163" s="2046"/>
      <c r="AI163" s="2046"/>
      <c r="AJ163" s="2046"/>
      <c r="AK163" s="2046"/>
      <c r="AL163" s="2046"/>
      <c r="AM163" s="2046"/>
      <c r="AN163" s="2046"/>
      <c r="AO163" s="2046"/>
      <c r="AP163" s="2046"/>
      <c r="AQ163" s="2046"/>
      <c r="AR163" s="2046"/>
      <c r="AS163" s="2046"/>
      <c r="AT163" s="2046"/>
      <c r="AU163" s="2046"/>
      <c r="AV163" s="2046"/>
      <c r="AW163" s="2046"/>
      <c r="AX163" s="2046"/>
      <c r="AY163" s="2046"/>
      <c r="AZ163" s="2046"/>
      <c r="BA163" s="2046"/>
      <c r="BB163" s="2046"/>
      <c r="BC163" s="2046"/>
      <c r="BD163" s="2046"/>
      <c r="BE163" s="2046"/>
      <c r="BF163" s="2046"/>
      <c r="BG163" s="2046"/>
      <c r="BH163" s="2046"/>
      <c r="BI163" s="2046"/>
      <c r="BJ163" s="2046"/>
      <c r="BK163" s="2046"/>
      <c r="BL163" s="2046"/>
      <c r="BM163" s="2047"/>
      <c r="BN163" s="2047"/>
      <c r="BO163" s="2047"/>
      <c r="BP163" s="2047"/>
      <c r="BQ163" s="2047"/>
      <c r="BR163" s="2047"/>
      <c r="BS163" s="2047"/>
      <c r="BT163" s="2047"/>
      <c r="BU163" s="2047"/>
      <c r="BV163" s="2047"/>
      <c r="BW163" s="2047"/>
      <c r="BX163" s="2047"/>
      <c r="BY163" s="2047"/>
      <c r="BZ163" s="2047"/>
      <c r="CA163" s="2047"/>
      <c r="CB163" s="2047"/>
    </row>
    <row r="164" spans="1:80">
      <c r="A164" s="2047"/>
      <c r="C164" s="2046"/>
      <c r="D164" s="2046"/>
      <c r="E164" s="2046"/>
      <c r="F164" s="2046"/>
      <c r="G164" s="2046"/>
      <c r="H164" s="2046"/>
      <c r="I164" s="2046"/>
      <c r="J164" s="2046"/>
      <c r="K164" s="2046"/>
      <c r="L164" s="2046"/>
      <c r="M164" s="2046"/>
      <c r="N164" s="2046"/>
      <c r="O164" s="2046"/>
      <c r="P164" s="2046"/>
      <c r="Q164" s="2046"/>
      <c r="R164" s="2046"/>
      <c r="S164" s="2046"/>
      <c r="T164" s="2046"/>
      <c r="U164" s="2046"/>
      <c r="V164" s="2046"/>
      <c r="W164" s="2046"/>
      <c r="X164" s="2046"/>
      <c r="Y164" s="2046"/>
      <c r="Z164" s="2046"/>
      <c r="AA164" s="2046"/>
      <c r="AB164" s="2046"/>
      <c r="AC164" s="2046"/>
      <c r="AD164" s="2046"/>
      <c r="AE164" s="2046"/>
      <c r="AF164" s="2046"/>
      <c r="AG164" s="2046"/>
      <c r="AH164" s="2046"/>
      <c r="AI164" s="2046"/>
      <c r="AJ164" s="2046"/>
      <c r="AK164" s="2046"/>
      <c r="AL164" s="2046"/>
      <c r="AM164" s="2046"/>
      <c r="AN164" s="2046"/>
      <c r="AO164" s="2046"/>
      <c r="AP164" s="2046"/>
      <c r="AQ164" s="2046"/>
      <c r="AR164" s="2046"/>
      <c r="AS164" s="2046"/>
      <c r="AT164" s="2046"/>
      <c r="AU164" s="2046"/>
      <c r="AV164" s="2046"/>
      <c r="AW164" s="2046"/>
      <c r="AX164" s="2046"/>
      <c r="AY164" s="2046"/>
      <c r="AZ164" s="2046"/>
      <c r="BA164" s="2046"/>
      <c r="BB164" s="2046"/>
      <c r="BC164" s="2046"/>
      <c r="BD164" s="2046"/>
      <c r="BE164" s="2046"/>
      <c r="BF164" s="2046"/>
      <c r="BG164" s="2046"/>
      <c r="BH164" s="2046"/>
      <c r="BI164" s="2046"/>
      <c r="BJ164" s="2046"/>
      <c r="BK164" s="2046"/>
      <c r="BL164" s="2046"/>
      <c r="BM164" s="2047"/>
      <c r="BN164" s="2047"/>
      <c r="BO164" s="2047"/>
      <c r="BP164" s="2047"/>
      <c r="BQ164" s="2047"/>
      <c r="BR164" s="2047"/>
      <c r="BS164" s="2047"/>
      <c r="BT164" s="2047"/>
      <c r="BU164" s="2047"/>
      <c r="BV164" s="2047"/>
      <c r="BW164" s="2047"/>
      <c r="BX164" s="2047"/>
      <c r="BY164" s="2047"/>
      <c r="BZ164" s="2047"/>
      <c r="CA164" s="2047"/>
      <c r="CB164" s="2047"/>
    </row>
    <row r="165" spans="1:80">
      <c r="A165" s="2047"/>
      <c r="C165" s="2046"/>
      <c r="D165" s="2046"/>
      <c r="E165" s="2046"/>
      <c r="F165" s="2046"/>
      <c r="G165" s="2046"/>
      <c r="H165" s="2046"/>
      <c r="I165" s="2046"/>
      <c r="J165" s="2046"/>
      <c r="K165" s="2046"/>
      <c r="L165" s="2046"/>
      <c r="M165" s="2046"/>
      <c r="N165" s="2046"/>
      <c r="O165" s="2046"/>
      <c r="P165" s="2046"/>
      <c r="Q165" s="2046"/>
      <c r="R165" s="2046"/>
      <c r="S165" s="2046"/>
      <c r="T165" s="2046"/>
      <c r="U165" s="2046"/>
      <c r="V165" s="2046"/>
      <c r="W165" s="2046"/>
      <c r="X165" s="2046"/>
      <c r="Y165" s="2046"/>
      <c r="Z165" s="2046"/>
      <c r="AA165" s="2046"/>
      <c r="AB165" s="2046"/>
      <c r="AC165" s="2046"/>
      <c r="AD165" s="2046"/>
      <c r="AE165" s="2046"/>
      <c r="AF165" s="2046"/>
      <c r="AG165" s="2046"/>
      <c r="AH165" s="2046"/>
      <c r="AI165" s="2046"/>
      <c r="AJ165" s="2046"/>
      <c r="AK165" s="2046"/>
      <c r="AL165" s="2046"/>
      <c r="AM165" s="2046"/>
      <c r="AN165" s="2046"/>
      <c r="AO165" s="2046"/>
      <c r="AP165" s="2046"/>
      <c r="AQ165" s="2046"/>
      <c r="AR165" s="2046"/>
      <c r="AS165" s="2046"/>
      <c r="AT165" s="2046"/>
      <c r="AU165" s="2046"/>
      <c r="AV165" s="2046"/>
      <c r="AW165" s="2046"/>
      <c r="AX165" s="2046"/>
      <c r="AY165" s="2046"/>
      <c r="AZ165" s="2046"/>
      <c r="BA165" s="2046"/>
      <c r="BB165" s="2046"/>
      <c r="BC165" s="2046"/>
      <c r="BD165" s="2046"/>
      <c r="BE165" s="2046"/>
      <c r="BF165" s="2046"/>
      <c r="BG165" s="2046"/>
      <c r="BH165" s="2046"/>
      <c r="BI165" s="2046"/>
      <c r="BJ165" s="2046"/>
      <c r="BK165" s="2046"/>
      <c r="BL165" s="2046"/>
      <c r="BM165" s="2047"/>
      <c r="BN165" s="2047"/>
      <c r="BO165" s="2047"/>
      <c r="BP165" s="2047"/>
      <c r="BQ165" s="2047"/>
      <c r="BR165" s="2047"/>
      <c r="BS165" s="2047"/>
      <c r="BT165" s="2047"/>
      <c r="BU165" s="2047"/>
      <c r="BV165" s="2047"/>
      <c r="BW165" s="2047"/>
      <c r="BX165" s="2047"/>
      <c r="BY165" s="2047"/>
      <c r="BZ165" s="2047"/>
      <c r="CA165" s="2047"/>
      <c r="CB165" s="2047"/>
    </row>
  </sheetData>
  <mergeCells count="14">
    <mergeCell ref="BG3:BH3"/>
    <mergeCell ref="O4:P4"/>
    <mergeCell ref="U4:V4"/>
    <mergeCell ref="AK4:AL4"/>
    <mergeCell ref="AD3:AH3"/>
    <mergeCell ref="AK3:AL3"/>
    <mergeCell ref="AM3:AT3"/>
    <mergeCell ref="AV3:AW3"/>
    <mergeCell ref="J3:K3"/>
    <mergeCell ref="O3:S3"/>
    <mergeCell ref="U3:V3"/>
    <mergeCell ref="E3:F3"/>
    <mergeCell ref="L3:M3"/>
    <mergeCell ref="H3:I3"/>
  </mergeCells>
  <phoneticPr fontId="38" type="noConversion"/>
  <pageMargins left="0.47244094488188981" right="0.31496062992125984" top="0.27559055118110237" bottom="0.39370078740157483" header="0.15748031496062992" footer="0.15748031496062992"/>
  <pageSetup paperSize="9" fitToWidth="16" orientation="landscape" horizontalDpi="4294967293" r:id="rId1"/>
  <headerFooter alignWithMargins="0">
    <oddHeader>&amp;C&amp;F-&amp;A</oddHeader>
    <oddFooter>&amp;C&amp;P/&amp;N</oddFooter>
  </headerFooter>
  <colBreaks count="3" manualBreakCount="3">
    <brk id="32" max="1048575" man="1"/>
    <brk id="55" max="1048575" man="1"/>
    <brk id="7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7" r:id="rId4" name="Button 5">
              <controlPr defaultSize="0" print="0" autoFill="0" autoPict="0" macro="[0]!mFilterSuppl">
                <anchor moveWithCells="1" sizeWithCells="1">
                  <from>
                    <xdr:col>1</xdr:col>
                    <xdr:colOff>0</xdr:colOff>
                    <xdr:row>0</xdr:row>
                    <xdr:rowOff>0</xdr:rowOff>
                  </from>
                  <to>
                    <xdr:col>2</xdr:col>
                    <xdr:colOff>0</xdr:colOff>
                    <xdr:row>1</xdr:row>
                    <xdr:rowOff>0</xdr:rowOff>
                  </to>
                </anchor>
              </controlPr>
            </control>
          </mc:Choice>
        </mc:AlternateContent>
        <mc:AlternateContent xmlns:mc="http://schemas.openxmlformats.org/markup-compatibility/2006">
          <mc:Choice Requires="x14">
            <control shapeId="13383" r:id="rId5" name="Button 71">
              <controlPr defaultSize="0" print="0" autoFill="0" autoPict="0" macro="[0]!mSortSuppl">
                <anchor moveWithCells="1" sizeWithCells="1">
                  <from>
                    <xdr:col>2</xdr:col>
                    <xdr:colOff>0</xdr:colOff>
                    <xdr:row>0</xdr:row>
                    <xdr:rowOff>0</xdr:rowOff>
                  </from>
                  <to>
                    <xdr:col>7</xdr:col>
                    <xdr:colOff>19050</xdr:colOff>
                    <xdr:row>1</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
  <dimension ref="A1:BT90"/>
  <sheetViews>
    <sheetView workbookViewId="0">
      <selection activeCell="B8" sqref="B8"/>
    </sheetView>
  </sheetViews>
  <sheetFormatPr defaultColWidth="18.5703125" defaultRowHeight="12.75"/>
  <cols>
    <col min="1" max="1" width="21.28515625" style="15" customWidth="1"/>
    <col min="2" max="2" width="9.140625" style="15" bestFit="1" customWidth="1"/>
    <col min="3" max="3" width="11.28515625" style="15" bestFit="1" customWidth="1"/>
    <col min="4" max="4" width="11.5703125" style="15" bestFit="1" customWidth="1"/>
    <col min="5" max="5" width="7.28515625" style="15" bestFit="1" customWidth="1"/>
    <col min="6" max="6" width="9.140625" style="15" bestFit="1" customWidth="1"/>
    <col min="7" max="7" width="10" style="15" customWidth="1"/>
    <col min="8" max="8" width="9.140625" style="15" bestFit="1" customWidth="1"/>
    <col min="9" max="9" width="6.42578125" style="15" customWidth="1"/>
    <col min="10" max="10" width="9.140625" style="15" bestFit="1" customWidth="1"/>
    <col min="11" max="11" width="11.28515625" style="15" bestFit="1" customWidth="1"/>
    <col min="12" max="12" width="11.140625" style="44" customWidth="1"/>
    <col min="13" max="13" width="18.42578125" style="44" bestFit="1" customWidth="1"/>
    <col min="14" max="14" width="16.5703125" style="44" bestFit="1" customWidth="1"/>
    <col min="15" max="15" width="9.140625" style="44" bestFit="1" customWidth="1"/>
    <col min="16" max="16" width="27.42578125" style="44" bestFit="1" customWidth="1"/>
    <col min="17" max="17" width="9" style="44" bestFit="1" customWidth="1"/>
    <col min="18" max="18" width="19.140625" style="15" customWidth="1"/>
    <col min="19" max="19" width="14.85546875" style="44" bestFit="1" customWidth="1"/>
    <col min="20" max="20" width="18.42578125" style="44" bestFit="1" customWidth="1"/>
    <col min="21" max="21" width="16.85546875" style="44" bestFit="1" customWidth="1"/>
    <col min="22" max="22" width="6.28515625" style="44" customWidth="1"/>
    <col min="23" max="23" width="21.42578125" style="15" bestFit="1" customWidth="1"/>
    <col min="24" max="24" width="9.140625" style="15" bestFit="1" customWidth="1"/>
    <col min="25" max="25" width="11.28515625" style="44" bestFit="1" customWidth="1"/>
    <col min="26" max="26" width="11" style="44" bestFit="1" customWidth="1"/>
    <col min="27" max="27" width="3" style="44" bestFit="1" customWidth="1"/>
    <col min="28" max="28" width="9.140625" style="44" bestFit="1" customWidth="1"/>
    <col min="29" max="30" width="12.5703125" style="44" bestFit="1" customWidth="1"/>
    <col min="31" max="31" width="3" style="44" bestFit="1" customWidth="1"/>
    <col min="32" max="32" width="9.140625" style="44" bestFit="1" customWidth="1"/>
    <col min="33" max="34" width="12.5703125" style="44" bestFit="1" customWidth="1"/>
    <col min="35" max="35" width="3" style="44" bestFit="1" customWidth="1"/>
    <col min="36" max="36" width="9.140625" style="44" bestFit="1" customWidth="1"/>
    <col min="37" max="38" width="12.5703125" style="44" bestFit="1" customWidth="1"/>
    <col min="39" max="39" width="3" style="44" bestFit="1" customWidth="1"/>
    <col min="40" max="40" width="9.140625" style="44" bestFit="1" customWidth="1"/>
    <col min="41" max="42" width="12.42578125" style="44" bestFit="1" customWidth="1"/>
    <col min="43" max="43" width="3" style="44" bestFit="1" customWidth="1"/>
    <col min="44" max="44" width="9.140625" style="44" bestFit="1" customWidth="1"/>
    <col min="45" max="46" width="14.140625" style="44" bestFit="1" customWidth="1"/>
    <col min="47" max="47" width="61.140625" style="44" bestFit="1" customWidth="1"/>
    <col min="48" max="48" width="9.140625" style="44" bestFit="1" customWidth="1"/>
    <col min="49" max="49" width="14.140625" style="44" bestFit="1" customWidth="1"/>
    <col min="50" max="50" width="13.42578125" style="44" bestFit="1" customWidth="1"/>
    <col min="51" max="51" width="3" style="44" bestFit="1" customWidth="1"/>
    <col min="52" max="52" width="9.140625" style="44" bestFit="1" customWidth="1"/>
    <col min="53" max="53" width="14.140625" style="44" bestFit="1" customWidth="1"/>
    <col min="54" max="54" width="13.42578125" style="44" bestFit="1" customWidth="1"/>
    <col min="55" max="55" width="3" style="44" bestFit="1" customWidth="1"/>
    <col min="56" max="56" width="9.140625" style="44" bestFit="1" customWidth="1"/>
    <col min="57" max="57" width="14.5703125" style="44" customWidth="1"/>
    <col min="58" max="58" width="9.140625" style="44" bestFit="1" customWidth="1"/>
    <col min="59" max="59" width="3" style="44" bestFit="1" customWidth="1"/>
    <col min="60" max="60" width="9.140625" style="44" bestFit="1" customWidth="1"/>
    <col min="61" max="61" width="14" style="44" bestFit="1" customWidth="1"/>
    <col min="62" max="62" width="13.42578125" style="44" bestFit="1" customWidth="1"/>
    <col min="63" max="63" width="3" style="44" bestFit="1" customWidth="1"/>
    <col min="64" max="64" width="9.140625" style="44" bestFit="1" customWidth="1"/>
    <col min="65" max="65" width="14" style="44" bestFit="1" customWidth="1"/>
    <col min="66" max="66" width="13.42578125" style="44" bestFit="1" customWidth="1"/>
    <col min="67" max="67" width="3" style="44" bestFit="1" customWidth="1"/>
    <col min="68" max="68" width="9.140625" style="44" bestFit="1" customWidth="1"/>
    <col min="69" max="69" width="14" style="44" bestFit="1" customWidth="1"/>
    <col min="70" max="70" width="13.42578125" style="44" bestFit="1" customWidth="1"/>
    <col min="71" max="16384" width="18.5703125" style="44"/>
  </cols>
  <sheetData>
    <row r="1" spans="1:72" ht="22.5">
      <c r="A1" s="2125" t="s">
        <v>5152</v>
      </c>
      <c r="B1" s="255" t="s">
        <v>656</v>
      </c>
      <c r="C1" s="2126" t="s">
        <v>656</v>
      </c>
      <c r="D1" s="255" t="s">
        <v>656</v>
      </c>
      <c r="E1" s="2127"/>
      <c r="F1" s="255" t="s">
        <v>655</v>
      </c>
      <c r="G1" s="2126" t="s">
        <v>655</v>
      </c>
      <c r="H1" s="255" t="s">
        <v>655</v>
      </c>
      <c r="I1" s="2127"/>
      <c r="J1" s="255" t="s">
        <v>2155</v>
      </c>
      <c r="K1" s="2126" t="s">
        <v>2155</v>
      </c>
      <c r="L1" s="255" t="s">
        <v>2155</v>
      </c>
      <c r="M1" s="2126" t="s">
        <v>2155</v>
      </c>
      <c r="N1" s="255" t="s">
        <v>2155</v>
      </c>
      <c r="P1" s="2127"/>
      <c r="Q1" s="255" t="s">
        <v>2153</v>
      </c>
      <c r="R1" s="2126" t="str">
        <f>+Q1</f>
        <v>M5.1</v>
      </c>
      <c r="S1" s="255" t="str">
        <f>+R1</f>
        <v>M5.1</v>
      </c>
      <c r="T1" s="2126" t="str">
        <f>+S1</f>
        <v>M5.1</v>
      </c>
      <c r="U1" s="255" t="str">
        <f>+T1</f>
        <v>M5.1</v>
      </c>
      <c r="V1" s="255"/>
      <c r="W1" s="2125" t="s">
        <v>5152</v>
      </c>
      <c r="X1" s="255" t="s">
        <v>1735</v>
      </c>
      <c r="Y1" s="2126" t="str">
        <f>Z1</f>
        <v>BB1</v>
      </c>
      <c r="Z1" s="255" t="s">
        <v>1735</v>
      </c>
      <c r="AA1" s="255"/>
      <c r="AB1" s="2104" t="s">
        <v>2601</v>
      </c>
      <c r="AC1" s="2126" t="str">
        <f>AB1</f>
        <v>BB2.2</v>
      </c>
      <c r="AD1" s="2104" t="s">
        <v>2601</v>
      </c>
      <c r="AE1" s="2104"/>
      <c r="AF1" s="2104" t="s">
        <v>2603</v>
      </c>
      <c r="AG1" s="2126" t="str">
        <f>AF1</f>
        <v>BB3.2</v>
      </c>
      <c r="AH1" s="2104" t="s">
        <v>2603</v>
      </c>
      <c r="AI1" s="502"/>
      <c r="AJ1" s="2104" t="s">
        <v>2605</v>
      </c>
      <c r="AK1" s="2126" t="str">
        <f>AJ1</f>
        <v>BB4.2</v>
      </c>
      <c r="AL1" s="2104" t="s">
        <v>2605</v>
      </c>
      <c r="AM1" s="255"/>
      <c r="AN1" s="255" t="s">
        <v>1736</v>
      </c>
      <c r="AO1" s="2126" t="str">
        <f>AP1</f>
        <v>B1A</v>
      </c>
      <c r="AP1" s="255" t="s">
        <v>1736</v>
      </c>
      <c r="AQ1" s="255"/>
      <c r="AR1" s="255" t="str">
        <f>AS1</f>
        <v>B2A.2</v>
      </c>
      <c r="AS1" s="2126" t="str">
        <f>AT1</f>
        <v>B2A.2</v>
      </c>
      <c r="AT1" s="255" t="s">
        <v>2607</v>
      </c>
      <c r="AU1" s="502"/>
      <c r="AV1" s="255" t="str">
        <f>AW1</f>
        <v>B3A.2</v>
      </c>
      <c r="AW1" s="2126" t="str">
        <f>AX1</f>
        <v>B3A.2</v>
      </c>
      <c r="AX1" s="255" t="s">
        <v>2609</v>
      </c>
      <c r="AY1" s="255"/>
      <c r="AZ1" s="255" t="str">
        <f>BA1</f>
        <v>B4A.2</v>
      </c>
      <c r="BA1" s="2126" t="str">
        <f>BB1</f>
        <v>B4A.2</v>
      </c>
      <c r="BB1" s="255" t="s">
        <v>2611</v>
      </c>
      <c r="BC1" s="255"/>
      <c r="BD1" s="255" t="str">
        <f>BE1</f>
        <v>B1C</v>
      </c>
      <c r="BE1" s="2126" t="str">
        <f>BF1</f>
        <v>B1C</v>
      </c>
      <c r="BF1" s="255" t="s">
        <v>536</v>
      </c>
      <c r="BG1" s="255"/>
      <c r="BH1" s="255" t="str">
        <f>BI1</f>
        <v>B2C.2</v>
      </c>
      <c r="BI1" s="2126" t="str">
        <f>BJ1</f>
        <v>B2C.2</v>
      </c>
      <c r="BJ1" s="502" t="s">
        <v>2616</v>
      </c>
      <c r="BK1" s="255"/>
      <c r="BL1" s="255" t="str">
        <f>BM1</f>
        <v>B3C.2</v>
      </c>
      <c r="BM1" s="2126" t="str">
        <f>BN1</f>
        <v>B3C.2</v>
      </c>
      <c r="BN1" s="502" t="s">
        <v>2618</v>
      </c>
      <c r="BO1" s="255"/>
      <c r="BP1" s="255" t="str">
        <f>BQ1</f>
        <v>B4C.2</v>
      </c>
      <c r="BQ1" s="2126" t="str">
        <f>BR1</f>
        <v>B4C.2</v>
      </c>
      <c r="BR1" s="502" t="s">
        <v>2768</v>
      </c>
    </row>
    <row r="2" spans="1:72">
      <c r="A2" s="2128" t="s">
        <v>5153</v>
      </c>
      <c r="B2" s="5">
        <v>2017</v>
      </c>
      <c r="C2" s="2129">
        <v>2019</v>
      </c>
      <c r="D2" s="5">
        <v>2020</v>
      </c>
      <c r="E2" s="2130"/>
      <c r="F2" s="5">
        <v>2017</v>
      </c>
      <c r="G2" s="2129">
        <v>2019</v>
      </c>
      <c r="H2" s="5">
        <v>2020</v>
      </c>
      <c r="I2" s="2130"/>
      <c r="J2" s="5">
        <v>2017</v>
      </c>
      <c r="K2" s="2129">
        <v>2020</v>
      </c>
      <c r="L2" s="5">
        <v>2021</v>
      </c>
      <c r="M2" s="2129">
        <v>2022</v>
      </c>
      <c r="N2" s="5">
        <v>2023</v>
      </c>
      <c r="O2" s="5" t="s">
        <v>2985</v>
      </c>
      <c r="P2" s="2130"/>
      <c r="Q2" s="5">
        <v>2017</v>
      </c>
      <c r="R2" s="2129">
        <v>2020</v>
      </c>
      <c r="S2" s="5">
        <v>2021</v>
      </c>
      <c r="T2" s="2129">
        <v>2022</v>
      </c>
      <c r="U2" s="5">
        <v>2023</v>
      </c>
      <c r="V2" s="5"/>
      <c r="W2" s="2128" t="s">
        <v>5153</v>
      </c>
      <c r="X2" s="5">
        <v>2018</v>
      </c>
      <c r="Y2" s="2129">
        <v>2020</v>
      </c>
      <c r="Z2" s="5">
        <v>2021</v>
      </c>
      <c r="AA2" s="5"/>
      <c r="AB2" s="5">
        <v>2018</v>
      </c>
      <c r="AC2" s="2129">
        <v>2020</v>
      </c>
      <c r="AD2" s="5">
        <v>2021</v>
      </c>
      <c r="AF2" s="5">
        <v>2018</v>
      </c>
      <c r="AG2" s="2129">
        <v>2020</v>
      </c>
      <c r="AH2" s="5">
        <v>2021</v>
      </c>
      <c r="AJ2" s="5">
        <v>2018</v>
      </c>
      <c r="AK2" s="2129">
        <v>2020</v>
      </c>
      <c r="AL2" s="5">
        <v>2021</v>
      </c>
      <c r="AM2" s="5"/>
      <c r="AN2" s="5">
        <v>2018</v>
      </c>
      <c r="AO2" s="2129">
        <v>2020</v>
      </c>
      <c r="AP2" s="5">
        <v>2021</v>
      </c>
      <c r="AQ2" s="5"/>
      <c r="AR2" s="5">
        <v>2018</v>
      </c>
      <c r="AS2" s="2129">
        <v>2020</v>
      </c>
      <c r="AT2" s="5">
        <v>2021</v>
      </c>
      <c r="AU2" s="4"/>
      <c r="AV2" s="5">
        <v>2018</v>
      </c>
      <c r="AW2" s="2129">
        <v>2020</v>
      </c>
      <c r="AX2" s="5">
        <v>2021</v>
      </c>
      <c r="AY2" s="255"/>
      <c r="AZ2" s="5">
        <v>2018</v>
      </c>
      <c r="BA2" s="2129">
        <v>2020</v>
      </c>
      <c r="BB2" s="5">
        <v>2021</v>
      </c>
      <c r="BC2" s="255"/>
      <c r="BD2" s="5">
        <v>2018</v>
      </c>
      <c r="BE2" s="2129">
        <v>2020</v>
      </c>
      <c r="BF2" s="5">
        <v>2021</v>
      </c>
      <c r="BG2" s="255"/>
      <c r="BH2" s="5">
        <v>2018</v>
      </c>
      <c r="BI2" s="2129">
        <v>2020</v>
      </c>
      <c r="BJ2" s="5">
        <v>2021</v>
      </c>
      <c r="BK2" s="255"/>
      <c r="BL2" s="5">
        <v>2018</v>
      </c>
      <c r="BM2" s="2129">
        <v>2020</v>
      </c>
      <c r="BN2" s="5">
        <v>2021</v>
      </c>
      <c r="BO2" s="255"/>
      <c r="BP2" s="5">
        <v>2018</v>
      </c>
      <c r="BQ2" s="2129">
        <v>2020</v>
      </c>
      <c r="BR2" s="5">
        <v>2021</v>
      </c>
    </row>
    <row r="3" spans="1:72" s="2137" customFormat="1">
      <c r="A3" s="2131">
        <v>1</v>
      </c>
      <c r="B3" s="2132">
        <f>A3+1</f>
        <v>2</v>
      </c>
      <c r="C3" s="2133">
        <f t="shared" ref="C3:BN3" si="0">B3+1</f>
        <v>3</v>
      </c>
      <c r="D3" s="2132">
        <f t="shared" si="0"/>
        <v>4</v>
      </c>
      <c r="E3" s="2134">
        <f t="shared" si="0"/>
        <v>5</v>
      </c>
      <c r="F3" s="2132">
        <f t="shared" si="0"/>
        <v>6</v>
      </c>
      <c r="G3" s="2133">
        <f t="shared" si="0"/>
        <v>7</v>
      </c>
      <c r="H3" s="2132">
        <f t="shared" si="0"/>
        <v>8</v>
      </c>
      <c r="I3" s="2134">
        <f t="shared" si="0"/>
        <v>9</v>
      </c>
      <c r="J3" s="2132">
        <f t="shared" si="0"/>
        <v>10</v>
      </c>
      <c r="K3" s="2133">
        <f t="shared" si="0"/>
        <v>11</v>
      </c>
      <c r="L3" s="2132">
        <f t="shared" si="0"/>
        <v>12</v>
      </c>
      <c r="M3" s="2133">
        <f t="shared" si="0"/>
        <v>13</v>
      </c>
      <c r="N3" s="2132">
        <f t="shared" si="0"/>
        <v>14</v>
      </c>
      <c r="O3" s="2132">
        <f t="shared" si="0"/>
        <v>15</v>
      </c>
      <c r="P3" s="2134">
        <f t="shared" si="0"/>
        <v>16</v>
      </c>
      <c r="Q3" s="2132">
        <f t="shared" si="0"/>
        <v>17</v>
      </c>
      <c r="R3" s="2133">
        <f t="shared" si="0"/>
        <v>18</v>
      </c>
      <c r="S3" s="2132">
        <f t="shared" si="0"/>
        <v>19</v>
      </c>
      <c r="T3" s="2133">
        <f t="shared" si="0"/>
        <v>20</v>
      </c>
      <c r="U3" s="2132">
        <f t="shared" si="0"/>
        <v>21</v>
      </c>
      <c r="V3" s="2132">
        <f t="shared" si="0"/>
        <v>22</v>
      </c>
      <c r="W3" s="2132">
        <f t="shared" si="0"/>
        <v>23</v>
      </c>
      <c r="X3" s="2132">
        <f t="shared" si="0"/>
        <v>24</v>
      </c>
      <c r="Y3" s="2133">
        <f t="shared" si="0"/>
        <v>25</v>
      </c>
      <c r="Z3" s="2132">
        <f t="shared" si="0"/>
        <v>26</v>
      </c>
      <c r="AA3" s="2135">
        <f t="shared" si="0"/>
        <v>27</v>
      </c>
      <c r="AB3" s="2132">
        <f t="shared" si="0"/>
        <v>28</v>
      </c>
      <c r="AC3" s="2133">
        <f t="shared" si="0"/>
        <v>29</v>
      </c>
      <c r="AD3" s="2132">
        <f t="shared" si="0"/>
        <v>30</v>
      </c>
      <c r="AE3" s="2135">
        <f t="shared" si="0"/>
        <v>31</v>
      </c>
      <c r="AF3" s="2132">
        <f t="shared" si="0"/>
        <v>32</v>
      </c>
      <c r="AG3" s="2133">
        <f>AF3+1</f>
        <v>33</v>
      </c>
      <c r="AH3" s="2132">
        <f t="shared" si="0"/>
        <v>34</v>
      </c>
      <c r="AI3" s="2135">
        <f t="shared" si="0"/>
        <v>35</v>
      </c>
      <c r="AJ3" s="2132">
        <f t="shared" si="0"/>
        <v>36</v>
      </c>
      <c r="AK3" s="2133">
        <f t="shared" si="0"/>
        <v>37</v>
      </c>
      <c r="AL3" s="2132">
        <f t="shared" si="0"/>
        <v>38</v>
      </c>
      <c r="AM3" s="2135">
        <f t="shared" si="0"/>
        <v>39</v>
      </c>
      <c r="AN3" s="2132">
        <f t="shared" si="0"/>
        <v>40</v>
      </c>
      <c r="AO3" s="2133">
        <f t="shared" si="0"/>
        <v>41</v>
      </c>
      <c r="AP3" s="2132">
        <f t="shared" si="0"/>
        <v>42</v>
      </c>
      <c r="AQ3" s="2136">
        <f t="shared" si="0"/>
        <v>43</v>
      </c>
      <c r="AR3" s="2132">
        <f t="shared" si="0"/>
        <v>44</v>
      </c>
      <c r="AS3" s="2133">
        <f t="shared" si="0"/>
        <v>45</v>
      </c>
      <c r="AT3" s="2132">
        <f t="shared" si="0"/>
        <v>46</v>
      </c>
      <c r="AU3" s="2136">
        <f t="shared" si="0"/>
        <v>47</v>
      </c>
      <c r="AV3" s="2132">
        <f t="shared" si="0"/>
        <v>48</v>
      </c>
      <c r="AW3" s="2133">
        <f t="shared" si="0"/>
        <v>49</v>
      </c>
      <c r="AX3" s="2132">
        <f t="shared" si="0"/>
        <v>50</v>
      </c>
      <c r="AY3" s="2136">
        <f t="shared" si="0"/>
        <v>51</v>
      </c>
      <c r="AZ3" s="2132">
        <f t="shared" si="0"/>
        <v>52</v>
      </c>
      <c r="BA3" s="2133">
        <f t="shared" si="0"/>
        <v>53</v>
      </c>
      <c r="BB3" s="2132">
        <f t="shared" si="0"/>
        <v>54</v>
      </c>
      <c r="BC3" s="2136">
        <f t="shared" si="0"/>
        <v>55</v>
      </c>
      <c r="BD3" s="2132">
        <f t="shared" si="0"/>
        <v>56</v>
      </c>
      <c r="BE3" s="2133">
        <f t="shared" si="0"/>
        <v>57</v>
      </c>
      <c r="BF3" s="2132">
        <f t="shared" si="0"/>
        <v>58</v>
      </c>
      <c r="BG3" s="2136">
        <f t="shared" si="0"/>
        <v>59</v>
      </c>
      <c r="BH3" s="2132">
        <f t="shared" si="0"/>
        <v>60</v>
      </c>
      <c r="BI3" s="2133">
        <f t="shared" si="0"/>
        <v>61</v>
      </c>
      <c r="BJ3" s="2132">
        <f t="shared" si="0"/>
        <v>62</v>
      </c>
      <c r="BK3" s="2136">
        <f t="shared" si="0"/>
        <v>63</v>
      </c>
      <c r="BL3" s="2132">
        <f t="shared" si="0"/>
        <v>64</v>
      </c>
      <c r="BM3" s="2133">
        <f t="shared" si="0"/>
        <v>65</v>
      </c>
      <c r="BN3" s="2132">
        <f t="shared" si="0"/>
        <v>66</v>
      </c>
      <c r="BO3" s="2136">
        <f>BN3+1</f>
        <v>67</v>
      </c>
      <c r="BP3" s="2132">
        <f>BO3+1</f>
        <v>68</v>
      </c>
      <c r="BQ3" s="2133">
        <f>BP3+1</f>
        <v>69</v>
      </c>
      <c r="BR3" s="2132">
        <f>BQ3+1</f>
        <v>70</v>
      </c>
      <c r="BS3" s="2136"/>
      <c r="BT3" s="2132"/>
    </row>
    <row r="4" spans="1:72" ht="18" customHeight="1">
      <c r="A4" s="2128" t="s">
        <v>5154</v>
      </c>
      <c r="B4" s="2138" t="s">
        <v>2233</v>
      </c>
      <c r="C4" s="2139" t="s">
        <v>5155</v>
      </c>
      <c r="D4" s="2138">
        <v>2020</v>
      </c>
      <c r="E4" s="2140"/>
      <c r="F4" s="2138" t="s">
        <v>2234</v>
      </c>
      <c r="G4" s="2139" t="s">
        <v>5155</v>
      </c>
      <c r="H4" s="2138">
        <v>2020</v>
      </c>
      <c r="I4" s="2140"/>
      <c r="J4" s="2138" t="s">
        <v>648</v>
      </c>
      <c r="K4" s="2139" t="s">
        <v>5156</v>
      </c>
      <c r="L4" s="2138">
        <v>2021</v>
      </c>
      <c r="M4" s="2139" t="s">
        <v>5157</v>
      </c>
      <c r="N4" s="2138">
        <v>2023</v>
      </c>
      <c r="O4" s="2138">
        <v>2023</v>
      </c>
      <c r="P4" s="2140"/>
      <c r="Q4" s="2138" t="s">
        <v>1357</v>
      </c>
      <c r="R4" s="2139" t="s">
        <v>5156</v>
      </c>
      <c r="S4" s="2138">
        <v>2021</v>
      </c>
      <c r="T4" s="2139" t="s">
        <v>5157</v>
      </c>
      <c r="U4" s="2138">
        <v>2023</v>
      </c>
      <c r="V4" s="2138"/>
      <c r="W4" s="2128" t="s">
        <v>5154</v>
      </c>
      <c r="X4" s="2141" t="str">
        <f>X1</f>
        <v>BB1</v>
      </c>
      <c r="Y4" s="2139" t="s">
        <v>5156</v>
      </c>
      <c r="Z4" s="2138">
        <v>2021</v>
      </c>
      <c r="AA4" s="2138"/>
      <c r="AB4" s="2141" t="s">
        <v>122</v>
      </c>
      <c r="AC4" s="2139" t="s">
        <v>5156</v>
      </c>
      <c r="AD4" s="2138">
        <v>2021</v>
      </c>
      <c r="AF4" s="2141" t="s">
        <v>123</v>
      </c>
      <c r="AG4" s="2139" t="s">
        <v>5156</v>
      </c>
      <c r="AH4" s="2138">
        <v>2021</v>
      </c>
      <c r="AJ4" s="2141" t="s">
        <v>124</v>
      </c>
      <c r="AK4" s="2139" t="s">
        <v>5156</v>
      </c>
      <c r="AL4" s="2138">
        <v>2021</v>
      </c>
      <c r="AM4" s="2138"/>
      <c r="AN4" s="2141" t="str">
        <f>AN1</f>
        <v>B1A</v>
      </c>
      <c r="AO4" s="2139" t="s">
        <v>5156</v>
      </c>
      <c r="AP4" s="2138">
        <v>2021</v>
      </c>
      <c r="AQ4" s="2138"/>
      <c r="AR4" s="2141" t="str">
        <f>AR1</f>
        <v>B2A.2</v>
      </c>
      <c r="AS4" s="2139" t="s">
        <v>5156</v>
      </c>
      <c r="AT4" s="2138">
        <v>2021</v>
      </c>
      <c r="AU4" s="4"/>
      <c r="AV4" s="2141" t="str">
        <f>AV1</f>
        <v>B3A.2</v>
      </c>
      <c r="AW4" s="2139" t="s">
        <v>5156</v>
      </c>
      <c r="AX4" s="2138">
        <v>2021</v>
      </c>
      <c r="AY4" s="255"/>
      <c r="AZ4" s="2141" t="str">
        <f>AZ1</f>
        <v>B4A.2</v>
      </c>
      <c r="BA4" s="2139" t="s">
        <v>5156</v>
      </c>
      <c r="BB4" s="2138">
        <v>2021</v>
      </c>
      <c r="BC4" s="255"/>
      <c r="BD4" s="2141" t="str">
        <f>BD1</f>
        <v>B1C</v>
      </c>
      <c r="BE4" s="2139" t="s">
        <v>5156</v>
      </c>
      <c r="BF4" s="2138">
        <v>2021</v>
      </c>
      <c r="BG4" s="255"/>
      <c r="BH4" s="2141" t="str">
        <f>BH1</f>
        <v>B2C.2</v>
      </c>
      <c r="BI4" s="2139" t="s">
        <v>5156</v>
      </c>
      <c r="BJ4" s="2138">
        <v>2021</v>
      </c>
      <c r="BK4" s="255"/>
      <c r="BL4" s="2141" t="str">
        <f>BL1</f>
        <v>B3C.2</v>
      </c>
      <c r="BM4" s="2139" t="s">
        <v>5156</v>
      </c>
      <c r="BN4" s="2138">
        <v>2021</v>
      </c>
      <c r="BO4" s="255"/>
      <c r="BP4" s="2141" t="str">
        <f>BP1</f>
        <v>B4C.2</v>
      </c>
      <c r="BQ4" s="2139" t="s">
        <v>5156</v>
      </c>
      <c r="BR4" s="2138">
        <v>2021</v>
      </c>
    </row>
    <row r="5" spans="1:72" ht="33.75">
      <c r="A5" s="2128" t="s">
        <v>5158</v>
      </c>
      <c r="C5" s="2142"/>
      <c r="D5" s="1310" t="s">
        <v>5159</v>
      </c>
      <c r="E5" s="2140"/>
      <c r="G5" s="2142"/>
      <c r="H5" s="1310" t="s">
        <v>5160</v>
      </c>
      <c r="I5" s="2140"/>
      <c r="K5" s="2142"/>
      <c r="L5" s="1310" t="s">
        <v>5161</v>
      </c>
      <c r="M5" s="2142" t="s">
        <v>5162</v>
      </c>
      <c r="N5" s="2143" t="s">
        <v>5162</v>
      </c>
      <c r="O5" s="255" t="s">
        <v>5163</v>
      </c>
      <c r="P5" s="2140"/>
      <c r="R5" s="2142"/>
      <c r="S5" s="1310" t="s">
        <v>5161</v>
      </c>
      <c r="T5" s="2144" t="s">
        <v>5162</v>
      </c>
      <c r="U5" s="2143" t="s">
        <v>5162</v>
      </c>
      <c r="V5" s="2143"/>
      <c r="W5" s="2128" t="s">
        <v>5158</v>
      </c>
      <c r="X5" s="3443" t="s">
        <v>5164</v>
      </c>
      <c r="Y5" s="3443"/>
      <c r="Z5" s="3443"/>
      <c r="AA5" s="2143"/>
      <c r="AB5" s="3443" t="s">
        <v>5165</v>
      </c>
      <c r="AC5" s="3443"/>
      <c r="AD5" s="3443"/>
      <c r="AF5" s="3443" t="s">
        <v>5166</v>
      </c>
      <c r="AG5" s="3443"/>
      <c r="AH5" s="3443"/>
      <c r="AJ5" s="3443" t="s">
        <v>5167</v>
      </c>
      <c r="AK5" s="3443"/>
      <c r="AL5" s="3443"/>
      <c r="AN5" s="3443" t="s">
        <v>5168</v>
      </c>
      <c r="AO5" s="3443"/>
      <c r="AP5" s="3443"/>
      <c r="AR5" s="3443" t="s">
        <v>5169</v>
      </c>
      <c r="AS5" s="3443"/>
      <c r="AT5" s="3443"/>
      <c r="AU5" s="4"/>
      <c r="AV5" s="3443" t="s">
        <v>5170</v>
      </c>
      <c r="AW5" s="3443"/>
      <c r="AX5" s="3443"/>
      <c r="AZ5" s="3443" t="s">
        <v>5171</v>
      </c>
      <c r="BA5" s="3443"/>
      <c r="BB5" s="3443"/>
      <c r="BD5" s="3443" t="s">
        <v>5172</v>
      </c>
      <c r="BE5" s="3443"/>
      <c r="BF5" s="3443"/>
      <c r="BH5" s="3443" t="s">
        <v>5173</v>
      </c>
      <c r="BI5" s="3443"/>
      <c r="BJ5" s="3443"/>
      <c r="BL5" s="3443" t="s">
        <v>5174</v>
      </c>
      <c r="BM5" s="3443"/>
      <c r="BN5" s="3443"/>
      <c r="BP5" s="3443" t="s">
        <v>5175</v>
      </c>
      <c r="BQ5" s="3443"/>
      <c r="BR5" s="3443"/>
    </row>
    <row r="6" spans="1:72" s="2137" customFormat="1" ht="25.5">
      <c r="A6" s="2131" t="s">
        <v>5176</v>
      </c>
      <c r="B6" s="126" t="s">
        <v>4230</v>
      </c>
      <c r="C6" s="2145" t="s">
        <v>5177</v>
      </c>
      <c r="D6" s="59" t="s">
        <v>5178</v>
      </c>
      <c r="E6" s="2146"/>
      <c r="F6" s="126" t="s">
        <v>4230</v>
      </c>
      <c r="G6" s="2145" t="s">
        <v>5179</v>
      </c>
      <c r="H6" s="59" t="s">
        <v>5179</v>
      </c>
      <c r="I6" s="2146"/>
      <c r="J6" s="126" t="s">
        <v>2052</v>
      </c>
      <c r="K6" s="2145" t="s">
        <v>5180</v>
      </c>
      <c r="L6" s="59" t="s">
        <v>5180</v>
      </c>
      <c r="M6" s="2145" t="s">
        <v>5163</v>
      </c>
      <c r="N6" s="59" t="s">
        <v>5163</v>
      </c>
      <c r="O6" s="126"/>
      <c r="P6" s="2146"/>
      <c r="Q6" s="502" t="s">
        <v>2052</v>
      </c>
      <c r="R6" s="2145" t="s">
        <v>5180</v>
      </c>
      <c r="S6" s="59" t="s">
        <v>5180</v>
      </c>
      <c r="T6" s="2145" t="s">
        <v>5163</v>
      </c>
      <c r="U6" s="59" t="s">
        <v>5163</v>
      </c>
      <c r="V6" s="126"/>
      <c r="W6" s="2131" t="s">
        <v>5176</v>
      </c>
      <c r="X6" s="2147" t="s">
        <v>3303</v>
      </c>
      <c r="Y6" s="2148" t="str">
        <f>Z6</f>
        <v>BB1 +3,1%</v>
      </c>
      <c r="Z6" s="2147" t="s">
        <v>5181</v>
      </c>
      <c r="AA6" s="126"/>
      <c r="AB6" s="2147" t="s">
        <v>3303</v>
      </c>
      <c r="AC6" s="2148" t="str">
        <f>AD6</f>
        <v>BB2.2 +3,1%</v>
      </c>
      <c r="AD6" s="2147" t="s">
        <v>5182</v>
      </c>
      <c r="AF6" s="2147" t="s">
        <v>3303</v>
      </c>
      <c r="AG6" s="2148" t="str">
        <f>AH6</f>
        <v>BB3.2 +3,1%</v>
      </c>
      <c r="AH6" s="2147" t="s">
        <v>5183</v>
      </c>
      <c r="AI6" s="2147"/>
      <c r="AJ6" s="2147" t="s">
        <v>3303</v>
      </c>
      <c r="AK6" s="2148" t="str">
        <f>AL6</f>
        <v>BB4.2 +3,1%</v>
      </c>
      <c r="AL6" s="2147" t="s">
        <v>5184</v>
      </c>
      <c r="AM6" s="44"/>
      <c r="AN6" s="2147" t="s">
        <v>3303</v>
      </c>
      <c r="AO6" s="2148" t="str">
        <f>AP6</f>
        <v>B1A 07/2021 =BB1+3,1%</v>
      </c>
      <c r="AP6" s="2147" t="s">
        <v>5185</v>
      </c>
      <c r="AQ6" s="44"/>
      <c r="AR6" s="2147" t="s">
        <v>3303</v>
      </c>
      <c r="AS6" s="2148" t="str">
        <f>AT6</f>
        <v>B2A.2 07/2020 (=B2A2 OLD)</v>
      </c>
      <c r="AT6" s="2147" t="s">
        <v>5186</v>
      </c>
      <c r="AU6" s="4"/>
      <c r="AV6" s="2147" t="s">
        <v>3303</v>
      </c>
      <c r="AW6" s="2148" t="str">
        <f>AX6</f>
        <v>B3A.2 07/2020</v>
      </c>
      <c r="AX6" s="2149" t="s">
        <v>5187</v>
      </c>
      <c r="AY6" s="44"/>
      <c r="AZ6" s="2147" t="s">
        <v>3303</v>
      </c>
      <c r="BA6" s="2148" t="str">
        <f>BB6</f>
        <v>B4A.2 07/2020</v>
      </c>
      <c r="BB6" s="2149" t="s">
        <v>5188</v>
      </c>
      <c r="BC6" s="44"/>
      <c r="BD6" s="2147" t="s">
        <v>3303</v>
      </c>
      <c r="BE6" s="2148" t="str">
        <f>BF6</f>
        <v>B1C 
07/2020</v>
      </c>
      <c r="BF6" s="2149" t="s">
        <v>5189</v>
      </c>
      <c r="BG6" s="44"/>
      <c r="BH6" s="2147" t="s">
        <v>3303</v>
      </c>
      <c r="BI6" s="2148" t="str">
        <f>BJ6</f>
        <v>B2C.2 07/2020</v>
      </c>
      <c r="BJ6" s="2149" t="s">
        <v>5190</v>
      </c>
      <c r="BK6" s="44"/>
      <c r="BL6" s="2147" t="s">
        <v>3303</v>
      </c>
      <c r="BM6" s="2148" t="str">
        <f>BN6</f>
        <v>B3C.2 07/2020</v>
      </c>
      <c r="BN6" s="2149" t="s">
        <v>5191</v>
      </c>
      <c r="BO6" s="44"/>
      <c r="BP6" s="2147" t="s">
        <v>3303</v>
      </c>
      <c r="BQ6" s="2148" t="str">
        <f>BR6</f>
        <v>B4C.2 07/2020</v>
      </c>
      <c r="BR6" s="2149" t="s">
        <v>5192</v>
      </c>
    </row>
    <row r="7" spans="1:72" s="1996" customFormat="1" ht="25.5">
      <c r="A7" s="2131" t="s">
        <v>5193</v>
      </c>
      <c r="B7" s="1085" t="s">
        <v>5194</v>
      </c>
      <c r="C7" s="2150" t="s">
        <v>5195</v>
      </c>
      <c r="D7" s="1085" t="s">
        <v>5196</v>
      </c>
      <c r="E7" s="2151"/>
      <c r="F7" s="1085" t="s">
        <v>5194</v>
      </c>
      <c r="G7" s="2150" t="s">
        <v>5195</v>
      </c>
      <c r="H7" s="1085" t="s">
        <v>5196</v>
      </c>
      <c r="I7" s="2151"/>
      <c r="J7" s="1085" t="s">
        <v>5197</v>
      </c>
      <c r="K7" s="2150" t="s">
        <v>5198</v>
      </c>
      <c r="L7" s="1085" t="s">
        <v>5199</v>
      </c>
      <c r="M7" s="2150" t="s">
        <v>5200</v>
      </c>
      <c r="N7" s="2152" t="s">
        <v>5201</v>
      </c>
      <c r="O7" s="2153" t="s">
        <v>5202</v>
      </c>
      <c r="P7" s="2151"/>
      <c r="R7" s="2150" t="s">
        <v>5198</v>
      </c>
      <c r="S7" s="1085" t="s">
        <v>5199</v>
      </c>
      <c r="T7" s="2150" t="s">
        <v>5200</v>
      </c>
      <c r="U7" s="2152" t="s">
        <v>5201</v>
      </c>
      <c r="V7" s="2152"/>
      <c r="W7" s="2131" t="s">
        <v>5193</v>
      </c>
      <c r="X7" s="126" t="s">
        <v>5197</v>
      </c>
      <c r="Y7" s="2145" t="s">
        <v>5198</v>
      </c>
      <c r="Z7" s="126" t="s">
        <v>5199</v>
      </c>
      <c r="AA7" s="2154"/>
      <c r="AB7" s="126" t="s">
        <v>5197</v>
      </c>
      <c r="AC7" s="2145" t="s">
        <v>5198</v>
      </c>
      <c r="AD7" s="126" t="s">
        <v>5199</v>
      </c>
      <c r="AF7" s="126" t="s">
        <v>5197</v>
      </c>
      <c r="AG7" s="2145" t="s">
        <v>5198</v>
      </c>
      <c r="AH7" s="126" t="s">
        <v>5199</v>
      </c>
      <c r="AI7" s="2154"/>
      <c r="AJ7" s="126" t="s">
        <v>5197</v>
      </c>
      <c r="AK7" s="2145" t="s">
        <v>5198</v>
      </c>
      <c r="AL7" s="126" t="s">
        <v>5199</v>
      </c>
      <c r="AM7" s="44"/>
      <c r="AN7" s="126" t="s">
        <v>5197</v>
      </c>
      <c r="AO7" s="2145" t="s">
        <v>5198</v>
      </c>
      <c r="AP7" s="126" t="s">
        <v>5199</v>
      </c>
      <c r="AQ7" s="44"/>
      <c r="AR7" s="126" t="s">
        <v>5197</v>
      </c>
      <c r="AS7" s="2145" t="s">
        <v>5198</v>
      </c>
      <c r="AT7" s="126" t="s">
        <v>5199</v>
      </c>
      <c r="AU7" s="4"/>
      <c r="AV7" s="126" t="s">
        <v>5197</v>
      </c>
      <c r="AW7" s="2145" t="s">
        <v>5198</v>
      </c>
      <c r="AX7" s="2155" t="str">
        <f>+AT7</f>
        <v>&gt;=2021</v>
      </c>
      <c r="AY7" s="44"/>
      <c r="AZ7" s="126" t="s">
        <v>5197</v>
      </c>
      <c r="BA7" s="2145" t="s">
        <v>5198</v>
      </c>
      <c r="BB7" s="2155" t="str">
        <f>+AX7</f>
        <v>&gt;=2021</v>
      </c>
      <c r="BC7" s="44"/>
      <c r="BD7" s="126" t="s">
        <v>5197</v>
      </c>
      <c r="BE7" s="2145" t="s">
        <v>5198</v>
      </c>
      <c r="BF7" s="2155" t="str">
        <f>+BB7</f>
        <v>&gt;=2021</v>
      </c>
      <c r="BG7" s="44"/>
      <c r="BH7" s="126" t="s">
        <v>5197</v>
      </c>
      <c r="BI7" s="2145" t="s">
        <v>5198</v>
      </c>
      <c r="BJ7" s="2155" t="str">
        <f>+BF7</f>
        <v>&gt;=2021</v>
      </c>
      <c r="BK7" s="44"/>
      <c r="BL7" s="126" t="s">
        <v>5197</v>
      </c>
      <c r="BM7" s="2145" t="s">
        <v>5198</v>
      </c>
      <c r="BN7" s="2155" t="str">
        <f>+BJ7</f>
        <v>&gt;=2021</v>
      </c>
      <c r="BO7" s="44"/>
      <c r="BP7" s="126" t="s">
        <v>5197</v>
      </c>
      <c r="BQ7" s="2145" t="s">
        <v>5198</v>
      </c>
      <c r="BR7" s="2150" t="str">
        <f>+BN7</f>
        <v>&gt;=2021</v>
      </c>
    </row>
    <row r="8" spans="1:72" ht="13.5" thickBot="1">
      <c r="A8" s="2128" t="s">
        <v>5203</v>
      </c>
      <c r="B8" s="15" t="s">
        <v>656</v>
      </c>
      <c r="C8" s="2142" t="s">
        <v>5204</v>
      </c>
      <c r="D8" s="15" t="s">
        <v>5205</v>
      </c>
      <c r="E8" s="2140"/>
      <c r="F8" s="15" t="s">
        <v>655</v>
      </c>
      <c r="G8" s="2142" t="s">
        <v>5206</v>
      </c>
      <c r="H8" s="15" t="s">
        <v>5207</v>
      </c>
      <c r="I8" s="2140"/>
      <c r="K8" s="2142"/>
      <c r="M8" s="2142"/>
      <c r="P8" s="2140"/>
      <c r="R8" s="2142"/>
      <c r="S8" s="44">
        <v>33124</v>
      </c>
      <c r="T8" s="2142"/>
      <c r="W8" s="2128" t="s">
        <v>5203</v>
      </c>
      <c r="Y8" s="2142"/>
      <c r="Z8" s="15"/>
      <c r="AC8" s="2142"/>
      <c r="AG8" s="2142"/>
      <c r="AK8" s="2142"/>
      <c r="AO8" s="2142"/>
      <c r="AS8" s="2142"/>
      <c r="AU8" s="4"/>
      <c r="AW8" s="2142"/>
      <c r="BA8" s="2142"/>
      <c r="BE8" s="2142"/>
      <c r="BI8" s="2142"/>
      <c r="BM8" s="2142"/>
      <c r="BQ8" s="2142"/>
      <c r="BR8" s="2156"/>
    </row>
    <row r="9" spans="1:72" ht="19.5" customHeight="1">
      <c r="A9" s="2157">
        <v>0</v>
      </c>
      <c r="B9" s="2158">
        <v>16509.71</v>
      </c>
      <c r="C9" s="2159">
        <f>ROUND((B9+D9)/2,2)</f>
        <v>18587.86</v>
      </c>
      <c r="D9" s="2158">
        <v>20666</v>
      </c>
      <c r="E9" s="2140"/>
      <c r="F9" s="2158">
        <v>16658.45</v>
      </c>
      <c r="G9" s="2159">
        <f>ROUND((F9+H9)/2,2)</f>
        <v>19512.23</v>
      </c>
      <c r="H9" s="2158">
        <v>22366</v>
      </c>
      <c r="I9" s="2140"/>
      <c r="J9" s="2160">
        <v>19583.59</v>
      </c>
      <c r="K9" s="2161">
        <f>ROUND((J9+L9)/2,2)</f>
        <v>19583.59</v>
      </c>
      <c r="L9" s="2162">
        <v>19583.59</v>
      </c>
      <c r="M9" s="2161">
        <f>L9</f>
        <v>19583.59</v>
      </c>
      <c r="N9" s="2162">
        <f>M9</f>
        <v>19583.59</v>
      </c>
      <c r="O9" s="2162">
        <v>26296</v>
      </c>
      <c r="P9" s="2140"/>
      <c r="Q9" s="2163">
        <v>20327.27</v>
      </c>
      <c r="R9" s="2161">
        <f>ROUND((Q9+S9)/2,2)</f>
        <v>20327.27</v>
      </c>
      <c r="S9" s="2162">
        <f>MAX(Q9,L9)</f>
        <v>20327.27</v>
      </c>
      <c r="T9" s="2161">
        <f>S9</f>
        <v>20327.27</v>
      </c>
      <c r="U9" s="2162">
        <f>T9</f>
        <v>20327.27</v>
      </c>
      <c r="V9" s="3444" t="s">
        <v>5208</v>
      </c>
      <c r="W9" s="2128">
        <v>0</v>
      </c>
      <c r="X9" s="2158">
        <v>15122</v>
      </c>
      <c r="Y9" s="2159">
        <f>+ROUND((X9+Z9)/2,2)</f>
        <v>15356.39</v>
      </c>
      <c r="Z9" s="2158">
        <v>15590.78</v>
      </c>
      <c r="AA9" s="2158"/>
      <c r="AB9" s="2158">
        <v>17122</v>
      </c>
      <c r="AC9" s="2159">
        <f>+ROUND((AB9+AD9)/2,2)</f>
        <v>17387.39</v>
      </c>
      <c r="AD9" s="2158">
        <v>17652.78</v>
      </c>
      <c r="AE9" s="2158"/>
      <c r="AF9" s="2158">
        <v>19122</v>
      </c>
      <c r="AG9" s="2159">
        <f>+ROUND((AF9+AH9)/2,2)</f>
        <v>19418.39</v>
      </c>
      <c r="AH9" s="2158">
        <v>19714.78</v>
      </c>
      <c r="AI9" s="2158"/>
      <c r="AJ9" s="2158">
        <v>18220</v>
      </c>
      <c r="AK9" s="2159">
        <f>+ROUND((AJ9+AL9)/2,2)</f>
        <v>18502.41</v>
      </c>
      <c r="AL9" s="2158">
        <v>18784.82</v>
      </c>
      <c r="AN9" s="2164">
        <v>15122</v>
      </c>
      <c r="AO9" s="2159">
        <f>+ROUND((AN9+AP9)/2,2)</f>
        <v>15356.39</v>
      </c>
      <c r="AP9" s="2164">
        <v>15590.78</v>
      </c>
      <c r="AR9" s="2164">
        <v>18122</v>
      </c>
      <c r="AS9" s="2159">
        <f>+ROUND((AR9+AT9)/2,2)</f>
        <v>18122</v>
      </c>
      <c r="AT9" s="2165">
        <v>18122</v>
      </c>
      <c r="AU9" s="4"/>
      <c r="AV9" s="2164">
        <v>21078.61</v>
      </c>
      <c r="AW9" s="2159">
        <f>+ROUND((AV9+AX9)/2,2)</f>
        <v>21078.61</v>
      </c>
      <c r="AX9" s="2165">
        <v>21078.61</v>
      </c>
      <c r="AZ9" s="2164">
        <v>21494.16</v>
      </c>
      <c r="BA9" s="2159">
        <f>+ROUND((AZ9+BB9)/2,2)</f>
        <v>21494.16</v>
      </c>
      <c r="BB9" s="2165">
        <v>21494.16</v>
      </c>
      <c r="BD9" s="2164">
        <v>15476.56</v>
      </c>
      <c r="BE9" s="2159">
        <f t="shared" ref="BE9:BE59" si="1">+ROUND((BD9+BF9)/2,2)</f>
        <v>15533.67</v>
      </c>
      <c r="BF9" s="2158">
        <v>15590.78</v>
      </c>
      <c r="BH9" s="2164">
        <v>17976.560000000001</v>
      </c>
      <c r="BI9" s="2159">
        <f t="shared" ref="BI9:BI59" si="2">+ROUND((BH9+BJ9)/2,2)</f>
        <v>17976.560000000001</v>
      </c>
      <c r="BJ9" s="2165">
        <v>17976.560000000001</v>
      </c>
      <c r="BL9" s="2164">
        <v>20476.560000000001</v>
      </c>
      <c r="BM9" s="2159">
        <f t="shared" ref="BM9:BM59" si="3">+ROUND((BL9+BN9)/2,2)</f>
        <v>20476.560000000001</v>
      </c>
      <c r="BN9" s="2165">
        <v>20476.560000000001</v>
      </c>
      <c r="BP9" s="2164">
        <v>20476.560000000001</v>
      </c>
      <c r="BQ9" s="2159">
        <f t="shared" ref="BQ9:BQ59" si="4">+ROUND((BP9+BR9)/2,2)</f>
        <v>20476.560000000001</v>
      </c>
      <c r="BR9" s="2165">
        <v>20476.560000000001</v>
      </c>
    </row>
    <row r="10" spans="1:72">
      <c r="A10" s="2157">
        <v>1</v>
      </c>
      <c r="B10" s="2158">
        <v>17005.5</v>
      </c>
      <c r="C10" s="2159">
        <f t="shared" ref="C10:C59" si="5">ROUND((B10+D10)/2,2)</f>
        <v>18930.75</v>
      </c>
      <c r="D10" s="2158">
        <v>20856</v>
      </c>
      <c r="E10" s="2140"/>
      <c r="F10" s="2158">
        <v>17186.47</v>
      </c>
      <c r="G10" s="2159">
        <f t="shared" ref="G10:G59" si="6">ROUND((F10+H10)/2,2)</f>
        <v>19876.240000000002</v>
      </c>
      <c r="H10" s="2158">
        <v>22566</v>
      </c>
      <c r="I10" s="2140"/>
      <c r="J10" s="2166">
        <v>20228.12</v>
      </c>
      <c r="K10" s="2167">
        <f t="shared" ref="K10:K59" si="7">ROUND((J10+L10)/2,2)</f>
        <v>20228.12</v>
      </c>
      <c r="L10" s="2168">
        <v>20228.12</v>
      </c>
      <c r="M10" s="2167">
        <f t="shared" ref="M10:N42" si="8">L10</f>
        <v>20228.12</v>
      </c>
      <c r="N10" s="2168">
        <f t="shared" si="8"/>
        <v>20228.12</v>
      </c>
      <c r="O10" s="2168">
        <v>26566</v>
      </c>
      <c r="P10" s="2140"/>
      <c r="Q10" s="2169">
        <v>20959.400000000001</v>
      </c>
      <c r="R10" s="2167">
        <f t="shared" ref="R10:R59" si="9">ROUND((Q10+S10)/2,2)</f>
        <v>20959.400000000001</v>
      </c>
      <c r="S10" s="2168">
        <f t="shared" ref="S10:S59" si="10">MAX(Q10,L10)</f>
        <v>20959.400000000001</v>
      </c>
      <c r="T10" s="2167">
        <f t="shared" ref="T10:U42" si="11">S10</f>
        <v>20959.400000000001</v>
      </c>
      <c r="U10" s="2168">
        <f t="shared" si="11"/>
        <v>20959.400000000001</v>
      </c>
      <c r="V10" s="3445"/>
      <c r="W10" s="2128">
        <v>1</v>
      </c>
      <c r="X10" s="2158">
        <v>15791</v>
      </c>
      <c r="Y10" s="2159">
        <f t="shared" ref="Y10:Y59" si="12">+ROUND((X10+Z10)/2,2)</f>
        <v>16035.76</v>
      </c>
      <c r="Z10" s="2158">
        <v>16280.52</v>
      </c>
      <c r="AA10" s="2158"/>
      <c r="AB10" s="2158">
        <v>17791</v>
      </c>
      <c r="AC10" s="2159">
        <f t="shared" ref="AC10:AC59" si="13">+ROUND((AB10+AD10)/2,2)</f>
        <v>18066.759999999998</v>
      </c>
      <c r="AD10" s="2158">
        <v>18342.52</v>
      </c>
      <c r="AE10" s="2158"/>
      <c r="AF10" s="2158">
        <v>19791</v>
      </c>
      <c r="AG10" s="2159">
        <f t="shared" ref="AG10:AG59" si="14">+ROUND((AF10+AH10)/2,2)</f>
        <v>20097.759999999998</v>
      </c>
      <c r="AH10" s="2158">
        <v>20404.52</v>
      </c>
      <c r="AI10" s="2158"/>
      <c r="AJ10" s="2158">
        <v>18914</v>
      </c>
      <c r="AK10" s="2159">
        <f t="shared" ref="AK10:AK59" si="15">+ROUND((AJ10+AL10)/2,2)</f>
        <v>19207.169999999998</v>
      </c>
      <c r="AL10" s="2158">
        <v>19500.330000000002</v>
      </c>
      <c r="AN10" s="2164">
        <v>15791</v>
      </c>
      <c r="AO10" s="2159">
        <f t="shared" ref="AO10:AO59" si="16">+ROUND((AN10+AP10)/2,2)</f>
        <v>16035.76</v>
      </c>
      <c r="AP10" s="2164">
        <v>16280.52</v>
      </c>
      <c r="AR10" s="2164">
        <v>18791</v>
      </c>
      <c r="AS10" s="2159">
        <f t="shared" ref="AS10:AS59" si="17">+ROUND((AR10+AT10)/2,2)</f>
        <v>18791</v>
      </c>
      <c r="AT10" s="2165">
        <v>18791</v>
      </c>
      <c r="AU10" s="4"/>
      <c r="AV10" s="2164">
        <v>21371.200000000001</v>
      </c>
      <c r="AW10" s="2159">
        <f t="shared" ref="AW10:AW59" si="18">+ROUND((AV10+AX10)/2,2)</f>
        <v>21371.200000000001</v>
      </c>
      <c r="AX10" s="2165">
        <v>21371.200000000001</v>
      </c>
      <c r="AZ10" s="2164">
        <v>21786.75</v>
      </c>
      <c r="BA10" s="2159">
        <f t="shared" ref="BA10:BA59" si="19">+ROUND((AZ10+BB10)/2,2)</f>
        <v>21786.75</v>
      </c>
      <c r="BB10" s="2165">
        <v>21786.75</v>
      </c>
      <c r="BD10" s="2164">
        <v>15791</v>
      </c>
      <c r="BE10" s="2159">
        <f t="shared" si="1"/>
        <v>16035.76</v>
      </c>
      <c r="BF10" s="2158">
        <v>16280.52</v>
      </c>
      <c r="BH10" s="2164">
        <v>18228.740000000002</v>
      </c>
      <c r="BI10" s="2159">
        <f t="shared" si="2"/>
        <v>18285.63</v>
      </c>
      <c r="BJ10" s="2158">
        <v>18342.52</v>
      </c>
      <c r="BL10" s="2164">
        <v>20728.740000000002</v>
      </c>
      <c r="BM10" s="2159">
        <f t="shared" si="3"/>
        <v>20728.740000000002</v>
      </c>
      <c r="BN10" s="2165">
        <v>20728.740000000002</v>
      </c>
      <c r="BP10" s="2164">
        <v>20728.740000000002</v>
      </c>
      <c r="BQ10" s="2159">
        <f t="shared" si="4"/>
        <v>20728.740000000002</v>
      </c>
      <c r="BR10" s="2165">
        <v>20728.740000000002</v>
      </c>
    </row>
    <row r="11" spans="1:72">
      <c r="A11" s="2157">
        <v>2</v>
      </c>
      <c r="B11" s="2158">
        <v>17501.29</v>
      </c>
      <c r="C11" s="2159">
        <f t="shared" si="5"/>
        <v>19283.650000000001</v>
      </c>
      <c r="D11" s="2158">
        <v>21066</v>
      </c>
      <c r="E11" s="2140"/>
      <c r="F11" s="2158">
        <v>17714.490000000002</v>
      </c>
      <c r="G11" s="2159">
        <f t="shared" si="6"/>
        <v>20240.25</v>
      </c>
      <c r="H11" s="2158">
        <v>22766</v>
      </c>
      <c r="I11" s="2140"/>
      <c r="J11" s="2166">
        <v>20872.650000000001</v>
      </c>
      <c r="K11" s="2167">
        <f t="shared" si="7"/>
        <v>20872.650000000001</v>
      </c>
      <c r="L11" s="2168">
        <v>20872.650000000001</v>
      </c>
      <c r="M11" s="2167">
        <f t="shared" si="8"/>
        <v>20872.650000000001</v>
      </c>
      <c r="N11" s="2168">
        <f t="shared" si="8"/>
        <v>20872.650000000001</v>
      </c>
      <c r="O11" s="2168">
        <v>26835</v>
      </c>
      <c r="P11" s="2140"/>
      <c r="Q11" s="2169">
        <v>21591.53</v>
      </c>
      <c r="R11" s="2167">
        <f t="shared" si="9"/>
        <v>21591.53</v>
      </c>
      <c r="S11" s="2168">
        <f t="shared" si="10"/>
        <v>21591.53</v>
      </c>
      <c r="T11" s="2167">
        <f t="shared" si="11"/>
        <v>21591.53</v>
      </c>
      <c r="U11" s="2168">
        <f t="shared" si="11"/>
        <v>21591.53</v>
      </c>
      <c r="V11" s="3445"/>
      <c r="W11" s="2128">
        <v>2</v>
      </c>
      <c r="X11" s="2158">
        <v>16460</v>
      </c>
      <c r="Y11" s="2159">
        <f t="shared" si="12"/>
        <v>16715.13</v>
      </c>
      <c r="Z11" s="2158">
        <v>16970.259999999998</v>
      </c>
      <c r="AA11" s="2158"/>
      <c r="AB11" s="2158">
        <v>18460</v>
      </c>
      <c r="AC11" s="2159">
        <f t="shared" si="13"/>
        <v>18746.13</v>
      </c>
      <c r="AD11" s="2158">
        <v>19032.259999999998</v>
      </c>
      <c r="AE11" s="2158"/>
      <c r="AF11" s="2158">
        <v>20460</v>
      </c>
      <c r="AG11" s="2159">
        <f t="shared" si="14"/>
        <v>20777.13</v>
      </c>
      <c r="AH11" s="2158">
        <v>21094.26</v>
      </c>
      <c r="AI11" s="2158"/>
      <c r="AJ11" s="2158">
        <v>19608</v>
      </c>
      <c r="AK11" s="2159">
        <f t="shared" si="15"/>
        <v>19911.919999999998</v>
      </c>
      <c r="AL11" s="2158">
        <v>20215.840000000004</v>
      </c>
      <c r="AN11" s="2164">
        <v>16460</v>
      </c>
      <c r="AO11" s="2159">
        <f t="shared" si="16"/>
        <v>16715.13</v>
      </c>
      <c r="AP11" s="2164">
        <v>16970.259999999998</v>
      </c>
      <c r="AR11" s="2164">
        <v>19460</v>
      </c>
      <c r="AS11" s="2159">
        <f t="shared" si="17"/>
        <v>19460</v>
      </c>
      <c r="AT11" s="2165">
        <v>19460</v>
      </c>
      <c r="AU11" s="4"/>
      <c r="AV11" s="2164">
        <v>21663.79</v>
      </c>
      <c r="AW11" s="2159">
        <f t="shared" si="18"/>
        <v>21663.79</v>
      </c>
      <c r="AX11" s="2165">
        <v>21663.79</v>
      </c>
      <c r="AZ11" s="2164">
        <v>22079.34</v>
      </c>
      <c r="BA11" s="2159">
        <f t="shared" si="19"/>
        <v>22079.34</v>
      </c>
      <c r="BB11" s="2165">
        <v>22079.34</v>
      </c>
      <c r="BD11" s="2164">
        <v>16460</v>
      </c>
      <c r="BE11" s="2159">
        <f t="shared" si="1"/>
        <v>16715.13</v>
      </c>
      <c r="BF11" s="2158">
        <v>16970.259999999998</v>
      </c>
      <c r="BH11" s="2164">
        <v>18480.919999999998</v>
      </c>
      <c r="BI11" s="2159">
        <f t="shared" si="2"/>
        <v>18756.59</v>
      </c>
      <c r="BJ11" s="2158">
        <v>19032.259999999998</v>
      </c>
      <c r="BL11" s="2164">
        <v>20980.92</v>
      </c>
      <c r="BM11" s="2159">
        <f t="shared" si="3"/>
        <v>21037.59</v>
      </c>
      <c r="BN11" s="2164">
        <v>21094.26</v>
      </c>
      <c r="BP11" s="2164">
        <v>20980.92</v>
      </c>
      <c r="BQ11" s="2159">
        <f t="shared" si="4"/>
        <v>20980.92</v>
      </c>
      <c r="BR11" s="2165">
        <v>20980.92</v>
      </c>
    </row>
    <row r="12" spans="1:72">
      <c r="A12" s="2157">
        <v>3</v>
      </c>
      <c r="B12" s="2158">
        <v>17997.080000000002</v>
      </c>
      <c r="C12" s="2159">
        <f t="shared" si="5"/>
        <v>19631.04</v>
      </c>
      <c r="D12" s="2158">
        <v>21265</v>
      </c>
      <c r="E12" s="2140"/>
      <c r="F12" s="2158">
        <v>18242.509999999998</v>
      </c>
      <c r="G12" s="2159">
        <f t="shared" si="6"/>
        <v>20603.759999999998</v>
      </c>
      <c r="H12" s="2158">
        <v>22965</v>
      </c>
      <c r="I12" s="2140"/>
      <c r="J12" s="2166">
        <v>21517.18</v>
      </c>
      <c r="K12" s="2167">
        <f t="shared" si="7"/>
        <v>21517.18</v>
      </c>
      <c r="L12" s="2168">
        <v>21517.18</v>
      </c>
      <c r="M12" s="2167">
        <f t="shared" si="8"/>
        <v>21517.18</v>
      </c>
      <c r="N12" s="2168">
        <f t="shared" si="8"/>
        <v>21517.18</v>
      </c>
      <c r="O12" s="2168">
        <v>27105</v>
      </c>
      <c r="P12" s="2140"/>
      <c r="Q12" s="2169">
        <v>22211.27</v>
      </c>
      <c r="R12" s="2167">
        <f t="shared" si="9"/>
        <v>22211.27</v>
      </c>
      <c r="S12" s="2168">
        <f t="shared" si="10"/>
        <v>22211.27</v>
      </c>
      <c r="T12" s="2167">
        <f t="shared" si="11"/>
        <v>22211.27</v>
      </c>
      <c r="U12" s="2168">
        <f t="shared" si="11"/>
        <v>22211.27</v>
      </c>
      <c r="V12" s="3445"/>
      <c r="W12" s="2128">
        <v>3</v>
      </c>
      <c r="X12" s="2158">
        <v>17129</v>
      </c>
      <c r="Y12" s="2159">
        <f t="shared" si="12"/>
        <v>17394.5</v>
      </c>
      <c r="Z12" s="2158">
        <v>17660</v>
      </c>
      <c r="AA12" s="2158"/>
      <c r="AB12" s="2158">
        <v>19129</v>
      </c>
      <c r="AC12" s="2159">
        <f t="shared" si="13"/>
        <v>19425.5</v>
      </c>
      <c r="AD12" s="2158">
        <v>19722</v>
      </c>
      <c r="AE12" s="2158"/>
      <c r="AF12" s="2158">
        <v>21129</v>
      </c>
      <c r="AG12" s="2159">
        <f t="shared" si="14"/>
        <v>21456.5</v>
      </c>
      <c r="AH12" s="2158">
        <v>21784</v>
      </c>
      <c r="AI12" s="2158"/>
      <c r="AJ12" s="2158">
        <v>20302</v>
      </c>
      <c r="AK12" s="2159">
        <f t="shared" si="15"/>
        <v>20616.68</v>
      </c>
      <c r="AL12" s="2158">
        <v>20931.350000000006</v>
      </c>
      <c r="AN12" s="2164">
        <v>17129</v>
      </c>
      <c r="AO12" s="2159">
        <f t="shared" si="16"/>
        <v>17394.5</v>
      </c>
      <c r="AP12" s="2164">
        <v>17660</v>
      </c>
      <c r="AR12" s="2164">
        <v>20129</v>
      </c>
      <c r="AS12" s="2159">
        <f t="shared" si="17"/>
        <v>20129</v>
      </c>
      <c r="AT12" s="2165">
        <v>20129</v>
      </c>
      <c r="AU12" s="4"/>
      <c r="AV12" s="2164">
        <v>21956.38</v>
      </c>
      <c r="AW12" s="2159">
        <f t="shared" si="18"/>
        <v>21956.38</v>
      </c>
      <c r="AX12" s="2165">
        <v>21956.38</v>
      </c>
      <c r="AZ12" s="2164">
        <v>22371.93</v>
      </c>
      <c r="BA12" s="2159">
        <f t="shared" si="19"/>
        <v>22371.93</v>
      </c>
      <c r="BB12" s="2165">
        <v>22371.93</v>
      </c>
      <c r="BD12" s="2164">
        <v>17129</v>
      </c>
      <c r="BE12" s="2159">
        <f t="shared" si="1"/>
        <v>17394.5</v>
      </c>
      <c r="BF12" s="2158">
        <v>17660</v>
      </c>
      <c r="BH12" s="2164">
        <v>18733.099999999999</v>
      </c>
      <c r="BI12" s="2159">
        <f t="shared" si="2"/>
        <v>19227.55</v>
      </c>
      <c r="BJ12" s="2158">
        <v>19722</v>
      </c>
      <c r="BL12" s="2164">
        <v>21233.1</v>
      </c>
      <c r="BM12" s="2159">
        <f t="shared" si="3"/>
        <v>21508.55</v>
      </c>
      <c r="BN12" s="2164">
        <v>21784</v>
      </c>
      <c r="BP12" s="2164">
        <v>21233.1</v>
      </c>
      <c r="BQ12" s="2159">
        <f t="shared" si="4"/>
        <v>21233.1</v>
      </c>
      <c r="BR12" s="2165">
        <v>21233.1</v>
      </c>
    </row>
    <row r="13" spans="1:72">
      <c r="A13" s="2157">
        <v>4</v>
      </c>
      <c r="B13" s="2158">
        <v>18433.38</v>
      </c>
      <c r="C13" s="2159">
        <f t="shared" si="5"/>
        <v>19949.189999999999</v>
      </c>
      <c r="D13" s="2158">
        <v>21465</v>
      </c>
      <c r="E13" s="2140"/>
      <c r="F13" s="2158">
        <v>18770.53</v>
      </c>
      <c r="G13" s="2159">
        <f t="shared" si="6"/>
        <v>20967.77</v>
      </c>
      <c r="H13" s="2158">
        <v>23165</v>
      </c>
      <c r="I13" s="2140"/>
      <c r="J13" s="2166">
        <v>22161.71</v>
      </c>
      <c r="K13" s="2167">
        <f t="shared" si="7"/>
        <v>22161.71</v>
      </c>
      <c r="L13" s="2168">
        <v>22161.71</v>
      </c>
      <c r="M13" s="2167">
        <f t="shared" si="8"/>
        <v>22161.71</v>
      </c>
      <c r="N13" s="2168">
        <f t="shared" si="8"/>
        <v>22161.71</v>
      </c>
      <c r="O13" s="2168">
        <v>27375</v>
      </c>
      <c r="P13" s="2140"/>
      <c r="Q13" s="2169">
        <v>22831.01</v>
      </c>
      <c r="R13" s="2167">
        <f t="shared" si="9"/>
        <v>22831.01</v>
      </c>
      <c r="S13" s="2168">
        <f t="shared" si="10"/>
        <v>22831.01</v>
      </c>
      <c r="T13" s="2167">
        <f t="shared" si="11"/>
        <v>22831.01</v>
      </c>
      <c r="U13" s="2168">
        <f t="shared" si="11"/>
        <v>22831.01</v>
      </c>
      <c r="V13" s="3445"/>
      <c r="W13" s="2128">
        <v>4</v>
      </c>
      <c r="X13" s="2158">
        <v>17129</v>
      </c>
      <c r="Y13" s="2159">
        <f t="shared" si="12"/>
        <v>17394.5</v>
      </c>
      <c r="Z13" s="2158">
        <v>17660</v>
      </c>
      <c r="AA13" s="2158"/>
      <c r="AB13" s="2158">
        <v>19129</v>
      </c>
      <c r="AC13" s="2159">
        <f t="shared" si="13"/>
        <v>19425.5</v>
      </c>
      <c r="AD13" s="2158">
        <v>19722</v>
      </c>
      <c r="AE13" s="2158"/>
      <c r="AF13" s="2158">
        <v>21129</v>
      </c>
      <c r="AG13" s="2159">
        <f t="shared" si="14"/>
        <v>21456.5</v>
      </c>
      <c r="AH13" s="2158">
        <v>21784</v>
      </c>
      <c r="AI13" s="2158"/>
      <c r="AJ13" s="2158">
        <v>20302</v>
      </c>
      <c r="AK13" s="2159">
        <f t="shared" si="15"/>
        <v>20616.68</v>
      </c>
      <c r="AL13" s="2158">
        <v>20931.350000000006</v>
      </c>
      <c r="AN13" s="2164">
        <v>17129</v>
      </c>
      <c r="AO13" s="2159">
        <f t="shared" si="16"/>
        <v>17394.5</v>
      </c>
      <c r="AP13" s="2164">
        <v>17660</v>
      </c>
      <c r="AR13" s="2164">
        <v>20129</v>
      </c>
      <c r="AS13" s="2159">
        <f t="shared" si="17"/>
        <v>20129</v>
      </c>
      <c r="AT13" s="2165">
        <v>20129</v>
      </c>
      <c r="AU13" s="4"/>
      <c r="AV13" s="2164">
        <v>21956.38</v>
      </c>
      <c r="AW13" s="2159">
        <f t="shared" si="18"/>
        <v>21956.38</v>
      </c>
      <c r="AX13" s="2165">
        <v>21956.38</v>
      </c>
      <c r="AZ13" s="2164">
        <v>22371.93</v>
      </c>
      <c r="BA13" s="2159">
        <f t="shared" si="19"/>
        <v>22371.93</v>
      </c>
      <c r="BB13" s="2165">
        <v>22371.93</v>
      </c>
      <c r="BD13" s="2164">
        <v>17129</v>
      </c>
      <c r="BE13" s="2159">
        <f t="shared" si="1"/>
        <v>17394.5</v>
      </c>
      <c r="BF13" s="2158">
        <v>17660</v>
      </c>
      <c r="BH13" s="2164">
        <v>18733.099999999999</v>
      </c>
      <c r="BI13" s="2159">
        <f t="shared" si="2"/>
        <v>19227.55</v>
      </c>
      <c r="BJ13" s="2158">
        <v>19722</v>
      </c>
      <c r="BL13" s="2164">
        <v>21233.1</v>
      </c>
      <c r="BM13" s="2159">
        <f t="shared" si="3"/>
        <v>21508.55</v>
      </c>
      <c r="BN13" s="2164">
        <v>21784</v>
      </c>
      <c r="BP13" s="2164">
        <v>21233.1</v>
      </c>
      <c r="BQ13" s="2159">
        <f t="shared" si="4"/>
        <v>21233.1</v>
      </c>
      <c r="BR13" s="2165">
        <v>21233.1</v>
      </c>
    </row>
    <row r="14" spans="1:72">
      <c r="A14" s="2157">
        <v>5</v>
      </c>
      <c r="B14" s="2158">
        <v>18869.68</v>
      </c>
      <c r="C14" s="2159">
        <f t="shared" si="5"/>
        <v>20267.34</v>
      </c>
      <c r="D14" s="2158">
        <v>21665</v>
      </c>
      <c r="E14" s="2140"/>
      <c r="F14" s="2158">
        <v>19298.55</v>
      </c>
      <c r="G14" s="2159">
        <f t="shared" si="6"/>
        <v>21331.78</v>
      </c>
      <c r="H14" s="2158">
        <v>23365</v>
      </c>
      <c r="I14" s="2140"/>
      <c r="J14" s="2166">
        <v>22806.240000000002</v>
      </c>
      <c r="K14" s="2167">
        <f t="shared" si="7"/>
        <v>22806.240000000002</v>
      </c>
      <c r="L14" s="2168">
        <v>22806.240000000002</v>
      </c>
      <c r="M14" s="2167">
        <f t="shared" si="8"/>
        <v>22806.240000000002</v>
      </c>
      <c r="N14" s="2168">
        <f t="shared" si="8"/>
        <v>22806.240000000002</v>
      </c>
      <c r="O14" s="2168">
        <v>27644</v>
      </c>
      <c r="P14" s="2140"/>
      <c r="Q14" s="2169">
        <v>23450.75</v>
      </c>
      <c r="R14" s="2167">
        <f t="shared" si="9"/>
        <v>23450.75</v>
      </c>
      <c r="S14" s="2168">
        <f t="shared" si="10"/>
        <v>23450.75</v>
      </c>
      <c r="T14" s="2167">
        <f t="shared" si="11"/>
        <v>23450.75</v>
      </c>
      <c r="U14" s="2168">
        <f t="shared" si="11"/>
        <v>23450.75</v>
      </c>
      <c r="V14" s="3445"/>
      <c r="W14" s="2128">
        <v>5</v>
      </c>
      <c r="X14" s="2158">
        <v>17724</v>
      </c>
      <c r="Y14" s="2159">
        <f t="shared" si="12"/>
        <v>17998.72</v>
      </c>
      <c r="Z14" s="2158">
        <v>18273.439999999999</v>
      </c>
      <c r="AA14" s="2158"/>
      <c r="AB14" s="2158">
        <v>19724</v>
      </c>
      <c r="AC14" s="2159">
        <f t="shared" si="13"/>
        <v>20029.72</v>
      </c>
      <c r="AD14" s="2158">
        <v>20335.439999999999</v>
      </c>
      <c r="AE14" s="2158"/>
      <c r="AF14" s="2158">
        <v>21724</v>
      </c>
      <c r="AG14" s="2159">
        <f t="shared" si="14"/>
        <v>22060.720000000001</v>
      </c>
      <c r="AH14" s="2158">
        <v>22397.439999999999</v>
      </c>
      <c r="AI14" s="2158"/>
      <c r="AJ14" s="2158">
        <v>21170</v>
      </c>
      <c r="AK14" s="2159">
        <f t="shared" si="15"/>
        <v>21498.14</v>
      </c>
      <c r="AL14" s="2158">
        <v>21826.27</v>
      </c>
      <c r="AN14" s="2164">
        <v>17724</v>
      </c>
      <c r="AO14" s="2159">
        <f t="shared" si="16"/>
        <v>17998.72</v>
      </c>
      <c r="AP14" s="2164">
        <v>18273.439999999999</v>
      </c>
      <c r="AR14" s="2164">
        <v>20724</v>
      </c>
      <c r="AS14" s="2159">
        <f t="shared" si="17"/>
        <v>20724</v>
      </c>
      <c r="AT14" s="2165">
        <v>20724</v>
      </c>
      <c r="AU14" s="4"/>
      <c r="AV14" s="2164">
        <v>22248.97</v>
      </c>
      <c r="AW14" s="2159">
        <f t="shared" si="18"/>
        <v>22323.21</v>
      </c>
      <c r="AX14" s="2158">
        <v>22397.439999999999</v>
      </c>
      <c r="AZ14" s="2164">
        <v>22664.52</v>
      </c>
      <c r="BA14" s="2159">
        <f t="shared" si="19"/>
        <v>22664.52</v>
      </c>
      <c r="BB14" s="2165">
        <v>22664.52</v>
      </c>
      <c r="BD14" s="2164">
        <v>17724</v>
      </c>
      <c r="BE14" s="2159">
        <f t="shared" si="1"/>
        <v>17998.72</v>
      </c>
      <c r="BF14" s="2158">
        <v>18273.439999999999</v>
      </c>
      <c r="BH14" s="2164">
        <v>19025.689999999999</v>
      </c>
      <c r="BI14" s="2159">
        <f t="shared" si="2"/>
        <v>19680.57</v>
      </c>
      <c r="BJ14" s="2158">
        <v>20335.439999999999</v>
      </c>
      <c r="BL14" s="2164">
        <v>21525.69</v>
      </c>
      <c r="BM14" s="2159">
        <f t="shared" si="3"/>
        <v>21961.57</v>
      </c>
      <c r="BN14" s="2164">
        <v>22397.439999999999</v>
      </c>
      <c r="BP14" s="2164">
        <v>21525.69</v>
      </c>
      <c r="BQ14" s="2159">
        <f t="shared" si="4"/>
        <v>21675.98</v>
      </c>
      <c r="BR14" s="2158">
        <v>21826.27</v>
      </c>
    </row>
    <row r="15" spans="1:72">
      <c r="A15" s="2157">
        <v>6</v>
      </c>
      <c r="B15" s="2158">
        <v>19305.98</v>
      </c>
      <c r="C15" s="2159">
        <f t="shared" si="5"/>
        <v>20585.490000000002</v>
      </c>
      <c r="D15" s="2158">
        <v>21865</v>
      </c>
      <c r="E15" s="2140"/>
      <c r="F15" s="2158">
        <v>19826.57</v>
      </c>
      <c r="G15" s="2159">
        <f t="shared" si="6"/>
        <v>21695.79</v>
      </c>
      <c r="H15" s="2158">
        <v>23565</v>
      </c>
      <c r="I15" s="2140"/>
      <c r="J15" s="2166">
        <v>23450.77</v>
      </c>
      <c r="K15" s="2167">
        <f t="shared" si="7"/>
        <v>23450.77</v>
      </c>
      <c r="L15" s="2168">
        <v>23450.77</v>
      </c>
      <c r="M15" s="2167">
        <f t="shared" si="8"/>
        <v>23450.77</v>
      </c>
      <c r="N15" s="2168">
        <f t="shared" si="8"/>
        <v>23450.77</v>
      </c>
      <c r="O15" s="2168">
        <v>27914</v>
      </c>
      <c r="P15" s="2140"/>
      <c r="Q15" s="2169">
        <v>24070.49</v>
      </c>
      <c r="R15" s="2167">
        <f t="shared" si="9"/>
        <v>24070.49</v>
      </c>
      <c r="S15" s="2168">
        <f t="shared" si="10"/>
        <v>24070.49</v>
      </c>
      <c r="T15" s="2167">
        <f t="shared" si="11"/>
        <v>24070.49</v>
      </c>
      <c r="U15" s="2168">
        <f t="shared" si="11"/>
        <v>24070.49</v>
      </c>
      <c r="V15" s="3445"/>
      <c r="W15" s="2128">
        <v>6</v>
      </c>
      <c r="X15" s="2158">
        <v>17724</v>
      </c>
      <c r="Y15" s="2159">
        <f t="shared" si="12"/>
        <v>17998.72</v>
      </c>
      <c r="Z15" s="2158">
        <v>18273.439999999999</v>
      </c>
      <c r="AA15" s="2158"/>
      <c r="AB15" s="2158">
        <v>19724</v>
      </c>
      <c r="AC15" s="2159">
        <f t="shared" si="13"/>
        <v>20029.72</v>
      </c>
      <c r="AD15" s="2158">
        <v>20335.439999999999</v>
      </c>
      <c r="AE15" s="2158"/>
      <c r="AF15" s="2158">
        <v>21724</v>
      </c>
      <c r="AG15" s="2159">
        <f t="shared" si="14"/>
        <v>22060.720000000001</v>
      </c>
      <c r="AH15" s="2158">
        <v>22397.439999999999</v>
      </c>
      <c r="AI15" s="2158"/>
      <c r="AJ15" s="2158">
        <v>21170</v>
      </c>
      <c r="AK15" s="2159">
        <f t="shared" si="15"/>
        <v>21498.14</v>
      </c>
      <c r="AL15" s="2158">
        <v>21826.27</v>
      </c>
      <c r="AN15" s="2164">
        <v>17724</v>
      </c>
      <c r="AO15" s="2159">
        <f t="shared" si="16"/>
        <v>17998.72</v>
      </c>
      <c r="AP15" s="2164">
        <v>18273.439999999999</v>
      </c>
      <c r="AR15" s="2164">
        <v>20724</v>
      </c>
      <c r="AS15" s="2159">
        <f t="shared" si="17"/>
        <v>20724</v>
      </c>
      <c r="AT15" s="2165">
        <v>20724</v>
      </c>
      <c r="AU15" s="4"/>
      <c r="AV15" s="2164">
        <v>22248.97</v>
      </c>
      <c r="AW15" s="2159">
        <f t="shared" si="18"/>
        <v>22323.21</v>
      </c>
      <c r="AX15" s="2158">
        <v>22397.439999999999</v>
      </c>
      <c r="AZ15" s="2164">
        <v>22664.52</v>
      </c>
      <c r="BA15" s="2159">
        <f t="shared" si="19"/>
        <v>22664.52</v>
      </c>
      <c r="BB15" s="2165">
        <v>22664.52</v>
      </c>
      <c r="BD15" s="2164">
        <v>17724</v>
      </c>
      <c r="BE15" s="2159">
        <f t="shared" si="1"/>
        <v>17998.72</v>
      </c>
      <c r="BF15" s="2158">
        <v>18273.439999999999</v>
      </c>
      <c r="BH15" s="2164">
        <v>19025.689999999999</v>
      </c>
      <c r="BI15" s="2159">
        <f t="shared" si="2"/>
        <v>19680.57</v>
      </c>
      <c r="BJ15" s="2158">
        <v>20335.439999999999</v>
      </c>
      <c r="BL15" s="2164">
        <v>21525.69</v>
      </c>
      <c r="BM15" s="2159">
        <f t="shared" si="3"/>
        <v>21961.57</v>
      </c>
      <c r="BN15" s="2164">
        <v>22397.439999999999</v>
      </c>
      <c r="BP15" s="2164">
        <v>21525.69</v>
      </c>
      <c r="BQ15" s="2159">
        <f t="shared" si="4"/>
        <v>21675.98</v>
      </c>
      <c r="BR15" s="2158">
        <v>21826.27</v>
      </c>
    </row>
    <row r="16" spans="1:72">
      <c r="A16" s="2157">
        <v>7</v>
      </c>
      <c r="B16" s="2158">
        <v>19742.28</v>
      </c>
      <c r="C16" s="2159">
        <f t="shared" si="5"/>
        <v>20903.14</v>
      </c>
      <c r="D16" s="2158">
        <v>22064</v>
      </c>
      <c r="E16" s="2140"/>
      <c r="F16" s="2158">
        <v>20354.59</v>
      </c>
      <c r="G16" s="2159">
        <f t="shared" si="6"/>
        <v>22059.3</v>
      </c>
      <c r="H16" s="2158">
        <v>23764</v>
      </c>
      <c r="I16" s="2140"/>
      <c r="J16" s="2166">
        <v>24095.3</v>
      </c>
      <c r="K16" s="2167">
        <f t="shared" si="7"/>
        <v>24095.3</v>
      </c>
      <c r="L16" s="2168">
        <v>24095.3</v>
      </c>
      <c r="M16" s="2167">
        <f t="shared" si="8"/>
        <v>24095.3</v>
      </c>
      <c r="N16" s="2168">
        <f t="shared" si="8"/>
        <v>24095.3</v>
      </c>
      <c r="O16" s="2168">
        <v>28184</v>
      </c>
      <c r="P16" s="2140"/>
      <c r="Q16" s="2169">
        <v>24690.23</v>
      </c>
      <c r="R16" s="2167">
        <f t="shared" si="9"/>
        <v>24690.23</v>
      </c>
      <c r="S16" s="2168">
        <f t="shared" si="10"/>
        <v>24690.23</v>
      </c>
      <c r="T16" s="2167">
        <f t="shared" si="11"/>
        <v>24690.23</v>
      </c>
      <c r="U16" s="2168">
        <f t="shared" si="11"/>
        <v>24690.23</v>
      </c>
      <c r="V16" s="3445"/>
      <c r="W16" s="2128">
        <v>7</v>
      </c>
      <c r="X16" s="2158">
        <v>18319</v>
      </c>
      <c r="Y16" s="2159">
        <f t="shared" si="12"/>
        <v>18602.939999999999</v>
      </c>
      <c r="Z16" s="2158">
        <v>18886.879999999997</v>
      </c>
      <c r="AA16" s="2158"/>
      <c r="AB16" s="2158">
        <v>20319</v>
      </c>
      <c r="AC16" s="2159">
        <f t="shared" si="13"/>
        <v>20633.939999999999</v>
      </c>
      <c r="AD16" s="2158">
        <v>20948.879999999997</v>
      </c>
      <c r="AE16" s="2158"/>
      <c r="AF16" s="2158">
        <v>22319</v>
      </c>
      <c r="AG16" s="2159">
        <f t="shared" si="14"/>
        <v>22664.94</v>
      </c>
      <c r="AH16" s="2158">
        <v>23010.879999999997</v>
      </c>
      <c r="AI16" s="2158"/>
      <c r="AJ16" s="2158">
        <v>22038</v>
      </c>
      <c r="AK16" s="2159">
        <f t="shared" si="15"/>
        <v>22379.599999999999</v>
      </c>
      <c r="AL16" s="2158">
        <v>22721.189999999995</v>
      </c>
      <c r="AN16" s="2164">
        <v>18319</v>
      </c>
      <c r="AO16" s="2159">
        <f t="shared" si="16"/>
        <v>18602.939999999999</v>
      </c>
      <c r="AP16" s="2164">
        <v>18886.879999999997</v>
      </c>
      <c r="AR16" s="2164">
        <v>21319</v>
      </c>
      <c r="AS16" s="2159">
        <f t="shared" si="17"/>
        <v>21319</v>
      </c>
      <c r="AT16" s="2165">
        <v>21319</v>
      </c>
      <c r="AU16" s="4"/>
      <c r="AV16" s="2164">
        <v>22541.56</v>
      </c>
      <c r="AW16" s="2159">
        <f t="shared" si="18"/>
        <v>22776.22</v>
      </c>
      <c r="AX16" s="2158">
        <v>23010.879999999997</v>
      </c>
      <c r="AZ16" s="2164">
        <v>22957.11</v>
      </c>
      <c r="BA16" s="2159">
        <f t="shared" si="19"/>
        <v>22957.11</v>
      </c>
      <c r="BB16" s="2165">
        <v>22957.11</v>
      </c>
      <c r="BD16" s="2164">
        <v>18319</v>
      </c>
      <c r="BE16" s="2159">
        <f t="shared" si="1"/>
        <v>18602.939999999999</v>
      </c>
      <c r="BF16" s="2158">
        <v>18886.879999999997</v>
      </c>
      <c r="BH16" s="2164">
        <v>19415.73</v>
      </c>
      <c r="BI16" s="2159">
        <f t="shared" si="2"/>
        <v>20182.310000000001</v>
      </c>
      <c r="BJ16" s="2158">
        <v>20948.879999999997</v>
      </c>
      <c r="BL16" s="2164">
        <v>21915.73</v>
      </c>
      <c r="BM16" s="2159">
        <f t="shared" si="3"/>
        <v>22463.31</v>
      </c>
      <c r="BN16" s="2164">
        <v>23010.879999999997</v>
      </c>
      <c r="BP16" s="2164">
        <v>22038</v>
      </c>
      <c r="BQ16" s="2159">
        <f t="shared" si="4"/>
        <v>22379.599999999999</v>
      </c>
      <c r="BR16" s="2158">
        <v>22721.189999999995</v>
      </c>
    </row>
    <row r="17" spans="1:70">
      <c r="A17" s="2157">
        <v>8</v>
      </c>
      <c r="B17" s="2158">
        <v>20178.580000000002</v>
      </c>
      <c r="C17" s="2159">
        <f t="shared" si="5"/>
        <v>21221.29</v>
      </c>
      <c r="D17" s="2158">
        <v>22264</v>
      </c>
      <c r="E17" s="2140"/>
      <c r="F17" s="2158">
        <v>20882.61</v>
      </c>
      <c r="G17" s="2159">
        <f t="shared" si="6"/>
        <v>22423.31</v>
      </c>
      <c r="H17" s="2158">
        <v>23964</v>
      </c>
      <c r="I17" s="2140"/>
      <c r="J17" s="2166">
        <v>24739.83</v>
      </c>
      <c r="K17" s="2167">
        <f t="shared" si="7"/>
        <v>24739.83</v>
      </c>
      <c r="L17" s="2168">
        <v>24739.83</v>
      </c>
      <c r="M17" s="2167">
        <f t="shared" si="8"/>
        <v>24739.83</v>
      </c>
      <c r="N17" s="2168">
        <f t="shared" si="8"/>
        <v>24739.83</v>
      </c>
      <c r="O17" s="2168">
        <v>28453</v>
      </c>
      <c r="P17" s="2140"/>
      <c r="Q17" s="2169">
        <v>25309.97</v>
      </c>
      <c r="R17" s="2167">
        <f t="shared" si="9"/>
        <v>25309.97</v>
      </c>
      <c r="S17" s="2168">
        <f t="shared" si="10"/>
        <v>25309.97</v>
      </c>
      <c r="T17" s="2167">
        <f t="shared" si="11"/>
        <v>25309.97</v>
      </c>
      <c r="U17" s="2168">
        <f t="shared" si="11"/>
        <v>25309.97</v>
      </c>
      <c r="V17" s="3445"/>
      <c r="W17" s="2128">
        <v>8</v>
      </c>
      <c r="X17" s="2158">
        <v>18319</v>
      </c>
      <c r="Y17" s="2159">
        <f t="shared" si="12"/>
        <v>18602.939999999999</v>
      </c>
      <c r="Z17" s="2158">
        <v>18886.879999999997</v>
      </c>
      <c r="AA17" s="2158"/>
      <c r="AB17" s="2158">
        <v>20319</v>
      </c>
      <c r="AC17" s="2159">
        <f t="shared" si="13"/>
        <v>20633.939999999999</v>
      </c>
      <c r="AD17" s="2158">
        <v>20948.879999999997</v>
      </c>
      <c r="AE17" s="2158"/>
      <c r="AF17" s="2158">
        <v>22319</v>
      </c>
      <c r="AG17" s="2159">
        <f t="shared" si="14"/>
        <v>22664.94</v>
      </c>
      <c r="AH17" s="2158">
        <v>23010.879999999997</v>
      </c>
      <c r="AI17" s="2158"/>
      <c r="AJ17" s="2158">
        <v>22038</v>
      </c>
      <c r="AK17" s="2159">
        <f t="shared" si="15"/>
        <v>22379.599999999999</v>
      </c>
      <c r="AL17" s="2158">
        <v>22721.189999999995</v>
      </c>
      <c r="AN17" s="2164">
        <v>18319</v>
      </c>
      <c r="AO17" s="2159">
        <f t="shared" si="16"/>
        <v>18602.939999999999</v>
      </c>
      <c r="AP17" s="2164">
        <v>18886.879999999997</v>
      </c>
      <c r="AR17" s="2164">
        <v>21319</v>
      </c>
      <c r="AS17" s="2159">
        <f t="shared" si="17"/>
        <v>21319</v>
      </c>
      <c r="AT17" s="2165">
        <v>21319</v>
      </c>
      <c r="AU17" s="4"/>
      <c r="AV17" s="2164">
        <v>22541.56</v>
      </c>
      <c r="AW17" s="2159">
        <f t="shared" si="18"/>
        <v>22776.22</v>
      </c>
      <c r="AX17" s="2158">
        <v>23010.879999999997</v>
      </c>
      <c r="AZ17" s="2164">
        <v>22957.11</v>
      </c>
      <c r="BA17" s="2159">
        <f t="shared" si="19"/>
        <v>22957.11</v>
      </c>
      <c r="BB17" s="2165">
        <v>22957.11</v>
      </c>
      <c r="BD17" s="2164">
        <v>18319</v>
      </c>
      <c r="BE17" s="2159">
        <f t="shared" si="1"/>
        <v>18602.939999999999</v>
      </c>
      <c r="BF17" s="2158">
        <v>18886.879999999997</v>
      </c>
      <c r="BH17" s="2164">
        <v>19415.73</v>
      </c>
      <c r="BI17" s="2159">
        <f t="shared" si="2"/>
        <v>20182.310000000001</v>
      </c>
      <c r="BJ17" s="2158">
        <v>20948.879999999997</v>
      </c>
      <c r="BL17" s="2164">
        <v>21915.73</v>
      </c>
      <c r="BM17" s="2159">
        <f t="shared" si="3"/>
        <v>22463.31</v>
      </c>
      <c r="BN17" s="2164">
        <v>23010.879999999997</v>
      </c>
      <c r="BP17" s="2164">
        <v>22038</v>
      </c>
      <c r="BQ17" s="2159">
        <f t="shared" si="4"/>
        <v>22379.599999999999</v>
      </c>
      <c r="BR17" s="2158">
        <v>22721.189999999995</v>
      </c>
    </row>
    <row r="18" spans="1:70">
      <c r="A18" s="2157">
        <v>9</v>
      </c>
      <c r="B18" s="2158">
        <v>20614.88</v>
      </c>
      <c r="C18" s="2159">
        <f t="shared" si="5"/>
        <v>21539.439999999999</v>
      </c>
      <c r="D18" s="2158">
        <v>22464</v>
      </c>
      <c r="E18" s="2140"/>
      <c r="F18" s="2158">
        <v>21410.63</v>
      </c>
      <c r="G18" s="2159">
        <f t="shared" si="6"/>
        <v>22787.32</v>
      </c>
      <c r="H18" s="2158">
        <v>24164</v>
      </c>
      <c r="I18" s="2140"/>
      <c r="J18" s="2166">
        <v>25384.36</v>
      </c>
      <c r="K18" s="2167">
        <f t="shared" si="7"/>
        <v>25384.36</v>
      </c>
      <c r="L18" s="2168">
        <v>25384.36</v>
      </c>
      <c r="M18" s="2167">
        <f t="shared" si="8"/>
        <v>25384.36</v>
      </c>
      <c r="N18" s="2168">
        <f t="shared" si="8"/>
        <v>25384.36</v>
      </c>
      <c r="O18" s="2168">
        <v>28723</v>
      </c>
      <c r="P18" s="2140"/>
      <c r="Q18" s="2169">
        <v>25929.71</v>
      </c>
      <c r="R18" s="2167">
        <f t="shared" si="9"/>
        <v>25929.71</v>
      </c>
      <c r="S18" s="2168">
        <f t="shared" si="10"/>
        <v>25929.71</v>
      </c>
      <c r="T18" s="2167">
        <f t="shared" si="11"/>
        <v>25929.71</v>
      </c>
      <c r="U18" s="2168">
        <f t="shared" si="11"/>
        <v>25929.71</v>
      </c>
      <c r="V18" s="3445"/>
      <c r="W18" s="2128">
        <v>9</v>
      </c>
      <c r="X18" s="2158">
        <v>18740</v>
      </c>
      <c r="Y18" s="2159">
        <f t="shared" si="12"/>
        <v>19030.47</v>
      </c>
      <c r="Z18" s="2158">
        <v>19320.939999999999</v>
      </c>
      <c r="AA18" s="2158"/>
      <c r="AB18" s="2158">
        <v>20740</v>
      </c>
      <c r="AC18" s="2159">
        <f t="shared" si="13"/>
        <v>21061.47</v>
      </c>
      <c r="AD18" s="2158">
        <v>21382.94</v>
      </c>
      <c r="AE18" s="2158"/>
      <c r="AF18" s="2158">
        <v>22740</v>
      </c>
      <c r="AG18" s="2159">
        <f t="shared" si="14"/>
        <v>23092.47</v>
      </c>
      <c r="AH18" s="2158">
        <v>23444.94</v>
      </c>
      <c r="AI18" s="2158"/>
      <c r="AJ18" s="2158">
        <v>22906</v>
      </c>
      <c r="AK18" s="2159">
        <f t="shared" si="15"/>
        <v>23261.05</v>
      </c>
      <c r="AL18" s="2158">
        <v>23616.09</v>
      </c>
      <c r="AN18" s="2164">
        <v>18740</v>
      </c>
      <c r="AO18" s="2159">
        <f t="shared" si="16"/>
        <v>19030.47</v>
      </c>
      <c r="AP18" s="2164">
        <v>19320.939999999999</v>
      </c>
      <c r="AR18" s="2164">
        <v>21740</v>
      </c>
      <c r="AS18" s="2159">
        <f t="shared" si="17"/>
        <v>21740</v>
      </c>
      <c r="AT18" s="2165">
        <v>21740</v>
      </c>
      <c r="AU18" s="4"/>
      <c r="AV18" s="2164">
        <v>23213.87</v>
      </c>
      <c r="AW18" s="2159">
        <f t="shared" si="18"/>
        <v>23329.41</v>
      </c>
      <c r="AX18" s="2158">
        <v>23444.94</v>
      </c>
      <c r="AZ18" s="2164">
        <v>23629.42</v>
      </c>
      <c r="BA18" s="2159">
        <f t="shared" si="19"/>
        <v>23629.42</v>
      </c>
      <c r="BB18" s="2165">
        <v>23629.42</v>
      </c>
      <c r="BD18" s="2164">
        <v>18740</v>
      </c>
      <c r="BE18" s="2159">
        <f t="shared" si="1"/>
        <v>19030.47</v>
      </c>
      <c r="BF18" s="2158">
        <v>19320.939999999999</v>
      </c>
      <c r="BH18" s="2164">
        <v>20088.04</v>
      </c>
      <c r="BI18" s="2159">
        <f t="shared" si="2"/>
        <v>20735.490000000002</v>
      </c>
      <c r="BJ18" s="2158">
        <v>21382.94</v>
      </c>
      <c r="BL18" s="2164">
        <v>22588.04</v>
      </c>
      <c r="BM18" s="2159">
        <f t="shared" si="3"/>
        <v>23016.49</v>
      </c>
      <c r="BN18" s="2164">
        <v>23444.94</v>
      </c>
      <c r="BP18" s="2164">
        <v>22906</v>
      </c>
      <c r="BQ18" s="2159">
        <f t="shared" si="4"/>
        <v>23261.05</v>
      </c>
      <c r="BR18" s="2158">
        <v>23616.09</v>
      </c>
    </row>
    <row r="19" spans="1:70">
      <c r="A19" s="2157">
        <v>10</v>
      </c>
      <c r="B19" s="2158">
        <v>21051.18</v>
      </c>
      <c r="C19" s="2159">
        <f t="shared" si="5"/>
        <v>21857.59</v>
      </c>
      <c r="D19" s="2158">
        <v>22664</v>
      </c>
      <c r="E19" s="2140"/>
      <c r="F19" s="2158">
        <v>21938.65</v>
      </c>
      <c r="G19" s="2159">
        <f t="shared" si="6"/>
        <v>23151.33</v>
      </c>
      <c r="H19" s="2158">
        <v>24364</v>
      </c>
      <c r="I19" s="2140"/>
      <c r="J19" s="2166">
        <v>26028.89</v>
      </c>
      <c r="K19" s="2167">
        <f t="shared" si="7"/>
        <v>26028.89</v>
      </c>
      <c r="L19" s="2168">
        <v>26028.89</v>
      </c>
      <c r="M19" s="2167">
        <f t="shared" si="8"/>
        <v>26028.89</v>
      </c>
      <c r="N19" s="2168">
        <f t="shared" si="8"/>
        <v>26028.89</v>
      </c>
      <c r="O19" s="2168">
        <v>28993</v>
      </c>
      <c r="P19" s="2140"/>
      <c r="Q19" s="2169">
        <v>26549.45</v>
      </c>
      <c r="R19" s="2167">
        <f t="shared" si="9"/>
        <v>26549.45</v>
      </c>
      <c r="S19" s="2168">
        <f t="shared" si="10"/>
        <v>26549.45</v>
      </c>
      <c r="T19" s="2167">
        <f t="shared" si="11"/>
        <v>26549.45</v>
      </c>
      <c r="U19" s="2168">
        <f t="shared" si="11"/>
        <v>26549.45</v>
      </c>
      <c r="V19" s="3445"/>
      <c r="W19" s="2128">
        <v>10</v>
      </c>
      <c r="X19" s="2158">
        <v>18740</v>
      </c>
      <c r="Y19" s="2159">
        <f t="shared" si="12"/>
        <v>19030.47</v>
      </c>
      <c r="Z19" s="2158">
        <v>19320.939999999999</v>
      </c>
      <c r="AA19" s="2158"/>
      <c r="AB19" s="2158">
        <v>20740</v>
      </c>
      <c r="AC19" s="2159">
        <f t="shared" si="13"/>
        <v>21061.47</v>
      </c>
      <c r="AD19" s="2158">
        <v>21382.94</v>
      </c>
      <c r="AE19" s="2158"/>
      <c r="AF19" s="2158">
        <v>22740</v>
      </c>
      <c r="AG19" s="2159">
        <f t="shared" si="14"/>
        <v>23092.47</v>
      </c>
      <c r="AH19" s="2158">
        <v>23444.94</v>
      </c>
      <c r="AI19" s="2158"/>
      <c r="AJ19" s="2158">
        <v>22906</v>
      </c>
      <c r="AK19" s="2159">
        <f t="shared" si="15"/>
        <v>23261.05</v>
      </c>
      <c r="AL19" s="2158">
        <v>23616.09</v>
      </c>
      <c r="AN19" s="2164">
        <v>18740</v>
      </c>
      <c r="AO19" s="2159">
        <f t="shared" si="16"/>
        <v>19030.47</v>
      </c>
      <c r="AP19" s="2164">
        <v>19320.939999999999</v>
      </c>
      <c r="AR19" s="2164">
        <v>21740</v>
      </c>
      <c r="AS19" s="2159">
        <f t="shared" si="17"/>
        <v>21740</v>
      </c>
      <c r="AT19" s="2165">
        <v>21740</v>
      </c>
      <c r="AU19" s="4"/>
      <c r="AV19" s="2164">
        <v>23213.87</v>
      </c>
      <c r="AW19" s="2159">
        <f t="shared" si="18"/>
        <v>23329.41</v>
      </c>
      <c r="AX19" s="2158">
        <v>23444.94</v>
      </c>
      <c r="AZ19" s="2164">
        <v>23629.42</v>
      </c>
      <c r="BA19" s="2159">
        <f t="shared" si="19"/>
        <v>23629.42</v>
      </c>
      <c r="BB19" s="2165">
        <v>23629.42</v>
      </c>
      <c r="BD19" s="2164">
        <v>18740</v>
      </c>
      <c r="BE19" s="2159">
        <f t="shared" si="1"/>
        <v>19030.47</v>
      </c>
      <c r="BF19" s="2158">
        <v>19320.939999999999</v>
      </c>
      <c r="BH19" s="2164">
        <v>20088.04</v>
      </c>
      <c r="BI19" s="2159">
        <f t="shared" si="2"/>
        <v>20735.490000000002</v>
      </c>
      <c r="BJ19" s="2158">
        <v>21382.94</v>
      </c>
      <c r="BL19" s="2164">
        <v>22588.04</v>
      </c>
      <c r="BM19" s="2159">
        <f t="shared" si="3"/>
        <v>23016.49</v>
      </c>
      <c r="BN19" s="2164">
        <v>23444.94</v>
      </c>
      <c r="BP19" s="2164">
        <v>22906</v>
      </c>
      <c r="BQ19" s="2159">
        <f t="shared" si="4"/>
        <v>23261.05</v>
      </c>
      <c r="BR19" s="2158">
        <v>23616.09</v>
      </c>
    </row>
    <row r="20" spans="1:70">
      <c r="A20" s="2157">
        <v>11</v>
      </c>
      <c r="B20" s="2158">
        <v>21487.48</v>
      </c>
      <c r="C20" s="2159">
        <f t="shared" si="5"/>
        <v>22175.24</v>
      </c>
      <c r="D20" s="2158">
        <v>22863</v>
      </c>
      <c r="E20" s="2140"/>
      <c r="F20" s="2158">
        <v>22466.67</v>
      </c>
      <c r="G20" s="2159">
        <f t="shared" si="6"/>
        <v>23514.84</v>
      </c>
      <c r="H20" s="2158">
        <v>24563</v>
      </c>
      <c r="I20" s="2140"/>
      <c r="J20" s="2166">
        <v>26673.42</v>
      </c>
      <c r="K20" s="2167">
        <f t="shared" si="7"/>
        <v>26673.42</v>
      </c>
      <c r="L20" s="2168">
        <v>26673.42</v>
      </c>
      <c r="M20" s="2167">
        <f t="shared" si="8"/>
        <v>26673.42</v>
      </c>
      <c r="N20" s="2168">
        <f t="shared" si="8"/>
        <v>26673.42</v>
      </c>
      <c r="O20" s="2168">
        <v>29262</v>
      </c>
      <c r="P20" s="2140"/>
      <c r="Q20" s="2169">
        <v>27169.19</v>
      </c>
      <c r="R20" s="2167">
        <f t="shared" si="9"/>
        <v>27169.19</v>
      </c>
      <c r="S20" s="2168">
        <f t="shared" si="10"/>
        <v>27169.19</v>
      </c>
      <c r="T20" s="2167">
        <f t="shared" si="11"/>
        <v>27169.19</v>
      </c>
      <c r="U20" s="2168">
        <f t="shared" si="11"/>
        <v>27169.19</v>
      </c>
      <c r="V20" s="3445"/>
      <c r="W20" s="2128">
        <v>11</v>
      </c>
      <c r="X20" s="2158">
        <v>19161</v>
      </c>
      <c r="Y20" s="2159">
        <f t="shared" si="12"/>
        <v>19458</v>
      </c>
      <c r="Z20" s="2158">
        <v>19755</v>
      </c>
      <c r="AA20" s="2158"/>
      <c r="AB20" s="2158">
        <v>21161</v>
      </c>
      <c r="AC20" s="2159">
        <f t="shared" si="13"/>
        <v>21489</v>
      </c>
      <c r="AD20" s="2158">
        <v>21817</v>
      </c>
      <c r="AE20" s="2158"/>
      <c r="AF20" s="2158">
        <v>23161</v>
      </c>
      <c r="AG20" s="2159">
        <f t="shared" si="14"/>
        <v>23520</v>
      </c>
      <c r="AH20" s="2158">
        <v>23879</v>
      </c>
      <c r="AI20" s="2158"/>
      <c r="AJ20" s="2158">
        <v>23774</v>
      </c>
      <c r="AK20" s="2159">
        <f t="shared" si="15"/>
        <v>24142.5</v>
      </c>
      <c r="AL20" s="2158">
        <v>24510.990000000005</v>
      </c>
      <c r="AN20" s="2164">
        <v>19161</v>
      </c>
      <c r="AO20" s="2159">
        <f t="shared" si="16"/>
        <v>19458</v>
      </c>
      <c r="AP20" s="2164">
        <v>19755</v>
      </c>
      <c r="AR20" s="2164">
        <v>22161</v>
      </c>
      <c r="AS20" s="2159">
        <f t="shared" si="17"/>
        <v>22161</v>
      </c>
      <c r="AT20" s="2165">
        <v>22161</v>
      </c>
      <c r="AU20" s="4"/>
      <c r="AV20" s="2164">
        <v>23886.18</v>
      </c>
      <c r="AW20" s="2159">
        <f t="shared" si="18"/>
        <v>23886.18</v>
      </c>
      <c r="AX20" s="2165">
        <v>23886.18</v>
      </c>
      <c r="AZ20" s="2164">
        <v>24301.73</v>
      </c>
      <c r="BA20" s="2159">
        <f t="shared" si="19"/>
        <v>24406.36</v>
      </c>
      <c r="BB20" s="2164">
        <v>24510.990000000005</v>
      </c>
      <c r="BD20" s="2164">
        <v>19161</v>
      </c>
      <c r="BE20" s="2159">
        <f t="shared" si="1"/>
        <v>19458</v>
      </c>
      <c r="BF20" s="2158">
        <v>19755</v>
      </c>
      <c r="BH20" s="2164">
        <v>20760.349999999999</v>
      </c>
      <c r="BI20" s="2159">
        <f t="shared" si="2"/>
        <v>21288.68</v>
      </c>
      <c r="BJ20" s="2158">
        <v>21817</v>
      </c>
      <c r="BL20" s="2164">
        <v>23260.35</v>
      </c>
      <c r="BM20" s="2159">
        <f t="shared" si="3"/>
        <v>23569.68</v>
      </c>
      <c r="BN20" s="2164">
        <v>23879</v>
      </c>
      <c r="BP20" s="2164">
        <v>23774</v>
      </c>
      <c r="BQ20" s="2159">
        <f t="shared" si="4"/>
        <v>24142.5</v>
      </c>
      <c r="BR20" s="2158">
        <v>24510.990000000005</v>
      </c>
    </row>
    <row r="21" spans="1:70">
      <c r="A21" s="2157">
        <v>12</v>
      </c>
      <c r="B21" s="2158">
        <v>21923.78</v>
      </c>
      <c r="C21" s="2159">
        <f t="shared" si="5"/>
        <v>22493.39</v>
      </c>
      <c r="D21" s="2158">
        <v>23063</v>
      </c>
      <c r="E21" s="2140"/>
      <c r="F21" s="2158">
        <v>22994.69</v>
      </c>
      <c r="G21" s="2159">
        <f t="shared" si="6"/>
        <v>23878.85</v>
      </c>
      <c r="H21" s="2158">
        <v>24763</v>
      </c>
      <c r="I21" s="2140"/>
      <c r="J21" s="2166">
        <v>27317.95</v>
      </c>
      <c r="K21" s="2167">
        <f t="shared" si="7"/>
        <v>27317.95</v>
      </c>
      <c r="L21" s="2168">
        <v>27317.95</v>
      </c>
      <c r="M21" s="2167">
        <f t="shared" si="8"/>
        <v>27317.95</v>
      </c>
      <c r="N21" s="2168">
        <f t="shared" si="8"/>
        <v>27317.95</v>
      </c>
      <c r="O21" s="2168">
        <v>29532</v>
      </c>
      <c r="P21" s="2140"/>
      <c r="Q21" s="2169">
        <v>27788.93</v>
      </c>
      <c r="R21" s="2167">
        <f t="shared" si="9"/>
        <v>27788.93</v>
      </c>
      <c r="S21" s="2168">
        <f t="shared" si="10"/>
        <v>27788.93</v>
      </c>
      <c r="T21" s="2167">
        <f t="shared" si="11"/>
        <v>27788.93</v>
      </c>
      <c r="U21" s="2168">
        <f t="shared" si="11"/>
        <v>27788.93</v>
      </c>
      <c r="V21" s="3445"/>
      <c r="W21" s="2128">
        <v>12</v>
      </c>
      <c r="X21" s="2158">
        <v>19161</v>
      </c>
      <c r="Y21" s="2159">
        <f t="shared" si="12"/>
        <v>19458</v>
      </c>
      <c r="Z21" s="2158">
        <v>19755</v>
      </c>
      <c r="AA21" s="2158"/>
      <c r="AB21" s="2158">
        <v>21161</v>
      </c>
      <c r="AC21" s="2159">
        <f t="shared" si="13"/>
        <v>21489</v>
      </c>
      <c r="AD21" s="2158">
        <v>21817</v>
      </c>
      <c r="AE21" s="2158"/>
      <c r="AF21" s="2158">
        <v>23161</v>
      </c>
      <c r="AG21" s="2159">
        <f t="shared" si="14"/>
        <v>23520</v>
      </c>
      <c r="AH21" s="2158">
        <v>23879</v>
      </c>
      <c r="AI21" s="2158"/>
      <c r="AJ21" s="2158">
        <v>23774</v>
      </c>
      <c r="AK21" s="2159">
        <f t="shared" si="15"/>
        <v>24142.5</v>
      </c>
      <c r="AL21" s="2158">
        <v>24510.990000000005</v>
      </c>
      <c r="AN21" s="2164">
        <v>19161</v>
      </c>
      <c r="AO21" s="2159">
        <f t="shared" si="16"/>
        <v>19458</v>
      </c>
      <c r="AP21" s="2164">
        <v>19755</v>
      </c>
      <c r="AR21" s="2164">
        <v>22161</v>
      </c>
      <c r="AS21" s="2159">
        <f t="shared" si="17"/>
        <v>22161</v>
      </c>
      <c r="AT21" s="2165">
        <v>22161</v>
      </c>
      <c r="AU21" s="4"/>
      <c r="AV21" s="2164">
        <v>23886.18</v>
      </c>
      <c r="AW21" s="2159">
        <f t="shared" si="18"/>
        <v>23886.18</v>
      </c>
      <c r="AX21" s="2165">
        <v>23886.18</v>
      </c>
      <c r="AZ21" s="2164">
        <v>24301.73</v>
      </c>
      <c r="BA21" s="2159">
        <f t="shared" si="19"/>
        <v>24406.36</v>
      </c>
      <c r="BB21" s="2164">
        <v>24510.990000000005</v>
      </c>
      <c r="BD21" s="2164">
        <v>19161</v>
      </c>
      <c r="BE21" s="2159">
        <f t="shared" si="1"/>
        <v>19458</v>
      </c>
      <c r="BF21" s="2158">
        <v>19755</v>
      </c>
      <c r="BH21" s="2164">
        <v>20760.349999999999</v>
      </c>
      <c r="BI21" s="2159">
        <f t="shared" si="2"/>
        <v>21288.68</v>
      </c>
      <c r="BJ21" s="2158">
        <v>21817</v>
      </c>
      <c r="BL21" s="2164">
        <v>23260.35</v>
      </c>
      <c r="BM21" s="2159">
        <f t="shared" si="3"/>
        <v>23569.68</v>
      </c>
      <c r="BN21" s="2164">
        <v>23879</v>
      </c>
      <c r="BP21" s="2164">
        <v>23774</v>
      </c>
      <c r="BQ21" s="2159">
        <f t="shared" si="4"/>
        <v>24142.5</v>
      </c>
      <c r="BR21" s="2158">
        <v>24510.990000000005</v>
      </c>
    </row>
    <row r="22" spans="1:70">
      <c r="A22" s="2157">
        <v>13</v>
      </c>
      <c r="B22" s="2158">
        <v>22360.080000000002</v>
      </c>
      <c r="C22" s="2159">
        <f t="shared" si="5"/>
        <v>22811.54</v>
      </c>
      <c r="D22" s="2158">
        <v>23263</v>
      </c>
      <c r="E22" s="2140"/>
      <c r="F22" s="2158">
        <v>23522.71</v>
      </c>
      <c r="G22" s="2159">
        <f t="shared" si="6"/>
        <v>24242.86</v>
      </c>
      <c r="H22" s="2158">
        <v>24963</v>
      </c>
      <c r="I22" s="2140"/>
      <c r="J22" s="2166">
        <v>27962.48</v>
      </c>
      <c r="K22" s="2167">
        <f t="shared" si="7"/>
        <v>27962.48</v>
      </c>
      <c r="L22" s="2168">
        <v>27962.48</v>
      </c>
      <c r="M22" s="2167">
        <f t="shared" si="8"/>
        <v>27962.48</v>
      </c>
      <c r="N22" s="2168">
        <f t="shared" si="8"/>
        <v>27962.48</v>
      </c>
      <c r="O22" s="2168">
        <v>29802</v>
      </c>
      <c r="P22" s="2140"/>
      <c r="Q22" s="2169">
        <v>28408.67</v>
      </c>
      <c r="R22" s="2167">
        <f t="shared" si="9"/>
        <v>28408.67</v>
      </c>
      <c r="S22" s="2168">
        <f t="shared" si="10"/>
        <v>28408.67</v>
      </c>
      <c r="T22" s="2167">
        <f t="shared" si="11"/>
        <v>28408.67</v>
      </c>
      <c r="U22" s="2168">
        <f t="shared" si="11"/>
        <v>28408.67</v>
      </c>
      <c r="V22" s="3445"/>
      <c r="W22" s="2128">
        <v>13</v>
      </c>
      <c r="X22" s="2158">
        <v>19533</v>
      </c>
      <c r="Y22" s="2159">
        <f t="shared" si="12"/>
        <v>19835.759999999998</v>
      </c>
      <c r="Z22" s="2158">
        <v>20138.52</v>
      </c>
      <c r="AA22" s="2158"/>
      <c r="AB22" s="2158">
        <v>21533</v>
      </c>
      <c r="AC22" s="2159">
        <f t="shared" si="13"/>
        <v>21866.76</v>
      </c>
      <c r="AD22" s="2158">
        <v>22200.52</v>
      </c>
      <c r="AE22" s="2158"/>
      <c r="AF22" s="2158">
        <v>23533</v>
      </c>
      <c r="AG22" s="2159">
        <f t="shared" si="14"/>
        <v>23897.759999999998</v>
      </c>
      <c r="AH22" s="2158">
        <v>24262.52</v>
      </c>
      <c r="AI22" s="2158"/>
      <c r="AJ22" s="2158">
        <v>24642</v>
      </c>
      <c r="AK22" s="2159">
        <f t="shared" si="15"/>
        <v>25023.95</v>
      </c>
      <c r="AL22" s="2158">
        <v>25405.89000000001</v>
      </c>
      <c r="AN22" s="2164">
        <v>19533</v>
      </c>
      <c r="AO22" s="2159">
        <f t="shared" si="16"/>
        <v>19835.759999999998</v>
      </c>
      <c r="AP22" s="2164">
        <v>20138.52</v>
      </c>
      <c r="AR22" s="2164">
        <v>22533</v>
      </c>
      <c r="AS22" s="2159">
        <f t="shared" si="17"/>
        <v>22533</v>
      </c>
      <c r="AT22" s="2165">
        <v>22533</v>
      </c>
      <c r="AU22" s="4"/>
      <c r="AV22" s="2164">
        <v>24558.49</v>
      </c>
      <c r="AW22" s="2159">
        <f t="shared" si="18"/>
        <v>24558.49</v>
      </c>
      <c r="AX22" s="2165">
        <v>24558.49</v>
      </c>
      <c r="AZ22" s="2164">
        <v>24974.04</v>
      </c>
      <c r="BA22" s="2159">
        <f t="shared" si="19"/>
        <v>25189.97</v>
      </c>
      <c r="BB22" s="2164">
        <v>25405.89000000001</v>
      </c>
      <c r="BD22" s="2164">
        <v>19533</v>
      </c>
      <c r="BE22" s="2159">
        <f t="shared" si="1"/>
        <v>19835.759999999998</v>
      </c>
      <c r="BF22" s="2158">
        <v>20138.52</v>
      </c>
      <c r="BH22" s="2164">
        <v>21384.62</v>
      </c>
      <c r="BI22" s="2159">
        <f t="shared" si="2"/>
        <v>21792.57</v>
      </c>
      <c r="BJ22" s="2158">
        <v>22200.52</v>
      </c>
      <c r="BL22" s="2164">
        <v>23884.62</v>
      </c>
      <c r="BM22" s="2159">
        <f t="shared" si="3"/>
        <v>24073.57</v>
      </c>
      <c r="BN22" s="2164">
        <v>24262.52</v>
      </c>
      <c r="BP22" s="2164">
        <v>24642</v>
      </c>
      <c r="BQ22" s="2159">
        <f t="shared" si="4"/>
        <v>25023.95</v>
      </c>
      <c r="BR22" s="2158">
        <v>25405.89000000001</v>
      </c>
    </row>
    <row r="23" spans="1:70">
      <c r="A23" s="2157">
        <v>14</v>
      </c>
      <c r="B23" s="2158">
        <v>22607.98</v>
      </c>
      <c r="C23" s="2159">
        <f t="shared" si="5"/>
        <v>23035.49</v>
      </c>
      <c r="D23" s="2158">
        <v>23463</v>
      </c>
      <c r="E23" s="2140"/>
      <c r="F23" s="2158">
        <v>23807.79</v>
      </c>
      <c r="G23" s="2159">
        <f t="shared" si="6"/>
        <v>24485.4</v>
      </c>
      <c r="H23" s="2158">
        <v>25163</v>
      </c>
      <c r="I23" s="2140"/>
      <c r="J23" s="2166">
        <v>28309.54</v>
      </c>
      <c r="K23" s="2167">
        <f t="shared" si="7"/>
        <v>28309.54</v>
      </c>
      <c r="L23" s="2168">
        <v>28309.54</v>
      </c>
      <c r="M23" s="2167">
        <f t="shared" si="8"/>
        <v>28309.54</v>
      </c>
      <c r="N23" s="2168">
        <f t="shared" si="8"/>
        <v>28309.54</v>
      </c>
      <c r="O23" s="2168">
        <v>30071</v>
      </c>
      <c r="P23" s="2140"/>
      <c r="Q23" s="2169">
        <v>28755.73</v>
      </c>
      <c r="R23" s="2167">
        <f t="shared" si="9"/>
        <v>28755.73</v>
      </c>
      <c r="S23" s="2168">
        <f t="shared" si="10"/>
        <v>28755.73</v>
      </c>
      <c r="T23" s="2167">
        <f t="shared" si="11"/>
        <v>28755.73</v>
      </c>
      <c r="U23" s="2168">
        <f t="shared" si="11"/>
        <v>28755.73</v>
      </c>
      <c r="V23" s="3445"/>
      <c r="W23" s="2128">
        <v>14</v>
      </c>
      <c r="X23" s="2158">
        <v>19533</v>
      </c>
      <c r="Y23" s="2159">
        <f t="shared" si="12"/>
        <v>19835.759999999998</v>
      </c>
      <c r="Z23" s="2158">
        <v>20138.52</v>
      </c>
      <c r="AA23" s="2158"/>
      <c r="AB23" s="2158">
        <v>21533</v>
      </c>
      <c r="AC23" s="2159">
        <f t="shared" si="13"/>
        <v>21866.76</v>
      </c>
      <c r="AD23" s="2158">
        <v>22200.52</v>
      </c>
      <c r="AE23" s="2158"/>
      <c r="AF23" s="2158">
        <v>23533</v>
      </c>
      <c r="AG23" s="2159">
        <f t="shared" si="14"/>
        <v>23897.759999999998</v>
      </c>
      <c r="AH23" s="2158">
        <v>24262.52</v>
      </c>
      <c r="AI23" s="2158"/>
      <c r="AJ23" s="2158">
        <v>24642</v>
      </c>
      <c r="AK23" s="2159">
        <f t="shared" si="15"/>
        <v>25023.95</v>
      </c>
      <c r="AL23" s="2158">
        <v>25405.89000000001</v>
      </c>
      <c r="AN23" s="2164">
        <v>19533</v>
      </c>
      <c r="AO23" s="2159">
        <f t="shared" si="16"/>
        <v>19835.759999999998</v>
      </c>
      <c r="AP23" s="2164">
        <v>20138.52</v>
      </c>
      <c r="AR23" s="2164">
        <v>22533</v>
      </c>
      <c r="AS23" s="2159">
        <f t="shared" si="17"/>
        <v>22533</v>
      </c>
      <c r="AT23" s="2165">
        <v>22533</v>
      </c>
      <c r="AU23" s="4"/>
      <c r="AV23" s="2164">
        <v>24558.49</v>
      </c>
      <c r="AW23" s="2159">
        <f t="shared" si="18"/>
        <v>24558.49</v>
      </c>
      <c r="AX23" s="2165">
        <v>24558.49</v>
      </c>
      <c r="AZ23" s="2164">
        <v>24974.04</v>
      </c>
      <c r="BA23" s="2159">
        <f t="shared" si="19"/>
        <v>25189.97</v>
      </c>
      <c r="BB23" s="2164">
        <v>25405.89000000001</v>
      </c>
      <c r="BD23" s="2164">
        <v>19533</v>
      </c>
      <c r="BE23" s="2159">
        <f t="shared" si="1"/>
        <v>19835.759999999998</v>
      </c>
      <c r="BF23" s="2158">
        <v>20138.52</v>
      </c>
      <c r="BH23" s="2164">
        <v>21384.62</v>
      </c>
      <c r="BI23" s="2159">
        <f t="shared" si="2"/>
        <v>21792.57</v>
      </c>
      <c r="BJ23" s="2158">
        <v>22200.52</v>
      </c>
      <c r="BL23" s="2164">
        <v>23884.62</v>
      </c>
      <c r="BM23" s="2159">
        <f t="shared" si="3"/>
        <v>24073.57</v>
      </c>
      <c r="BN23" s="2164">
        <v>24262.52</v>
      </c>
      <c r="BP23" s="2164">
        <v>24642</v>
      </c>
      <c r="BQ23" s="2159">
        <f t="shared" si="4"/>
        <v>25023.95</v>
      </c>
      <c r="BR23" s="2158">
        <v>25405.89000000001</v>
      </c>
    </row>
    <row r="24" spans="1:70">
      <c r="A24" s="2157">
        <v>15</v>
      </c>
      <c r="B24" s="2158">
        <v>22855.88</v>
      </c>
      <c r="C24" s="2159">
        <f t="shared" si="5"/>
        <v>23258.94</v>
      </c>
      <c r="D24" s="2158">
        <v>23662</v>
      </c>
      <c r="E24" s="2140"/>
      <c r="F24" s="2158">
        <v>24092.87</v>
      </c>
      <c r="G24" s="2159">
        <f t="shared" si="6"/>
        <v>24727.439999999999</v>
      </c>
      <c r="H24" s="2158">
        <v>25362</v>
      </c>
      <c r="I24" s="2140"/>
      <c r="J24" s="2166">
        <v>28656.6</v>
      </c>
      <c r="K24" s="2167">
        <f t="shared" si="7"/>
        <v>28656.6</v>
      </c>
      <c r="L24" s="2168">
        <v>28656.6</v>
      </c>
      <c r="M24" s="2167">
        <f t="shared" si="8"/>
        <v>28656.6</v>
      </c>
      <c r="N24" s="2168">
        <f t="shared" si="8"/>
        <v>28656.6</v>
      </c>
      <c r="O24" s="2168">
        <v>30341</v>
      </c>
      <c r="P24" s="2140"/>
      <c r="Q24" s="2169">
        <v>29102.79</v>
      </c>
      <c r="R24" s="2167">
        <f t="shared" si="9"/>
        <v>29102.79</v>
      </c>
      <c r="S24" s="2168">
        <f t="shared" si="10"/>
        <v>29102.79</v>
      </c>
      <c r="T24" s="2167">
        <f t="shared" si="11"/>
        <v>29102.79</v>
      </c>
      <c r="U24" s="2168">
        <f t="shared" si="11"/>
        <v>29102.79</v>
      </c>
      <c r="V24" s="3445"/>
      <c r="W24" s="2128">
        <v>15</v>
      </c>
      <c r="X24" s="2158">
        <v>19905</v>
      </c>
      <c r="Y24" s="2159">
        <f t="shared" si="12"/>
        <v>20213.53</v>
      </c>
      <c r="Z24" s="2158">
        <v>20522.05</v>
      </c>
      <c r="AA24" s="2158"/>
      <c r="AB24" s="2158">
        <v>21905</v>
      </c>
      <c r="AC24" s="2159">
        <f t="shared" si="13"/>
        <v>22244.53</v>
      </c>
      <c r="AD24" s="2158">
        <v>22584.05</v>
      </c>
      <c r="AE24" s="2158"/>
      <c r="AF24" s="2158">
        <v>23905</v>
      </c>
      <c r="AG24" s="2159">
        <f t="shared" si="14"/>
        <v>24275.52</v>
      </c>
      <c r="AH24" s="2158">
        <v>24646.04</v>
      </c>
      <c r="AI24" s="2158"/>
      <c r="AJ24" s="2158">
        <v>25510</v>
      </c>
      <c r="AK24" s="2159">
        <f t="shared" si="15"/>
        <v>25905.4</v>
      </c>
      <c r="AL24" s="2158">
        <v>26300.790000000015</v>
      </c>
      <c r="AN24" s="2164">
        <v>19905</v>
      </c>
      <c r="AO24" s="2159">
        <f t="shared" si="16"/>
        <v>20213.53</v>
      </c>
      <c r="AP24" s="2164">
        <v>20522.05</v>
      </c>
      <c r="AR24" s="2164">
        <v>22905</v>
      </c>
      <c r="AS24" s="2159">
        <f t="shared" si="17"/>
        <v>22905</v>
      </c>
      <c r="AT24" s="2165">
        <v>22905</v>
      </c>
      <c r="AU24" s="4"/>
      <c r="AV24" s="2164">
        <v>25182.76</v>
      </c>
      <c r="AW24" s="2159">
        <f t="shared" si="18"/>
        <v>25182.76</v>
      </c>
      <c r="AX24" s="2165">
        <v>25182.76</v>
      </c>
      <c r="AZ24" s="2164">
        <v>25598.31</v>
      </c>
      <c r="BA24" s="2159">
        <f t="shared" si="19"/>
        <v>25949.55</v>
      </c>
      <c r="BB24" s="2164">
        <v>26300.790000000015</v>
      </c>
      <c r="BD24" s="2164">
        <v>19905</v>
      </c>
      <c r="BE24" s="2159">
        <f t="shared" si="1"/>
        <v>20213.53</v>
      </c>
      <c r="BF24" s="2158">
        <v>20522.05</v>
      </c>
      <c r="BH24" s="2164">
        <v>22008.89</v>
      </c>
      <c r="BI24" s="2159">
        <f t="shared" si="2"/>
        <v>22296.47</v>
      </c>
      <c r="BJ24" s="2158">
        <v>22584.05</v>
      </c>
      <c r="BL24" s="2164">
        <v>24508.89</v>
      </c>
      <c r="BM24" s="2159">
        <f t="shared" si="3"/>
        <v>24577.47</v>
      </c>
      <c r="BN24" s="2164">
        <v>24646.04</v>
      </c>
      <c r="BP24" s="2164">
        <v>25510</v>
      </c>
      <c r="BQ24" s="2159">
        <f t="shared" si="4"/>
        <v>25905.4</v>
      </c>
      <c r="BR24" s="2158">
        <v>26300.790000000015</v>
      </c>
    </row>
    <row r="25" spans="1:70">
      <c r="A25" s="2157">
        <v>16</v>
      </c>
      <c r="B25" s="2158">
        <v>23103.78</v>
      </c>
      <c r="C25" s="2159">
        <f t="shared" si="5"/>
        <v>23482.89</v>
      </c>
      <c r="D25" s="2158">
        <v>23862</v>
      </c>
      <c r="E25" s="2140"/>
      <c r="F25" s="2158">
        <v>24377.95</v>
      </c>
      <c r="G25" s="2159">
        <f t="shared" si="6"/>
        <v>24969.98</v>
      </c>
      <c r="H25" s="2158">
        <v>25562</v>
      </c>
      <c r="I25" s="2140"/>
      <c r="J25" s="2166">
        <v>29003.66</v>
      </c>
      <c r="K25" s="2167">
        <f t="shared" si="7"/>
        <v>29003.66</v>
      </c>
      <c r="L25" s="2168">
        <v>29003.66</v>
      </c>
      <c r="M25" s="2167">
        <f t="shared" si="8"/>
        <v>29003.66</v>
      </c>
      <c r="N25" s="2168">
        <f t="shared" si="8"/>
        <v>29003.66</v>
      </c>
      <c r="O25" s="2168">
        <v>30610</v>
      </c>
      <c r="P25" s="2140"/>
      <c r="Q25" s="2169">
        <v>29449.85</v>
      </c>
      <c r="R25" s="2167">
        <f t="shared" si="9"/>
        <v>29449.85</v>
      </c>
      <c r="S25" s="2168">
        <f t="shared" si="10"/>
        <v>29449.85</v>
      </c>
      <c r="T25" s="2167">
        <f t="shared" si="11"/>
        <v>29449.85</v>
      </c>
      <c r="U25" s="2168">
        <f t="shared" si="11"/>
        <v>29449.85</v>
      </c>
      <c r="V25" s="3445"/>
      <c r="W25" s="2128">
        <v>16</v>
      </c>
      <c r="X25" s="2158">
        <v>19905</v>
      </c>
      <c r="Y25" s="2159">
        <f t="shared" si="12"/>
        <v>20213.53</v>
      </c>
      <c r="Z25" s="2158">
        <v>20522.05</v>
      </c>
      <c r="AA25" s="2158"/>
      <c r="AB25" s="2158">
        <v>21905</v>
      </c>
      <c r="AC25" s="2159">
        <f t="shared" si="13"/>
        <v>22244.53</v>
      </c>
      <c r="AD25" s="2158">
        <v>22584.05</v>
      </c>
      <c r="AE25" s="2158"/>
      <c r="AF25" s="2158">
        <v>23905</v>
      </c>
      <c r="AG25" s="2159">
        <f t="shared" si="14"/>
        <v>24275.52</v>
      </c>
      <c r="AH25" s="2158">
        <v>24646.04</v>
      </c>
      <c r="AI25" s="2158"/>
      <c r="AJ25" s="2158">
        <v>25510</v>
      </c>
      <c r="AK25" s="2159">
        <f t="shared" si="15"/>
        <v>25905.4</v>
      </c>
      <c r="AL25" s="2158">
        <v>26300.790000000015</v>
      </c>
      <c r="AN25" s="2164">
        <v>19905</v>
      </c>
      <c r="AO25" s="2159">
        <f t="shared" si="16"/>
        <v>20213.53</v>
      </c>
      <c r="AP25" s="2164">
        <v>20522.05</v>
      </c>
      <c r="AR25" s="2164">
        <v>22905</v>
      </c>
      <c r="AS25" s="2159">
        <f t="shared" si="17"/>
        <v>22905</v>
      </c>
      <c r="AT25" s="2165">
        <v>22905</v>
      </c>
      <c r="AU25" s="4"/>
      <c r="AV25" s="2164">
        <v>25182.76</v>
      </c>
      <c r="AW25" s="2159">
        <f t="shared" si="18"/>
        <v>25182.76</v>
      </c>
      <c r="AX25" s="2165">
        <v>25182.76</v>
      </c>
      <c r="AZ25" s="2164">
        <v>25598.31</v>
      </c>
      <c r="BA25" s="2159">
        <f t="shared" si="19"/>
        <v>25949.55</v>
      </c>
      <c r="BB25" s="2164">
        <v>26300.790000000015</v>
      </c>
      <c r="BD25" s="2164">
        <v>19905</v>
      </c>
      <c r="BE25" s="2159">
        <f t="shared" si="1"/>
        <v>20213.53</v>
      </c>
      <c r="BF25" s="2158">
        <v>20522.05</v>
      </c>
      <c r="BH25" s="2164">
        <v>22008.89</v>
      </c>
      <c r="BI25" s="2159">
        <f t="shared" si="2"/>
        <v>22296.47</v>
      </c>
      <c r="BJ25" s="2158">
        <v>22584.05</v>
      </c>
      <c r="BL25" s="2164">
        <v>24508.89</v>
      </c>
      <c r="BM25" s="2159">
        <f t="shared" si="3"/>
        <v>24577.47</v>
      </c>
      <c r="BN25" s="2164">
        <v>24646.04</v>
      </c>
      <c r="BP25" s="2164">
        <v>25510</v>
      </c>
      <c r="BQ25" s="2159">
        <f t="shared" si="4"/>
        <v>25905.4</v>
      </c>
      <c r="BR25" s="2158">
        <v>26300.790000000015</v>
      </c>
    </row>
    <row r="26" spans="1:70">
      <c r="A26" s="2157">
        <v>17</v>
      </c>
      <c r="B26" s="2158">
        <v>23351.68</v>
      </c>
      <c r="C26" s="2159">
        <f t="shared" si="5"/>
        <v>23706.84</v>
      </c>
      <c r="D26" s="2158">
        <v>24062</v>
      </c>
      <c r="E26" s="2140"/>
      <c r="F26" s="2158">
        <v>24663.03</v>
      </c>
      <c r="G26" s="2159">
        <f t="shared" si="6"/>
        <v>25212.52</v>
      </c>
      <c r="H26" s="2158">
        <v>25762</v>
      </c>
      <c r="I26" s="2140"/>
      <c r="J26" s="2166">
        <v>29350.720000000001</v>
      </c>
      <c r="K26" s="2167">
        <f t="shared" si="7"/>
        <v>29350.720000000001</v>
      </c>
      <c r="L26" s="2168">
        <v>29350.720000000001</v>
      </c>
      <c r="M26" s="2167">
        <f t="shared" si="8"/>
        <v>29350.720000000001</v>
      </c>
      <c r="N26" s="2168">
        <f t="shared" si="8"/>
        <v>29350.720000000001</v>
      </c>
      <c r="O26" s="2168">
        <v>30880</v>
      </c>
      <c r="P26" s="2140"/>
      <c r="Q26" s="2169">
        <v>29796.91</v>
      </c>
      <c r="R26" s="2167">
        <f t="shared" si="9"/>
        <v>29796.91</v>
      </c>
      <c r="S26" s="2168">
        <f t="shared" si="10"/>
        <v>29796.91</v>
      </c>
      <c r="T26" s="2167">
        <f t="shared" si="11"/>
        <v>29796.91</v>
      </c>
      <c r="U26" s="2168">
        <f t="shared" si="11"/>
        <v>29796.91</v>
      </c>
      <c r="V26" s="3445"/>
      <c r="W26" s="2128">
        <v>17</v>
      </c>
      <c r="X26" s="2158">
        <v>20277</v>
      </c>
      <c r="Y26" s="2159">
        <f t="shared" si="12"/>
        <v>20591.29</v>
      </c>
      <c r="Z26" s="2158">
        <v>20905.579999999998</v>
      </c>
      <c r="AA26" s="2158"/>
      <c r="AB26" s="2158">
        <v>22277</v>
      </c>
      <c r="AC26" s="2159">
        <f t="shared" si="13"/>
        <v>22622.29</v>
      </c>
      <c r="AD26" s="2158">
        <v>22967.579999999998</v>
      </c>
      <c r="AE26" s="2158"/>
      <c r="AF26" s="2158">
        <v>24277</v>
      </c>
      <c r="AG26" s="2159">
        <f t="shared" si="14"/>
        <v>24653.279999999999</v>
      </c>
      <c r="AH26" s="2158">
        <v>25029.56</v>
      </c>
      <c r="AI26" s="2158"/>
      <c r="AJ26" s="2158">
        <v>26378</v>
      </c>
      <c r="AK26" s="2159">
        <f t="shared" si="15"/>
        <v>26786.85</v>
      </c>
      <c r="AL26" s="2158">
        <v>27195.690000000021</v>
      </c>
      <c r="AN26" s="2164">
        <v>20277</v>
      </c>
      <c r="AO26" s="2159">
        <f t="shared" si="16"/>
        <v>20591.29</v>
      </c>
      <c r="AP26" s="2164">
        <v>20905.579999999998</v>
      </c>
      <c r="AR26" s="2164">
        <v>23277</v>
      </c>
      <c r="AS26" s="2159">
        <f t="shared" si="17"/>
        <v>23277</v>
      </c>
      <c r="AT26" s="2165">
        <v>23277</v>
      </c>
      <c r="AU26" s="4"/>
      <c r="AV26" s="2164">
        <v>25807.03</v>
      </c>
      <c r="AW26" s="2159">
        <f t="shared" si="18"/>
        <v>25807.03</v>
      </c>
      <c r="AX26" s="2165">
        <v>25807.03</v>
      </c>
      <c r="AZ26" s="2164">
        <v>26378</v>
      </c>
      <c r="BA26" s="2159">
        <f t="shared" si="19"/>
        <v>26786.85</v>
      </c>
      <c r="BB26" s="2164">
        <v>27195.690000000021</v>
      </c>
      <c r="BD26" s="2164">
        <v>20277</v>
      </c>
      <c r="BE26" s="2159">
        <f t="shared" si="1"/>
        <v>20591.29</v>
      </c>
      <c r="BF26" s="2158">
        <v>20905.579999999998</v>
      </c>
      <c r="BH26" s="2164">
        <v>22633.16</v>
      </c>
      <c r="BI26" s="2159">
        <f t="shared" si="2"/>
        <v>22800.37</v>
      </c>
      <c r="BJ26" s="2158">
        <v>22967.579999999998</v>
      </c>
      <c r="BL26" s="2164">
        <v>25133.16</v>
      </c>
      <c r="BM26" s="2159">
        <f t="shared" si="3"/>
        <v>25133.16</v>
      </c>
      <c r="BN26" s="2165">
        <v>25133.16</v>
      </c>
      <c r="BP26" s="2164">
        <v>26378</v>
      </c>
      <c r="BQ26" s="2159">
        <f t="shared" si="4"/>
        <v>26786.85</v>
      </c>
      <c r="BR26" s="2158">
        <v>27195.690000000021</v>
      </c>
    </row>
    <row r="27" spans="1:70">
      <c r="A27" s="2157">
        <v>18</v>
      </c>
      <c r="B27" s="2158">
        <v>23599.58</v>
      </c>
      <c r="C27" s="2159">
        <f t="shared" si="5"/>
        <v>23930.79</v>
      </c>
      <c r="D27" s="2158">
        <v>24262</v>
      </c>
      <c r="E27" s="2140"/>
      <c r="F27" s="2158">
        <v>24948.11</v>
      </c>
      <c r="G27" s="2159">
        <f t="shared" si="6"/>
        <v>25455.06</v>
      </c>
      <c r="H27" s="2158">
        <v>25962</v>
      </c>
      <c r="I27" s="2140"/>
      <c r="J27" s="2166">
        <v>29697.78</v>
      </c>
      <c r="K27" s="2167">
        <f t="shared" si="7"/>
        <v>29697.78</v>
      </c>
      <c r="L27" s="2168">
        <v>29697.78</v>
      </c>
      <c r="M27" s="2167">
        <f t="shared" si="8"/>
        <v>29697.78</v>
      </c>
      <c r="N27" s="2168">
        <f t="shared" si="8"/>
        <v>29697.78</v>
      </c>
      <c r="O27" s="2168">
        <v>31150</v>
      </c>
      <c r="P27" s="2140"/>
      <c r="Q27" s="2169">
        <v>30143.97</v>
      </c>
      <c r="R27" s="2167">
        <f t="shared" si="9"/>
        <v>30143.97</v>
      </c>
      <c r="S27" s="2168">
        <f t="shared" si="10"/>
        <v>30143.97</v>
      </c>
      <c r="T27" s="2167">
        <f t="shared" si="11"/>
        <v>30143.97</v>
      </c>
      <c r="U27" s="2168">
        <f t="shared" si="11"/>
        <v>30143.97</v>
      </c>
      <c r="V27" s="3445"/>
      <c r="W27" s="2128">
        <v>18</v>
      </c>
      <c r="X27" s="2158">
        <v>20277</v>
      </c>
      <c r="Y27" s="2159">
        <f t="shared" si="12"/>
        <v>20591.29</v>
      </c>
      <c r="Z27" s="2158">
        <v>20905.579999999998</v>
      </c>
      <c r="AA27" s="2158"/>
      <c r="AB27" s="2158">
        <v>22277</v>
      </c>
      <c r="AC27" s="2159">
        <f t="shared" si="13"/>
        <v>22622.29</v>
      </c>
      <c r="AD27" s="2158">
        <v>22967.579999999998</v>
      </c>
      <c r="AE27" s="2158"/>
      <c r="AF27" s="2158">
        <v>24277</v>
      </c>
      <c r="AG27" s="2159">
        <f t="shared" si="14"/>
        <v>24653.279999999999</v>
      </c>
      <c r="AH27" s="2158">
        <v>25029.56</v>
      </c>
      <c r="AI27" s="2158"/>
      <c r="AJ27" s="2158">
        <v>26378</v>
      </c>
      <c r="AK27" s="2159">
        <f t="shared" si="15"/>
        <v>26786.85</v>
      </c>
      <c r="AL27" s="2158">
        <v>27195.690000000021</v>
      </c>
      <c r="AN27" s="2164">
        <v>20277</v>
      </c>
      <c r="AO27" s="2159">
        <f t="shared" si="16"/>
        <v>20591.29</v>
      </c>
      <c r="AP27" s="2164">
        <v>20905.579999999998</v>
      </c>
      <c r="AR27" s="2164">
        <v>23277</v>
      </c>
      <c r="AS27" s="2159">
        <f t="shared" si="17"/>
        <v>23277</v>
      </c>
      <c r="AT27" s="2165">
        <v>23277</v>
      </c>
      <c r="AU27" s="4"/>
      <c r="AV27" s="2164">
        <v>25807.03</v>
      </c>
      <c r="AW27" s="2159">
        <f t="shared" si="18"/>
        <v>25807.03</v>
      </c>
      <c r="AX27" s="2165">
        <v>25807.03</v>
      </c>
      <c r="AZ27" s="2164">
        <v>26378</v>
      </c>
      <c r="BA27" s="2159">
        <f t="shared" si="19"/>
        <v>26786.85</v>
      </c>
      <c r="BB27" s="2164">
        <v>27195.690000000021</v>
      </c>
      <c r="BD27" s="2164">
        <v>20277</v>
      </c>
      <c r="BE27" s="2159">
        <f t="shared" si="1"/>
        <v>20591.29</v>
      </c>
      <c r="BF27" s="2158">
        <v>20905.579999999998</v>
      </c>
      <c r="BH27" s="2164">
        <v>22633.16</v>
      </c>
      <c r="BI27" s="2159">
        <f t="shared" si="2"/>
        <v>22800.37</v>
      </c>
      <c r="BJ27" s="2158">
        <v>22967.579999999998</v>
      </c>
      <c r="BL27" s="2164">
        <v>25133.16</v>
      </c>
      <c r="BM27" s="2159">
        <f t="shared" si="3"/>
        <v>25133.16</v>
      </c>
      <c r="BN27" s="2165">
        <v>25133.16</v>
      </c>
      <c r="BP27" s="2164">
        <v>26378</v>
      </c>
      <c r="BQ27" s="2159">
        <f t="shared" si="4"/>
        <v>26786.85</v>
      </c>
      <c r="BR27" s="2158">
        <v>27195.690000000021</v>
      </c>
    </row>
    <row r="28" spans="1:70">
      <c r="A28" s="2157">
        <v>19</v>
      </c>
      <c r="B28" s="2158">
        <v>23847.48</v>
      </c>
      <c r="C28" s="2159">
        <f t="shared" si="5"/>
        <v>24154.240000000002</v>
      </c>
      <c r="D28" s="2158">
        <v>24461</v>
      </c>
      <c r="E28" s="2140"/>
      <c r="F28" s="2158">
        <v>25233.19</v>
      </c>
      <c r="G28" s="2159">
        <f t="shared" si="6"/>
        <v>25697.1</v>
      </c>
      <c r="H28" s="2158">
        <v>26161</v>
      </c>
      <c r="I28" s="2140"/>
      <c r="J28" s="2166">
        <v>30044.84</v>
      </c>
      <c r="K28" s="2167">
        <f t="shared" si="7"/>
        <v>30044.84</v>
      </c>
      <c r="L28" s="2168">
        <v>30044.84</v>
      </c>
      <c r="M28" s="2167">
        <f t="shared" si="8"/>
        <v>30044.84</v>
      </c>
      <c r="N28" s="2168">
        <f t="shared" si="8"/>
        <v>30044.84</v>
      </c>
      <c r="O28" s="2168">
        <v>31419</v>
      </c>
      <c r="P28" s="2140"/>
      <c r="Q28" s="2169">
        <v>30491.03</v>
      </c>
      <c r="R28" s="2167">
        <f t="shared" si="9"/>
        <v>30491.03</v>
      </c>
      <c r="S28" s="2168">
        <f t="shared" si="10"/>
        <v>30491.03</v>
      </c>
      <c r="T28" s="2167">
        <f t="shared" si="11"/>
        <v>30491.03</v>
      </c>
      <c r="U28" s="2168">
        <f t="shared" si="11"/>
        <v>30491.03</v>
      </c>
      <c r="V28" s="3445"/>
      <c r="W28" s="2128">
        <v>19</v>
      </c>
      <c r="X28" s="2158">
        <v>20649</v>
      </c>
      <c r="Y28" s="2159">
        <f t="shared" si="12"/>
        <v>20969.060000000001</v>
      </c>
      <c r="Z28" s="2158">
        <v>21289.109999999997</v>
      </c>
      <c r="AA28" s="2158"/>
      <c r="AB28" s="2158">
        <v>22649</v>
      </c>
      <c r="AC28" s="2159">
        <f t="shared" si="13"/>
        <v>23000.06</v>
      </c>
      <c r="AD28" s="2158">
        <v>23351.109999999997</v>
      </c>
      <c r="AE28" s="2158"/>
      <c r="AF28" s="2158">
        <v>24649</v>
      </c>
      <c r="AG28" s="2159">
        <f t="shared" si="14"/>
        <v>25031.040000000001</v>
      </c>
      <c r="AH28" s="2158">
        <v>25413.08</v>
      </c>
      <c r="AI28" s="2158"/>
      <c r="AJ28" s="2158">
        <v>27246</v>
      </c>
      <c r="AK28" s="2159">
        <f t="shared" si="15"/>
        <v>27668.3</v>
      </c>
      <c r="AL28" s="2158">
        <v>28090.590000000026</v>
      </c>
      <c r="AN28" s="2164">
        <v>20649</v>
      </c>
      <c r="AO28" s="2159">
        <f t="shared" si="16"/>
        <v>20969.060000000001</v>
      </c>
      <c r="AP28" s="2164">
        <v>21289.109999999997</v>
      </c>
      <c r="AR28" s="2164">
        <v>23649</v>
      </c>
      <c r="AS28" s="2159">
        <f t="shared" si="17"/>
        <v>23649</v>
      </c>
      <c r="AT28" s="2165">
        <v>23649</v>
      </c>
      <c r="AU28" s="4"/>
      <c r="AV28" s="2164">
        <v>26431.3</v>
      </c>
      <c r="AW28" s="2159">
        <f t="shared" si="18"/>
        <v>26431.3</v>
      </c>
      <c r="AX28" s="2165">
        <v>26431.3</v>
      </c>
      <c r="AZ28" s="2164">
        <v>27246</v>
      </c>
      <c r="BA28" s="2159">
        <f t="shared" si="19"/>
        <v>27668.3</v>
      </c>
      <c r="BB28" s="2164">
        <v>28090.590000000026</v>
      </c>
      <c r="BD28" s="2164">
        <v>20757.43</v>
      </c>
      <c r="BE28" s="2159">
        <f t="shared" si="1"/>
        <v>21023.27</v>
      </c>
      <c r="BF28" s="2158">
        <v>21289.109999999997</v>
      </c>
      <c r="BH28" s="2164">
        <v>23257.43</v>
      </c>
      <c r="BI28" s="2159">
        <f t="shared" si="2"/>
        <v>23304.27</v>
      </c>
      <c r="BJ28" s="2158">
        <v>23351.109999999997</v>
      </c>
      <c r="BL28" s="2164">
        <v>25757.43</v>
      </c>
      <c r="BM28" s="2159">
        <f t="shared" si="3"/>
        <v>25757.43</v>
      </c>
      <c r="BN28" s="2165">
        <v>25757.43</v>
      </c>
      <c r="BP28" s="2164">
        <v>27246</v>
      </c>
      <c r="BQ28" s="2159">
        <f t="shared" si="4"/>
        <v>27668.3</v>
      </c>
      <c r="BR28" s="2158">
        <v>28090.590000000026</v>
      </c>
    </row>
    <row r="29" spans="1:70">
      <c r="A29" s="2157">
        <v>20</v>
      </c>
      <c r="B29" s="2158">
        <v>24095.38</v>
      </c>
      <c r="C29" s="2159">
        <f t="shared" si="5"/>
        <v>24378.19</v>
      </c>
      <c r="D29" s="2158">
        <v>24661</v>
      </c>
      <c r="E29" s="2140"/>
      <c r="F29" s="2158">
        <v>25518.27</v>
      </c>
      <c r="G29" s="2159">
        <f t="shared" si="6"/>
        <v>25939.64</v>
      </c>
      <c r="H29" s="2158">
        <v>26361</v>
      </c>
      <c r="I29" s="2140"/>
      <c r="J29" s="2166">
        <v>30391.9</v>
      </c>
      <c r="K29" s="2167">
        <f t="shared" si="7"/>
        <v>30391.9</v>
      </c>
      <c r="L29" s="2168">
        <v>30391.9</v>
      </c>
      <c r="M29" s="2167">
        <f t="shared" si="8"/>
        <v>30391.9</v>
      </c>
      <c r="N29" s="2168">
        <f t="shared" si="8"/>
        <v>30391.9</v>
      </c>
      <c r="O29" s="2168">
        <v>31689</v>
      </c>
      <c r="P29" s="2140"/>
      <c r="Q29" s="2169">
        <v>30838.09</v>
      </c>
      <c r="R29" s="2167">
        <f t="shared" si="9"/>
        <v>30838.09</v>
      </c>
      <c r="S29" s="2168">
        <f t="shared" si="10"/>
        <v>30838.09</v>
      </c>
      <c r="T29" s="2167">
        <f t="shared" si="11"/>
        <v>30838.09</v>
      </c>
      <c r="U29" s="2168">
        <f t="shared" si="11"/>
        <v>30838.09</v>
      </c>
      <c r="V29" s="3445"/>
      <c r="W29" s="2128">
        <v>20</v>
      </c>
      <c r="X29" s="2158">
        <v>20649</v>
      </c>
      <c r="Y29" s="2159">
        <f t="shared" si="12"/>
        <v>20969.060000000001</v>
      </c>
      <c r="Z29" s="2158">
        <v>21289.109999999997</v>
      </c>
      <c r="AA29" s="2158"/>
      <c r="AB29" s="2158">
        <v>22649</v>
      </c>
      <c r="AC29" s="2159">
        <f t="shared" si="13"/>
        <v>23000.06</v>
      </c>
      <c r="AD29" s="2158">
        <v>23351.109999999997</v>
      </c>
      <c r="AE29" s="2158"/>
      <c r="AF29" s="2158">
        <v>24649</v>
      </c>
      <c r="AG29" s="2159">
        <f t="shared" si="14"/>
        <v>25031.040000000001</v>
      </c>
      <c r="AH29" s="2158">
        <v>25413.08</v>
      </c>
      <c r="AI29" s="2158"/>
      <c r="AJ29" s="2158">
        <v>27246</v>
      </c>
      <c r="AK29" s="2159">
        <f t="shared" si="15"/>
        <v>27668.3</v>
      </c>
      <c r="AL29" s="2158">
        <v>28090.590000000026</v>
      </c>
      <c r="AN29" s="2164">
        <v>20649</v>
      </c>
      <c r="AO29" s="2159">
        <f t="shared" si="16"/>
        <v>20969.060000000001</v>
      </c>
      <c r="AP29" s="2164">
        <v>21289.109999999997</v>
      </c>
      <c r="AR29" s="2164">
        <v>23649</v>
      </c>
      <c r="AS29" s="2159">
        <f t="shared" si="17"/>
        <v>23649</v>
      </c>
      <c r="AT29" s="2165">
        <v>23649</v>
      </c>
      <c r="AU29" s="4"/>
      <c r="AV29" s="2164">
        <v>26431.3</v>
      </c>
      <c r="AW29" s="2159">
        <f t="shared" si="18"/>
        <v>26431.3</v>
      </c>
      <c r="AX29" s="2165">
        <v>26431.3</v>
      </c>
      <c r="AZ29" s="2164">
        <v>27246</v>
      </c>
      <c r="BA29" s="2159">
        <f t="shared" si="19"/>
        <v>27668.3</v>
      </c>
      <c r="BB29" s="2164">
        <v>28090.590000000026</v>
      </c>
      <c r="BD29" s="2164">
        <v>20757.43</v>
      </c>
      <c r="BE29" s="2159">
        <f t="shared" si="1"/>
        <v>21023.27</v>
      </c>
      <c r="BF29" s="2158">
        <v>21289.109999999997</v>
      </c>
      <c r="BH29" s="2164">
        <v>23257.43</v>
      </c>
      <c r="BI29" s="2159">
        <f t="shared" si="2"/>
        <v>23304.27</v>
      </c>
      <c r="BJ29" s="2158">
        <v>23351.109999999997</v>
      </c>
      <c r="BL29" s="2164">
        <v>25757.43</v>
      </c>
      <c r="BM29" s="2159">
        <f t="shared" si="3"/>
        <v>25757.43</v>
      </c>
      <c r="BN29" s="2165">
        <v>25757.43</v>
      </c>
      <c r="BP29" s="2164">
        <v>27246</v>
      </c>
      <c r="BQ29" s="2159">
        <f t="shared" si="4"/>
        <v>27668.3</v>
      </c>
      <c r="BR29" s="2158">
        <v>28090.590000000026</v>
      </c>
    </row>
    <row r="30" spans="1:70">
      <c r="A30" s="2157">
        <v>21</v>
      </c>
      <c r="B30" s="2158">
        <v>24343.279999999999</v>
      </c>
      <c r="C30" s="2159">
        <f t="shared" si="5"/>
        <v>24602.14</v>
      </c>
      <c r="D30" s="2158">
        <v>24861</v>
      </c>
      <c r="E30" s="2140"/>
      <c r="F30" s="2158">
        <v>25803.35</v>
      </c>
      <c r="G30" s="2159">
        <f t="shared" si="6"/>
        <v>26182.18</v>
      </c>
      <c r="H30" s="2158">
        <v>26561</v>
      </c>
      <c r="I30" s="2140"/>
      <c r="J30" s="2166">
        <v>30738.959999999999</v>
      </c>
      <c r="K30" s="2167">
        <f t="shared" si="7"/>
        <v>30738.959999999999</v>
      </c>
      <c r="L30" s="2168">
        <v>30738.959999999999</v>
      </c>
      <c r="M30" s="2167">
        <f t="shared" si="8"/>
        <v>30738.959999999999</v>
      </c>
      <c r="N30" s="2168">
        <f t="shared" si="8"/>
        <v>30738.959999999999</v>
      </c>
      <c r="O30" s="2168">
        <v>31959</v>
      </c>
      <c r="P30" s="2140"/>
      <c r="Q30" s="2169">
        <v>31185.15</v>
      </c>
      <c r="R30" s="2167">
        <f t="shared" si="9"/>
        <v>31185.15</v>
      </c>
      <c r="S30" s="2168">
        <f t="shared" si="10"/>
        <v>31185.15</v>
      </c>
      <c r="T30" s="2167">
        <f t="shared" si="11"/>
        <v>31185.15</v>
      </c>
      <c r="U30" s="2168">
        <f t="shared" si="11"/>
        <v>31185.15</v>
      </c>
      <c r="V30" s="3445"/>
      <c r="W30" s="2128">
        <v>21</v>
      </c>
      <c r="X30" s="2158">
        <v>21021</v>
      </c>
      <c r="Y30" s="2159">
        <f t="shared" si="12"/>
        <v>21346.82</v>
      </c>
      <c r="Z30" s="2158">
        <v>21672.639999999996</v>
      </c>
      <c r="AA30" s="2158"/>
      <c r="AB30" s="2158">
        <v>23021</v>
      </c>
      <c r="AC30" s="2159">
        <f t="shared" si="13"/>
        <v>23377.82</v>
      </c>
      <c r="AD30" s="2158">
        <v>23734.639999999996</v>
      </c>
      <c r="AE30" s="2158"/>
      <c r="AF30" s="2158">
        <v>25021</v>
      </c>
      <c r="AG30" s="2159">
        <f t="shared" si="14"/>
        <v>25408.799999999999</v>
      </c>
      <c r="AH30" s="2158">
        <v>25796.600000000002</v>
      </c>
      <c r="AI30" s="2158"/>
      <c r="AJ30" s="2158">
        <v>27816</v>
      </c>
      <c r="AK30" s="2159">
        <f t="shared" si="15"/>
        <v>28247.15</v>
      </c>
      <c r="AL30" s="2158">
        <v>28678.3</v>
      </c>
      <c r="AN30" s="2164">
        <v>21021</v>
      </c>
      <c r="AO30" s="2159">
        <f t="shared" si="16"/>
        <v>21346.82</v>
      </c>
      <c r="AP30" s="2164">
        <v>21672.639999999996</v>
      </c>
      <c r="AR30" s="2164">
        <v>24021</v>
      </c>
      <c r="AS30" s="2159">
        <f t="shared" si="17"/>
        <v>24021</v>
      </c>
      <c r="AT30" s="2165">
        <v>24021</v>
      </c>
      <c r="AU30" s="4"/>
      <c r="AV30" s="2164">
        <v>27055.57</v>
      </c>
      <c r="AW30" s="2159">
        <f t="shared" si="18"/>
        <v>27055.57</v>
      </c>
      <c r="AX30" s="2165">
        <v>27055.57</v>
      </c>
      <c r="AZ30" s="2164">
        <v>27816</v>
      </c>
      <c r="BA30" s="2159">
        <f t="shared" si="19"/>
        <v>28247.15</v>
      </c>
      <c r="BB30" s="2164">
        <v>28678.3</v>
      </c>
      <c r="BD30" s="2164">
        <v>21381.7</v>
      </c>
      <c r="BE30" s="2159">
        <f t="shared" si="1"/>
        <v>21527.17</v>
      </c>
      <c r="BF30" s="2158">
        <v>21672.639999999996</v>
      </c>
      <c r="BH30" s="2164">
        <v>23881.7</v>
      </c>
      <c r="BI30" s="2159">
        <f t="shared" si="2"/>
        <v>23881.7</v>
      </c>
      <c r="BJ30" s="2165">
        <v>23881.7</v>
      </c>
      <c r="BL30" s="2164">
        <v>26381.7</v>
      </c>
      <c r="BM30" s="2159">
        <f t="shared" si="3"/>
        <v>26381.7</v>
      </c>
      <c r="BN30" s="2165">
        <v>26381.7</v>
      </c>
      <c r="BP30" s="2164">
        <v>27816</v>
      </c>
      <c r="BQ30" s="2159">
        <f t="shared" si="4"/>
        <v>28247.15</v>
      </c>
      <c r="BR30" s="2158">
        <v>28678.3</v>
      </c>
    </row>
    <row r="31" spans="1:70">
      <c r="A31" s="2157">
        <v>22</v>
      </c>
      <c r="B31" s="2158">
        <v>24591.18</v>
      </c>
      <c r="C31" s="2159">
        <f t="shared" si="5"/>
        <v>24826.09</v>
      </c>
      <c r="D31" s="2158">
        <v>25061</v>
      </c>
      <c r="E31" s="2140"/>
      <c r="F31" s="2158">
        <v>26088.43</v>
      </c>
      <c r="G31" s="2159">
        <f t="shared" si="6"/>
        <v>26424.720000000001</v>
      </c>
      <c r="H31" s="2158">
        <v>26761</v>
      </c>
      <c r="I31" s="2140"/>
      <c r="J31" s="2166">
        <v>31086.02</v>
      </c>
      <c r="K31" s="2167">
        <f t="shared" si="7"/>
        <v>31086.02</v>
      </c>
      <c r="L31" s="2168">
        <v>31086.02</v>
      </c>
      <c r="M31" s="2167">
        <f t="shared" si="8"/>
        <v>31086.02</v>
      </c>
      <c r="N31" s="2168">
        <f t="shared" si="8"/>
        <v>31086.02</v>
      </c>
      <c r="O31" s="2168">
        <v>32228</v>
      </c>
      <c r="P31" s="2140"/>
      <c r="Q31" s="2169">
        <v>31532.21</v>
      </c>
      <c r="R31" s="2167">
        <f t="shared" si="9"/>
        <v>31532.21</v>
      </c>
      <c r="S31" s="2168">
        <f t="shared" si="10"/>
        <v>31532.21</v>
      </c>
      <c r="T31" s="2167">
        <f t="shared" si="11"/>
        <v>31532.21</v>
      </c>
      <c r="U31" s="2168">
        <f t="shared" si="11"/>
        <v>31532.21</v>
      </c>
      <c r="V31" s="3445"/>
      <c r="W31" s="2128">
        <v>22</v>
      </c>
      <c r="X31" s="2158">
        <v>21021</v>
      </c>
      <c r="Y31" s="2159">
        <f t="shared" si="12"/>
        <v>21346.82</v>
      </c>
      <c r="Z31" s="2158">
        <v>21672.639999999996</v>
      </c>
      <c r="AA31" s="2158"/>
      <c r="AB31" s="2158">
        <v>23021</v>
      </c>
      <c r="AC31" s="2159">
        <f t="shared" si="13"/>
        <v>23377.82</v>
      </c>
      <c r="AD31" s="2158">
        <v>23734.639999999996</v>
      </c>
      <c r="AE31" s="2158"/>
      <c r="AF31" s="2158">
        <v>25021</v>
      </c>
      <c r="AG31" s="2159">
        <f t="shared" si="14"/>
        <v>25408.799999999999</v>
      </c>
      <c r="AH31" s="2158">
        <v>25796.600000000002</v>
      </c>
      <c r="AI31" s="2158"/>
      <c r="AJ31" s="2158">
        <v>27816</v>
      </c>
      <c r="AK31" s="2159">
        <f t="shared" si="15"/>
        <v>28247.15</v>
      </c>
      <c r="AL31" s="2158">
        <v>28678.3</v>
      </c>
      <c r="AN31" s="2164">
        <v>21021</v>
      </c>
      <c r="AO31" s="2159">
        <f t="shared" si="16"/>
        <v>21346.82</v>
      </c>
      <c r="AP31" s="2164">
        <v>21672.639999999996</v>
      </c>
      <c r="AR31" s="2164">
        <v>24021</v>
      </c>
      <c r="AS31" s="2159">
        <f t="shared" si="17"/>
        <v>24021</v>
      </c>
      <c r="AT31" s="2165">
        <v>24021</v>
      </c>
      <c r="AU31" s="4"/>
      <c r="AV31" s="2164">
        <v>27055.57</v>
      </c>
      <c r="AW31" s="2159">
        <f t="shared" si="18"/>
        <v>27055.57</v>
      </c>
      <c r="AX31" s="2165">
        <v>27055.57</v>
      </c>
      <c r="AZ31" s="2164">
        <v>27816</v>
      </c>
      <c r="BA31" s="2159">
        <f t="shared" si="19"/>
        <v>28247.15</v>
      </c>
      <c r="BB31" s="2164">
        <v>28678.3</v>
      </c>
      <c r="BD31" s="2164">
        <v>21381.7</v>
      </c>
      <c r="BE31" s="2159">
        <f t="shared" si="1"/>
        <v>21527.17</v>
      </c>
      <c r="BF31" s="2158">
        <v>21672.639999999996</v>
      </c>
      <c r="BH31" s="2164">
        <v>23881.7</v>
      </c>
      <c r="BI31" s="2159">
        <f t="shared" si="2"/>
        <v>23881.7</v>
      </c>
      <c r="BJ31" s="2165">
        <v>23881.7</v>
      </c>
      <c r="BL31" s="2164">
        <v>26381.7</v>
      </c>
      <c r="BM31" s="2159">
        <f t="shared" si="3"/>
        <v>26381.7</v>
      </c>
      <c r="BN31" s="2165">
        <v>26381.7</v>
      </c>
      <c r="BP31" s="2164">
        <v>27816</v>
      </c>
      <c r="BQ31" s="2159">
        <f t="shared" si="4"/>
        <v>28247.15</v>
      </c>
      <c r="BR31" s="2158">
        <v>28678.3</v>
      </c>
    </row>
    <row r="32" spans="1:70">
      <c r="A32" s="2157">
        <v>23</v>
      </c>
      <c r="B32" s="2158">
        <v>24839.08</v>
      </c>
      <c r="C32" s="2159">
        <f t="shared" si="5"/>
        <v>25049.54</v>
      </c>
      <c r="D32" s="2158">
        <v>25260</v>
      </c>
      <c r="E32" s="2140"/>
      <c r="F32" s="2158">
        <v>26373.51</v>
      </c>
      <c r="G32" s="2159">
        <f t="shared" si="6"/>
        <v>26666.76</v>
      </c>
      <c r="H32" s="2158">
        <v>26960</v>
      </c>
      <c r="I32" s="2140"/>
      <c r="J32" s="2166">
        <v>31433.08</v>
      </c>
      <c r="K32" s="2167">
        <f t="shared" si="7"/>
        <v>31433.08</v>
      </c>
      <c r="L32" s="2168">
        <v>31433.08</v>
      </c>
      <c r="M32" s="2167">
        <f t="shared" si="8"/>
        <v>31433.08</v>
      </c>
      <c r="N32" s="2168">
        <f t="shared" si="8"/>
        <v>31433.08</v>
      </c>
      <c r="O32" s="2168">
        <v>32498</v>
      </c>
      <c r="P32" s="2140"/>
      <c r="Q32" s="2169">
        <v>31879.27</v>
      </c>
      <c r="R32" s="2167">
        <f t="shared" si="9"/>
        <v>31879.27</v>
      </c>
      <c r="S32" s="2168">
        <f t="shared" si="10"/>
        <v>31879.27</v>
      </c>
      <c r="T32" s="2167">
        <f t="shared" si="11"/>
        <v>31879.27</v>
      </c>
      <c r="U32" s="2168">
        <f t="shared" si="11"/>
        <v>31879.27</v>
      </c>
      <c r="V32" s="3445"/>
      <c r="W32" s="2128">
        <v>23</v>
      </c>
      <c r="X32" s="2158">
        <v>21393</v>
      </c>
      <c r="Y32" s="2159">
        <f t="shared" si="12"/>
        <v>21724.59</v>
      </c>
      <c r="Z32" s="2158">
        <v>22056.169999999995</v>
      </c>
      <c r="AA32" s="2158"/>
      <c r="AB32" s="2158">
        <v>23393</v>
      </c>
      <c r="AC32" s="2159">
        <f t="shared" si="13"/>
        <v>23755.59</v>
      </c>
      <c r="AD32" s="2158">
        <v>24118.169999999995</v>
      </c>
      <c r="AE32" s="2158"/>
      <c r="AF32" s="2158">
        <v>25393</v>
      </c>
      <c r="AG32" s="2159">
        <f t="shared" si="14"/>
        <v>25786.560000000001</v>
      </c>
      <c r="AH32" s="2158">
        <v>26180.120000000003</v>
      </c>
      <c r="AI32" s="2158"/>
      <c r="AJ32" s="2158">
        <v>28386</v>
      </c>
      <c r="AK32" s="2159">
        <f t="shared" si="15"/>
        <v>28826.01</v>
      </c>
      <c r="AL32" s="2158">
        <v>29266.009999999973</v>
      </c>
      <c r="AN32" s="2164">
        <v>21393</v>
      </c>
      <c r="AO32" s="2159">
        <f t="shared" si="16"/>
        <v>21724.59</v>
      </c>
      <c r="AP32" s="2164">
        <v>22056.169999999995</v>
      </c>
      <c r="AR32" s="2164">
        <v>24632.85</v>
      </c>
      <c r="AS32" s="2159">
        <f t="shared" si="17"/>
        <v>24632.85</v>
      </c>
      <c r="AT32" s="2165">
        <v>24632.85</v>
      </c>
      <c r="AU32" s="4"/>
      <c r="AV32" s="2164">
        <v>27679.84</v>
      </c>
      <c r="AW32" s="2159">
        <f t="shared" si="18"/>
        <v>27679.84</v>
      </c>
      <c r="AX32" s="2165">
        <v>27679.84</v>
      </c>
      <c r="AZ32" s="2164">
        <v>28386</v>
      </c>
      <c r="BA32" s="2159">
        <f t="shared" si="19"/>
        <v>28826.01</v>
      </c>
      <c r="BB32" s="2164">
        <v>29266.009999999973</v>
      </c>
      <c r="BD32" s="2164">
        <v>22005.97</v>
      </c>
      <c r="BE32" s="2159">
        <f t="shared" si="1"/>
        <v>22031.07</v>
      </c>
      <c r="BF32" s="2158">
        <v>22056.169999999995</v>
      </c>
      <c r="BH32" s="2164">
        <v>24505.97</v>
      </c>
      <c r="BI32" s="2159">
        <f t="shared" si="2"/>
        <v>24505.97</v>
      </c>
      <c r="BJ32" s="2165">
        <v>24505.97</v>
      </c>
      <c r="BL32" s="2164">
        <v>27005.97</v>
      </c>
      <c r="BM32" s="2159">
        <f t="shared" si="3"/>
        <v>27005.97</v>
      </c>
      <c r="BN32" s="2165">
        <v>27005.97</v>
      </c>
      <c r="BP32" s="2164">
        <v>28386</v>
      </c>
      <c r="BQ32" s="2159">
        <f t="shared" si="4"/>
        <v>28826.01</v>
      </c>
      <c r="BR32" s="2158">
        <v>29266.009999999973</v>
      </c>
    </row>
    <row r="33" spans="1:70" ht="13.5" thickBot="1">
      <c r="A33" s="2157">
        <v>24</v>
      </c>
      <c r="B33" s="2158">
        <v>25062.19</v>
      </c>
      <c r="C33" s="2159">
        <f t="shared" si="5"/>
        <v>25261.1</v>
      </c>
      <c r="D33" s="2158">
        <v>25460</v>
      </c>
      <c r="E33" s="2140"/>
      <c r="F33" s="2158">
        <v>26658.59</v>
      </c>
      <c r="G33" s="2159">
        <f t="shared" si="6"/>
        <v>26909.3</v>
      </c>
      <c r="H33" s="2158">
        <v>27160</v>
      </c>
      <c r="I33" s="2140"/>
      <c r="J33" s="2166">
        <v>31780.14</v>
      </c>
      <c r="K33" s="2167">
        <f t="shared" si="7"/>
        <v>31780.14</v>
      </c>
      <c r="L33" s="2168">
        <v>31780.14</v>
      </c>
      <c r="M33" s="2167">
        <f t="shared" si="8"/>
        <v>31780.14</v>
      </c>
      <c r="N33" s="2168">
        <f t="shared" si="8"/>
        <v>31780.14</v>
      </c>
      <c r="O33" s="2168">
        <v>32768</v>
      </c>
      <c r="P33" s="2140"/>
      <c r="Q33" s="2169">
        <v>32176.75</v>
      </c>
      <c r="R33" s="2167">
        <f t="shared" si="9"/>
        <v>32176.75</v>
      </c>
      <c r="S33" s="2168">
        <f t="shared" si="10"/>
        <v>32176.75</v>
      </c>
      <c r="T33" s="2167">
        <f t="shared" si="11"/>
        <v>32176.75</v>
      </c>
      <c r="U33" s="2168">
        <f t="shared" si="11"/>
        <v>32176.75</v>
      </c>
      <c r="V33" s="3445"/>
      <c r="W33" s="2128">
        <v>24</v>
      </c>
      <c r="X33" s="2158">
        <v>21393</v>
      </c>
      <c r="Y33" s="2159">
        <f t="shared" si="12"/>
        <v>21724.59</v>
      </c>
      <c r="Z33" s="2158">
        <v>22056.17</v>
      </c>
      <c r="AA33" s="2158"/>
      <c r="AB33" s="2158">
        <v>23393</v>
      </c>
      <c r="AC33" s="2159">
        <f t="shared" si="13"/>
        <v>23755.59</v>
      </c>
      <c r="AD33" s="2158">
        <v>24118.17</v>
      </c>
      <c r="AE33" s="2158"/>
      <c r="AF33" s="2158">
        <v>25393</v>
      </c>
      <c r="AG33" s="2159">
        <f t="shared" si="14"/>
        <v>25786.560000000001</v>
      </c>
      <c r="AH33" s="2158">
        <v>26180.120000000003</v>
      </c>
      <c r="AI33" s="2158"/>
      <c r="AJ33" s="2158">
        <v>28386</v>
      </c>
      <c r="AK33" s="2159">
        <f t="shared" si="15"/>
        <v>28826.01</v>
      </c>
      <c r="AL33" s="2158">
        <v>29266.009999999973</v>
      </c>
      <c r="AN33" s="2164">
        <v>21393</v>
      </c>
      <c r="AO33" s="2159">
        <f t="shared" si="16"/>
        <v>21724.59</v>
      </c>
      <c r="AP33" s="2164">
        <v>22056.169999999995</v>
      </c>
      <c r="AR33" s="2164">
        <v>24632.85</v>
      </c>
      <c r="AS33" s="2159">
        <f t="shared" si="17"/>
        <v>24632.85</v>
      </c>
      <c r="AT33" s="2165">
        <v>24632.85</v>
      </c>
      <c r="AU33" s="4"/>
      <c r="AV33" s="2164">
        <v>27679.84</v>
      </c>
      <c r="AW33" s="2159">
        <f t="shared" si="18"/>
        <v>27679.84</v>
      </c>
      <c r="AX33" s="2165">
        <v>27679.84</v>
      </c>
      <c r="AZ33" s="2164">
        <v>28386</v>
      </c>
      <c r="BA33" s="2159">
        <f t="shared" si="19"/>
        <v>28826.01</v>
      </c>
      <c r="BB33" s="2164">
        <v>29266.009999999973</v>
      </c>
      <c r="BD33" s="2164">
        <v>22005.97</v>
      </c>
      <c r="BE33" s="2159">
        <f t="shared" si="1"/>
        <v>22031.07</v>
      </c>
      <c r="BF33" s="2158">
        <v>22056.169999999995</v>
      </c>
      <c r="BH33" s="2164">
        <v>24505.97</v>
      </c>
      <c r="BI33" s="2159">
        <f t="shared" si="2"/>
        <v>24505.97</v>
      </c>
      <c r="BJ33" s="2165">
        <v>24505.97</v>
      </c>
      <c r="BL33" s="2164">
        <v>27005.97</v>
      </c>
      <c r="BM33" s="2159">
        <f t="shared" si="3"/>
        <v>27005.97</v>
      </c>
      <c r="BN33" s="2165">
        <v>27005.97</v>
      </c>
      <c r="BP33" s="2164">
        <v>28386</v>
      </c>
      <c r="BQ33" s="2159">
        <f t="shared" si="4"/>
        <v>28826.01</v>
      </c>
      <c r="BR33" s="2158">
        <v>29266.009999999973</v>
      </c>
    </row>
    <row r="34" spans="1:70" ht="13.5" thickBot="1">
      <c r="A34" s="2157">
        <v>25</v>
      </c>
      <c r="B34" s="2170">
        <v>25285.3</v>
      </c>
      <c r="C34" s="2159">
        <f t="shared" si="5"/>
        <v>25472.65</v>
      </c>
      <c r="D34" s="2158">
        <v>25660</v>
      </c>
      <c r="E34" s="2140"/>
      <c r="F34" s="2170">
        <v>26921.360000000001</v>
      </c>
      <c r="G34" s="2159">
        <f t="shared" si="6"/>
        <v>27140.68</v>
      </c>
      <c r="H34" s="2158">
        <v>27360</v>
      </c>
      <c r="I34" s="2140"/>
      <c r="J34" s="2171">
        <v>32127.200000000001</v>
      </c>
      <c r="K34" s="2167">
        <f t="shared" si="7"/>
        <v>32127.200000000001</v>
      </c>
      <c r="L34" s="2168">
        <v>32127.200000000001</v>
      </c>
      <c r="M34" s="2167">
        <f t="shared" si="8"/>
        <v>32127.200000000001</v>
      </c>
      <c r="N34" s="2168">
        <f t="shared" si="8"/>
        <v>32127.200000000001</v>
      </c>
      <c r="O34" s="2168">
        <v>33037</v>
      </c>
      <c r="P34" s="2140"/>
      <c r="Q34" s="2169">
        <v>32474.23</v>
      </c>
      <c r="R34" s="2167">
        <f t="shared" si="9"/>
        <v>32474.23</v>
      </c>
      <c r="S34" s="2168">
        <f t="shared" si="10"/>
        <v>32474.23</v>
      </c>
      <c r="T34" s="2167">
        <f t="shared" si="11"/>
        <v>32474.23</v>
      </c>
      <c r="U34" s="2168">
        <f t="shared" si="11"/>
        <v>32474.23</v>
      </c>
      <c r="V34" s="3445"/>
      <c r="W34" s="2128">
        <v>25</v>
      </c>
      <c r="X34" s="2158">
        <v>21765</v>
      </c>
      <c r="Y34" s="2159">
        <f t="shared" si="12"/>
        <v>22102.36</v>
      </c>
      <c r="Z34" s="2158">
        <v>22439.71</v>
      </c>
      <c r="AA34" s="2158"/>
      <c r="AB34" s="2158">
        <v>23765</v>
      </c>
      <c r="AC34" s="2159">
        <f t="shared" si="13"/>
        <v>24133.360000000001</v>
      </c>
      <c r="AD34" s="2158">
        <v>24501.71</v>
      </c>
      <c r="AE34" s="2158"/>
      <c r="AF34" s="2158">
        <v>25765</v>
      </c>
      <c r="AG34" s="2159">
        <f t="shared" si="14"/>
        <v>26164.32</v>
      </c>
      <c r="AH34" s="2158">
        <v>26563.640000000003</v>
      </c>
      <c r="AI34" s="2158"/>
      <c r="AJ34" s="2158">
        <v>28956</v>
      </c>
      <c r="AK34" s="2159">
        <f t="shared" si="15"/>
        <v>29404.86</v>
      </c>
      <c r="AL34" s="2158">
        <v>29853.719999999947</v>
      </c>
      <c r="AN34" s="2164">
        <v>21765</v>
      </c>
      <c r="AO34" s="2159">
        <f t="shared" si="16"/>
        <v>22102.35</v>
      </c>
      <c r="AP34" s="2164">
        <v>22439.699999999993</v>
      </c>
      <c r="AR34" s="2164">
        <v>25257.119999999999</v>
      </c>
      <c r="AS34" s="2159">
        <f t="shared" si="17"/>
        <v>25257.119999999999</v>
      </c>
      <c r="AT34" s="2165">
        <v>25257.119999999999</v>
      </c>
      <c r="AU34" s="4"/>
      <c r="AV34" s="2164">
        <v>28304.11</v>
      </c>
      <c r="AW34" s="2159">
        <f t="shared" si="18"/>
        <v>28304.11</v>
      </c>
      <c r="AX34" s="2165">
        <v>28304.11</v>
      </c>
      <c r="AZ34" s="2164">
        <v>28956</v>
      </c>
      <c r="BA34" s="2159">
        <f t="shared" si="19"/>
        <v>29404.86</v>
      </c>
      <c r="BB34" s="2164">
        <v>29853.719999999947</v>
      </c>
      <c r="BD34" s="2164">
        <v>22630.240000000002</v>
      </c>
      <c r="BE34" s="2159">
        <f t="shared" si="1"/>
        <v>22630.240000000002</v>
      </c>
      <c r="BF34" s="2165">
        <v>22630.240000000002</v>
      </c>
      <c r="BH34" s="2164">
        <v>25130.240000000002</v>
      </c>
      <c r="BI34" s="2159">
        <f t="shared" si="2"/>
        <v>25130.240000000002</v>
      </c>
      <c r="BJ34" s="2165">
        <v>25130.240000000002</v>
      </c>
      <c r="BL34" s="2164">
        <v>27630.240000000002</v>
      </c>
      <c r="BM34" s="2159">
        <f t="shared" si="3"/>
        <v>27630.240000000002</v>
      </c>
      <c r="BN34" s="2165">
        <v>27630.240000000002</v>
      </c>
      <c r="BP34" s="2164">
        <v>28956</v>
      </c>
      <c r="BQ34" s="2159">
        <f t="shared" si="4"/>
        <v>29404.86</v>
      </c>
      <c r="BR34" s="2158">
        <v>29853.719999999947</v>
      </c>
    </row>
    <row r="35" spans="1:70" ht="13.5" thickBot="1">
      <c r="A35" s="2157">
        <v>26</v>
      </c>
      <c r="B35" s="2158">
        <v>25285.3</v>
      </c>
      <c r="C35" s="2159">
        <f t="shared" si="5"/>
        <v>25572.65</v>
      </c>
      <c r="D35" s="2158">
        <v>25860</v>
      </c>
      <c r="E35" s="2140"/>
      <c r="F35" s="2158">
        <v>26921.360000000001</v>
      </c>
      <c r="G35" s="2159">
        <f t="shared" si="6"/>
        <v>27240.68</v>
      </c>
      <c r="H35" s="2158">
        <v>27560</v>
      </c>
      <c r="I35" s="2140"/>
      <c r="J35" s="2172">
        <v>32127.200000000001</v>
      </c>
      <c r="K35" s="2173">
        <f t="shared" si="7"/>
        <v>32127.200000000001</v>
      </c>
      <c r="L35" s="2174">
        <v>32127.200000000001</v>
      </c>
      <c r="M35" s="2173">
        <f t="shared" si="8"/>
        <v>32127.200000000001</v>
      </c>
      <c r="N35" s="2174">
        <f t="shared" si="8"/>
        <v>32127.200000000001</v>
      </c>
      <c r="O35" s="2174">
        <v>33307</v>
      </c>
      <c r="P35" s="2140"/>
      <c r="Q35" s="2175">
        <v>32474.23</v>
      </c>
      <c r="R35" s="2173">
        <f t="shared" si="9"/>
        <v>32474.23</v>
      </c>
      <c r="S35" s="2174">
        <f t="shared" si="10"/>
        <v>32474.23</v>
      </c>
      <c r="T35" s="2173">
        <f t="shared" si="11"/>
        <v>32474.23</v>
      </c>
      <c r="U35" s="2174">
        <f t="shared" si="11"/>
        <v>32474.23</v>
      </c>
      <c r="V35" s="3446"/>
      <c r="W35" s="2128">
        <v>26</v>
      </c>
      <c r="X35" s="2158">
        <v>21765</v>
      </c>
      <c r="Y35" s="2159">
        <f t="shared" si="12"/>
        <v>22102.36</v>
      </c>
      <c r="Z35" s="2158">
        <v>22439.71</v>
      </c>
      <c r="AA35" s="2158"/>
      <c r="AB35" s="2158">
        <v>23765</v>
      </c>
      <c r="AC35" s="2159">
        <f t="shared" si="13"/>
        <v>24133.360000000001</v>
      </c>
      <c r="AD35" s="2158">
        <v>24501.71</v>
      </c>
      <c r="AE35" s="2158"/>
      <c r="AF35" s="2158">
        <v>25765</v>
      </c>
      <c r="AG35" s="2159">
        <f t="shared" si="14"/>
        <v>26164.32</v>
      </c>
      <c r="AH35" s="2158">
        <v>26563.640000000003</v>
      </c>
      <c r="AI35" s="2158"/>
      <c r="AJ35" s="2158">
        <v>28956</v>
      </c>
      <c r="AK35" s="2159">
        <f t="shared" si="15"/>
        <v>29404.86</v>
      </c>
      <c r="AL35" s="2158">
        <v>29853.719999999947</v>
      </c>
      <c r="AN35" s="2164">
        <v>21765</v>
      </c>
      <c r="AO35" s="2159">
        <f t="shared" si="16"/>
        <v>22102.35</v>
      </c>
      <c r="AP35" s="2164">
        <v>22439.699999999993</v>
      </c>
      <c r="AR35" s="2164">
        <v>25257.119999999999</v>
      </c>
      <c r="AS35" s="2159">
        <f t="shared" si="17"/>
        <v>25257.119999999999</v>
      </c>
      <c r="AT35" s="2165">
        <v>25257.119999999999</v>
      </c>
      <c r="AU35" s="4"/>
      <c r="AV35" s="2164">
        <v>28304.11</v>
      </c>
      <c r="AW35" s="2159">
        <f t="shared" si="18"/>
        <v>28304.11</v>
      </c>
      <c r="AX35" s="2165">
        <v>28304.11</v>
      </c>
      <c r="AZ35" s="2164">
        <v>28956</v>
      </c>
      <c r="BA35" s="2159">
        <f t="shared" si="19"/>
        <v>29404.86</v>
      </c>
      <c r="BB35" s="2164">
        <v>29853.719999999947</v>
      </c>
      <c r="BD35" s="2164">
        <v>22630.240000000002</v>
      </c>
      <c r="BE35" s="2159">
        <f t="shared" si="1"/>
        <v>22630.240000000002</v>
      </c>
      <c r="BF35" s="2165">
        <v>22630.240000000002</v>
      </c>
      <c r="BH35" s="2164">
        <v>25130.240000000002</v>
      </c>
      <c r="BI35" s="2159">
        <f t="shared" si="2"/>
        <v>25130.240000000002</v>
      </c>
      <c r="BJ35" s="2165">
        <v>25130.240000000002</v>
      </c>
      <c r="BL35" s="2164">
        <v>27630.240000000002</v>
      </c>
      <c r="BM35" s="2159">
        <f t="shared" si="3"/>
        <v>27630.240000000002</v>
      </c>
      <c r="BN35" s="2165">
        <v>27630.240000000002</v>
      </c>
      <c r="BP35" s="2164">
        <v>28956</v>
      </c>
      <c r="BQ35" s="2159">
        <f t="shared" si="4"/>
        <v>29404.86</v>
      </c>
      <c r="BR35" s="2158">
        <v>29853.719999999947</v>
      </c>
    </row>
    <row r="36" spans="1:70">
      <c r="A36" s="2157">
        <v>27</v>
      </c>
      <c r="B36" s="2158">
        <v>25285.3</v>
      </c>
      <c r="C36" s="2159">
        <f t="shared" si="5"/>
        <v>25672.15</v>
      </c>
      <c r="D36" s="2158">
        <v>26059</v>
      </c>
      <c r="E36" s="2140"/>
      <c r="F36" s="2158">
        <v>26921.360000000001</v>
      </c>
      <c r="G36" s="2159">
        <f t="shared" si="6"/>
        <v>27340.18</v>
      </c>
      <c r="H36" s="2158">
        <v>27759</v>
      </c>
      <c r="I36" s="2140"/>
      <c r="J36" s="2158">
        <v>32127.200000000001</v>
      </c>
      <c r="K36" s="2176">
        <f t="shared" si="7"/>
        <v>32376.400000000001</v>
      </c>
      <c r="L36" s="2177">
        <v>32625.600000000002</v>
      </c>
      <c r="M36" s="2176">
        <f t="shared" si="8"/>
        <v>32625.600000000002</v>
      </c>
      <c r="N36" s="2158">
        <f t="shared" si="8"/>
        <v>32625.600000000002</v>
      </c>
      <c r="O36" s="2158">
        <v>33577</v>
      </c>
      <c r="P36" s="2140"/>
      <c r="Q36" s="44">
        <v>32474.23</v>
      </c>
      <c r="R36" s="2176">
        <f t="shared" si="9"/>
        <v>32549.919999999998</v>
      </c>
      <c r="S36" s="2177">
        <f t="shared" si="10"/>
        <v>32625.600000000002</v>
      </c>
      <c r="T36" s="2176">
        <f t="shared" si="11"/>
        <v>32625.600000000002</v>
      </c>
      <c r="U36" s="2158">
        <f t="shared" si="11"/>
        <v>32625.600000000002</v>
      </c>
      <c r="V36" s="2158"/>
      <c r="W36" s="2128">
        <v>27</v>
      </c>
      <c r="X36" s="2158">
        <v>22137</v>
      </c>
      <c r="Y36" s="2159">
        <f t="shared" si="12"/>
        <v>22480.12</v>
      </c>
      <c r="Z36" s="2158">
        <v>22823.24</v>
      </c>
      <c r="AA36" s="2158"/>
      <c r="AB36" s="2158">
        <v>24137</v>
      </c>
      <c r="AC36" s="2159">
        <f t="shared" si="13"/>
        <v>24511.119999999999</v>
      </c>
      <c r="AD36" s="2158">
        <v>24885.24</v>
      </c>
      <c r="AE36" s="2158"/>
      <c r="AF36" s="2158">
        <v>26137</v>
      </c>
      <c r="AG36" s="2159">
        <f t="shared" si="14"/>
        <v>26542.080000000002</v>
      </c>
      <c r="AH36" s="2158">
        <v>26947.160000000003</v>
      </c>
      <c r="AI36" s="2158"/>
      <c r="AJ36" s="2158">
        <v>29526</v>
      </c>
      <c r="AK36" s="2159">
        <f t="shared" si="15"/>
        <v>29983.72</v>
      </c>
      <c r="AL36" s="2158">
        <v>30441.42999999992</v>
      </c>
      <c r="AN36" s="2164">
        <v>22137</v>
      </c>
      <c r="AO36" s="2159">
        <f t="shared" si="16"/>
        <v>22480.12</v>
      </c>
      <c r="AP36" s="2164">
        <v>22823.24</v>
      </c>
      <c r="AR36" s="2164">
        <v>25881.39</v>
      </c>
      <c r="AS36" s="2159">
        <f t="shared" si="17"/>
        <v>25881.39</v>
      </c>
      <c r="AT36" s="2165">
        <v>25881.39</v>
      </c>
      <c r="AU36" s="4"/>
      <c r="AV36" s="2164">
        <v>28928.38</v>
      </c>
      <c r="AW36" s="2159">
        <f t="shared" si="18"/>
        <v>28928.38</v>
      </c>
      <c r="AX36" s="2165">
        <v>28928.38</v>
      </c>
      <c r="AZ36" s="2164">
        <v>29526</v>
      </c>
      <c r="BA36" s="2159">
        <f t="shared" si="19"/>
        <v>29983.72</v>
      </c>
      <c r="BB36" s="2164">
        <v>30441.42999999992</v>
      </c>
      <c r="BD36" s="2164">
        <v>23254.51</v>
      </c>
      <c r="BE36" s="2159">
        <f t="shared" si="1"/>
        <v>23254.51</v>
      </c>
      <c r="BF36" s="2165">
        <v>23254.51</v>
      </c>
      <c r="BH36" s="2164">
        <v>25754.51</v>
      </c>
      <c r="BI36" s="2159">
        <f t="shared" si="2"/>
        <v>25754.51</v>
      </c>
      <c r="BJ36" s="2165">
        <v>25754.51</v>
      </c>
      <c r="BL36" s="2164">
        <v>28254.51</v>
      </c>
      <c r="BM36" s="2159">
        <f t="shared" si="3"/>
        <v>28254.51</v>
      </c>
      <c r="BN36" s="2165">
        <v>28254.51</v>
      </c>
      <c r="BP36" s="2164">
        <v>29526</v>
      </c>
      <c r="BQ36" s="2159">
        <f t="shared" si="4"/>
        <v>29983.72</v>
      </c>
      <c r="BR36" s="2158">
        <v>30441.42999999992</v>
      </c>
    </row>
    <row r="37" spans="1:70" ht="13.5" thickBot="1">
      <c r="A37" s="2157">
        <v>28</v>
      </c>
      <c r="B37" s="2158">
        <v>25285.3</v>
      </c>
      <c r="C37" s="2159">
        <f t="shared" si="5"/>
        <v>25772.15</v>
      </c>
      <c r="D37" s="2158">
        <v>26259</v>
      </c>
      <c r="E37" s="2140"/>
      <c r="F37" s="2158">
        <v>26921.360000000001</v>
      </c>
      <c r="G37" s="2159">
        <f t="shared" si="6"/>
        <v>27440.18</v>
      </c>
      <c r="H37" s="2158">
        <v>27959</v>
      </c>
      <c r="I37" s="2140"/>
      <c r="J37" s="2158">
        <v>32127.200000000001</v>
      </c>
      <c r="K37" s="2159">
        <f t="shared" si="7"/>
        <v>32376.400000000001</v>
      </c>
      <c r="L37" s="2158">
        <v>32625.600000000002</v>
      </c>
      <c r="M37" s="2159">
        <f t="shared" si="8"/>
        <v>32625.600000000002</v>
      </c>
      <c r="N37" s="2158">
        <f t="shared" si="8"/>
        <v>32625.600000000002</v>
      </c>
      <c r="O37" s="2158">
        <v>33846</v>
      </c>
      <c r="P37" s="2140"/>
      <c r="Q37" s="44">
        <v>32474.23</v>
      </c>
      <c r="R37" s="2159">
        <f t="shared" si="9"/>
        <v>32549.919999999998</v>
      </c>
      <c r="S37" s="2158">
        <f t="shared" si="10"/>
        <v>32625.600000000002</v>
      </c>
      <c r="T37" s="2159">
        <f t="shared" si="11"/>
        <v>32625.600000000002</v>
      </c>
      <c r="U37" s="2158">
        <f t="shared" si="11"/>
        <v>32625.600000000002</v>
      </c>
      <c r="V37" s="2158"/>
      <c r="W37" s="2128">
        <v>28</v>
      </c>
      <c r="X37" s="2158">
        <v>22137</v>
      </c>
      <c r="Y37" s="2159">
        <f t="shared" si="12"/>
        <v>22480.12</v>
      </c>
      <c r="Z37" s="2158">
        <v>22823.24</v>
      </c>
      <c r="AA37" s="2158"/>
      <c r="AB37" s="2158">
        <v>24137</v>
      </c>
      <c r="AC37" s="2159">
        <f t="shared" si="13"/>
        <v>24511.119999999999</v>
      </c>
      <c r="AD37" s="2158">
        <v>24885.24</v>
      </c>
      <c r="AE37" s="2158"/>
      <c r="AF37" s="2158">
        <v>26137</v>
      </c>
      <c r="AG37" s="2159">
        <f t="shared" si="14"/>
        <v>26542.080000000002</v>
      </c>
      <c r="AH37" s="2158">
        <v>26947.160000000003</v>
      </c>
      <c r="AI37" s="2158"/>
      <c r="AJ37" s="2158">
        <v>29526</v>
      </c>
      <c r="AK37" s="2159">
        <f t="shared" si="15"/>
        <v>29983.72</v>
      </c>
      <c r="AL37" s="2158">
        <v>30441.42999999992</v>
      </c>
      <c r="AN37" s="2164">
        <v>22137</v>
      </c>
      <c r="AO37" s="2159">
        <f t="shared" si="16"/>
        <v>22480.12</v>
      </c>
      <c r="AP37" s="2164">
        <v>22823.24</v>
      </c>
      <c r="AR37" s="2164">
        <v>25881.39</v>
      </c>
      <c r="AS37" s="2159">
        <f t="shared" si="17"/>
        <v>25881.39</v>
      </c>
      <c r="AT37" s="2165">
        <v>25881.39</v>
      </c>
      <c r="AU37" s="4"/>
      <c r="AV37" s="2164">
        <v>28928.38</v>
      </c>
      <c r="AW37" s="2159">
        <f t="shared" si="18"/>
        <v>28928.38</v>
      </c>
      <c r="AX37" s="2165">
        <v>28928.38</v>
      </c>
      <c r="AZ37" s="2164">
        <v>29526</v>
      </c>
      <c r="BA37" s="2159">
        <f t="shared" si="19"/>
        <v>29983.72</v>
      </c>
      <c r="BB37" s="2164">
        <v>30441.42999999992</v>
      </c>
      <c r="BD37" s="2164">
        <v>23254.51</v>
      </c>
      <c r="BE37" s="2159">
        <f t="shared" si="1"/>
        <v>23254.51</v>
      </c>
      <c r="BF37" s="2165">
        <v>23254.51</v>
      </c>
      <c r="BH37" s="2164">
        <v>25754.51</v>
      </c>
      <c r="BI37" s="2159">
        <f t="shared" si="2"/>
        <v>25754.51</v>
      </c>
      <c r="BJ37" s="2165">
        <v>25754.51</v>
      </c>
      <c r="BL37" s="2164">
        <v>28254.51</v>
      </c>
      <c r="BM37" s="2159">
        <f t="shared" si="3"/>
        <v>28254.51</v>
      </c>
      <c r="BN37" s="2165">
        <v>28254.51</v>
      </c>
      <c r="BP37" s="2164">
        <v>29526</v>
      </c>
      <c r="BQ37" s="2159">
        <f t="shared" si="4"/>
        <v>29983.72</v>
      </c>
      <c r="BR37" s="2158">
        <v>30441.42999999992</v>
      </c>
    </row>
    <row r="38" spans="1:70" ht="13.5" thickBot="1">
      <c r="A38" s="2157">
        <v>29</v>
      </c>
      <c r="B38" s="2158">
        <v>25285.3</v>
      </c>
      <c r="C38" s="2178">
        <f t="shared" si="5"/>
        <v>25872.15</v>
      </c>
      <c r="D38" s="2179">
        <v>26459</v>
      </c>
      <c r="E38" s="2140"/>
      <c r="F38" s="2158">
        <v>26921.360000000001</v>
      </c>
      <c r="G38" s="2178">
        <f t="shared" si="6"/>
        <v>27540.18</v>
      </c>
      <c r="H38" s="2179">
        <v>28159</v>
      </c>
      <c r="I38" s="2140"/>
      <c r="J38" s="2158">
        <v>32127.200000000001</v>
      </c>
      <c r="K38" s="2180">
        <f t="shared" si="7"/>
        <v>32625.599999999999</v>
      </c>
      <c r="L38" s="2179">
        <v>33124</v>
      </c>
      <c r="M38" s="2180">
        <f t="shared" si="8"/>
        <v>33124</v>
      </c>
      <c r="N38" s="2158">
        <f t="shared" si="8"/>
        <v>33124</v>
      </c>
      <c r="O38" s="2158">
        <v>34116</v>
      </c>
      <c r="P38" s="2140"/>
      <c r="Q38" s="44">
        <v>32474.23</v>
      </c>
      <c r="R38" s="2180">
        <f t="shared" si="9"/>
        <v>32799.120000000003</v>
      </c>
      <c r="S38" s="2179">
        <f t="shared" si="10"/>
        <v>33124</v>
      </c>
      <c r="T38" s="2180">
        <f t="shared" si="11"/>
        <v>33124</v>
      </c>
      <c r="U38" s="2158">
        <f t="shared" si="11"/>
        <v>33124</v>
      </c>
      <c r="V38" s="2158"/>
      <c r="W38" s="2128">
        <v>29</v>
      </c>
      <c r="X38" s="2170">
        <v>22509</v>
      </c>
      <c r="Y38" s="2178">
        <f t="shared" si="12"/>
        <v>22857.89</v>
      </c>
      <c r="Z38" s="2179">
        <v>23206.78</v>
      </c>
      <c r="AA38" s="2158"/>
      <c r="AB38" s="2158">
        <v>24509</v>
      </c>
      <c r="AC38" s="2178">
        <f t="shared" si="13"/>
        <v>24888.89</v>
      </c>
      <c r="AD38" s="2181">
        <v>25268.770000000004</v>
      </c>
      <c r="AE38" s="2158"/>
      <c r="AF38" s="2181">
        <v>27000</v>
      </c>
      <c r="AG38" s="2178">
        <f t="shared" si="14"/>
        <v>27418.5</v>
      </c>
      <c r="AH38" s="2181">
        <v>27837</v>
      </c>
      <c r="AI38" s="2181"/>
      <c r="AJ38" s="2181">
        <v>30666</v>
      </c>
      <c r="AK38" s="2178">
        <f t="shared" si="15"/>
        <v>31141.33</v>
      </c>
      <c r="AL38" s="2181">
        <v>31616.65</v>
      </c>
      <c r="AN38" s="2181">
        <v>22509</v>
      </c>
      <c r="AO38" s="2178">
        <f t="shared" si="16"/>
        <v>22857.89</v>
      </c>
      <c r="AP38" s="2181">
        <v>23206.78</v>
      </c>
      <c r="AR38" s="2181">
        <v>27129.93</v>
      </c>
      <c r="AS38" s="2178">
        <f t="shared" si="17"/>
        <v>27129.93</v>
      </c>
      <c r="AT38" s="2182">
        <v>27129.93</v>
      </c>
      <c r="AU38" s="4"/>
      <c r="AV38" s="2181">
        <v>30176.92</v>
      </c>
      <c r="AW38" s="2178">
        <f t="shared" si="18"/>
        <v>30176.92</v>
      </c>
      <c r="AX38" s="2182">
        <v>30176.92</v>
      </c>
      <c r="AZ38" s="2181">
        <v>30666</v>
      </c>
      <c r="BA38" s="2178">
        <f t="shared" si="19"/>
        <v>31141.33</v>
      </c>
      <c r="BB38" s="2181">
        <v>31616.65</v>
      </c>
      <c r="BD38" s="2181">
        <v>23878.78</v>
      </c>
      <c r="BE38" s="2178">
        <f t="shared" si="1"/>
        <v>23878.78</v>
      </c>
      <c r="BF38" s="2182">
        <v>23878.78</v>
      </c>
      <c r="BH38" s="2181">
        <v>26802.639999999999</v>
      </c>
      <c r="BI38" s="2178">
        <f t="shared" si="2"/>
        <v>26802.639999999999</v>
      </c>
      <c r="BJ38" s="2182">
        <v>26802.639999999999</v>
      </c>
      <c r="BL38" s="2181">
        <v>28878.78</v>
      </c>
      <c r="BM38" s="2178">
        <f t="shared" si="3"/>
        <v>28878.78</v>
      </c>
      <c r="BN38" s="2182">
        <v>28878.78</v>
      </c>
      <c r="BP38" s="2181">
        <v>30666</v>
      </c>
      <c r="BQ38" s="2178">
        <f t="shared" si="4"/>
        <v>31141.33</v>
      </c>
      <c r="BR38" s="2181">
        <v>31616.65</v>
      </c>
    </row>
    <row r="39" spans="1:70">
      <c r="A39" s="2157">
        <v>30</v>
      </c>
      <c r="B39" s="2158">
        <v>25285.3</v>
      </c>
      <c r="C39" s="2159">
        <f t="shared" si="5"/>
        <v>25872.15</v>
      </c>
      <c r="D39" s="2158">
        <v>26459</v>
      </c>
      <c r="E39" s="2140"/>
      <c r="F39" s="2158">
        <v>26921.360000000001</v>
      </c>
      <c r="G39" s="2159">
        <f t="shared" si="6"/>
        <v>27540.18</v>
      </c>
      <c r="H39" s="2158">
        <v>28159</v>
      </c>
      <c r="I39" s="2140"/>
      <c r="J39" s="2158">
        <v>32127.200000000001</v>
      </c>
      <c r="K39" s="2159">
        <f t="shared" si="7"/>
        <v>32625.599999999999</v>
      </c>
      <c r="L39" s="2158">
        <v>33124</v>
      </c>
      <c r="M39" s="2159">
        <f t="shared" si="8"/>
        <v>33124</v>
      </c>
      <c r="N39" s="2158">
        <f t="shared" si="8"/>
        <v>33124</v>
      </c>
      <c r="O39" s="2158">
        <v>34116</v>
      </c>
      <c r="P39" s="2140"/>
      <c r="Q39" s="44">
        <v>32474.23</v>
      </c>
      <c r="R39" s="2159">
        <f t="shared" si="9"/>
        <v>32799.120000000003</v>
      </c>
      <c r="S39" s="2158">
        <f t="shared" si="10"/>
        <v>33124</v>
      </c>
      <c r="T39" s="2159">
        <f t="shared" si="11"/>
        <v>33124</v>
      </c>
      <c r="U39" s="2158">
        <f t="shared" si="11"/>
        <v>33124</v>
      </c>
      <c r="V39" s="2158"/>
      <c r="W39" s="2128">
        <v>30</v>
      </c>
      <c r="X39" s="2158">
        <v>22509</v>
      </c>
      <c r="Y39" s="2159">
        <f t="shared" si="12"/>
        <v>22857.89</v>
      </c>
      <c r="Z39" s="2158">
        <v>23206.78</v>
      </c>
      <c r="AA39" s="2158"/>
      <c r="AB39" s="2158">
        <v>24509</v>
      </c>
      <c r="AC39" s="2159">
        <f t="shared" si="13"/>
        <v>24888.89</v>
      </c>
      <c r="AD39" s="2158">
        <v>25268.770000000004</v>
      </c>
      <c r="AE39" s="2158"/>
      <c r="AF39" s="2158">
        <v>27000</v>
      </c>
      <c r="AG39" s="2159">
        <f t="shared" si="14"/>
        <v>27418.5</v>
      </c>
      <c r="AH39" s="2158">
        <v>27837</v>
      </c>
      <c r="AI39" s="2158"/>
      <c r="AJ39" s="2158">
        <v>30666</v>
      </c>
      <c r="AK39" s="2159">
        <f t="shared" si="15"/>
        <v>31141.33</v>
      </c>
      <c r="AL39" s="2158">
        <v>31616.65</v>
      </c>
      <c r="AN39" s="2158">
        <v>22509</v>
      </c>
      <c r="AO39" s="2159">
        <f t="shared" si="16"/>
        <v>22857.89</v>
      </c>
      <c r="AP39" s="2158">
        <f t="shared" ref="AP39:AP59" si="20">+AP38</f>
        <v>23206.78</v>
      </c>
      <c r="AR39" s="2158">
        <v>27129.93</v>
      </c>
      <c r="AS39" s="2159">
        <f t="shared" si="17"/>
        <v>27129.93</v>
      </c>
      <c r="AT39" s="2158">
        <f t="shared" ref="AT39:AT59" si="21">+AT38</f>
        <v>27129.93</v>
      </c>
      <c r="AU39" s="4"/>
      <c r="AV39" s="2158">
        <v>30176.92</v>
      </c>
      <c r="AW39" s="2159">
        <f t="shared" si="18"/>
        <v>30176.92</v>
      </c>
      <c r="AX39" s="2158">
        <f t="shared" ref="AX39:AX59" si="22">+AX38</f>
        <v>30176.92</v>
      </c>
      <c r="AZ39" s="2158">
        <v>30666</v>
      </c>
      <c r="BA39" s="2159">
        <f t="shared" si="19"/>
        <v>31141.33</v>
      </c>
      <c r="BB39" s="2158">
        <f t="shared" ref="BB39:BB59" si="23">+BB38</f>
        <v>31616.65</v>
      </c>
      <c r="BD39" s="2158">
        <v>23878.78</v>
      </c>
      <c r="BE39" s="2159">
        <f t="shared" si="1"/>
        <v>23878.78</v>
      </c>
      <c r="BF39" s="2158">
        <f t="shared" ref="BF39:BF59" si="24">+BF38</f>
        <v>23878.78</v>
      </c>
      <c r="BH39" s="2158">
        <v>26802.639999999999</v>
      </c>
      <c r="BI39" s="2159">
        <f t="shared" si="2"/>
        <v>26802.639999999999</v>
      </c>
      <c r="BJ39" s="2158">
        <f t="shared" ref="BJ39:BJ59" si="25">+BJ38</f>
        <v>26802.639999999999</v>
      </c>
      <c r="BL39" s="2158">
        <v>28878.78</v>
      </c>
      <c r="BM39" s="2159">
        <f t="shared" si="3"/>
        <v>28878.78</v>
      </c>
      <c r="BN39" s="2158">
        <f t="shared" ref="BN39:BN59" si="26">+BN38</f>
        <v>28878.78</v>
      </c>
      <c r="BP39" s="2158">
        <v>30666</v>
      </c>
      <c r="BQ39" s="2159">
        <f t="shared" si="4"/>
        <v>31141.33</v>
      </c>
      <c r="BR39" s="2158">
        <f t="shared" ref="BR39:BR59" si="27">+BR38</f>
        <v>31616.65</v>
      </c>
    </row>
    <row r="40" spans="1:70">
      <c r="A40" s="2157">
        <v>31</v>
      </c>
      <c r="B40" s="2158">
        <v>25285.3</v>
      </c>
      <c r="C40" s="2159">
        <f t="shared" si="5"/>
        <v>25872.15</v>
      </c>
      <c r="D40" s="2158">
        <v>26459</v>
      </c>
      <c r="E40" s="2140"/>
      <c r="F40" s="2158">
        <v>26921.360000000001</v>
      </c>
      <c r="G40" s="2159">
        <f t="shared" si="6"/>
        <v>27540.18</v>
      </c>
      <c r="H40" s="2158">
        <v>28159</v>
      </c>
      <c r="I40" s="2140"/>
      <c r="J40" s="2158">
        <v>32127.200000000001</v>
      </c>
      <c r="K40" s="2159">
        <f t="shared" si="7"/>
        <v>32625.599999999999</v>
      </c>
      <c r="L40" s="2158">
        <v>33124</v>
      </c>
      <c r="M40" s="2159">
        <f t="shared" si="8"/>
        <v>33124</v>
      </c>
      <c r="N40" s="2158">
        <f t="shared" si="8"/>
        <v>33124</v>
      </c>
      <c r="O40" s="2158">
        <v>34116</v>
      </c>
      <c r="P40" s="2140"/>
      <c r="Q40" s="44">
        <v>32474.23</v>
      </c>
      <c r="R40" s="2159">
        <f t="shared" si="9"/>
        <v>32799.120000000003</v>
      </c>
      <c r="S40" s="2158">
        <f t="shared" si="10"/>
        <v>33124</v>
      </c>
      <c r="T40" s="2159">
        <f t="shared" si="11"/>
        <v>33124</v>
      </c>
      <c r="U40" s="2158">
        <f t="shared" si="11"/>
        <v>33124</v>
      </c>
      <c r="V40" s="2158"/>
      <c r="W40" s="2128">
        <v>31</v>
      </c>
      <c r="X40" s="2158">
        <v>22509</v>
      </c>
      <c r="Y40" s="2159">
        <f t="shared" si="12"/>
        <v>22857.89</v>
      </c>
      <c r="Z40" s="2158">
        <v>23206.78</v>
      </c>
      <c r="AA40" s="2158"/>
      <c r="AB40" s="2158">
        <v>24509</v>
      </c>
      <c r="AC40" s="2159">
        <f t="shared" si="13"/>
        <v>24888.89</v>
      </c>
      <c r="AD40" s="2158">
        <v>25268.770000000004</v>
      </c>
      <c r="AE40" s="2158"/>
      <c r="AF40" s="2158">
        <v>27000</v>
      </c>
      <c r="AG40" s="2159">
        <f t="shared" si="14"/>
        <v>27418.5</v>
      </c>
      <c r="AH40" s="2158">
        <v>27837</v>
      </c>
      <c r="AI40" s="2158"/>
      <c r="AJ40" s="2158">
        <v>30666</v>
      </c>
      <c r="AK40" s="2159">
        <f t="shared" si="15"/>
        <v>31141.33</v>
      </c>
      <c r="AL40" s="2158">
        <v>31616.65</v>
      </c>
      <c r="AN40" s="2158">
        <v>22509</v>
      </c>
      <c r="AO40" s="2159">
        <f t="shared" si="16"/>
        <v>22857.89</v>
      </c>
      <c r="AP40" s="2158">
        <f t="shared" si="20"/>
        <v>23206.78</v>
      </c>
      <c r="AR40" s="2158">
        <v>27129.93</v>
      </c>
      <c r="AS40" s="2159">
        <f t="shared" si="17"/>
        <v>27129.93</v>
      </c>
      <c r="AT40" s="2158">
        <f t="shared" si="21"/>
        <v>27129.93</v>
      </c>
      <c r="AU40" s="4"/>
      <c r="AV40" s="2158">
        <v>30176.92</v>
      </c>
      <c r="AW40" s="2159">
        <f t="shared" si="18"/>
        <v>30176.92</v>
      </c>
      <c r="AX40" s="2158">
        <f t="shared" si="22"/>
        <v>30176.92</v>
      </c>
      <c r="AZ40" s="2158">
        <v>30666</v>
      </c>
      <c r="BA40" s="2159">
        <f t="shared" si="19"/>
        <v>31141.33</v>
      </c>
      <c r="BB40" s="2158">
        <f t="shared" si="23"/>
        <v>31616.65</v>
      </c>
      <c r="BD40" s="2158">
        <v>23878.78</v>
      </c>
      <c r="BE40" s="2159">
        <f t="shared" si="1"/>
        <v>23878.78</v>
      </c>
      <c r="BF40" s="2158">
        <f t="shared" si="24"/>
        <v>23878.78</v>
      </c>
      <c r="BH40" s="2158">
        <v>26802.639999999999</v>
      </c>
      <c r="BI40" s="2159">
        <f t="shared" si="2"/>
        <v>26802.639999999999</v>
      </c>
      <c r="BJ40" s="2158">
        <f t="shared" si="25"/>
        <v>26802.639999999999</v>
      </c>
      <c r="BL40" s="2158">
        <v>28878.78</v>
      </c>
      <c r="BM40" s="2159">
        <f t="shared" si="3"/>
        <v>28878.78</v>
      </c>
      <c r="BN40" s="2158">
        <f t="shared" si="26"/>
        <v>28878.78</v>
      </c>
      <c r="BP40" s="2158">
        <v>30666</v>
      </c>
      <c r="BQ40" s="2159">
        <f t="shared" si="4"/>
        <v>31141.33</v>
      </c>
      <c r="BR40" s="2158">
        <f t="shared" si="27"/>
        <v>31616.65</v>
      </c>
    </row>
    <row r="41" spans="1:70">
      <c r="A41" s="2157">
        <v>32</v>
      </c>
      <c r="B41" s="2158">
        <v>25285.3</v>
      </c>
      <c r="C41" s="2159">
        <f t="shared" si="5"/>
        <v>25872.15</v>
      </c>
      <c r="D41" s="2158">
        <v>26459</v>
      </c>
      <c r="E41" s="2140"/>
      <c r="F41" s="2158">
        <v>26921.360000000001</v>
      </c>
      <c r="G41" s="2159">
        <f t="shared" si="6"/>
        <v>27540.18</v>
      </c>
      <c r="H41" s="2158">
        <v>28159</v>
      </c>
      <c r="I41" s="2140"/>
      <c r="J41" s="2158">
        <v>32127.200000000001</v>
      </c>
      <c r="K41" s="2159">
        <f t="shared" si="7"/>
        <v>32625.599999999999</v>
      </c>
      <c r="L41" s="2158">
        <v>33124</v>
      </c>
      <c r="M41" s="2159">
        <f t="shared" si="8"/>
        <v>33124</v>
      </c>
      <c r="N41" s="2158">
        <f t="shared" si="8"/>
        <v>33124</v>
      </c>
      <c r="O41" s="2158">
        <v>34116</v>
      </c>
      <c r="P41" s="2140"/>
      <c r="Q41" s="44">
        <v>32474.23</v>
      </c>
      <c r="R41" s="2159">
        <f t="shared" si="9"/>
        <v>32799.120000000003</v>
      </c>
      <c r="S41" s="2158">
        <f t="shared" si="10"/>
        <v>33124</v>
      </c>
      <c r="T41" s="2159">
        <f t="shared" si="11"/>
        <v>33124</v>
      </c>
      <c r="U41" s="2158">
        <f t="shared" si="11"/>
        <v>33124</v>
      </c>
      <c r="V41" s="2158"/>
      <c r="W41" s="2128">
        <v>32</v>
      </c>
      <c r="X41" s="2158">
        <v>22509</v>
      </c>
      <c r="Y41" s="2159">
        <f t="shared" si="12"/>
        <v>22857.89</v>
      </c>
      <c r="Z41" s="2158">
        <v>23206.78</v>
      </c>
      <c r="AA41" s="2158"/>
      <c r="AB41" s="2158">
        <v>24509</v>
      </c>
      <c r="AC41" s="2159">
        <f t="shared" si="13"/>
        <v>24888.89</v>
      </c>
      <c r="AD41" s="2158">
        <v>25268.770000000004</v>
      </c>
      <c r="AE41" s="2158"/>
      <c r="AF41" s="2158">
        <v>27000</v>
      </c>
      <c r="AG41" s="2159">
        <f t="shared" si="14"/>
        <v>27418.5</v>
      </c>
      <c r="AH41" s="2158">
        <v>27837</v>
      </c>
      <c r="AI41" s="2158"/>
      <c r="AJ41" s="2158">
        <v>30666</v>
      </c>
      <c r="AK41" s="2159">
        <f t="shared" si="15"/>
        <v>31141.33</v>
      </c>
      <c r="AL41" s="2158">
        <v>31616.65</v>
      </c>
      <c r="AN41" s="2158">
        <v>22509</v>
      </c>
      <c r="AO41" s="2159">
        <f t="shared" si="16"/>
        <v>22857.89</v>
      </c>
      <c r="AP41" s="2158">
        <f t="shared" si="20"/>
        <v>23206.78</v>
      </c>
      <c r="AR41" s="2158">
        <v>27129.93</v>
      </c>
      <c r="AS41" s="2159">
        <f t="shared" si="17"/>
        <v>27129.93</v>
      </c>
      <c r="AT41" s="2158">
        <f t="shared" si="21"/>
        <v>27129.93</v>
      </c>
      <c r="AU41" s="4"/>
      <c r="AV41" s="2158">
        <v>30176.92</v>
      </c>
      <c r="AW41" s="2159">
        <f t="shared" si="18"/>
        <v>30176.92</v>
      </c>
      <c r="AX41" s="2158">
        <f t="shared" si="22"/>
        <v>30176.92</v>
      </c>
      <c r="AZ41" s="2158">
        <v>30666</v>
      </c>
      <c r="BA41" s="2159">
        <f t="shared" si="19"/>
        <v>31141.33</v>
      </c>
      <c r="BB41" s="2158">
        <f t="shared" si="23"/>
        <v>31616.65</v>
      </c>
      <c r="BD41" s="2158">
        <v>23878.78</v>
      </c>
      <c r="BE41" s="2159">
        <f t="shared" si="1"/>
        <v>23878.78</v>
      </c>
      <c r="BF41" s="2158">
        <f t="shared" si="24"/>
        <v>23878.78</v>
      </c>
      <c r="BH41" s="2158">
        <v>26802.639999999999</v>
      </c>
      <c r="BI41" s="2159">
        <f t="shared" si="2"/>
        <v>26802.639999999999</v>
      </c>
      <c r="BJ41" s="2158">
        <f t="shared" si="25"/>
        <v>26802.639999999999</v>
      </c>
      <c r="BL41" s="2158">
        <v>28878.78</v>
      </c>
      <c r="BM41" s="2159">
        <f t="shared" si="3"/>
        <v>28878.78</v>
      </c>
      <c r="BN41" s="2158">
        <f t="shared" si="26"/>
        <v>28878.78</v>
      </c>
      <c r="BP41" s="2158">
        <v>30666</v>
      </c>
      <c r="BQ41" s="2159">
        <f t="shared" si="4"/>
        <v>31141.33</v>
      </c>
      <c r="BR41" s="2158">
        <f t="shared" si="27"/>
        <v>31616.65</v>
      </c>
    </row>
    <row r="42" spans="1:70">
      <c r="A42" s="2157">
        <v>33</v>
      </c>
      <c r="B42" s="2158">
        <v>25285.3</v>
      </c>
      <c r="C42" s="2159">
        <f t="shared" si="5"/>
        <v>25872.15</v>
      </c>
      <c r="D42" s="2158">
        <v>26459</v>
      </c>
      <c r="E42" s="2140"/>
      <c r="F42" s="2158">
        <v>26921.360000000001</v>
      </c>
      <c r="G42" s="2159">
        <f t="shared" si="6"/>
        <v>27540.18</v>
      </c>
      <c r="H42" s="2158">
        <v>28159</v>
      </c>
      <c r="I42" s="2140"/>
      <c r="J42" s="2158">
        <v>32127.200000000001</v>
      </c>
      <c r="K42" s="2159">
        <f t="shared" si="7"/>
        <v>32625.599999999999</v>
      </c>
      <c r="L42" s="2158">
        <v>33124</v>
      </c>
      <c r="M42" s="2159">
        <f t="shared" si="8"/>
        <v>33124</v>
      </c>
      <c r="N42" s="2158">
        <f t="shared" si="8"/>
        <v>33124</v>
      </c>
      <c r="O42" s="2158">
        <v>34116</v>
      </c>
      <c r="P42" s="2140"/>
      <c r="Q42" s="44">
        <v>32474.23</v>
      </c>
      <c r="R42" s="2159">
        <f t="shared" si="9"/>
        <v>32799.120000000003</v>
      </c>
      <c r="S42" s="2158">
        <f t="shared" si="10"/>
        <v>33124</v>
      </c>
      <c r="T42" s="2159">
        <f t="shared" si="11"/>
        <v>33124</v>
      </c>
      <c r="U42" s="2158">
        <f t="shared" si="11"/>
        <v>33124</v>
      </c>
      <c r="V42" s="2158"/>
      <c r="W42" s="2183">
        <v>33</v>
      </c>
      <c r="X42" s="2158">
        <v>22509</v>
      </c>
      <c r="Y42" s="2159">
        <f t="shared" si="12"/>
        <v>22857.89</v>
      </c>
      <c r="Z42" s="2158">
        <v>23206.78</v>
      </c>
      <c r="AA42" s="2158"/>
      <c r="AB42" s="2158">
        <v>24509</v>
      </c>
      <c r="AC42" s="2159">
        <f t="shared" si="13"/>
        <v>24888.89</v>
      </c>
      <c r="AD42" s="2158">
        <v>25268.770000000004</v>
      </c>
      <c r="AE42" s="2158"/>
      <c r="AF42" s="2158">
        <v>27000</v>
      </c>
      <c r="AG42" s="2159">
        <f t="shared" si="14"/>
        <v>27418.5</v>
      </c>
      <c r="AH42" s="2158">
        <v>27837</v>
      </c>
      <c r="AI42" s="2158"/>
      <c r="AJ42" s="2158">
        <v>30666</v>
      </c>
      <c r="AK42" s="2159">
        <f t="shared" si="15"/>
        <v>31141.33</v>
      </c>
      <c r="AL42" s="2158">
        <v>31616.65</v>
      </c>
      <c r="AN42" s="2158">
        <v>22509</v>
      </c>
      <c r="AO42" s="2159">
        <f t="shared" si="16"/>
        <v>22857.89</v>
      </c>
      <c r="AP42" s="2158">
        <f t="shared" si="20"/>
        <v>23206.78</v>
      </c>
      <c r="AR42" s="2158">
        <v>27129.93</v>
      </c>
      <c r="AS42" s="2159">
        <f t="shared" si="17"/>
        <v>27129.93</v>
      </c>
      <c r="AT42" s="2158">
        <f t="shared" si="21"/>
        <v>27129.93</v>
      </c>
      <c r="AU42" s="4"/>
      <c r="AV42" s="2158">
        <v>30176.92</v>
      </c>
      <c r="AW42" s="2159">
        <f t="shared" si="18"/>
        <v>30176.92</v>
      </c>
      <c r="AX42" s="2158">
        <f t="shared" si="22"/>
        <v>30176.92</v>
      </c>
      <c r="AZ42" s="2158">
        <v>30666</v>
      </c>
      <c r="BA42" s="2159">
        <f t="shared" si="19"/>
        <v>31141.33</v>
      </c>
      <c r="BB42" s="2158">
        <f t="shared" si="23"/>
        <v>31616.65</v>
      </c>
      <c r="BD42" s="2158">
        <v>23878.78</v>
      </c>
      <c r="BE42" s="2159">
        <f t="shared" si="1"/>
        <v>23878.78</v>
      </c>
      <c r="BF42" s="2158">
        <f t="shared" si="24"/>
        <v>23878.78</v>
      </c>
      <c r="BH42" s="2158">
        <v>26802.639999999999</v>
      </c>
      <c r="BI42" s="2159">
        <f t="shared" si="2"/>
        <v>26802.639999999999</v>
      </c>
      <c r="BJ42" s="2158">
        <f t="shared" si="25"/>
        <v>26802.639999999999</v>
      </c>
      <c r="BL42" s="2158">
        <v>28878.78</v>
      </c>
      <c r="BM42" s="2159">
        <f t="shared" si="3"/>
        <v>28878.78</v>
      </c>
      <c r="BN42" s="2158">
        <f t="shared" si="26"/>
        <v>28878.78</v>
      </c>
      <c r="BP42" s="2158">
        <v>30666</v>
      </c>
      <c r="BQ42" s="2159">
        <f t="shared" si="4"/>
        <v>31141.33</v>
      </c>
      <c r="BR42" s="2158">
        <f t="shared" si="27"/>
        <v>31616.65</v>
      </c>
    </row>
    <row r="43" spans="1:70" ht="12.75" customHeight="1">
      <c r="A43" s="2157">
        <v>34</v>
      </c>
      <c r="B43" s="2158">
        <v>25285.3</v>
      </c>
      <c r="C43" s="2159">
        <f t="shared" si="5"/>
        <v>25872.15</v>
      </c>
      <c r="D43" s="2158">
        <v>26459</v>
      </c>
      <c r="E43" s="2140"/>
      <c r="F43" s="2158">
        <v>26921.360000000001</v>
      </c>
      <c r="G43" s="2159">
        <f t="shared" si="6"/>
        <v>27540.18</v>
      </c>
      <c r="H43" s="2158">
        <v>28159</v>
      </c>
      <c r="I43" s="2140"/>
      <c r="J43" s="2158">
        <v>32127.200000000001</v>
      </c>
      <c r="K43" s="2159">
        <f t="shared" si="7"/>
        <v>32625.599999999999</v>
      </c>
      <c r="L43" s="2158">
        <v>33124</v>
      </c>
      <c r="M43" s="2159">
        <f>ROUND(((L43*5/6)+($N43/6)),2)</f>
        <v>33289.33</v>
      </c>
      <c r="N43" s="2184">
        <f>O43</f>
        <v>34116</v>
      </c>
      <c r="O43" s="2158">
        <v>34116</v>
      </c>
      <c r="P43" s="2140"/>
      <c r="Q43" s="44">
        <v>32474.23</v>
      </c>
      <c r="R43" s="2159">
        <f t="shared" si="9"/>
        <v>32799.120000000003</v>
      </c>
      <c r="S43" s="2158">
        <f t="shared" si="10"/>
        <v>33124</v>
      </c>
      <c r="T43" s="2159">
        <f>ROUND(((S43*5/6)+($N43/6)),2)</f>
        <v>33289.33</v>
      </c>
      <c r="U43" s="2184">
        <f>N43</f>
        <v>34116</v>
      </c>
      <c r="V43" s="3447" t="s">
        <v>5209</v>
      </c>
      <c r="W43" s="2128">
        <v>34</v>
      </c>
      <c r="X43" s="2158">
        <v>22509</v>
      </c>
      <c r="Y43" s="2159">
        <f t="shared" si="12"/>
        <v>22857.89</v>
      </c>
      <c r="Z43" s="2158">
        <v>23206.78</v>
      </c>
      <c r="AA43" s="2158"/>
      <c r="AB43" s="2158">
        <v>24509</v>
      </c>
      <c r="AC43" s="2159">
        <f t="shared" si="13"/>
        <v>24888.89</v>
      </c>
      <c r="AD43" s="2158">
        <v>25268.770000000004</v>
      </c>
      <c r="AE43" s="2158"/>
      <c r="AF43" s="2158">
        <v>27000</v>
      </c>
      <c r="AG43" s="2159">
        <f t="shared" si="14"/>
        <v>27418.5</v>
      </c>
      <c r="AH43" s="2158">
        <v>27837</v>
      </c>
      <c r="AI43" s="2158"/>
      <c r="AJ43" s="2158">
        <v>30666</v>
      </c>
      <c r="AK43" s="2159">
        <f t="shared" si="15"/>
        <v>31141.33</v>
      </c>
      <c r="AL43" s="2158">
        <v>31616.65</v>
      </c>
      <c r="AN43" s="2158">
        <v>22509</v>
      </c>
      <c r="AO43" s="2159">
        <f t="shared" si="16"/>
        <v>22857.89</v>
      </c>
      <c r="AP43" s="2158">
        <f t="shared" si="20"/>
        <v>23206.78</v>
      </c>
      <c r="AR43" s="2158">
        <v>27129.93</v>
      </c>
      <c r="AS43" s="2159">
        <f t="shared" si="17"/>
        <v>27129.93</v>
      </c>
      <c r="AT43" s="2158">
        <f t="shared" si="21"/>
        <v>27129.93</v>
      </c>
      <c r="AU43" s="4"/>
      <c r="AV43" s="2158">
        <v>30176.92</v>
      </c>
      <c r="AW43" s="2159">
        <f t="shared" si="18"/>
        <v>30176.92</v>
      </c>
      <c r="AX43" s="2158">
        <f t="shared" si="22"/>
        <v>30176.92</v>
      </c>
      <c r="AZ43" s="2158">
        <v>30666</v>
      </c>
      <c r="BA43" s="2159">
        <f t="shared" si="19"/>
        <v>31141.33</v>
      </c>
      <c r="BB43" s="2158">
        <f t="shared" si="23"/>
        <v>31616.65</v>
      </c>
      <c r="BD43" s="2158">
        <v>23878.78</v>
      </c>
      <c r="BE43" s="2159">
        <f t="shared" si="1"/>
        <v>23878.78</v>
      </c>
      <c r="BF43" s="2158">
        <f t="shared" si="24"/>
        <v>23878.78</v>
      </c>
      <c r="BH43" s="2158">
        <v>26802.639999999999</v>
      </c>
      <c r="BI43" s="2159">
        <f t="shared" si="2"/>
        <v>26802.639999999999</v>
      </c>
      <c r="BJ43" s="2158">
        <f t="shared" si="25"/>
        <v>26802.639999999999</v>
      </c>
      <c r="BL43" s="2158">
        <v>28878.78</v>
      </c>
      <c r="BM43" s="2159">
        <f t="shared" si="3"/>
        <v>28878.78</v>
      </c>
      <c r="BN43" s="2158">
        <f t="shared" si="26"/>
        <v>28878.78</v>
      </c>
      <c r="BP43" s="2158">
        <v>30666</v>
      </c>
      <c r="BQ43" s="2159">
        <f t="shared" si="4"/>
        <v>31141.33</v>
      </c>
      <c r="BR43" s="2158">
        <f t="shared" si="27"/>
        <v>31616.65</v>
      </c>
    </row>
    <row r="44" spans="1:70">
      <c r="A44" s="2157">
        <v>35</v>
      </c>
      <c r="B44" s="2158">
        <v>25285.3</v>
      </c>
      <c r="C44" s="2159">
        <f t="shared" si="5"/>
        <v>25872.15</v>
      </c>
      <c r="D44" s="2158">
        <v>26459</v>
      </c>
      <c r="E44" s="2140"/>
      <c r="F44" s="2158">
        <v>26921.360000000001</v>
      </c>
      <c r="G44" s="2159">
        <f t="shared" si="6"/>
        <v>27540.18</v>
      </c>
      <c r="H44" s="2158">
        <v>28159</v>
      </c>
      <c r="I44" s="2140"/>
      <c r="J44" s="2158">
        <v>32127.200000000001</v>
      </c>
      <c r="K44" s="2159">
        <f t="shared" si="7"/>
        <v>32625.599999999999</v>
      </c>
      <c r="L44" s="2158">
        <v>33124</v>
      </c>
      <c r="M44" s="2159">
        <f t="shared" ref="M44:M59" si="28">ROUND(((L44*5/6)+($N44/6)),2)</f>
        <v>33289.33</v>
      </c>
      <c r="N44" s="2184">
        <f t="shared" ref="N44:N59" si="29">O44</f>
        <v>34116</v>
      </c>
      <c r="O44" s="2158">
        <v>34116</v>
      </c>
      <c r="P44" s="2140"/>
      <c r="Q44" s="44">
        <v>32474.23</v>
      </c>
      <c r="R44" s="2159">
        <f t="shared" si="9"/>
        <v>32799.120000000003</v>
      </c>
      <c r="S44" s="2158">
        <f t="shared" si="10"/>
        <v>33124</v>
      </c>
      <c r="T44" s="2159">
        <f t="shared" ref="T44:T59" si="30">ROUND(((S44*5/6)+($N44/6)),2)</f>
        <v>33289.33</v>
      </c>
      <c r="U44" s="2184">
        <f t="shared" ref="U44:U59" si="31">N44</f>
        <v>34116</v>
      </c>
      <c r="V44" s="3447"/>
      <c r="W44" s="2183">
        <v>35</v>
      </c>
      <c r="X44" s="2158">
        <v>22509</v>
      </c>
      <c r="Y44" s="2159">
        <f t="shared" si="12"/>
        <v>22857.89</v>
      </c>
      <c r="Z44" s="2158">
        <v>23206.78</v>
      </c>
      <c r="AA44" s="2158"/>
      <c r="AB44" s="2158">
        <v>24509</v>
      </c>
      <c r="AC44" s="2159">
        <f t="shared" si="13"/>
        <v>24888.89</v>
      </c>
      <c r="AD44" s="2158">
        <v>25268.770000000004</v>
      </c>
      <c r="AE44" s="2158"/>
      <c r="AF44" s="2158">
        <v>27000</v>
      </c>
      <c r="AG44" s="2159">
        <f t="shared" si="14"/>
        <v>27418.5</v>
      </c>
      <c r="AH44" s="2158">
        <v>27837</v>
      </c>
      <c r="AI44" s="2158"/>
      <c r="AJ44" s="2158">
        <v>30666</v>
      </c>
      <c r="AK44" s="2159">
        <f t="shared" si="15"/>
        <v>31141.33</v>
      </c>
      <c r="AL44" s="2158">
        <v>31616.65</v>
      </c>
      <c r="AN44" s="2158">
        <v>22509</v>
      </c>
      <c r="AO44" s="2159">
        <f t="shared" si="16"/>
        <v>22857.89</v>
      </c>
      <c r="AP44" s="2158">
        <f t="shared" si="20"/>
        <v>23206.78</v>
      </c>
      <c r="AR44" s="2158">
        <v>27129.93</v>
      </c>
      <c r="AS44" s="2159">
        <f t="shared" si="17"/>
        <v>27129.93</v>
      </c>
      <c r="AT44" s="2158">
        <f t="shared" si="21"/>
        <v>27129.93</v>
      </c>
      <c r="AU44" s="4"/>
      <c r="AV44" s="2158">
        <v>30176.92</v>
      </c>
      <c r="AW44" s="2159">
        <f t="shared" si="18"/>
        <v>30176.92</v>
      </c>
      <c r="AX44" s="2158">
        <f t="shared" si="22"/>
        <v>30176.92</v>
      </c>
      <c r="AZ44" s="2158">
        <v>30666</v>
      </c>
      <c r="BA44" s="2159">
        <f t="shared" si="19"/>
        <v>31141.33</v>
      </c>
      <c r="BB44" s="2158">
        <f t="shared" si="23"/>
        <v>31616.65</v>
      </c>
      <c r="BD44" s="2158">
        <v>23878.78</v>
      </c>
      <c r="BE44" s="2159">
        <f t="shared" si="1"/>
        <v>23878.78</v>
      </c>
      <c r="BF44" s="2158">
        <f t="shared" si="24"/>
        <v>23878.78</v>
      </c>
      <c r="BH44" s="2158">
        <v>26802.639999999999</v>
      </c>
      <c r="BI44" s="2159">
        <f t="shared" si="2"/>
        <v>26802.639999999999</v>
      </c>
      <c r="BJ44" s="2158">
        <f t="shared" si="25"/>
        <v>26802.639999999999</v>
      </c>
      <c r="BL44" s="2158">
        <v>28878.78</v>
      </c>
      <c r="BM44" s="2159">
        <f t="shared" si="3"/>
        <v>28878.78</v>
      </c>
      <c r="BN44" s="2158">
        <f t="shared" si="26"/>
        <v>28878.78</v>
      </c>
      <c r="BP44" s="2158">
        <v>30666</v>
      </c>
      <c r="BQ44" s="2159">
        <f t="shared" si="4"/>
        <v>31141.33</v>
      </c>
      <c r="BR44" s="2158">
        <f t="shared" si="27"/>
        <v>31616.65</v>
      </c>
    </row>
    <row r="45" spans="1:70">
      <c r="A45" s="2157">
        <v>36</v>
      </c>
      <c r="B45" s="2158">
        <v>25285.3</v>
      </c>
      <c r="C45" s="2159">
        <f t="shared" si="5"/>
        <v>25872.15</v>
      </c>
      <c r="D45" s="2158">
        <v>26459</v>
      </c>
      <c r="E45" s="2140"/>
      <c r="F45" s="2158">
        <v>26921.360000000001</v>
      </c>
      <c r="G45" s="2159">
        <f t="shared" si="6"/>
        <v>27540.18</v>
      </c>
      <c r="H45" s="2158">
        <v>28159</v>
      </c>
      <c r="I45" s="2140"/>
      <c r="J45" s="2158">
        <v>32127.200000000001</v>
      </c>
      <c r="K45" s="2159">
        <f t="shared" si="7"/>
        <v>32625.599999999999</v>
      </c>
      <c r="L45" s="2158">
        <v>33124</v>
      </c>
      <c r="M45" s="2159">
        <f t="shared" si="28"/>
        <v>33289.33</v>
      </c>
      <c r="N45" s="2184">
        <f t="shared" si="29"/>
        <v>34116</v>
      </c>
      <c r="O45" s="2158">
        <v>34116</v>
      </c>
      <c r="P45" s="2140"/>
      <c r="Q45" s="44">
        <v>32474.23</v>
      </c>
      <c r="R45" s="2159">
        <f t="shared" si="9"/>
        <v>32799.120000000003</v>
      </c>
      <c r="S45" s="2158">
        <f t="shared" si="10"/>
        <v>33124</v>
      </c>
      <c r="T45" s="2159">
        <f t="shared" si="30"/>
        <v>33289.33</v>
      </c>
      <c r="U45" s="2184">
        <f t="shared" si="31"/>
        <v>34116</v>
      </c>
      <c r="V45" s="3447"/>
      <c r="W45" s="2128">
        <v>36</v>
      </c>
      <c r="X45" s="2158">
        <v>22509</v>
      </c>
      <c r="Y45" s="2159">
        <f t="shared" si="12"/>
        <v>22857.89</v>
      </c>
      <c r="Z45" s="2158">
        <v>23206.78</v>
      </c>
      <c r="AA45" s="2158"/>
      <c r="AB45" s="2158">
        <v>24509</v>
      </c>
      <c r="AC45" s="2159">
        <f t="shared" si="13"/>
        <v>24888.89</v>
      </c>
      <c r="AD45" s="2158">
        <v>25268.770000000004</v>
      </c>
      <c r="AE45" s="2158"/>
      <c r="AF45" s="2158">
        <v>27000</v>
      </c>
      <c r="AG45" s="2159">
        <f t="shared" si="14"/>
        <v>27418.5</v>
      </c>
      <c r="AH45" s="2158">
        <v>27837</v>
      </c>
      <c r="AI45" s="2158"/>
      <c r="AJ45" s="2158">
        <v>30666</v>
      </c>
      <c r="AK45" s="2159">
        <f t="shared" si="15"/>
        <v>31141.33</v>
      </c>
      <c r="AL45" s="2158">
        <v>31616.65</v>
      </c>
      <c r="AN45" s="2158">
        <v>22509</v>
      </c>
      <c r="AO45" s="2159">
        <f t="shared" si="16"/>
        <v>22857.89</v>
      </c>
      <c r="AP45" s="2158">
        <f t="shared" si="20"/>
        <v>23206.78</v>
      </c>
      <c r="AR45" s="2158">
        <v>27129.93</v>
      </c>
      <c r="AS45" s="2159">
        <f t="shared" si="17"/>
        <v>27129.93</v>
      </c>
      <c r="AT45" s="2158">
        <f t="shared" si="21"/>
        <v>27129.93</v>
      </c>
      <c r="AU45" s="4"/>
      <c r="AV45" s="2158">
        <v>30176.92</v>
      </c>
      <c r="AW45" s="2159">
        <f t="shared" si="18"/>
        <v>30176.92</v>
      </c>
      <c r="AX45" s="2158">
        <f t="shared" si="22"/>
        <v>30176.92</v>
      </c>
      <c r="AZ45" s="2158">
        <v>30666</v>
      </c>
      <c r="BA45" s="2159">
        <f t="shared" si="19"/>
        <v>31141.33</v>
      </c>
      <c r="BB45" s="2158">
        <f t="shared" si="23"/>
        <v>31616.65</v>
      </c>
      <c r="BD45" s="2158">
        <v>23878.78</v>
      </c>
      <c r="BE45" s="2159">
        <f t="shared" si="1"/>
        <v>23878.78</v>
      </c>
      <c r="BF45" s="2158">
        <f t="shared" si="24"/>
        <v>23878.78</v>
      </c>
      <c r="BH45" s="2158">
        <v>26802.639999999999</v>
      </c>
      <c r="BI45" s="2159">
        <f t="shared" si="2"/>
        <v>26802.639999999999</v>
      </c>
      <c r="BJ45" s="2158">
        <f t="shared" si="25"/>
        <v>26802.639999999999</v>
      </c>
      <c r="BL45" s="2158">
        <v>28878.78</v>
      </c>
      <c r="BM45" s="2159">
        <f t="shared" si="3"/>
        <v>28878.78</v>
      </c>
      <c r="BN45" s="2158">
        <f t="shared" si="26"/>
        <v>28878.78</v>
      </c>
      <c r="BP45" s="2158">
        <v>30666</v>
      </c>
      <c r="BQ45" s="2159">
        <f t="shared" si="4"/>
        <v>31141.33</v>
      </c>
      <c r="BR45" s="2158">
        <f t="shared" si="27"/>
        <v>31616.65</v>
      </c>
    </row>
    <row r="46" spans="1:70">
      <c r="A46" s="2157">
        <v>37</v>
      </c>
      <c r="B46" s="2158">
        <v>25285.3</v>
      </c>
      <c r="C46" s="2159">
        <f t="shared" si="5"/>
        <v>25872.15</v>
      </c>
      <c r="D46" s="2158">
        <v>26459</v>
      </c>
      <c r="E46" s="2140"/>
      <c r="F46" s="2158">
        <v>26921.360000000001</v>
      </c>
      <c r="G46" s="2159">
        <f t="shared" si="6"/>
        <v>27540.18</v>
      </c>
      <c r="H46" s="2158">
        <v>28159</v>
      </c>
      <c r="I46" s="2140"/>
      <c r="J46" s="2158">
        <v>32127.200000000001</v>
      </c>
      <c r="K46" s="2159">
        <f t="shared" si="7"/>
        <v>32625.599999999999</v>
      </c>
      <c r="L46" s="2158">
        <v>33124</v>
      </c>
      <c r="M46" s="2159">
        <f t="shared" si="28"/>
        <v>33289.33</v>
      </c>
      <c r="N46" s="2184">
        <f t="shared" si="29"/>
        <v>34116</v>
      </c>
      <c r="O46" s="2158">
        <v>34116</v>
      </c>
      <c r="P46" s="2140"/>
      <c r="Q46" s="44">
        <v>32474.23</v>
      </c>
      <c r="R46" s="2159">
        <f t="shared" si="9"/>
        <v>32799.120000000003</v>
      </c>
      <c r="S46" s="2158">
        <f t="shared" si="10"/>
        <v>33124</v>
      </c>
      <c r="T46" s="2159">
        <f t="shared" si="30"/>
        <v>33289.33</v>
      </c>
      <c r="U46" s="2184">
        <f t="shared" si="31"/>
        <v>34116</v>
      </c>
      <c r="V46" s="3447"/>
      <c r="W46" s="2183">
        <v>37</v>
      </c>
      <c r="X46" s="2158">
        <v>22509</v>
      </c>
      <c r="Y46" s="2159">
        <f t="shared" si="12"/>
        <v>22857.89</v>
      </c>
      <c r="Z46" s="2158">
        <v>23206.78</v>
      </c>
      <c r="AA46" s="2158"/>
      <c r="AB46" s="2158">
        <v>24509</v>
      </c>
      <c r="AC46" s="2159">
        <f t="shared" si="13"/>
        <v>24888.89</v>
      </c>
      <c r="AD46" s="2158">
        <v>25268.770000000004</v>
      </c>
      <c r="AE46" s="2158"/>
      <c r="AF46" s="2158">
        <v>27000</v>
      </c>
      <c r="AG46" s="2159">
        <f t="shared" si="14"/>
        <v>27418.5</v>
      </c>
      <c r="AH46" s="2158">
        <v>27837</v>
      </c>
      <c r="AI46" s="2158"/>
      <c r="AJ46" s="2158">
        <v>30666</v>
      </c>
      <c r="AK46" s="2159">
        <f t="shared" si="15"/>
        <v>31141.33</v>
      </c>
      <c r="AL46" s="2158">
        <v>31616.65</v>
      </c>
      <c r="AN46" s="2158">
        <v>22509</v>
      </c>
      <c r="AO46" s="2159">
        <f t="shared" si="16"/>
        <v>22857.89</v>
      </c>
      <c r="AP46" s="2158">
        <f t="shared" si="20"/>
        <v>23206.78</v>
      </c>
      <c r="AR46" s="2158">
        <v>27129.93</v>
      </c>
      <c r="AS46" s="2159">
        <f t="shared" si="17"/>
        <v>27129.93</v>
      </c>
      <c r="AT46" s="2158">
        <f t="shared" si="21"/>
        <v>27129.93</v>
      </c>
      <c r="AU46" s="4"/>
      <c r="AV46" s="2158">
        <v>30176.92</v>
      </c>
      <c r="AW46" s="2159">
        <f t="shared" si="18"/>
        <v>30176.92</v>
      </c>
      <c r="AX46" s="2158">
        <f t="shared" si="22"/>
        <v>30176.92</v>
      </c>
      <c r="AZ46" s="2158">
        <v>30666</v>
      </c>
      <c r="BA46" s="2159">
        <f t="shared" si="19"/>
        <v>31141.33</v>
      </c>
      <c r="BB46" s="2158">
        <f t="shared" si="23"/>
        <v>31616.65</v>
      </c>
      <c r="BD46" s="2158">
        <v>23878.78</v>
      </c>
      <c r="BE46" s="2159">
        <f t="shared" si="1"/>
        <v>23878.78</v>
      </c>
      <c r="BF46" s="2158">
        <f t="shared" si="24"/>
        <v>23878.78</v>
      </c>
      <c r="BH46" s="2158">
        <v>26802.639999999999</v>
      </c>
      <c r="BI46" s="2159">
        <f t="shared" si="2"/>
        <v>26802.639999999999</v>
      </c>
      <c r="BJ46" s="2158">
        <f t="shared" si="25"/>
        <v>26802.639999999999</v>
      </c>
      <c r="BL46" s="2158">
        <v>28878.78</v>
      </c>
      <c r="BM46" s="2159">
        <f t="shared" si="3"/>
        <v>28878.78</v>
      </c>
      <c r="BN46" s="2158">
        <f t="shared" si="26"/>
        <v>28878.78</v>
      </c>
      <c r="BP46" s="2158">
        <v>30666</v>
      </c>
      <c r="BQ46" s="2159">
        <f t="shared" si="4"/>
        <v>31141.33</v>
      </c>
      <c r="BR46" s="2158">
        <f t="shared" si="27"/>
        <v>31616.65</v>
      </c>
    </row>
    <row r="47" spans="1:70">
      <c r="A47" s="2157">
        <v>38</v>
      </c>
      <c r="B47" s="2158">
        <v>25285.3</v>
      </c>
      <c r="C47" s="2159">
        <f t="shared" si="5"/>
        <v>25872.15</v>
      </c>
      <c r="D47" s="2158">
        <v>26459</v>
      </c>
      <c r="E47" s="2140"/>
      <c r="F47" s="2158">
        <v>26921.360000000001</v>
      </c>
      <c r="G47" s="2159">
        <f t="shared" si="6"/>
        <v>27540.18</v>
      </c>
      <c r="H47" s="2158">
        <v>28159</v>
      </c>
      <c r="I47" s="2140"/>
      <c r="J47" s="2158">
        <v>32127.200000000001</v>
      </c>
      <c r="K47" s="2159">
        <f t="shared" si="7"/>
        <v>32625.599999999999</v>
      </c>
      <c r="L47" s="2158">
        <v>33124</v>
      </c>
      <c r="M47" s="2159">
        <f t="shared" si="28"/>
        <v>33289.33</v>
      </c>
      <c r="N47" s="2184">
        <f t="shared" si="29"/>
        <v>34116</v>
      </c>
      <c r="O47" s="2158">
        <v>34116</v>
      </c>
      <c r="P47" s="2140"/>
      <c r="Q47" s="44">
        <v>32474.23</v>
      </c>
      <c r="R47" s="2159">
        <f t="shared" si="9"/>
        <v>32799.120000000003</v>
      </c>
      <c r="S47" s="2158">
        <f t="shared" si="10"/>
        <v>33124</v>
      </c>
      <c r="T47" s="2159">
        <f t="shared" si="30"/>
        <v>33289.33</v>
      </c>
      <c r="U47" s="2184">
        <f t="shared" si="31"/>
        <v>34116</v>
      </c>
      <c r="V47" s="3447"/>
      <c r="W47" s="2128">
        <v>38</v>
      </c>
      <c r="X47" s="2158">
        <v>22509</v>
      </c>
      <c r="Y47" s="2159">
        <f t="shared" si="12"/>
        <v>22857.89</v>
      </c>
      <c r="Z47" s="2158">
        <v>23206.78</v>
      </c>
      <c r="AA47" s="2158"/>
      <c r="AB47" s="2158">
        <v>24509</v>
      </c>
      <c r="AC47" s="2159">
        <f t="shared" si="13"/>
        <v>24888.89</v>
      </c>
      <c r="AD47" s="2158">
        <v>25268.770000000004</v>
      </c>
      <c r="AE47" s="2158"/>
      <c r="AF47" s="2158">
        <v>27000</v>
      </c>
      <c r="AG47" s="2159">
        <f t="shared" si="14"/>
        <v>27418.5</v>
      </c>
      <c r="AH47" s="2158">
        <v>27837</v>
      </c>
      <c r="AI47" s="2158"/>
      <c r="AJ47" s="2158">
        <v>30666</v>
      </c>
      <c r="AK47" s="2159">
        <f t="shared" si="15"/>
        <v>31141.33</v>
      </c>
      <c r="AL47" s="2158">
        <v>31616.65</v>
      </c>
      <c r="AN47" s="2158">
        <v>22509</v>
      </c>
      <c r="AO47" s="2159">
        <f t="shared" si="16"/>
        <v>22857.89</v>
      </c>
      <c r="AP47" s="2158">
        <f t="shared" si="20"/>
        <v>23206.78</v>
      </c>
      <c r="AR47" s="2158">
        <v>27129.93</v>
      </c>
      <c r="AS47" s="2159">
        <f t="shared" si="17"/>
        <v>27129.93</v>
      </c>
      <c r="AT47" s="2158">
        <f t="shared" si="21"/>
        <v>27129.93</v>
      </c>
      <c r="AU47" s="4"/>
      <c r="AV47" s="2158">
        <v>30176.92</v>
      </c>
      <c r="AW47" s="2159">
        <f t="shared" si="18"/>
        <v>30176.92</v>
      </c>
      <c r="AX47" s="2158">
        <f t="shared" si="22"/>
        <v>30176.92</v>
      </c>
      <c r="AZ47" s="2158">
        <v>30666</v>
      </c>
      <c r="BA47" s="2159">
        <f t="shared" si="19"/>
        <v>31141.33</v>
      </c>
      <c r="BB47" s="2158">
        <f t="shared" si="23"/>
        <v>31616.65</v>
      </c>
      <c r="BD47" s="2158">
        <v>23878.78</v>
      </c>
      <c r="BE47" s="2159">
        <f t="shared" si="1"/>
        <v>23878.78</v>
      </c>
      <c r="BF47" s="2158">
        <f t="shared" si="24"/>
        <v>23878.78</v>
      </c>
      <c r="BH47" s="2158">
        <v>26802.639999999999</v>
      </c>
      <c r="BI47" s="2159">
        <f t="shared" si="2"/>
        <v>26802.639999999999</v>
      </c>
      <c r="BJ47" s="2158">
        <f t="shared" si="25"/>
        <v>26802.639999999999</v>
      </c>
      <c r="BL47" s="2158">
        <v>28878.78</v>
      </c>
      <c r="BM47" s="2159">
        <f t="shared" si="3"/>
        <v>28878.78</v>
      </c>
      <c r="BN47" s="2158">
        <f t="shared" si="26"/>
        <v>28878.78</v>
      </c>
      <c r="BP47" s="2158">
        <v>30666</v>
      </c>
      <c r="BQ47" s="2159">
        <f t="shared" si="4"/>
        <v>31141.33</v>
      </c>
      <c r="BR47" s="2158">
        <f t="shared" si="27"/>
        <v>31616.65</v>
      </c>
    </row>
    <row r="48" spans="1:70">
      <c r="A48" s="2157">
        <v>39</v>
      </c>
      <c r="B48" s="2158">
        <v>25285.3</v>
      </c>
      <c r="C48" s="2159">
        <f t="shared" si="5"/>
        <v>25872.15</v>
      </c>
      <c r="D48" s="2158">
        <v>26459</v>
      </c>
      <c r="E48" s="2140"/>
      <c r="F48" s="2158">
        <v>26921.360000000001</v>
      </c>
      <c r="G48" s="2159">
        <f t="shared" si="6"/>
        <v>27540.18</v>
      </c>
      <c r="H48" s="2158">
        <v>28159</v>
      </c>
      <c r="I48" s="2140"/>
      <c r="J48" s="2158">
        <v>32127.200000000001</v>
      </c>
      <c r="K48" s="2159">
        <f t="shared" si="7"/>
        <v>32625.599999999999</v>
      </c>
      <c r="L48" s="2158">
        <v>33124</v>
      </c>
      <c r="M48" s="2159">
        <f t="shared" si="28"/>
        <v>33289.33</v>
      </c>
      <c r="N48" s="2184">
        <f t="shared" si="29"/>
        <v>34116</v>
      </c>
      <c r="O48" s="2158">
        <v>34116</v>
      </c>
      <c r="P48" s="2140"/>
      <c r="Q48" s="44">
        <v>32474.23</v>
      </c>
      <c r="R48" s="2159">
        <f t="shared" si="9"/>
        <v>32799.120000000003</v>
      </c>
      <c r="S48" s="2158">
        <f t="shared" si="10"/>
        <v>33124</v>
      </c>
      <c r="T48" s="2159">
        <f t="shared" si="30"/>
        <v>33289.33</v>
      </c>
      <c r="U48" s="2184">
        <f t="shared" si="31"/>
        <v>34116</v>
      </c>
      <c r="V48" s="3447"/>
      <c r="W48" s="2128">
        <v>39</v>
      </c>
      <c r="X48" s="2158">
        <v>22509</v>
      </c>
      <c r="Y48" s="2159">
        <f t="shared" si="12"/>
        <v>22857.89</v>
      </c>
      <c r="Z48" s="2158">
        <v>23206.78</v>
      </c>
      <c r="AA48" s="2158"/>
      <c r="AB48" s="2158">
        <v>24509</v>
      </c>
      <c r="AC48" s="2159">
        <f t="shared" si="13"/>
        <v>24888.89</v>
      </c>
      <c r="AD48" s="2158">
        <v>25268.770000000004</v>
      </c>
      <c r="AE48" s="2158"/>
      <c r="AF48" s="2158">
        <v>27000</v>
      </c>
      <c r="AG48" s="2159">
        <f t="shared" si="14"/>
        <v>27418.5</v>
      </c>
      <c r="AH48" s="2158">
        <v>27837</v>
      </c>
      <c r="AI48" s="2158"/>
      <c r="AJ48" s="2158">
        <v>30666</v>
      </c>
      <c r="AK48" s="2159">
        <f t="shared" si="15"/>
        <v>31141.33</v>
      </c>
      <c r="AL48" s="2158">
        <v>31616.65</v>
      </c>
      <c r="AN48" s="2158">
        <v>22509</v>
      </c>
      <c r="AO48" s="2159">
        <f t="shared" si="16"/>
        <v>22857.89</v>
      </c>
      <c r="AP48" s="2158">
        <f t="shared" si="20"/>
        <v>23206.78</v>
      </c>
      <c r="AR48" s="2158">
        <v>27129.93</v>
      </c>
      <c r="AS48" s="2159">
        <f t="shared" si="17"/>
        <v>27129.93</v>
      </c>
      <c r="AT48" s="2158">
        <f t="shared" si="21"/>
        <v>27129.93</v>
      </c>
      <c r="AU48" s="4"/>
      <c r="AV48" s="2158">
        <v>30176.92</v>
      </c>
      <c r="AW48" s="2159">
        <f t="shared" si="18"/>
        <v>30176.92</v>
      </c>
      <c r="AX48" s="2158">
        <f t="shared" si="22"/>
        <v>30176.92</v>
      </c>
      <c r="AZ48" s="2158">
        <v>30666</v>
      </c>
      <c r="BA48" s="2159">
        <f t="shared" si="19"/>
        <v>31141.33</v>
      </c>
      <c r="BB48" s="2158">
        <f t="shared" si="23"/>
        <v>31616.65</v>
      </c>
      <c r="BD48" s="2158">
        <v>23878.78</v>
      </c>
      <c r="BE48" s="2159">
        <f t="shared" si="1"/>
        <v>23878.78</v>
      </c>
      <c r="BF48" s="2158">
        <f t="shared" si="24"/>
        <v>23878.78</v>
      </c>
      <c r="BH48" s="2158">
        <v>26802.639999999999</v>
      </c>
      <c r="BI48" s="2159">
        <f t="shared" si="2"/>
        <v>26802.639999999999</v>
      </c>
      <c r="BJ48" s="2158">
        <f t="shared" si="25"/>
        <v>26802.639999999999</v>
      </c>
      <c r="BL48" s="2158">
        <v>28878.78</v>
      </c>
      <c r="BM48" s="2159">
        <f t="shared" si="3"/>
        <v>28878.78</v>
      </c>
      <c r="BN48" s="2158">
        <f t="shared" si="26"/>
        <v>28878.78</v>
      </c>
      <c r="BP48" s="2158">
        <v>30666</v>
      </c>
      <c r="BQ48" s="2159">
        <f t="shared" si="4"/>
        <v>31141.33</v>
      </c>
      <c r="BR48" s="2158">
        <f t="shared" si="27"/>
        <v>31616.65</v>
      </c>
    </row>
    <row r="49" spans="1:70">
      <c r="A49" s="2157">
        <v>40</v>
      </c>
      <c r="B49" s="2158">
        <v>25285.3</v>
      </c>
      <c r="C49" s="2159">
        <f t="shared" si="5"/>
        <v>25872.15</v>
      </c>
      <c r="D49" s="2158">
        <v>26459</v>
      </c>
      <c r="E49" s="2140"/>
      <c r="F49" s="2158">
        <v>26921.360000000001</v>
      </c>
      <c r="G49" s="2159">
        <f t="shared" si="6"/>
        <v>27540.18</v>
      </c>
      <c r="H49" s="2158">
        <v>28159</v>
      </c>
      <c r="I49" s="2140"/>
      <c r="J49" s="2158">
        <v>32127.200000000001</v>
      </c>
      <c r="K49" s="2159">
        <f t="shared" si="7"/>
        <v>32625.599999999999</v>
      </c>
      <c r="L49" s="2158">
        <v>33124</v>
      </c>
      <c r="M49" s="2159">
        <f t="shared" si="28"/>
        <v>33289.33</v>
      </c>
      <c r="N49" s="2184">
        <f t="shared" si="29"/>
        <v>34116</v>
      </c>
      <c r="O49" s="2158">
        <v>34116</v>
      </c>
      <c r="P49" s="2140"/>
      <c r="Q49" s="44">
        <v>32474.23</v>
      </c>
      <c r="R49" s="2159">
        <f t="shared" si="9"/>
        <v>32799.120000000003</v>
      </c>
      <c r="S49" s="2158">
        <f t="shared" si="10"/>
        <v>33124</v>
      </c>
      <c r="T49" s="2159">
        <f t="shared" si="30"/>
        <v>33289.33</v>
      </c>
      <c r="U49" s="2184">
        <f t="shared" si="31"/>
        <v>34116</v>
      </c>
      <c r="V49" s="3447"/>
      <c r="W49" s="2183">
        <v>40</v>
      </c>
      <c r="X49" s="2158">
        <v>22509</v>
      </c>
      <c r="Y49" s="2159">
        <f t="shared" si="12"/>
        <v>22857.89</v>
      </c>
      <c r="Z49" s="2158">
        <v>23206.78</v>
      </c>
      <c r="AA49" s="2158"/>
      <c r="AB49" s="2158">
        <v>24509</v>
      </c>
      <c r="AC49" s="2159">
        <f t="shared" si="13"/>
        <v>24888.89</v>
      </c>
      <c r="AD49" s="2158">
        <v>25268.770000000004</v>
      </c>
      <c r="AE49" s="2158"/>
      <c r="AF49" s="2158">
        <v>27000</v>
      </c>
      <c r="AG49" s="2159">
        <f t="shared" si="14"/>
        <v>27418.5</v>
      </c>
      <c r="AH49" s="2158">
        <v>27837</v>
      </c>
      <c r="AI49" s="2158"/>
      <c r="AJ49" s="2158">
        <v>30666</v>
      </c>
      <c r="AK49" s="2159">
        <f t="shared" si="15"/>
        <v>31141.33</v>
      </c>
      <c r="AL49" s="2158">
        <v>31616.65</v>
      </c>
      <c r="AN49" s="2158">
        <v>22509</v>
      </c>
      <c r="AO49" s="2159">
        <f t="shared" si="16"/>
        <v>22857.89</v>
      </c>
      <c r="AP49" s="2158">
        <f t="shared" si="20"/>
        <v>23206.78</v>
      </c>
      <c r="AR49" s="2158">
        <v>27129.93</v>
      </c>
      <c r="AS49" s="2159">
        <f t="shared" si="17"/>
        <v>27129.93</v>
      </c>
      <c r="AT49" s="2158">
        <f t="shared" si="21"/>
        <v>27129.93</v>
      </c>
      <c r="AU49" s="4"/>
      <c r="AV49" s="2158">
        <v>30176.92</v>
      </c>
      <c r="AW49" s="2159">
        <f t="shared" si="18"/>
        <v>30176.92</v>
      </c>
      <c r="AX49" s="2158">
        <f t="shared" si="22"/>
        <v>30176.92</v>
      </c>
      <c r="AZ49" s="2158">
        <v>30666</v>
      </c>
      <c r="BA49" s="2159">
        <f t="shared" si="19"/>
        <v>31141.33</v>
      </c>
      <c r="BB49" s="2158">
        <f t="shared" si="23"/>
        <v>31616.65</v>
      </c>
      <c r="BD49" s="2158">
        <v>23878.78</v>
      </c>
      <c r="BE49" s="2159">
        <f t="shared" si="1"/>
        <v>23878.78</v>
      </c>
      <c r="BF49" s="2158">
        <f t="shared" si="24"/>
        <v>23878.78</v>
      </c>
      <c r="BH49" s="2158">
        <v>26802.639999999999</v>
      </c>
      <c r="BI49" s="2159">
        <f t="shared" si="2"/>
        <v>26802.639999999999</v>
      </c>
      <c r="BJ49" s="2158">
        <f t="shared" si="25"/>
        <v>26802.639999999999</v>
      </c>
      <c r="BL49" s="2158">
        <v>28878.78</v>
      </c>
      <c r="BM49" s="2159">
        <f t="shared" si="3"/>
        <v>28878.78</v>
      </c>
      <c r="BN49" s="2158">
        <f t="shared" si="26"/>
        <v>28878.78</v>
      </c>
      <c r="BP49" s="2158">
        <v>30666</v>
      </c>
      <c r="BQ49" s="2159">
        <f t="shared" si="4"/>
        <v>31141.33</v>
      </c>
      <c r="BR49" s="2158">
        <f t="shared" si="27"/>
        <v>31616.65</v>
      </c>
    </row>
    <row r="50" spans="1:70">
      <c r="A50" s="2157">
        <v>41</v>
      </c>
      <c r="B50" s="2158">
        <v>25286.3</v>
      </c>
      <c r="C50" s="2159">
        <f t="shared" si="5"/>
        <v>25872.65</v>
      </c>
      <c r="D50" s="2158">
        <v>26459</v>
      </c>
      <c r="E50" s="2140"/>
      <c r="F50" s="2158">
        <v>26921.360000000001</v>
      </c>
      <c r="G50" s="2159">
        <f t="shared" si="6"/>
        <v>27540.68</v>
      </c>
      <c r="H50" s="2158">
        <v>28160</v>
      </c>
      <c r="I50" s="2140"/>
      <c r="J50" s="2158">
        <v>32127.200000000001</v>
      </c>
      <c r="K50" s="2159">
        <f t="shared" si="7"/>
        <v>32625.599999999999</v>
      </c>
      <c r="L50" s="2158">
        <v>33124</v>
      </c>
      <c r="M50" s="2159">
        <f t="shared" si="28"/>
        <v>33289.33</v>
      </c>
      <c r="N50" s="2184">
        <f t="shared" si="29"/>
        <v>34116</v>
      </c>
      <c r="O50" s="2158">
        <v>34116</v>
      </c>
      <c r="P50" s="2140"/>
      <c r="Q50" s="44">
        <v>32474.23</v>
      </c>
      <c r="R50" s="2159">
        <f t="shared" si="9"/>
        <v>32799.120000000003</v>
      </c>
      <c r="S50" s="2158">
        <f t="shared" si="10"/>
        <v>33124</v>
      </c>
      <c r="T50" s="2159">
        <f t="shared" si="30"/>
        <v>33289.33</v>
      </c>
      <c r="U50" s="2184">
        <f t="shared" si="31"/>
        <v>34116</v>
      </c>
      <c r="V50" s="3447"/>
      <c r="W50" s="2128">
        <v>41</v>
      </c>
      <c r="X50" s="2158">
        <v>22509</v>
      </c>
      <c r="Y50" s="2159">
        <f t="shared" si="12"/>
        <v>22857.89</v>
      </c>
      <c r="Z50" s="2158">
        <v>23206.78</v>
      </c>
      <c r="AA50" s="2158"/>
      <c r="AB50" s="2158">
        <v>24509</v>
      </c>
      <c r="AC50" s="2159">
        <f t="shared" si="13"/>
        <v>24888.89</v>
      </c>
      <c r="AD50" s="2158">
        <v>25268.770000000004</v>
      </c>
      <c r="AE50" s="2158"/>
      <c r="AF50" s="2158">
        <v>27000</v>
      </c>
      <c r="AG50" s="2159">
        <f t="shared" si="14"/>
        <v>27418.5</v>
      </c>
      <c r="AH50" s="2158">
        <v>27837</v>
      </c>
      <c r="AI50" s="2158"/>
      <c r="AJ50" s="2158">
        <v>30666</v>
      </c>
      <c r="AK50" s="2159">
        <f t="shared" si="15"/>
        <v>31141.33</v>
      </c>
      <c r="AL50" s="2158">
        <v>31616.65</v>
      </c>
      <c r="AN50" s="2158">
        <v>22509</v>
      </c>
      <c r="AO50" s="2159">
        <f t="shared" si="16"/>
        <v>22857.89</v>
      </c>
      <c r="AP50" s="2158">
        <f t="shared" si="20"/>
        <v>23206.78</v>
      </c>
      <c r="AR50" s="2158">
        <v>27129.93</v>
      </c>
      <c r="AS50" s="2159">
        <f t="shared" si="17"/>
        <v>27129.93</v>
      </c>
      <c r="AT50" s="2158">
        <f t="shared" si="21"/>
        <v>27129.93</v>
      </c>
      <c r="AU50" s="4"/>
      <c r="AV50" s="2158">
        <v>30176.92</v>
      </c>
      <c r="AW50" s="2159">
        <f t="shared" si="18"/>
        <v>30176.92</v>
      </c>
      <c r="AX50" s="2158">
        <f t="shared" si="22"/>
        <v>30176.92</v>
      </c>
      <c r="AZ50" s="2158">
        <v>30666</v>
      </c>
      <c r="BA50" s="2159">
        <f t="shared" si="19"/>
        <v>31141.33</v>
      </c>
      <c r="BB50" s="2158">
        <f t="shared" si="23"/>
        <v>31616.65</v>
      </c>
      <c r="BD50" s="2158">
        <v>23878.78</v>
      </c>
      <c r="BE50" s="2159">
        <f t="shared" si="1"/>
        <v>23878.78</v>
      </c>
      <c r="BF50" s="2158">
        <f t="shared" si="24"/>
        <v>23878.78</v>
      </c>
      <c r="BH50" s="2158">
        <v>26802.639999999999</v>
      </c>
      <c r="BI50" s="2159">
        <f t="shared" si="2"/>
        <v>26802.639999999999</v>
      </c>
      <c r="BJ50" s="2158">
        <f t="shared" si="25"/>
        <v>26802.639999999999</v>
      </c>
      <c r="BL50" s="2158">
        <v>28878.78</v>
      </c>
      <c r="BM50" s="2159">
        <f t="shared" si="3"/>
        <v>28878.78</v>
      </c>
      <c r="BN50" s="2158">
        <f t="shared" si="26"/>
        <v>28878.78</v>
      </c>
      <c r="BP50" s="2158">
        <v>30666</v>
      </c>
      <c r="BQ50" s="2159">
        <f t="shared" si="4"/>
        <v>31141.33</v>
      </c>
      <c r="BR50" s="2158">
        <f t="shared" si="27"/>
        <v>31616.65</v>
      </c>
    </row>
    <row r="51" spans="1:70">
      <c r="A51" s="2157">
        <v>42</v>
      </c>
      <c r="B51" s="2158">
        <v>25287.3</v>
      </c>
      <c r="C51" s="2159">
        <f t="shared" si="5"/>
        <v>25873.15</v>
      </c>
      <c r="D51" s="2158">
        <v>26459</v>
      </c>
      <c r="E51" s="2140"/>
      <c r="F51" s="2158">
        <v>26921.360000000001</v>
      </c>
      <c r="G51" s="2159">
        <f t="shared" si="6"/>
        <v>27541.18</v>
      </c>
      <c r="H51" s="2158">
        <v>28161</v>
      </c>
      <c r="I51" s="2140"/>
      <c r="J51" s="2158">
        <v>32127.200000000001</v>
      </c>
      <c r="K51" s="2159">
        <f t="shared" si="7"/>
        <v>32625.599999999999</v>
      </c>
      <c r="L51" s="2158">
        <v>33124</v>
      </c>
      <c r="M51" s="2159">
        <f t="shared" si="28"/>
        <v>33289.33</v>
      </c>
      <c r="N51" s="2184">
        <f t="shared" si="29"/>
        <v>34116</v>
      </c>
      <c r="O51" s="2158">
        <v>34116</v>
      </c>
      <c r="P51" s="2140"/>
      <c r="Q51" s="44">
        <v>32474.23</v>
      </c>
      <c r="R51" s="2159">
        <f t="shared" si="9"/>
        <v>32799.120000000003</v>
      </c>
      <c r="S51" s="2158">
        <f t="shared" si="10"/>
        <v>33124</v>
      </c>
      <c r="T51" s="2159">
        <f t="shared" si="30"/>
        <v>33289.33</v>
      </c>
      <c r="U51" s="2184">
        <f t="shared" si="31"/>
        <v>34116</v>
      </c>
      <c r="V51" s="3447"/>
      <c r="W51" s="2183">
        <v>42</v>
      </c>
      <c r="X51" s="2158">
        <v>22509</v>
      </c>
      <c r="Y51" s="2159">
        <f t="shared" si="12"/>
        <v>22857.89</v>
      </c>
      <c r="Z51" s="2158">
        <v>23206.78</v>
      </c>
      <c r="AA51" s="2158"/>
      <c r="AB51" s="2158">
        <v>24509</v>
      </c>
      <c r="AC51" s="2159">
        <f t="shared" si="13"/>
        <v>24888.89</v>
      </c>
      <c r="AD51" s="2158">
        <v>25268.770000000004</v>
      </c>
      <c r="AE51" s="2158"/>
      <c r="AF51" s="2158">
        <v>27000</v>
      </c>
      <c r="AG51" s="2159">
        <f t="shared" si="14"/>
        <v>27418.5</v>
      </c>
      <c r="AH51" s="2158">
        <v>27837</v>
      </c>
      <c r="AI51" s="2158"/>
      <c r="AJ51" s="2158">
        <v>30666</v>
      </c>
      <c r="AK51" s="2159">
        <f t="shared" si="15"/>
        <v>31141.33</v>
      </c>
      <c r="AL51" s="2158">
        <v>31616.65</v>
      </c>
      <c r="AN51" s="2158">
        <v>22509</v>
      </c>
      <c r="AO51" s="2159">
        <f t="shared" si="16"/>
        <v>22857.89</v>
      </c>
      <c r="AP51" s="2158">
        <f t="shared" si="20"/>
        <v>23206.78</v>
      </c>
      <c r="AR51" s="2158">
        <v>27129.93</v>
      </c>
      <c r="AS51" s="2159">
        <f t="shared" si="17"/>
        <v>27129.93</v>
      </c>
      <c r="AT51" s="2158">
        <f t="shared" si="21"/>
        <v>27129.93</v>
      </c>
      <c r="AU51" s="4"/>
      <c r="AV51" s="2158">
        <v>30176.92</v>
      </c>
      <c r="AW51" s="2159">
        <f t="shared" si="18"/>
        <v>30176.92</v>
      </c>
      <c r="AX51" s="2158">
        <f t="shared" si="22"/>
        <v>30176.92</v>
      </c>
      <c r="AZ51" s="2158">
        <v>30666</v>
      </c>
      <c r="BA51" s="2159">
        <f t="shared" si="19"/>
        <v>31141.33</v>
      </c>
      <c r="BB51" s="2158">
        <f t="shared" si="23"/>
        <v>31616.65</v>
      </c>
      <c r="BD51" s="2158">
        <v>23878.78</v>
      </c>
      <c r="BE51" s="2159">
        <f t="shared" si="1"/>
        <v>23878.78</v>
      </c>
      <c r="BF51" s="2158">
        <f t="shared" si="24"/>
        <v>23878.78</v>
      </c>
      <c r="BH51" s="2158">
        <v>26802.639999999999</v>
      </c>
      <c r="BI51" s="2159">
        <f t="shared" si="2"/>
        <v>26802.639999999999</v>
      </c>
      <c r="BJ51" s="2158">
        <f t="shared" si="25"/>
        <v>26802.639999999999</v>
      </c>
      <c r="BL51" s="2158">
        <v>28878.78</v>
      </c>
      <c r="BM51" s="2159">
        <f t="shared" si="3"/>
        <v>28878.78</v>
      </c>
      <c r="BN51" s="2158">
        <f t="shared" si="26"/>
        <v>28878.78</v>
      </c>
      <c r="BP51" s="2158">
        <v>30666</v>
      </c>
      <c r="BQ51" s="2159">
        <f t="shared" si="4"/>
        <v>31141.33</v>
      </c>
      <c r="BR51" s="2158">
        <f t="shared" si="27"/>
        <v>31616.65</v>
      </c>
    </row>
    <row r="52" spans="1:70">
      <c r="A52" s="2157">
        <v>43</v>
      </c>
      <c r="B52" s="2158">
        <v>25288.3</v>
      </c>
      <c r="C52" s="2159">
        <f t="shared" si="5"/>
        <v>25873.65</v>
      </c>
      <c r="D52" s="2158">
        <v>26459</v>
      </c>
      <c r="E52" s="2140"/>
      <c r="F52" s="2158">
        <v>26921.360000000001</v>
      </c>
      <c r="G52" s="2159">
        <f t="shared" si="6"/>
        <v>27541.68</v>
      </c>
      <c r="H52" s="2158">
        <v>28162</v>
      </c>
      <c r="I52" s="2140"/>
      <c r="J52" s="2158">
        <v>32127.200000000001</v>
      </c>
      <c r="K52" s="2159">
        <f t="shared" si="7"/>
        <v>32625.599999999999</v>
      </c>
      <c r="L52" s="2158">
        <v>33124</v>
      </c>
      <c r="M52" s="2159">
        <f t="shared" si="28"/>
        <v>33289.33</v>
      </c>
      <c r="N52" s="2184">
        <f t="shared" si="29"/>
        <v>34116</v>
      </c>
      <c r="O52" s="2158">
        <v>34116</v>
      </c>
      <c r="P52" s="2140"/>
      <c r="Q52" s="44">
        <v>32474.23</v>
      </c>
      <c r="R52" s="2159">
        <f t="shared" si="9"/>
        <v>32799.120000000003</v>
      </c>
      <c r="S52" s="2158">
        <f t="shared" si="10"/>
        <v>33124</v>
      </c>
      <c r="T52" s="2159">
        <f t="shared" si="30"/>
        <v>33289.33</v>
      </c>
      <c r="U52" s="2184">
        <f t="shared" si="31"/>
        <v>34116</v>
      </c>
      <c r="V52" s="3447"/>
      <c r="W52" s="2128">
        <v>43</v>
      </c>
      <c r="X52" s="2158">
        <v>22509</v>
      </c>
      <c r="Y52" s="2159">
        <f t="shared" si="12"/>
        <v>22857.89</v>
      </c>
      <c r="Z52" s="2158">
        <v>23206.78</v>
      </c>
      <c r="AA52" s="2158"/>
      <c r="AB52" s="2158">
        <v>24509</v>
      </c>
      <c r="AC52" s="2159">
        <f t="shared" si="13"/>
        <v>24888.89</v>
      </c>
      <c r="AD52" s="2158">
        <v>25268.770000000004</v>
      </c>
      <c r="AE52" s="2158"/>
      <c r="AF52" s="2158">
        <v>27000</v>
      </c>
      <c r="AG52" s="2159">
        <f t="shared" si="14"/>
        <v>27418.5</v>
      </c>
      <c r="AH52" s="2158">
        <v>27837</v>
      </c>
      <c r="AI52" s="2158"/>
      <c r="AJ52" s="2158">
        <v>30666</v>
      </c>
      <c r="AK52" s="2159">
        <f t="shared" si="15"/>
        <v>31141.33</v>
      </c>
      <c r="AL52" s="2158">
        <v>31616.65</v>
      </c>
      <c r="AN52" s="2158">
        <v>22509</v>
      </c>
      <c r="AO52" s="2159">
        <f t="shared" si="16"/>
        <v>22857.89</v>
      </c>
      <c r="AP52" s="2158">
        <f t="shared" si="20"/>
        <v>23206.78</v>
      </c>
      <c r="AR52" s="2158">
        <v>27129.93</v>
      </c>
      <c r="AS52" s="2159">
        <f t="shared" si="17"/>
        <v>27129.93</v>
      </c>
      <c r="AT52" s="2158">
        <f t="shared" si="21"/>
        <v>27129.93</v>
      </c>
      <c r="AU52" s="4"/>
      <c r="AV52" s="2158">
        <v>30176.92</v>
      </c>
      <c r="AW52" s="2159">
        <f t="shared" si="18"/>
        <v>30176.92</v>
      </c>
      <c r="AX52" s="2158">
        <f t="shared" si="22"/>
        <v>30176.92</v>
      </c>
      <c r="AZ52" s="2158">
        <v>30666</v>
      </c>
      <c r="BA52" s="2159">
        <f t="shared" si="19"/>
        <v>31141.33</v>
      </c>
      <c r="BB52" s="2158">
        <f t="shared" si="23"/>
        <v>31616.65</v>
      </c>
      <c r="BD52" s="2158">
        <v>23878.78</v>
      </c>
      <c r="BE52" s="2159">
        <f t="shared" si="1"/>
        <v>23878.78</v>
      </c>
      <c r="BF52" s="2158">
        <f t="shared" si="24"/>
        <v>23878.78</v>
      </c>
      <c r="BH52" s="2158">
        <v>26802.639999999999</v>
      </c>
      <c r="BI52" s="2159">
        <f t="shared" si="2"/>
        <v>26802.639999999999</v>
      </c>
      <c r="BJ52" s="2158">
        <f t="shared" si="25"/>
        <v>26802.639999999999</v>
      </c>
      <c r="BL52" s="2158">
        <v>28878.78</v>
      </c>
      <c r="BM52" s="2159">
        <f t="shared" si="3"/>
        <v>28878.78</v>
      </c>
      <c r="BN52" s="2158">
        <f t="shared" si="26"/>
        <v>28878.78</v>
      </c>
      <c r="BP52" s="2158">
        <v>30666</v>
      </c>
      <c r="BQ52" s="2159">
        <f t="shared" si="4"/>
        <v>31141.33</v>
      </c>
      <c r="BR52" s="2158">
        <f t="shared" si="27"/>
        <v>31616.65</v>
      </c>
    </row>
    <row r="53" spans="1:70">
      <c r="A53" s="2157">
        <v>44</v>
      </c>
      <c r="B53" s="2158">
        <v>25289.3</v>
      </c>
      <c r="C53" s="2159">
        <f t="shared" si="5"/>
        <v>25874.15</v>
      </c>
      <c r="D53" s="2158">
        <v>26459</v>
      </c>
      <c r="E53" s="2140"/>
      <c r="F53" s="2158">
        <v>26921.360000000001</v>
      </c>
      <c r="G53" s="2159">
        <f t="shared" si="6"/>
        <v>27542.18</v>
      </c>
      <c r="H53" s="2158">
        <v>28163</v>
      </c>
      <c r="I53" s="2140"/>
      <c r="J53" s="2158">
        <v>32127.200000000001</v>
      </c>
      <c r="K53" s="2159">
        <f t="shared" si="7"/>
        <v>32625.599999999999</v>
      </c>
      <c r="L53" s="2158">
        <v>33124</v>
      </c>
      <c r="M53" s="2159">
        <f t="shared" si="28"/>
        <v>33289.33</v>
      </c>
      <c r="N53" s="2184">
        <f t="shared" si="29"/>
        <v>34116</v>
      </c>
      <c r="O53" s="2158">
        <v>34116</v>
      </c>
      <c r="P53" s="2140"/>
      <c r="Q53" s="44">
        <v>32474.23</v>
      </c>
      <c r="R53" s="2159">
        <f t="shared" si="9"/>
        <v>32799.120000000003</v>
      </c>
      <c r="S53" s="2158">
        <f t="shared" si="10"/>
        <v>33124</v>
      </c>
      <c r="T53" s="2159">
        <f t="shared" si="30"/>
        <v>33289.33</v>
      </c>
      <c r="U53" s="2184">
        <f t="shared" si="31"/>
        <v>34116</v>
      </c>
      <c r="V53" s="3447"/>
      <c r="W53" s="2128">
        <v>44</v>
      </c>
      <c r="X53" s="2158">
        <v>22509</v>
      </c>
      <c r="Y53" s="2159">
        <f t="shared" si="12"/>
        <v>22857.89</v>
      </c>
      <c r="Z53" s="2158">
        <v>23206.78</v>
      </c>
      <c r="AA53" s="2158"/>
      <c r="AB53" s="2158">
        <v>24509</v>
      </c>
      <c r="AC53" s="2159">
        <f t="shared" si="13"/>
        <v>24888.89</v>
      </c>
      <c r="AD53" s="2158">
        <v>25268.770000000004</v>
      </c>
      <c r="AE53" s="2158"/>
      <c r="AF53" s="2158">
        <v>27000</v>
      </c>
      <c r="AG53" s="2159">
        <f t="shared" si="14"/>
        <v>27418.5</v>
      </c>
      <c r="AH53" s="2158">
        <v>27837</v>
      </c>
      <c r="AI53" s="2158"/>
      <c r="AJ53" s="2158">
        <v>30666</v>
      </c>
      <c r="AK53" s="2159">
        <f t="shared" si="15"/>
        <v>31141.33</v>
      </c>
      <c r="AL53" s="2158">
        <v>31616.65</v>
      </c>
      <c r="AN53" s="2158">
        <v>22509</v>
      </c>
      <c r="AO53" s="2159">
        <f t="shared" si="16"/>
        <v>22857.89</v>
      </c>
      <c r="AP53" s="2158">
        <f t="shared" si="20"/>
        <v>23206.78</v>
      </c>
      <c r="AR53" s="2158">
        <v>27129.93</v>
      </c>
      <c r="AS53" s="2159">
        <f t="shared" si="17"/>
        <v>27129.93</v>
      </c>
      <c r="AT53" s="2158">
        <f t="shared" si="21"/>
        <v>27129.93</v>
      </c>
      <c r="AU53" s="4"/>
      <c r="AV53" s="2158">
        <v>30176.92</v>
      </c>
      <c r="AW53" s="2159">
        <f t="shared" si="18"/>
        <v>30176.92</v>
      </c>
      <c r="AX53" s="2158">
        <f t="shared" si="22"/>
        <v>30176.92</v>
      </c>
      <c r="AZ53" s="2158">
        <v>30666</v>
      </c>
      <c r="BA53" s="2159">
        <f t="shared" si="19"/>
        <v>31141.33</v>
      </c>
      <c r="BB53" s="2158">
        <f t="shared" si="23"/>
        <v>31616.65</v>
      </c>
      <c r="BD53" s="2158">
        <v>23878.78</v>
      </c>
      <c r="BE53" s="2159">
        <f t="shared" si="1"/>
        <v>23878.78</v>
      </c>
      <c r="BF53" s="2158">
        <f t="shared" si="24"/>
        <v>23878.78</v>
      </c>
      <c r="BH53" s="2158">
        <v>26802.639999999999</v>
      </c>
      <c r="BI53" s="2159">
        <f t="shared" si="2"/>
        <v>26802.639999999999</v>
      </c>
      <c r="BJ53" s="2158">
        <f t="shared" si="25"/>
        <v>26802.639999999999</v>
      </c>
      <c r="BL53" s="2158">
        <v>28878.78</v>
      </c>
      <c r="BM53" s="2159">
        <f t="shared" si="3"/>
        <v>28878.78</v>
      </c>
      <c r="BN53" s="2158">
        <f t="shared" si="26"/>
        <v>28878.78</v>
      </c>
      <c r="BP53" s="2158">
        <v>30666</v>
      </c>
      <c r="BQ53" s="2159">
        <f t="shared" si="4"/>
        <v>31141.33</v>
      </c>
      <c r="BR53" s="2158">
        <f t="shared" si="27"/>
        <v>31616.65</v>
      </c>
    </row>
    <row r="54" spans="1:70">
      <c r="A54" s="2157">
        <v>45</v>
      </c>
      <c r="B54" s="2158">
        <v>25290.3</v>
      </c>
      <c r="C54" s="2159">
        <f t="shared" si="5"/>
        <v>25874.65</v>
      </c>
      <c r="D54" s="2158">
        <v>26459</v>
      </c>
      <c r="E54" s="2140"/>
      <c r="F54" s="2158">
        <v>26921.360000000001</v>
      </c>
      <c r="G54" s="2159">
        <f t="shared" si="6"/>
        <v>27542.68</v>
      </c>
      <c r="H54" s="2158">
        <v>28164</v>
      </c>
      <c r="I54" s="2140"/>
      <c r="J54" s="2158">
        <v>32127.200000000001</v>
      </c>
      <c r="K54" s="2159">
        <f t="shared" si="7"/>
        <v>32625.599999999999</v>
      </c>
      <c r="L54" s="2158">
        <v>33124</v>
      </c>
      <c r="M54" s="2159">
        <f t="shared" si="28"/>
        <v>33289.33</v>
      </c>
      <c r="N54" s="2184">
        <f t="shared" si="29"/>
        <v>34116</v>
      </c>
      <c r="O54" s="2158">
        <v>34116</v>
      </c>
      <c r="P54" s="2140"/>
      <c r="Q54" s="44">
        <v>32474.23</v>
      </c>
      <c r="R54" s="2159">
        <f t="shared" si="9"/>
        <v>32799.120000000003</v>
      </c>
      <c r="S54" s="2158">
        <f t="shared" si="10"/>
        <v>33124</v>
      </c>
      <c r="T54" s="2159">
        <f t="shared" si="30"/>
        <v>33289.33</v>
      </c>
      <c r="U54" s="2184">
        <f t="shared" si="31"/>
        <v>34116</v>
      </c>
      <c r="V54" s="3447"/>
      <c r="W54" s="2183">
        <v>45</v>
      </c>
      <c r="X54" s="2158">
        <v>22509</v>
      </c>
      <c r="Y54" s="2159">
        <f t="shared" si="12"/>
        <v>22857.89</v>
      </c>
      <c r="Z54" s="2158">
        <v>23206.78</v>
      </c>
      <c r="AA54" s="2158"/>
      <c r="AB54" s="2158">
        <v>24509</v>
      </c>
      <c r="AC54" s="2159">
        <f t="shared" si="13"/>
        <v>24888.89</v>
      </c>
      <c r="AD54" s="2158">
        <v>25268.770000000004</v>
      </c>
      <c r="AE54" s="2158"/>
      <c r="AF54" s="2158">
        <v>27000</v>
      </c>
      <c r="AG54" s="2159">
        <f t="shared" si="14"/>
        <v>27418.5</v>
      </c>
      <c r="AH54" s="2158">
        <v>27837</v>
      </c>
      <c r="AI54" s="2158"/>
      <c r="AJ54" s="2158">
        <v>30666</v>
      </c>
      <c r="AK54" s="2159">
        <f t="shared" si="15"/>
        <v>31141.33</v>
      </c>
      <c r="AL54" s="2158">
        <v>31616.65</v>
      </c>
      <c r="AN54" s="2158">
        <v>22509</v>
      </c>
      <c r="AO54" s="2159">
        <f t="shared" si="16"/>
        <v>22857.89</v>
      </c>
      <c r="AP54" s="2158">
        <f t="shared" si="20"/>
        <v>23206.78</v>
      </c>
      <c r="AR54" s="2158">
        <v>27129.93</v>
      </c>
      <c r="AS54" s="2159">
        <f t="shared" si="17"/>
        <v>27129.93</v>
      </c>
      <c r="AT54" s="2158">
        <f t="shared" si="21"/>
        <v>27129.93</v>
      </c>
      <c r="AU54" s="4"/>
      <c r="AV54" s="2158">
        <v>30176.92</v>
      </c>
      <c r="AW54" s="2159">
        <f t="shared" si="18"/>
        <v>30176.92</v>
      </c>
      <c r="AX54" s="2158">
        <f t="shared" si="22"/>
        <v>30176.92</v>
      </c>
      <c r="AZ54" s="2158">
        <v>30666</v>
      </c>
      <c r="BA54" s="2159">
        <f t="shared" si="19"/>
        <v>31141.33</v>
      </c>
      <c r="BB54" s="2158">
        <f t="shared" si="23"/>
        <v>31616.65</v>
      </c>
      <c r="BD54" s="2158">
        <v>23878.78</v>
      </c>
      <c r="BE54" s="2159">
        <f t="shared" si="1"/>
        <v>23878.78</v>
      </c>
      <c r="BF54" s="2158">
        <f t="shared" si="24"/>
        <v>23878.78</v>
      </c>
      <c r="BH54" s="2158">
        <v>26802.639999999999</v>
      </c>
      <c r="BI54" s="2159">
        <f t="shared" si="2"/>
        <v>26802.639999999999</v>
      </c>
      <c r="BJ54" s="2158">
        <f t="shared" si="25"/>
        <v>26802.639999999999</v>
      </c>
      <c r="BL54" s="2158">
        <v>28878.78</v>
      </c>
      <c r="BM54" s="2159">
        <f t="shared" si="3"/>
        <v>28878.78</v>
      </c>
      <c r="BN54" s="2158">
        <f t="shared" si="26"/>
        <v>28878.78</v>
      </c>
      <c r="BP54" s="2158">
        <v>30666</v>
      </c>
      <c r="BQ54" s="2159">
        <f t="shared" si="4"/>
        <v>31141.33</v>
      </c>
      <c r="BR54" s="2158">
        <f t="shared" si="27"/>
        <v>31616.65</v>
      </c>
    </row>
    <row r="55" spans="1:70">
      <c r="A55" s="2157">
        <v>46</v>
      </c>
      <c r="B55" s="2158">
        <v>25291.3</v>
      </c>
      <c r="C55" s="2159">
        <f t="shared" si="5"/>
        <v>25875.15</v>
      </c>
      <c r="D55" s="2158">
        <v>26459</v>
      </c>
      <c r="E55" s="2140"/>
      <c r="F55" s="2158">
        <v>26921.360000000001</v>
      </c>
      <c r="G55" s="2159">
        <f t="shared" si="6"/>
        <v>27543.18</v>
      </c>
      <c r="H55" s="2158">
        <v>28165</v>
      </c>
      <c r="I55" s="2140"/>
      <c r="J55" s="2158">
        <v>32127.200000000001</v>
      </c>
      <c r="K55" s="2159">
        <f t="shared" si="7"/>
        <v>32625.599999999999</v>
      </c>
      <c r="L55" s="2158">
        <v>33124</v>
      </c>
      <c r="M55" s="2159">
        <f t="shared" si="28"/>
        <v>33289.33</v>
      </c>
      <c r="N55" s="2184">
        <f t="shared" si="29"/>
        <v>34116</v>
      </c>
      <c r="O55" s="2158">
        <v>34116</v>
      </c>
      <c r="P55" s="2140"/>
      <c r="Q55" s="44">
        <v>32474.23</v>
      </c>
      <c r="R55" s="2159">
        <f t="shared" si="9"/>
        <v>32799.120000000003</v>
      </c>
      <c r="S55" s="2158">
        <f t="shared" si="10"/>
        <v>33124</v>
      </c>
      <c r="T55" s="2159">
        <f t="shared" si="30"/>
        <v>33289.33</v>
      </c>
      <c r="U55" s="2184">
        <f t="shared" si="31"/>
        <v>34116</v>
      </c>
      <c r="V55" s="3447"/>
      <c r="W55" s="2128">
        <v>46</v>
      </c>
      <c r="X55" s="2158">
        <v>22509</v>
      </c>
      <c r="Y55" s="2159">
        <f t="shared" si="12"/>
        <v>22857.89</v>
      </c>
      <c r="Z55" s="2158">
        <v>23206.78</v>
      </c>
      <c r="AA55" s="2158"/>
      <c r="AB55" s="2158">
        <v>24509</v>
      </c>
      <c r="AC55" s="2159">
        <f t="shared" si="13"/>
        <v>24888.89</v>
      </c>
      <c r="AD55" s="2158">
        <v>25268.770000000004</v>
      </c>
      <c r="AE55" s="2158"/>
      <c r="AF55" s="2158">
        <v>27000</v>
      </c>
      <c r="AG55" s="2159">
        <f t="shared" si="14"/>
        <v>27418.5</v>
      </c>
      <c r="AH55" s="2158">
        <v>27837</v>
      </c>
      <c r="AI55" s="2158"/>
      <c r="AJ55" s="2158">
        <v>30666</v>
      </c>
      <c r="AK55" s="2159">
        <f t="shared" si="15"/>
        <v>31141.33</v>
      </c>
      <c r="AL55" s="2158">
        <v>31616.65</v>
      </c>
      <c r="AN55" s="2158">
        <v>22509</v>
      </c>
      <c r="AO55" s="2159">
        <f t="shared" si="16"/>
        <v>22857.89</v>
      </c>
      <c r="AP55" s="2158">
        <f t="shared" si="20"/>
        <v>23206.78</v>
      </c>
      <c r="AR55" s="2158">
        <v>27129.93</v>
      </c>
      <c r="AS55" s="2159">
        <f t="shared" si="17"/>
        <v>27129.93</v>
      </c>
      <c r="AT55" s="2158">
        <f t="shared" si="21"/>
        <v>27129.93</v>
      </c>
      <c r="AU55" s="4"/>
      <c r="AV55" s="2158">
        <v>30176.92</v>
      </c>
      <c r="AW55" s="2159">
        <f t="shared" si="18"/>
        <v>30176.92</v>
      </c>
      <c r="AX55" s="2158">
        <f t="shared" si="22"/>
        <v>30176.92</v>
      </c>
      <c r="AZ55" s="2158">
        <v>30666</v>
      </c>
      <c r="BA55" s="2159">
        <f t="shared" si="19"/>
        <v>31141.33</v>
      </c>
      <c r="BB55" s="2158">
        <f t="shared" si="23"/>
        <v>31616.65</v>
      </c>
      <c r="BD55" s="2158">
        <v>23878.78</v>
      </c>
      <c r="BE55" s="2159">
        <f t="shared" si="1"/>
        <v>23878.78</v>
      </c>
      <c r="BF55" s="2158">
        <f t="shared" si="24"/>
        <v>23878.78</v>
      </c>
      <c r="BH55" s="2158">
        <v>26802.639999999999</v>
      </c>
      <c r="BI55" s="2159">
        <f t="shared" si="2"/>
        <v>26802.639999999999</v>
      </c>
      <c r="BJ55" s="2158">
        <f t="shared" si="25"/>
        <v>26802.639999999999</v>
      </c>
      <c r="BL55" s="2158">
        <v>28878.78</v>
      </c>
      <c r="BM55" s="2159">
        <f t="shared" si="3"/>
        <v>28878.78</v>
      </c>
      <c r="BN55" s="2158">
        <f t="shared" si="26"/>
        <v>28878.78</v>
      </c>
      <c r="BP55" s="2158">
        <v>30666</v>
      </c>
      <c r="BQ55" s="2159">
        <f t="shared" si="4"/>
        <v>31141.33</v>
      </c>
      <c r="BR55" s="2158">
        <f t="shared" si="27"/>
        <v>31616.65</v>
      </c>
    </row>
    <row r="56" spans="1:70">
      <c r="A56" s="2157">
        <v>47</v>
      </c>
      <c r="B56" s="2158">
        <v>25292.3</v>
      </c>
      <c r="C56" s="2159">
        <f t="shared" si="5"/>
        <v>25875.65</v>
      </c>
      <c r="D56" s="2158">
        <v>26459</v>
      </c>
      <c r="E56" s="2140"/>
      <c r="F56" s="2158">
        <v>26921.360000000001</v>
      </c>
      <c r="G56" s="2159">
        <f t="shared" si="6"/>
        <v>27543.68</v>
      </c>
      <c r="H56" s="2158">
        <v>28166</v>
      </c>
      <c r="I56" s="2140"/>
      <c r="J56" s="2158">
        <v>32127.200000000001</v>
      </c>
      <c r="K56" s="2159">
        <f t="shared" si="7"/>
        <v>32625.599999999999</v>
      </c>
      <c r="L56" s="2158">
        <v>33124</v>
      </c>
      <c r="M56" s="2159">
        <f t="shared" si="28"/>
        <v>33289.33</v>
      </c>
      <c r="N56" s="2184">
        <f t="shared" si="29"/>
        <v>34116</v>
      </c>
      <c r="O56" s="2158">
        <v>34116</v>
      </c>
      <c r="P56" s="2140"/>
      <c r="Q56" s="44">
        <v>32474.23</v>
      </c>
      <c r="R56" s="2159">
        <f t="shared" si="9"/>
        <v>32799.120000000003</v>
      </c>
      <c r="S56" s="2158">
        <f t="shared" si="10"/>
        <v>33124</v>
      </c>
      <c r="T56" s="2159">
        <f t="shared" si="30"/>
        <v>33289.33</v>
      </c>
      <c r="U56" s="2184">
        <f t="shared" si="31"/>
        <v>34116</v>
      </c>
      <c r="V56" s="3447"/>
      <c r="W56" s="2183">
        <v>47</v>
      </c>
      <c r="X56" s="2158">
        <v>22509</v>
      </c>
      <c r="Y56" s="2159">
        <f t="shared" si="12"/>
        <v>22857.89</v>
      </c>
      <c r="Z56" s="2158">
        <v>23206.78</v>
      </c>
      <c r="AA56" s="2158"/>
      <c r="AB56" s="2158">
        <v>24509</v>
      </c>
      <c r="AC56" s="2159">
        <f t="shared" si="13"/>
        <v>24888.89</v>
      </c>
      <c r="AD56" s="2158">
        <v>25268.770000000004</v>
      </c>
      <c r="AE56" s="2158"/>
      <c r="AF56" s="2158">
        <v>27000</v>
      </c>
      <c r="AG56" s="2159">
        <f t="shared" si="14"/>
        <v>27418.5</v>
      </c>
      <c r="AH56" s="2158">
        <v>27837</v>
      </c>
      <c r="AI56" s="2158"/>
      <c r="AJ56" s="2158">
        <v>30667</v>
      </c>
      <c r="AK56" s="2159">
        <f t="shared" si="15"/>
        <v>31142.33</v>
      </c>
      <c r="AL56" s="2158">
        <v>31617.65</v>
      </c>
      <c r="AN56" s="2158">
        <v>22509</v>
      </c>
      <c r="AO56" s="2159">
        <f t="shared" si="16"/>
        <v>22857.89</v>
      </c>
      <c r="AP56" s="2158">
        <f t="shared" si="20"/>
        <v>23206.78</v>
      </c>
      <c r="AR56" s="2158">
        <v>27129.93</v>
      </c>
      <c r="AS56" s="2159">
        <f t="shared" si="17"/>
        <v>27129.93</v>
      </c>
      <c r="AT56" s="2158">
        <f t="shared" si="21"/>
        <v>27129.93</v>
      </c>
      <c r="AU56" s="4"/>
      <c r="AV56" s="2158">
        <v>30176.92</v>
      </c>
      <c r="AW56" s="2159">
        <f t="shared" si="18"/>
        <v>30176.92</v>
      </c>
      <c r="AX56" s="2158">
        <f t="shared" si="22"/>
        <v>30176.92</v>
      </c>
      <c r="AZ56" s="2158">
        <v>30666</v>
      </c>
      <c r="BA56" s="2159">
        <f t="shared" si="19"/>
        <v>31141.33</v>
      </c>
      <c r="BB56" s="2158">
        <f t="shared" si="23"/>
        <v>31616.65</v>
      </c>
      <c r="BD56" s="2158">
        <v>23878.78</v>
      </c>
      <c r="BE56" s="2159">
        <f t="shared" si="1"/>
        <v>23878.78</v>
      </c>
      <c r="BF56" s="2158">
        <f t="shared" si="24"/>
        <v>23878.78</v>
      </c>
      <c r="BH56" s="2158">
        <v>26802.639999999999</v>
      </c>
      <c r="BI56" s="2159">
        <f t="shared" si="2"/>
        <v>26802.639999999999</v>
      </c>
      <c r="BJ56" s="2158">
        <f t="shared" si="25"/>
        <v>26802.639999999999</v>
      </c>
      <c r="BL56" s="2158">
        <v>28878.78</v>
      </c>
      <c r="BM56" s="2159">
        <f t="shared" si="3"/>
        <v>28878.78</v>
      </c>
      <c r="BN56" s="2158">
        <f t="shared" si="26"/>
        <v>28878.78</v>
      </c>
      <c r="BP56" s="2158">
        <v>30666</v>
      </c>
      <c r="BQ56" s="2159">
        <f t="shared" si="4"/>
        <v>31141.33</v>
      </c>
      <c r="BR56" s="2158">
        <f t="shared" si="27"/>
        <v>31616.65</v>
      </c>
    </row>
    <row r="57" spans="1:70">
      <c r="A57" s="2157">
        <v>48</v>
      </c>
      <c r="B57" s="2158">
        <v>25293.3</v>
      </c>
      <c r="C57" s="2159">
        <f t="shared" si="5"/>
        <v>25876.15</v>
      </c>
      <c r="D57" s="2158">
        <v>26459</v>
      </c>
      <c r="E57" s="2140"/>
      <c r="F57" s="2158">
        <v>26921.360000000001</v>
      </c>
      <c r="G57" s="2159">
        <f t="shared" si="6"/>
        <v>27544.18</v>
      </c>
      <c r="H57" s="2158">
        <v>28167</v>
      </c>
      <c r="I57" s="2140"/>
      <c r="J57" s="2158">
        <v>32127.200000000001</v>
      </c>
      <c r="K57" s="2159">
        <f t="shared" si="7"/>
        <v>32625.599999999999</v>
      </c>
      <c r="L57" s="2158">
        <v>33124</v>
      </c>
      <c r="M57" s="2159">
        <f t="shared" si="28"/>
        <v>33289.33</v>
      </c>
      <c r="N57" s="2184">
        <f t="shared" si="29"/>
        <v>34116</v>
      </c>
      <c r="O57" s="2158">
        <v>34116</v>
      </c>
      <c r="P57" s="2140"/>
      <c r="Q57" s="44">
        <v>32474.23</v>
      </c>
      <c r="R57" s="2159">
        <f t="shared" si="9"/>
        <v>32799.120000000003</v>
      </c>
      <c r="S57" s="2158">
        <f t="shared" si="10"/>
        <v>33124</v>
      </c>
      <c r="T57" s="2159">
        <f t="shared" si="30"/>
        <v>33289.33</v>
      </c>
      <c r="U57" s="2184">
        <f t="shared" si="31"/>
        <v>34116</v>
      </c>
      <c r="V57" s="3447"/>
      <c r="W57" s="2128">
        <v>48</v>
      </c>
      <c r="X57" s="2158">
        <v>22509</v>
      </c>
      <c r="Y57" s="2159">
        <f t="shared" si="12"/>
        <v>22857.89</v>
      </c>
      <c r="Z57" s="2158">
        <v>23206.78</v>
      </c>
      <c r="AA57" s="2158"/>
      <c r="AB57" s="2158">
        <v>24509</v>
      </c>
      <c r="AC57" s="2159">
        <f t="shared" si="13"/>
        <v>24888.89</v>
      </c>
      <c r="AD57" s="2158">
        <v>25268.770000000004</v>
      </c>
      <c r="AE57" s="2158"/>
      <c r="AF57" s="2158">
        <v>27000</v>
      </c>
      <c r="AG57" s="2159">
        <f t="shared" si="14"/>
        <v>27418.5</v>
      </c>
      <c r="AH57" s="2158">
        <v>27837</v>
      </c>
      <c r="AI57" s="2158"/>
      <c r="AJ57" s="2158">
        <v>30668</v>
      </c>
      <c r="AK57" s="2159">
        <f t="shared" si="15"/>
        <v>31143.33</v>
      </c>
      <c r="AL57" s="2158">
        <v>31618.65</v>
      </c>
      <c r="AN57" s="2158">
        <v>22509</v>
      </c>
      <c r="AO57" s="2159">
        <f t="shared" si="16"/>
        <v>22857.89</v>
      </c>
      <c r="AP57" s="2158">
        <f t="shared" si="20"/>
        <v>23206.78</v>
      </c>
      <c r="AR57" s="2158">
        <v>27129.93</v>
      </c>
      <c r="AS57" s="2159">
        <f t="shared" si="17"/>
        <v>27129.93</v>
      </c>
      <c r="AT57" s="2158">
        <f t="shared" si="21"/>
        <v>27129.93</v>
      </c>
      <c r="AU57" s="4"/>
      <c r="AV57" s="2158">
        <v>30176.92</v>
      </c>
      <c r="AW57" s="2159">
        <f t="shared" si="18"/>
        <v>30176.92</v>
      </c>
      <c r="AX57" s="2158">
        <f t="shared" si="22"/>
        <v>30176.92</v>
      </c>
      <c r="AZ57" s="2158">
        <v>30666</v>
      </c>
      <c r="BA57" s="2159">
        <f t="shared" si="19"/>
        <v>31141.33</v>
      </c>
      <c r="BB57" s="2158">
        <f t="shared" si="23"/>
        <v>31616.65</v>
      </c>
      <c r="BD57" s="2158">
        <v>23878.78</v>
      </c>
      <c r="BE57" s="2159">
        <f t="shared" si="1"/>
        <v>23878.78</v>
      </c>
      <c r="BF57" s="2158">
        <f t="shared" si="24"/>
        <v>23878.78</v>
      </c>
      <c r="BH57" s="2158">
        <v>26802.639999999999</v>
      </c>
      <c r="BI57" s="2159">
        <f t="shared" si="2"/>
        <v>26802.639999999999</v>
      </c>
      <c r="BJ57" s="2158">
        <f t="shared" si="25"/>
        <v>26802.639999999999</v>
      </c>
      <c r="BL57" s="2158">
        <v>28878.78</v>
      </c>
      <c r="BM57" s="2159">
        <f t="shared" si="3"/>
        <v>28878.78</v>
      </c>
      <c r="BN57" s="2158">
        <f t="shared" si="26"/>
        <v>28878.78</v>
      </c>
      <c r="BP57" s="2158">
        <v>30666</v>
      </c>
      <c r="BQ57" s="2159">
        <f t="shared" si="4"/>
        <v>31141.33</v>
      </c>
      <c r="BR57" s="2158">
        <f t="shared" si="27"/>
        <v>31616.65</v>
      </c>
    </row>
    <row r="58" spans="1:70">
      <c r="A58" s="2157">
        <v>49</v>
      </c>
      <c r="B58" s="2158">
        <v>25294.3</v>
      </c>
      <c r="C58" s="2159">
        <f t="shared" si="5"/>
        <v>25876.65</v>
      </c>
      <c r="D58" s="2158">
        <v>26459</v>
      </c>
      <c r="E58" s="2140"/>
      <c r="F58" s="2158">
        <v>26921.360000000001</v>
      </c>
      <c r="G58" s="2159">
        <f t="shared" si="6"/>
        <v>27544.68</v>
      </c>
      <c r="H58" s="2158">
        <v>28168</v>
      </c>
      <c r="I58" s="2140"/>
      <c r="J58" s="2158">
        <v>32127.200000000001</v>
      </c>
      <c r="K58" s="2159">
        <f t="shared" si="7"/>
        <v>32625.599999999999</v>
      </c>
      <c r="L58" s="2158">
        <v>33124</v>
      </c>
      <c r="M58" s="2159">
        <f t="shared" si="28"/>
        <v>33289.33</v>
      </c>
      <c r="N58" s="2184">
        <f t="shared" si="29"/>
        <v>34116</v>
      </c>
      <c r="O58" s="2158">
        <v>34116</v>
      </c>
      <c r="P58" s="2140"/>
      <c r="Q58" s="44">
        <v>32474.23</v>
      </c>
      <c r="R58" s="2159">
        <f t="shared" si="9"/>
        <v>32799.120000000003</v>
      </c>
      <c r="S58" s="2158">
        <f t="shared" si="10"/>
        <v>33124</v>
      </c>
      <c r="T58" s="2159">
        <f t="shared" si="30"/>
        <v>33289.33</v>
      </c>
      <c r="U58" s="2184">
        <f t="shared" si="31"/>
        <v>34116</v>
      </c>
      <c r="V58" s="3447"/>
      <c r="W58" s="2128">
        <v>49</v>
      </c>
      <c r="X58" s="2158">
        <v>22509</v>
      </c>
      <c r="Y58" s="2159">
        <f t="shared" si="12"/>
        <v>22857.89</v>
      </c>
      <c r="Z58" s="2158">
        <v>23206.78</v>
      </c>
      <c r="AA58" s="2158"/>
      <c r="AB58" s="2158">
        <v>24509</v>
      </c>
      <c r="AC58" s="2159">
        <f t="shared" si="13"/>
        <v>24888.89</v>
      </c>
      <c r="AD58" s="2158">
        <v>25268.770000000004</v>
      </c>
      <c r="AE58" s="2158"/>
      <c r="AF58" s="2158">
        <v>27000</v>
      </c>
      <c r="AG58" s="2159">
        <f t="shared" si="14"/>
        <v>27418.5</v>
      </c>
      <c r="AH58" s="2158">
        <v>27837</v>
      </c>
      <c r="AI58" s="2158"/>
      <c r="AJ58" s="2158">
        <v>30669</v>
      </c>
      <c r="AK58" s="2159">
        <f t="shared" si="15"/>
        <v>31144.33</v>
      </c>
      <c r="AL58" s="2158">
        <v>31619.65</v>
      </c>
      <c r="AN58" s="2158">
        <v>22509</v>
      </c>
      <c r="AO58" s="2159">
        <f t="shared" si="16"/>
        <v>22857.89</v>
      </c>
      <c r="AP58" s="2158">
        <f t="shared" si="20"/>
        <v>23206.78</v>
      </c>
      <c r="AR58" s="2158">
        <v>27129.93</v>
      </c>
      <c r="AS58" s="2159">
        <f t="shared" si="17"/>
        <v>27129.93</v>
      </c>
      <c r="AT58" s="2158">
        <f t="shared" si="21"/>
        <v>27129.93</v>
      </c>
      <c r="AU58" s="4"/>
      <c r="AV58" s="2158">
        <v>30176.92</v>
      </c>
      <c r="AW58" s="2159">
        <f t="shared" si="18"/>
        <v>30176.92</v>
      </c>
      <c r="AX58" s="2158">
        <f t="shared" si="22"/>
        <v>30176.92</v>
      </c>
      <c r="AZ58" s="2158">
        <v>30666</v>
      </c>
      <c r="BA58" s="2159">
        <f t="shared" si="19"/>
        <v>31141.33</v>
      </c>
      <c r="BB58" s="2158">
        <f t="shared" si="23"/>
        <v>31616.65</v>
      </c>
      <c r="BD58" s="2158">
        <v>23878.78</v>
      </c>
      <c r="BE58" s="2159">
        <f t="shared" si="1"/>
        <v>23878.78</v>
      </c>
      <c r="BF58" s="2158">
        <f t="shared" si="24"/>
        <v>23878.78</v>
      </c>
      <c r="BH58" s="2158">
        <v>26802.639999999999</v>
      </c>
      <c r="BI58" s="2159">
        <f t="shared" si="2"/>
        <v>26802.639999999999</v>
      </c>
      <c r="BJ58" s="2158">
        <f t="shared" si="25"/>
        <v>26802.639999999999</v>
      </c>
      <c r="BL58" s="2158">
        <v>28878.78</v>
      </c>
      <c r="BM58" s="2159">
        <f t="shared" si="3"/>
        <v>28878.78</v>
      </c>
      <c r="BN58" s="2158">
        <f t="shared" si="26"/>
        <v>28878.78</v>
      </c>
      <c r="BP58" s="2158">
        <v>30666</v>
      </c>
      <c r="BQ58" s="2159">
        <f t="shared" si="4"/>
        <v>31141.33</v>
      </c>
      <c r="BR58" s="2158">
        <f t="shared" si="27"/>
        <v>31616.65</v>
      </c>
    </row>
    <row r="59" spans="1:70">
      <c r="A59" s="2157">
        <v>50</v>
      </c>
      <c r="B59" s="2158">
        <v>25295.3</v>
      </c>
      <c r="C59" s="2159">
        <f t="shared" si="5"/>
        <v>25877.15</v>
      </c>
      <c r="D59" s="2158">
        <v>26459</v>
      </c>
      <c r="E59" s="2140"/>
      <c r="F59" s="2158">
        <v>26921.360000000001</v>
      </c>
      <c r="G59" s="2159">
        <f t="shared" si="6"/>
        <v>27545.18</v>
      </c>
      <c r="H59" s="2158">
        <v>28169</v>
      </c>
      <c r="I59" s="2140"/>
      <c r="J59" s="2158">
        <v>32127.200000000001</v>
      </c>
      <c r="K59" s="2159">
        <f t="shared" si="7"/>
        <v>32625.599999999999</v>
      </c>
      <c r="L59" s="2158">
        <v>33124</v>
      </c>
      <c r="M59" s="2159">
        <f t="shared" si="28"/>
        <v>33289.33</v>
      </c>
      <c r="N59" s="2184">
        <f t="shared" si="29"/>
        <v>34116</v>
      </c>
      <c r="O59" s="2158">
        <v>34116</v>
      </c>
      <c r="P59" s="2140"/>
      <c r="Q59" s="44">
        <v>32474.23</v>
      </c>
      <c r="R59" s="2159">
        <f t="shared" si="9"/>
        <v>32799.120000000003</v>
      </c>
      <c r="S59" s="2158">
        <f t="shared" si="10"/>
        <v>33124</v>
      </c>
      <c r="T59" s="2159">
        <f t="shared" si="30"/>
        <v>33289.33</v>
      </c>
      <c r="U59" s="2184">
        <f t="shared" si="31"/>
        <v>34116</v>
      </c>
      <c r="V59" s="3447"/>
      <c r="W59" s="2183">
        <v>50</v>
      </c>
      <c r="X59" s="2158">
        <v>22509</v>
      </c>
      <c r="Y59" s="2159">
        <f t="shared" si="12"/>
        <v>22857.89</v>
      </c>
      <c r="Z59" s="2158">
        <v>23206.78</v>
      </c>
      <c r="AA59" s="2158"/>
      <c r="AB59" s="2158">
        <v>24509</v>
      </c>
      <c r="AC59" s="2159">
        <f t="shared" si="13"/>
        <v>24888.89</v>
      </c>
      <c r="AD59" s="2158">
        <v>25268.770000000004</v>
      </c>
      <c r="AE59" s="2158"/>
      <c r="AF59" s="2158">
        <v>27000</v>
      </c>
      <c r="AG59" s="2159">
        <f t="shared" si="14"/>
        <v>27418.5</v>
      </c>
      <c r="AH59" s="2158">
        <v>27837</v>
      </c>
      <c r="AI59" s="2158"/>
      <c r="AJ59" s="2158">
        <v>30670</v>
      </c>
      <c r="AK59" s="2159">
        <f t="shared" si="15"/>
        <v>31145.33</v>
      </c>
      <c r="AL59" s="2158">
        <v>31620.65</v>
      </c>
      <c r="AN59" s="2158">
        <v>22509</v>
      </c>
      <c r="AO59" s="2159">
        <f t="shared" si="16"/>
        <v>22857.89</v>
      </c>
      <c r="AP59" s="2158">
        <f t="shared" si="20"/>
        <v>23206.78</v>
      </c>
      <c r="AR59" s="2158">
        <v>27129.93</v>
      </c>
      <c r="AS59" s="2159">
        <f t="shared" si="17"/>
        <v>27129.93</v>
      </c>
      <c r="AT59" s="2158">
        <f t="shared" si="21"/>
        <v>27129.93</v>
      </c>
      <c r="AU59" s="4"/>
      <c r="AV59" s="2158">
        <v>30176.92</v>
      </c>
      <c r="AW59" s="2159">
        <f t="shared" si="18"/>
        <v>30176.92</v>
      </c>
      <c r="AX59" s="2158">
        <f t="shared" si="22"/>
        <v>30176.92</v>
      </c>
      <c r="AZ59" s="2158">
        <v>30666</v>
      </c>
      <c r="BA59" s="2159">
        <f t="shared" si="19"/>
        <v>31141.33</v>
      </c>
      <c r="BB59" s="2158">
        <f t="shared" si="23"/>
        <v>31616.65</v>
      </c>
      <c r="BD59" s="2158">
        <v>23878.78</v>
      </c>
      <c r="BE59" s="2159">
        <f t="shared" si="1"/>
        <v>23878.78</v>
      </c>
      <c r="BF59" s="2158">
        <f t="shared" si="24"/>
        <v>23878.78</v>
      </c>
      <c r="BH59" s="2158">
        <v>26802.639999999999</v>
      </c>
      <c r="BI59" s="2159">
        <f t="shared" si="2"/>
        <v>26802.639999999999</v>
      </c>
      <c r="BJ59" s="2158">
        <f t="shared" si="25"/>
        <v>26802.639999999999</v>
      </c>
      <c r="BL59" s="2158">
        <v>28878.78</v>
      </c>
      <c r="BM59" s="2159">
        <f t="shared" si="3"/>
        <v>28878.78</v>
      </c>
      <c r="BN59" s="2158">
        <f t="shared" si="26"/>
        <v>28878.78</v>
      </c>
      <c r="BP59" s="2158">
        <v>30666</v>
      </c>
      <c r="BQ59" s="2159">
        <f t="shared" si="4"/>
        <v>31141.33</v>
      </c>
      <c r="BR59" s="2158">
        <f t="shared" si="27"/>
        <v>31616.65</v>
      </c>
    </row>
    <row r="60" spans="1:70">
      <c r="A60" s="2185"/>
      <c r="C60" s="2142"/>
      <c r="G60" s="2142"/>
      <c r="K60" s="2142"/>
      <c r="M60" s="2142"/>
      <c r="R60" s="2142"/>
      <c r="T60" s="2142"/>
      <c r="W60" s="2185"/>
      <c r="Y60" s="2142"/>
      <c r="Z60" s="15"/>
      <c r="AB60" s="15"/>
      <c r="AC60" s="2142"/>
      <c r="AD60" s="15"/>
      <c r="AG60" s="2142"/>
      <c r="AK60" s="2142"/>
      <c r="AN60" s="2158"/>
      <c r="AO60" s="2159"/>
      <c r="AP60" s="2158"/>
      <c r="AS60" s="2159"/>
      <c r="AU60" s="4"/>
      <c r="AW60" s="2159"/>
      <c r="BA60" s="2159"/>
      <c r="BE60" s="2159"/>
      <c r="BI60" s="2159"/>
      <c r="BM60" s="2159"/>
      <c r="BQ60" s="2159"/>
    </row>
    <row r="61" spans="1:70">
      <c r="A61" s="2185"/>
      <c r="C61" s="2142"/>
      <c r="G61" s="2142"/>
      <c r="K61" s="2142"/>
      <c r="M61" s="2142"/>
      <c r="R61" s="2142"/>
      <c r="T61" s="2142"/>
      <c r="W61" s="2185"/>
      <c r="Y61" s="2142"/>
      <c r="Z61" s="15"/>
      <c r="AB61" s="15"/>
      <c r="AC61" s="2142"/>
      <c r="AD61" s="15"/>
      <c r="AG61" s="2142"/>
      <c r="AK61" s="2142"/>
      <c r="AN61" s="2158"/>
      <c r="AO61" s="2159"/>
      <c r="AP61" s="2158"/>
      <c r="AS61" s="2159"/>
      <c r="AU61" s="4"/>
      <c r="AW61" s="2159"/>
      <c r="BA61" s="2159"/>
      <c r="BE61" s="2159"/>
      <c r="BI61" s="2159"/>
      <c r="BM61" s="2159"/>
      <c r="BQ61" s="2159"/>
    </row>
    <row r="62" spans="1:70" ht="13.5" thickBot="1">
      <c r="A62" s="2185"/>
      <c r="C62" s="2142"/>
      <c r="D62" s="2186"/>
      <c r="E62" s="2186"/>
      <c r="F62" s="2187"/>
      <c r="G62" s="2142"/>
      <c r="H62" s="2186"/>
      <c r="I62" s="2186"/>
      <c r="J62" s="2187"/>
      <c r="K62" s="2142"/>
      <c r="L62" s="2188"/>
      <c r="M62" s="2142"/>
      <c r="N62" s="2189"/>
      <c r="O62" s="2190"/>
      <c r="P62" s="2190"/>
      <c r="Q62" s="2191"/>
      <c r="R62" s="2142"/>
      <c r="S62" s="2188"/>
      <c r="T62" s="2142"/>
      <c r="U62" s="2189"/>
      <c r="V62" s="2190"/>
      <c r="W62" s="2185"/>
      <c r="X62" s="2190"/>
      <c r="Y62" s="2142"/>
      <c r="Z62" s="2186"/>
      <c r="AA62" s="2190"/>
      <c r="AB62" s="2190"/>
      <c r="AC62" s="2142"/>
      <c r="AD62" s="2186"/>
      <c r="AE62" s="2190"/>
      <c r="AF62" s="2190"/>
      <c r="AG62" s="2142"/>
      <c r="AH62" s="2186"/>
      <c r="AI62" s="2190"/>
      <c r="AJ62" s="2190"/>
      <c r="AK62" s="2142"/>
      <c r="AL62" s="2186"/>
      <c r="AM62" s="2190"/>
      <c r="AN62" s="2190"/>
      <c r="AO62" s="2142"/>
      <c r="AP62" s="2186"/>
      <c r="AQ62" s="2190"/>
      <c r="AR62" s="2190"/>
      <c r="AS62" s="2142"/>
      <c r="AT62" s="2186"/>
      <c r="AU62" s="2190"/>
      <c r="AV62" s="2190"/>
      <c r="AW62" s="2142"/>
      <c r="AX62" s="2186"/>
      <c r="AY62" s="2190"/>
      <c r="AZ62" s="2190"/>
      <c r="BA62" s="2142"/>
      <c r="BB62" s="2186"/>
      <c r="BC62" s="2190"/>
      <c r="BD62" s="2190"/>
      <c r="BE62" s="2142"/>
      <c r="BF62" s="2186"/>
      <c r="BG62" s="2190"/>
      <c r="BH62" s="2190"/>
      <c r="BI62" s="2142"/>
      <c r="BJ62" s="2186"/>
      <c r="BK62" s="2190"/>
      <c r="BL62" s="2190"/>
      <c r="BM62" s="2142"/>
      <c r="BN62" s="2186"/>
      <c r="BO62" s="2190"/>
      <c r="BP62" s="2190"/>
      <c r="BQ62" s="2142"/>
      <c r="BR62" s="15"/>
    </row>
    <row r="63" spans="1:70">
      <c r="A63" s="2185"/>
      <c r="C63" s="2192"/>
      <c r="M63" s="15"/>
      <c r="W63" s="2185"/>
      <c r="X63" s="44"/>
      <c r="BQ63" s="2193"/>
    </row>
    <row r="64" spans="1:70">
      <c r="A64" s="2185"/>
      <c r="C64" s="2192"/>
      <c r="G64" s="15" t="s">
        <v>5210</v>
      </c>
      <c r="L64" s="4" t="s">
        <v>5211</v>
      </c>
      <c r="P64" s="4" t="s">
        <v>5212</v>
      </c>
      <c r="W64" s="2185"/>
      <c r="X64" s="44"/>
      <c r="AT64" s="2194" t="s">
        <v>5213</v>
      </c>
      <c r="AU64" s="2194" t="s">
        <v>5214</v>
      </c>
      <c r="AV64" s="2194"/>
      <c r="AW64" s="2194"/>
      <c r="AX64" s="2194"/>
      <c r="AY64" s="2194"/>
      <c r="AZ64" s="2194"/>
      <c r="BA64" s="2194"/>
      <c r="BB64" s="2194"/>
      <c r="BC64" s="2194"/>
      <c r="BD64" s="2194"/>
      <c r="BE64" s="2194" t="str">
        <f>AU64</f>
        <v>B1A B2A2 B3A2 B3A4 of B1C B2C2 B3C2 B4C2 hoger dan BB+3,1 %</v>
      </c>
      <c r="BF64" s="2194"/>
      <c r="BG64" s="2194"/>
      <c r="BH64" s="2194"/>
      <c r="BI64" s="2194"/>
      <c r="BJ64" s="2194"/>
      <c r="BK64" s="2194"/>
      <c r="BL64" s="2194"/>
      <c r="BM64" s="2194"/>
      <c r="BN64" s="2194"/>
      <c r="BO64" s="2194"/>
      <c r="BP64" s="2194"/>
      <c r="BQ64" s="2195"/>
      <c r="BR64" s="2194"/>
    </row>
    <row r="65" spans="1:70" ht="13.5" thickBot="1">
      <c r="A65" s="2185"/>
      <c r="C65" s="2196"/>
      <c r="D65" s="2186"/>
      <c r="E65" s="2186"/>
      <c r="F65" s="2186"/>
      <c r="G65" s="2186"/>
      <c r="H65" s="2186"/>
      <c r="I65" s="2186"/>
      <c r="J65" s="2186"/>
      <c r="K65" s="2186"/>
      <c r="L65" s="2190"/>
      <c r="M65" s="2190"/>
      <c r="N65" s="2190"/>
      <c r="O65" s="2190"/>
      <c r="P65" s="2190"/>
      <c r="Q65" s="2190"/>
      <c r="R65" s="2186"/>
      <c r="S65" s="2190"/>
      <c r="T65" s="2190"/>
      <c r="U65" s="2190"/>
      <c r="V65" s="2190"/>
      <c r="W65" s="2185"/>
      <c r="X65" s="2190"/>
      <c r="Y65" s="2190"/>
      <c r="Z65" s="2190"/>
      <c r="AA65" s="2190"/>
      <c r="AB65" s="2190"/>
      <c r="AC65" s="2190"/>
      <c r="AD65" s="2190"/>
      <c r="AE65" s="2190"/>
      <c r="AF65" s="2190"/>
      <c r="AG65" s="2190"/>
      <c r="AH65" s="2190"/>
      <c r="AI65" s="2190"/>
      <c r="AJ65" s="2190"/>
      <c r="AK65" s="2190"/>
      <c r="AL65" s="2190"/>
      <c r="AM65" s="2190"/>
      <c r="AN65" s="2190"/>
      <c r="AO65" s="2190"/>
      <c r="AP65" s="2190"/>
      <c r="AQ65" s="2190"/>
      <c r="AR65" s="2190"/>
      <c r="AS65" s="2190"/>
      <c r="AT65" s="2190"/>
      <c r="AU65" s="2190"/>
      <c r="AV65" s="2190"/>
      <c r="AW65" s="2190"/>
      <c r="AX65" s="2190"/>
      <c r="AY65" s="2190"/>
      <c r="AZ65" s="2190"/>
      <c r="BA65" s="2190"/>
      <c r="BB65" s="2190"/>
      <c r="BC65" s="2190"/>
      <c r="BD65" s="2190"/>
      <c r="BE65" s="2190"/>
      <c r="BF65" s="2190"/>
      <c r="BG65" s="2190"/>
      <c r="BH65" s="2190"/>
      <c r="BI65" s="2190"/>
      <c r="BJ65" s="2190"/>
      <c r="BK65" s="2190"/>
      <c r="BL65" s="2190"/>
      <c r="BM65" s="2190"/>
      <c r="BN65" s="2190"/>
      <c r="BO65" s="2190"/>
      <c r="BP65" s="2190"/>
      <c r="BQ65" s="2191"/>
    </row>
    <row r="66" spans="1:70">
      <c r="A66" s="2185"/>
      <c r="W66" s="2185"/>
    </row>
    <row r="67" spans="1:70">
      <c r="A67" s="2185"/>
      <c r="U67" s="2197" t="s">
        <v>5215</v>
      </c>
      <c r="W67" s="2185"/>
    </row>
    <row r="68" spans="1:70" ht="18.75" thickBot="1">
      <c r="A68" s="2239" t="str">
        <f>IF(NeutrNego=2018,"Neutralisation Nego!                = 100% Echelles = 2018 !","")</f>
        <v/>
      </c>
      <c r="B68" s="2235">
        <f>IF(NeutrNego="",ANNEE,NeutrNego)</f>
        <v>2027</v>
      </c>
      <c r="F68" s="2198" t="s">
        <v>5229</v>
      </c>
      <c r="G68" s="2198" t="s">
        <v>5230</v>
      </c>
      <c r="H68" s="2198" t="s">
        <v>5231</v>
      </c>
      <c r="I68" s="2198" t="s">
        <v>5232</v>
      </c>
      <c r="J68" s="2198" t="s">
        <v>5233</v>
      </c>
      <c r="K68" s="2198" t="s">
        <v>5234</v>
      </c>
      <c r="L68" s="2198" t="s">
        <v>5235</v>
      </c>
      <c r="M68" s="2198" t="s">
        <v>5236</v>
      </c>
      <c r="N68" s="2198" t="s">
        <v>5237</v>
      </c>
      <c r="O68" s="2198" t="s">
        <v>5238</v>
      </c>
      <c r="P68" s="2198" t="s">
        <v>5239</v>
      </c>
      <c r="Q68" s="2198" t="s">
        <v>5240</v>
      </c>
      <c r="R68" s="2199" t="s">
        <v>5241</v>
      </c>
      <c r="U68" s="2197" t="s">
        <v>5216</v>
      </c>
      <c r="W68" s="2185"/>
    </row>
    <row r="69" spans="1:70">
      <c r="A69" s="2197" t="s">
        <v>5215</v>
      </c>
      <c r="B69" s="15" t="s">
        <v>5217</v>
      </c>
      <c r="C69" s="15" t="str">
        <f>F1</f>
        <v>B5</v>
      </c>
      <c r="D69" s="15" t="str">
        <f>J1</f>
        <v>M4.1</v>
      </c>
      <c r="E69" s="15" t="s">
        <v>2153</v>
      </c>
      <c r="F69" s="15" t="str">
        <f>X1</f>
        <v>BB1</v>
      </c>
      <c r="G69" s="15" t="str">
        <f>AB1</f>
        <v>BB2.2</v>
      </c>
      <c r="H69" s="15" t="str">
        <f>AF1</f>
        <v>BB3.2</v>
      </c>
      <c r="I69" s="15" t="str">
        <f>AJ1</f>
        <v>BB4.2</v>
      </c>
      <c r="J69" s="15" t="str">
        <f>AN1</f>
        <v>B1A</v>
      </c>
      <c r="K69" s="15" t="str">
        <f>AR1</f>
        <v>B2A.2</v>
      </c>
      <c r="L69" s="15" t="str">
        <f>AV1</f>
        <v>B3A.2</v>
      </c>
      <c r="M69" s="15" t="str">
        <f>AZ1</f>
        <v>B4A.2</v>
      </c>
      <c r="N69" s="15" t="str">
        <f>BD1</f>
        <v>B1C</v>
      </c>
      <c r="O69" s="15" t="str">
        <f>BH1</f>
        <v>B2C.2</v>
      </c>
      <c r="P69" s="15" t="str">
        <f>BL1</f>
        <v>B3C.2</v>
      </c>
      <c r="Q69" s="15" t="str">
        <f>BP1</f>
        <v>B4C.2</v>
      </c>
      <c r="R69" s="44"/>
      <c r="S69" s="15"/>
      <c r="U69" s="2200" t="s">
        <v>5218</v>
      </c>
      <c r="X69" s="44"/>
      <c r="Y69" s="15"/>
    </row>
    <row r="70" spans="1:70" ht="18.75" thickBot="1">
      <c r="A70" s="2197" t="s">
        <v>5216</v>
      </c>
      <c r="B70" s="2201">
        <f>HLOOKUP(AnnéeImposé,B2:D3,2)</f>
        <v>4</v>
      </c>
      <c r="C70" s="2201">
        <f>HLOOKUP(AnnéeImposé,F2:H3,2)</f>
        <v>8</v>
      </c>
      <c r="D70" s="2201">
        <f>HLOOKUP(AnnéeImposé,J2:L3,2)</f>
        <v>12</v>
      </c>
      <c r="E70" s="2201">
        <f>HLOOKUP(AnnéeImposé,Q2:S3,2)</f>
        <v>19</v>
      </c>
      <c r="F70" s="2201">
        <f>HLOOKUP(AnnéeImposé,X2:Z3,2)</f>
        <v>26</v>
      </c>
      <c r="G70" s="2201">
        <f>HLOOKUP(AnnéeImposé,AB2:AD3,2)</f>
        <v>30</v>
      </c>
      <c r="H70" s="2201">
        <f>HLOOKUP(AnnéeImposé,AF2:AH3,2)</f>
        <v>34</v>
      </c>
      <c r="I70" s="2201">
        <f>HLOOKUP(AnnéeImposé,AJ2:AL3,2)</f>
        <v>38</v>
      </c>
      <c r="J70" s="2201">
        <f>HLOOKUP(AnnéeImposé,AN2:AP3,2)</f>
        <v>42</v>
      </c>
      <c r="K70" s="2201">
        <f>HLOOKUP(AnnéeImposé,AR2:AT3,2)</f>
        <v>46</v>
      </c>
      <c r="L70" s="2201">
        <f>HLOOKUP(AnnéeImposé,AV2:AX3,2)</f>
        <v>50</v>
      </c>
      <c r="M70" s="2201">
        <f>HLOOKUP(AnnéeImposé,AZ2:BB3,2)</f>
        <v>54</v>
      </c>
      <c r="N70" s="2201">
        <f>HLOOKUP(AnnéeImposé,BD2:BF3,2)</f>
        <v>58</v>
      </c>
      <c r="O70" s="2201">
        <f>HLOOKUP(AnnéeImposé,BH2:BJ3,2)</f>
        <v>62</v>
      </c>
      <c r="P70" s="2201">
        <f>HLOOKUP(AnnéeImposé,BL2:BN3,2)</f>
        <v>66</v>
      </c>
      <c r="Q70" s="2201">
        <f>HLOOKUP(AnnéeImposé,BP2:BR3,2)</f>
        <v>70</v>
      </c>
      <c r="R70" s="44"/>
      <c r="S70" s="15"/>
      <c r="U70" s="2202" t="s">
        <v>5219</v>
      </c>
      <c r="X70" s="44"/>
      <c r="Y70" s="15"/>
    </row>
    <row r="71" spans="1:70">
      <c r="A71" s="2200" t="s">
        <v>5218</v>
      </c>
      <c r="B71" s="1526"/>
      <c r="C71" s="1526"/>
      <c r="D71" s="1526">
        <f>HLOOKUP(ANNEE,J2:N3,2)</f>
        <v>14</v>
      </c>
      <c r="E71" s="2203">
        <f>HLOOKUP(ANNEE,Q2:U3,2)</f>
        <v>21</v>
      </c>
      <c r="L71" s="15"/>
      <c r="R71" s="44"/>
      <c r="S71" s="15"/>
      <c r="X71" s="44"/>
      <c r="Y71" s="15"/>
    </row>
    <row r="72" spans="1:70">
      <c r="A72" s="2202" t="s">
        <v>5219</v>
      </c>
      <c r="C72" s="15">
        <v>2022</v>
      </c>
      <c r="D72" s="3004">
        <v>33289.33</v>
      </c>
      <c r="E72" s="3448"/>
      <c r="L72" s="15"/>
      <c r="R72" s="44"/>
      <c r="S72" s="15"/>
      <c r="X72" s="44"/>
      <c r="Y72" s="15"/>
    </row>
    <row r="73" spans="1:70" ht="13.5" thickBot="1">
      <c r="A73" s="2204"/>
      <c r="B73" s="1538"/>
      <c r="C73" s="1538">
        <v>2023</v>
      </c>
      <c r="D73" s="3449">
        <v>34116</v>
      </c>
      <c r="E73" s="3450"/>
      <c r="W73" s="2204"/>
    </row>
    <row r="74" spans="1:70">
      <c r="A74" s="2185">
        <v>1</v>
      </c>
      <c r="B74" s="15">
        <v>2</v>
      </c>
      <c r="C74" s="2185">
        <v>3</v>
      </c>
      <c r="D74" s="15">
        <v>4</v>
      </c>
      <c r="E74" s="2185">
        <v>5</v>
      </c>
      <c r="F74" s="15">
        <v>6</v>
      </c>
      <c r="G74" s="2185">
        <v>7</v>
      </c>
      <c r="H74" s="15">
        <v>8</v>
      </c>
      <c r="I74" s="2185">
        <v>9</v>
      </c>
      <c r="J74" s="15">
        <v>10</v>
      </c>
      <c r="K74" s="2185">
        <v>11</v>
      </c>
      <c r="L74" s="15">
        <v>12</v>
      </c>
      <c r="M74" s="2185">
        <v>13</v>
      </c>
      <c r="N74" s="15">
        <v>14</v>
      </c>
      <c r="O74" s="2185">
        <v>15</v>
      </c>
      <c r="P74" s="15">
        <v>16</v>
      </c>
      <c r="Q74" s="2185">
        <v>17</v>
      </c>
      <c r="R74" s="15">
        <v>18</v>
      </c>
      <c r="S74" s="2185">
        <v>19</v>
      </c>
      <c r="T74" s="15">
        <v>20</v>
      </c>
      <c r="U74" s="2185">
        <v>21</v>
      </c>
      <c r="V74" s="15">
        <v>22</v>
      </c>
      <c r="W74" s="2185">
        <v>23</v>
      </c>
      <c r="X74" s="15">
        <v>24</v>
      </c>
      <c r="Y74" s="2185">
        <v>25</v>
      </c>
      <c r="Z74" s="15">
        <v>26</v>
      </c>
      <c r="AA74" s="2185">
        <v>27</v>
      </c>
      <c r="AB74" s="15">
        <v>28</v>
      </c>
      <c r="AC74" s="2185">
        <v>29</v>
      </c>
      <c r="AD74" s="15">
        <v>30</v>
      </c>
      <c r="AE74" s="2185">
        <v>31</v>
      </c>
      <c r="AF74" s="15">
        <v>32</v>
      </c>
      <c r="AG74" s="2185">
        <v>33</v>
      </c>
      <c r="AH74" s="15">
        <v>34</v>
      </c>
      <c r="AI74" s="2185">
        <v>35</v>
      </c>
      <c r="AJ74" s="15">
        <v>36</v>
      </c>
      <c r="AK74" s="2185">
        <v>37</v>
      </c>
      <c r="AL74" s="15">
        <v>38</v>
      </c>
      <c r="AM74" s="2185">
        <v>39</v>
      </c>
      <c r="AN74" s="15">
        <v>36</v>
      </c>
      <c r="AO74" s="2185">
        <v>41</v>
      </c>
      <c r="AP74" s="15">
        <v>42</v>
      </c>
      <c r="AQ74" s="2185">
        <v>43</v>
      </c>
      <c r="AR74" s="15">
        <v>36</v>
      </c>
      <c r="AS74" s="2185">
        <v>45</v>
      </c>
      <c r="AT74" s="15">
        <v>46</v>
      </c>
      <c r="AU74" s="2185">
        <v>47</v>
      </c>
      <c r="AV74" s="15">
        <v>36</v>
      </c>
      <c r="AW74" s="2185">
        <v>49</v>
      </c>
      <c r="AX74" s="15">
        <v>50</v>
      </c>
      <c r="AY74" s="2185">
        <v>51</v>
      </c>
      <c r="AZ74" s="15">
        <v>36</v>
      </c>
      <c r="BA74" s="2185">
        <v>53</v>
      </c>
      <c r="BB74" s="15">
        <v>54</v>
      </c>
      <c r="BC74" s="2185">
        <v>55</v>
      </c>
      <c r="BD74" s="15">
        <v>36</v>
      </c>
      <c r="BE74" s="2185">
        <v>57</v>
      </c>
      <c r="BF74" s="15">
        <v>58</v>
      </c>
      <c r="BG74" s="2185">
        <v>59</v>
      </c>
      <c r="BH74" s="15">
        <v>36</v>
      </c>
      <c r="BI74" s="2185">
        <v>61</v>
      </c>
      <c r="BJ74" s="15">
        <v>62</v>
      </c>
      <c r="BK74" s="2185">
        <v>63</v>
      </c>
      <c r="BL74" s="15">
        <v>36</v>
      </c>
      <c r="BM74" s="2185">
        <v>65</v>
      </c>
      <c r="BN74" s="15">
        <v>66</v>
      </c>
      <c r="BO74" s="2185">
        <v>67</v>
      </c>
      <c r="BP74" s="15">
        <v>36</v>
      </c>
      <c r="BQ74" s="2185">
        <v>69</v>
      </c>
      <c r="BR74" s="15">
        <v>70</v>
      </c>
    </row>
    <row r="75" spans="1:70">
      <c r="A75" s="2185"/>
      <c r="W75" s="2185"/>
    </row>
    <row r="76" spans="1:70">
      <c r="A76" s="2185"/>
      <c r="W76" s="2185"/>
    </row>
    <row r="77" spans="1:70">
      <c r="A77" s="2185"/>
      <c r="D77" s="15" t="s">
        <v>5220</v>
      </c>
      <c r="W77" s="2185"/>
    </row>
    <row r="78" spans="1:70">
      <c r="A78" s="2185"/>
      <c r="W78" s="2185"/>
    </row>
    <row r="79" spans="1:70">
      <c r="A79" s="2185"/>
      <c r="W79" s="2185"/>
    </row>
    <row r="80" spans="1:70">
      <c r="A80" s="2185"/>
      <c r="W80" s="2185"/>
    </row>
    <row r="81" spans="1:23">
      <c r="A81" s="2185"/>
      <c r="W81" s="2185"/>
    </row>
    <row r="82" spans="1:23">
      <c r="A82" s="2185"/>
      <c r="W82" s="2185"/>
    </row>
    <row r="83" spans="1:23">
      <c r="A83" s="2185"/>
      <c r="W83" s="2185"/>
    </row>
    <row r="84" spans="1:23">
      <c r="A84" s="2185"/>
      <c r="W84" s="2185"/>
    </row>
    <row r="85" spans="1:23">
      <c r="A85" s="2185"/>
      <c r="W85" s="2185"/>
    </row>
    <row r="86" spans="1:23">
      <c r="A86" s="2185"/>
      <c r="W86" s="2185"/>
    </row>
    <row r="87" spans="1:23">
      <c r="A87" s="2185"/>
      <c r="W87" s="2185"/>
    </row>
    <row r="88" spans="1:23">
      <c r="A88" s="2185"/>
      <c r="W88" s="2185"/>
    </row>
    <row r="89" spans="1:23">
      <c r="A89" s="2185"/>
      <c r="W89" s="2185"/>
    </row>
    <row r="90" spans="1:23">
      <c r="A90" s="2185"/>
      <c r="W90" s="2185"/>
    </row>
  </sheetData>
  <sheetProtection password="F972" sheet="1"/>
  <mergeCells count="16">
    <mergeCell ref="V9:V35"/>
    <mergeCell ref="V43:V59"/>
    <mergeCell ref="D72:E72"/>
    <mergeCell ref="D73:E73"/>
    <mergeCell ref="AV5:AX5"/>
    <mergeCell ref="BD5:BF5"/>
    <mergeCell ref="BH5:BJ5"/>
    <mergeCell ref="BL5:BN5"/>
    <mergeCell ref="BP5:BR5"/>
    <mergeCell ref="X5:Z5"/>
    <mergeCell ref="AB5:AD5"/>
    <mergeCell ref="AF5:AH5"/>
    <mergeCell ref="AJ5:AL5"/>
    <mergeCell ref="AN5:AP5"/>
    <mergeCell ref="AR5:AT5"/>
    <mergeCell ref="AZ5:BB5"/>
  </mergeCells>
  <pageMargins left="0.7" right="0.7" top="0.75" bottom="0.75" header="0.3" footer="0.3"/>
  <pageSetup paperSize="9" orientation="portrait"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BarR"/>
  <dimension ref="A1:CB90"/>
  <sheetViews>
    <sheetView workbookViewId="0">
      <selection activeCell="BZ2" sqref="BZ2"/>
    </sheetView>
  </sheetViews>
  <sheetFormatPr defaultColWidth="11.42578125" defaultRowHeight="11.25"/>
  <cols>
    <col min="1" max="1" width="14.140625" style="968" bestFit="1" customWidth="1"/>
    <col min="2" max="2" width="8" style="968" bestFit="1" customWidth="1"/>
    <col min="3" max="3" width="7.7109375" style="968" bestFit="1" customWidth="1"/>
    <col min="4" max="5" width="7.42578125" style="968" bestFit="1" customWidth="1"/>
    <col min="6" max="7" width="1.85546875" style="968" bestFit="1" customWidth="1"/>
    <col min="8" max="8" width="8.28515625" style="968" bestFit="1" customWidth="1"/>
    <col min="9" max="9" width="8.85546875" style="968" bestFit="1" customWidth="1"/>
    <col min="10" max="10" width="8.28515625" style="968" bestFit="1" customWidth="1"/>
    <col min="11" max="11" width="7.85546875" style="968" bestFit="1" customWidth="1"/>
    <col min="12" max="13" width="7.7109375" style="968" bestFit="1" customWidth="1"/>
    <col min="14" max="15" width="8.85546875" style="968" bestFit="1" customWidth="1"/>
    <col min="16" max="16" width="9.5703125" style="968" bestFit="1" customWidth="1"/>
    <col min="17" max="17" width="8.85546875" style="968" bestFit="1" customWidth="1"/>
    <col min="18" max="18" width="10.140625" style="968" bestFit="1" customWidth="1"/>
    <col min="19" max="21" width="8.85546875" style="968" bestFit="1" customWidth="1"/>
    <col min="22" max="22" width="10.5703125" style="968" bestFit="1" customWidth="1"/>
    <col min="23" max="29" width="8.85546875" style="968" bestFit="1" customWidth="1"/>
    <col min="30" max="30" width="9.42578125" style="968" bestFit="1" customWidth="1"/>
    <col min="31" max="70" width="11.42578125" style="968" customWidth="1"/>
    <col min="71" max="72" width="8.5703125" style="29" bestFit="1" customWidth="1"/>
    <col min="73" max="73" width="8.5703125" style="968" bestFit="1" customWidth="1"/>
    <col min="74" max="74" width="7.42578125" style="968" bestFit="1" customWidth="1"/>
    <col min="75" max="75" width="7.28515625" style="968" bestFit="1" customWidth="1"/>
    <col min="76" max="76" width="7.42578125" style="968" bestFit="1" customWidth="1"/>
    <col min="77" max="77" width="7.28515625" style="29" bestFit="1" customWidth="1"/>
    <col min="78" max="78" width="7.5703125" style="29" bestFit="1" customWidth="1"/>
    <col min="79" max="79" width="11.42578125" style="2209" customWidth="1"/>
    <col min="80" max="16384" width="11.42578125" style="968"/>
  </cols>
  <sheetData>
    <row r="1" spans="1:79" ht="15">
      <c r="A1" s="1032" t="s">
        <v>1189</v>
      </c>
      <c r="B1" s="1033" t="s">
        <v>2355</v>
      </c>
      <c r="C1" s="1033" t="s">
        <v>2356</v>
      </c>
      <c r="D1" s="1033" t="s">
        <v>2357</v>
      </c>
      <c r="E1" s="1033" t="s">
        <v>2358</v>
      </c>
      <c r="H1" s="1034" t="s">
        <v>1127</v>
      </c>
      <c r="I1" s="1034" t="s">
        <v>1128</v>
      </c>
      <c r="J1" s="1034" t="s">
        <v>1129</v>
      </c>
      <c r="K1" s="1034" t="s">
        <v>1130</v>
      </c>
      <c r="L1" s="1034" t="s">
        <v>1131</v>
      </c>
      <c r="M1" s="1034" t="s">
        <v>1132</v>
      </c>
      <c r="N1" s="1034" t="s">
        <v>4139</v>
      </c>
      <c r="O1" s="1034" t="s">
        <v>1133</v>
      </c>
      <c r="P1" s="1034" t="s">
        <v>1134</v>
      </c>
      <c r="Q1" s="1034" t="s">
        <v>1135</v>
      </c>
      <c r="R1" s="1034" t="s">
        <v>1136</v>
      </c>
      <c r="S1" s="1034" t="s">
        <v>1030</v>
      </c>
      <c r="T1" s="1034" t="s">
        <v>4133</v>
      </c>
      <c r="U1" s="1034" t="s">
        <v>4134</v>
      </c>
      <c r="V1" s="1034" t="s">
        <v>4135</v>
      </c>
      <c r="W1" s="1034" t="s">
        <v>4136</v>
      </c>
      <c r="X1" s="1034" t="s">
        <v>4137</v>
      </c>
      <c r="Y1" s="1034" t="s">
        <v>4138</v>
      </c>
      <c r="Z1" s="1034" t="s">
        <v>4439</v>
      </c>
      <c r="AA1" s="1034" t="s">
        <v>4440</v>
      </c>
      <c r="AB1" s="1034" t="s">
        <v>3344</v>
      </c>
      <c r="AC1" s="1034" t="s">
        <v>4601</v>
      </c>
      <c r="AD1" s="1034" t="s">
        <v>4602</v>
      </c>
      <c r="AE1" s="1034" t="s">
        <v>1266</v>
      </c>
      <c r="AF1" s="1034" t="s">
        <v>1267</v>
      </c>
      <c r="AG1" s="1034" t="s">
        <v>1268</v>
      </c>
      <c r="AH1" s="1034" t="s">
        <v>1269</v>
      </c>
      <c r="AI1" s="1034" t="s">
        <v>1270</v>
      </c>
      <c r="AJ1" s="1034" t="s">
        <v>1271</v>
      </c>
      <c r="AK1" s="1034" t="s">
        <v>2989</v>
      </c>
      <c r="AL1" s="1034" t="s">
        <v>2990</v>
      </c>
      <c r="AM1" s="1034" t="s">
        <v>2991</v>
      </c>
      <c r="AN1" s="1034" t="s">
        <v>2992</v>
      </c>
      <c r="AO1" s="1034" t="s">
        <v>1944</v>
      </c>
      <c r="AP1" s="1034" t="s">
        <v>1945</v>
      </c>
      <c r="AQ1" s="1034" t="s">
        <v>1946</v>
      </c>
      <c r="AR1" s="1034" t="s">
        <v>1947</v>
      </c>
      <c r="AS1" s="1034" t="s">
        <v>1948</v>
      </c>
      <c r="AT1" s="1034" t="s">
        <v>1949</v>
      </c>
      <c r="AU1" s="1034" t="s">
        <v>1935</v>
      </c>
      <c r="AV1" s="1034" t="s">
        <v>1936</v>
      </c>
      <c r="AW1" s="1034" t="s">
        <v>1937</v>
      </c>
      <c r="AX1" s="1982" t="s">
        <v>2355</v>
      </c>
      <c r="AY1" s="1986" t="s">
        <v>4606</v>
      </c>
      <c r="AZ1" s="1985" t="s">
        <v>4607</v>
      </c>
      <c r="BA1" s="1985" t="s">
        <v>4608</v>
      </c>
      <c r="BB1" s="1985" t="s">
        <v>4609</v>
      </c>
      <c r="BC1" s="1985" t="s">
        <v>4610</v>
      </c>
      <c r="BD1" s="1985" t="s">
        <v>4611</v>
      </c>
      <c r="BE1" s="1985" t="s">
        <v>4612</v>
      </c>
      <c r="BF1" s="1985" t="s">
        <v>4613</v>
      </c>
      <c r="BG1" s="1985" t="s">
        <v>4614</v>
      </c>
      <c r="BH1" s="1985" t="s">
        <v>4615</v>
      </c>
      <c r="BI1" s="1985" t="s">
        <v>4616</v>
      </c>
      <c r="BJ1" s="1985" t="s">
        <v>4617</v>
      </c>
      <c r="BK1" s="1985" t="s">
        <v>4618</v>
      </c>
      <c r="BL1" s="1985" t="s">
        <v>4619</v>
      </c>
      <c r="BM1" s="1985" t="s">
        <v>4620</v>
      </c>
      <c r="BN1" s="1985" t="s">
        <v>4621</v>
      </c>
      <c r="BO1" s="1985" t="s">
        <v>4622</v>
      </c>
      <c r="BP1" s="1985" t="s">
        <v>4623</v>
      </c>
      <c r="BQ1" s="1990" t="s">
        <v>4624</v>
      </c>
      <c r="BR1" s="1990" t="s">
        <v>4625</v>
      </c>
      <c r="BS1" s="2044" t="s">
        <v>5046</v>
      </c>
      <c r="BT1" s="2083" t="s">
        <v>5124</v>
      </c>
      <c r="BU1" s="2085" t="s">
        <v>5126</v>
      </c>
      <c r="BV1" s="1034" t="s">
        <v>656</v>
      </c>
      <c r="BW1" s="1990" t="s">
        <v>5149</v>
      </c>
      <c r="BX1" s="1034" t="s">
        <v>655</v>
      </c>
      <c r="BY1" s="1990" t="s">
        <v>5145</v>
      </c>
      <c r="BZ1" s="1990" t="s">
        <v>5146</v>
      </c>
      <c r="CA1" s="2832" t="s">
        <v>5320</v>
      </c>
    </row>
    <row r="2" spans="1:79" ht="15">
      <c r="A2" s="1032" t="s">
        <v>2034</v>
      </c>
      <c r="B2" s="1033" t="s">
        <v>4603</v>
      </c>
      <c r="C2" s="1033" t="s">
        <v>4604</v>
      </c>
      <c r="D2" s="1033" t="s">
        <v>4605</v>
      </c>
      <c r="E2" s="1033" t="s">
        <v>547</v>
      </c>
      <c r="H2" s="1034" t="s">
        <v>2859</v>
      </c>
      <c r="I2" s="1034" t="s">
        <v>2860</v>
      </c>
      <c r="J2" s="1034" t="s">
        <v>2861</v>
      </c>
      <c r="K2" s="1034" t="s">
        <v>2862</v>
      </c>
      <c r="L2" s="1034" t="s">
        <v>2863</v>
      </c>
      <c r="M2" s="1034" t="s">
        <v>2864</v>
      </c>
      <c r="N2" s="1034" t="s">
        <v>2865</v>
      </c>
      <c r="O2" s="1034" t="s">
        <v>2866</v>
      </c>
      <c r="P2" s="1034" t="s">
        <v>2867</v>
      </c>
      <c r="Q2" s="1034" t="s">
        <v>2868</v>
      </c>
      <c r="R2" s="1034" t="s">
        <v>2869</v>
      </c>
      <c r="S2" s="1034" t="s">
        <v>3076</v>
      </c>
      <c r="T2" s="1034" t="s">
        <v>3077</v>
      </c>
      <c r="U2" s="1034" t="s">
        <v>3137</v>
      </c>
      <c r="V2" s="1034" t="s">
        <v>3078</v>
      </c>
      <c r="W2" s="1034" t="s">
        <v>3079</v>
      </c>
      <c r="X2" s="1034" t="s">
        <v>3080</v>
      </c>
      <c r="Y2" s="1034" t="s">
        <v>3081</v>
      </c>
      <c r="Z2" s="1034" t="s">
        <v>3082</v>
      </c>
      <c r="AA2" s="1034" t="s">
        <v>3136</v>
      </c>
      <c r="AB2" s="1034" t="s">
        <v>827</v>
      </c>
      <c r="AC2" s="1034" t="s">
        <v>828</v>
      </c>
      <c r="AD2" s="1034" t="s">
        <v>829</v>
      </c>
      <c r="AE2" s="1034" t="s">
        <v>729</v>
      </c>
      <c r="AF2" s="1034" t="s">
        <v>730</v>
      </c>
      <c r="AG2" s="1034" t="s">
        <v>1243</v>
      </c>
      <c r="AH2" s="1034" t="s">
        <v>1244</v>
      </c>
      <c r="AI2" s="1034" t="s">
        <v>1245</v>
      </c>
      <c r="AJ2" s="1034" t="s">
        <v>1246</v>
      </c>
      <c r="AK2" s="1034" t="s">
        <v>2860</v>
      </c>
      <c r="AL2" s="1034" t="s">
        <v>1938</v>
      </c>
      <c r="AM2" s="1034" t="s">
        <v>570</v>
      </c>
      <c r="AN2" s="1034" t="s">
        <v>571</v>
      </c>
      <c r="AO2" s="1034" t="s">
        <v>572</v>
      </c>
      <c r="AP2" s="1034" t="s">
        <v>573</v>
      </c>
      <c r="AQ2" s="1034" t="s">
        <v>574</v>
      </c>
      <c r="AR2" s="1034" t="s">
        <v>575</v>
      </c>
      <c r="AS2" s="1034" t="s">
        <v>576</v>
      </c>
      <c r="AT2" s="1034" t="s">
        <v>577</v>
      </c>
      <c r="AU2" s="1034" t="s">
        <v>578</v>
      </c>
      <c r="AV2" s="1034" t="s">
        <v>579</v>
      </c>
      <c r="AW2" s="1034" t="s">
        <v>580</v>
      </c>
      <c r="AX2" s="1982" t="s">
        <v>4603</v>
      </c>
      <c r="AY2" s="1986" t="s">
        <v>846</v>
      </c>
      <c r="AZ2"/>
      <c r="BA2"/>
      <c r="BB2"/>
      <c r="BC2"/>
      <c r="BD2"/>
      <c r="BE2"/>
      <c r="BF2"/>
      <c r="BG2"/>
      <c r="BH2"/>
      <c r="BI2"/>
      <c r="BJ2"/>
      <c r="BK2"/>
      <c r="BL2"/>
      <c r="BM2"/>
      <c r="BN2"/>
      <c r="BO2"/>
      <c r="BP2"/>
      <c r="BQ2"/>
      <c r="BR2"/>
      <c r="BS2" s="2044" t="s">
        <v>5047</v>
      </c>
      <c r="BT2" s="2083" t="s">
        <v>5125</v>
      </c>
      <c r="BU2" s="2085" t="s">
        <v>5127</v>
      </c>
      <c r="BV2" s="1034" t="s">
        <v>2233</v>
      </c>
      <c r="BW2" s="29" t="s">
        <v>5150</v>
      </c>
      <c r="BX2" s="1034" t="s">
        <v>2234</v>
      </c>
      <c r="BY2" s="29" t="s">
        <v>5148</v>
      </c>
      <c r="BZ2" s="29" t="s">
        <v>5147</v>
      </c>
      <c r="CA2" s="2206" t="s">
        <v>4275</v>
      </c>
    </row>
    <row r="3" spans="1:79" ht="15">
      <c r="A3" s="1032" t="s">
        <v>581</v>
      </c>
      <c r="B3" s="1033" t="s">
        <v>2490</v>
      </c>
      <c r="C3" s="1033" t="s">
        <v>2490</v>
      </c>
      <c r="D3" s="1033" t="s">
        <v>2490</v>
      </c>
      <c r="E3" s="1033" t="s">
        <v>2490</v>
      </c>
      <c r="H3" s="1034" t="s">
        <v>2490</v>
      </c>
      <c r="I3" s="1034" t="s">
        <v>2490</v>
      </c>
      <c r="J3" s="1034" t="s">
        <v>2490</v>
      </c>
      <c r="K3" s="1034" t="s">
        <v>2490</v>
      </c>
      <c r="L3" s="1034" t="s">
        <v>2490</v>
      </c>
      <c r="M3" s="1034" t="s">
        <v>2490</v>
      </c>
      <c r="N3" s="1034" t="s">
        <v>2490</v>
      </c>
      <c r="O3" s="1034" t="s">
        <v>2490</v>
      </c>
      <c r="P3" s="1034" t="s">
        <v>2490</v>
      </c>
      <c r="Q3" s="1034" t="s">
        <v>2490</v>
      </c>
      <c r="R3" s="1034" t="s">
        <v>2490</v>
      </c>
      <c r="S3" s="1034" t="s">
        <v>2490</v>
      </c>
      <c r="T3" s="1034" t="s">
        <v>2490</v>
      </c>
      <c r="U3" s="1034" t="s">
        <v>2490</v>
      </c>
      <c r="V3" s="1034" t="s">
        <v>2490</v>
      </c>
      <c r="W3" s="1034" t="s">
        <v>2490</v>
      </c>
      <c r="X3" s="1034" t="s">
        <v>2490</v>
      </c>
      <c r="Y3" s="1034" t="s">
        <v>2490</v>
      </c>
      <c r="Z3" s="1034" t="s">
        <v>2490</v>
      </c>
      <c r="AA3" s="1034" t="s">
        <v>2490</v>
      </c>
      <c r="AB3" s="1034" t="s">
        <v>2490</v>
      </c>
      <c r="AC3" s="1034" t="s">
        <v>2490</v>
      </c>
      <c r="AD3" s="1034" t="s">
        <v>2490</v>
      </c>
      <c r="AE3" s="1034" t="s">
        <v>2490</v>
      </c>
      <c r="AF3" s="1034" t="s">
        <v>2490</v>
      </c>
      <c r="AG3" s="1034" t="s">
        <v>2490</v>
      </c>
      <c r="AH3" s="1034" t="s">
        <v>2490</v>
      </c>
      <c r="AI3" s="1034" t="s">
        <v>2490</v>
      </c>
      <c r="AJ3" s="1034" t="s">
        <v>2490</v>
      </c>
      <c r="AK3" s="1034" t="s">
        <v>2490</v>
      </c>
      <c r="AL3" s="1034" t="s">
        <v>2490</v>
      </c>
      <c r="AM3" s="1034" t="s">
        <v>2490</v>
      </c>
      <c r="AN3" s="1034" t="s">
        <v>2490</v>
      </c>
      <c r="AO3" s="1034" t="s">
        <v>2490</v>
      </c>
      <c r="AP3" s="1034" t="s">
        <v>2490</v>
      </c>
      <c r="AQ3" s="1034" t="s">
        <v>2490</v>
      </c>
      <c r="AR3" s="1034" t="s">
        <v>2490</v>
      </c>
      <c r="AS3" s="1034" t="s">
        <v>2490</v>
      </c>
      <c r="AT3" s="1034" t="s">
        <v>2490</v>
      </c>
      <c r="AU3" s="1034" t="s">
        <v>2490</v>
      </c>
      <c r="AV3" s="1034" t="s">
        <v>2490</v>
      </c>
      <c r="AW3" s="1034" t="s">
        <v>2490</v>
      </c>
      <c r="AX3" s="1982" t="s">
        <v>2490</v>
      </c>
      <c r="AY3" s="1986" t="s">
        <v>2490</v>
      </c>
      <c r="AZ3"/>
      <c r="BA3"/>
      <c r="BB3"/>
      <c r="BC3"/>
      <c r="BD3"/>
      <c r="BE3"/>
      <c r="BF3"/>
      <c r="BG3"/>
      <c r="BH3"/>
      <c r="BI3"/>
      <c r="BJ3"/>
      <c r="BK3"/>
      <c r="BL3"/>
      <c r="BM3"/>
      <c r="BN3"/>
      <c r="BO3"/>
      <c r="BP3"/>
      <c r="BQ3"/>
      <c r="BR3"/>
      <c r="BS3" s="2044" t="s">
        <v>2490</v>
      </c>
      <c r="BT3" s="2083" t="s">
        <v>2490</v>
      </c>
      <c r="BU3" s="2085" t="s">
        <v>2490</v>
      </c>
      <c r="BV3" s="1034" t="s">
        <v>2985</v>
      </c>
      <c r="BW3" s="2112"/>
      <c r="BX3" s="1034" t="s">
        <v>2985</v>
      </c>
      <c r="CA3" s="2206" t="s">
        <v>2490</v>
      </c>
    </row>
    <row r="4" spans="1:79" ht="15">
      <c r="A4" s="1032" t="s">
        <v>3493</v>
      </c>
      <c r="B4" s="1033" t="s">
        <v>4355</v>
      </c>
      <c r="C4" s="1033" t="s">
        <v>4355</v>
      </c>
      <c r="D4" s="1033" t="s">
        <v>4355</v>
      </c>
      <c r="E4" s="1033" t="s">
        <v>4355</v>
      </c>
      <c r="H4" s="1034" t="s">
        <v>646</v>
      </c>
      <c r="I4" s="1034" t="s">
        <v>646</v>
      </c>
      <c r="J4" s="1034" t="s">
        <v>646</v>
      </c>
      <c r="K4" s="1034" t="s">
        <v>646</v>
      </c>
      <c r="L4" s="1034" t="s">
        <v>646</v>
      </c>
      <c r="M4" s="1034" t="s">
        <v>646</v>
      </c>
      <c r="N4" s="1034" t="s">
        <v>646</v>
      </c>
      <c r="O4" s="1034" t="s">
        <v>646</v>
      </c>
      <c r="P4" s="1034" t="s">
        <v>646</v>
      </c>
      <c r="Q4" s="1034" t="s">
        <v>646</v>
      </c>
      <c r="R4" s="1034" t="s">
        <v>646</v>
      </c>
      <c r="S4" s="1034" t="s">
        <v>646</v>
      </c>
      <c r="T4" s="1034" t="s">
        <v>646</v>
      </c>
      <c r="U4" s="1034" t="s">
        <v>646</v>
      </c>
      <c r="V4" s="1034" t="s">
        <v>646</v>
      </c>
      <c r="W4" s="1034" t="s">
        <v>646</v>
      </c>
      <c r="X4" s="1034" t="s">
        <v>646</v>
      </c>
      <c r="Y4" s="1034" t="s">
        <v>646</v>
      </c>
      <c r="Z4" s="1034" t="s">
        <v>646</v>
      </c>
      <c r="AA4" s="1034" t="s">
        <v>646</v>
      </c>
      <c r="AB4" s="1034" t="s">
        <v>646</v>
      </c>
      <c r="AC4" s="1034" t="s">
        <v>646</v>
      </c>
      <c r="AD4" s="1034" t="s">
        <v>646</v>
      </c>
      <c r="AE4" s="1034" t="s">
        <v>646</v>
      </c>
      <c r="AF4" s="1034" t="s">
        <v>646</v>
      </c>
      <c r="AG4" s="1034" t="s">
        <v>646</v>
      </c>
      <c r="AH4" s="1034" t="s">
        <v>646</v>
      </c>
      <c r="AI4" s="1034" t="s">
        <v>646</v>
      </c>
      <c r="AJ4" s="1034" t="s">
        <v>646</v>
      </c>
      <c r="AK4" s="1034" t="s">
        <v>646</v>
      </c>
      <c r="AL4" s="1034" t="s">
        <v>646</v>
      </c>
      <c r="AM4" s="1034" t="s">
        <v>646</v>
      </c>
      <c r="AN4" s="1034" t="s">
        <v>646</v>
      </c>
      <c r="AO4" s="1034" t="s">
        <v>646</v>
      </c>
      <c r="AP4" s="1034" t="s">
        <v>646</v>
      </c>
      <c r="AQ4" s="1034" t="s">
        <v>646</v>
      </c>
      <c r="AR4" s="1034" t="s">
        <v>646</v>
      </c>
      <c r="AS4" s="1034" t="s">
        <v>646</v>
      </c>
      <c r="AT4" s="1034" t="s">
        <v>646</v>
      </c>
      <c r="AU4" s="1034" t="s">
        <v>646</v>
      </c>
      <c r="AV4" s="1034" t="s">
        <v>646</v>
      </c>
      <c r="AW4" s="1034" t="s">
        <v>646</v>
      </c>
      <c r="AX4" s="1982" t="s">
        <v>4355</v>
      </c>
      <c r="AY4" s="1986" t="s">
        <v>4355</v>
      </c>
      <c r="AZ4"/>
      <c r="BA4"/>
      <c r="BB4"/>
      <c r="BC4"/>
      <c r="BD4"/>
      <c r="BE4"/>
      <c r="BF4"/>
      <c r="BG4"/>
      <c r="BH4"/>
      <c r="BI4"/>
      <c r="BJ4"/>
      <c r="BK4"/>
      <c r="BL4"/>
      <c r="BM4"/>
      <c r="BN4"/>
      <c r="BO4"/>
      <c r="BP4"/>
      <c r="BQ4"/>
      <c r="BR4"/>
      <c r="BS4" s="2044" t="s">
        <v>4355</v>
      </c>
      <c r="BT4" s="2083" t="s">
        <v>646</v>
      </c>
      <c r="BU4" s="2085" t="s">
        <v>646</v>
      </c>
      <c r="BV4" s="1034" t="s">
        <v>646</v>
      </c>
      <c r="BW4" s="2112"/>
      <c r="BX4" s="1034" t="s">
        <v>646</v>
      </c>
      <c r="CA4" s="2206" t="s">
        <v>646</v>
      </c>
    </row>
    <row r="5" spans="1:79" ht="15">
      <c r="A5" s="1032" t="s">
        <v>582</v>
      </c>
      <c r="B5" s="1033" t="s">
        <v>905</v>
      </c>
      <c r="C5" s="1033" t="s">
        <v>904</v>
      </c>
      <c r="D5" s="1033" t="s">
        <v>3303</v>
      </c>
      <c r="E5" s="1033" t="s">
        <v>904</v>
      </c>
      <c r="H5" s="1034" t="s">
        <v>2490</v>
      </c>
      <c r="I5" s="1034" t="s">
        <v>4237</v>
      </c>
      <c r="J5" s="1034" t="s">
        <v>4230</v>
      </c>
      <c r="K5" s="1034" t="s">
        <v>4237</v>
      </c>
      <c r="L5" s="1034" t="s">
        <v>4230</v>
      </c>
      <c r="M5" s="1034" t="s">
        <v>2052</v>
      </c>
      <c r="N5" s="1034" t="s">
        <v>4230</v>
      </c>
      <c r="O5" s="1034" t="s">
        <v>2052</v>
      </c>
      <c r="P5" s="1034" t="s">
        <v>2490</v>
      </c>
      <c r="Q5" s="1034" t="s">
        <v>2490</v>
      </c>
      <c r="R5" s="1034" t="s">
        <v>2490</v>
      </c>
      <c r="S5" s="1034" t="s">
        <v>2490</v>
      </c>
      <c r="T5" s="1034" t="s">
        <v>2490</v>
      </c>
      <c r="U5" s="1034" t="s">
        <v>2490</v>
      </c>
      <c r="V5" s="1034" t="s">
        <v>2052</v>
      </c>
      <c r="W5" s="1034" t="s">
        <v>2052</v>
      </c>
      <c r="X5" s="1034" t="s">
        <v>2490</v>
      </c>
      <c r="Y5" s="1034" t="s">
        <v>2052</v>
      </c>
      <c r="Z5" s="1034" t="s">
        <v>2490</v>
      </c>
      <c r="AA5" s="1034" t="s">
        <v>2490</v>
      </c>
      <c r="AB5" s="1034" t="s">
        <v>4230</v>
      </c>
      <c r="AC5" s="1034" t="s">
        <v>2052</v>
      </c>
      <c r="AD5" s="1034" t="s">
        <v>2490</v>
      </c>
      <c r="AE5" s="1034" t="s">
        <v>2490</v>
      </c>
      <c r="AF5" s="1034" t="s">
        <v>4230</v>
      </c>
      <c r="AG5" s="1034" t="s">
        <v>4230</v>
      </c>
      <c r="AH5" s="1034" t="s">
        <v>4230</v>
      </c>
      <c r="AI5" s="1034" t="s">
        <v>2490</v>
      </c>
      <c r="AJ5" s="1034" t="s">
        <v>2490</v>
      </c>
      <c r="AK5" s="1034" t="s">
        <v>4237</v>
      </c>
      <c r="AL5" s="1034" t="s">
        <v>4230</v>
      </c>
      <c r="AM5" s="1034" t="s">
        <v>4230</v>
      </c>
      <c r="AN5" s="1034" t="s">
        <v>4230</v>
      </c>
      <c r="AO5" s="1034" t="s">
        <v>4230</v>
      </c>
      <c r="AP5" s="1034" t="s">
        <v>2052</v>
      </c>
      <c r="AQ5" s="1034" t="s">
        <v>2052</v>
      </c>
      <c r="AR5" s="1034" t="s">
        <v>4237</v>
      </c>
      <c r="AS5" s="1034" t="s">
        <v>4237</v>
      </c>
      <c r="AT5" s="1034" t="s">
        <v>4237</v>
      </c>
      <c r="AU5" s="1034" t="s">
        <v>4230</v>
      </c>
      <c r="AV5" s="1034" t="s">
        <v>4230</v>
      </c>
      <c r="AW5" s="1034" t="s">
        <v>4230</v>
      </c>
      <c r="AX5" s="1982" t="s">
        <v>905</v>
      </c>
      <c r="AY5" s="1986" t="s">
        <v>3303</v>
      </c>
      <c r="AZ5"/>
      <c r="BA5"/>
      <c r="BB5"/>
      <c r="BC5"/>
      <c r="BD5"/>
      <c r="BE5"/>
      <c r="BF5"/>
      <c r="BG5"/>
      <c r="BH5"/>
      <c r="BI5"/>
      <c r="BJ5"/>
      <c r="BK5"/>
      <c r="BL5"/>
      <c r="BM5"/>
      <c r="BN5"/>
      <c r="BO5"/>
      <c r="BP5"/>
      <c r="BQ5"/>
      <c r="BR5"/>
      <c r="BS5" s="2044" t="s">
        <v>3303</v>
      </c>
      <c r="BT5" s="2083" t="s">
        <v>4230</v>
      </c>
      <c r="BU5" s="2085" t="s">
        <v>2490</v>
      </c>
      <c r="BV5" s="1034" t="s">
        <v>4230</v>
      </c>
      <c r="BW5" s="2112"/>
      <c r="BX5" s="1034" t="s">
        <v>4230</v>
      </c>
      <c r="CA5" s="2206" t="s">
        <v>2052</v>
      </c>
    </row>
    <row r="6" spans="1:79" ht="15">
      <c r="A6" s="1032" t="s">
        <v>583</v>
      </c>
      <c r="B6" s="1035">
        <v>2</v>
      </c>
      <c r="C6" s="1035">
        <v>2</v>
      </c>
      <c r="D6" s="1035">
        <v>1</v>
      </c>
      <c r="E6" s="1035">
        <v>1</v>
      </c>
      <c r="H6" s="1036">
        <v>4</v>
      </c>
      <c r="I6" s="1036">
        <v>4</v>
      </c>
      <c r="J6" s="1036">
        <v>4</v>
      </c>
      <c r="K6" s="1036">
        <v>4</v>
      </c>
      <c r="L6" s="1036">
        <v>4</v>
      </c>
      <c r="M6" s="1036">
        <v>4</v>
      </c>
      <c r="N6" s="1036">
        <v>4</v>
      </c>
      <c r="O6" s="1036">
        <v>4</v>
      </c>
      <c r="P6" s="1036">
        <v>4</v>
      </c>
      <c r="Q6" s="1036">
        <v>4</v>
      </c>
      <c r="R6" s="1036">
        <v>4</v>
      </c>
      <c r="S6" s="1036">
        <v>4</v>
      </c>
      <c r="T6" s="1036">
        <v>4</v>
      </c>
      <c r="U6" s="1036">
        <v>4</v>
      </c>
      <c r="V6" s="1036">
        <v>4</v>
      </c>
      <c r="W6" s="1036">
        <v>4</v>
      </c>
      <c r="X6" s="1036">
        <v>4</v>
      </c>
      <c r="Y6" s="1036">
        <v>4</v>
      </c>
      <c r="Z6" s="1036">
        <v>4</v>
      </c>
      <c r="AA6" s="1036">
        <v>4</v>
      </c>
      <c r="AB6" s="1036">
        <v>1</v>
      </c>
      <c r="AC6" s="1036">
        <v>1</v>
      </c>
      <c r="AD6" s="1036">
        <v>1</v>
      </c>
      <c r="AE6" s="1036">
        <v>4</v>
      </c>
      <c r="AF6" s="1036">
        <v>4</v>
      </c>
      <c r="AG6" s="1036">
        <v>4</v>
      </c>
      <c r="AH6" s="1036">
        <v>4</v>
      </c>
      <c r="AI6" s="1036">
        <v>4</v>
      </c>
      <c r="AJ6" s="1036">
        <v>4</v>
      </c>
      <c r="AK6" s="1036"/>
      <c r="AL6" s="1036"/>
      <c r="AM6" s="1036"/>
      <c r="AN6" s="1036"/>
      <c r="AO6" s="1036"/>
      <c r="AP6" s="1036"/>
      <c r="AQ6" s="1036"/>
      <c r="AR6" s="1036"/>
      <c r="AS6" s="1036"/>
      <c r="AT6" s="1036"/>
      <c r="AU6" s="1036"/>
      <c r="AV6" s="1036"/>
      <c r="AW6" s="1036"/>
      <c r="AX6" s="1983">
        <v>2</v>
      </c>
      <c r="AY6" s="1985"/>
      <c r="AZ6"/>
      <c r="BA6"/>
      <c r="BB6"/>
      <c r="BC6"/>
      <c r="BD6"/>
      <c r="BE6"/>
      <c r="BF6"/>
      <c r="BG6"/>
      <c r="BH6"/>
      <c r="BI6"/>
      <c r="BJ6"/>
      <c r="BK6"/>
      <c r="BL6"/>
      <c r="BM6"/>
      <c r="BN6"/>
      <c r="BO6"/>
      <c r="BP6"/>
      <c r="BQ6"/>
      <c r="BR6"/>
      <c r="BS6" s="2044">
        <v>5296</v>
      </c>
      <c r="BT6" s="2044">
        <v>5282</v>
      </c>
      <c r="BU6" s="2044">
        <v>5460</v>
      </c>
      <c r="BV6" s="1036">
        <v>8230</v>
      </c>
      <c r="BW6" s="2113"/>
      <c r="BX6" s="1036">
        <v>23495</v>
      </c>
      <c r="CA6" s="2212">
        <v>1848</v>
      </c>
    </row>
    <row r="7" spans="1:79" ht="15">
      <c r="A7" s="1032" t="s">
        <v>2492</v>
      </c>
      <c r="B7" s="1033" t="s">
        <v>2493</v>
      </c>
      <c r="C7" s="1033" t="s">
        <v>2495</v>
      </c>
      <c r="D7" s="1033" t="s">
        <v>2493</v>
      </c>
      <c r="E7" s="1033" t="s">
        <v>2493</v>
      </c>
      <c r="H7" s="1034" t="s">
        <v>2495</v>
      </c>
      <c r="I7" s="1034" t="s">
        <v>2495</v>
      </c>
      <c r="J7" s="1034" t="s">
        <v>2495</v>
      </c>
      <c r="K7" s="1034" t="s">
        <v>2495</v>
      </c>
      <c r="L7" s="1034" t="s">
        <v>2495</v>
      </c>
      <c r="M7" s="1034" t="s">
        <v>2495</v>
      </c>
      <c r="N7" s="1034" t="s">
        <v>2495</v>
      </c>
      <c r="O7" s="1034" t="s">
        <v>2495</v>
      </c>
      <c r="P7" s="1034" t="s">
        <v>2495</v>
      </c>
      <c r="Q7" s="1034" t="s">
        <v>2495</v>
      </c>
      <c r="R7" s="1034" t="s">
        <v>2495</v>
      </c>
      <c r="S7" s="1034" t="s">
        <v>2495</v>
      </c>
      <c r="T7" s="1034" t="s">
        <v>2495</v>
      </c>
      <c r="U7" s="1034" t="s">
        <v>2495</v>
      </c>
      <c r="V7" s="1034" t="s">
        <v>2495</v>
      </c>
      <c r="W7" s="1034" t="s">
        <v>2495</v>
      </c>
      <c r="X7" s="1034" t="s">
        <v>2495</v>
      </c>
      <c r="Y7" s="1034" t="s">
        <v>2495</v>
      </c>
      <c r="Z7" s="1034" t="s">
        <v>2495</v>
      </c>
      <c r="AA7" s="1034" t="s">
        <v>2495</v>
      </c>
      <c r="AB7" s="1034" t="s">
        <v>2495</v>
      </c>
      <c r="AC7" s="1034" t="s">
        <v>2495</v>
      </c>
      <c r="AD7" s="1034" t="s">
        <v>2495</v>
      </c>
      <c r="AE7" s="1034" t="s">
        <v>2495</v>
      </c>
      <c r="AF7" s="1034" t="s">
        <v>2495</v>
      </c>
      <c r="AG7" s="1034" t="s">
        <v>2495</v>
      </c>
      <c r="AH7" s="1034" t="s">
        <v>2495</v>
      </c>
      <c r="AI7" s="1034" t="s">
        <v>2495</v>
      </c>
      <c r="AJ7" s="1034" t="s">
        <v>2495</v>
      </c>
      <c r="AK7" s="1034" t="s">
        <v>2495</v>
      </c>
      <c r="AL7" s="1034" t="s">
        <v>2495</v>
      </c>
      <c r="AM7" s="1034" t="s">
        <v>2495</v>
      </c>
      <c r="AN7" s="1034" t="s">
        <v>2495</v>
      </c>
      <c r="AO7" s="1034" t="s">
        <v>2495</v>
      </c>
      <c r="AP7" s="1034" t="s">
        <v>2495</v>
      </c>
      <c r="AQ7" s="1034" t="s">
        <v>2495</v>
      </c>
      <c r="AR7" s="1034" t="s">
        <v>2495</v>
      </c>
      <c r="AS7" s="1034" t="s">
        <v>2495</v>
      </c>
      <c r="AT7" s="1034" t="s">
        <v>2495</v>
      </c>
      <c r="AU7" s="1034" t="s">
        <v>2495</v>
      </c>
      <c r="AV7" s="1034" t="s">
        <v>2495</v>
      </c>
      <c r="AW7" s="1034" t="s">
        <v>2495</v>
      </c>
      <c r="AX7" s="1982" t="s">
        <v>2493</v>
      </c>
      <c r="AY7" s="1985"/>
      <c r="AZ7"/>
      <c r="BA7"/>
      <c r="BB7"/>
      <c r="BC7"/>
      <c r="BD7"/>
      <c r="BE7"/>
      <c r="BF7"/>
      <c r="BG7"/>
      <c r="BH7"/>
      <c r="BI7"/>
      <c r="BJ7"/>
      <c r="BK7"/>
      <c r="BL7"/>
      <c r="BM7"/>
      <c r="BN7"/>
      <c r="BO7"/>
      <c r="BP7"/>
      <c r="BQ7"/>
      <c r="BR7"/>
      <c r="BS7" s="2044"/>
      <c r="BU7" s="2086" t="s">
        <v>2495</v>
      </c>
      <c r="BV7" s="1034" t="s">
        <v>2494</v>
      </c>
      <c r="BW7" s="2114"/>
      <c r="BX7" s="1034" t="s">
        <v>2494</v>
      </c>
      <c r="CA7" s="2206" t="s">
        <v>2494</v>
      </c>
    </row>
    <row r="8" spans="1:79">
      <c r="A8" s="1032">
        <v>1</v>
      </c>
      <c r="B8" s="1037">
        <f t="shared" ref="B8:AG8" si="0">A8+1</f>
        <v>2</v>
      </c>
      <c r="C8" s="1037">
        <f t="shared" si="0"/>
        <v>3</v>
      </c>
      <c r="D8" s="1037">
        <f t="shared" si="0"/>
        <v>4</v>
      </c>
      <c r="E8" s="1037">
        <f t="shared" si="0"/>
        <v>5</v>
      </c>
      <c r="F8" s="1037">
        <f t="shared" si="0"/>
        <v>6</v>
      </c>
      <c r="G8" s="1037">
        <f t="shared" si="0"/>
        <v>7</v>
      </c>
      <c r="H8" s="1037">
        <f t="shared" si="0"/>
        <v>8</v>
      </c>
      <c r="I8" s="1037">
        <f t="shared" si="0"/>
        <v>9</v>
      </c>
      <c r="J8" s="1037">
        <f t="shared" si="0"/>
        <v>10</v>
      </c>
      <c r="K8" s="1037">
        <f t="shared" si="0"/>
        <v>11</v>
      </c>
      <c r="L8" s="1037">
        <f t="shared" si="0"/>
        <v>12</v>
      </c>
      <c r="M8" s="1037">
        <f t="shared" si="0"/>
        <v>13</v>
      </c>
      <c r="N8" s="1037">
        <f t="shared" si="0"/>
        <v>14</v>
      </c>
      <c r="O8" s="1037">
        <f t="shared" si="0"/>
        <v>15</v>
      </c>
      <c r="P8" s="1037">
        <f t="shared" si="0"/>
        <v>16</v>
      </c>
      <c r="Q8" s="1037">
        <f t="shared" si="0"/>
        <v>17</v>
      </c>
      <c r="R8" s="1037">
        <f t="shared" si="0"/>
        <v>18</v>
      </c>
      <c r="S8" s="1037">
        <f t="shared" si="0"/>
        <v>19</v>
      </c>
      <c r="T8" s="1037">
        <f t="shared" si="0"/>
        <v>20</v>
      </c>
      <c r="U8" s="1037">
        <f t="shared" si="0"/>
        <v>21</v>
      </c>
      <c r="V8" s="1037">
        <f t="shared" si="0"/>
        <v>22</v>
      </c>
      <c r="W8" s="1037">
        <f t="shared" si="0"/>
        <v>23</v>
      </c>
      <c r="X8" s="1037">
        <f t="shared" si="0"/>
        <v>24</v>
      </c>
      <c r="Y8" s="1037">
        <f t="shared" si="0"/>
        <v>25</v>
      </c>
      <c r="Z8" s="1037">
        <f t="shared" si="0"/>
        <v>26</v>
      </c>
      <c r="AA8" s="1037">
        <f t="shared" si="0"/>
        <v>27</v>
      </c>
      <c r="AB8" s="1037">
        <f t="shared" si="0"/>
        <v>28</v>
      </c>
      <c r="AC8" s="1037">
        <f t="shared" si="0"/>
        <v>29</v>
      </c>
      <c r="AD8" s="1037">
        <f t="shared" si="0"/>
        <v>30</v>
      </c>
      <c r="AE8" s="1037">
        <f t="shared" si="0"/>
        <v>31</v>
      </c>
      <c r="AF8" s="1037">
        <f t="shared" si="0"/>
        <v>32</v>
      </c>
      <c r="AG8" s="1037">
        <f t="shared" si="0"/>
        <v>33</v>
      </c>
      <c r="AH8" s="1037">
        <f t="shared" ref="AH8:BM8" si="1">AG8+1</f>
        <v>34</v>
      </c>
      <c r="AI8" s="1037">
        <f t="shared" si="1"/>
        <v>35</v>
      </c>
      <c r="AJ8" s="1037">
        <f t="shared" si="1"/>
        <v>36</v>
      </c>
      <c r="AK8" s="1037">
        <f t="shared" si="1"/>
        <v>37</v>
      </c>
      <c r="AL8" s="1037">
        <f t="shared" si="1"/>
        <v>38</v>
      </c>
      <c r="AM8" s="1037">
        <f t="shared" si="1"/>
        <v>39</v>
      </c>
      <c r="AN8" s="1037">
        <f t="shared" si="1"/>
        <v>40</v>
      </c>
      <c r="AO8" s="1037">
        <f t="shared" si="1"/>
        <v>41</v>
      </c>
      <c r="AP8" s="1037">
        <f t="shared" si="1"/>
        <v>42</v>
      </c>
      <c r="AQ8" s="1037">
        <f t="shared" si="1"/>
        <v>43</v>
      </c>
      <c r="AR8" s="1037">
        <f t="shared" si="1"/>
        <v>44</v>
      </c>
      <c r="AS8" s="1037">
        <f t="shared" si="1"/>
        <v>45</v>
      </c>
      <c r="AT8" s="1037">
        <f t="shared" si="1"/>
        <v>46</v>
      </c>
      <c r="AU8" s="1037">
        <f t="shared" si="1"/>
        <v>47</v>
      </c>
      <c r="AV8" s="1037">
        <f t="shared" si="1"/>
        <v>48</v>
      </c>
      <c r="AW8" s="1037">
        <f t="shared" si="1"/>
        <v>49</v>
      </c>
      <c r="AX8" s="1037">
        <f t="shared" si="1"/>
        <v>50</v>
      </c>
      <c r="AY8" s="1037">
        <f t="shared" si="1"/>
        <v>51</v>
      </c>
      <c r="AZ8" s="1037">
        <f t="shared" si="1"/>
        <v>52</v>
      </c>
      <c r="BA8" s="1037">
        <f t="shared" si="1"/>
        <v>53</v>
      </c>
      <c r="BB8" s="1037">
        <f t="shared" si="1"/>
        <v>54</v>
      </c>
      <c r="BC8" s="1037">
        <f t="shared" si="1"/>
        <v>55</v>
      </c>
      <c r="BD8" s="1037">
        <f t="shared" si="1"/>
        <v>56</v>
      </c>
      <c r="BE8" s="1037">
        <f t="shared" si="1"/>
        <v>57</v>
      </c>
      <c r="BF8" s="1037">
        <f t="shared" si="1"/>
        <v>58</v>
      </c>
      <c r="BG8" s="1037">
        <f t="shared" si="1"/>
        <v>59</v>
      </c>
      <c r="BH8" s="1037">
        <f t="shared" si="1"/>
        <v>60</v>
      </c>
      <c r="BI8" s="1037">
        <f t="shared" si="1"/>
        <v>61</v>
      </c>
      <c r="BJ8" s="1037">
        <f t="shared" si="1"/>
        <v>62</v>
      </c>
      <c r="BK8" s="1037">
        <f t="shared" si="1"/>
        <v>63</v>
      </c>
      <c r="BL8" s="1037">
        <f t="shared" si="1"/>
        <v>64</v>
      </c>
      <c r="BM8" s="1037">
        <f t="shared" si="1"/>
        <v>65</v>
      </c>
      <c r="BN8" s="1037">
        <f t="shared" ref="BN8:CA8" si="2">BM8+1</f>
        <v>66</v>
      </c>
      <c r="BO8" s="1037">
        <f t="shared" si="2"/>
        <v>67</v>
      </c>
      <c r="BP8" s="1037">
        <f t="shared" si="2"/>
        <v>68</v>
      </c>
      <c r="BQ8" s="1037">
        <f t="shared" si="2"/>
        <v>69</v>
      </c>
      <c r="BR8" s="1037">
        <f t="shared" si="2"/>
        <v>70</v>
      </c>
      <c r="BS8" s="1037">
        <f t="shared" si="2"/>
        <v>71</v>
      </c>
      <c r="BT8" s="1037">
        <f t="shared" si="2"/>
        <v>72</v>
      </c>
      <c r="BU8" s="1037">
        <f t="shared" si="2"/>
        <v>73</v>
      </c>
      <c r="BV8" s="1037">
        <f t="shared" si="2"/>
        <v>74</v>
      </c>
      <c r="BW8" s="1037">
        <f t="shared" si="2"/>
        <v>75</v>
      </c>
      <c r="BX8" s="1037">
        <f t="shared" si="2"/>
        <v>76</v>
      </c>
      <c r="BY8" s="1037">
        <f t="shared" si="2"/>
        <v>77</v>
      </c>
      <c r="BZ8" s="1037">
        <f t="shared" si="2"/>
        <v>78</v>
      </c>
      <c r="CA8" s="2213">
        <f t="shared" si="2"/>
        <v>79</v>
      </c>
    </row>
    <row r="9" spans="1:79" ht="15">
      <c r="A9" s="1032" t="s">
        <v>2496</v>
      </c>
      <c r="B9" s="1035">
        <v>11924.45</v>
      </c>
      <c r="C9" s="1035">
        <v>16739.259999999998</v>
      </c>
      <c r="D9" s="1035">
        <v>17010.580000000002</v>
      </c>
      <c r="E9" s="1035">
        <v>31526.59</v>
      </c>
      <c r="H9" s="1036">
        <v>32638.18</v>
      </c>
      <c r="I9" s="1036">
        <v>12856.51</v>
      </c>
      <c r="J9" s="1036">
        <v>14240.34</v>
      </c>
      <c r="K9" s="1036">
        <v>12063.59</v>
      </c>
      <c r="L9" s="1036">
        <v>13689.65</v>
      </c>
      <c r="M9" s="1036">
        <v>19431.96</v>
      </c>
      <c r="N9" s="1036">
        <v>12855.71</v>
      </c>
      <c r="O9" s="1036">
        <v>15465.83</v>
      </c>
      <c r="P9" s="1036">
        <v>26941.17</v>
      </c>
      <c r="Q9" s="1036">
        <v>26639.06</v>
      </c>
      <c r="R9" s="1036">
        <v>36865.440000000002</v>
      </c>
      <c r="S9" s="1036">
        <v>32311.68</v>
      </c>
      <c r="T9" s="1036">
        <v>36786.660000000003</v>
      </c>
      <c r="U9" s="1036">
        <v>39326.230000000003</v>
      </c>
      <c r="V9" s="1036">
        <v>17451.71</v>
      </c>
      <c r="W9" s="1036">
        <v>20599.96</v>
      </c>
      <c r="X9" s="1036">
        <v>30243.02</v>
      </c>
      <c r="Y9" s="1036">
        <v>13120.29</v>
      </c>
      <c r="Z9" s="1036">
        <v>21070.95</v>
      </c>
      <c r="AA9" s="1036">
        <v>36931.410000000003</v>
      </c>
      <c r="AB9" s="1036">
        <v>13857.77</v>
      </c>
      <c r="AC9" s="1036">
        <v>16320.02</v>
      </c>
      <c r="AD9" s="1036">
        <v>39326.230000000003</v>
      </c>
      <c r="AE9" s="1036">
        <v>25904.880000000001</v>
      </c>
      <c r="AF9" s="1036">
        <v>13269.52</v>
      </c>
      <c r="AG9" s="1036">
        <v>13603.71</v>
      </c>
      <c r="AH9" s="1036">
        <v>12855.71</v>
      </c>
      <c r="AI9" s="1036">
        <v>39326.230000000003</v>
      </c>
      <c r="AJ9" s="1036">
        <v>36786.660000000003</v>
      </c>
      <c r="AK9" s="1036">
        <v>12856.51</v>
      </c>
      <c r="AL9" s="1036">
        <v>13631.47</v>
      </c>
      <c r="AM9" s="1036">
        <v>16332.47</v>
      </c>
      <c r="AN9" s="1036">
        <v>17181.259999999998</v>
      </c>
      <c r="AO9" s="1036">
        <v>18045.96</v>
      </c>
      <c r="AP9" s="1036">
        <v>20012.18</v>
      </c>
      <c r="AQ9" s="1036">
        <v>21200.400000000001</v>
      </c>
      <c r="AR9" s="1036">
        <v>13764.27</v>
      </c>
      <c r="AS9" s="1036">
        <v>16427.78</v>
      </c>
      <c r="AT9" s="1036">
        <v>18252.55</v>
      </c>
      <c r="AU9" s="1036">
        <v>13809.95</v>
      </c>
      <c r="AV9" s="1036">
        <v>16576.52</v>
      </c>
      <c r="AW9" s="1036">
        <v>18401.29</v>
      </c>
      <c r="AX9" s="1983">
        <v>11924.45</v>
      </c>
      <c r="AY9" s="1987">
        <v>15692.86</v>
      </c>
      <c r="AZ9" s="1988">
        <v>16804</v>
      </c>
      <c r="BA9" s="1988">
        <v>18663</v>
      </c>
      <c r="BB9" s="1988">
        <v>20903</v>
      </c>
      <c r="BC9" s="1988">
        <v>14273.7</v>
      </c>
      <c r="BD9" s="1988">
        <v>15905</v>
      </c>
      <c r="BE9" s="1988">
        <v>17990.45</v>
      </c>
      <c r="BF9" s="1988">
        <v>14273.7</v>
      </c>
      <c r="BG9" s="1988">
        <v>15905</v>
      </c>
      <c r="BH9" s="1988">
        <v>17990.45</v>
      </c>
      <c r="BI9" s="1988">
        <v>14273.7</v>
      </c>
      <c r="BJ9" s="1988">
        <v>16804</v>
      </c>
      <c r="BK9" s="1988">
        <v>19304</v>
      </c>
      <c r="BL9" s="1988">
        <v>21304</v>
      </c>
      <c r="BM9" s="1988">
        <v>14274</v>
      </c>
      <c r="BN9" s="1988">
        <v>16274</v>
      </c>
      <c r="BO9" s="1988">
        <v>17974</v>
      </c>
      <c r="BP9" s="1988">
        <v>17568</v>
      </c>
      <c r="BQ9" s="1989">
        <v>15905</v>
      </c>
      <c r="BR9" s="1989">
        <v>17905.400000000001</v>
      </c>
      <c r="BS9" s="2045">
        <v>19335.7</v>
      </c>
      <c r="BT9" s="2084">
        <v>21785.95</v>
      </c>
      <c r="BU9" s="2087">
        <v>16936.46</v>
      </c>
      <c r="BV9" s="1036">
        <v>16509.71</v>
      </c>
      <c r="BW9" s="2087">
        <v>20666</v>
      </c>
      <c r="BX9" s="1036">
        <v>16658.45</v>
      </c>
      <c r="BY9" s="2109">
        <v>22366</v>
      </c>
      <c r="BZ9" s="2109">
        <v>25304</v>
      </c>
      <c r="CA9" s="2212">
        <v>16048.38</v>
      </c>
    </row>
    <row r="10" spans="1:79" ht="15">
      <c r="A10" s="1032" t="s">
        <v>133</v>
      </c>
      <c r="B10" s="1035">
        <v>12173.07</v>
      </c>
      <c r="C10" s="1035">
        <v>16966.68</v>
      </c>
      <c r="D10" s="1035">
        <v>17032.849999999999</v>
      </c>
      <c r="E10" s="1035">
        <v>32195.42</v>
      </c>
      <c r="H10" s="1036">
        <v>35086.050000000003</v>
      </c>
      <c r="I10" s="1036">
        <v>13037.3</v>
      </c>
      <c r="J10" s="1036">
        <v>14596.81</v>
      </c>
      <c r="K10" s="1036">
        <v>12256.65</v>
      </c>
      <c r="L10" s="1036">
        <v>14105</v>
      </c>
      <c r="M10" s="1036">
        <v>19743.86</v>
      </c>
      <c r="N10" s="1036">
        <v>13123.14</v>
      </c>
      <c r="O10" s="1036">
        <v>15733.26</v>
      </c>
      <c r="P10" s="1036">
        <v>26941.17</v>
      </c>
      <c r="Q10" s="1036">
        <v>28150.45</v>
      </c>
      <c r="R10" s="1036">
        <v>38992.69</v>
      </c>
      <c r="S10" s="1036">
        <v>34167.26</v>
      </c>
      <c r="T10" s="1036">
        <v>38237.83</v>
      </c>
      <c r="U10" s="1036">
        <v>40538.660000000003</v>
      </c>
      <c r="V10" s="1036">
        <v>18170.61</v>
      </c>
      <c r="W10" s="1036">
        <v>21269.279999999999</v>
      </c>
      <c r="X10" s="1036">
        <v>31358.55</v>
      </c>
      <c r="Y10" s="1036">
        <v>13393.2</v>
      </c>
      <c r="Z10" s="1036">
        <v>21839.42</v>
      </c>
      <c r="AA10" s="1036">
        <v>37947.599999999999</v>
      </c>
      <c r="AB10" s="1036">
        <v>14198.65</v>
      </c>
      <c r="AC10" s="1036">
        <v>16676.490000000002</v>
      </c>
      <c r="AD10" s="1036">
        <v>40538.660000000003</v>
      </c>
      <c r="AE10" s="1036">
        <v>26921.25</v>
      </c>
      <c r="AF10" s="1036">
        <v>13536.95</v>
      </c>
      <c r="AG10" s="1036">
        <v>13871.09</v>
      </c>
      <c r="AH10" s="1036">
        <v>13123.09</v>
      </c>
      <c r="AI10" s="1036">
        <v>41597.56</v>
      </c>
      <c r="AJ10" s="1036">
        <v>38908.120000000003</v>
      </c>
      <c r="AK10" s="1036">
        <v>13037.3</v>
      </c>
      <c r="AL10" s="1036">
        <v>14202.42</v>
      </c>
      <c r="AM10" s="1036">
        <v>16587.14</v>
      </c>
      <c r="AN10" s="1036">
        <v>17435.88</v>
      </c>
      <c r="AO10" s="1036">
        <v>18300.599999999999</v>
      </c>
      <c r="AP10" s="1036">
        <v>20266.62</v>
      </c>
      <c r="AQ10" s="1036">
        <v>21455.119999999999</v>
      </c>
      <c r="AR10" s="1036">
        <v>13953.84</v>
      </c>
      <c r="AS10" s="1036">
        <v>16639.96</v>
      </c>
      <c r="AT10" s="1036">
        <v>18464.75</v>
      </c>
      <c r="AU10" s="1036">
        <v>14293.2</v>
      </c>
      <c r="AV10" s="1036">
        <v>16788.7</v>
      </c>
      <c r="AW10" s="1036">
        <v>18613.490000000002</v>
      </c>
      <c r="AX10" s="1983">
        <v>12173.07</v>
      </c>
      <c r="AY10" s="1987">
        <v>16004.95</v>
      </c>
      <c r="AZ10" s="1988">
        <v>17057</v>
      </c>
      <c r="BA10" s="1988">
        <v>19283</v>
      </c>
      <c r="BB10" s="1988">
        <v>21523</v>
      </c>
      <c r="BC10" s="1988">
        <v>14541.01</v>
      </c>
      <c r="BD10" s="1988">
        <v>16172.31</v>
      </c>
      <c r="BE10" s="1988">
        <v>18257.759999999998</v>
      </c>
      <c r="BF10" s="1988">
        <v>14541.01</v>
      </c>
      <c r="BG10" s="1988">
        <v>16172.31</v>
      </c>
      <c r="BH10" s="1988">
        <v>18257.759999999998</v>
      </c>
      <c r="BI10" s="1988">
        <v>14541.01</v>
      </c>
      <c r="BJ10" s="1988">
        <v>17074</v>
      </c>
      <c r="BK10" s="1988">
        <v>19574</v>
      </c>
      <c r="BL10" s="1988">
        <v>21574</v>
      </c>
      <c r="BM10" s="1988">
        <v>14474</v>
      </c>
      <c r="BN10" s="1988">
        <v>16474</v>
      </c>
      <c r="BO10" s="1988">
        <v>18174</v>
      </c>
      <c r="BP10" s="1988">
        <v>17748</v>
      </c>
      <c r="BQ10" s="1989">
        <v>16172.31</v>
      </c>
      <c r="BR10" s="1989">
        <v>18157.580000000002</v>
      </c>
      <c r="BS10" s="2045">
        <v>19608.39</v>
      </c>
      <c r="BT10" s="2084">
        <v>22823.89</v>
      </c>
      <c r="BU10" s="2087">
        <v>17203.89</v>
      </c>
      <c r="BV10" s="1036">
        <v>17005.5</v>
      </c>
      <c r="BW10" s="2087">
        <v>20856</v>
      </c>
      <c r="BX10" s="1036">
        <v>17186.47</v>
      </c>
      <c r="BY10" s="2109">
        <v>22566</v>
      </c>
      <c r="BZ10" s="2109">
        <v>25574</v>
      </c>
      <c r="CA10" s="2212">
        <v>16481.259999999998</v>
      </c>
    </row>
    <row r="11" spans="1:79" ht="15">
      <c r="A11" s="1032" t="s">
        <v>997</v>
      </c>
      <c r="B11" s="1035">
        <v>13304.16</v>
      </c>
      <c r="C11" s="1035">
        <v>17194.099999999999</v>
      </c>
      <c r="D11" s="1035">
        <v>17566.82</v>
      </c>
      <c r="E11" s="1035">
        <v>32864.25</v>
      </c>
      <c r="H11" s="1036">
        <v>35086.050000000003</v>
      </c>
      <c r="I11" s="1036">
        <v>13590.85</v>
      </c>
      <c r="J11" s="1036">
        <v>15844.51</v>
      </c>
      <c r="K11" s="1036">
        <v>13340.96</v>
      </c>
      <c r="L11" s="1036">
        <v>15402.78</v>
      </c>
      <c r="M11" s="1036">
        <v>20055.759999999998</v>
      </c>
      <c r="N11" s="1036">
        <v>13836.16</v>
      </c>
      <c r="O11" s="1036">
        <v>16000.69</v>
      </c>
      <c r="P11" s="1036">
        <v>28198.44</v>
      </c>
      <c r="Q11" s="1036">
        <v>29661.84</v>
      </c>
      <c r="R11" s="1036">
        <v>41119.94</v>
      </c>
      <c r="S11" s="1036">
        <v>36022.839999999997</v>
      </c>
      <c r="T11" s="1036">
        <v>38237.83</v>
      </c>
      <c r="U11" s="1036">
        <v>40538.660000000003</v>
      </c>
      <c r="V11" s="1036">
        <v>18170.61</v>
      </c>
      <c r="W11" s="1036">
        <v>21269.279999999999</v>
      </c>
      <c r="X11" s="1036">
        <v>31358.55</v>
      </c>
      <c r="Y11" s="1036">
        <v>13666.11</v>
      </c>
      <c r="Z11" s="1036">
        <v>21839.42</v>
      </c>
      <c r="AA11" s="1036">
        <v>39108.54</v>
      </c>
      <c r="AB11" s="1036">
        <v>15513.35</v>
      </c>
      <c r="AC11" s="1036">
        <v>17924.240000000002</v>
      </c>
      <c r="AD11" s="1036">
        <v>40538.660000000003</v>
      </c>
      <c r="AE11" s="1036">
        <v>26921.25</v>
      </c>
      <c r="AF11" s="1036">
        <v>13804.38</v>
      </c>
      <c r="AG11" s="1036">
        <v>14584.11</v>
      </c>
      <c r="AH11" s="1036">
        <v>13390.47</v>
      </c>
      <c r="AI11" s="1036">
        <v>43868.89</v>
      </c>
      <c r="AJ11" s="1036">
        <v>41029.58</v>
      </c>
      <c r="AK11" s="1036">
        <v>13590.85</v>
      </c>
      <c r="AL11" s="1036">
        <v>14566.53</v>
      </c>
      <c r="AM11" s="1036">
        <v>16841.78</v>
      </c>
      <c r="AN11" s="1036">
        <v>17690.5</v>
      </c>
      <c r="AO11" s="1036">
        <v>18555.189999999999</v>
      </c>
      <c r="AP11" s="1036">
        <v>20521.46</v>
      </c>
      <c r="AQ11" s="1036">
        <v>21709.69</v>
      </c>
      <c r="AR11" s="1036">
        <v>14636.32</v>
      </c>
      <c r="AS11" s="1036">
        <v>16852.189999999999</v>
      </c>
      <c r="AT11" s="1036">
        <v>18676.93</v>
      </c>
      <c r="AU11" s="1036">
        <v>14645.61</v>
      </c>
      <c r="AV11" s="1036">
        <v>17000.93</v>
      </c>
      <c r="AW11" s="1036">
        <v>18825.669999999998</v>
      </c>
      <c r="AX11" s="1983">
        <v>13304.16</v>
      </c>
      <c r="AY11" s="1987">
        <v>16317.04</v>
      </c>
      <c r="AZ11" s="1988">
        <v>17310</v>
      </c>
      <c r="BA11" s="1988">
        <v>19903</v>
      </c>
      <c r="BB11" s="1988">
        <v>22143</v>
      </c>
      <c r="BC11" s="1988">
        <v>14808.32</v>
      </c>
      <c r="BD11" s="1988">
        <v>16439.62</v>
      </c>
      <c r="BE11" s="1988">
        <v>18525.07</v>
      </c>
      <c r="BF11" s="1988">
        <v>14808.32</v>
      </c>
      <c r="BG11" s="1988">
        <v>16439.62</v>
      </c>
      <c r="BH11" s="1988">
        <v>18525.07</v>
      </c>
      <c r="BI11" s="1988">
        <v>14808.32</v>
      </c>
      <c r="BJ11" s="1988">
        <v>17343</v>
      </c>
      <c r="BK11" s="1988">
        <v>19843</v>
      </c>
      <c r="BL11" s="1988">
        <v>21843</v>
      </c>
      <c r="BM11" s="1988">
        <v>14674</v>
      </c>
      <c r="BN11" s="1988">
        <v>16674</v>
      </c>
      <c r="BO11" s="1988">
        <v>18374</v>
      </c>
      <c r="BP11" s="1988">
        <v>17929</v>
      </c>
      <c r="BQ11" s="1989">
        <v>16439.62</v>
      </c>
      <c r="BR11" s="1989">
        <v>18409.759999999998</v>
      </c>
      <c r="BS11" s="2045">
        <v>19881.080000000002</v>
      </c>
      <c r="BT11" s="2084">
        <v>23861.83</v>
      </c>
      <c r="BU11" s="2087">
        <v>17471.32</v>
      </c>
      <c r="BV11" s="1036">
        <v>17501.29</v>
      </c>
      <c r="BW11" s="2087">
        <v>21066</v>
      </c>
      <c r="BX11" s="1036">
        <v>17714.490000000002</v>
      </c>
      <c r="BY11" s="2109">
        <v>22766</v>
      </c>
      <c r="BZ11" s="2109">
        <v>25843</v>
      </c>
      <c r="CA11" s="2212">
        <v>16914.14</v>
      </c>
    </row>
    <row r="12" spans="1:79" ht="15">
      <c r="A12" s="1032" t="s">
        <v>134</v>
      </c>
      <c r="B12" s="1035">
        <v>13552.78</v>
      </c>
      <c r="C12" s="1035">
        <v>18331.09</v>
      </c>
      <c r="D12" s="1035">
        <v>18123.05</v>
      </c>
      <c r="E12" s="1035">
        <v>33533.08</v>
      </c>
      <c r="H12" s="1036">
        <v>36264.54</v>
      </c>
      <c r="I12" s="1036">
        <v>13771.64</v>
      </c>
      <c r="J12" s="1036">
        <v>16200.98</v>
      </c>
      <c r="K12" s="1036">
        <v>13534.02</v>
      </c>
      <c r="L12" s="1036">
        <v>15818.13</v>
      </c>
      <c r="M12" s="1036">
        <v>21259.14</v>
      </c>
      <c r="N12" s="1036">
        <v>14994.79</v>
      </c>
      <c r="O12" s="1036">
        <v>16000.69</v>
      </c>
      <c r="P12" s="1036">
        <v>28198.44</v>
      </c>
      <c r="Q12" s="1036">
        <v>29661.84</v>
      </c>
      <c r="R12" s="1036">
        <v>41119.94</v>
      </c>
      <c r="S12" s="1036">
        <v>36022.839999999997</v>
      </c>
      <c r="T12" s="1036">
        <v>39689</v>
      </c>
      <c r="U12" s="1036">
        <v>42963.63</v>
      </c>
      <c r="V12" s="1036">
        <v>18889.509999999998</v>
      </c>
      <c r="W12" s="1036">
        <v>21938.6</v>
      </c>
      <c r="X12" s="1036">
        <v>32474.080000000002</v>
      </c>
      <c r="Y12" s="1036">
        <v>14848.57</v>
      </c>
      <c r="Z12" s="1036">
        <v>22607.89</v>
      </c>
      <c r="AA12" s="1036">
        <v>40269.480000000003</v>
      </c>
      <c r="AB12" s="1036">
        <v>15854.23</v>
      </c>
      <c r="AC12" s="1036">
        <v>18280.71</v>
      </c>
      <c r="AD12" s="1036">
        <v>42963.63</v>
      </c>
      <c r="AE12" s="1036">
        <v>27937.62</v>
      </c>
      <c r="AF12" s="1036">
        <v>14963.01</v>
      </c>
      <c r="AG12" s="1036">
        <v>15742.74</v>
      </c>
      <c r="AH12" s="1036">
        <v>14549.1</v>
      </c>
      <c r="AI12" s="1036">
        <v>43868.89</v>
      </c>
      <c r="AJ12" s="1036">
        <v>41029.58</v>
      </c>
      <c r="AK12" s="1036">
        <v>13771.64</v>
      </c>
      <c r="AL12" s="1036">
        <v>14930.64</v>
      </c>
      <c r="AM12" s="1036">
        <v>17520.72</v>
      </c>
      <c r="AN12" s="1036">
        <v>17495.169999999998</v>
      </c>
      <c r="AO12" s="1036">
        <v>18809.830000000002</v>
      </c>
      <c r="AP12" s="1036">
        <v>20776.080000000002</v>
      </c>
      <c r="AQ12" s="1036">
        <v>21964.33</v>
      </c>
      <c r="AR12" s="1036">
        <v>14825.89</v>
      </c>
      <c r="AS12" s="1036">
        <v>17361.39</v>
      </c>
      <c r="AT12" s="1036">
        <v>18889.11</v>
      </c>
      <c r="AU12" s="1036">
        <v>14645.61</v>
      </c>
      <c r="AV12" s="1036">
        <v>17510.13</v>
      </c>
      <c r="AW12" s="1036">
        <v>19037.849999999999</v>
      </c>
      <c r="AX12" s="1983">
        <v>13552.78</v>
      </c>
      <c r="AY12" s="1987">
        <v>16629.13</v>
      </c>
      <c r="AZ12" s="1988">
        <v>17563</v>
      </c>
      <c r="BA12" s="1988">
        <v>20523</v>
      </c>
      <c r="BB12" s="1988">
        <v>22763</v>
      </c>
      <c r="BC12" s="1988">
        <v>15075.63</v>
      </c>
      <c r="BD12" s="1988">
        <v>16706.93</v>
      </c>
      <c r="BE12" s="1988">
        <v>18792.38</v>
      </c>
      <c r="BF12" s="1988">
        <v>15075.63</v>
      </c>
      <c r="BG12" s="1988">
        <v>16706.93</v>
      </c>
      <c r="BH12" s="1988">
        <v>18792.38</v>
      </c>
      <c r="BI12" s="1988">
        <v>15075.63</v>
      </c>
      <c r="BJ12" s="1988">
        <v>17613</v>
      </c>
      <c r="BK12" s="1988">
        <v>20113</v>
      </c>
      <c r="BL12" s="1988">
        <v>22113</v>
      </c>
      <c r="BM12" s="1988">
        <v>14873</v>
      </c>
      <c r="BN12" s="1988">
        <v>16873</v>
      </c>
      <c r="BO12" s="1988">
        <v>18573</v>
      </c>
      <c r="BP12" s="1988">
        <v>18109</v>
      </c>
      <c r="BQ12" s="1989">
        <v>16706.93</v>
      </c>
      <c r="BR12" s="1989">
        <v>19082.07</v>
      </c>
      <c r="BS12" s="2045">
        <v>20153.77</v>
      </c>
      <c r="BT12" s="2084">
        <v>24899.77</v>
      </c>
      <c r="BU12" s="2087">
        <v>18629.95</v>
      </c>
      <c r="BV12" s="1036">
        <v>17997.080000000002</v>
      </c>
      <c r="BW12" s="2087">
        <v>21265</v>
      </c>
      <c r="BX12" s="1036">
        <v>18242.509999999998</v>
      </c>
      <c r="BY12" s="2109">
        <v>22965</v>
      </c>
      <c r="BZ12" s="2109">
        <v>26113</v>
      </c>
      <c r="CA12" s="2212">
        <v>17347.02</v>
      </c>
    </row>
    <row r="13" spans="1:79" ht="15">
      <c r="A13" s="1032" t="s">
        <v>135</v>
      </c>
      <c r="B13" s="1035">
        <v>13801.4</v>
      </c>
      <c r="C13" s="1035">
        <v>18331.09</v>
      </c>
      <c r="D13" s="1035">
        <v>18679.28</v>
      </c>
      <c r="E13" s="1035">
        <v>33533.08</v>
      </c>
      <c r="H13" s="1036">
        <v>36264.54</v>
      </c>
      <c r="I13" s="1036">
        <v>13871.12</v>
      </c>
      <c r="J13" s="1036">
        <v>16200.98</v>
      </c>
      <c r="K13" s="1036">
        <v>13660.05</v>
      </c>
      <c r="L13" s="1036">
        <v>16233.48</v>
      </c>
      <c r="M13" s="1036">
        <v>21259.14</v>
      </c>
      <c r="N13" s="1036">
        <v>15123.85</v>
      </c>
      <c r="O13" s="1036">
        <v>17159.32</v>
      </c>
      <c r="P13" s="1036">
        <v>29455.71</v>
      </c>
      <c r="Q13" s="1036">
        <v>30600.47</v>
      </c>
      <c r="R13" s="1036">
        <v>42397.84</v>
      </c>
      <c r="S13" s="1036">
        <v>37114.49</v>
      </c>
      <c r="T13" s="1036">
        <v>39689</v>
      </c>
      <c r="U13" s="1036">
        <v>42963.63</v>
      </c>
      <c r="V13" s="1036">
        <v>18889.509999999998</v>
      </c>
      <c r="W13" s="1036">
        <v>21938.6</v>
      </c>
      <c r="X13" s="1036">
        <v>32474.080000000002</v>
      </c>
      <c r="Y13" s="1036">
        <v>14980.28</v>
      </c>
      <c r="Z13" s="1036">
        <v>22607.89</v>
      </c>
      <c r="AA13" s="1036">
        <v>41430.42</v>
      </c>
      <c r="AB13" s="1036">
        <v>16024.68</v>
      </c>
      <c r="AC13" s="1036">
        <v>18496.080000000002</v>
      </c>
      <c r="AD13" s="1036">
        <v>42963.63</v>
      </c>
      <c r="AE13" s="1036">
        <v>27937.62</v>
      </c>
      <c r="AF13" s="1036">
        <v>15092.06</v>
      </c>
      <c r="AG13" s="1036">
        <v>15871.65</v>
      </c>
      <c r="AH13" s="1036">
        <v>14678</v>
      </c>
      <c r="AI13" s="1036">
        <v>45233.35</v>
      </c>
      <c r="AJ13" s="1036">
        <v>42346.69</v>
      </c>
      <c r="AK13" s="1036">
        <v>13871.12</v>
      </c>
      <c r="AL13" s="1036">
        <v>14930.64</v>
      </c>
      <c r="AM13" s="1036">
        <v>17520.72</v>
      </c>
      <c r="AN13" s="1036">
        <v>17495.169999999998</v>
      </c>
      <c r="AO13" s="1036">
        <v>18809.830000000002</v>
      </c>
      <c r="AP13" s="1036">
        <v>20776.080000000002</v>
      </c>
      <c r="AQ13" s="1036">
        <v>21964.33</v>
      </c>
      <c r="AR13" s="1036">
        <v>14825.89</v>
      </c>
      <c r="AS13" s="1036">
        <v>17361.39</v>
      </c>
      <c r="AT13" s="1036">
        <v>18889.11</v>
      </c>
      <c r="AU13" s="1036">
        <v>15241.92</v>
      </c>
      <c r="AV13" s="1036">
        <v>17510.13</v>
      </c>
      <c r="AW13" s="1036">
        <v>19037.849999999999</v>
      </c>
      <c r="AX13" s="1983">
        <v>13801.4</v>
      </c>
      <c r="AY13" s="1987">
        <v>16629.13</v>
      </c>
      <c r="AZ13" s="1988">
        <v>17563</v>
      </c>
      <c r="BA13" s="1988">
        <v>20523</v>
      </c>
      <c r="BB13" s="1988">
        <v>22763</v>
      </c>
      <c r="BC13" s="1988">
        <v>15075.63</v>
      </c>
      <c r="BD13" s="1988">
        <v>16706.93</v>
      </c>
      <c r="BE13" s="1988">
        <v>18792.38</v>
      </c>
      <c r="BF13" s="1988">
        <v>15075.63</v>
      </c>
      <c r="BG13" s="1988">
        <v>16706.93</v>
      </c>
      <c r="BH13" s="1988">
        <v>18792.38</v>
      </c>
      <c r="BI13" s="1988">
        <v>15075.63</v>
      </c>
      <c r="BJ13" s="1988">
        <v>17883</v>
      </c>
      <c r="BK13" s="1988">
        <v>20383</v>
      </c>
      <c r="BL13" s="1988">
        <v>22383</v>
      </c>
      <c r="BM13" s="1988">
        <v>15073</v>
      </c>
      <c r="BN13" s="1988">
        <v>17073</v>
      </c>
      <c r="BO13" s="1988">
        <v>18773</v>
      </c>
      <c r="BP13" s="1988">
        <v>18290</v>
      </c>
      <c r="BQ13" s="1989">
        <v>16706.93</v>
      </c>
      <c r="BR13" s="1989">
        <v>19082.07</v>
      </c>
      <c r="BS13" s="2045">
        <v>20426.46</v>
      </c>
      <c r="BT13" s="2084">
        <v>25270.87</v>
      </c>
      <c r="BU13" s="2087">
        <v>18629.95</v>
      </c>
      <c r="BV13" s="1036">
        <v>18433.38</v>
      </c>
      <c r="BW13" s="2087">
        <v>21465</v>
      </c>
      <c r="BX13" s="1036">
        <v>18770.53</v>
      </c>
      <c r="BY13" s="2109">
        <v>23165</v>
      </c>
      <c r="BZ13" s="2109">
        <v>26383</v>
      </c>
      <c r="CA13" s="2212">
        <v>17347.02</v>
      </c>
    </row>
    <row r="14" spans="1:79" ht="15">
      <c r="A14" s="1032" t="s">
        <v>136</v>
      </c>
      <c r="B14" s="1035">
        <v>14050.02</v>
      </c>
      <c r="C14" s="1035">
        <v>18604.03</v>
      </c>
      <c r="D14" s="1035">
        <v>18679.28</v>
      </c>
      <c r="E14" s="1035">
        <v>34870.81</v>
      </c>
      <c r="H14" s="1036">
        <v>37443.03</v>
      </c>
      <c r="I14" s="1036">
        <v>13970.6</v>
      </c>
      <c r="J14" s="1036">
        <v>16869.349999999999</v>
      </c>
      <c r="K14" s="1036">
        <v>13786.08</v>
      </c>
      <c r="L14" s="1036">
        <v>16648.830000000002</v>
      </c>
      <c r="M14" s="1036">
        <v>21793.9</v>
      </c>
      <c r="N14" s="1036">
        <v>15252.91</v>
      </c>
      <c r="O14" s="1036">
        <v>17159.32</v>
      </c>
      <c r="P14" s="1036">
        <v>29455.71</v>
      </c>
      <c r="Q14" s="1036">
        <v>30600.47</v>
      </c>
      <c r="R14" s="1036">
        <v>42397.84</v>
      </c>
      <c r="S14" s="1036">
        <v>37114.49</v>
      </c>
      <c r="T14" s="1036">
        <v>41140.17</v>
      </c>
      <c r="U14" s="1036">
        <v>45388.6</v>
      </c>
      <c r="V14" s="1036">
        <v>19608.41</v>
      </c>
      <c r="W14" s="1036">
        <v>22607.919999999998</v>
      </c>
      <c r="X14" s="1036">
        <v>33589.61</v>
      </c>
      <c r="Y14" s="1036">
        <v>15111.99</v>
      </c>
      <c r="Z14" s="1036">
        <v>23376.36</v>
      </c>
      <c r="AA14" s="1036">
        <v>42591.360000000001</v>
      </c>
      <c r="AB14" s="1036">
        <v>16195.13</v>
      </c>
      <c r="AC14" s="1036">
        <v>18711.45</v>
      </c>
      <c r="AD14" s="1036">
        <v>45388.6</v>
      </c>
      <c r="AE14" s="1036">
        <v>28953.99</v>
      </c>
      <c r="AF14" s="1036">
        <v>15221.11</v>
      </c>
      <c r="AG14" s="1036">
        <v>16000.56</v>
      </c>
      <c r="AH14" s="1036">
        <v>14806.9</v>
      </c>
      <c r="AI14" s="1036">
        <v>45233.35</v>
      </c>
      <c r="AJ14" s="1036">
        <v>42346.69</v>
      </c>
      <c r="AK14" s="1036">
        <v>13970.6</v>
      </c>
      <c r="AL14" s="1036">
        <v>15180.3</v>
      </c>
      <c r="AM14" s="1036">
        <v>17987.53</v>
      </c>
      <c r="AN14" s="1036">
        <v>18454.37</v>
      </c>
      <c r="AO14" s="1036">
        <v>19319.060000000001</v>
      </c>
      <c r="AP14" s="1036">
        <v>21030.720000000001</v>
      </c>
      <c r="AQ14" s="1036">
        <v>2219</v>
      </c>
      <c r="AR14" s="1036">
        <v>14909.09</v>
      </c>
      <c r="AS14" s="1036">
        <v>17573.62</v>
      </c>
      <c r="AT14" s="1036">
        <v>19101.34</v>
      </c>
      <c r="AU14" s="1036">
        <v>15241.92</v>
      </c>
      <c r="AV14" s="1036">
        <v>17722.36</v>
      </c>
      <c r="AW14" s="1036">
        <v>19250.080000000002</v>
      </c>
      <c r="AX14" s="1983">
        <v>14050.02</v>
      </c>
      <c r="AY14" s="1987">
        <v>17164.259999999998</v>
      </c>
      <c r="AZ14" s="1988">
        <v>17856</v>
      </c>
      <c r="BA14" s="1988">
        <v>21316</v>
      </c>
      <c r="BB14" s="1988">
        <v>23556</v>
      </c>
      <c r="BC14" s="1988">
        <v>15431.97</v>
      </c>
      <c r="BD14" s="1988">
        <v>17063.27</v>
      </c>
      <c r="BE14" s="1988">
        <v>19148.72</v>
      </c>
      <c r="BF14" s="1988">
        <v>15431.97</v>
      </c>
      <c r="BG14" s="1988">
        <v>17063.27</v>
      </c>
      <c r="BH14" s="1988">
        <v>19148.72</v>
      </c>
      <c r="BI14" s="1988">
        <v>15431.97</v>
      </c>
      <c r="BJ14" s="1988">
        <v>18152</v>
      </c>
      <c r="BK14" s="1988">
        <v>20652</v>
      </c>
      <c r="BL14" s="1988">
        <v>22652</v>
      </c>
      <c r="BM14" s="1988">
        <v>15273</v>
      </c>
      <c r="BN14" s="1988">
        <v>17273</v>
      </c>
      <c r="BO14" s="1988">
        <v>18973</v>
      </c>
      <c r="BP14" s="1988">
        <v>18470</v>
      </c>
      <c r="BQ14" s="1989">
        <v>17063.27</v>
      </c>
      <c r="BR14" s="1989">
        <v>19374.66</v>
      </c>
      <c r="BS14" s="2045">
        <v>20699.150000000001</v>
      </c>
      <c r="BT14" s="2084">
        <v>25641.97</v>
      </c>
      <c r="BU14" s="2087">
        <v>18897.38</v>
      </c>
      <c r="BV14" s="1036">
        <v>18869.68</v>
      </c>
      <c r="BW14" s="2087">
        <v>21665</v>
      </c>
      <c r="BX14" s="1036">
        <v>19298.55</v>
      </c>
      <c r="BY14" s="2109">
        <v>23365</v>
      </c>
      <c r="BZ14" s="2109">
        <v>26652</v>
      </c>
      <c r="CA14" s="2212">
        <v>17912.79</v>
      </c>
    </row>
    <row r="15" spans="1:79" ht="15">
      <c r="A15" s="1032" t="s">
        <v>137</v>
      </c>
      <c r="B15" s="1035">
        <v>14298.64</v>
      </c>
      <c r="C15" s="1035">
        <v>18604.03</v>
      </c>
      <c r="D15" s="1035">
        <v>19591.509999999998</v>
      </c>
      <c r="E15" s="1035">
        <v>34870.81</v>
      </c>
      <c r="H15" s="1036">
        <v>37443.03</v>
      </c>
      <c r="I15" s="1036">
        <v>14070.08</v>
      </c>
      <c r="J15" s="1036">
        <v>16869.349999999999</v>
      </c>
      <c r="K15" s="1036">
        <v>13912.11</v>
      </c>
      <c r="L15" s="1036">
        <v>17064.18</v>
      </c>
      <c r="M15" s="1036">
        <v>21793.9</v>
      </c>
      <c r="N15" s="1036">
        <v>15381.97</v>
      </c>
      <c r="O15" s="1036">
        <v>17426.75</v>
      </c>
      <c r="P15" s="1036">
        <v>30712.98</v>
      </c>
      <c r="Q15" s="1036">
        <v>31539.1</v>
      </c>
      <c r="R15" s="1036">
        <v>43675.74</v>
      </c>
      <c r="S15" s="1036">
        <v>38206.14</v>
      </c>
      <c r="T15" s="1036">
        <v>41140.17</v>
      </c>
      <c r="U15" s="1036">
        <v>45388.6</v>
      </c>
      <c r="V15" s="1036">
        <v>19608.41</v>
      </c>
      <c r="W15" s="1036">
        <v>22607.919999999998</v>
      </c>
      <c r="X15" s="1036">
        <v>33589.61</v>
      </c>
      <c r="Y15" s="1036">
        <v>15243.7</v>
      </c>
      <c r="Z15" s="1036">
        <v>23376.36</v>
      </c>
      <c r="AA15" s="1036">
        <v>43752.3</v>
      </c>
      <c r="AB15" s="1036">
        <v>16414.240000000002</v>
      </c>
      <c r="AC15" s="1036">
        <v>19164.52</v>
      </c>
      <c r="AD15" s="1036">
        <v>45388.6</v>
      </c>
      <c r="AE15" s="1036">
        <v>28953.99</v>
      </c>
      <c r="AF15" s="1036">
        <v>15350.16</v>
      </c>
      <c r="AG15" s="1036">
        <v>16129.47</v>
      </c>
      <c r="AH15" s="1036">
        <v>14935.8</v>
      </c>
      <c r="AI15" s="1036">
        <v>46597.81</v>
      </c>
      <c r="AJ15" s="1036">
        <v>43663.8</v>
      </c>
      <c r="AK15" s="1036">
        <v>14070.08</v>
      </c>
      <c r="AL15" s="1036">
        <v>15180.3</v>
      </c>
      <c r="AM15" s="1036">
        <v>17987.53</v>
      </c>
      <c r="AN15" s="1036">
        <v>18454.37</v>
      </c>
      <c r="AO15" s="1036">
        <v>19319.060000000001</v>
      </c>
      <c r="AP15" s="1036">
        <v>21030.720000000001</v>
      </c>
      <c r="AQ15" s="1036">
        <v>2219</v>
      </c>
      <c r="AR15" s="1036">
        <v>14909.09</v>
      </c>
      <c r="AS15" s="1036">
        <v>17573.62</v>
      </c>
      <c r="AT15" s="1036">
        <v>19101.34</v>
      </c>
      <c r="AU15" s="1036">
        <v>15692.67</v>
      </c>
      <c r="AV15" s="1036">
        <v>17722.36</v>
      </c>
      <c r="AW15" s="1036">
        <v>19250.080000000002</v>
      </c>
      <c r="AX15" s="1983">
        <v>14298.64</v>
      </c>
      <c r="AY15" s="1987">
        <v>17164.259999999998</v>
      </c>
      <c r="AZ15" s="1988">
        <v>17856</v>
      </c>
      <c r="BA15" s="1988">
        <v>21316</v>
      </c>
      <c r="BB15" s="1988">
        <v>23556</v>
      </c>
      <c r="BC15" s="1988">
        <v>15431.97</v>
      </c>
      <c r="BD15" s="1988">
        <v>17063.27</v>
      </c>
      <c r="BE15" s="1988">
        <v>19148.72</v>
      </c>
      <c r="BF15" s="1988">
        <v>15431.97</v>
      </c>
      <c r="BG15" s="1988">
        <v>17063.27</v>
      </c>
      <c r="BH15" s="1988">
        <v>19148.72</v>
      </c>
      <c r="BI15" s="1988">
        <v>15431.97</v>
      </c>
      <c r="BJ15" s="1988">
        <v>18422</v>
      </c>
      <c r="BK15" s="1988">
        <v>20922</v>
      </c>
      <c r="BL15" s="1988">
        <v>22922</v>
      </c>
      <c r="BM15" s="1988">
        <v>15473</v>
      </c>
      <c r="BN15" s="1988">
        <v>17473</v>
      </c>
      <c r="BO15" s="1988">
        <v>19173</v>
      </c>
      <c r="BP15" s="1988">
        <v>18651</v>
      </c>
      <c r="BQ15" s="1989">
        <v>17063.27</v>
      </c>
      <c r="BR15" s="1989">
        <v>19374.66</v>
      </c>
      <c r="BS15" s="2045">
        <v>20971.84</v>
      </c>
      <c r="BT15" s="2084">
        <v>26013.07</v>
      </c>
      <c r="BU15" s="2087">
        <v>18897.38</v>
      </c>
      <c r="BV15" s="1036">
        <v>19305.98</v>
      </c>
      <c r="BW15" s="2087">
        <v>21865</v>
      </c>
      <c r="BX15" s="1036">
        <v>19826.57</v>
      </c>
      <c r="BY15" s="2109">
        <v>23565</v>
      </c>
      <c r="BZ15" s="2109">
        <v>26922</v>
      </c>
      <c r="CA15" s="2212">
        <v>17912.79</v>
      </c>
    </row>
    <row r="16" spans="1:79" ht="15">
      <c r="A16" s="1032" t="s">
        <v>138</v>
      </c>
      <c r="B16" s="1035">
        <v>14423.06</v>
      </c>
      <c r="C16" s="1035">
        <v>18876.97</v>
      </c>
      <c r="D16" s="1035">
        <v>19591.509999999998</v>
      </c>
      <c r="E16" s="1035">
        <v>36208.54</v>
      </c>
      <c r="H16" s="1036">
        <v>38621.519999999997</v>
      </c>
      <c r="I16" s="1036">
        <v>14169.56</v>
      </c>
      <c r="J16" s="1036">
        <v>17537.72</v>
      </c>
      <c r="K16" s="1036">
        <v>14038.14</v>
      </c>
      <c r="L16" s="1036">
        <v>17479.53</v>
      </c>
      <c r="M16" s="1036">
        <v>22328.66</v>
      </c>
      <c r="N16" s="1036">
        <v>15511.03</v>
      </c>
      <c r="O16" s="1036">
        <v>17426.75</v>
      </c>
      <c r="P16" s="1036">
        <v>30712.98</v>
      </c>
      <c r="Q16" s="1036">
        <v>31539.1</v>
      </c>
      <c r="R16" s="1036">
        <v>43675.74</v>
      </c>
      <c r="S16" s="1036">
        <v>38206.14</v>
      </c>
      <c r="T16" s="1036">
        <v>42591.34</v>
      </c>
      <c r="U16" s="1036">
        <v>47813.57</v>
      </c>
      <c r="V16" s="1036">
        <v>20327.310000000001</v>
      </c>
      <c r="W16" s="1036">
        <v>23277.24</v>
      </c>
      <c r="X16" s="1036">
        <v>34705.14</v>
      </c>
      <c r="Y16" s="1036">
        <v>15375.41</v>
      </c>
      <c r="Z16" s="1036">
        <v>24144.83</v>
      </c>
      <c r="AA16" s="1036">
        <v>44913.24</v>
      </c>
      <c r="AB16" s="1036">
        <v>16633.349999999999</v>
      </c>
      <c r="AC16" s="1036">
        <v>19617.59</v>
      </c>
      <c r="AD16" s="1036">
        <v>47813.57</v>
      </c>
      <c r="AE16" s="1036">
        <v>29970.36</v>
      </c>
      <c r="AF16" s="1036">
        <v>15479.21</v>
      </c>
      <c r="AG16" s="1036">
        <v>16258.38</v>
      </c>
      <c r="AH16" s="1036">
        <v>15064.7</v>
      </c>
      <c r="AI16" s="1036">
        <v>46597.81</v>
      </c>
      <c r="AJ16" s="1036">
        <v>43663.8</v>
      </c>
      <c r="AK16" s="1036">
        <v>14169.56</v>
      </c>
      <c r="AL16" s="1036">
        <v>15513.1</v>
      </c>
      <c r="AM16" s="1036">
        <v>18454.37</v>
      </c>
      <c r="AN16" s="1036">
        <v>18963.62</v>
      </c>
      <c r="AO16" s="1036">
        <v>19828.310000000001</v>
      </c>
      <c r="AP16" s="1036">
        <v>21370.22</v>
      </c>
      <c r="AQ16" s="1036">
        <v>22560.5</v>
      </c>
      <c r="AR16" s="1036">
        <v>14992.36</v>
      </c>
      <c r="AS16" s="1036">
        <v>17785.77</v>
      </c>
      <c r="AT16" s="1036">
        <v>19313.52</v>
      </c>
      <c r="AU16" s="1036">
        <v>15692.67</v>
      </c>
      <c r="AV16" s="1036">
        <v>17394.509999999998</v>
      </c>
      <c r="AW16" s="1036">
        <v>19462.259999999998</v>
      </c>
      <c r="AX16" s="1983">
        <v>14423.06</v>
      </c>
      <c r="AY16" s="1987">
        <v>17699.39</v>
      </c>
      <c r="AZ16" s="1988">
        <v>18247</v>
      </c>
      <c r="BA16" s="1988">
        <v>22109</v>
      </c>
      <c r="BB16" s="1988">
        <v>24349</v>
      </c>
      <c r="BC16" s="1988">
        <v>15788.31</v>
      </c>
      <c r="BD16" s="1988">
        <v>17419.61</v>
      </c>
      <c r="BE16" s="1988">
        <v>19505.060000000001</v>
      </c>
      <c r="BF16" s="1988">
        <v>15788.31</v>
      </c>
      <c r="BG16" s="1988">
        <v>17419.61</v>
      </c>
      <c r="BH16" s="1988">
        <v>19505.060000000001</v>
      </c>
      <c r="BI16" s="1988">
        <v>15788.31</v>
      </c>
      <c r="BJ16" s="1988">
        <v>18692</v>
      </c>
      <c r="BK16" s="1988">
        <v>21192</v>
      </c>
      <c r="BL16" s="1988">
        <v>23192</v>
      </c>
      <c r="BM16" s="1988">
        <v>15672</v>
      </c>
      <c r="BN16" s="1988">
        <v>17672</v>
      </c>
      <c r="BO16" s="1988">
        <v>19372</v>
      </c>
      <c r="BP16" s="1988">
        <v>18831</v>
      </c>
      <c r="BQ16" s="1989">
        <v>17419.61</v>
      </c>
      <c r="BR16" s="1989">
        <v>19764.7</v>
      </c>
      <c r="BS16" s="2045">
        <v>21244.53</v>
      </c>
      <c r="BT16" s="2084">
        <v>26384.17</v>
      </c>
      <c r="BU16" s="2087">
        <v>19253.86</v>
      </c>
      <c r="BV16" s="1036">
        <v>19742.28</v>
      </c>
      <c r="BW16" s="2087">
        <v>22064</v>
      </c>
      <c r="BX16" s="1036">
        <v>20354.59</v>
      </c>
      <c r="BY16" s="2109">
        <v>23764</v>
      </c>
      <c r="BZ16" s="2109">
        <v>27192</v>
      </c>
      <c r="CA16" s="2212">
        <v>18478.560000000001</v>
      </c>
    </row>
    <row r="17" spans="1:79" ht="15">
      <c r="A17" s="1032" t="s">
        <v>139</v>
      </c>
      <c r="B17" s="1035">
        <v>14547.48</v>
      </c>
      <c r="C17" s="1035">
        <v>18876.97</v>
      </c>
      <c r="D17" s="1035">
        <v>20316.900000000001</v>
      </c>
      <c r="E17" s="1035">
        <v>36208.54</v>
      </c>
      <c r="H17" s="1036">
        <v>38621.519999999997</v>
      </c>
      <c r="I17" s="1036">
        <v>14269.04</v>
      </c>
      <c r="J17" s="1036">
        <v>17537.72</v>
      </c>
      <c r="K17" s="1036">
        <v>14182.19</v>
      </c>
      <c r="L17" s="1036">
        <v>17894.88</v>
      </c>
      <c r="M17" s="1036">
        <v>22328.66</v>
      </c>
      <c r="N17" s="1036">
        <v>15822.93</v>
      </c>
      <c r="O17" s="1036">
        <v>17783.22</v>
      </c>
      <c r="P17" s="1036">
        <v>31970.25</v>
      </c>
      <c r="Q17" s="1036">
        <v>32477.73</v>
      </c>
      <c r="R17" s="1036">
        <v>44953.64</v>
      </c>
      <c r="S17" s="1036">
        <v>39297.79</v>
      </c>
      <c r="T17" s="1036">
        <v>42591.34</v>
      </c>
      <c r="U17" s="1036">
        <v>47813.57</v>
      </c>
      <c r="V17" s="1036">
        <v>20327.310000000001</v>
      </c>
      <c r="W17" s="1036">
        <v>23277.24</v>
      </c>
      <c r="X17" s="1036">
        <v>34705.14</v>
      </c>
      <c r="Y17" s="1036">
        <v>15693.74</v>
      </c>
      <c r="Z17" s="1036">
        <v>24144.83</v>
      </c>
      <c r="AA17" s="1036">
        <v>46074.18</v>
      </c>
      <c r="AB17" s="1036">
        <v>17071.599999999999</v>
      </c>
      <c r="AC17" s="1036">
        <v>20070.66</v>
      </c>
      <c r="AD17" s="1036">
        <v>47813.57</v>
      </c>
      <c r="AE17" s="1036">
        <v>29970.36</v>
      </c>
      <c r="AF17" s="1036">
        <v>15791.11</v>
      </c>
      <c r="AG17" s="1036">
        <v>16570.28</v>
      </c>
      <c r="AH17" s="1036">
        <v>15376.6</v>
      </c>
      <c r="AI17" s="1036">
        <v>47962.27</v>
      </c>
      <c r="AJ17" s="1036">
        <v>44980.91</v>
      </c>
      <c r="AK17" s="1036">
        <v>14269.04</v>
      </c>
      <c r="AL17" s="1036">
        <v>15513.1</v>
      </c>
      <c r="AM17" s="1036">
        <v>18454.37</v>
      </c>
      <c r="AN17" s="1036">
        <v>18963.62</v>
      </c>
      <c r="AO17" s="1036">
        <v>19828.310000000001</v>
      </c>
      <c r="AP17" s="1036">
        <v>21370.22</v>
      </c>
      <c r="AQ17" s="1036">
        <v>22560.5</v>
      </c>
      <c r="AR17" s="1036">
        <v>14992.36</v>
      </c>
      <c r="AS17" s="1036">
        <v>17785.77</v>
      </c>
      <c r="AT17" s="1036">
        <v>19313.52</v>
      </c>
      <c r="AU17" s="1036">
        <v>16147.56</v>
      </c>
      <c r="AV17" s="1036">
        <v>17394.509999999998</v>
      </c>
      <c r="AW17" s="1036">
        <v>19462.259999999998</v>
      </c>
      <c r="AX17" s="1983">
        <v>14547.48</v>
      </c>
      <c r="AY17" s="1987">
        <v>17699.39</v>
      </c>
      <c r="AZ17" s="1988">
        <v>18247</v>
      </c>
      <c r="BA17" s="1988">
        <v>22109</v>
      </c>
      <c r="BB17" s="1988">
        <v>24349</v>
      </c>
      <c r="BC17" s="1988">
        <v>15788.31</v>
      </c>
      <c r="BD17" s="1988">
        <v>17419.61</v>
      </c>
      <c r="BE17" s="1988">
        <v>19505.060000000001</v>
      </c>
      <c r="BF17" s="1988">
        <v>15788.31</v>
      </c>
      <c r="BG17" s="1988">
        <v>17419.61</v>
      </c>
      <c r="BH17" s="1988">
        <v>19505.060000000001</v>
      </c>
      <c r="BI17" s="1988">
        <v>15788.31</v>
      </c>
      <c r="BJ17" s="1988">
        <v>18961</v>
      </c>
      <c r="BK17" s="1988">
        <v>21461</v>
      </c>
      <c r="BL17" s="1988">
        <v>23461</v>
      </c>
      <c r="BM17" s="1988">
        <v>15872</v>
      </c>
      <c r="BN17" s="1988">
        <v>17872</v>
      </c>
      <c r="BO17" s="1988">
        <v>19572</v>
      </c>
      <c r="BP17" s="1988">
        <v>19012</v>
      </c>
      <c r="BQ17" s="1989">
        <v>17419.61</v>
      </c>
      <c r="BR17" s="1989">
        <v>19764.7</v>
      </c>
      <c r="BS17" s="2045">
        <v>22484</v>
      </c>
      <c r="BT17" s="2084">
        <v>26755.27</v>
      </c>
      <c r="BU17" s="2087">
        <v>19253.86</v>
      </c>
      <c r="BV17" s="1036">
        <v>20178.580000000002</v>
      </c>
      <c r="BW17" s="2087">
        <v>22264</v>
      </c>
      <c r="BX17" s="1036">
        <v>20882.61</v>
      </c>
      <c r="BY17" s="2109">
        <v>23964</v>
      </c>
      <c r="BZ17" s="2109">
        <v>27461</v>
      </c>
      <c r="CA17" s="2212">
        <v>18478.560000000001</v>
      </c>
    </row>
    <row r="18" spans="1:79" ht="15">
      <c r="A18" s="1032" t="s">
        <v>140</v>
      </c>
      <c r="B18" s="1035">
        <v>14671.9</v>
      </c>
      <c r="C18" s="1035">
        <v>19149.91</v>
      </c>
      <c r="D18" s="1035">
        <v>20503.740000000002</v>
      </c>
      <c r="E18" s="1035">
        <v>37546.269999999997</v>
      </c>
      <c r="H18" s="1036">
        <v>39800.01</v>
      </c>
      <c r="I18" s="1036">
        <v>14368.52</v>
      </c>
      <c r="J18" s="1036">
        <v>18206.09</v>
      </c>
      <c r="K18" s="1036">
        <v>14326.24</v>
      </c>
      <c r="L18" s="1036">
        <v>18310.23</v>
      </c>
      <c r="M18" s="1036">
        <v>22863.42</v>
      </c>
      <c r="N18" s="1036">
        <v>16134.83</v>
      </c>
      <c r="O18" s="1036">
        <v>17783.22</v>
      </c>
      <c r="P18" s="1036">
        <v>31970.25</v>
      </c>
      <c r="Q18" s="1036">
        <v>32477.73</v>
      </c>
      <c r="R18" s="1036">
        <v>44953.64</v>
      </c>
      <c r="S18" s="1036">
        <v>39297.79</v>
      </c>
      <c r="T18" s="1036">
        <v>44042.51</v>
      </c>
      <c r="U18" s="1036">
        <v>50238.54</v>
      </c>
      <c r="V18" s="1036">
        <v>21046.21</v>
      </c>
      <c r="W18" s="1036">
        <v>23946.560000000001</v>
      </c>
      <c r="X18" s="1036">
        <v>35820.67</v>
      </c>
      <c r="Y18" s="1036">
        <v>16012.07</v>
      </c>
      <c r="Z18" s="1036">
        <v>24913.3</v>
      </c>
      <c r="AA18" s="1036">
        <v>47235.12</v>
      </c>
      <c r="AB18" s="1036">
        <v>17509.849999999999</v>
      </c>
      <c r="AC18" s="1036">
        <v>20523.73</v>
      </c>
      <c r="AD18" s="1036">
        <v>50238.54</v>
      </c>
      <c r="AE18" s="1036">
        <v>30986.73</v>
      </c>
      <c r="AF18" s="1036">
        <v>16103.01</v>
      </c>
      <c r="AG18" s="1036">
        <v>16882.18</v>
      </c>
      <c r="AH18" s="1036">
        <v>15688.5</v>
      </c>
      <c r="AI18" s="1036">
        <v>47962.27</v>
      </c>
      <c r="AJ18" s="1036">
        <v>44980.91</v>
      </c>
      <c r="AK18" s="1036">
        <v>14368.52</v>
      </c>
      <c r="AL18" s="1036">
        <v>16178.82</v>
      </c>
      <c r="AM18" s="1036">
        <v>19540.919999999998</v>
      </c>
      <c r="AN18" s="1036">
        <v>19472.849999999999</v>
      </c>
      <c r="AO18" s="1036">
        <v>20337.59</v>
      </c>
      <c r="AP18" s="1036">
        <v>22049.23</v>
      </c>
      <c r="AQ18" s="1036">
        <v>23253.19</v>
      </c>
      <c r="AR18" s="1036">
        <v>15200.32</v>
      </c>
      <c r="AS18" s="1036">
        <v>17998</v>
      </c>
      <c r="AT18" s="1036">
        <v>19525.75</v>
      </c>
      <c r="AU18" s="1036">
        <v>16147.56</v>
      </c>
      <c r="AV18" s="1036">
        <v>18146.740000000002</v>
      </c>
      <c r="AW18" s="1036">
        <v>19674.490000000002</v>
      </c>
      <c r="AX18" s="1983">
        <v>14671.9</v>
      </c>
      <c r="AY18" s="1987">
        <v>18234.52</v>
      </c>
      <c r="AZ18" s="1988">
        <v>18920</v>
      </c>
      <c r="BA18" s="1988">
        <v>22902</v>
      </c>
      <c r="BB18" s="1988">
        <v>25142</v>
      </c>
      <c r="BC18" s="1988">
        <v>16411.919999999998</v>
      </c>
      <c r="BD18" s="1988">
        <v>18132.25</v>
      </c>
      <c r="BE18" s="1988">
        <v>20217.7</v>
      </c>
      <c r="BF18" s="1988">
        <v>16411.919999999998</v>
      </c>
      <c r="BG18" s="1988">
        <v>18132.25</v>
      </c>
      <c r="BH18" s="1988">
        <v>20217.7</v>
      </c>
      <c r="BI18" s="1988">
        <v>16411.919999999998</v>
      </c>
      <c r="BJ18" s="1988">
        <v>19231</v>
      </c>
      <c r="BK18" s="1988">
        <v>21731</v>
      </c>
      <c r="BL18" s="1988">
        <v>23731</v>
      </c>
      <c r="BM18" s="1988">
        <v>16072</v>
      </c>
      <c r="BN18" s="1988">
        <v>18072</v>
      </c>
      <c r="BO18" s="1988">
        <v>19772</v>
      </c>
      <c r="BP18" s="1988">
        <v>19192</v>
      </c>
      <c r="BQ18" s="1989">
        <v>18132.25</v>
      </c>
      <c r="BR18" s="1989">
        <v>20437.009999999998</v>
      </c>
      <c r="BS18" s="2045">
        <v>22806.27</v>
      </c>
      <c r="BT18" s="2084">
        <v>27126.37</v>
      </c>
      <c r="BU18" s="2087">
        <v>19966.88</v>
      </c>
      <c r="BV18" s="1036">
        <v>20614.88</v>
      </c>
      <c r="BW18" s="2087">
        <v>22464</v>
      </c>
      <c r="BX18" s="1036">
        <v>21410.63</v>
      </c>
      <c r="BY18" s="2109">
        <v>24164</v>
      </c>
      <c r="BZ18" s="2109">
        <v>27731</v>
      </c>
      <c r="CA18" s="2212">
        <v>19044.330000000002</v>
      </c>
    </row>
    <row r="19" spans="1:79" ht="15">
      <c r="A19" s="1032" t="s">
        <v>141</v>
      </c>
      <c r="B19" s="1035">
        <v>14796.32</v>
      </c>
      <c r="C19" s="1035">
        <v>19149.91</v>
      </c>
      <c r="D19" s="1035">
        <v>21415.97</v>
      </c>
      <c r="E19" s="1035">
        <v>37546.269999999997</v>
      </c>
      <c r="H19" s="1036">
        <v>39800.01</v>
      </c>
      <c r="I19" s="1036">
        <v>14468</v>
      </c>
      <c r="J19" s="1036">
        <v>18206.09</v>
      </c>
      <c r="K19" s="1036">
        <v>14470.29</v>
      </c>
      <c r="L19" s="1036">
        <v>18725.580000000002</v>
      </c>
      <c r="M19" s="1036">
        <v>22863.42</v>
      </c>
      <c r="N19" s="1036">
        <v>16446.73</v>
      </c>
      <c r="O19" s="1036">
        <v>18496.240000000002</v>
      </c>
      <c r="P19" s="1036">
        <v>33227.519999999997</v>
      </c>
      <c r="Q19" s="1036">
        <v>33416.36</v>
      </c>
      <c r="R19" s="1036">
        <v>46231.54</v>
      </c>
      <c r="S19" s="1036">
        <v>40389.440000000002</v>
      </c>
      <c r="T19" s="1036">
        <v>44042.51</v>
      </c>
      <c r="U19" s="1036">
        <v>50238.54</v>
      </c>
      <c r="V19" s="1036">
        <v>21046.21</v>
      </c>
      <c r="W19" s="1036">
        <v>23946.560000000001</v>
      </c>
      <c r="X19" s="1036">
        <v>35820.67</v>
      </c>
      <c r="Y19" s="1036">
        <v>16330.4</v>
      </c>
      <c r="Z19" s="1036">
        <v>24913.3</v>
      </c>
      <c r="AA19" s="1036">
        <v>48396.06</v>
      </c>
      <c r="AB19" s="1036">
        <v>17948.099999999999</v>
      </c>
      <c r="AC19" s="1036">
        <v>20976.799999999999</v>
      </c>
      <c r="AD19" s="1036">
        <v>50238.54</v>
      </c>
      <c r="AE19" s="1036">
        <v>30986.73</v>
      </c>
      <c r="AF19" s="1036">
        <v>16414.91</v>
      </c>
      <c r="AG19" s="1036">
        <v>17194.080000000002</v>
      </c>
      <c r="AH19" s="1036">
        <v>16000.4</v>
      </c>
      <c r="AI19" s="1036">
        <v>49326.73</v>
      </c>
      <c r="AJ19" s="1036">
        <v>46298.02</v>
      </c>
      <c r="AK19" s="1036">
        <v>14468</v>
      </c>
      <c r="AL19" s="1036">
        <v>16178.82</v>
      </c>
      <c r="AM19" s="1036">
        <v>19540.919999999998</v>
      </c>
      <c r="AN19" s="1036">
        <v>19472.849999999999</v>
      </c>
      <c r="AO19" s="1036">
        <v>20337.59</v>
      </c>
      <c r="AP19" s="1036">
        <v>22049.23</v>
      </c>
      <c r="AQ19" s="1036">
        <v>23253.19</v>
      </c>
      <c r="AR19" s="1036">
        <v>15200.32</v>
      </c>
      <c r="AS19" s="1036">
        <v>17998</v>
      </c>
      <c r="AT19" s="1036">
        <v>19525.75</v>
      </c>
      <c r="AU19" s="1036">
        <v>16607.330000000002</v>
      </c>
      <c r="AV19" s="1036">
        <v>18146.740000000002</v>
      </c>
      <c r="AW19" s="1036">
        <v>19674.490000000002</v>
      </c>
      <c r="AX19" s="1983">
        <v>14796.32</v>
      </c>
      <c r="AY19" s="1987">
        <v>18234.52</v>
      </c>
      <c r="AZ19" s="1988">
        <v>18920</v>
      </c>
      <c r="BA19" s="1988">
        <v>22902</v>
      </c>
      <c r="BB19" s="1988">
        <v>25142</v>
      </c>
      <c r="BC19" s="1988">
        <v>16411.919999999998</v>
      </c>
      <c r="BD19" s="1988">
        <v>18132.25</v>
      </c>
      <c r="BE19" s="1988">
        <v>20217.7</v>
      </c>
      <c r="BF19" s="1988">
        <v>16411.919999999998</v>
      </c>
      <c r="BG19" s="1988">
        <v>18132.25</v>
      </c>
      <c r="BH19" s="1988">
        <v>20217.7</v>
      </c>
      <c r="BI19" s="1988">
        <v>16411.919999999998</v>
      </c>
      <c r="BJ19" s="1988">
        <v>19501</v>
      </c>
      <c r="BK19" s="1988">
        <v>22001</v>
      </c>
      <c r="BL19" s="1988">
        <v>24001</v>
      </c>
      <c r="BM19" s="1988">
        <v>16272</v>
      </c>
      <c r="BN19" s="1988">
        <v>18272</v>
      </c>
      <c r="BO19" s="1988">
        <v>19972</v>
      </c>
      <c r="BP19" s="1988">
        <v>19372</v>
      </c>
      <c r="BQ19" s="1989">
        <v>18132.25</v>
      </c>
      <c r="BR19" s="1989">
        <v>20437.009999999998</v>
      </c>
      <c r="BS19" s="2045">
        <v>23128.54</v>
      </c>
      <c r="BT19" s="2084">
        <v>27497.47</v>
      </c>
      <c r="BU19" s="2087">
        <v>19966.88</v>
      </c>
      <c r="BV19" s="1036">
        <v>21051.18</v>
      </c>
      <c r="BW19" s="2087">
        <v>22664</v>
      </c>
      <c r="BX19" s="1036">
        <v>21938.65</v>
      </c>
      <c r="BY19" s="2109">
        <v>24364</v>
      </c>
      <c r="BZ19" s="2109">
        <v>28001</v>
      </c>
      <c r="CA19" s="2212">
        <v>19044.330000000002</v>
      </c>
    </row>
    <row r="20" spans="1:79" ht="15">
      <c r="A20" s="1032" t="s">
        <v>3261</v>
      </c>
      <c r="B20" s="1035">
        <v>14920.74</v>
      </c>
      <c r="C20" s="1035">
        <v>19422.849999999999</v>
      </c>
      <c r="D20" s="1035">
        <v>21415.97</v>
      </c>
      <c r="E20" s="1035">
        <v>38884</v>
      </c>
      <c r="H20" s="1036">
        <v>40978.5</v>
      </c>
      <c r="I20" s="1036">
        <v>14567.48</v>
      </c>
      <c r="J20" s="1036">
        <v>18874.46</v>
      </c>
      <c r="K20" s="1036">
        <v>14614.34</v>
      </c>
      <c r="L20" s="1036">
        <v>19140.93</v>
      </c>
      <c r="M20" s="1036">
        <v>23398.18</v>
      </c>
      <c r="N20" s="1036">
        <v>16758.63</v>
      </c>
      <c r="O20" s="1036">
        <v>19209.259999999998</v>
      </c>
      <c r="P20" s="1036">
        <v>33227.519999999997</v>
      </c>
      <c r="Q20" s="1036">
        <v>33416.36</v>
      </c>
      <c r="R20" s="1036">
        <v>46231.54</v>
      </c>
      <c r="S20" s="1036">
        <v>40389.440000000002</v>
      </c>
      <c r="T20" s="1036">
        <v>45493.68</v>
      </c>
      <c r="U20" s="1036">
        <v>52663.51</v>
      </c>
      <c r="V20" s="1036">
        <v>21765.11</v>
      </c>
      <c r="W20" s="1036">
        <v>24615.88</v>
      </c>
      <c r="X20" s="1036">
        <v>36936.199999999997</v>
      </c>
      <c r="Y20" s="1036">
        <v>16648.73</v>
      </c>
      <c r="Z20" s="1036">
        <v>25681.77</v>
      </c>
      <c r="AA20" s="1036">
        <v>49557</v>
      </c>
      <c r="AB20" s="1036">
        <v>18386.349999999999</v>
      </c>
      <c r="AC20" s="1036">
        <v>21429.87</v>
      </c>
      <c r="AD20" s="1036">
        <v>52663.51</v>
      </c>
      <c r="AE20" s="1036">
        <v>32003.1</v>
      </c>
      <c r="AF20" s="1036">
        <v>16726.810000000001</v>
      </c>
      <c r="AG20" s="1036">
        <v>17505.98</v>
      </c>
      <c r="AH20" s="1036">
        <v>16312.3</v>
      </c>
      <c r="AI20" s="1036">
        <v>49326.73</v>
      </c>
      <c r="AJ20" s="1036">
        <v>46298.02</v>
      </c>
      <c r="AK20" s="1036">
        <v>14567.48</v>
      </c>
      <c r="AL20" s="1036">
        <v>16857.16</v>
      </c>
      <c r="AM20" s="1036">
        <v>19759.84</v>
      </c>
      <c r="AN20" s="1036">
        <v>19982.150000000001</v>
      </c>
      <c r="AO20" s="1036">
        <v>20846.84</v>
      </c>
      <c r="AP20" s="1036">
        <v>22733.74</v>
      </c>
      <c r="AQ20" s="1036">
        <v>23958.87</v>
      </c>
      <c r="AR20" s="1036">
        <v>15283.57</v>
      </c>
      <c r="AS20" s="1036">
        <v>18082.86</v>
      </c>
      <c r="AT20" s="1036">
        <v>19737.900000000001</v>
      </c>
      <c r="AU20" s="1036">
        <v>16607.330000000002</v>
      </c>
      <c r="AV20" s="1036">
        <v>18231.599999999999</v>
      </c>
      <c r="AW20" s="1036">
        <v>19936.32</v>
      </c>
      <c r="AX20" s="1983">
        <v>14920.74</v>
      </c>
      <c r="AY20" s="1987">
        <v>18769.650000000001</v>
      </c>
      <c r="AZ20" s="1988">
        <v>19593</v>
      </c>
      <c r="BA20" s="1988">
        <v>23695</v>
      </c>
      <c r="BB20" s="1988">
        <v>25935</v>
      </c>
      <c r="BC20" s="1988">
        <v>17035.53</v>
      </c>
      <c r="BD20" s="1988">
        <v>18844.89</v>
      </c>
      <c r="BE20" s="1988">
        <v>20930.34</v>
      </c>
      <c r="BF20" s="1988">
        <v>17035.53</v>
      </c>
      <c r="BG20" s="1988">
        <v>18844.89</v>
      </c>
      <c r="BH20" s="1988">
        <v>20930.34</v>
      </c>
      <c r="BI20" s="1988">
        <v>17035.53</v>
      </c>
      <c r="BJ20" s="1988">
        <v>19770</v>
      </c>
      <c r="BK20" s="1988">
        <v>22270</v>
      </c>
      <c r="BL20" s="1988">
        <v>24270</v>
      </c>
      <c r="BM20" s="1988">
        <v>16471</v>
      </c>
      <c r="BN20" s="1988">
        <v>18471</v>
      </c>
      <c r="BO20" s="1988">
        <v>20171</v>
      </c>
      <c r="BP20" s="1988">
        <v>19553</v>
      </c>
      <c r="BQ20" s="1989">
        <v>18844.89</v>
      </c>
      <c r="BR20" s="1989">
        <v>21109.32</v>
      </c>
      <c r="BS20" s="2045">
        <v>23450.81</v>
      </c>
      <c r="BT20" s="2084">
        <v>27868.57</v>
      </c>
      <c r="BU20" s="2087">
        <v>20679.900000000001</v>
      </c>
      <c r="BV20" s="1036">
        <v>21487.48</v>
      </c>
      <c r="BW20" s="2087">
        <v>22863</v>
      </c>
      <c r="BX20" s="1036">
        <v>22466.67</v>
      </c>
      <c r="BY20" s="2109">
        <v>24563</v>
      </c>
      <c r="BZ20" s="2109">
        <v>28270</v>
      </c>
      <c r="CA20" s="2212">
        <v>19610.099999999999</v>
      </c>
    </row>
    <row r="21" spans="1:79" ht="15">
      <c r="A21" s="1032" t="s">
        <v>3262</v>
      </c>
      <c r="B21" s="1035">
        <v>15404.68</v>
      </c>
      <c r="C21" s="1035">
        <v>19786.66</v>
      </c>
      <c r="D21" s="1035">
        <v>22328.2</v>
      </c>
      <c r="E21" s="1035">
        <v>38884</v>
      </c>
      <c r="H21" s="1036">
        <v>40978.5</v>
      </c>
      <c r="I21" s="1036">
        <v>14973.21</v>
      </c>
      <c r="J21" s="1036">
        <v>19230.93</v>
      </c>
      <c r="K21" s="1036">
        <v>15115.16</v>
      </c>
      <c r="L21" s="1036">
        <v>19909.259999999998</v>
      </c>
      <c r="M21" s="1036">
        <v>23754.66</v>
      </c>
      <c r="N21" s="1036">
        <v>17649.89</v>
      </c>
      <c r="O21" s="1036">
        <v>19565.73</v>
      </c>
      <c r="P21" s="1036">
        <v>34484.79</v>
      </c>
      <c r="Q21" s="1036">
        <v>34354.99</v>
      </c>
      <c r="R21" s="1036">
        <v>47509.440000000002</v>
      </c>
      <c r="S21" s="1036">
        <v>41481.089999999997</v>
      </c>
      <c r="T21" s="1036">
        <v>45493.68</v>
      </c>
      <c r="U21" s="1036">
        <v>52663.51</v>
      </c>
      <c r="V21" s="1036">
        <v>21765.11</v>
      </c>
      <c r="W21" s="1036">
        <v>24615.88</v>
      </c>
      <c r="X21" s="1036">
        <v>36936.199999999997</v>
      </c>
      <c r="Y21" s="1036">
        <v>17330.96</v>
      </c>
      <c r="Z21" s="1036">
        <v>25681.77</v>
      </c>
      <c r="AA21" s="1036">
        <v>50717.94</v>
      </c>
      <c r="AB21" s="1036">
        <v>19132.96</v>
      </c>
      <c r="AC21" s="1036">
        <v>22298.83</v>
      </c>
      <c r="AD21" s="1036">
        <v>52663.51</v>
      </c>
      <c r="AE21" s="1036">
        <v>32003.1</v>
      </c>
      <c r="AF21" s="1036">
        <v>17395.25</v>
      </c>
      <c r="AG21" s="1036">
        <v>18397.240000000002</v>
      </c>
      <c r="AH21" s="1036">
        <v>16980.72</v>
      </c>
      <c r="AI21" s="1036">
        <v>50691.19</v>
      </c>
      <c r="AJ21" s="1036">
        <v>47615.13</v>
      </c>
      <c r="AK21" s="1036">
        <v>14973.21</v>
      </c>
      <c r="AL21" s="1036">
        <v>16857.16</v>
      </c>
      <c r="AM21" s="1036">
        <v>19759.84</v>
      </c>
      <c r="AN21" s="1036">
        <v>19982.150000000001</v>
      </c>
      <c r="AO21" s="1036">
        <v>20846.84</v>
      </c>
      <c r="AP21" s="1036">
        <v>22733.74</v>
      </c>
      <c r="AQ21" s="1036">
        <v>23958.87</v>
      </c>
      <c r="AR21" s="1036">
        <v>15283.57</v>
      </c>
      <c r="AS21" s="1036">
        <v>18082.86</v>
      </c>
      <c r="AT21" s="1036">
        <v>19737.900000000001</v>
      </c>
      <c r="AU21" s="1036">
        <v>17067</v>
      </c>
      <c r="AV21" s="1036">
        <v>18231.599999999999</v>
      </c>
      <c r="AW21" s="1036">
        <v>19936.22</v>
      </c>
      <c r="AX21" s="1983">
        <v>15404.68</v>
      </c>
      <c r="AY21" s="1987">
        <v>18769.650000000001</v>
      </c>
      <c r="AZ21" s="1988">
        <v>19593</v>
      </c>
      <c r="BA21" s="1988">
        <v>23695</v>
      </c>
      <c r="BB21" s="1988">
        <v>25935</v>
      </c>
      <c r="BC21" s="1988">
        <v>17035.53</v>
      </c>
      <c r="BD21" s="1988">
        <v>18844.89</v>
      </c>
      <c r="BE21" s="1988">
        <v>20930.34</v>
      </c>
      <c r="BF21" s="1988">
        <v>17035.53</v>
      </c>
      <c r="BG21" s="1988">
        <v>18844.89</v>
      </c>
      <c r="BH21" s="1988">
        <v>20930.34</v>
      </c>
      <c r="BI21" s="1988">
        <v>17035.53</v>
      </c>
      <c r="BJ21" s="1988">
        <v>20040</v>
      </c>
      <c r="BK21" s="1988">
        <v>22540</v>
      </c>
      <c r="BL21" s="1988">
        <v>24540</v>
      </c>
      <c r="BM21" s="1988">
        <v>16671</v>
      </c>
      <c r="BN21" s="1988">
        <v>18671</v>
      </c>
      <c r="BO21" s="1988">
        <v>20371</v>
      </c>
      <c r="BP21" s="1988">
        <v>19733</v>
      </c>
      <c r="BQ21" s="1989">
        <v>18844.89</v>
      </c>
      <c r="BR21" s="1989">
        <v>21109.32</v>
      </c>
      <c r="BS21" s="2045">
        <v>23773.08</v>
      </c>
      <c r="BT21" s="2084">
        <v>28239.67</v>
      </c>
      <c r="BU21" s="2087">
        <v>21036.38</v>
      </c>
      <c r="BV21" s="1036">
        <v>21923.78</v>
      </c>
      <c r="BW21" s="2087">
        <v>23063</v>
      </c>
      <c r="BX21" s="1036">
        <v>22994.69</v>
      </c>
      <c r="BY21" s="2109">
        <v>24763</v>
      </c>
      <c r="BZ21" s="2109">
        <v>28540</v>
      </c>
      <c r="CA21" s="2212">
        <v>19610.099999999999</v>
      </c>
    </row>
    <row r="22" spans="1:79" ht="15">
      <c r="A22" s="1032" t="s">
        <v>3263</v>
      </c>
      <c r="B22" s="1035">
        <v>15404.68</v>
      </c>
      <c r="C22" s="1035">
        <v>20150.47</v>
      </c>
      <c r="D22" s="1035">
        <v>22328.2</v>
      </c>
      <c r="E22" s="1035">
        <v>40221.730000000003</v>
      </c>
      <c r="H22" s="1036">
        <v>42156.99</v>
      </c>
      <c r="I22" s="1036">
        <v>15079.02</v>
      </c>
      <c r="J22" s="1036">
        <v>19899.3</v>
      </c>
      <c r="K22" s="1036">
        <v>15259.21</v>
      </c>
      <c r="L22" s="1036">
        <v>20324.61</v>
      </c>
      <c r="M22" s="1036">
        <v>24289.42</v>
      </c>
      <c r="N22" s="1036">
        <v>18273.79</v>
      </c>
      <c r="O22" s="1036">
        <v>19565.73</v>
      </c>
      <c r="P22" s="1036">
        <v>34484.79</v>
      </c>
      <c r="Q22" s="1036">
        <v>34354.99</v>
      </c>
      <c r="R22" s="1036">
        <v>47509.440000000002</v>
      </c>
      <c r="S22" s="1036">
        <v>41481.089999999997</v>
      </c>
      <c r="T22" s="1036">
        <v>46944.85</v>
      </c>
      <c r="U22" s="1036">
        <v>55088.480000000003</v>
      </c>
      <c r="V22" s="1036">
        <v>22484.01</v>
      </c>
      <c r="W22" s="1036">
        <v>25285.200000000001</v>
      </c>
      <c r="X22" s="1036">
        <v>38051.730000000003</v>
      </c>
      <c r="Y22" s="1036">
        <v>17649.29</v>
      </c>
      <c r="Z22" s="1036">
        <v>26450.240000000002</v>
      </c>
      <c r="AA22" s="1036">
        <v>51878.879999999997</v>
      </c>
      <c r="AB22" s="1036">
        <v>19490.03</v>
      </c>
      <c r="AC22" s="1036">
        <v>22811.33</v>
      </c>
      <c r="AD22" s="1036">
        <v>55088.480000000003</v>
      </c>
      <c r="AE22" s="1036">
        <v>33019.47</v>
      </c>
      <c r="AF22" s="1036">
        <v>17707.150000000001</v>
      </c>
      <c r="AG22" s="1036">
        <v>19021.12</v>
      </c>
      <c r="AH22" s="1036">
        <v>17292.62</v>
      </c>
      <c r="AI22" s="1036">
        <v>50691.19</v>
      </c>
      <c r="AJ22" s="1036">
        <v>47615.13</v>
      </c>
      <c r="AK22" s="1036">
        <v>15079.02</v>
      </c>
      <c r="AL22" s="1036">
        <v>17451.37</v>
      </c>
      <c r="AM22" s="1036">
        <v>20113.61</v>
      </c>
      <c r="AN22" s="1036">
        <v>20491.400000000001</v>
      </c>
      <c r="AO22" s="1036">
        <v>21356.07</v>
      </c>
      <c r="AP22" s="1036">
        <v>23339.75</v>
      </c>
      <c r="AQ22" s="1036">
        <v>24589.29</v>
      </c>
      <c r="AR22" s="1036">
        <v>15616.45</v>
      </c>
      <c r="AS22" s="1036">
        <v>18422.36</v>
      </c>
      <c r="AT22" s="1036">
        <v>20091.53</v>
      </c>
      <c r="AU22" s="1036">
        <v>17067</v>
      </c>
      <c r="AV22" s="1036">
        <v>18571.099999999999</v>
      </c>
      <c r="AW22" s="1036">
        <v>20289.849999999999</v>
      </c>
      <c r="AX22" s="1983">
        <v>15404.68</v>
      </c>
      <c r="AY22" s="1987">
        <v>19304.78</v>
      </c>
      <c r="AZ22" s="1988">
        <v>20218</v>
      </c>
      <c r="BA22" s="1988">
        <v>24488</v>
      </c>
      <c r="BB22" s="1988">
        <v>26728</v>
      </c>
      <c r="BC22" s="1988">
        <v>17659.14</v>
      </c>
      <c r="BD22" s="1988">
        <v>19468.5</v>
      </c>
      <c r="BE22" s="1988">
        <v>21553.95</v>
      </c>
      <c r="BF22" s="1988">
        <v>17659.14</v>
      </c>
      <c r="BG22" s="1988">
        <v>19468.5</v>
      </c>
      <c r="BH22" s="1988">
        <v>21553.95</v>
      </c>
      <c r="BI22" s="1988">
        <v>17659.14</v>
      </c>
      <c r="BJ22" s="1988">
        <v>20310</v>
      </c>
      <c r="BK22" s="1988">
        <v>22810</v>
      </c>
      <c r="BL22" s="1988">
        <v>24810</v>
      </c>
      <c r="BM22" s="1988">
        <v>16871</v>
      </c>
      <c r="BN22" s="1988">
        <v>18871</v>
      </c>
      <c r="BO22" s="1988">
        <v>20571</v>
      </c>
      <c r="BP22" s="1988">
        <v>19914</v>
      </c>
      <c r="BQ22" s="1989">
        <v>19468.5</v>
      </c>
      <c r="BR22" s="1989">
        <v>21735.09</v>
      </c>
      <c r="BS22" s="2045">
        <v>24095.35</v>
      </c>
      <c r="BT22" s="2084">
        <v>28610.77</v>
      </c>
      <c r="BU22" s="2087">
        <v>21660.28</v>
      </c>
      <c r="BV22" s="1036">
        <v>22360.080000000002</v>
      </c>
      <c r="BW22" s="2087">
        <v>23263</v>
      </c>
      <c r="BX22" s="1036">
        <v>23522.71</v>
      </c>
      <c r="BY22" s="2109">
        <v>24963</v>
      </c>
      <c r="BZ22" s="2109">
        <v>28810</v>
      </c>
      <c r="CA22" s="2212">
        <v>20175.87</v>
      </c>
    </row>
    <row r="23" spans="1:79" ht="15">
      <c r="A23" s="1032" t="s">
        <v>3264</v>
      </c>
      <c r="B23" s="1035">
        <v>15404.68</v>
      </c>
      <c r="C23" s="1035">
        <v>20150.47</v>
      </c>
      <c r="D23" s="1035">
        <v>23240.43</v>
      </c>
      <c r="E23" s="1035">
        <v>40221.730000000003</v>
      </c>
      <c r="H23" s="1036">
        <v>42156.99</v>
      </c>
      <c r="I23" s="1036">
        <v>15184.83</v>
      </c>
      <c r="J23" s="1036">
        <v>19899.3</v>
      </c>
      <c r="K23" s="1036">
        <v>15403.26</v>
      </c>
      <c r="L23" s="1036">
        <v>20517.55</v>
      </c>
      <c r="M23" s="1036">
        <v>24289.42</v>
      </c>
      <c r="N23" s="1036">
        <v>18273.79</v>
      </c>
      <c r="O23" s="1036">
        <v>20189.63</v>
      </c>
      <c r="P23" s="1036">
        <v>35742.06</v>
      </c>
      <c r="Q23" s="1036">
        <v>35293.620000000003</v>
      </c>
      <c r="R23" s="1036">
        <v>48787.34</v>
      </c>
      <c r="S23" s="1036">
        <v>42572.74</v>
      </c>
      <c r="T23" s="1036">
        <v>46944.85</v>
      </c>
      <c r="U23" s="1036">
        <v>55088.480000000003</v>
      </c>
      <c r="V23" s="1036">
        <v>22484.01</v>
      </c>
      <c r="W23" s="1036">
        <v>25285.200000000001</v>
      </c>
      <c r="X23" s="1036">
        <v>38051.730000000003</v>
      </c>
      <c r="Y23" s="1036">
        <v>17967.62</v>
      </c>
      <c r="Z23" s="1036">
        <v>26450.240000000002</v>
      </c>
      <c r="AA23" s="1036">
        <v>53039.82</v>
      </c>
      <c r="AB23" s="1036">
        <v>19847.099999999999</v>
      </c>
      <c r="AC23" s="1036">
        <v>23323.83</v>
      </c>
      <c r="AD23" s="1036">
        <v>55088.480000000003</v>
      </c>
      <c r="AE23" s="1036">
        <v>33019.47</v>
      </c>
      <c r="AF23" s="1036">
        <v>18019.05</v>
      </c>
      <c r="AG23" s="1036">
        <v>19021.12</v>
      </c>
      <c r="AH23" s="1036">
        <v>17604.52</v>
      </c>
      <c r="AI23" s="1036">
        <v>52055.65</v>
      </c>
      <c r="AJ23" s="1036">
        <v>48932.24</v>
      </c>
      <c r="AK23" s="1036">
        <v>15184.83</v>
      </c>
      <c r="AL23" s="1036">
        <v>17451.37</v>
      </c>
      <c r="AM23" s="1036">
        <v>20113.61</v>
      </c>
      <c r="AN23" s="1036">
        <v>20491.400000000001</v>
      </c>
      <c r="AO23" s="1036">
        <v>21356.07</v>
      </c>
      <c r="AP23" s="1036">
        <v>23339.75</v>
      </c>
      <c r="AQ23" s="1036">
        <v>24589.29</v>
      </c>
      <c r="AR23" s="1036">
        <v>15616.45</v>
      </c>
      <c r="AS23" s="1036">
        <v>18422.36</v>
      </c>
      <c r="AT23" s="1036">
        <v>20091.53</v>
      </c>
      <c r="AU23" s="1036">
        <v>17526.75</v>
      </c>
      <c r="AV23" s="1036">
        <v>18571.099999999999</v>
      </c>
      <c r="AW23" s="1036">
        <v>20289.849999999999</v>
      </c>
      <c r="AX23" s="1983">
        <v>15404.68</v>
      </c>
      <c r="AY23" s="1987">
        <v>19304.78</v>
      </c>
      <c r="AZ23" s="1988">
        <v>20218</v>
      </c>
      <c r="BA23" s="1988">
        <v>24488</v>
      </c>
      <c r="BB23" s="1988">
        <v>26728</v>
      </c>
      <c r="BC23" s="1988">
        <v>17659.14</v>
      </c>
      <c r="BD23" s="1988">
        <v>19468.5</v>
      </c>
      <c r="BE23" s="1988">
        <v>21553.95</v>
      </c>
      <c r="BF23" s="1988">
        <v>17659.14</v>
      </c>
      <c r="BG23" s="1988">
        <v>19468.5</v>
      </c>
      <c r="BH23" s="1988">
        <v>21553.95</v>
      </c>
      <c r="BI23" s="1988">
        <v>17659.14</v>
      </c>
      <c r="BJ23" s="1988">
        <v>20579</v>
      </c>
      <c r="BK23" s="1988">
        <v>23079</v>
      </c>
      <c r="BL23" s="1988">
        <v>25079</v>
      </c>
      <c r="BM23" s="1988">
        <v>17071</v>
      </c>
      <c r="BN23" s="1988">
        <v>19071</v>
      </c>
      <c r="BO23" s="1988">
        <v>20771</v>
      </c>
      <c r="BP23" s="1988">
        <v>20094</v>
      </c>
      <c r="BQ23" s="1989">
        <v>19468.5</v>
      </c>
      <c r="BR23" s="1989">
        <v>21735.09</v>
      </c>
      <c r="BS23" s="2045">
        <v>24417.62</v>
      </c>
      <c r="BT23" s="2084">
        <v>28981.87</v>
      </c>
      <c r="BU23" s="2087">
        <v>21660.28</v>
      </c>
      <c r="BV23" s="1036">
        <v>22607.98</v>
      </c>
      <c r="BW23" s="2087">
        <v>23463</v>
      </c>
      <c r="BX23" s="1036">
        <v>23807.79</v>
      </c>
      <c r="BY23" s="2109">
        <v>25163</v>
      </c>
      <c r="BZ23" s="2109">
        <v>29079</v>
      </c>
      <c r="CA23" s="2212">
        <v>20175.87</v>
      </c>
    </row>
    <row r="24" spans="1:79" ht="15">
      <c r="A24" s="1032" t="s">
        <v>3265</v>
      </c>
      <c r="B24" s="1035">
        <v>15404.68</v>
      </c>
      <c r="C24" s="1035">
        <v>20514.28</v>
      </c>
      <c r="D24" s="1035">
        <v>23240.43</v>
      </c>
      <c r="E24" s="1035">
        <v>41559.46</v>
      </c>
      <c r="H24" s="1036">
        <v>43335.48</v>
      </c>
      <c r="I24" s="1036">
        <v>15290.64</v>
      </c>
      <c r="J24" s="1036">
        <v>20567.669999999998</v>
      </c>
      <c r="K24" s="1036">
        <v>15547.31</v>
      </c>
      <c r="L24" s="1036">
        <v>20710.419999999998</v>
      </c>
      <c r="M24" s="1036">
        <v>24824.18</v>
      </c>
      <c r="N24" s="1036">
        <v>18897.689999999999</v>
      </c>
      <c r="O24" s="1036">
        <v>20189.63</v>
      </c>
      <c r="P24" s="1036">
        <v>35742.06</v>
      </c>
      <c r="Q24" s="1036">
        <v>35293.620000000003</v>
      </c>
      <c r="R24" s="1036">
        <v>48787.34</v>
      </c>
      <c r="S24" s="1036">
        <v>42572.74</v>
      </c>
      <c r="T24" s="1036">
        <v>48396.02</v>
      </c>
      <c r="U24" s="1036">
        <v>57513.45</v>
      </c>
      <c r="V24" s="1036">
        <v>23202.91</v>
      </c>
      <c r="W24" s="1036">
        <v>25954.52</v>
      </c>
      <c r="X24" s="1036">
        <v>39167.26</v>
      </c>
      <c r="Y24" s="1036">
        <v>18285.95</v>
      </c>
      <c r="Z24" s="1036">
        <v>27218.71</v>
      </c>
      <c r="AA24" s="1036">
        <v>54200.76</v>
      </c>
      <c r="AB24" s="1036">
        <v>20204.169999999998</v>
      </c>
      <c r="AC24" s="1036">
        <v>23836.33</v>
      </c>
      <c r="AD24" s="1036">
        <v>57513.45</v>
      </c>
      <c r="AE24" s="1036">
        <v>34035.839999999997</v>
      </c>
      <c r="AF24" s="1036">
        <v>18330.95</v>
      </c>
      <c r="AG24" s="1036">
        <v>19645</v>
      </c>
      <c r="AH24" s="1036">
        <v>17916.419999999998</v>
      </c>
      <c r="AI24" s="1036">
        <v>52055.65</v>
      </c>
      <c r="AJ24" s="1036">
        <v>48932.24</v>
      </c>
      <c r="AK24" s="1036">
        <v>15290.64</v>
      </c>
      <c r="AL24" s="1036">
        <v>18045.5</v>
      </c>
      <c r="AM24" s="1036">
        <v>20459.82</v>
      </c>
      <c r="AN24" s="1036">
        <v>21085.51</v>
      </c>
      <c r="AO24" s="1036">
        <v>21950.2</v>
      </c>
      <c r="AP24" s="1036">
        <v>23958.89</v>
      </c>
      <c r="AQ24" s="1036">
        <v>25219.79</v>
      </c>
      <c r="AR24" s="1036">
        <v>15949.52</v>
      </c>
      <c r="AS24" s="1036">
        <v>18761.900000000001</v>
      </c>
      <c r="AT24" s="1036">
        <v>20445.18</v>
      </c>
      <c r="AU24" s="1036">
        <v>17526.75</v>
      </c>
      <c r="AV24" s="1036">
        <v>18910.64</v>
      </c>
      <c r="AW24" s="1036">
        <v>20643.5</v>
      </c>
      <c r="AX24" s="1983">
        <v>15404.68</v>
      </c>
      <c r="AY24" s="1987">
        <v>19839.91</v>
      </c>
      <c r="AZ24" s="1988">
        <v>20843</v>
      </c>
      <c r="BA24" s="1988">
        <v>25281</v>
      </c>
      <c r="BB24" s="1988">
        <v>27521</v>
      </c>
      <c r="BC24" s="1988">
        <v>18282.75</v>
      </c>
      <c r="BD24" s="1988">
        <v>20092.11</v>
      </c>
      <c r="BE24" s="1988">
        <v>22177.56</v>
      </c>
      <c r="BF24" s="1988">
        <v>18282.75</v>
      </c>
      <c r="BG24" s="1988">
        <v>20092.11</v>
      </c>
      <c r="BH24" s="1988">
        <v>22177.56</v>
      </c>
      <c r="BI24" s="1988">
        <v>18282.75</v>
      </c>
      <c r="BJ24" s="1988">
        <v>20849</v>
      </c>
      <c r="BK24" s="1988">
        <v>23349</v>
      </c>
      <c r="BL24" s="1988">
        <v>25349</v>
      </c>
      <c r="BM24" s="1988">
        <v>17270</v>
      </c>
      <c r="BN24" s="1988">
        <v>19270</v>
      </c>
      <c r="BO24" s="1988">
        <v>20970</v>
      </c>
      <c r="BP24" s="1988">
        <v>20275</v>
      </c>
      <c r="BQ24" s="1989">
        <v>20092.11</v>
      </c>
      <c r="BR24" s="1989">
        <v>22360.86</v>
      </c>
      <c r="BS24" s="2045">
        <v>24591.15</v>
      </c>
      <c r="BT24" s="2084">
        <v>29352.97</v>
      </c>
      <c r="BU24" s="2087">
        <v>22284.18</v>
      </c>
      <c r="BV24" s="1036">
        <v>22855.88</v>
      </c>
      <c r="BW24" s="2087">
        <v>23662</v>
      </c>
      <c r="BX24" s="1036">
        <v>24092.87</v>
      </c>
      <c r="BY24" s="2109">
        <v>25362</v>
      </c>
      <c r="BZ24" s="2109">
        <v>29349</v>
      </c>
      <c r="CA24" s="2212">
        <v>20816.060000000001</v>
      </c>
    </row>
    <row r="25" spans="1:79" ht="15">
      <c r="A25" s="1032" t="s">
        <v>3266</v>
      </c>
      <c r="B25" s="1035">
        <v>15404.68</v>
      </c>
      <c r="C25" s="1035">
        <v>20514.28</v>
      </c>
      <c r="D25" s="1035">
        <v>24152.66</v>
      </c>
      <c r="E25" s="1035">
        <v>41559.46</v>
      </c>
      <c r="H25" s="1036">
        <v>43335.48</v>
      </c>
      <c r="I25" s="1036">
        <v>15396.45</v>
      </c>
      <c r="J25" s="1036">
        <v>20567.669999999998</v>
      </c>
      <c r="K25" s="1036">
        <v>15691.36</v>
      </c>
      <c r="L25" s="1036">
        <v>20903.29</v>
      </c>
      <c r="M25" s="1036">
        <v>24824.18</v>
      </c>
      <c r="N25" s="1036">
        <v>18897.689999999999</v>
      </c>
      <c r="O25" s="1036">
        <v>20813.53</v>
      </c>
      <c r="P25" s="1036">
        <v>36809.35</v>
      </c>
      <c r="Q25" s="1036">
        <v>36232.25</v>
      </c>
      <c r="R25" s="1036">
        <v>50065.24</v>
      </c>
      <c r="S25" s="1036">
        <v>43664.39</v>
      </c>
      <c r="T25" s="1036">
        <v>48396.02</v>
      </c>
      <c r="U25" s="1036">
        <v>57513.45</v>
      </c>
      <c r="V25" s="1036">
        <v>23202.91</v>
      </c>
      <c r="W25" s="1036">
        <v>25954.52</v>
      </c>
      <c r="X25" s="1036">
        <v>39167.26</v>
      </c>
      <c r="Y25" s="1036">
        <v>18604.28</v>
      </c>
      <c r="Z25" s="1036">
        <v>27218.71</v>
      </c>
      <c r="AA25" s="1036">
        <v>54200.76</v>
      </c>
      <c r="AB25" s="1036">
        <v>20561.240000000002</v>
      </c>
      <c r="AC25" s="1036">
        <v>24348.83</v>
      </c>
      <c r="AD25" s="1036">
        <v>57513.45</v>
      </c>
      <c r="AE25" s="1036">
        <v>34035.839999999997</v>
      </c>
      <c r="AF25" s="1036">
        <v>18642.849999999999</v>
      </c>
      <c r="AG25" s="1036">
        <v>19645</v>
      </c>
      <c r="AH25" s="1036">
        <v>18228.32</v>
      </c>
      <c r="AI25" s="1036">
        <v>53420.11</v>
      </c>
      <c r="AJ25" s="1036">
        <v>50249.35</v>
      </c>
      <c r="AK25" s="1036">
        <v>15396.45</v>
      </c>
      <c r="AL25" s="1036">
        <v>18045.5</v>
      </c>
      <c r="AM25" s="1036">
        <v>20459.82</v>
      </c>
      <c r="AN25" s="1036">
        <v>21085.51</v>
      </c>
      <c r="AO25" s="1036">
        <v>21950.2</v>
      </c>
      <c r="AP25" s="1036">
        <v>23958.89</v>
      </c>
      <c r="AQ25" s="1036">
        <v>25219.79</v>
      </c>
      <c r="AR25" s="1036">
        <v>15949.52</v>
      </c>
      <c r="AS25" s="1036">
        <v>18761.900000000001</v>
      </c>
      <c r="AT25" s="1036">
        <v>20445.18</v>
      </c>
      <c r="AU25" s="1036">
        <v>18083.990000000002</v>
      </c>
      <c r="AV25" s="1036">
        <v>18910.64</v>
      </c>
      <c r="AW25" s="1036">
        <v>20643.5</v>
      </c>
      <c r="AX25" s="1983">
        <v>15404.68</v>
      </c>
      <c r="AY25" s="1987">
        <v>19839.91</v>
      </c>
      <c r="AZ25" s="1988">
        <v>20843</v>
      </c>
      <c r="BA25" s="1988">
        <v>25281</v>
      </c>
      <c r="BB25" s="1988">
        <v>27521</v>
      </c>
      <c r="BC25" s="1988">
        <v>18282.75</v>
      </c>
      <c r="BD25" s="1988">
        <v>20092.11</v>
      </c>
      <c r="BE25" s="1988">
        <v>22177.56</v>
      </c>
      <c r="BF25" s="1988">
        <v>18282.75</v>
      </c>
      <c r="BG25" s="1988">
        <v>20092.11</v>
      </c>
      <c r="BH25" s="1988">
        <v>22177.56</v>
      </c>
      <c r="BI25" s="1988">
        <v>18282.75</v>
      </c>
      <c r="BJ25" s="1988">
        <v>21118</v>
      </c>
      <c r="BK25" s="1988">
        <v>23618</v>
      </c>
      <c r="BL25" s="1988">
        <v>25618</v>
      </c>
      <c r="BM25" s="1988">
        <v>17470</v>
      </c>
      <c r="BN25" s="1988">
        <v>19470</v>
      </c>
      <c r="BO25" s="1988">
        <v>21170</v>
      </c>
      <c r="BP25" s="1988">
        <v>20455</v>
      </c>
      <c r="BQ25" s="1989">
        <v>20092.11</v>
      </c>
      <c r="BR25" s="1989">
        <v>22360.86</v>
      </c>
      <c r="BS25" s="2045">
        <v>24764.68</v>
      </c>
      <c r="BT25" s="2084">
        <v>29724.07</v>
      </c>
      <c r="BU25" s="2087">
        <v>22284.18</v>
      </c>
      <c r="BV25" s="1036">
        <v>23103.78</v>
      </c>
      <c r="BW25" s="2087">
        <v>23862</v>
      </c>
      <c r="BX25" s="1036">
        <v>24377.95</v>
      </c>
      <c r="BY25" s="2109">
        <v>25562</v>
      </c>
      <c r="BZ25" s="2109">
        <v>29618</v>
      </c>
      <c r="CA25" s="2212">
        <v>20816.060000000001</v>
      </c>
    </row>
    <row r="26" spans="1:79" ht="15">
      <c r="A26" s="1032" t="s">
        <v>3267</v>
      </c>
      <c r="B26" s="1035">
        <v>15404.68</v>
      </c>
      <c r="C26" s="1035">
        <v>20878.09</v>
      </c>
      <c r="D26" s="1035">
        <v>24152.66</v>
      </c>
      <c r="E26" s="1035">
        <v>42897.19</v>
      </c>
      <c r="H26" s="1036">
        <v>44513.97</v>
      </c>
      <c r="I26" s="1036">
        <v>15502.26</v>
      </c>
      <c r="J26" s="1036">
        <v>21236.04</v>
      </c>
      <c r="K26" s="1036">
        <v>15836.33</v>
      </c>
      <c r="L26" s="1036">
        <v>21096.16</v>
      </c>
      <c r="M26" s="1036">
        <v>25358.94</v>
      </c>
      <c r="N26" s="1036">
        <v>19521.59</v>
      </c>
      <c r="O26" s="1036">
        <v>20813.53</v>
      </c>
      <c r="P26" s="1036">
        <v>36809.35</v>
      </c>
      <c r="Q26" s="1036">
        <v>36232.25</v>
      </c>
      <c r="R26" s="1036">
        <v>50065.24</v>
      </c>
      <c r="S26" s="1036">
        <v>43664.39</v>
      </c>
      <c r="T26" s="1036">
        <v>49847.19</v>
      </c>
      <c r="U26" s="1036">
        <v>57513.45</v>
      </c>
      <c r="V26" s="1036">
        <v>23921.81</v>
      </c>
      <c r="W26" s="1036">
        <v>26623.84</v>
      </c>
      <c r="X26" s="1036">
        <v>40282.79</v>
      </c>
      <c r="Y26" s="1036">
        <v>18922.61</v>
      </c>
      <c r="Z26" s="1036">
        <v>27987.18</v>
      </c>
      <c r="AA26" s="1036">
        <v>54200.76</v>
      </c>
      <c r="AB26" s="1036">
        <v>20918.310000000001</v>
      </c>
      <c r="AC26" s="1036">
        <v>24861.33</v>
      </c>
      <c r="AD26" s="1036">
        <v>57513.45</v>
      </c>
      <c r="AE26" s="1036">
        <v>35052.21</v>
      </c>
      <c r="AF26" s="1036">
        <v>18954.75</v>
      </c>
      <c r="AG26" s="1036">
        <v>20268.88</v>
      </c>
      <c r="AH26" s="1036">
        <v>18540.22</v>
      </c>
      <c r="AI26" s="1036">
        <v>53420.11</v>
      </c>
      <c r="AJ26" s="1036">
        <v>50249.35</v>
      </c>
      <c r="AK26" s="1036">
        <v>15502.26</v>
      </c>
      <c r="AL26" s="1036">
        <v>18639.580000000002</v>
      </c>
      <c r="AM26" s="1036">
        <v>20830.900000000001</v>
      </c>
      <c r="AN26" s="1036">
        <v>21679.62</v>
      </c>
      <c r="AO26" s="1036">
        <v>22546.14</v>
      </c>
      <c r="AP26" s="1036">
        <v>24589.31</v>
      </c>
      <c r="AQ26" s="1036">
        <v>25850.240000000002</v>
      </c>
      <c r="AR26" s="1036">
        <v>16289.06</v>
      </c>
      <c r="AS26" s="1036">
        <v>19101.37</v>
      </c>
      <c r="AT26" s="1036">
        <v>20798.830000000002</v>
      </c>
      <c r="AU26" s="1036">
        <v>18083.990000000002</v>
      </c>
      <c r="AV26" s="1036">
        <v>19250.11</v>
      </c>
      <c r="AW26" s="1036">
        <v>20997.15</v>
      </c>
      <c r="AX26" s="1983">
        <v>15404.68</v>
      </c>
      <c r="AY26" s="1987">
        <v>20375.04</v>
      </c>
      <c r="AZ26" s="1988">
        <v>21468</v>
      </c>
      <c r="BA26" s="1988">
        <v>26074</v>
      </c>
      <c r="BB26" s="1988">
        <v>28314</v>
      </c>
      <c r="BC26" s="1988">
        <v>18906.36</v>
      </c>
      <c r="BD26" s="1988">
        <v>20715.72</v>
      </c>
      <c r="BE26" s="1988">
        <v>22801.17</v>
      </c>
      <c r="BF26" s="1988">
        <v>18906.36</v>
      </c>
      <c r="BG26" s="1988">
        <v>20715.72</v>
      </c>
      <c r="BH26" s="1988">
        <v>22801.17</v>
      </c>
      <c r="BI26" s="1988">
        <v>18906.36</v>
      </c>
      <c r="BJ26" s="1988">
        <v>21388</v>
      </c>
      <c r="BK26" s="1988">
        <v>23888</v>
      </c>
      <c r="BL26" s="1988">
        <v>25888</v>
      </c>
      <c r="BM26" s="1988">
        <v>17670</v>
      </c>
      <c r="BN26" s="1988">
        <v>19670</v>
      </c>
      <c r="BO26" s="1988">
        <v>21370</v>
      </c>
      <c r="BP26" s="1988">
        <v>20636</v>
      </c>
      <c r="BQ26" s="1989">
        <v>20715.72</v>
      </c>
      <c r="BR26" s="1989">
        <v>22986.63</v>
      </c>
      <c r="BS26" s="2045">
        <v>24938.21</v>
      </c>
      <c r="BT26" s="2084">
        <v>30095.17</v>
      </c>
      <c r="BU26" s="2087">
        <v>22908.080000000002</v>
      </c>
      <c r="BV26" s="1036">
        <v>23351.68</v>
      </c>
      <c r="BW26" s="2087">
        <v>24062</v>
      </c>
      <c r="BX26" s="1036">
        <v>24663.03</v>
      </c>
      <c r="BY26" s="2109">
        <v>25762</v>
      </c>
      <c r="BZ26" s="2109">
        <v>29888</v>
      </c>
      <c r="CA26" s="2212">
        <v>21456.25</v>
      </c>
    </row>
    <row r="27" spans="1:79" ht="15">
      <c r="A27" s="1032" t="s">
        <v>3268</v>
      </c>
      <c r="B27" s="1035">
        <v>15404.68</v>
      </c>
      <c r="C27" s="1035">
        <v>20878.09</v>
      </c>
      <c r="D27" s="1035">
        <v>25064.89</v>
      </c>
      <c r="E27" s="1035">
        <v>42897.19</v>
      </c>
      <c r="H27" s="1036">
        <v>44513.97</v>
      </c>
      <c r="I27" s="1036">
        <v>15608.07</v>
      </c>
      <c r="J27" s="1036">
        <v>21236.04</v>
      </c>
      <c r="K27" s="1036">
        <v>15836.33</v>
      </c>
      <c r="L27" s="1036">
        <v>21289.03</v>
      </c>
      <c r="M27" s="1036">
        <v>25358.94</v>
      </c>
      <c r="N27" s="1036">
        <v>19521.59</v>
      </c>
      <c r="O27" s="1036">
        <v>21437.43</v>
      </c>
      <c r="P27" s="1036">
        <v>37876.639999999999</v>
      </c>
      <c r="Q27" s="1036">
        <v>37170.879999999997</v>
      </c>
      <c r="R27" s="1036">
        <v>51343.14</v>
      </c>
      <c r="S27" s="1036">
        <v>44756.04</v>
      </c>
      <c r="T27" s="1036">
        <v>49847.19</v>
      </c>
      <c r="U27" s="1036">
        <v>57513.45</v>
      </c>
      <c r="V27" s="1036">
        <v>23921.81</v>
      </c>
      <c r="W27" s="1036">
        <v>26623.84</v>
      </c>
      <c r="X27" s="1036">
        <v>40282.79</v>
      </c>
      <c r="Y27" s="1036">
        <v>19240.939999999999</v>
      </c>
      <c r="Z27" s="1036">
        <v>27987.18</v>
      </c>
      <c r="AA27" s="1036">
        <v>54200.76</v>
      </c>
      <c r="AB27" s="1036">
        <v>21275.38</v>
      </c>
      <c r="AC27" s="1036">
        <v>25373.83</v>
      </c>
      <c r="AD27" s="1036">
        <v>57513.45</v>
      </c>
      <c r="AE27" s="1036">
        <v>35052.21</v>
      </c>
      <c r="AF27" s="1036">
        <v>19266.650000000001</v>
      </c>
      <c r="AG27" s="1036">
        <v>20268.88</v>
      </c>
      <c r="AH27" s="1036">
        <v>18852.12</v>
      </c>
      <c r="AI27" s="1036">
        <v>54784.57</v>
      </c>
      <c r="AJ27" s="1036">
        <v>51566.46</v>
      </c>
      <c r="AK27" s="1036">
        <v>15608.07</v>
      </c>
      <c r="AL27" s="1036">
        <v>18639.580000000002</v>
      </c>
      <c r="AM27" s="1036">
        <v>20830.900000000001</v>
      </c>
      <c r="AN27" s="1036">
        <v>21679.62</v>
      </c>
      <c r="AO27" s="1036">
        <v>22546.14</v>
      </c>
      <c r="AP27" s="1036">
        <v>24589.31</v>
      </c>
      <c r="AQ27" s="1036">
        <v>25850.240000000002</v>
      </c>
      <c r="AR27" s="1036">
        <v>15289.06</v>
      </c>
      <c r="AS27" s="1036">
        <v>19101.37</v>
      </c>
      <c r="AT27" s="1036">
        <v>20798.830000000002</v>
      </c>
      <c r="AU27" s="1036">
        <v>18701.419999999998</v>
      </c>
      <c r="AV27" s="1036">
        <v>19250.11</v>
      </c>
      <c r="AW27" s="1036">
        <v>20997.15</v>
      </c>
      <c r="AX27" s="1983">
        <v>15404.68</v>
      </c>
      <c r="AY27" s="1987">
        <v>20375.04</v>
      </c>
      <c r="AZ27" s="1988">
        <v>21468</v>
      </c>
      <c r="BA27" s="1988">
        <v>26074</v>
      </c>
      <c r="BB27" s="1988">
        <v>28314</v>
      </c>
      <c r="BC27" s="1988">
        <v>18906.36</v>
      </c>
      <c r="BD27" s="1988">
        <v>20715.72</v>
      </c>
      <c r="BE27" s="1988">
        <v>22801.17</v>
      </c>
      <c r="BF27" s="1988">
        <v>18906.36</v>
      </c>
      <c r="BG27" s="1988">
        <v>20715.72</v>
      </c>
      <c r="BH27" s="1988">
        <v>22801.17</v>
      </c>
      <c r="BI27" s="1988">
        <v>18906.36</v>
      </c>
      <c r="BJ27" s="1988">
        <v>21658</v>
      </c>
      <c r="BK27" s="1988">
        <v>24158</v>
      </c>
      <c r="BL27" s="1988">
        <v>26158</v>
      </c>
      <c r="BM27" s="1988">
        <v>17870</v>
      </c>
      <c r="BN27" s="1988">
        <v>19870</v>
      </c>
      <c r="BO27" s="1988">
        <v>21570</v>
      </c>
      <c r="BP27" s="1988">
        <v>20816</v>
      </c>
      <c r="BQ27" s="1989">
        <v>20715.72</v>
      </c>
      <c r="BR27" s="1989">
        <v>22986.63</v>
      </c>
      <c r="BS27" s="2045">
        <v>25111.74</v>
      </c>
      <c r="BT27" s="2084">
        <v>30466.27</v>
      </c>
      <c r="BU27" s="2087">
        <v>22908.080000000002</v>
      </c>
      <c r="BV27" s="1036">
        <v>23599.58</v>
      </c>
      <c r="BW27" s="2087">
        <v>24262</v>
      </c>
      <c r="BX27" s="1036">
        <v>24948.11</v>
      </c>
      <c r="BY27" s="2109">
        <v>25962</v>
      </c>
      <c r="BZ27" s="2109">
        <v>30158</v>
      </c>
      <c r="CA27" s="2212">
        <v>21456.25</v>
      </c>
    </row>
    <row r="28" spans="1:79" ht="15">
      <c r="A28" s="1032" t="s">
        <v>451</v>
      </c>
      <c r="B28" s="1035">
        <v>15404.68</v>
      </c>
      <c r="C28" s="1035">
        <v>21241.9</v>
      </c>
      <c r="D28" s="1035">
        <v>25064.89</v>
      </c>
      <c r="E28" s="1035">
        <v>44234.92</v>
      </c>
      <c r="H28" s="1036">
        <v>45692.46</v>
      </c>
      <c r="I28" s="1036">
        <v>15713.88</v>
      </c>
      <c r="J28" s="1036">
        <v>21904.41</v>
      </c>
      <c r="K28" s="1036">
        <v>15836.33</v>
      </c>
      <c r="L28" s="1036">
        <v>21481.9</v>
      </c>
      <c r="M28" s="1036">
        <v>25893.7</v>
      </c>
      <c r="N28" s="1036">
        <v>20145.490000000002</v>
      </c>
      <c r="O28" s="1036">
        <v>21437.43</v>
      </c>
      <c r="P28" s="1036">
        <v>37876.639999999999</v>
      </c>
      <c r="Q28" s="1036">
        <v>37170.879999999997</v>
      </c>
      <c r="R28" s="1036">
        <v>51343.14</v>
      </c>
      <c r="S28" s="1036">
        <v>44756.04</v>
      </c>
      <c r="T28" s="1036">
        <v>51298.36</v>
      </c>
      <c r="U28" s="1036">
        <v>57513.45</v>
      </c>
      <c r="V28" s="1036">
        <v>24640.71</v>
      </c>
      <c r="W28" s="1036">
        <v>27293.16</v>
      </c>
      <c r="X28" s="1036">
        <v>41398.32</v>
      </c>
      <c r="Y28" s="1036">
        <v>19559.27</v>
      </c>
      <c r="Z28" s="1036">
        <v>28755.65</v>
      </c>
      <c r="AA28" s="1036">
        <v>54200.76</v>
      </c>
      <c r="AB28" s="1036">
        <v>21632.45</v>
      </c>
      <c r="AC28" s="1036">
        <v>25886.33</v>
      </c>
      <c r="AD28" s="1036">
        <v>57513.45</v>
      </c>
      <c r="AE28" s="1036">
        <v>36068.58</v>
      </c>
      <c r="AF28" s="1036">
        <v>19578.55</v>
      </c>
      <c r="AG28" s="1036">
        <v>20892.759999999998</v>
      </c>
      <c r="AH28" s="1036">
        <v>19164.02</v>
      </c>
      <c r="AI28" s="1036">
        <v>54784.57</v>
      </c>
      <c r="AJ28" s="1036">
        <v>51566.46</v>
      </c>
      <c r="AK28" s="1036">
        <v>15713.88</v>
      </c>
      <c r="AL28" s="1036">
        <v>19233.740000000002</v>
      </c>
      <c r="AM28" s="1036">
        <v>21425.03</v>
      </c>
      <c r="AN28" s="1036">
        <v>22273.73</v>
      </c>
      <c r="AO28" s="1036">
        <v>23152.15</v>
      </c>
      <c r="AP28" s="1036">
        <v>25219.81</v>
      </c>
      <c r="AQ28" s="1036">
        <v>26480.61</v>
      </c>
      <c r="AR28" s="1036">
        <v>16628.53</v>
      </c>
      <c r="AS28" s="1036">
        <v>19440.84</v>
      </c>
      <c r="AT28" s="1036">
        <v>21152.5</v>
      </c>
      <c r="AU28" s="1036">
        <v>18701.419999999998</v>
      </c>
      <c r="AV28" s="1036">
        <v>19589.580000000002</v>
      </c>
      <c r="AW28" s="1036">
        <v>21350.82</v>
      </c>
      <c r="AX28" s="1983">
        <v>15404.68</v>
      </c>
      <c r="AY28" s="1987">
        <v>20910.169999999998</v>
      </c>
      <c r="AZ28" s="1988">
        <v>22093</v>
      </c>
      <c r="BA28" s="1988">
        <v>26992</v>
      </c>
      <c r="BB28" s="1988">
        <v>29232</v>
      </c>
      <c r="BC28" s="1988">
        <v>19529.97</v>
      </c>
      <c r="BD28" s="1988">
        <v>21339.33</v>
      </c>
      <c r="BE28" s="1988">
        <v>23424.78</v>
      </c>
      <c r="BF28" s="1988">
        <v>19529.97</v>
      </c>
      <c r="BG28" s="1988">
        <v>21339.33</v>
      </c>
      <c r="BH28" s="1988">
        <v>23424.78</v>
      </c>
      <c r="BI28" s="1988">
        <v>19529.97</v>
      </c>
      <c r="BJ28" s="1988">
        <v>21927</v>
      </c>
      <c r="BK28" s="1988">
        <v>24427</v>
      </c>
      <c r="BL28" s="1988">
        <v>26427</v>
      </c>
      <c r="BM28" s="1988">
        <v>18069</v>
      </c>
      <c r="BN28" s="1988">
        <v>20069</v>
      </c>
      <c r="BO28" s="1988">
        <v>21769</v>
      </c>
      <c r="BP28" s="1988">
        <v>20997</v>
      </c>
      <c r="BQ28" s="1989">
        <v>21339.33</v>
      </c>
      <c r="BR28" s="1989">
        <v>23612.400000000001</v>
      </c>
      <c r="BS28" s="2045">
        <v>25285.27</v>
      </c>
      <c r="BT28" s="2084">
        <v>30837.37</v>
      </c>
      <c r="BU28" s="2087">
        <v>23531.98</v>
      </c>
      <c r="BV28" s="1036">
        <v>23847.48</v>
      </c>
      <c r="BW28" s="2087">
        <v>24461</v>
      </c>
      <c r="BX28" s="1036">
        <v>25233.19</v>
      </c>
      <c r="BY28" s="2109">
        <v>26161</v>
      </c>
      <c r="BZ28" s="2109">
        <v>30427</v>
      </c>
      <c r="CA28" s="2212">
        <v>22096.44</v>
      </c>
    </row>
    <row r="29" spans="1:79" ht="15">
      <c r="A29" s="1032" t="s">
        <v>2076</v>
      </c>
      <c r="B29" s="1035">
        <v>15404.68</v>
      </c>
      <c r="C29" s="1035">
        <v>21241.9</v>
      </c>
      <c r="D29" s="1035">
        <v>25977.119999999999</v>
      </c>
      <c r="E29" s="1035">
        <v>44234.92</v>
      </c>
      <c r="H29" s="1036">
        <v>45692.46</v>
      </c>
      <c r="I29" s="1036">
        <v>15819.69</v>
      </c>
      <c r="J29" s="1036">
        <v>21904.41</v>
      </c>
      <c r="K29" s="1036">
        <v>15836.33</v>
      </c>
      <c r="L29" s="1036">
        <v>21674.77</v>
      </c>
      <c r="M29" s="1036">
        <v>25893.7</v>
      </c>
      <c r="N29" s="1036">
        <v>20145.490000000002</v>
      </c>
      <c r="O29" s="1036">
        <v>22061.33</v>
      </c>
      <c r="P29" s="1036">
        <v>38943.93</v>
      </c>
      <c r="Q29" s="1036">
        <v>38109.51</v>
      </c>
      <c r="R29" s="1036">
        <v>52621.04</v>
      </c>
      <c r="S29" s="1036">
        <v>45847.69</v>
      </c>
      <c r="T29" s="1036">
        <v>51298.36</v>
      </c>
      <c r="U29" s="1036">
        <v>57513.45</v>
      </c>
      <c r="V29" s="1036">
        <v>24640.71</v>
      </c>
      <c r="W29" s="1036">
        <v>27293.16</v>
      </c>
      <c r="X29" s="1036">
        <v>41398.32</v>
      </c>
      <c r="Y29" s="1036">
        <v>19877.599999999999</v>
      </c>
      <c r="Z29" s="1036">
        <v>28755.65</v>
      </c>
      <c r="AA29" s="1036">
        <v>54200.76</v>
      </c>
      <c r="AB29" s="1036">
        <v>21989.52</v>
      </c>
      <c r="AC29" s="1036">
        <v>26398.83</v>
      </c>
      <c r="AD29" s="1036">
        <v>57513.45</v>
      </c>
      <c r="AE29" s="1036">
        <v>36068.58</v>
      </c>
      <c r="AF29" s="1036">
        <v>19890.45</v>
      </c>
      <c r="AG29" s="1036">
        <v>20892.759999999998</v>
      </c>
      <c r="AH29" s="1036">
        <v>19475.919999999998</v>
      </c>
      <c r="AI29" s="1036">
        <v>56149.03</v>
      </c>
      <c r="AJ29" s="1036">
        <v>52883.57</v>
      </c>
      <c r="AK29" s="1036">
        <v>15819.69</v>
      </c>
      <c r="AL29" s="1036">
        <v>19233.740000000002</v>
      </c>
      <c r="AM29" s="1036">
        <v>21425.03</v>
      </c>
      <c r="AN29" s="1036">
        <v>22273.73</v>
      </c>
      <c r="AO29" s="1036">
        <v>23152.15</v>
      </c>
      <c r="AP29" s="1036">
        <v>25219.81</v>
      </c>
      <c r="AQ29" s="1036">
        <v>26480.61</v>
      </c>
      <c r="AR29" s="1036">
        <v>16628.53</v>
      </c>
      <c r="AS29" s="1036">
        <v>19440.84</v>
      </c>
      <c r="AT29" s="1036">
        <v>21152.5</v>
      </c>
      <c r="AU29" s="1036">
        <v>19318.849999999999</v>
      </c>
      <c r="AV29" s="1036">
        <v>19589.580000000002</v>
      </c>
      <c r="AW29" s="1036">
        <v>21350.82</v>
      </c>
      <c r="AX29" s="1983">
        <v>15404.68</v>
      </c>
      <c r="AY29" s="1987">
        <v>20910.169999999998</v>
      </c>
      <c r="AZ29" s="1988">
        <v>22093</v>
      </c>
      <c r="BA29" s="1988">
        <v>26992</v>
      </c>
      <c r="BB29" s="1988">
        <v>29232</v>
      </c>
      <c r="BC29" s="1988">
        <v>19529.97</v>
      </c>
      <c r="BD29" s="1988">
        <v>21339.33</v>
      </c>
      <c r="BE29" s="1988">
        <v>23424.78</v>
      </c>
      <c r="BF29" s="1988">
        <v>19529.97</v>
      </c>
      <c r="BG29" s="1988">
        <v>21339.33</v>
      </c>
      <c r="BH29" s="1988">
        <v>23424.78</v>
      </c>
      <c r="BI29" s="1988">
        <v>19529.97</v>
      </c>
      <c r="BJ29" s="1988">
        <v>22197</v>
      </c>
      <c r="BK29" s="1988">
        <v>24697</v>
      </c>
      <c r="BL29" s="1988">
        <v>26697</v>
      </c>
      <c r="BM29" s="1988">
        <v>18269</v>
      </c>
      <c r="BN29" s="1988">
        <v>20269</v>
      </c>
      <c r="BO29" s="1988">
        <v>21969</v>
      </c>
      <c r="BP29" s="1988">
        <v>21177</v>
      </c>
      <c r="BQ29" s="1989">
        <v>21339.33</v>
      </c>
      <c r="BR29" s="1989">
        <v>23612.400000000001</v>
      </c>
      <c r="BS29" s="2045">
        <v>25458.799999999999</v>
      </c>
      <c r="BT29" s="2084">
        <v>31208.47</v>
      </c>
      <c r="BU29" s="2087">
        <v>23531.98</v>
      </c>
      <c r="BV29" s="1036">
        <v>24095.38</v>
      </c>
      <c r="BW29" s="2087">
        <v>24661</v>
      </c>
      <c r="BX29" s="1036">
        <v>25518.27</v>
      </c>
      <c r="BY29" s="2109">
        <v>26361</v>
      </c>
      <c r="BZ29" s="2109">
        <v>30697</v>
      </c>
      <c r="CA29" s="2212">
        <v>22096.44</v>
      </c>
    </row>
    <row r="30" spans="1:79" ht="15">
      <c r="A30" s="1032" t="s">
        <v>2077</v>
      </c>
      <c r="B30" s="1035">
        <v>15404.68</v>
      </c>
      <c r="C30" s="1035">
        <v>21605.71</v>
      </c>
      <c r="D30" s="1035">
        <v>25977.119999999999</v>
      </c>
      <c r="E30" s="1035">
        <v>44234.92</v>
      </c>
      <c r="H30" s="1036">
        <v>46870.95</v>
      </c>
      <c r="I30" s="1036">
        <v>15925.5</v>
      </c>
      <c r="J30" s="1036">
        <v>22617.38</v>
      </c>
      <c r="K30" s="1036">
        <v>15836.33</v>
      </c>
      <c r="L30" s="1036">
        <v>21867.64</v>
      </c>
      <c r="M30" s="1036">
        <v>26428.46</v>
      </c>
      <c r="N30" s="1036">
        <v>20769.39</v>
      </c>
      <c r="O30" s="1036">
        <v>22061.33</v>
      </c>
      <c r="P30" s="1036">
        <v>38943.93</v>
      </c>
      <c r="Q30" s="1036">
        <v>38109.51</v>
      </c>
      <c r="R30" s="1036">
        <v>52621.04</v>
      </c>
      <c r="S30" s="1036">
        <v>45847.69</v>
      </c>
      <c r="T30" s="1036">
        <v>52749.53</v>
      </c>
      <c r="U30" s="1036">
        <v>57513.45</v>
      </c>
      <c r="V30" s="1036">
        <v>25359.61</v>
      </c>
      <c r="W30" s="1036">
        <v>27962.48</v>
      </c>
      <c r="X30" s="1036">
        <v>42513.85</v>
      </c>
      <c r="Y30" s="1036">
        <v>20195.93</v>
      </c>
      <c r="Z30" s="1036">
        <v>29524.12</v>
      </c>
      <c r="AA30" s="1036">
        <v>54200.76</v>
      </c>
      <c r="AB30" s="1036">
        <v>22346.59</v>
      </c>
      <c r="AC30" s="1036">
        <v>26911.33</v>
      </c>
      <c r="AD30" s="1036">
        <v>57513.45</v>
      </c>
      <c r="AE30" s="1036">
        <v>37084.949999999997</v>
      </c>
      <c r="AF30" s="1036">
        <v>20202.349999999999</v>
      </c>
      <c r="AG30" s="1036">
        <v>21516.639999999999</v>
      </c>
      <c r="AH30" s="1036">
        <v>19787.82</v>
      </c>
      <c r="AI30" s="1036">
        <v>56149.03</v>
      </c>
      <c r="AJ30" s="1036">
        <v>52883.57</v>
      </c>
      <c r="AK30" s="1036">
        <v>15925.5</v>
      </c>
      <c r="AL30" s="1036">
        <v>19827.849999999999</v>
      </c>
      <c r="AM30" s="1036">
        <v>22019.14</v>
      </c>
      <c r="AN30" s="1036">
        <v>22876.22</v>
      </c>
      <c r="AO30" s="1036">
        <v>23763.81</v>
      </c>
      <c r="AP30" s="1036">
        <v>25850.26</v>
      </c>
      <c r="AQ30" s="1036">
        <v>27111.06</v>
      </c>
      <c r="AR30" s="1036">
        <v>16968.05</v>
      </c>
      <c r="AS30" s="1036">
        <v>19780.36</v>
      </c>
      <c r="AT30" s="1036">
        <v>21506.1</v>
      </c>
      <c r="AU30" s="1036">
        <v>19318.849999999999</v>
      </c>
      <c r="AV30" s="1036">
        <v>19929.099999999999</v>
      </c>
      <c r="AW30" s="1036">
        <v>21803.58</v>
      </c>
      <c r="AX30" s="1983">
        <v>15404.68</v>
      </c>
      <c r="AY30" s="1987">
        <v>21445.3</v>
      </c>
      <c r="AZ30" s="1988">
        <v>22718</v>
      </c>
      <c r="BA30" s="1988">
        <v>27910</v>
      </c>
      <c r="BB30" s="1988">
        <v>30150</v>
      </c>
      <c r="BC30" s="1988">
        <v>20153.580000000002</v>
      </c>
      <c r="BD30" s="1988">
        <v>21962.94</v>
      </c>
      <c r="BE30" s="1988">
        <v>24048.39</v>
      </c>
      <c r="BF30" s="1988">
        <v>20153.580000000002</v>
      </c>
      <c r="BG30" s="1988">
        <v>21962.94</v>
      </c>
      <c r="BH30" s="1988">
        <v>24048.39</v>
      </c>
      <c r="BI30" s="1988">
        <v>20153.580000000002</v>
      </c>
      <c r="BJ30" s="1988">
        <v>22467</v>
      </c>
      <c r="BK30" s="1988">
        <v>24967</v>
      </c>
      <c r="BL30" s="1988">
        <v>26967</v>
      </c>
      <c r="BM30" s="1988">
        <v>18469</v>
      </c>
      <c r="BN30" s="1988">
        <v>20469</v>
      </c>
      <c r="BO30" s="1988">
        <v>22169</v>
      </c>
      <c r="BP30" s="1988">
        <v>21357</v>
      </c>
      <c r="BQ30" s="1989">
        <v>21962.94</v>
      </c>
      <c r="BR30" s="1989">
        <v>24238.17</v>
      </c>
      <c r="BS30" s="2045">
        <v>25632.33</v>
      </c>
      <c r="BT30" s="2084">
        <v>31579.57</v>
      </c>
      <c r="BU30" s="2087">
        <v>24155.88</v>
      </c>
      <c r="BV30" s="1036">
        <v>24343.279999999999</v>
      </c>
      <c r="BW30" s="2087">
        <v>24861</v>
      </c>
      <c r="BX30" s="1036">
        <v>25803.35</v>
      </c>
      <c r="BY30" s="2109">
        <v>26561</v>
      </c>
      <c r="BZ30" s="2109">
        <v>30967</v>
      </c>
      <c r="CA30" s="2212">
        <v>22736.63</v>
      </c>
    </row>
    <row r="31" spans="1:79" ht="15">
      <c r="A31" s="1032" t="s">
        <v>2078</v>
      </c>
      <c r="B31" s="1035">
        <v>15404.68</v>
      </c>
      <c r="C31" s="1035">
        <v>21605.71</v>
      </c>
      <c r="D31" s="1035">
        <v>26889.35</v>
      </c>
      <c r="E31" s="1035">
        <v>44234.92</v>
      </c>
      <c r="H31" s="1036">
        <v>46870.95</v>
      </c>
      <c r="I31" s="1036">
        <v>16031.31</v>
      </c>
      <c r="J31" s="1036">
        <v>22617.38</v>
      </c>
      <c r="K31" s="1036">
        <v>15836.33</v>
      </c>
      <c r="L31" s="1036">
        <v>22060.51</v>
      </c>
      <c r="M31" s="1036">
        <v>26428.46</v>
      </c>
      <c r="N31" s="1036">
        <v>20769.39</v>
      </c>
      <c r="O31" s="1036">
        <v>22685.23</v>
      </c>
      <c r="P31" s="1036">
        <v>39762.06</v>
      </c>
      <c r="Q31" s="1036">
        <v>39048.14</v>
      </c>
      <c r="R31" s="1036">
        <v>53898.94</v>
      </c>
      <c r="S31" s="1036">
        <v>46939.34</v>
      </c>
      <c r="T31" s="1036">
        <v>52749.53</v>
      </c>
      <c r="U31" s="1036">
        <v>57513.45</v>
      </c>
      <c r="V31" s="1036">
        <v>25359.61</v>
      </c>
      <c r="W31" s="1036">
        <v>27962.48</v>
      </c>
      <c r="X31" s="1036">
        <v>42513.85</v>
      </c>
      <c r="Y31" s="1036">
        <v>20514.259999999998</v>
      </c>
      <c r="Z31" s="1036">
        <v>29524.12</v>
      </c>
      <c r="AA31" s="1036">
        <v>54200.76</v>
      </c>
      <c r="AB31" s="1036">
        <v>22703.66</v>
      </c>
      <c r="AC31" s="1036">
        <v>27423.83</v>
      </c>
      <c r="AD31" s="1036">
        <v>57513.45</v>
      </c>
      <c r="AE31" s="1036">
        <v>37084.949999999997</v>
      </c>
      <c r="AF31" s="1036">
        <v>20514.25</v>
      </c>
      <c r="AG31" s="1036">
        <v>21516.639999999999</v>
      </c>
      <c r="AH31" s="1036">
        <v>20099.72</v>
      </c>
      <c r="AI31" s="1036">
        <v>57513.49</v>
      </c>
      <c r="AJ31" s="1036">
        <v>54200.68</v>
      </c>
      <c r="AK31" s="1036">
        <v>16031.31</v>
      </c>
      <c r="AL31" s="1036">
        <v>19827.849999999999</v>
      </c>
      <c r="AM31" s="1036">
        <v>22019.14</v>
      </c>
      <c r="AN31" s="1036">
        <v>22876.22</v>
      </c>
      <c r="AO31" s="1036">
        <v>23763.81</v>
      </c>
      <c r="AP31" s="1036">
        <v>25850.26</v>
      </c>
      <c r="AQ31" s="1036">
        <v>27111.06</v>
      </c>
      <c r="AR31" s="1036">
        <v>16968.05</v>
      </c>
      <c r="AS31" s="1036">
        <v>19780.36</v>
      </c>
      <c r="AT31" s="1036">
        <v>21506.1</v>
      </c>
      <c r="AU31" s="1036">
        <v>19936.28</v>
      </c>
      <c r="AV31" s="1036">
        <v>19929.099999999999</v>
      </c>
      <c r="AW31" s="1036">
        <v>21803.58</v>
      </c>
      <c r="AX31" s="1983">
        <v>15404.68</v>
      </c>
      <c r="AY31" s="1987">
        <v>21445.3</v>
      </c>
      <c r="AZ31" s="1988">
        <v>22718</v>
      </c>
      <c r="BA31" s="1988">
        <v>27910</v>
      </c>
      <c r="BB31" s="1988">
        <v>30150</v>
      </c>
      <c r="BC31" s="1988">
        <v>20153.580000000002</v>
      </c>
      <c r="BD31" s="1988">
        <v>21962.94</v>
      </c>
      <c r="BE31" s="1988">
        <v>24048.39</v>
      </c>
      <c r="BF31" s="1988">
        <v>20153.580000000002</v>
      </c>
      <c r="BG31" s="1988">
        <v>21962.94</v>
      </c>
      <c r="BH31" s="1988">
        <v>24048.39</v>
      </c>
      <c r="BI31" s="1988">
        <v>20153.580000000002</v>
      </c>
      <c r="BJ31" s="1988">
        <v>22736</v>
      </c>
      <c r="BK31" s="1988">
        <v>25236</v>
      </c>
      <c r="BL31" s="1988">
        <v>27236</v>
      </c>
      <c r="BM31" s="1988">
        <v>18669</v>
      </c>
      <c r="BN31" s="1988">
        <v>20669</v>
      </c>
      <c r="BO31" s="1988">
        <v>22369</v>
      </c>
      <c r="BP31" s="1988">
        <v>21538</v>
      </c>
      <c r="BQ31" s="1989">
        <v>21962.94</v>
      </c>
      <c r="BR31" s="1989">
        <v>24238.17</v>
      </c>
      <c r="BS31" s="2045">
        <v>25805.86</v>
      </c>
      <c r="BT31" s="2084">
        <v>31950.67</v>
      </c>
      <c r="BU31" s="2087">
        <v>24155.88</v>
      </c>
      <c r="BV31" s="1036">
        <v>24591.18</v>
      </c>
      <c r="BW31" s="2087">
        <v>25061</v>
      </c>
      <c r="BX31" s="1036">
        <v>26088.43</v>
      </c>
      <c r="BY31" s="2109">
        <v>26761</v>
      </c>
      <c r="BZ31" s="2109">
        <v>31236</v>
      </c>
      <c r="CA31" s="2212">
        <v>22736.63</v>
      </c>
    </row>
    <row r="32" spans="1:79" ht="15">
      <c r="A32" s="1032" t="s">
        <v>2251</v>
      </c>
      <c r="B32" s="1035">
        <v>15404.68</v>
      </c>
      <c r="C32" s="1035">
        <v>21969.52</v>
      </c>
      <c r="D32" s="1035">
        <v>26889.35</v>
      </c>
      <c r="E32" s="1035">
        <v>44234.92</v>
      </c>
      <c r="H32" s="1036">
        <v>48049.440000000002</v>
      </c>
      <c r="I32" s="1036">
        <v>16137.12</v>
      </c>
      <c r="J32" s="1036">
        <v>23331.21</v>
      </c>
      <c r="K32" s="1036">
        <v>15836.33</v>
      </c>
      <c r="L32" s="1036">
        <v>22253.38</v>
      </c>
      <c r="M32" s="1036">
        <v>26963.22</v>
      </c>
      <c r="N32" s="1036">
        <v>21393.29</v>
      </c>
      <c r="O32" s="1036">
        <v>22685.23</v>
      </c>
      <c r="P32" s="1036">
        <v>39762.06</v>
      </c>
      <c r="Q32" s="1036">
        <v>39048.14</v>
      </c>
      <c r="R32" s="1036">
        <v>53898.94</v>
      </c>
      <c r="S32" s="1036">
        <v>46939.34</v>
      </c>
      <c r="T32" s="1036">
        <v>54200.7</v>
      </c>
      <c r="U32" s="1036">
        <v>57513.45</v>
      </c>
      <c r="V32" s="1036">
        <v>26078.51</v>
      </c>
      <c r="W32" s="1036">
        <v>28631.8</v>
      </c>
      <c r="X32" s="1036">
        <v>43629.38</v>
      </c>
      <c r="Y32" s="1036">
        <v>20832.59</v>
      </c>
      <c r="Z32" s="1036">
        <v>30292.59</v>
      </c>
      <c r="AA32" s="1036">
        <v>54200.76</v>
      </c>
      <c r="AB32" s="1036">
        <v>23060.73</v>
      </c>
      <c r="AC32" s="1036">
        <v>27936.33</v>
      </c>
      <c r="AD32" s="1036">
        <v>57513.45</v>
      </c>
      <c r="AE32" s="1036">
        <v>38299.629999999997</v>
      </c>
      <c r="AF32" s="1036">
        <v>20826.150000000001</v>
      </c>
      <c r="AG32" s="1036">
        <v>22140.52</v>
      </c>
      <c r="AH32" s="1036">
        <v>20411.62</v>
      </c>
      <c r="AI32" s="1036">
        <v>57513.49</v>
      </c>
      <c r="AJ32" s="1036">
        <v>54200.68</v>
      </c>
      <c r="AK32" s="1036">
        <v>16137.12</v>
      </c>
      <c r="AL32" s="1036">
        <v>20422.009999999998</v>
      </c>
      <c r="AM32" s="1036">
        <v>22717.46</v>
      </c>
      <c r="AN32" s="1036">
        <v>23482.18</v>
      </c>
      <c r="AO32" s="1036">
        <v>24394.21</v>
      </c>
      <c r="AP32" s="1036">
        <v>26480.63</v>
      </c>
      <c r="AQ32" s="1036">
        <v>27741.48</v>
      </c>
      <c r="AR32" s="1036">
        <v>17307.52</v>
      </c>
      <c r="AS32" s="1036">
        <v>20119.88</v>
      </c>
      <c r="AT32" s="1036">
        <v>21958.81</v>
      </c>
      <c r="AU32" s="1036">
        <v>19936.28</v>
      </c>
      <c r="AV32" s="1036">
        <v>20268.62</v>
      </c>
      <c r="AW32" s="1036">
        <v>22504.18</v>
      </c>
      <c r="AX32" s="1983">
        <v>15404.68</v>
      </c>
      <c r="AY32" s="1987">
        <v>21980.43</v>
      </c>
      <c r="AZ32" s="1988">
        <v>23343</v>
      </c>
      <c r="BA32" s="1988">
        <v>28828</v>
      </c>
      <c r="BB32" s="1988">
        <v>31068</v>
      </c>
      <c r="BC32" s="1988">
        <v>20777.189999999999</v>
      </c>
      <c r="BD32" s="1988">
        <v>22586.55</v>
      </c>
      <c r="BE32" s="1988">
        <v>24672</v>
      </c>
      <c r="BF32" s="1988">
        <v>20777.189999999999</v>
      </c>
      <c r="BG32" s="1988">
        <v>22586.55</v>
      </c>
      <c r="BH32" s="1988">
        <v>24672</v>
      </c>
      <c r="BI32" s="1988">
        <v>20777.189999999999</v>
      </c>
      <c r="BJ32" s="1988">
        <v>23006</v>
      </c>
      <c r="BK32" s="1988">
        <v>25506</v>
      </c>
      <c r="BL32" s="1988">
        <v>27506</v>
      </c>
      <c r="BM32" s="1988">
        <v>18868</v>
      </c>
      <c r="BN32" s="1988">
        <v>20868</v>
      </c>
      <c r="BO32" s="1988">
        <v>22568</v>
      </c>
      <c r="BP32" s="1988">
        <v>21718</v>
      </c>
      <c r="BQ32" s="1989">
        <v>22586.55</v>
      </c>
      <c r="BR32" s="1989">
        <v>24863.94</v>
      </c>
      <c r="BS32" s="2045">
        <v>25979.39</v>
      </c>
      <c r="BT32" s="2084">
        <v>32321.77</v>
      </c>
      <c r="BU32" s="2087">
        <v>24779.78</v>
      </c>
      <c r="BV32" s="1036">
        <v>24839.08</v>
      </c>
      <c r="BW32" s="2087">
        <v>25260</v>
      </c>
      <c r="BX32" s="1036">
        <v>26373.51</v>
      </c>
      <c r="BY32" s="2109">
        <v>26960</v>
      </c>
      <c r="BZ32" s="2109">
        <v>31506</v>
      </c>
      <c r="CA32" s="2212">
        <v>23376.82</v>
      </c>
    </row>
    <row r="33" spans="1:79" ht="15">
      <c r="A33" s="1032" t="s">
        <v>2252</v>
      </c>
      <c r="B33" s="1035">
        <v>15404.68</v>
      </c>
      <c r="C33" s="1035">
        <v>21969.52</v>
      </c>
      <c r="D33" s="1035">
        <v>27801.58</v>
      </c>
      <c r="E33" s="1035">
        <v>44234.92</v>
      </c>
      <c r="H33" s="1036">
        <v>48049.440000000002</v>
      </c>
      <c r="I33" s="1036">
        <v>16242.93</v>
      </c>
      <c r="J33" s="1036">
        <v>23331.21</v>
      </c>
      <c r="K33" s="1036">
        <v>15836.33</v>
      </c>
      <c r="L33" s="1036">
        <v>22446.25</v>
      </c>
      <c r="M33" s="1036">
        <v>26963.22</v>
      </c>
      <c r="N33" s="1036">
        <v>21393.29</v>
      </c>
      <c r="O33" s="1036">
        <v>23309.13</v>
      </c>
      <c r="P33" s="1036">
        <v>40580.19</v>
      </c>
      <c r="Q33" s="1036">
        <v>39048.14</v>
      </c>
      <c r="R33" s="1036">
        <v>53898.94</v>
      </c>
      <c r="S33" s="1036">
        <v>46939.34</v>
      </c>
      <c r="T33" s="1036">
        <v>54200.7</v>
      </c>
      <c r="U33" s="1036">
        <v>57513.45</v>
      </c>
      <c r="V33" s="1036">
        <v>26078.51</v>
      </c>
      <c r="W33" s="1036">
        <v>28631.8</v>
      </c>
      <c r="X33" s="1036">
        <v>43629.38</v>
      </c>
      <c r="Y33" s="1036">
        <v>21150.92</v>
      </c>
      <c r="Z33" s="1036">
        <v>30292.59</v>
      </c>
      <c r="AA33" s="1036">
        <v>54200.76</v>
      </c>
      <c r="AB33" s="1036">
        <v>23417.8</v>
      </c>
      <c r="AC33" s="1036">
        <v>28448.83</v>
      </c>
      <c r="AD33" s="1036">
        <v>57513.45</v>
      </c>
      <c r="AE33" s="1036">
        <v>38299.629999999997</v>
      </c>
      <c r="AF33" s="1036">
        <v>21138.05</v>
      </c>
      <c r="AG33" s="1036">
        <v>22140.52</v>
      </c>
      <c r="AH33" s="1036">
        <v>20723.52</v>
      </c>
      <c r="AI33" s="1036">
        <v>57513.49</v>
      </c>
      <c r="AJ33" s="1036">
        <v>54200.68</v>
      </c>
      <c r="AK33" s="1036">
        <v>16242.93</v>
      </c>
      <c r="AL33" s="1036">
        <v>20422.009999999998</v>
      </c>
      <c r="AM33" s="1036">
        <v>22717.46</v>
      </c>
      <c r="AN33" s="1036">
        <v>23482.18</v>
      </c>
      <c r="AO33" s="1036">
        <v>24394.21</v>
      </c>
      <c r="AP33" s="1036">
        <v>26480.63</v>
      </c>
      <c r="AQ33" s="1036">
        <v>27741.48</v>
      </c>
      <c r="AR33" s="1036">
        <v>17307.52</v>
      </c>
      <c r="AS33" s="1036">
        <v>20119.88</v>
      </c>
      <c r="AT33" s="1036">
        <v>21958.81</v>
      </c>
      <c r="AU33" s="1036">
        <v>20553.71</v>
      </c>
      <c r="AV33" s="1036">
        <v>20268.62</v>
      </c>
      <c r="AW33" s="1036">
        <v>22504.18</v>
      </c>
      <c r="AX33" s="1983">
        <v>15404.68</v>
      </c>
      <c r="AY33" s="1987">
        <v>21980.43</v>
      </c>
      <c r="AZ33" s="1988">
        <v>23968</v>
      </c>
      <c r="BA33" s="1988">
        <v>29342</v>
      </c>
      <c r="BB33" s="1988">
        <v>31582</v>
      </c>
      <c r="BC33" s="1988">
        <v>21400.799999999999</v>
      </c>
      <c r="BD33" s="1988">
        <v>23210.16</v>
      </c>
      <c r="BE33" s="1988">
        <v>25295.61</v>
      </c>
      <c r="BF33" s="1988">
        <v>21400.799999999999</v>
      </c>
      <c r="BG33" s="1988">
        <v>23210.16</v>
      </c>
      <c r="BH33" s="1988">
        <v>25295.61</v>
      </c>
      <c r="BI33" s="1988">
        <v>21400.799999999999</v>
      </c>
      <c r="BJ33" s="1988">
        <v>23545</v>
      </c>
      <c r="BK33" s="1988">
        <v>26045</v>
      </c>
      <c r="BL33" s="1988">
        <v>28045</v>
      </c>
      <c r="BM33" s="1988">
        <v>19268</v>
      </c>
      <c r="BN33" s="1988">
        <v>21268</v>
      </c>
      <c r="BO33" s="1988">
        <v>22968</v>
      </c>
      <c r="BP33" s="1988">
        <v>22079</v>
      </c>
      <c r="BQ33" s="1989">
        <v>22586.55</v>
      </c>
      <c r="BR33" s="1989">
        <v>24863.94</v>
      </c>
      <c r="BS33" s="2045">
        <v>26152.92</v>
      </c>
      <c r="BT33" s="2084">
        <v>32692.87</v>
      </c>
      <c r="BU33" s="2087">
        <v>24779.78</v>
      </c>
      <c r="BV33" s="1036">
        <v>25062.19</v>
      </c>
      <c r="BW33" s="2087">
        <v>25460</v>
      </c>
      <c r="BX33" s="1036">
        <v>26658.59</v>
      </c>
      <c r="BY33" s="2109">
        <v>27160</v>
      </c>
      <c r="BZ33" s="2109">
        <v>31776</v>
      </c>
      <c r="CA33" s="2212">
        <v>23376.82</v>
      </c>
    </row>
    <row r="34" spans="1:79" ht="15">
      <c r="A34" s="1032" t="s">
        <v>2253</v>
      </c>
      <c r="B34" s="1035">
        <v>15404.68</v>
      </c>
      <c r="C34" s="1035">
        <v>22333.33</v>
      </c>
      <c r="D34" s="1035">
        <v>27801.58</v>
      </c>
      <c r="E34" s="1035">
        <v>44234.92</v>
      </c>
      <c r="H34" s="1036">
        <v>48049.440000000002</v>
      </c>
      <c r="I34" s="1036">
        <v>16305.26</v>
      </c>
      <c r="J34" s="1036">
        <v>23331.21</v>
      </c>
      <c r="K34" s="1036">
        <v>15836.33</v>
      </c>
      <c r="L34" s="1036">
        <v>22639.119999999999</v>
      </c>
      <c r="M34" s="1036">
        <v>27497.98</v>
      </c>
      <c r="N34" s="1036">
        <v>22017.19</v>
      </c>
      <c r="O34" s="1036">
        <v>23309.13</v>
      </c>
      <c r="P34" s="1036">
        <v>40580.19</v>
      </c>
      <c r="Q34" s="1036">
        <v>39048.14</v>
      </c>
      <c r="R34" s="1036">
        <v>53898.94</v>
      </c>
      <c r="S34" s="1036">
        <v>46939.34</v>
      </c>
      <c r="T34" s="1036">
        <v>54200.7</v>
      </c>
      <c r="U34" s="1036">
        <v>57513.45</v>
      </c>
      <c r="V34" s="1036">
        <v>26797.41</v>
      </c>
      <c r="W34" s="1036">
        <v>29301.119999999999</v>
      </c>
      <c r="X34" s="1036">
        <v>43629.38</v>
      </c>
      <c r="Y34" s="1036">
        <v>21469.25</v>
      </c>
      <c r="Z34" s="1036">
        <v>30292.59</v>
      </c>
      <c r="AA34" s="1036">
        <v>54200.76</v>
      </c>
      <c r="AB34" s="1036">
        <v>23774.87</v>
      </c>
      <c r="AC34" s="1036">
        <v>28946.52</v>
      </c>
      <c r="AD34" s="1036">
        <v>57513.45</v>
      </c>
      <c r="AE34" s="1036">
        <v>38299.629999999997</v>
      </c>
      <c r="AF34" s="1036">
        <v>21449.95</v>
      </c>
      <c r="AG34" s="1036">
        <v>22764.400000000001</v>
      </c>
      <c r="AH34" s="1036">
        <v>21035.42</v>
      </c>
      <c r="AI34" s="1036">
        <v>57513.49</v>
      </c>
      <c r="AJ34" s="1036">
        <v>54200.68</v>
      </c>
      <c r="AK34" s="1036">
        <v>16305.26</v>
      </c>
      <c r="AL34" s="1036">
        <v>21016.07</v>
      </c>
      <c r="AM34" s="1036">
        <v>23424.43</v>
      </c>
      <c r="AN34" s="1036">
        <v>24088.19</v>
      </c>
      <c r="AO34" s="1036">
        <v>25024.61</v>
      </c>
      <c r="AP34" s="1036">
        <v>27111.08</v>
      </c>
      <c r="AQ34" s="1036">
        <v>28371.85</v>
      </c>
      <c r="AR34" s="1036">
        <v>17647.04</v>
      </c>
      <c r="AS34" s="1036">
        <v>20459.400000000001</v>
      </c>
      <c r="AT34" s="1036">
        <v>22411.49</v>
      </c>
      <c r="AU34" s="1036">
        <v>20553.71</v>
      </c>
      <c r="AV34" s="1036">
        <v>20608.14</v>
      </c>
      <c r="AW34" s="1036">
        <v>23328.7</v>
      </c>
      <c r="AX34" s="1983">
        <v>15404.68</v>
      </c>
      <c r="AY34" s="1987">
        <v>22515.56</v>
      </c>
      <c r="AZ34" s="1988">
        <v>23968</v>
      </c>
      <c r="BA34" s="1988">
        <v>29342</v>
      </c>
      <c r="BB34" s="1988">
        <v>31582</v>
      </c>
      <c r="BC34" s="1988">
        <v>21400.799999999999</v>
      </c>
      <c r="BD34" s="1988">
        <v>23210.16</v>
      </c>
      <c r="BE34" s="1988">
        <v>25295.61</v>
      </c>
      <c r="BF34" s="1988">
        <v>21400.799999999999</v>
      </c>
      <c r="BG34" s="1988">
        <v>23210.16</v>
      </c>
      <c r="BH34" s="1988">
        <v>25295.61</v>
      </c>
      <c r="BI34" s="1988">
        <v>21400.799999999999</v>
      </c>
      <c r="BJ34" s="1988">
        <v>23815</v>
      </c>
      <c r="BK34" s="1988">
        <v>26315</v>
      </c>
      <c r="BL34" s="1988">
        <v>28315</v>
      </c>
      <c r="BM34" s="1988">
        <v>19468</v>
      </c>
      <c r="BN34" s="1988">
        <v>21468</v>
      </c>
      <c r="BO34" s="1988">
        <v>23168</v>
      </c>
      <c r="BP34" s="1988">
        <v>22260</v>
      </c>
      <c r="BQ34" s="1989">
        <v>23210.16</v>
      </c>
      <c r="BR34" s="1989">
        <v>25489.71</v>
      </c>
      <c r="BS34" s="2045">
        <v>26326.45</v>
      </c>
      <c r="BT34" s="2084">
        <v>33063.97</v>
      </c>
      <c r="BU34" s="2087">
        <v>25403.68</v>
      </c>
      <c r="BV34" s="1036">
        <v>25285.3</v>
      </c>
      <c r="BW34" s="2087">
        <v>25660</v>
      </c>
      <c r="BX34" s="1036">
        <v>26921.360000000001</v>
      </c>
      <c r="BY34" s="2109">
        <v>27360</v>
      </c>
      <c r="BZ34" s="2109">
        <v>32045</v>
      </c>
      <c r="CA34" s="2212">
        <v>23837.58</v>
      </c>
    </row>
    <row r="35" spans="1:79" ht="15">
      <c r="A35" s="1032" t="s">
        <v>2254</v>
      </c>
      <c r="B35" s="1035">
        <v>15404.68</v>
      </c>
      <c r="C35" s="1035">
        <v>22333.33</v>
      </c>
      <c r="D35" s="1035">
        <v>28713.81</v>
      </c>
      <c r="E35" s="1035">
        <v>44234.92</v>
      </c>
      <c r="H35" s="1036">
        <v>48049.440000000002</v>
      </c>
      <c r="I35" s="1036">
        <v>16305.26</v>
      </c>
      <c r="J35" s="1036">
        <v>23331.21</v>
      </c>
      <c r="K35" s="1036">
        <v>15836.33</v>
      </c>
      <c r="L35" s="1036">
        <v>22831.99</v>
      </c>
      <c r="M35" s="1036">
        <v>27497.98</v>
      </c>
      <c r="N35" s="1036">
        <v>22017.19</v>
      </c>
      <c r="O35" s="1036">
        <v>23933.03</v>
      </c>
      <c r="P35" s="1036">
        <v>41398.32</v>
      </c>
      <c r="Q35" s="1036">
        <v>39048.14</v>
      </c>
      <c r="R35" s="1036">
        <v>53898.94</v>
      </c>
      <c r="S35" s="1036">
        <v>46939.34</v>
      </c>
      <c r="T35" s="1036">
        <v>54200.7</v>
      </c>
      <c r="U35" s="1036">
        <v>57513.45</v>
      </c>
      <c r="V35" s="1036">
        <v>26797.41</v>
      </c>
      <c r="W35" s="1036">
        <v>29301.119999999999</v>
      </c>
      <c r="X35" s="1036">
        <v>43629.38</v>
      </c>
      <c r="Y35" s="1036">
        <v>21787.58</v>
      </c>
      <c r="Z35" s="1036">
        <v>30292.59</v>
      </c>
      <c r="AA35" s="1036">
        <v>54200.76</v>
      </c>
      <c r="AB35" s="1036">
        <v>24131.94</v>
      </c>
      <c r="AC35" s="1036">
        <v>28946.52</v>
      </c>
      <c r="AD35" s="1036">
        <v>57513.45</v>
      </c>
      <c r="AE35" s="1036">
        <v>38299.629999999997</v>
      </c>
      <c r="AF35" s="1036">
        <v>21761.85</v>
      </c>
      <c r="AG35" s="1036">
        <v>22764.400000000001</v>
      </c>
      <c r="AH35" s="1036">
        <v>21347.32</v>
      </c>
      <c r="AI35" s="1036">
        <v>57513.49</v>
      </c>
      <c r="AJ35" s="1036">
        <v>54200.68</v>
      </c>
      <c r="AK35" s="1036">
        <v>16305.26</v>
      </c>
      <c r="AL35" s="1036">
        <v>21016.07</v>
      </c>
      <c r="AM35" s="1036">
        <v>23424.43</v>
      </c>
      <c r="AN35" s="1036">
        <v>24088.19</v>
      </c>
      <c r="AO35" s="1036">
        <v>25024.61</v>
      </c>
      <c r="AP35" s="1036">
        <v>27111.08</v>
      </c>
      <c r="AQ35" s="1036">
        <v>28371.85</v>
      </c>
      <c r="AR35" s="1036">
        <v>17647.04</v>
      </c>
      <c r="AS35" s="1036">
        <v>20459.400000000001</v>
      </c>
      <c r="AT35" s="1036">
        <v>22411.49</v>
      </c>
      <c r="AU35" s="1036">
        <v>21171.14</v>
      </c>
      <c r="AV35" s="1036">
        <v>20608.14</v>
      </c>
      <c r="AW35" s="1036">
        <v>23328.7</v>
      </c>
      <c r="AX35" s="1983">
        <v>15404.68</v>
      </c>
      <c r="AY35" s="1987">
        <v>22515.56</v>
      </c>
      <c r="AZ35" s="1988">
        <v>24593</v>
      </c>
      <c r="BA35" s="1988">
        <v>29856</v>
      </c>
      <c r="BB35" s="1988">
        <v>32096</v>
      </c>
      <c r="BC35" s="1988">
        <v>22024.41</v>
      </c>
      <c r="BD35" s="1988">
        <v>23833.77</v>
      </c>
      <c r="BE35" s="1988">
        <v>25919.22</v>
      </c>
      <c r="BF35" s="1988">
        <v>22024.41</v>
      </c>
      <c r="BG35" s="1988">
        <v>23833.77</v>
      </c>
      <c r="BH35" s="1988">
        <v>25919.22</v>
      </c>
      <c r="BI35" s="1988">
        <v>22024.41</v>
      </c>
      <c r="BJ35" s="1988">
        <v>24085</v>
      </c>
      <c r="BK35" s="1988">
        <v>26585</v>
      </c>
      <c r="BL35" s="1988">
        <v>28585</v>
      </c>
      <c r="BM35" s="1988">
        <v>19667</v>
      </c>
      <c r="BN35" s="1988">
        <v>21667</v>
      </c>
      <c r="BO35" s="1988">
        <v>23367</v>
      </c>
      <c r="BP35" s="1988">
        <v>22440</v>
      </c>
      <c r="BQ35" s="1989">
        <v>23210.16</v>
      </c>
      <c r="BR35" s="1989">
        <v>25489.71</v>
      </c>
      <c r="BS35" s="2045">
        <v>26326.45</v>
      </c>
      <c r="BT35" s="2084">
        <v>33063.97</v>
      </c>
      <c r="BU35" s="2087">
        <v>25403.68</v>
      </c>
      <c r="BV35" s="1036">
        <v>25285.3</v>
      </c>
      <c r="BW35" s="2087">
        <v>25860</v>
      </c>
      <c r="BX35" s="1036">
        <v>26921.360000000001</v>
      </c>
      <c r="BY35" s="2109">
        <v>27560</v>
      </c>
      <c r="BZ35" s="2109">
        <v>32315</v>
      </c>
      <c r="CA35" s="2212">
        <v>23837.58</v>
      </c>
    </row>
    <row r="36" spans="1:79" ht="15">
      <c r="A36" s="1032" t="s">
        <v>3724</v>
      </c>
      <c r="B36" s="1035">
        <v>15404.68</v>
      </c>
      <c r="C36" s="1035">
        <v>22697.14</v>
      </c>
      <c r="D36" s="1035">
        <v>28713.81</v>
      </c>
      <c r="E36" s="1035">
        <v>44234.92</v>
      </c>
      <c r="H36" s="1036">
        <v>48049.440000000002</v>
      </c>
      <c r="I36" s="1036">
        <v>16305.26</v>
      </c>
      <c r="J36" s="1036">
        <v>23331.21</v>
      </c>
      <c r="K36" s="1036">
        <v>15836.33</v>
      </c>
      <c r="L36" s="1036">
        <v>23024.86</v>
      </c>
      <c r="M36" s="1036">
        <v>28032.74</v>
      </c>
      <c r="N36" s="1036">
        <v>22641.09</v>
      </c>
      <c r="O36" s="1036">
        <v>23933.03</v>
      </c>
      <c r="P36" s="1036">
        <v>41398.32</v>
      </c>
      <c r="Q36" s="1036">
        <v>39048.14</v>
      </c>
      <c r="R36" s="1036">
        <v>53898.94</v>
      </c>
      <c r="S36" s="1036">
        <v>46939.34</v>
      </c>
      <c r="T36" s="1036">
        <v>54200.7</v>
      </c>
      <c r="U36" s="1036">
        <v>57513.45</v>
      </c>
      <c r="V36" s="1036">
        <v>27516.31</v>
      </c>
      <c r="W36" s="1036">
        <v>29970.44</v>
      </c>
      <c r="X36" s="1036">
        <v>43629.38</v>
      </c>
      <c r="Y36" s="1036">
        <v>22105.91</v>
      </c>
      <c r="Z36" s="1036">
        <v>30292.59</v>
      </c>
      <c r="AA36" s="1036">
        <v>54200.76</v>
      </c>
      <c r="AB36" s="1036">
        <v>24472.639999999999</v>
      </c>
      <c r="AC36" s="1036">
        <v>28946.52</v>
      </c>
      <c r="AD36" s="1036">
        <v>57513.45</v>
      </c>
      <c r="AE36" s="1036">
        <v>38299.629999999997</v>
      </c>
      <c r="AF36" s="1036">
        <v>22073.75</v>
      </c>
      <c r="AG36" s="1036">
        <v>23388.28</v>
      </c>
      <c r="AH36" s="1036">
        <v>21659.22</v>
      </c>
      <c r="AI36" s="1036">
        <v>57513.49</v>
      </c>
      <c r="AJ36" s="1036">
        <v>54200.68</v>
      </c>
      <c r="AK36" s="1036">
        <v>16305.26</v>
      </c>
      <c r="AL36" s="1036">
        <v>21610.18</v>
      </c>
      <c r="AM36" s="1036">
        <v>23929.52</v>
      </c>
      <c r="AN36" s="1036">
        <v>24694.22</v>
      </c>
      <c r="AO36" s="1036">
        <v>25655.13</v>
      </c>
      <c r="AP36" s="1036">
        <v>27741.5</v>
      </c>
      <c r="AQ36" s="1036">
        <v>29002.32</v>
      </c>
      <c r="AR36" s="1036">
        <v>17647.04</v>
      </c>
      <c r="AS36" s="1036">
        <v>20798.849999999999</v>
      </c>
      <c r="AT36" s="1036">
        <v>22868.49</v>
      </c>
      <c r="AU36" s="1036">
        <v>21171.14</v>
      </c>
      <c r="AV36" s="1036">
        <v>21171.19</v>
      </c>
      <c r="AW36" s="1036">
        <v>24157.54</v>
      </c>
      <c r="AX36" s="1983">
        <v>15404.68</v>
      </c>
      <c r="AY36" s="1987">
        <v>23050.69</v>
      </c>
      <c r="AZ36" s="1988">
        <v>24593</v>
      </c>
      <c r="BA36" s="1988">
        <v>29856</v>
      </c>
      <c r="BB36" s="1988">
        <v>32096</v>
      </c>
      <c r="BC36" s="1988">
        <v>22024.41</v>
      </c>
      <c r="BD36" s="1988">
        <v>23833.77</v>
      </c>
      <c r="BE36" s="1988">
        <v>25919.22</v>
      </c>
      <c r="BF36" s="1988">
        <v>22024.41</v>
      </c>
      <c r="BG36" s="1988">
        <v>23833.77</v>
      </c>
      <c r="BH36" s="1988">
        <v>25919.22</v>
      </c>
      <c r="BI36" s="1988">
        <v>22024.41</v>
      </c>
      <c r="BJ36" s="1988">
        <v>24354</v>
      </c>
      <c r="BK36" s="1988">
        <v>26854</v>
      </c>
      <c r="BL36" s="1988">
        <v>28854</v>
      </c>
      <c r="BM36" s="1988">
        <v>19867</v>
      </c>
      <c r="BN36" s="1988">
        <v>21867</v>
      </c>
      <c r="BO36" s="1988">
        <v>23567</v>
      </c>
      <c r="BP36" s="1988">
        <v>22621</v>
      </c>
      <c r="BQ36" s="1989">
        <v>23833.77</v>
      </c>
      <c r="BR36" s="1989">
        <v>26115.48</v>
      </c>
      <c r="BS36" s="2045">
        <v>26326.45</v>
      </c>
      <c r="BT36" s="2084">
        <v>33063.97</v>
      </c>
      <c r="BU36" s="2087">
        <v>26027.58</v>
      </c>
      <c r="BV36" s="1036">
        <v>25285.3</v>
      </c>
      <c r="BW36" s="2087">
        <v>26059</v>
      </c>
      <c r="BX36" s="1036">
        <v>26921.360000000001</v>
      </c>
      <c r="BY36" s="2109">
        <v>27759</v>
      </c>
      <c r="BZ36" s="2109">
        <v>32585</v>
      </c>
      <c r="CA36" s="2212">
        <v>24298.34</v>
      </c>
    </row>
    <row r="37" spans="1:79" ht="15">
      <c r="A37" s="1032" t="s">
        <v>3725</v>
      </c>
      <c r="B37" s="1035">
        <v>15404.68</v>
      </c>
      <c r="C37" s="1035">
        <v>22697.14</v>
      </c>
      <c r="D37" s="1035">
        <v>29626.04</v>
      </c>
      <c r="E37" s="1035">
        <v>44234.92</v>
      </c>
      <c r="H37" s="1036">
        <v>48049.440000000002</v>
      </c>
      <c r="I37" s="1036">
        <v>16305.26</v>
      </c>
      <c r="J37" s="1036">
        <v>23331.21</v>
      </c>
      <c r="K37" s="1036">
        <v>15836.33</v>
      </c>
      <c r="L37" s="1036">
        <v>23024.86</v>
      </c>
      <c r="M37" s="1036">
        <v>28032.74</v>
      </c>
      <c r="N37" s="1036">
        <v>22641.09</v>
      </c>
      <c r="O37" s="1036">
        <v>24556.93</v>
      </c>
      <c r="P37" s="1036">
        <v>41398.32</v>
      </c>
      <c r="Q37" s="1036">
        <v>39048.14</v>
      </c>
      <c r="R37" s="1036">
        <v>53898.94</v>
      </c>
      <c r="S37" s="1036">
        <v>46939.34</v>
      </c>
      <c r="T37" s="1036">
        <v>54200.7</v>
      </c>
      <c r="U37" s="1036">
        <v>57513.45</v>
      </c>
      <c r="V37" s="1036">
        <v>27516.31</v>
      </c>
      <c r="W37" s="1036">
        <v>29970.44</v>
      </c>
      <c r="X37" s="1036">
        <v>43629.38</v>
      </c>
      <c r="Y37" s="1036">
        <v>22424.240000000002</v>
      </c>
      <c r="Z37" s="1036">
        <v>30292.59</v>
      </c>
      <c r="AA37" s="1036">
        <v>54200.76</v>
      </c>
      <c r="AB37" s="1036">
        <v>24472.639999999999</v>
      </c>
      <c r="AC37" s="1036">
        <v>28946.52</v>
      </c>
      <c r="AD37" s="1036">
        <v>57513.45</v>
      </c>
      <c r="AE37" s="1036">
        <v>38299.629999999997</v>
      </c>
      <c r="AF37" s="1036">
        <v>22385.65</v>
      </c>
      <c r="AG37" s="1036">
        <v>23388.28</v>
      </c>
      <c r="AH37" s="1036">
        <v>21971.119999999999</v>
      </c>
      <c r="AI37" s="1036">
        <v>57513.49</v>
      </c>
      <c r="AJ37" s="1036">
        <v>54200.68</v>
      </c>
      <c r="AK37" s="1036">
        <v>16305.26</v>
      </c>
      <c r="AL37" s="1036">
        <v>21610.18</v>
      </c>
      <c r="AM37" s="1036">
        <v>23929.52</v>
      </c>
      <c r="AN37" s="1036">
        <v>24694.22</v>
      </c>
      <c r="AO37" s="1036">
        <v>25655.13</v>
      </c>
      <c r="AP37" s="1036">
        <v>27741.5</v>
      </c>
      <c r="AQ37" s="1036">
        <v>29002.32</v>
      </c>
      <c r="AR37" s="1036">
        <v>17647.04</v>
      </c>
      <c r="AS37" s="1036">
        <v>20798.849999999999</v>
      </c>
      <c r="AT37" s="1036">
        <v>22868.49</v>
      </c>
      <c r="AU37" s="1036">
        <v>21788.57</v>
      </c>
      <c r="AV37" s="1036">
        <v>21171.19</v>
      </c>
      <c r="AW37" s="1036">
        <v>24157.54</v>
      </c>
      <c r="AX37" s="1983">
        <v>15404.68</v>
      </c>
      <c r="AY37" s="1987">
        <v>23050.69</v>
      </c>
      <c r="AZ37" s="1988">
        <v>25218</v>
      </c>
      <c r="BA37" s="1988">
        <v>30370</v>
      </c>
      <c r="BB37" s="1988">
        <v>32610</v>
      </c>
      <c r="BC37" s="1988">
        <v>22648.02</v>
      </c>
      <c r="BD37" s="1988">
        <v>24457.38</v>
      </c>
      <c r="BE37" s="1988">
        <v>26542.83</v>
      </c>
      <c r="BF37" s="1988">
        <v>22648.02</v>
      </c>
      <c r="BG37" s="1988">
        <v>24457.38</v>
      </c>
      <c r="BH37" s="1988">
        <v>26542.83</v>
      </c>
      <c r="BI37" s="1988">
        <v>22648.02</v>
      </c>
      <c r="BJ37" s="1988">
        <v>24624</v>
      </c>
      <c r="BK37" s="1988">
        <v>27124</v>
      </c>
      <c r="BL37" s="1988">
        <v>29124</v>
      </c>
      <c r="BM37" s="1988">
        <v>20067</v>
      </c>
      <c r="BN37" s="1988">
        <v>22067</v>
      </c>
      <c r="BO37" s="1988">
        <v>23767</v>
      </c>
      <c r="BP37" s="1988">
        <v>22801</v>
      </c>
      <c r="BQ37" s="1989">
        <v>23833.77</v>
      </c>
      <c r="BR37" s="1989">
        <v>26115.48</v>
      </c>
      <c r="BS37" s="2045">
        <v>26326.45</v>
      </c>
      <c r="BT37" s="2084">
        <v>33063.97</v>
      </c>
      <c r="BU37" s="2087">
        <v>26027.58</v>
      </c>
      <c r="BV37" s="1036">
        <v>25285.3</v>
      </c>
      <c r="BW37" s="2087">
        <v>26259</v>
      </c>
      <c r="BX37" s="1036">
        <v>26921.360000000001</v>
      </c>
      <c r="BY37" s="2109">
        <v>27959</v>
      </c>
      <c r="BZ37" s="2109">
        <v>32854</v>
      </c>
      <c r="CA37" s="2212">
        <v>24298.34</v>
      </c>
    </row>
    <row r="38" spans="1:79" ht="15">
      <c r="A38" s="1032" t="s">
        <v>3726</v>
      </c>
      <c r="B38" s="1035">
        <v>15404.68</v>
      </c>
      <c r="C38" s="1035">
        <v>23060.95</v>
      </c>
      <c r="D38" s="1035">
        <v>29626.04</v>
      </c>
      <c r="E38" s="1035">
        <v>44234.92</v>
      </c>
      <c r="H38" s="1036">
        <v>48049.440000000002</v>
      </c>
      <c r="I38" s="1036">
        <v>16305.26</v>
      </c>
      <c r="J38" s="1036">
        <v>23331.21</v>
      </c>
      <c r="K38" s="1036">
        <v>15836.33</v>
      </c>
      <c r="L38" s="1036">
        <v>23024.86</v>
      </c>
      <c r="M38" s="1036">
        <v>28032.74</v>
      </c>
      <c r="N38" s="1036">
        <v>23264.99</v>
      </c>
      <c r="O38" s="1036">
        <v>24556.93</v>
      </c>
      <c r="P38" s="1036">
        <v>41398.32</v>
      </c>
      <c r="Q38" s="1036">
        <v>39048.14</v>
      </c>
      <c r="R38" s="1036">
        <v>53898.94</v>
      </c>
      <c r="S38" s="1036">
        <v>46939.34</v>
      </c>
      <c r="T38" s="1036">
        <v>54200.7</v>
      </c>
      <c r="U38" s="1036">
        <v>57513.45</v>
      </c>
      <c r="V38" s="1036">
        <v>27516.31</v>
      </c>
      <c r="W38" s="1036">
        <v>29970.44</v>
      </c>
      <c r="X38" s="1036">
        <v>43629.38</v>
      </c>
      <c r="Y38" s="1036">
        <v>22742.57</v>
      </c>
      <c r="Z38" s="1036">
        <v>30292.59</v>
      </c>
      <c r="AA38" s="1036">
        <v>54200.76</v>
      </c>
      <c r="AB38" s="1036">
        <v>24472.639999999999</v>
      </c>
      <c r="AC38" s="1036">
        <v>28946.52</v>
      </c>
      <c r="AD38" s="1036">
        <v>57513.45</v>
      </c>
      <c r="AE38" s="1036">
        <v>38299.629999999997</v>
      </c>
      <c r="AF38" s="1036">
        <v>22697.55</v>
      </c>
      <c r="AG38" s="1036">
        <v>24012.53</v>
      </c>
      <c r="AH38" s="1036">
        <v>22283.79</v>
      </c>
      <c r="AI38" s="1036">
        <v>57513.49</v>
      </c>
      <c r="AJ38" s="1036">
        <v>54200.68</v>
      </c>
      <c r="AK38" s="1036">
        <v>16305.26</v>
      </c>
      <c r="AL38" s="1036">
        <v>21788.62</v>
      </c>
      <c r="AM38" s="1036">
        <v>24434.51</v>
      </c>
      <c r="AN38" s="1036">
        <v>25300.2</v>
      </c>
      <c r="AO38" s="1036">
        <v>26285.55</v>
      </c>
      <c r="AP38" s="1036">
        <v>28371.87</v>
      </c>
      <c r="AQ38" s="1036">
        <v>29632.720000000001</v>
      </c>
      <c r="AR38" s="1036">
        <v>17647.04</v>
      </c>
      <c r="AS38" s="1036">
        <v>21138.35</v>
      </c>
      <c r="AT38" s="1036">
        <v>23315.72</v>
      </c>
      <c r="AU38" s="1036">
        <v>21788.57</v>
      </c>
      <c r="AV38" s="1036">
        <v>21788.62</v>
      </c>
      <c r="AW38" s="1036">
        <v>24976.61</v>
      </c>
      <c r="AX38" s="1983">
        <v>15404.68</v>
      </c>
      <c r="AY38" s="1987">
        <v>23050.69</v>
      </c>
      <c r="AZ38" s="1988">
        <v>25218</v>
      </c>
      <c r="BA38" s="1988">
        <v>30370</v>
      </c>
      <c r="BB38" s="1988">
        <v>32610</v>
      </c>
      <c r="BC38" s="1988">
        <v>22648.02</v>
      </c>
      <c r="BD38" s="1988">
        <v>24457.38</v>
      </c>
      <c r="BE38" s="1988">
        <v>26542.83</v>
      </c>
      <c r="BF38" s="1988">
        <v>22648.02</v>
      </c>
      <c r="BG38" s="1988">
        <v>24457.38</v>
      </c>
      <c r="BH38" s="1988">
        <v>26542.83</v>
      </c>
      <c r="BI38" s="1988">
        <v>22648.02</v>
      </c>
      <c r="BJ38" s="1988">
        <v>24624</v>
      </c>
      <c r="BK38" s="1988">
        <v>27124</v>
      </c>
      <c r="BL38" s="1988">
        <v>29124</v>
      </c>
      <c r="BM38" s="1988">
        <v>20067</v>
      </c>
      <c r="BN38" s="1988">
        <v>22067</v>
      </c>
      <c r="BO38" s="1988">
        <v>23767</v>
      </c>
      <c r="BP38" s="1988">
        <v>22801</v>
      </c>
      <c r="BQ38" s="1989">
        <v>24457.38</v>
      </c>
      <c r="BR38" s="1989">
        <v>26741.25</v>
      </c>
      <c r="BS38" s="2045">
        <v>26326.45</v>
      </c>
      <c r="BT38" s="2084">
        <v>33063.97</v>
      </c>
      <c r="BU38" s="2087">
        <v>26651.48</v>
      </c>
      <c r="BV38" s="1036">
        <v>25285.3</v>
      </c>
      <c r="BW38" s="2087">
        <v>26459</v>
      </c>
      <c r="BX38" s="1036">
        <v>26921.360000000001</v>
      </c>
      <c r="BY38" s="2109">
        <v>28159</v>
      </c>
      <c r="BZ38" s="2109">
        <v>33124</v>
      </c>
      <c r="CA38" s="2212">
        <v>24759.1</v>
      </c>
    </row>
    <row r="39" spans="1:79" ht="15">
      <c r="A39" s="1032" t="s">
        <v>3727</v>
      </c>
      <c r="B39" s="1035">
        <v>15404.68</v>
      </c>
      <c r="C39" s="1035">
        <v>23060.95</v>
      </c>
      <c r="D39" s="1035">
        <v>29626.04</v>
      </c>
      <c r="E39" s="1035">
        <v>44234.92</v>
      </c>
      <c r="H39" s="1036">
        <v>48049.440000000002</v>
      </c>
      <c r="I39" s="1036">
        <v>16305.26</v>
      </c>
      <c r="J39" s="1036">
        <v>23331.21</v>
      </c>
      <c r="K39" s="1036">
        <v>15836.33</v>
      </c>
      <c r="L39" s="1036">
        <v>23024.86</v>
      </c>
      <c r="M39" s="1036">
        <v>28032.74</v>
      </c>
      <c r="N39" s="1036">
        <v>23264.99</v>
      </c>
      <c r="O39" s="1036">
        <v>25180.83</v>
      </c>
      <c r="P39" s="1036">
        <v>41398.32</v>
      </c>
      <c r="Q39" s="1036">
        <v>39048.14</v>
      </c>
      <c r="R39" s="1036">
        <v>53898.94</v>
      </c>
      <c r="S39" s="1036">
        <v>46939.34</v>
      </c>
      <c r="T39" s="1036">
        <v>54200.7</v>
      </c>
      <c r="U39" s="1036">
        <v>57513.45</v>
      </c>
      <c r="V39" s="1036">
        <v>27516.31</v>
      </c>
      <c r="W39" s="1036">
        <v>29970.44</v>
      </c>
      <c r="X39" s="1036">
        <v>43629.38</v>
      </c>
      <c r="Y39" s="1036">
        <v>22742.57</v>
      </c>
      <c r="Z39" s="1036">
        <v>30292.59</v>
      </c>
      <c r="AA39" s="1036">
        <v>54200.76</v>
      </c>
      <c r="AB39" s="1036">
        <v>24472.639999999999</v>
      </c>
      <c r="AC39" s="1036">
        <v>28946.52</v>
      </c>
      <c r="AD39" s="1036">
        <v>57513.45</v>
      </c>
      <c r="AE39" s="1036">
        <v>38299.629999999997</v>
      </c>
      <c r="AF39" s="1036">
        <v>22697.55</v>
      </c>
      <c r="AG39" s="1036">
        <v>24012.53</v>
      </c>
      <c r="AH39" s="1036">
        <v>22283.79</v>
      </c>
      <c r="AI39" s="1036">
        <v>57513.49</v>
      </c>
      <c r="AJ39" s="1036">
        <v>54200.68</v>
      </c>
      <c r="AK39" s="1036">
        <v>16305.26</v>
      </c>
      <c r="AL39" s="1036">
        <v>21788.62</v>
      </c>
      <c r="AM39" s="1036">
        <v>24434.51</v>
      </c>
      <c r="AN39" s="1036">
        <v>25300.2</v>
      </c>
      <c r="AO39" s="1036">
        <v>26285.55</v>
      </c>
      <c r="AP39" s="1036">
        <v>28371.87</v>
      </c>
      <c r="AQ39" s="1036">
        <v>29632.720000000001</v>
      </c>
      <c r="AR39" s="1036">
        <v>17647.04</v>
      </c>
      <c r="AS39" s="1036">
        <v>21138.35</v>
      </c>
      <c r="AT39" s="1036">
        <v>23315.72</v>
      </c>
      <c r="AU39" s="1036">
        <v>21788.57</v>
      </c>
      <c r="AV39" s="1036">
        <v>21788.62</v>
      </c>
      <c r="AW39" s="1036">
        <v>24976.61</v>
      </c>
      <c r="AX39" s="1983">
        <v>15404.68</v>
      </c>
      <c r="AY39" s="1987">
        <v>23050.69</v>
      </c>
      <c r="AZ39" s="1988">
        <v>25218</v>
      </c>
      <c r="BA39" s="1988">
        <v>30884</v>
      </c>
      <c r="BB39" s="1988">
        <v>33124</v>
      </c>
      <c r="BC39" s="1988">
        <v>22648.02</v>
      </c>
      <c r="BD39" s="1988">
        <v>24457.38</v>
      </c>
      <c r="BE39" s="1988">
        <v>27166.44</v>
      </c>
      <c r="BF39" s="1988">
        <v>22648.02</v>
      </c>
      <c r="BG39" s="1988">
        <v>24457.38</v>
      </c>
      <c r="BH39" s="1988">
        <v>27166.44</v>
      </c>
      <c r="BI39" s="1988">
        <v>22648.02</v>
      </c>
      <c r="BJ39" s="1988">
        <v>24624</v>
      </c>
      <c r="BK39" s="1988">
        <v>27124</v>
      </c>
      <c r="BL39" s="1988">
        <v>29124</v>
      </c>
      <c r="BM39" s="1988">
        <v>20067</v>
      </c>
      <c r="BN39" s="1988">
        <v>22067</v>
      </c>
      <c r="BO39" s="1988">
        <v>23767</v>
      </c>
      <c r="BP39" s="1988">
        <v>22801</v>
      </c>
      <c r="BQ39" s="1989">
        <v>24457.38</v>
      </c>
      <c r="BR39" s="1989">
        <v>26741.25</v>
      </c>
      <c r="BS39" s="2045">
        <v>26326.45</v>
      </c>
      <c r="BT39" s="2084">
        <v>33063.97</v>
      </c>
      <c r="BU39" s="2087">
        <v>26651.48</v>
      </c>
      <c r="BV39" s="1036">
        <v>25285.3</v>
      </c>
      <c r="BW39" s="2115">
        <v>26459</v>
      </c>
      <c r="BX39" s="1036">
        <v>26921.360000000001</v>
      </c>
      <c r="BY39" s="2110">
        <v>28159</v>
      </c>
      <c r="BZ39" s="2111">
        <v>33124</v>
      </c>
      <c r="CA39" s="2212">
        <v>24759.1</v>
      </c>
    </row>
    <row r="40" spans="1:79" ht="15">
      <c r="A40" s="1032" t="s">
        <v>3728</v>
      </c>
      <c r="B40" s="1035">
        <v>15404.68</v>
      </c>
      <c r="C40" s="1035">
        <v>23424.76</v>
      </c>
      <c r="D40" s="1035">
        <v>29626.04</v>
      </c>
      <c r="E40" s="1035">
        <v>44234.92</v>
      </c>
      <c r="H40" s="1036">
        <v>48049.440000000002</v>
      </c>
      <c r="I40" s="1036">
        <v>16305.26</v>
      </c>
      <c r="J40" s="1036">
        <v>23331.21</v>
      </c>
      <c r="K40" s="1036">
        <v>15836.33</v>
      </c>
      <c r="L40" s="1036">
        <v>23024.86</v>
      </c>
      <c r="M40" s="1036">
        <v>28032.74</v>
      </c>
      <c r="N40" s="1036">
        <v>23264.99</v>
      </c>
      <c r="O40" s="1036">
        <v>25180.83</v>
      </c>
      <c r="P40" s="1036">
        <v>41398.32</v>
      </c>
      <c r="Q40" s="1036">
        <v>39048.14</v>
      </c>
      <c r="R40" s="1036">
        <v>53898.94</v>
      </c>
      <c r="S40" s="1036">
        <v>46939.34</v>
      </c>
      <c r="T40" s="1036">
        <v>54200.7</v>
      </c>
      <c r="U40" s="1036">
        <v>57513.45</v>
      </c>
      <c r="V40" s="1036">
        <v>27516.31</v>
      </c>
      <c r="W40" s="1036">
        <v>29970.44</v>
      </c>
      <c r="X40" s="1036">
        <v>43629.38</v>
      </c>
      <c r="Y40" s="1036">
        <v>22742.57</v>
      </c>
      <c r="Z40" s="1036">
        <v>30292.59</v>
      </c>
      <c r="AA40" s="1036">
        <v>54200.76</v>
      </c>
      <c r="AB40" s="1036">
        <v>24472.639999999999</v>
      </c>
      <c r="AC40" s="1036">
        <v>28946.52</v>
      </c>
      <c r="AD40" s="1036">
        <v>57513.45</v>
      </c>
      <c r="AE40" s="1036">
        <v>38299.629999999997</v>
      </c>
      <c r="AF40" s="1036">
        <v>22697.55</v>
      </c>
      <c r="AG40" s="1036">
        <v>24012.53</v>
      </c>
      <c r="AH40" s="1036">
        <v>22283.79</v>
      </c>
      <c r="AI40" s="1036">
        <v>57513.49</v>
      </c>
      <c r="AJ40" s="1036">
        <v>54200.68</v>
      </c>
      <c r="AK40" s="1036">
        <v>16305.26</v>
      </c>
      <c r="AL40" s="1036">
        <v>21788.62</v>
      </c>
      <c r="AM40" s="1036">
        <v>24434.51</v>
      </c>
      <c r="AN40" s="1036">
        <v>25300.2</v>
      </c>
      <c r="AO40" s="1036">
        <v>26285.55</v>
      </c>
      <c r="AP40" s="1036">
        <v>28538.01</v>
      </c>
      <c r="AQ40" s="1036">
        <v>29778.68</v>
      </c>
      <c r="AR40" s="1036">
        <v>17647.04</v>
      </c>
      <c r="AS40" s="1036">
        <v>21138.35</v>
      </c>
      <c r="AT40" s="1036">
        <v>23315.72</v>
      </c>
      <c r="AU40" s="1036">
        <v>21788.57</v>
      </c>
      <c r="AV40" s="1036">
        <v>21788.62</v>
      </c>
      <c r="AW40" s="1036">
        <v>24976.61</v>
      </c>
      <c r="AX40" s="1983">
        <v>15404.68</v>
      </c>
      <c r="AY40" s="1987">
        <v>23050.69</v>
      </c>
      <c r="AZ40" s="1988">
        <v>25218</v>
      </c>
      <c r="BA40" s="1988">
        <v>30884</v>
      </c>
      <c r="BB40" s="1988">
        <v>33124</v>
      </c>
      <c r="BC40" s="1988">
        <v>22648.02</v>
      </c>
      <c r="BD40" s="1988">
        <v>24457.38</v>
      </c>
      <c r="BE40" s="1988">
        <v>27166.44</v>
      </c>
      <c r="BF40" s="1988">
        <v>22648.02</v>
      </c>
      <c r="BG40" s="1988">
        <v>24457.38</v>
      </c>
      <c r="BH40" s="1988">
        <v>27166.44</v>
      </c>
      <c r="BI40" s="1988">
        <v>22648.02</v>
      </c>
      <c r="BJ40" s="1988">
        <v>24624</v>
      </c>
      <c r="BK40" s="1988">
        <v>27124</v>
      </c>
      <c r="BL40" s="1988">
        <v>29124</v>
      </c>
      <c r="BM40" s="1988">
        <v>20067</v>
      </c>
      <c r="BN40" s="1988">
        <v>22067</v>
      </c>
      <c r="BO40" s="1988">
        <v>23767</v>
      </c>
      <c r="BP40" s="1988">
        <v>22801</v>
      </c>
      <c r="BQ40" s="1989">
        <v>24457.38</v>
      </c>
      <c r="BR40" s="1989">
        <v>26741.25</v>
      </c>
      <c r="BS40" s="2045">
        <v>26326.45</v>
      </c>
      <c r="BT40" s="2084">
        <v>33063.97</v>
      </c>
      <c r="BU40" s="2087">
        <v>26651.48</v>
      </c>
      <c r="BV40" s="1036">
        <v>25285.3</v>
      </c>
      <c r="BW40" s="2115">
        <v>26459</v>
      </c>
      <c r="BX40" s="1036">
        <v>26921.360000000001</v>
      </c>
      <c r="BY40" s="2110">
        <v>28159</v>
      </c>
      <c r="BZ40" s="2111">
        <v>33124</v>
      </c>
      <c r="CA40" s="2212">
        <v>24759.1</v>
      </c>
    </row>
    <row r="41" spans="1:79" ht="15">
      <c r="A41" s="1032" t="s">
        <v>3729</v>
      </c>
      <c r="B41" s="1035">
        <v>15404.68</v>
      </c>
      <c r="C41" s="1035">
        <v>23424.76</v>
      </c>
      <c r="D41" s="1035">
        <v>29626.04</v>
      </c>
      <c r="E41" s="1035">
        <v>44234.92</v>
      </c>
      <c r="H41" s="1036">
        <v>48049.440000000002</v>
      </c>
      <c r="I41" s="1036">
        <v>16305.26</v>
      </c>
      <c r="J41" s="1036">
        <v>23331.21</v>
      </c>
      <c r="K41" s="1036">
        <v>15836.33</v>
      </c>
      <c r="L41" s="1036">
        <v>23024.86</v>
      </c>
      <c r="M41" s="1036">
        <v>28032.74</v>
      </c>
      <c r="N41" s="1036">
        <v>23264.99</v>
      </c>
      <c r="O41" s="1036">
        <v>25180.83</v>
      </c>
      <c r="P41" s="1036">
        <v>41398.32</v>
      </c>
      <c r="Q41" s="1036">
        <v>39048.14</v>
      </c>
      <c r="R41" s="1036">
        <v>53898.94</v>
      </c>
      <c r="S41" s="1036">
        <v>46939.34</v>
      </c>
      <c r="T41" s="1036">
        <v>54200.7</v>
      </c>
      <c r="U41" s="1036">
        <v>57513.45</v>
      </c>
      <c r="V41" s="1036">
        <v>27516.31</v>
      </c>
      <c r="W41" s="1036">
        <v>29970.44</v>
      </c>
      <c r="X41" s="1036">
        <v>43629.38</v>
      </c>
      <c r="Y41" s="1036">
        <v>22742.57</v>
      </c>
      <c r="Z41" s="1036">
        <v>30292.59</v>
      </c>
      <c r="AA41" s="1036">
        <v>54200.76</v>
      </c>
      <c r="AB41" s="1036">
        <v>24472.639999999999</v>
      </c>
      <c r="AC41" s="1036">
        <v>28946.52</v>
      </c>
      <c r="AD41" s="1036">
        <v>57513.45</v>
      </c>
      <c r="AE41" s="1036">
        <v>38299.629999999997</v>
      </c>
      <c r="AF41" s="1036">
        <v>22697.55</v>
      </c>
      <c r="AG41" s="1036">
        <v>24012.53</v>
      </c>
      <c r="AH41" s="1036">
        <v>22283.79</v>
      </c>
      <c r="AI41" s="1036">
        <v>57513.49</v>
      </c>
      <c r="AJ41" s="1036">
        <v>54200.68</v>
      </c>
      <c r="AK41" s="1036">
        <v>16305.26</v>
      </c>
      <c r="AL41" s="1036">
        <v>21788.62</v>
      </c>
      <c r="AM41" s="1036">
        <v>24434.51</v>
      </c>
      <c r="AN41" s="1036">
        <v>25300.2</v>
      </c>
      <c r="AO41" s="1036">
        <v>26285.55</v>
      </c>
      <c r="AP41" s="1036">
        <v>28538.01</v>
      </c>
      <c r="AQ41" s="1036">
        <v>29778.68</v>
      </c>
      <c r="AR41" s="1036">
        <v>17647.04</v>
      </c>
      <c r="AS41" s="1036">
        <v>21138.35</v>
      </c>
      <c r="AT41" s="1036">
        <v>23315.72</v>
      </c>
      <c r="AU41" s="1036">
        <v>21788.57</v>
      </c>
      <c r="AV41" s="1036">
        <v>21788.62</v>
      </c>
      <c r="AW41" s="1036">
        <v>24976.61</v>
      </c>
      <c r="AX41" s="1983">
        <v>15404.68</v>
      </c>
      <c r="AY41" s="1987">
        <v>23050.69</v>
      </c>
      <c r="AZ41" s="1988">
        <v>25218</v>
      </c>
      <c r="BA41" s="1988">
        <v>30884</v>
      </c>
      <c r="BB41" s="1988">
        <v>33124</v>
      </c>
      <c r="BC41" s="1988">
        <v>22648.02</v>
      </c>
      <c r="BD41" s="1988">
        <v>24457.38</v>
      </c>
      <c r="BE41" s="1988">
        <v>27166.44</v>
      </c>
      <c r="BF41" s="1988">
        <v>22648.02</v>
      </c>
      <c r="BG41" s="1988">
        <v>24457.38</v>
      </c>
      <c r="BH41" s="1988">
        <v>27166.44</v>
      </c>
      <c r="BI41" s="1988">
        <v>22648.02</v>
      </c>
      <c r="BJ41" s="1988">
        <v>24624</v>
      </c>
      <c r="BK41" s="1988">
        <v>27124</v>
      </c>
      <c r="BL41" s="1988">
        <v>29124</v>
      </c>
      <c r="BM41" s="1988">
        <v>20067</v>
      </c>
      <c r="BN41" s="1988">
        <v>22067</v>
      </c>
      <c r="BO41" s="1988">
        <v>23767</v>
      </c>
      <c r="BP41" s="1988">
        <v>22801</v>
      </c>
      <c r="BQ41" s="1989">
        <v>24457.38</v>
      </c>
      <c r="BR41" s="1989">
        <v>26741.25</v>
      </c>
      <c r="BS41" s="2045">
        <v>26326.45</v>
      </c>
      <c r="BT41" s="2084">
        <v>33063.97</v>
      </c>
      <c r="BU41" s="2087">
        <v>26651.48</v>
      </c>
      <c r="BV41" s="1036">
        <v>25285.3</v>
      </c>
      <c r="BW41" s="2115">
        <v>26459</v>
      </c>
      <c r="BX41" s="1036">
        <v>26921.360000000001</v>
      </c>
      <c r="BY41" s="2110">
        <v>28159</v>
      </c>
      <c r="BZ41" s="2111">
        <v>33124</v>
      </c>
      <c r="CA41" s="2212">
        <v>24759.1</v>
      </c>
    </row>
    <row r="42" spans="1:79" ht="15">
      <c r="A42" s="1371" t="s">
        <v>3730</v>
      </c>
      <c r="B42" s="1372">
        <v>15404.68</v>
      </c>
      <c r="C42" s="1372">
        <v>23424.76</v>
      </c>
      <c r="D42" s="1372">
        <v>29626.04</v>
      </c>
      <c r="E42" s="1372">
        <v>44234.92</v>
      </c>
      <c r="H42" s="1373">
        <v>48049.440000000002</v>
      </c>
      <c r="I42" s="1373">
        <v>16305.26</v>
      </c>
      <c r="J42" s="1373">
        <v>23331.21</v>
      </c>
      <c r="K42" s="1373">
        <v>15836.33</v>
      </c>
      <c r="L42" s="1373">
        <v>23024.86</v>
      </c>
      <c r="M42" s="1373">
        <v>28032.74</v>
      </c>
      <c r="N42" s="1373">
        <v>23264.99</v>
      </c>
      <c r="O42" s="1373">
        <v>25180.83</v>
      </c>
      <c r="P42" s="1373">
        <v>41398.32</v>
      </c>
      <c r="Q42" s="1373">
        <v>39048.14</v>
      </c>
      <c r="R42" s="1373">
        <v>53898.94</v>
      </c>
      <c r="S42" s="1373">
        <v>46939.34</v>
      </c>
      <c r="T42" s="1373">
        <v>54200.7</v>
      </c>
      <c r="U42" s="1373">
        <v>57513.45</v>
      </c>
      <c r="V42" s="1373">
        <v>27516.31</v>
      </c>
      <c r="W42" s="1373">
        <v>29970.44</v>
      </c>
      <c r="X42" s="1373">
        <v>43629.38</v>
      </c>
      <c r="Y42" s="1373">
        <v>22742.57</v>
      </c>
      <c r="Z42" s="1373">
        <v>30292.59</v>
      </c>
      <c r="AA42" s="1373">
        <v>54200.76</v>
      </c>
      <c r="AB42" s="1373">
        <v>24472.639999999999</v>
      </c>
      <c r="AC42" s="1373">
        <v>28946.52</v>
      </c>
      <c r="AD42" s="1373">
        <v>57513.45</v>
      </c>
      <c r="AE42" s="1373">
        <v>38299.629999999997</v>
      </c>
      <c r="AF42" s="1373">
        <v>22697.55</v>
      </c>
      <c r="AG42" s="1373">
        <v>24012.53</v>
      </c>
      <c r="AH42" s="1373">
        <v>22283.79</v>
      </c>
      <c r="AI42" s="1373">
        <v>57513.49</v>
      </c>
      <c r="AJ42" s="1373">
        <v>54200.68</v>
      </c>
      <c r="AK42" s="1373">
        <v>16305.26</v>
      </c>
      <c r="AL42" s="1373">
        <v>21788.62</v>
      </c>
      <c r="AM42" s="1373">
        <v>24434.51</v>
      </c>
      <c r="AN42" s="1373">
        <v>25300.2</v>
      </c>
      <c r="AO42" s="1373">
        <v>26285.55</v>
      </c>
      <c r="AP42" s="1373">
        <v>29002.34</v>
      </c>
      <c r="AQ42" s="1373">
        <v>30263.19</v>
      </c>
      <c r="AR42" s="1373">
        <v>17647.04</v>
      </c>
      <c r="AS42" s="1373">
        <v>21138.35</v>
      </c>
      <c r="AT42" s="1373">
        <v>23315.72</v>
      </c>
      <c r="AU42" s="1373">
        <v>21788.57</v>
      </c>
      <c r="AV42" s="1373">
        <v>21788.62</v>
      </c>
      <c r="AW42" s="1373">
        <v>24976.61</v>
      </c>
      <c r="AX42" s="1984">
        <v>15404.68</v>
      </c>
      <c r="AY42" s="1987">
        <v>23050.69</v>
      </c>
      <c r="AZ42" s="1988">
        <v>25218</v>
      </c>
      <c r="BA42" s="1988">
        <v>30884</v>
      </c>
      <c r="BB42" s="1988">
        <v>33124</v>
      </c>
      <c r="BC42" s="1988">
        <v>22648.02</v>
      </c>
      <c r="BD42" s="1988">
        <v>24457.38</v>
      </c>
      <c r="BE42" s="1988">
        <v>27166.44</v>
      </c>
      <c r="BF42" s="1988">
        <v>22648.02</v>
      </c>
      <c r="BG42" s="1988">
        <v>24457.38</v>
      </c>
      <c r="BH42" s="1988">
        <v>27166.44</v>
      </c>
      <c r="BI42" s="1988">
        <v>22648.02</v>
      </c>
      <c r="BJ42" s="1988">
        <v>24624</v>
      </c>
      <c r="BK42" s="1988">
        <v>27124</v>
      </c>
      <c r="BL42" s="1988">
        <v>29124</v>
      </c>
      <c r="BM42" s="1988">
        <v>20067</v>
      </c>
      <c r="BN42" s="1988">
        <v>22067</v>
      </c>
      <c r="BO42" s="1988">
        <v>23767</v>
      </c>
      <c r="BP42" s="1988">
        <v>22801</v>
      </c>
      <c r="BQ42" s="1989">
        <v>24457.38</v>
      </c>
      <c r="BR42" s="1989">
        <v>26741.25</v>
      </c>
      <c r="BS42" s="2045">
        <v>26326.45</v>
      </c>
      <c r="BT42" s="2084">
        <v>33063.97</v>
      </c>
      <c r="BU42" s="2087">
        <v>26651.48</v>
      </c>
      <c r="BV42" s="1036">
        <v>25285.3</v>
      </c>
      <c r="BW42" s="2115">
        <v>26459</v>
      </c>
      <c r="BX42" s="1036">
        <v>26921.360000000001</v>
      </c>
      <c r="BY42" s="2110">
        <v>28159</v>
      </c>
      <c r="BZ42" s="2111">
        <v>33124</v>
      </c>
      <c r="CA42" s="2212">
        <v>24759.1</v>
      </c>
    </row>
    <row r="43" spans="1:79" ht="15">
      <c r="A43" s="1032" t="s">
        <v>4626</v>
      </c>
      <c r="B43" s="1372">
        <v>15404.68</v>
      </c>
      <c r="C43" s="1372">
        <v>23424.76</v>
      </c>
      <c r="D43" s="1372">
        <v>29626.04</v>
      </c>
      <c r="E43" s="1372">
        <v>44234.92</v>
      </c>
      <c r="H43" s="1373">
        <v>48049.440000000002</v>
      </c>
      <c r="I43" s="1373">
        <v>16305.26</v>
      </c>
      <c r="J43" s="1373">
        <v>23331.21</v>
      </c>
      <c r="K43" s="1373">
        <v>15836.33</v>
      </c>
      <c r="L43" s="1373">
        <v>23024.86</v>
      </c>
      <c r="M43" s="1373">
        <v>28032.74</v>
      </c>
      <c r="N43" s="1373">
        <v>23264.99</v>
      </c>
      <c r="O43" s="1373">
        <v>25180.83</v>
      </c>
      <c r="P43" s="1373">
        <v>41398.32</v>
      </c>
      <c r="Q43" s="1373">
        <v>39048.14</v>
      </c>
      <c r="R43" s="1373">
        <v>53898.94</v>
      </c>
      <c r="S43" s="1373">
        <v>46939.34</v>
      </c>
      <c r="T43" s="1373">
        <v>54200.7</v>
      </c>
      <c r="U43" s="1373">
        <v>57513.45</v>
      </c>
      <c r="V43" s="1373">
        <v>27516.31</v>
      </c>
      <c r="W43" s="1373">
        <v>29970.44</v>
      </c>
      <c r="X43" s="1373">
        <v>43629.38</v>
      </c>
      <c r="Y43" s="1373">
        <v>22742.57</v>
      </c>
      <c r="Z43" s="1373">
        <v>30292.59</v>
      </c>
      <c r="AA43" s="1373">
        <v>54200.76</v>
      </c>
      <c r="AB43" s="1373">
        <v>24472.639999999999</v>
      </c>
      <c r="AC43" s="1373">
        <v>28946.52</v>
      </c>
      <c r="AD43" s="1373">
        <v>57513.45</v>
      </c>
      <c r="AE43" s="1373">
        <v>38299.629999999997</v>
      </c>
      <c r="AF43" s="1373">
        <v>22697.55</v>
      </c>
      <c r="AG43" s="1373">
        <v>24012.53</v>
      </c>
      <c r="AH43" s="1373">
        <v>22283.79</v>
      </c>
      <c r="AI43" s="1373">
        <v>57513.49</v>
      </c>
      <c r="AJ43" s="1373">
        <v>54200.68</v>
      </c>
      <c r="AK43" s="1373">
        <v>16305.26</v>
      </c>
      <c r="AL43" s="1373">
        <v>21788.62</v>
      </c>
      <c r="AM43" s="1373">
        <v>24434.51</v>
      </c>
      <c r="AN43" s="1373">
        <v>25300.2</v>
      </c>
      <c r="AO43" s="1373">
        <v>26285.55</v>
      </c>
      <c r="AP43" s="1373">
        <v>29002.34</v>
      </c>
      <c r="AQ43" s="1373">
        <v>30263.19</v>
      </c>
      <c r="AR43" s="1373">
        <v>17647.04</v>
      </c>
      <c r="AS43" s="1373">
        <v>21138.35</v>
      </c>
      <c r="AT43" s="1373">
        <v>23315.72</v>
      </c>
      <c r="AU43" s="1373">
        <v>21788.57</v>
      </c>
      <c r="AV43" s="1373">
        <v>21788.62</v>
      </c>
      <c r="AW43" s="1373">
        <v>24976.61</v>
      </c>
      <c r="AX43" s="1984">
        <v>15404.68</v>
      </c>
      <c r="AY43" s="1987">
        <v>23050.69</v>
      </c>
      <c r="AZ43" s="1988">
        <v>25218</v>
      </c>
      <c r="BA43" s="1988">
        <v>30884</v>
      </c>
      <c r="BB43" s="1988">
        <v>33124</v>
      </c>
      <c r="BC43" s="1988">
        <v>22648.02</v>
      </c>
      <c r="BD43" s="1988">
        <v>24457.38</v>
      </c>
      <c r="BE43" s="1988">
        <v>27166.44</v>
      </c>
      <c r="BF43" s="1988">
        <v>22648.02</v>
      </c>
      <c r="BG43" s="1988">
        <v>24457.38</v>
      </c>
      <c r="BH43" s="1988">
        <v>27166.44</v>
      </c>
      <c r="BI43" s="1988">
        <v>22648.02</v>
      </c>
      <c r="BJ43" s="1988">
        <v>24624</v>
      </c>
      <c r="BK43" s="1988">
        <v>27124</v>
      </c>
      <c r="BL43" s="1988">
        <v>29124</v>
      </c>
      <c r="BM43" s="1988">
        <v>20067</v>
      </c>
      <c r="BN43" s="1988">
        <v>22067</v>
      </c>
      <c r="BO43" s="1988">
        <v>23767</v>
      </c>
      <c r="BP43" s="1988">
        <v>22801</v>
      </c>
      <c r="BQ43" s="1989">
        <v>24457.38</v>
      </c>
      <c r="BR43" s="1989">
        <v>26741.25</v>
      </c>
      <c r="BS43" s="2045">
        <v>26326.45</v>
      </c>
      <c r="BT43" s="2084">
        <v>33063.97</v>
      </c>
      <c r="BU43" s="2087">
        <v>26651.48</v>
      </c>
      <c r="BV43" s="1036">
        <v>25285.3</v>
      </c>
      <c r="BW43" s="2115">
        <v>26459</v>
      </c>
      <c r="BX43" s="1036">
        <v>26921.360000000001</v>
      </c>
      <c r="BY43" s="2110">
        <v>28159</v>
      </c>
      <c r="BZ43" s="2111">
        <v>33124</v>
      </c>
      <c r="CA43" s="2212">
        <v>24759.1</v>
      </c>
    </row>
    <row r="44" spans="1:79" ht="15">
      <c r="A44" s="1032" t="s">
        <v>4627</v>
      </c>
      <c r="B44" s="1372">
        <v>15404.68</v>
      </c>
      <c r="C44" s="1372">
        <v>23424.76</v>
      </c>
      <c r="D44" s="1372">
        <v>29626.04</v>
      </c>
      <c r="E44" s="1372">
        <v>44234.92</v>
      </c>
      <c r="H44" s="1373">
        <v>48049.440000000002</v>
      </c>
      <c r="I44" s="1373">
        <v>16305.26</v>
      </c>
      <c r="J44" s="1373">
        <v>23331.21</v>
      </c>
      <c r="K44" s="1373">
        <v>15836.33</v>
      </c>
      <c r="L44" s="1373">
        <v>23024.86</v>
      </c>
      <c r="M44" s="1373">
        <v>28032.74</v>
      </c>
      <c r="N44" s="1373">
        <v>23264.99</v>
      </c>
      <c r="O44" s="1373">
        <v>25180.83</v>
      </c>
      <c r="P44" s="1373">
        <v>41398.32</v>
      </c>
      <c r="Q44" s="1373">
        <v>39048.14</v>
      </c>
      <c r="R44" s="1373">
        <v>53898.94</v>
      </c>
      <c r="S44" s="1373">
        <v>46939.34</v>
      </c>
      <c r="T44" s="1373">
        <v>54200.7</v>
      </c>
      <c r="U44" s="1373">
        <v>57513.45</v>
      </c>
      <c r="V44" s="1373">
        <v>27516.31</v>
      </c>
      <c r="W44" s="1373">
        <v>29970.44</v>
      </c>
      <c r="X44" s="1373">
        <v>43629.38</v>
      </c>
      <c r="Y44" s="1373">
        <v>22742.57</v>
      </c>
      <c r="Z44" s="1373">
        <v>30292.59</v>
      </c>
      <c r="AA44" s="1373">
        <v>54200.76</v>
      </c>
      <c r="AB44" s="1373">
        <v>24472.639999999999</v>
      </c>
      <c r="AC44" s="1373">
        <v>28946.52</v>
      </c>
      <c r="AD44" s="1373">
        <v>57513.45</v>
      </c>
      <c r="AE44" s="1373">
        <v>38299.629999999997</v>
      </c>
      <c r="AF44" s="1373">
        <v>22697.55</v>
      </c>
      <c r="AG44" s="1373">
        <v>24012.53</v>
      </c>
      <c r="AH44" s="1373">
        <v>22283.79</v>
      </c>
      <c r="AI44" s="1373">
        <v>57513.49</v>
      </c>
      <c r="AJ44" s="1373">
        <v>54200.68</v>
      </c>
      <c r="AK44" s="1373">
        <v>16305.26</v>
      </c>
      <c r="AL44" s="1373">
        <v>21788.62</v>
      </c>
      <c r="AM44" s="1373">
        <v>24434.51</v>
      </c>
      <c r="AN44" s="1373">
        <v>25300.2</v>
      </c>
      <c r="AO44" s="1373">
        <v>26285.55</v>
      </c>
      <c r="AP44" s="1373">
        <v>29002.34</v>
      </c>
      <c r="AQ44" s="1373">
        <v>30263.19</v>
      </c>
      <c r="AR44" s="1373">
        <v>17647.04</v>
      </c>
      <c r="AS44" s="1373">
        <v>21138.35</v>
      </c>
      <c r="AT44" s="1373">
        <v>23315.72</v>
      </c>
      <c r="AU44" s="1373">
        <v>21788.57</v>
      </c>
      <c r="AV44" s="1373">
        <v>21788.62</v>
      </c>
      <c r="AW44" s="1373">
        <v>24976.61</v>
      </c>
      <c r="AX44" s="1984">
        <v>15404.68</v>
      </c>
      <c r="AY44" s="1987">
        <v>23050.69</v>
      </c>
      <c r="AZ44" s="1988">
        <v>25218</v>
      </c>
      <c r="BA44" s="1988">
        <v>30884</v>
      </c>
      <c r="BB44" s="1988">
        <v>33124</v>
      </c>
      <c r="BC44" s="1988">
        <v>22648.02</v>
      </c>
      <c r="BD44" s="1988">
        <v>24457.38</v>
      </c>
      <c r="BE44" s="1988">
        <v>27166.44</v>
      </c>
      <c r="BF44" s="1988">
        <v>22648.02</v>
      </c>
      <c r="BG44" s="1988">
        <v>24457.38</v>
      </c>
      <c r="BH44" s="1988">
        <v>27166.44</v>
      </c>
      <c r="BI44" s="1988">
        <v>22648.02</v>
      </c>
      <c r="BJ44" s="1988">
        <v>24624</v>
      </c>
      <c r="BK44" s="1988">
        <v>27124</v>
      </c>
      <c r="BL44" s="1988">
        <v>29124</v>
      </c>
      <c r="BM44" s="1988">
        <v>20067</v>
      </c>
      <c r="BN44" s="1988">
        <v>22067</v>
      </c>
      <c r="BO44" s="1988">
        <v>23767</v>
      </c>
      <c r="BP44" s="1988">
        <v>22801</v>
      </c>
      <c r="BQ44" s="1989">
        <v>24457.38</v>
      </c>
      <c r="BR44" s="1989">
        <v>26741.25</v>
      </c>
      <c r="BS44" s="2045">
        <v>26326.45</v>
      </c>
      <c r="BT44" s="2084">
        <v>33063.97</v>
      </c>
      <c r="BU44" s="2087">
        <v>26651.48</v>
      </c>
      <c r="BV44" s="1036">
        <v>25285.3</v>
      </c>
      <c r="BW44" s="2115">
        <v>26459</v>
      </c>
      <c r="BX44" s="1036">
        <v>26921.360000000001</v>
      </c>
      <c r="BY44" s="2110">
        <v>28159</v>
      </c>
      <c r="BZ44" s="2111">
        <v>33124</v>
      </c>
      <c r="CA44" s="2212">
        <v>24759.1</v>
      </c>
    </row>
    <row r="45" spans="1:79" ht="15">
      <c r="A45" s="1032" t="s">
        <v>4628</v>
      </c>
      <c r="B45" s="1372">
        <v>15404.68</v>
      </c>
      <c r="C45" s="1372">
        <v>23424.76</v>
      </c>
      <c r="D45" s="1372">
        <v>29626.04</v>
      </c>
      <c r="E45" s="1372">
        <v>44234.92</v>
      </c>
      <c r="H45" s="1373">
        <v>48049.440000000002</v>
      </c>
      <c r="I45" s="1373">
        <v>16305.26</v>
      </c>
      <c r="J45" s="1373">
        <v>23331.21</v>
      </c>
      <c r="K45" s="1373">
        <v>15836.33</v>
      </c>
      <c r="L45" s="1373">
        <v>23024.86</v>
      </c>
      <c r="M45" s="1373">
        <v>28032.74</v>
      </c>
      <c r="N45" s="1373">
        <v>23264.99</v>
      </c>
      <c r="O45" s="1373">
        <v>25180.83</v>
      </c>
      <c r="P45" s="1373">
        <v>41398.32</v>
      </c>
      <c r="Q45" s="1373">
        <v>39048.14</v>
      </c>
      <c r="R45" s="1373">
        <v>53898.94</v>
      </c>
      <c r="S45" s="1373">
        <v>46939.34</v>
      </c>
      <c r="T45" s="1373">
        <v>54200.7</v>
      </c>
      <c r="U45" s="1373">
        <v>57513.45</v>
      </c>
      <c r="V45" s="1373">
        <v>27516.31</v>
      </c>
      <c r="W45" s="1373">
        <v>29970.44</v>
      </c>
      <c r="X45" s="1373">
        <v>43629.38</v>
      </c>
      <c r="Y45" s="1373">
        <v>22742.57</v>
      </c>
      <c r="Z45" s="1373">
        <v>30292.59</v>
      </c>
      <c r="AA45" s="1373">
        <v>54200.76</v>
      </c>
      <c r="AB45" s="1373">
        <v>24472.639999999999</v>
      </c>
      <c r="AC45" s="1373">
        <v>28946.52</v>
      </c>
      <c r="AD45" s="1373">
        <v>57513.45</v>
      </c>
      <c r="AE45" s="1373">
        <v>38299.629999999997</v>
      </c>
      <c r="AF45" s="1373">
        <v>22697.55</v>
      </c>
      <c r="AG45" s="1373">
        <v>24012.53</v>
      </c>
      <c r="AH45" s="1373">
        <v>22283.79</v>
      </c>
      <c r="AI45" s="1373">
        <v>57513.49</v>
      </c>
      <c r="AJ45" s="1373">
        <v>54200.68</v>
      </c>
      <c r="AK45" s="1373">
        <v>16305.26</v>
      </c>
      <c r="AL45" s="1373">
        <v>21788.62</v>
      </c>
      <c r="AM45" s="1373">
        <v>24434.51</v>
      </c>
      <c r="AN45" s="1373">
        <v>25300.2</v>
      </c>
      <c r="AO45" s="1373">
        <v>26285.55</v>
      </c>
      <c r="AP45" s="1373">
        <v>29002.34</v>
      </c>
      <c r="AQ45" s="1373">
        <v>30263.19</v>
      </c>
      <c r="AR45" s="1373">
        <v>17647.04</v>
      </c>
      <c r="AS45" s="1373">
        <v>21138.35</v>
      </c>
      <c r="AT45" s="1373">
        <v>23315.72</v>
      </c>
      <c r="AU45" s="1373">
        <v>21788.57</v>
      </c>
      <c r="AV45" s="1373">
        <v>21788.62</v>
      </c>
      <c r="AW45" s="1373">
        <v>24976.61</v>
      </c>
      <c r="AX45" s="1984">
        <v>15404.68</v>
      </c>
      <c r="AY45" s="1987">
        <v>23050.69</v>
      </c>
      <c r="AZ45" s="1988">
        <v>25218</v>
      </c>
      <c r="BA45" s="1988">
        <v>30884</v>
      </c>
      <c r="BB45" s="1988">
        <v>33124</v>
      </c>
      <c r="BC45" s="1988">
        <v>22648.02</v>
      </c>
      <c r="BD45" s="1988">
        <v>24457.38</v>
      </c>
      <c r="BE45" s="1988">
        <v>27166.44</v>
      </c>
      <c r="BF45" s="1988">
        <v>22648.02</v>
      </c>
      <c r="BG45" s="1988">
        <v>24457.38</v>
      </c>
      <c r="BH45" s="1988">
        <v>27166.44</v>
      </c>
      <c r="BI45" s="1988">
        <v>22648.02</v>
      </c>
      <c r="BJ45" s="1988">
        <v>24624</v>
      </c>
      <c r="BK45" s="1988">
        <v>27124</v>
      </c>
      <c r="BL45" s="1988">
        <v>29124</v>
      </c>
      <c r="BM45" s="1988">
        <v>20067</v>
      </c>
      <c r="BN45" s="1988">
        <v>22067</v>
      </c>
      <c r="BO45" s="1988">
        <v>23767</v>
      </c>
      <c r="BP45" s="1988">
        <v>22801</v>
      </c>
      <c r="BQ45" s="1989">
        <v>24457.38</v>
      </c>
      <c r="BR45" s="1989">
        <v>26741.25</v>
      </c>
      <c r="BS45" s="2045">
        <v>26326.45</v>
      </c>
      <c r="BT45" s="2084">
        <v>33063.97</v>
      </c>
      <c r="BU45" s="2087">
        <v>26651.48</v>
      </c>
      <c r="BV45" s="1036">
        <v>25285.3</v>
      </c>
      <c r="BW45" s="2115">
        <v>26459</v>
      </c>
      <c r="BX45" s="1036">
        <v>26921.360000000001</v>
      </c>
      <c r="BY45" s="2110">
        <v>28159</v>
      </c>
      <c r="BZ45" s="2111">
        <v>33124</v>
      </c>
      <c r="CA45" s="2212">
        <v>24759.1</v>
      </c>
    </row>
    <row r="46" spans="1:79" ht="15">
      <c r="A46" s="1371" t="s">
        <v>4629</v>
      </c>
      <c r="B46" s="1372">
        <v>15404.68</v>
      </c>
      <c r="C46" s="1372">
        <v>23424.76</v>
      </c>
      <c r="D46" s="1372">
        <v>29626.04</v>
      </c>
      <c r="E46" s="1372">
        <v>44234.92</v>
      </c>
      <c r="H46" s="1373">
        <v>48049.440000000002</v>
      </c>
      <c r="I46" s="1373">
        <v>16305.26</v>
      </c>
      <c r="J46" s="1373">
        <v>23331.21</v>
      </c>
      <c r="K46" s="1373">
        <v>15836.33</v>
      </c>
      <c r="L46" s="1373">
        <v>23024.86</v>
      </c>
      <c r="M46" s="1373">
        <v>28032.74</v>
      </c>
      <c r="N46" s="1373">
        <v>23264.99</v>
      </c>
      <c r="O46" s="1373">
        <v>25180.83</v>
      </c>
      <c r="P46" s="1373">
        <v>41398.32</v>
      </c>
      <c r="Q46" s="1373">
        <v>39048.14</v>
      </c>
      <c r="R46" s="1373">
        <v>53898.94</v>
      </c>
      <c r="S46" s="1373">
        <v>46939.34</v>
      </c>
      <c r="T46" s="1373">
        <v>54200.7</v>
      </c>
      <c r="U46" s="1373">
        <v>57513.45</v>
      </c>
      <c r="V46" s="1373">
        <v>27516.31</v>
      </c>
      <c r="W46" s="1373">
        <v>29970.44</v>
      </c>
      <c r="X46" s="1373">
        <v>43629.38</v>
      </c>
      <c r="Y46" s="1373">
        <v>22742.57</v>
      </c>
      <c r="Z46" s="1373">
        <v>30292.59</v>
      </c>
      <c r="AA46" s="1373">
        <v>54200.76</v>
      </c>
      <c r="AB46" s="1373">
        <v>24472.639999999999</v>
      </c>
      <c r="AC46" s="1373">
        <v>28946.52</v>
      </c>
      <c r="AD46" s="1373">
        <v>57513.45</v>
      </c>
      <c r="AE46" s="1373">
        <v>38299.629999999997</v>
      </c>
      <c r="AF46" s="1373">
        <v>22697.55</v>
      </c>
      <c r="AG46" s="1373">
        <v>24012.53</v>
      </c>
      <c r="AH46" s="1373">
        <v>22283.79</v>
      </c>
      <c r="AI46" s="1373">
        <v>57513.49</v>
      </c>
      <c r="AJ46" s="1373">
        <v>54200.68</v>
      </c>
      <c r="AK46" s="1373">
        <v>16305.26</v>
      </c>
      <c r="AL46" s="1373">
        <v>21788.62</v>
      </c>
      <c r="AM46" s="1373">
        <v>24434.51</v>
      </c>
      <c r="AN46" s="1373">
        <v>25300.2</v>
      </c>
      <c r="AO46" s="1373">
        <v>26285.55</v>
      </c>
      <c r="AP46" s="1373">
        <v>29002.34</v>
      </c>
      <c r="AQ46" s="1373">
        <v>30263.19</v>
      </c>
      <c r="AR46" s="1373">
        <v>17647.04</v>
      </c>
      <c r="AS46" s="1373">
        <v>21138.35</v>
      </c>
      <c r="AT46" s="1373">
        <v>23315.72</v>
      </c>
      <c r="AU46" s="1373">
        <v>21788.57</v>
      </c>
      <c r="AV46" s="1373">
        <v>21788.62</v>
      </c>
      <c r="AW46" s="1373">
        <v>24976.61</v>
      </c>
      <c r="AX46" s="1984">
        <v>15404.68</v>
      </c>
      <c r="AY46" s="1987">
        <v>23050.69</v>
      </c>
      <c r="AZ46" s="1988">
        <v>25218</v>
      </c>
      <c r="BA46" s="1988">
        <v>30884</v>
      </c>
      <c r="BB46" s="1988">
        <v>33124</v>
      </c>
      <c r="BC46" s="1988">
        <v>22648.02</v>
      </c>
      <c r="BD46" s="1988">
        <v>24457.38</v>
      </c>
      <c r="BE46" s="1988">
        <v>27166.44</v>
      </c>
      <c r="BF46" s="1988">
        <v>22648.02</v>
      </c>
      <c r="BG46" s="1988">
        <v>24457.38</v>
      </c>
      <c r="BH46" s="1988">
        <v>27166.44</v>
      </c>
      <c r="BI46" s="1988">
        <v>22648.02</v>
      </c>
      <c r="BJ46" s="1988">
        <v>24624</v>
      </c>
      <c r="BK46" s="1988">
        <v>27124</v>
      </c>
      <c r="BL46" s="1988">
        <v>29124</v>
      </c>
      <c r="BM46" s="1988">
        <v>20067</v>
      </c>
      <c r="BN46" s="1988">
        <v>22067</v>
      </c>
      <c r="BO46" s="1988">
        <v>23767</v>
      </c>
      <c r="BP46" s="1988">
        <v>22801</v>
      </c>
      <c r="BQ46" s="1989">
        <v>24457.38</v>
      </c>
      <c r="BR46" s="1989">
        <v>26741.25</v>
      </c>
      <c r="BS46" s="2045">
        <v>26326.45</v>
      </c>
      <c r="BT46" s="2084">
        <v>33063.97</v>
      </c>
      <c r="BU46" s="2087">
        <v>26651.48</v>
      </c>
      <c r="BV46" s="1036">
        <v>25285.3</v>
      </c>
      <c r="BW46" s="2115">
        <v>26459</v>
      </c>
      <c r="BX46" s="1036">
        <v>26921.360000000001</v>
      </c>
      <c r="BY46" s="2110">
        <v>28159</v>
      </c>
      <c r="BZ46" s="2111">
        <v>33124</v>
      </c>
      <c r="CA46" s="2212">
        <v>24759.1</v>
      </c>
    </row>
    <row r="47" spans="1:79" ht="15">
      <c r="A47" s="1032" t="s">
        <v>4630</v>
      </c>
      <c r="B47" s="1372">
        <v>15404.68</v>
      </c>
      <c r="C47" s="1372">
        <v>23424.76</v>
      </c>
      <c r="D47" s="1372">
        <v>29626.04</v>
      </c>
      <c r="E47" s="1372">
        <v>44234.92</v>
      </c>
      <c r="H47" s="1373">
        <v>48049.440000000002</v>
      </c>
      <c r="I47" s="1373">
        <v>16305.26</v>
      </c>
      <c r="J47" s="1373">
        <v>23331.21</v>
      </c>
      <c r="K47" s="1373">
        <v>15836.33</v>
      </c>
      <c r="L47" s="1373">
        <v>23024.86</v>
      </c>
      <c r="M47" s="1373">
        <v>28032.74</v>
      </c>
      <c r="N47" s="1373">
        <v>23264.99</v>
      </c>
      <c r="O47" s="1373">
        <v>25180.83</v>
      </c>
      <c r="P47" s="1373">
        <v>41398.32</v>
      </c>
      <c r="Q47" s="1373">
        <v>39048.14</v>
      </c>
      <c r="R47" s="1373">
        <v>53898.94</v>
      </c>
      <c r="S47" s="1373">
        <v>46939.34</v>
      </c>
      <c r="T47" s="1373">
        <v>54200.7</v>
      </c>
      <c r="U47" s="1373">
        <v>57513.45</v>
      </c>
      <c r="V47" s="1373">
        <v>27516.31</v>
      </c>
      <c r="W47" s="1373">
        <v>29970.44</v>
      </c>
      <c r="X47" s="1373">
        <v>43629.38</v>
      </c>
      <c r="Y47" s="1373">
        <v>22742.57</v>
      </c>
      <c r="Z47" s="1373">
        <v>30292.59</v>
      </c>
      <c r="AA47" s="1373">
        <v>54200.76</v>
      </c>
      <c r="AB47" s="1373">
        <v>24472.639999999999</v>
      </c>
      <c r="AC47" s="1373">
        <v>28946.52</v>
      </c>
      <c r="AD47" s="1373">
        <v>57513.45</v>
      </c>
      <c r="AE47" s="1373">
        <v>38299.629999999997</v>
      </c>
      <c r="AF47" s="1373">
        <v>22697.55</v>
      </c>
      <c r="AG47" s="1373">
        <v>24012.53</v>
      </c>
      <c r="AH47" s="1373">
        <v>22283.79</v>
      </c>
      <c r="AI47" s="1373">
        <v>57513.49</v>
      </c>
      <c r="AJ47" s="1373">
        <v>54200.68</v>
      </c>
      <c r="AK47" s="1373">
        <v>16305.26</v>
      </c>
      <c r="AL47" s="1373">
        <v>21788.62</v>
      </c>
      <c r="AM47" s="1373">
        <v>24434.51</v>
      </c>
      <c r="AN47" s="1373">
        <v>25300.2</v>
      </c>
      <c r="AO47" s="1373">
        <v>26285.55</v>
      </c>
      <c r="AP47" s="1373">
        <v>29002.34</v>
      </c>
      <c r="AQ47" s="1373">
        <v>30263.19</v>
      </c>
      <c r="AR47" s="1373">
        <v>17647.04</v>
      </c>
      <c r="AS47" s="1373">
        <v>21138.35</v>
      </c>
      <c r="AT47" s="1373">
        <v>23315.72</v>
      </c>
      <c r="AU47" s="1373">
        <v>21788.57</v>
      </c>
      <c r="AV47" s="1373">
        <v>21788.62</v>
      </c>
      <c r="AW47" s="1373">
        <v>24976.61</v>
      </c>
      <c r="AX47" s="1984">
        <v>15404.68</v>
      </c>
      <c r="AY47" s="1987">
        <v>23050.69</v>
      </c>
      <c r="AZ47" s="1988">
        <v>25218</v>
      </c>
      <c r="BA47" s="1988">
        <v>30884</v>
      </c>
      <c r="BB47" s="1988">
        <v>33124</v>
      </c>
      <c r="BC47" s="1988">
        <v>22648.02</v>
      </c>
      <c r="BD47" s="1988">
        <v>24457.38</v>
      </c>
      <c r="BE47" s="1988">
        <v>27166.44</v>
      </c>
      <c r="BF47" s="1988">
        <v>22648.02</v>
      </c>
      <c r="BG47" s="1988">
        <v>24457.38</v>
      </c>
      <c r="BH47" s="1988">
        <v>27166.44</v>
      </c>
      <c r="BI47" s="1988">
        <v>22648.02</v>
      </c>
      <c r="BJ47" s="1988">
        <v>24624</v>
      </c>
      <c r="BK47" s="1988">
        <v>27124</v>
      </c>
      <c r="BL47" s="1988">
        <v>29124</v>
      </c>
      <c r="BM47" s="1988">
        <v>20067</v>
      </c>
      <c r="BN47" s="1988">
        <v>22067</v>
      </c>
      <c r="BO47" s="1988">
        <v>23767</v>
      </c>
      <c r="BP47" s="1988">
        <v>22801</v>
      </c>
      <c r="BQ47" s="1989">
        <v>24457.38</v>
      </c>
      <c r="BR47" s="1989">
        <v>26741.25</v>
      </c>
      <c r="BS47" s="2045">
        <v>26326.45</v>
      </c>
      <c r="BT47" s="2084">
        <v>33063.97</v>
      </c>
      <c r="BU47" s="2087">
        <v>26651.48</v>
      </c>
      <c r="BV47" s="1036">
        <v>25285.3</v>
      </c>
      <c r="BW47" s="2115">
        <v>26459</v>
      </c>
      <c r="BX47" s="1036">
        <v>26921.360000000001</v>
      </c>
      <c r="BY47" s="2110">
        <v>28159</v>
      </c>
      <c r="BZ47" s="2111">
        <v>33124</v>
      </c>
      <c r="CA47" s="2212">
        <v>24759.1</v>
      </c>
    </row>
    <row r="48" spans="1:79" ht="15">
      <c r="A48" s="1032" t="s">
        <v>4631</v>
      </c>
      <c r="B48" s="1372">
        <v>15404.68</v>
      </c>
      <c r="C48" s="1372">
        <v>23424.76</v>
      </c>
      <c r="D48" s="1372">
        <v>29626.04</v>
      </c>
      <c r="E48" s="1372">
        <v>44234.92</v>
      </c>
      <c r="H48" s="1373">
        <v>48049.440000000002</v>
      </c>
      <c r="I48" s="1373">
        <v>16305.26</v>
      </c>
      <c r="J48" s="1373">
        <v>23331.21</v>
      </c>
      <c r="K48" s="1373">
        <v>15836.33</v>
      </c>
      <c r="L48" s="1373">
        <v>23024.86</v>
      </c>
      <c r="M48" s="1373">
        <v>28032.74</v>
      </c>
      <c r="N48" s="1373">
        <v>23264.99</v>
      </c>
      <c r="O48" s="1373">
        <v>25180.83</v>
      </c>
      <c r="P48" s="1373">
        <v>41398.32</v>
      </c>
      <c r="Q48" s="1373">
        <v>39048.14</v>
      </c>
      <c r="R48" s="1373">
        <v>53898.94</v>
      </c>
      <c r="S48" s="1373">
        <v>46939.34</v>
      </c>
      <c r="T48" s="1373">
        <v>54200.7</v>
      </c>
      <c r="U48" s="1373">
        <v>57513.45</v>
      </c>
      <c r="V48" s="1373">
        <v>27516.31</v>
      </c>
      <c r="W48" s="1373">
        <v>29970.44</v>
      </c>
      <c r="X48" s="1373">
        <v>43629.38</v>
      </c>
      <c r="Y48" s="1373">
        <v>22742.57</v>
      </c>
      <c r="Z48" s="1373">
        <v>30292.59</v>
      </c>
      <c r="AA48" s="1373">
        <v>54200.76</v>
      </c>
      <c r="AB48" s="1373">
        <v>24472.639999999999</v>
      </c>
      <c r="AC48" s="1373">
        <v>28946.52</v>
      </c>
      <c r="AD48" s="1373">
        <v>57513.45</v>
      </c>
      <c r="AE48" s="1373">
        <v>38299.629999999997</v>
      </c>
      <c r="AF48" s="1373">
        <v>22697.55</v>
      </c>
      <c r="AG48" s="1373">
        <v>24012.53</v>
      </c>
      <c r="AH48" s="1373">
        <v>22283.79</v>
      </c>
      <c r="AI48" s="1373">
        <v>57513.49</v>
      </c>
      <c r="AJ48" s="1373">
        <v>54200.68</v>
      </c>
      <c r="AK48" s="1373">
        <v>16305.26</v>
      </c>
      <c r="AL48" s="1373">
        <v>21788.62</v>
      </c>
      <c r="AM48" s="1373">
        <v>24434.51</v>
      </c>
      <c r="AN48" s="1373">
        <v>25300.2</v>
      </c>
      <c r="AO48" s="1373">
        <v>26285.55</v>
      </c>
      <c r="AP48" s="1373">
        <v>29002.34</v>
      </c>
      <c r="AQ48" s="1373">
        <v>30263.19</v>
      </c>
      <c r="AR48" s="1373">
        <v>17647.04</v>
      </c>
      <c r="AS48" s="1373">
        <v>21138.35</v>
      </c>
      <c r="AT48" s="1373">
        <v>23315.72</v>
      </c>
      <c r="AU48" s="1373">
        <v>21788.57</v>
      </c>
      <c r="AV48" s="1373">
        <v>21788.62</v>
      </c>
      <c r="AW48" s="1373">
        <v>24976.61</v>
      </c>
      <c r="AX48" s="1984">
        <v>15404.68</v>
      </c>
      <c r="AY48" s="1987">
        <v>23050.69</v>
      </c>
      <c r="AZ48" s="1988">
        <v>25218</v>
      </c>
      <c r="BA48" s="1988">
        <v>30884</v>
      </c>
      <c r="BB48" s="1988">
        <v>33124</v>
      </c>
      <c r="BC48" s="1988">
        <v>22648.02</v>
      </c>
      <c r="BD48" s="1988">
        <v>24457.38</v>
      </c>
      <c r="BE48" s="1988">
        <v>27166.44</v>
      </c>
      <c r="BF48" s="1988">
        <v>22648.02</v>
      </c>
      <c r="BG48" s="1988">
        <v>24457.38</v>
      </c>
      <c r="BH48" s="1988">
        <v>27166.44</v>
      </c>
      <c r="BI48" s="1988">
        <v>22648.02</v>
      </c>
      <c r="BJ48" s="1988">
        <v>24624</v>
      </c>
      <c r="BK48" s="1988">
        <v>27124</v>
      </c>
      <c r="BL48" s="1988">
        <v>29124</v>
      </c>
      <c r="BM48" s="1988">
        <v>20067</v>
      </c>
      <c r="BN48" s="1988">
        <v>22067</v>
      </c>
      <c r="BO48" s="1988">
        <v>23767</v>
      </c>
      <c r="BP48" s="1988">
        <v>22801</v>
      </c>
      <c r="BQ48" s="1989">
        <v>24457.38</v>
      </c>
      <c r="BR48" s="1989">
        <v>26741.25</v>
      </c>
      <c r="BS48" s="2045">
        <v>26326.45</v>
      </c>
      <c r="BT48" s="2084">
        <v>33063.97</v>
      </c>
      <c r="BU48" s="2087">
        <v>26651.48</v>
      </c>
      <c r="BV48" s="1036">
        <v>25285.3</v>
      </c>
      <c r="BW48" s="2115">
        <v>26459</v>
      </c>
      <c r="BX48" s="1036">
        <v>26921.360000000001</v>
      </c>
      <c r="BY48" s="2110">
        <v>28159</v>
      </c>
      <c r="BZ48" s="2111">
        <v>33124</v>
      </c>
      <c r="CA48" s="2212">
        <v>24759.1</v>
      </c>
    </row>
    <row r="49" spans="1:80" ht="15">
      <c r="A49" s="1032" t="s">
        <v>4632</v>
      </c>
      <c r="B49" s="1372">
        <v>15404.68</v>
      </c>
      <c r="C49" s="1372">
        <v>23424.76</v>
      </c>
      <c r="D49" s="1372">
        <v>29626.04</v>
      </c>
      <c r="E49" s="1372">
        <v>44234.92</v>
      </c>
      <c r="H49" s="1373">
        <v>48049.440000000002</v>
      </c>
      <c r="I49" s="1373">
        <v>16305.26</v>
      </c>
      <c r="J49" s="1373">
        <v>23331.21</v>
      </c>
      <c r="K49" s="1373">
        <v>15836.33</v>
      </c>
      <c r="L49" s="1373">
        <v>23024.86</v>
      </c>
      <c r="M49" s="1373">
        <v>28032.74</v>
      </c>
      <c r="N49" s="1373">
        <v>23264.99</v>
      </c>
      <c r="O49" s="1373">
        <v>25180.83</v>
      </c>
      <c r="P49" s="1373">
        <v>41398.32</v>
      </c>
      <c r="Q49" s="1373">
        <v>39048.14</v>
      </c>
      <c r="R49" s="1373">
        <v>53898.94</v>
      </c>
      <c r="S49" s="1373">
        <v>46939.34</v>
      </c>
      <c r="T49" s="1373">
        <v>54200.7</v>
      </c>
      <c r="U49" s="1373">
        <v>57513.45</v>
      </c>
      <c r="V49" s="1373">
        <v>27516.31</v>
      </c>
      <c r="W49" s="1373">
        <v>29970.44</v>
      </c>
      <c r="X49" s="1373">
        <v>43629.38</v>
      </c>
      <c r="Y49" s="1373">
        <v>22742.57</v>
      </c>
      <c r="Z49" s="1373">
        <v>30292.59</v>
      </c>
      <c r="AA49" s="1373">
        <v>54200.76</v>
      </c>
      <c r="AB49" s="1373">
        <v>24472.639999999999</v>
      </c>
      <c r="AC49" s="1373">
        <v>28946.52</v>
      </c>
      <c r="AD49" s="1373">
        <v>57513.45</v>
      </c>
      <c r="AE49" s="1373">
        <v>38299.629999999997</v>
      </c>
      <c r="AF49" s="1373">
        <v>22697.55</v>
      </c>
      <c r="AG49" s="1373">
        <v>24012.53</v>
      </c>
      <c r="AH49" s="1373">
        <v>22283.79</v>
      </c>
      <c r="AI49" s="1373">
        <v>57513.49</v>
      </c>
      <c r="AJ49" s="1373">
        <v>54200.68</v>
      </c>
      <c r="AK49" s="1373">
        <v>16305.26</v>
      </c>
      <c r="AL49" s="1373">
        <v>21788.62</v>
      </c>
      <c r="AM49" s="1373">
        <v>24434.51</v>
      </c>
      <c r="AN49" s="1373">
        <v>25300.2</v>
      </c>
      <c r="AO49" s="1373">
        <v>26285.55</v>
      </c>
      <c r="AP49" s="1373">
        <v>29002.34</v>
      </c>
      <c r="AQ49" s="1373">
        <v>30263.19</v>
      </c>
      <c r="AR49" s="1373">
        <v>17647.04</v>
      </c>
      <c r="AS49" s="1373">
        <v>21138.35</v>
      </c>
      <c r="AT49" s="1373">
        <v>23315.72</v>
      </c>
      <c r="AU49" s="1373">
        <v>21788.57</v>
      </c>
      <c r="AV49" s="1373">
        <v>21788.62</v>
      </c>
      <c r="AW49" s="1373">
        <v>24976.61</v>
      </c>
      <c r="AX49" s="1984">
        <v>15404.68</v>
      </c>
      <c r="AY49" s="1987">
        <v>23050.69</v>
      </c>
      <c r="AZ49" s="1988">
        <v>25218</v>
      </c>
      <c r="BA49" s="1988">
        <v>30884</v>
      </c>
      <c r="BB49" s="1988">
        <v>33124</v>
      </c>
      <c r="BC49" s="1988">
        <v>22648.02</v>
      </c>
      <c r="BD49" s="1988">
        <v>24457.38</v>
      </c>
      <c r="BE49" s="1988">
        <v>27166.44</v>
      </c>
      <c r="BF49" s="1988">
        <v>22648.02</v>
      </c>
      <c r="BG49" s="1988">
        <v>24457.38</v>
      </c>
      <c r="BH49" s="1988">
        <v>27166.44</v>
      </c>
      <c r="BI49" s="1988">
        <v>22648.02</v>
      </c>
      <c r="BJ49" s="1988">
        <v>24624</v>
      </c>
      <c r="BK49" s="1988">
        <v>27124</v>
      </c>
      <c r="BL49" s="1988">
        <v>29124</v>
      </c>
      <c r="BM49" s="1988">
        <v>20067</v>
      </c>
      <c r="BN49" s="1988">
        <v>22067</v>
      </c>
      <c r="BO49" s="1988">
        <v>23767</v>
      </c>
      <c r="BP49" s="1988">
        <v>22801</v>
      </c>
      <c r="BQ49" s="1989">
        <v>24457.38</v>
      </c>
      <c r="BR49" s="1989">
        <v>26741.25</v>
      </c>
      <c r="BS49" s="2045">
        <v>26326.45</v>
      </c>
      <c r="BT49" s="2084">
        <v>33063.97</v>
      </c>
      <c r="BU49" s="2087">
        <v>26651.48</v>
      </c>
      <c r="BV49" s="1036">
        <v>25285.3</v>
      </c>
      <c r="BW49" s="2115">
        <v>26459</v>
      </c>
      <c r="BX49" s="1036">
        <v>26921.360000000001</v>
      </c>
      <c r="BY49" s="2110">
        <v>28159</v>
      </c>
      <c r="BZ49" s="2111">
        <v>33124</v>
      </c>
      <c r="CA49" s="2212">
        <v>24759.1</v>
      </c>
    </row>
    <row r="50" spans="1:80" ht="12.75">
      <c r="A50" s="1374"/>
      <c r="BU50" s="29"/>
      <c r="BV50" s="29"/>
      <c r="BW50" s="29"/>
      <c r="BX50" s="29"/>
      <c r="CA50" s="2212">
        <v>24759.1</v>
      </c>
      <c r="CB50" s="29"/>
    </row>
    <row r="51" spans="1:80" ht="12.75">
      <c r="A51" s="1374"/>
      <c r="BU51" s="29"/>
      <c r="BV51" s="29"/>
      <c r="BW51" s="29"/>
      <c r="BX51" s="29"/>
      <c r="CA51" s="2212">
        <v>24759.1</v>
      </c>
      <c r="CB51" s="29"/>
    </row>
    <row r="52" spans="1:80" ht="12.75">
      <c r="A52" s="1374"/>
      <c r="BU52" s="29"/>
      <c r="BV52" s="29"/>
      <c r="BW52" s="29"/>
      <c r="BX52" s="29"/>
      <c r="CA52" s="2212">
        <v>24759.1</v>
      </c>
      <c r="CB52" s="29"/>
    </row>
    <row r="53" spans="1:80" ht="12.75">
      <c r="A53" s="1374"/>
      <c r="BU53" s="29"/>
      <c r="BV53" s="29"/>
      <c r="BW53" s="29"/>
      <c r="BX53" s="29"/>
      <c r="CA53" s="2212">
        <v>24759.1</v>
      </c>
      <c r="CB53" s="29"/>
    </row>
    <row r="54" spans="1:80" ht="12.75">
      <c r="A54" s="1374"/>
      <c r="BU54" s="29"/>
      <c r="BV54" s="29"/>
      <c r="BW54" s="29"/>
      <c r="BX54" s="29"/>
      <c r="CA54" s="2212">
        <v>24759.1</v>
      </c>
      <c r="CB54" s="29"/>
    </row>
    <row r="55" spans="1:80" ht="12.75">
      <c r="A55" s="1374"/>
      <c r="BU55" s="29"/>
      <c r="BV55" s="29"/>
      <c r="BW55" s="29"/>
      <c r="BX55" s="29"/>
      <c r="CA55" s="2212">
        <v>24759.1</v>
      </c>
      <c r="CB55" s="29"/>
    </row>
    <row r="56" spans="1:80" ht="12.75">
      <c r="A56" s="1374"/>
      <c r="BU56" s="29"/>
      <c r="BV56" s="29"/>
      <c r="BW56" s="29"/>
      <c r="BX56" s="29"/>
      <c r="CA56" s="2212">
        <v>24759.1</v>
      </c>
      <c r="CB56" s="29"/>
    </row>
    <row r="57" spans="1:80" ht="12.75">
      <c r="A57" s="1374"/>
      <c r="BU57" s="29"/>
      <c r="BV57" s="29"/>
      <c r="BW57" s="29"/>
      <c r="BX57" s="29"/>
      <c r="CA57" s="2212">
        <v>24759.1</v>
      </c>
      <c r="CB57" s="29"/>
    </row>
    <row r="58" spans="1:80" ht="12.75">
      <c r="A58" s="1374"/>
      <c r="BU58" s="29"/>
      <c r="BV58" s="29"/>
      <c r="BW58" s="29"/>
      <c r="BX58" s="29"/>
      <c r="CA58" s="2212">
        <v>24759.1</v>
      </c>
      <c r="CB58" s="29"/>
    </row>
    <row r="59" spans="1:80" ht="12.75">
      <c r="A59" s="1374"/>
      <c r="BU59" s="29"/>
      <c r="BV59" s="29"/>
      <c r="BW59" s="29"/>
      <c r="BX59" s="29"/>
      <c r="CA59" s="2212">
        <v>24759.1</v>
      </c>
      <c r="CB59" s="29"/>
    </row>
    <row r="60" spans="1:80" ht="12.75">
      <c r="A60" s="1374"/>
      <c r="BU60" s="29"/>
      <c r="BV60" s="29"/>
      <c r="BW60" s="29"/>
      <c r="BX60" s="29"/>
      <c r="CB60" s="29"/>
    </row>
    <row r="61" spans="1:80" ht="12.75">
      <c r="A61" s="1374"/>
      <c r="BU61" s="29"/>
      <c r="BV61" s="29"/>
      <c r="BW61" s="29"/>
      <c r="BX61" s="29"/>
      <c r="CB61" s="29"/>
    </row>
    <row r="62" spans="1:80" ht="12.75">
      <c r="A62" s="1374"/>
      <c r="BU62" s="29"/>
      <c r="BV62" s="29"/>
      <c r="BW62" s="29"/>
      <c r="BX62" s="29"/>
      <c r="CB62" s="29"/>
    </row>
    <row r="63" spans="1:80" ht="12.75">
      <c r="A63" s="1374"/>
    </row>
    <row r="64" spans="1:80" ht="12.75">
      <c r="A64" s="1374"/>
    </row>
    <row r="65" spans="1:1" ht="12.75">
      <c r="A65" s="1374"/>
    </row>
    <row r="66" spans="1:1" ht="12.75">
      <c r="A66" s="1374"/>
    </row>
    <row r="67" spans="1:1" ht="12.75">
      <c r="A67" s="1374"/>
    </row>
    <row r="68" spans="1:1" ht="12.75">
      <c r="A68" s="1374"/>
    </row>
    <row r="69" spans="1:1" ht="12.75">
      <c r="A69" s="1374"/>
    </row>
    <row r="70" spans="1:1" ht="12.75">
      <c r="A70" s="1374"/>
    </row>
    <row r="71" spans="1:1" ht="12.75">
      <c r="A71" s="1374"/>
    </row>
    <row r="72" spans="1:1" ht="12.75">
      <c r="A72" s="1374"/>
    </row>
    <row r="73" spans="1:1" ht="12.75">
      <c r="A73" s="1374"/>
    </row>
    <row r="74" spans="1:1" ht="12.75">
      <c r="A74" s="1374"/>
    </row>
    <row r="75" spans="1:1" ht="12.75">
      <c r="A75" s="1374"/>
    </row>
    <row r="76" spans="1:1" ht="12.75">
      <c r="A76" s="1374"/>
    </row>
    <row r="77" spans="1:1" ht="12.75">
      <c r="A77" s="1374"/>
    </row>
    <row r="78" spans="1:1" ht="12.75">
      <c r="A78" s="1374"/>
    </row>
    <row r="79" spans="1:1" ht="12.75">
      <c r="A79" s="1374"/>
    </row>
    <row r="80" spans="1:1" ht="12.75">
      <c r="A80" s="1374"/>
    </row>
    <row r="81" spans="1:1" ht="12.75">
      <c r="A81" s="1374"/>
    </row>
    <row r="82" spans="1:1" ht="12.75">
      <c r="A82" s="1374"/>
    </row>
    <row r="83" spans="1:1" ht="12.75">
      <c r="A83" s="1374"/>
    </row>
    <row r="84" spans="1:1" ht="12.75">
      <c r="A84" s="1374"/>
    </row>
    <row r="85" spans="1:1" ht="12.75">
      <c r="A85" s="1374"/>
    </row>
    <row r="86" spans="1:1" ht="12.75">
      <c r="A86" s="1374"/>
    </row>
    <row r="87" spans="1:1" ht="12.75">
      <c r="A87" s="1374"/>
    </row>
    <row r="88" spans="1:1" ht="12.75">
      <c r="A88" s="1374"/>
    </row>
    <row r="89" spans="1:1" ht="12.75">
      <c r="A89" s="1374"/>
    </row>
    <row r="90" spans="1:1" ht="12.75">
      <c r="A90" s="1374"/>
    </row>
  </sheetData>
  <phoneticPr fontId="38"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BarC"/>
  <dimension ref="A1:IV59"/>
  <sheetViews>
    <sheetView workbookViewId="0">
      <selection activeCell="AS9" sqref="AS9:CA58"/>
    </sheetView>
  </sheetViews>
  <sheetFormatPr defaultColWidth="10.28515625" defaultRowHeight="11.25"/>
  <cols>
    <col min="1" max="1" width="11.7109375" style="2209" bestFit="1" customWidth="1"/>
    <col min="2" max="44" width="8.5703125" style="2209" bestFit="1" customWidth="1"/>
    <col min="45" max="45" width="7.5703125" style="445" bestFit="1" customWidth="1"/>
    <col min="46" max="46" width="8.5703125" style="2209" customWidth="1"/>
    <col min="47" max="47" width="7.5703125" style="445" bestFit="1" customWidth="1"/>
    <col min="48" max="48" width="8.5703125" style="2209" customWidth="1"/>
    <col min="49" max="49" width="7.5703125" style="445" bestFit="1" customWidth="1"/>
    <col min="50" max="50" width="8.5703125" style="2209" customWidth="1"/>
    <col min="51" max="51" width="7.85546875" style="445" customWidth="1"/>
    <col min="52" max="52" width="7.5703125" style="2209" customWidth="1"/>
    <col min="53" max="53" width="8.5703125" style="2209" customWidth="1"/>
    <col min="54" max="54" width="8.5703125" style="445" bestFit="1" customWidth="1"/>
    <col min="55" max="57" width="8.5703125" style="2209" customWidth="1"/>
    <col min="58" max="58" width="8.5703125" style="445" bestFit="1" customWidth="1"/>
    <col min="59" max="59" width="8.5703125" style="2209" customWidth="1"/>
    <col min="60" max="60" width="7.5703125" style="2209" customWidth="1"/>
    <col min="61" max="61" width="8.5703125" style="2209" customWidth="1"/>
    <col min="62" max="62" width="8.5703125" style="445" bestFit="1" customWidth="1"/>
    <col min="63" max="63" width="8.5703125" style="2209" customWidth="1"/>
    <col min="64" max="64" width="7.5703125" style="2209" customWidth="1"/>
    <col min="65" max="65" width="8.5703125" style="2209" customWidth="1"/>
    <col min="66" max="66" width="8.5703125" style="445" bestFit="1" customWidth="1"/>
    <col min="67" max="67" width="8.5703125" style="2209" customWidth="1"/>
    <col min="68" max="68" width="7.5703125" style="2209" customWidth="1"/>
    <col min="69" max="69" width="8.5703125" style="2209" customWidth="1"/>
    <col min="70" max="70" width="8.5703125" style="445" bestFit="1" customWidth="1"/>
    <col min="71" max="71" width="8.5703125" style="2209" customWidth="1"/>
    <col min="72" max="72" width="7.5703125" style="2209" customWidth="1"/>
    <col min="73" max="73" width="8.5703125" style="2209" customWidth="1"/>
    <col min="74" max="74" width="8.5703125" style="445" bestFit="1" customWidth="1"/>
    <col min="75" max="75" width="8.5703125" style="2209" customWidth="1"/>
    <col min="76" max="76" width="11.5703125" style="2209" customWidth="1"/>
    <col min="77" max="77" width="8.5703125" style="445" bestFit="1" customWidth="1"/>
    <col min="78" max="78" width="9.42578125" style="2209" customWidth="1"/>
    <col min="79" max="79" width="8.28515625" style="445" customWidth="1"/>
    <col min="80" max="83" width="6.5703125" style="2209" bestFit="1" customWidth="1"/>
    <col min="84" max="86" width="7.5703125" style="2209" bestFit="1" customWidth="1"/>
    <col min="87" max="88" width="6.5703125" style="2209" bestFit="1" customWidth="1"/>
    <col min="89" max="89" width="8.5703125" style="2209" bestFit="1" customWidth="1"/>
    <col min="90" max="90" width="7.5703125" style="2209" bestFit="1" customWidth="1"/>
    <col min="91" max="93" width="6.5703125" style="2209" bestFit="1" customWidth="1"/>
    <col min="94" max="96" width="8.5703125" style="2209" bestFit="1" customWidth="1"/>
    <col min="97" max="97" width="10" style="2209" bestFit="1" customWidth="1"/>
    <col min="98" max="102" width="8.5703125" style="2209" bestFit="1" customWidth="1"/>
    <col min="103" max="103" width="8.42578125" style="2209" bestFit="1" customWidth="1"/>
    <col min="104" max="104" width="9.5703125" style="2209" bestFit="1" customWidth="1"/>
    <col min="105" max="105" width="8.5703125" style="2209" bestFit="1" customWidth="1"/>
    <col min="106" max="106" width="8.140625" style="2209" bestFit="1" customWidth="1"/>
    <col min="107" max="108" width="8.5703125" style="2209" bestFit="1" customWidth="1"/>
    <col min="109" max="109" width="11" style="2209" bestFit="1" customWidth="1"/>
    <col min="110" max="110" width="8.5703125" style="2209" bestFit="1" customWidth="1"/>
    <col min="111" max="111" width="6.85546875" style="2209" bestFit="1" customWidth="1"/>
    <col min="112" max="112" width="6.5703125" style="2209" bestFit="1" customWidth="1"/>
    <col min="113" max="114" width="8.5703125" style="2209" bestFit="1" customWidth="1"/>
    <col min="115" max="115" width="6.5703125" style="2209" bestFit="1" customWidth="1"/>
    <col min="116" max="116" width="8.85546875" style="2209" bestFit="1" customWidth="1"/>
    <col min="117" max="117" width="6.5703125" style="2209" bestFit="1" customWidth="1"/>
    <col min="118" max="118" width="8.5703125" style="2209" bestFit="1" customWidth="1"/>
    <col min="119" max="119" width="8.85546875" style="2209" bestFit="1" customWidth="1"/>
    <col min="120" max="120" width="8.5703125" style="2209" bestFit="1" customWidth="1"/>
    <col min="121" max="121" width="8.85546875" style="2209" bestFit="1" customWidth="1"/>
    <col min="122" max="122" width="9.5703125" style="2209" bestFit="1" customWidth="1"/>
    <col min="123" max="123" width="6.5703125" style="2209" bestFit="1" customWidth="1"/>
    <col min="124" max="125" width="8.5703125" style="2209" bestFit="1" customWidth="1"/>
    <col min="126" max="126" width="9.5703125" style="2209" bestFit="1" customWidth="1"/>
    <col min="127" max="127" width="8.85546875" style="2209" bestFit="1" customWidth="1"/>
    <col min="128" max="128" width="6.5703125" style="2209" bestFit="1" customWidth="1"/>
    <col min="129" max="129" width="9.140625" style="2209" customWidth="1"/>
    <col min="130" max="131" width="8.85546875" style="2209" bestFit="1" customWidth="1"/>
    <col min="132" max="134" width="8.5703125" style="2209" bestFit="1" customWidth="1"/>
    <col min="135" max="135" width="6.5703125" style="2209" bestFit="1" customWidth="1"/>
    <col min="136" max="137" width="10.85546875" style="2209" bestFit="1" customWidth="1"/>
    <col min="138" max="139" width="8.5703125" style="2209" bestFit="1" customWidth="1"/>
    <col min="140" max="140" width="8.85546875" style="2209" bestFit="1" customWidth="1"/>
    <col min="141" max="142" width="8.5703125" style="2209" bestFit="1" customWidth="1"/>
    <col min="143" max="143" width="11" style="2209" bestFit="1" customWidth="1"/>
    <col min="144" max="144" width="8.85546875" style="2209" bestFit="1" customWidth="1"/>
    <col min="145" max="145" width="9.5703125" style="2209" bestFit="1" customWidth="1"/>
    <col min="146" max="146" width="6.5703125" style="2209" bestFit="1" customWidth="1"/>
    <col min="147" max="147" width="8.5703125" style="2209" bestFit="1" customWidth="1"/>
    <col min="148" max="148" width="8.85546875" style="2209" bestFit="1" customWidth="1"/>
    <col min="149" max="149" width="9.5703125" style="2209" bestFit="1" customWidth="1"/>
    <col min="150" max="152" width="8.85546875" style="2209" bestFit="1" customWidth="1"/>
    <col min="153" max="154" width="9.140625" style="2209" customWidth="1"/>
    <col min="155" max="155" width="8.85546875" style="2209" bestFit="1" customWidth="1"/>
    <col min="156" max="158" width="8.5703125" style="2209" bestFit="1" customWidth="1"/>
    <col min="159" max="161" width="8.85546875" style="2209" bestFit="1" customWidth="1"/>
    <col min="162" max="162" width="6.5703125" style="2209" bestFit="1" customWidth="1"/>
    <col min="163" max="164" width="8.5703125" style="2209" bestFit="1" customWidth="1"/>
    <col min="165" max="165" width="8.85546875" style="2209" bestFit="1" customWidth="1"/>
    <col min="166" max="166" width="9.5703125" style="2209" bestFit="1" customWidth="1"/>
    <col min="167" max="167" width="8.85546875" style="2209" bestFit="1" customWidth="1"/>
    <col min="168" max="168" width="8.5703125" style="2209" bestFit="1" customWidth="1"/>
    <col min="169" max="169" width="10.85546875" style="2209" bestFit="1" customWidth="1"/>
    <col min="170" max="170" width="8.85546875" style="2209" bestFit="1" customWidth="1"/>
    <col min="171" max="172" width="8.5703125" style="2209" bestFit="1" customWidth="1"/>
    <col min="173" max="173" width="8.85546875" style="2209" bestFit="1" customWidth="1"/>
    <col min="174" max="174" width="7.85546875" style="2209" bestFit="1" customWidth="1"/>
    <col min="175" max="177" width="8.85546875" style="2209" bestFit="1" customWidth="1"/>
    <col min="178" max="178" width="9" style="2209" bestFit="1" customWidth="1"/>
    <col min="179" max="179" width="8.5703125" style="2209" bestFit="1" customWidth="1"/>
    <col min="180" max="181" width="8.85546875" style="2209" bestFit="1" customWidth="1"/>
    <col min="182" max="182" width="9.85546875" style="2209" bestFit="1" customWidth="1"/>
    <col min="183" max="183" width="9.5703125" style="2209" bestFit="1" customWidth="1"/>
    <col min="184" max="185" width="8.85546875" style="2209" bestFit="1" customWidth="1"/>
    <col min="186" max="186" width="9.7109375" style="2209" bestFit="1" customWidth="1"/>
    <col min="187" max="187" width="8.5703125" style="2209" bestFit="1" customWidth="1"/>
    <col min="188" max="189" width="8.85546875" style="2209" bestFit="1" customWidth="1"/>
    <col min="190" max="190" width="10.140625" style="2209" bestFit="1" customWidth="1"/>
    <col min="191" max="191" width="9.7109375" style="2209" bestFit="1" customWidth="1"/>
    <col min="192" max="192" width="8.5703125" style="2209" bestFit="1" customWidth="1"/>
    <col min="193" max="193" width="9.140625" style="2209" customWidth="1"/>
    <col min="194" max="194" width="8.85546875" style="2209" bestFit="1" customWidth="1"/>
    <col min="195" max="195" width="9.7109375" style="2209" bestFit="1" customWidth="1"/>
    <col min="196" max="196" width="8.5703125" style="2209" bestFit="1" customWidth="1"/>
    <col min="197" max="197" width="8.85546875" style="2209" bestFit="1" customWidth="1"/>
    <col min="198" max="198" width="9.5703125" style="2209" bestFit="1" customWidth="1"/>
    <col min="199" max="199" width="9.42578125" style="2209" bestFit="1" customWidth="1"/>
    <col min="200" max="200" width="8.85546875" style="2209" bestFit="1" customWidth="1"/>
    <col min="201" max="201" width="9.28515625" style="2209" bestFit="1" customWidth="1"/>
    <col min="202" max="202" width="8.85546875" style="2209" bestFit="1" customWidth="1"/>
    <col min="203" max="203" width="9.42578125" style="2209" bestFit="1" customWidth="1"/>
    <col min="204" max="204" width="8.85546875" style="2209" bestFit="1" customWidth="1"/>
    <col min="205" max="205" width="9.28515625" style="2209" bestFit="1" customWidth="1"/>
    <col min="206" max="206" width="8.5703125" style="2209" bestFit="1" customWidth="1"/>
    <col min="207" max="207" width="8.85546875" style="2209" bestFit="1" customWidth="1"/>
    <col min="208" max="208" width="8.7109375" style="2209" bestFit="1" customWidth="1"/>
    <col min="209" max="209" width="9.28515625" style="2209" bestFit="1" customWidth="1"/>
    <col min="210" max="210" width="8.85546875" style="2209" bestFit="1" customWidth="1"/>
    <col min="211" max="211" width="9.5703125" style="2209" bestFit="1" customWidth="1"/>
    <col min="212" max="212" width="8.85546875" style="2209" bestFit="1" customWidth="1"/>
    <col min="213" max="213" width="8.5703125" style="2209" bestFit="1" customWidth="1"/>
    <col min="214" max="214" width="7.5703125" style="2209" bestFit="1" customWidth="1"/>
    <col min="215" max="215" width="9.42578125" style="2209" bestFit="1" customWidth="1"/>
    <col min="216" max="217" width="8.85546875" style="2209" bestFit="1" customWidth="1"/>
    <col min="218" max="218" width="10.85546875" style="2209" bestFit="1" customWidth="1"/>
    <col min="219" max="220" width="8.85546875" style="2209" bestFit="1" customWidth="1"/>
    <col min="221" max="221" width="8.5703125" style="2209" bestFit="1" customWidth="1"/>
    <col min="222" max="223" width="8.85546875" style="2209" bestFit="1" customWidth="1"/>
    <col min="224" max="224" width="9.85546875" style="2209" bestFit="1" customWidth="1"/>
    <col min="225" max="225" width="9.5703125" style="2209" bestFit="1" customWidth="1"/>
    <col min="226" max="229" width="8.85546875" style="2209" bestFit="1" customWidth="1"/>
    <col min="230" max="230" width="10.140625" style="2209" bestFit="1" customWidth="1"/>
    <col min="231" max="231" width="10.5703125" style="2209" bestFit="1" customWidth="1"/>
    <col min="232" max="232" width="8.85546875" style="2209" bestFit="1" customWidth="1"/>
    <col min="233" max="233" width="9.28515625" style="2209" bestFit="1" customWidth="1"/>
    <col min="234" max="234" width="8.85546875" style="2209" bestFit="1" customWidth="1"/>
    <col min="235" max="235" width="9.28515625" style="2209" bestFit="1" customWidth="1"/>
    <col min="236" max="236" width="9.5703125" style="2209" bestFit="1" customWidth="1"/>
    <col min="237" max="237" width="11.42578125" style="2209" bestFit="1" customWidth="1"/>
    <col min="238" max="238" width="8.5703125" style="2209" bestFit="1" customWidth="1"/>
    <col min="239" max="239" width="10" style="2209" bestFit="1" customWidth="1"/>
    <col min="240" max="240" width="9.5703125" style="2209" bestFit="1" customWidth="1"/>
    <col min="241" max="242" width="8.85546875" style="2209" bestFit="1" customWidth="1"/>
    <col min="243" max="243" width="11.42578125" style="2209" bestFit="1" customWidth="1"/>
    <col min="244" max="244" width="8.5703125" style="2209" bestFit="1" customWidth="1"/>
    <col min="245" max="245" width="11.140625" style="2209" bestFit="1" customWidth="1"/>
    <col min="246" max="246" width="8.85546875" style="2209" bestFit="1" customWidth="1"/>
    <col min="247" max="247" width="10.28515625" style="2209" bestFit="1" customWidth="1"/>
    <col min="248" max="248" width="9.42578125" style="2209" bestFit="1" customWidth="1"/>
    <col min="249" max="249" width="9.85546875" style="2209" bestFit="1" customWidth="1"/>
    <col min="250" max="253" width="8.85546875" style="2209" bestFit="1" customWidth="1"/>
    <col min="254" max="254" width="10.140625" style="2209" bestFit="1" customWidth="1"/>
    <col min="255" max="255" width="10.85546875" style="2209" bestFit="1" customWidth="1"/>
    <col min="256" max="16384" width="10.28515625" style="2209"/>
  </cols>
  <sheetData>
    <row r="1" spans="1:256">
      <c r="A1" s="2205" t="s">
        <v>1189</v>
      </c>
      <c r="B1" s="2226" t="s">
        <v>5387</v>
      </c>
      <c r="C1" s="2225" t="s">
        <v>148</v>
      </c>
      <c r="D1" s="2226" t="s">
        <v>5386</v>
      </c>
      <c r="E1" s="2225" t="s">
        <v>4100</v>
      </c>
      <c r="F1" s="2226" t="s">
        <v>5385</v>
      </c>
      <c r="G1" s="2225" t="s">
        <v>4099</v>
      </c>
      <c r="H1" s="2225" t="s">
        <v>874</v>
      </c>
      <c r="I1" s="2225" t="s">
        <v>1728</v>
      </c>
      <c r="J1" s="2226" t="s">
        <v>5393</v>
      </c>
      <c r="K1" s="2225" t="s">
        <v>4098</v>
      </c>
      <c r="L1" s="2226" t="s">
        <v>5390</v>
      </c>
      <c r="M1" s="2225" t="s">
        <v>2779</v>
      </c>
      <c r="N1" s="2225" t="s">
        <v>1727</v>
      </c>
      <c r="O1" s="2226" t="s">
        <v>5392</v>
      </c>
      <c r="P1" s="2225" t="s">
        <v>4097</v>
      </c>
      <c r="Q1" s="2226" t="s">
        <v>5389</v>
      </c>
      <c r="R1" s="2225" t="s">
        <v>2778</v>
      </c>
      <c r="S1" s="2225" t="s">
        <v>1726</v>
      </c>
      <c r="T1" s="2226" t="s">
        <v>5391</v>
      </c>
      <c r="U1" s="2225" t="s">
        <v>2780</v>
      </c>
      <c r="V1" s="2226" t="s">
        <v>5388</v>
      </c>
      <c r="W1" s="2225" t="s">
        <v>2777</v>
      </c>
      <c r="X1" s="2225" t="s">
        <v>1725</v>
      </c>
      <c r="Y1" s="2225" t="s">
        <v>876</v>
      </c>
      <c r="Z1" s="2225" t="s">
        <v>875</v>
      </c>
      <c r="AA1" s="2226" t="s">
        <v>5396</v>
      </c>
      <c r="AB1" s="2225" t="s">
        <v>2773</v>
      </c>
      <c r="AC1" s="2226" t="s">
        <v>5395</v>
      </c>
      <c r="AD1" s="2225" t="s">
        <v>2772</v>
      </c>
      <c r="AE1" s="2226" t="s">
        <v>5394</v>
      </c>
      <c r="AF1" s="2225" t="s">
        <v>2771</v>
      </c>
      <c r="AG1" s="2225" t="s">
        <v>1729</v>
      </c>
      <c r="AH1" s="2225" t="s">
        <v>1734</v>
      </c>
      <c r="AI1" s="2226" t="s">
        <v>5399</v>
      </c>
      <c r="AJ1" s="2225" t="s">
        <v>2776</v>
      </c>
      <c r="AK1" s="2225" t="s">
        <v>1733</v>
      </c>
      <c r="AL1" s="2226" t="s">
        <v>5398</v>
      </c>
      <c r="AM1" s="2225" t="s">
        <v>2775</v>
      </c>
      <c r="AN1" s="2225" t="s">
        <v>1732</v>
      </c>
      <c r="AO1" s="2226" t="s">
        <v>5397</v>
      </c>
      <c r="AP1" s="2225" t="s">
        <v>2774</v>
      </c>
      <c r="AQ1" s="2225" t="s">
        <v>1731</v>
      </c>
      <c r="AR1" s="2225" t="s">
        <v>1730</v>
      </c>
      <c r="AS1" s="2915" t="s">
        <v>5402</v>
      </c>
      <c r="AT1" s="2225" t="s">
        <v>2604</v>
      </c>
      <c r="AU1" s="2915" t="s">
        <v>5401</v>
      </c>
      <c r="AV1" s="2225" t="s">
        <v>2602</v>
      </c>
      <c r="AW1" s="2915" t="s">
        <v>5400</v>
      </c>
      <c r="AX1" s="2225" t="s">
        <v>2600</v>
      </c>
      <c r="AY1" s="2229" t="s">
        <v>1735</v>
      </c>
      <c r="AZ1" s="2226" t="s">
        <v>5414</v>
      </c>
      <c r="BA1" s="2225" t="s">
        <v>2770</v>
      </c>
      <c r="BB1" s="2915" t="s">
        <v>5411</v>
      </c>
      <c r="BC1" s="2225" t="s">
        <v>612</v>
      </c>
      <c r="BD1" s="2226" t="s">
        <v>5408</v>
      </c>
      <c r="BE1" s="2225" t="s">
        <v>2614</v>
      </c>
      <c r="BF1" s="2915" t="s">
        <v>5405</v>
      </c>
      <c r="BG1" s="2225" t="s">
        <v>2610</v>
      </c>
      <c r="BH1" s="2226" t="s">
        <v>5413</v>
      </c>
      <c r="BI1" s="2225" t="s">
        <v>2769</v>
      </c>
      <c r="BJ1" s="2915" t="s">
        <v>5410</v>
      </c>
      <c r="BK1" s="2225" t="s">
        <v>2617</v>
      </c>
      <c r="BL1" s="2226" t="s">
        <v>5407</v>
      </c>
      <c r="BM1" s="2225" t="s">
        <v>2613</v>
      </c>
      <c r="BN1" s="2915" t="s">
        <v>5404</v>
      </c>
      <c r="BO1" s="2225" t="s">
        <v>2608</v>
      </c>
      <c r="BP1" s="2226" t="s">
        <v>5412</v>
      </c>
      <c r="BQ1" s="2225" t="s">
        <v>3233</v>
      </c>
      <c r="BR1" s="2915" t="s">
        <v>5409</v>
      </c>
      <c r="BS1" s="2225" t="s">
        <v>2615</v>
      </c>
      <c r="BT1" s="2226" t="s">
        <v>5406</v>
      </c>
      <c r="BU1" s="2225" t="s">
        <v>2612</v>
      </c>
      <c r="BV1" s="2915" t="s">
        <v>5403</v>
      </c>
      <c r="BW1" s="2225" t="s">
        <v>2606</v>
      </c>
      <c r="BX1" s="2225" t="s">
        <v>537</v>
      </c>
      <c r="BY1" s="2229" t="s">
        <v>536</v>
      </c>
      <c r="BZ1" s="2225" t="s">
        <v>2054</v>
      </c>
      <c r="CA1" s="2229" t="s">
        <v>1736</v>
      </c>
      <c r="CB1" s="2225" t="s">
        <v>2599</v>
      </c>
      <c r="CC1" s="2225" t="s">
        <v>2598</v>
      </c>
      <c r="CD1" s="2225" t="s">
        <v>2597</v>
      </c>
      <c r="CE1" s="2225" t="s">
        <v>1406</v>
      </c>
      <c r="CF1" s="2225" t="s">
        <v>1405</v>
      </c>
      <c r="CG1" s="2225" t="s">
        <v>1404</v>
      </c>
      <c r="CH1" s="2225" t="s">
        <v>1403</v>
      </c>
      <c r="CI1" s="2225" t="s">
        <v>1402</v>
      </c>
      <c r="CJ1" s="2225" t="s">
        <v>1401</v>
      </c>
      <c r="CK1" s="2225" t="s">
        <v>1400</v>
      </c>
      <c r="CL1" s="2225" t="s">
        <v>1399</v>
      </c>
      <c r="CM1" s="2225" t="s">
        <v>1398</v>
      </c>
      <c r="CN1" s="2225" t="s">
        <v>2521</v>
      </c>
      <c r="CO1" s="2225" t="s">
        <v>1488</v>
      </c>
      <c r="CP1" s="2225" t="s">
        <v>1984</v>
      </c>
      <c r="CQ1" s="2225" t="s">
        <v>3984</v>
      </c>
      <c r="CR1" s="2225" t="s">
        <v>3985</v>
      </c>
      <c r="CS1" s="2225" t="s">
        <v>3986</v>
      </c>
      <c r="CT1" s="2225" t="s">
        <v>3987</v>
      </c>
      <c r="CU1" s="2225" t="s">
        <v>3988</v>
      </c>
      <c r="CV1" s="2225" t="s">
        <v>3988</v>
      </c>
      <c r="CW1" s="2225" t="s">
        <v>3989</v>
      </c>
      <c r="CX1" s="2225" t="s">
        <v>3989</v>
      </c>
      <c r="CY1" s="2225" t="s">
        <v>3990</v>
      </c>
      <c r="CZ1" s="2225" t="s">
        <v>3991</v>
      </c>
      <c r="DA1" s="2225" t="s">
        <v>3992</v>
      </c>
      <c r="DB1" s="2225" t="s">
        <v>2988</v>
      </c>
      <c r="DC1" s="2225" t="s">
        <v>2534</v>
      </c>
      <c r="DD1" s="2225" t="s">
        <v>2535</v>
      </c>
      <c r="DE1" s="2225" t="s">
        <v>2536</v>
      </c>
      <c r="DF1" s="2225" t="s">
        <v>2537</v>
      </c>
      <c r="DG1" s="2225" t="s">
        <v>925</v>
      </c>
      <c r="DH1" s="2225" t="s">
        <v>926</v>
      </c>
      <c r="DI1" s="2225" t="s">
        <v>1015</v>
      </c>
      <c r="DJ1" s="2225" t="s">
        <v>1015</v>
      </c>
      <c r="DK1" s="2225" t="s">
        <v>1016</v>
      </c>
      <c r="DL1" s="2225" t="s">
        <v>1017</v>
      </c>
      <c r="DM1" s="2225" t="s">
        <v>1018</v>
      </c>
      <c r="DN1" s="2225" t="s">
        <v>1019</v>
      </c>
      <c r="DO1" s="2225" t="s">
        <v>1020</v>
      </c>
      <c r="DP1" s="2225" t="s">
        <v>1021</v>
      </c>
      <c r="DQ1" s="2225" t="s">
        <v>1022</v>
      </c>
      <c r="DR1" s="2225" t="s">
        <v>1023</v>
      </c>
      <c r="DS1" s="2225" t="s">
        <v>1024</v>
      </c>
      <c r="DT1" s="2225" t="s">
        <v>1025</v>
      </c>
      <c r="DU1" s="2225" t="s">
        <v>1026</v>
      </c>
      <c r="DV1" s="2225" t="s">
        <v>1027</v>
      </c>
      <c r="DW1" s="2225" t="s">
        <v>1028</v>
      </c>
      <c r="DX1" s="2225" t="s">
        <v>1029</v>
      </c>
      <c r="DY1" s="2225" t="s">
        <v>2249</v>
      </c>
      <c r="DZ1" s="2225" t="s">
        <v>2250</v>
      </c>
      <c r="EA1" s="2225" t="s">
        <v>442</v>
      </c>
      <c r="EB1" s="2225" t="s">
        <v>443</v>
      </c>
      <c r="EC1" s="2225" t="s">
        <v>3469</v>
      </c>
      <c r="ED1" s="2225" t="s">
        <v>3470</v>
      </c>
      <c r="EE1" s="2225" t="s">
        <v>3471</v>
      </c>
      <c r="EF1" s="2225" t="s">
        <v>3472</v>
      </c>
      <c r="EG1" s="2225" t="s">
        <v>3473</v>
      </c>
      <c r="EH1" s="2225" t="s">
        <v>4292</v>
      </c>
      <c r="EI1" s="2225" t="s">
        <v>4293</v>
      </c>
      <c r="EJ1" s="2225" t="s">
        <v>4362</v>
      </c>
      <c r="EK1" s="2225" t="s">
        <v>4363</v>
      </c>
      <c r="EL1" s="2225" t="s">
        <v>4364</v>
      </c>
      <c r="EM1" s="2225" t="s">
        <v>4365</v>
      </c>
      <c r="EN1" s="2225" t="s">
        <v>4366</v>
      </c>
      <c r="EO1" s="2225" t="s">
        <v>4367</v>
      </c>
      <c r="EP1" s="2225" t="s">
        <v>4368</v>
      </c>
      <c r="EQ1" s="2225" t="s">
        <v>2408</v>
      </c>
      <c r="ER1" s="2225" t="s">
        <v>2409</v>
      </c>
      <c r="ES1" s="2225" t="s">
        <v>2301</v>
      </c>
      <c r="ET1" s="2225" t="s">
        <v>2302</v>
      </c>
      <c r="EU1" s="2225" t="s">
        <v>2303</v>
      </c>
      <c r="EV1" s="2225" t="s">
        <v>2304</v>
      </c>
      <c r="EW1" s="2225" t="s">
        <v>1867</v>
      </c>
      <c r="EX1" s="2225" t="s">
        <v>1868</v>
      </c>
      <c r="EY1" s="2225" t="s">
        <v>1869</v>
      </c>
      <c r="EZ1" s="2225" t="s">
        <v>1870</v>
      </c>
      <c r="FA1" s="2225" t="s">
        <v>1871</v>
      </c>
      <c r="FB1" s="2225" t="s">
        <v>1872</v>
      </c>
      <c r="FC1" s="2225" t="s">
        <v>1873</v>
      </c>
      <c r="FD1" s="2225" t="s">
        <v>1874</v>
      </c>
      <c r="FE1" s="2225" t="s">
        <v>1875</v>
      </c>
      <c r="FF1" s="2225" t="s">
        <v>1876</v>
      </c>
      <c r="FG1" s="2225" t="s">
        <v>1877</v>
      </c>
      <c r="FH1" s="2225" t="s">
        <v>1878</v>
      </c>
      <c r="FI1" s="2225" t="s">
        <v>1879</v>
      </c>
      <c r="FJ1" s="2225" t="s">
        <v>1880</v>
      </c>
      <c r="FK1" s="2225" t="s">
        <v>1881</v>
      </c>
      <c r="FL1" s="2225" t="s">
        <v>1882</v>
      </c>
      <c r="FM1" s="2225" t="s">
        <v>1883</v>
      </c>
      <c r="FN1" s="2225" t="s">
        <v>3990</v>
      </c>
      <c r="FO1" s="2225" t="s">
        <v>1884</v>
      </c>
      <c r="FP1" s="2225" t="s">
        <v>1885</v>
      </c>
      <c r="FQ1" s="2225" t="s">
        <v>934</v>
      </c>
      <c r="FR1" s="2225" t="s">
        <v>3523</v>
      </c>
      <c r="FS1" s="2225" t="s">
        <v>1873</v>
      </c>
      <c r="FT1" s="2225" t="s">
        <v>1679</v>
      </c>
      <c r="FU1" s="2225" t="s">
        <v>1680</v>
      </c>
      <c r="FV1" s="2225" t="s">
        <v>1681</v>
      </c>
      <c r="FW1" s="2225" t="s">
        <v>1682</v>
      </c>
      <c r="FX1" s="2225" t="s">
        <v>1683</v>
      </c>
      <c r="FY1" s="2225" t="s">
        <v>1684</v>
      </c>
      <c r="FZ1" s="2225" t="s">
        <v>1685</v>
      </c>
      <c r="GA1" s="2225" t="s">
        <v>1686</v>
      </c>
      <c r="GB1" s="2225" t="s">
        <v>1687</v>
      </c>
      <c r="GC1" s="2225" t="s">
        <v>1021</v>
      </c>
      <c r="GD1" s="2225" t="s">
        <v>1688</v>
      </c>
      <c r="GE1" s="2225" t="s">
        <v>1689</v>
      </c>
      <c r="GF1" s="2225" t="s">
        <v>1690</v>
      </c>
      <c r="GG1" s="2225" t="s">
        <v>1691</v>
      </c>
      <c r="GH1" s="2225" t="s">
        <v>1692</v>
      </c>
      <c r="GI1" s="2225" t="s">
        <v>1693</v>
      </c>
      <c r="GJ1" s="2225" t="s">
        <v>1694</v>
      </c>
      <c r="GK1" s="2225" t="s">
        <v>1695</v>
      </c>
      <c r="GL1" s="2225" t="s">
        <v>1696</v>
      </c>
      <c r="GM1" s="2225" t="s">
        <v>1697</v>
      </c>
      <c r="GN1" s="2225" t="s">
        <v>1698</v>
      </c>
      <c r="GO1" s="2225" t="s">
        <v>706</v>
      </c>
      <c r="GP1" s="2225" t="s">
        <v>707</v>
      </c>
      <c r="GQ1" s="2225" t="s">
        <v>783</v>
      </c>
      <c r="GR1" s="2225" t="s">
        <v>784</v>
      </c>
      <c r="GS1" s="2225" t="s">
        <v>785</v>
      </c>
      <c r="GT1" s="2225" t="s">
        <v>786</v>
      </c>
      <c r="GU1" s="2225" t="s">
        <v>787</v>
      </c>
      <c r="GV1" s="2225" t="s">
        <v>788</v>
      </c>
      <c r="GW1" s="2225" t="s">
        <v>789</v>
      </c>
      <c r="GX1" s="2225" t="s">
        <v>790</v>
      </c>
      <c r="GY1" s="2225" t="s">
        <v>791</v>
      </c>
      <c r="GZ1" s="2225" t="s">
        <v>792</v>
      </c>
      <c r="HA1" s="2225" t="s">
        <v>793</v>
      </c>
      <c r="HB1" s="2225" t="s">
        <v>1882</v>
      </c>
      <c r="HC1" s="2225" t="s">
        <v>794</v>
      </c>
      <c r="HD1" s="2225" t="s">
        <v>795</v>
      </c>
      <c r="HE1" s="2225" t="s">
        <v>796</v>
      </c>
      <c r="HF1" s="2225" t="s">
        <v>797</v>
      </c>
      <c r="HG1" s="2225" t="s">
        <v>798</v>
      </c>
      <c r="HH1" s="2225" t="s">
        <v>1018</v>
      </c>
      <c r="HI1" s="2225" t="s">
        <v>799</v>
      </c>
      <c r="HJ1" s="2225" t="s">
        <v>800</v>
      </c>
      <c r="HK1" s="2225" t="s">
        <v>801</v>
      </c>
      <c r="HL1" s="2225" t="s">
        <v>802</v>
      </c>
      <c r="HM1" s="2225" t="s">
        <v>803</v>
      </c>
      <c r="HN1" s="2225" t="s">
        <v>804</v>
      </c>
      <c r="HO1" s="2225" t="s">
        <v>1026</v>
      </c>
      <c r="HP1" s="2225" t="s">
        <v>805</v>
      </c>
      <c r="HQ1" s="2225" t="s">
        <v>1686</v>
      </c>
      <c r="HR1" s="2225" t="s">
        <v>806</v>
      </c>
      <c r="HS1" s="2225" t="s">
        <v>807</v>
      </c>
      <c r="HT1" s="2225" t="s">
        <v>808</v>
      </c>
      <c r="HU1" s="2225" t="s">
        <v>809</v>
      </c>
      <c r="HV1" s="2225" t="s">
        <v>810</v>
      </c>
      <c r="HW1" s="2225" t="s">
        <v>76</v>
      </c>
      <c r="HX1" s="2225" t="s">
        <v>1871</v>
      </c>
      <c r="HY1" s="2225" t="s">
        <v>77</v>
      </c>
      <c r="HZ1" s="2225" t="s">
        <v>78</v>
      </c>
      <c r="IA1" s="2225" t="s">
        <v>79</v>
      </c>
      <c r="IB1" s="2225" t="s">
        <v>1631</v>
      </c>
      <c r="IC1" s="2225" t="s">
        <v>1632</v>
      </c>
      <c r="ID1" s="2225" t="s">
        <v>1633</v>
      </c>
      <c r="IE1" s="2225" t="s">
        <v>1634</v>
      </c>
      <c r="IF1" s="2225" t="s">
        <v>1635</v>
      </c>
      <c r="IG1" s="2225" t="s">
        <v>1636</v>
      </c>
      <c r="IH1" s="2225" t="s">
        <v>1637</v>
      </c>
      <c r="II1" s="2225" t="s">
        <v>1528</v>
      </c>
      <c r="IJ1" s="2225" t="s">
        <v>1529</v>
      </c>
      <c r="IK1" s="2225" t="s">
        <v>1530</v>
      </c>
      <c r="IL1" s="2225" t="s">
        <v>1531</v>
      </c>
      <c r="IM1" s="2225" t="s">
        <v>1532</v>
      </c>
      <c r="IN1" s="2225" t="s">
        <v>3889</v>
      </c>
      <c r="IO1" s="2225" t="s">
        <v>3890</v>
      </c>
      <c r="IP1" s="2225" t="s">
        <v>1874</v>
      </c>
      <c r="IQ1" s="2225" t="s">
        <v>3891</v>
      </c>
      <c r="IR1" s="2225" t="s">
        <v>3892</v>
      </c>
      <c r="IS1" s="2225" t="s">
        <v>3893</v>
      </c>
      <c r="IT1" s="2225" t="s">
        <v>3894</v>
      </c>
      <c r="IU1" s="2225" t="s">
        <v>4026</v>
      </c>
      <c r="IV1" s="2226" t="s">
        <v>4606</v>
      </c>
    </row>
    <row r="2" spans="1:256">
      <c r="A2" s="2205" t="s">
        <v>2034</v>
      </c>
      <c r="B2" s="2226" t="s">
        <v>5387</v>
      </c>
      <c r="C2" s="2225" t="s">
        <v>1176</v>
      </c>
      <c r="D2" s="2226" t="s">
        <v>5386</v>
      </c>
      <c r="E2" s="2225" t="s">
        <v>2697</v>
      </c>
      <c r="F2" s="2226" t="s">
        <v>5385</v>
      </c>
      <c r="G2" s="2225" t="s">
        <v>2696</v>
      </c>
      <c r="H2" s="2225" t="s">
        <v>2695</v>
      </c>
      <c r="I2" s="2225" t="s">
        <v>4096</v>
      </c>
      <c r="J2" s="2226" t="s">
        <v>5393</v>
      </c>
      <c r="K2" s="2225" t="s">
        <v>4462</v>
      </c>
      <c r="L2" s="2226" t="s">
        <v>5390</v>
      </c>
      <c r="M2" s="2225" t="s">
        <v>3197</v>
      </c>
      <c r="N2" s="2225" t="s">
        <v>4095</v>
      </c>
      <c r="O2" s="2226" t="s">
        <v>5392</v>
      </c>
      <c r="P2" s="2225" t="s">
        <v>4461</v>
      </c>
      <c r="Q2" s="2226" t="s">
        <v>5389</v>
      </c>
      <c r="R2" s="2225" t="s">
        <v>3196</v>
      </c>
      <c r="S2" s="2225" t="s">
        <v>4094</v>
      </c>
      <c r="T2" s="2226" t="s">
        <v>5391</v>
      </c>
      <c r="U2" s="2225" t="s">
        <v>3508</v>
      </c>
      <c r="V2" s="2226" t="s">
        <v>5388</v>
      </c>
      <c r="W2" s="2225" t="s">
        <v>3195</v>
      </c>
      <c r="X2" s="2225" t="s">
        <v>4093</v>
      </c>
      <c r="Y2" s="2225" t="s">
        <v>3507</v>
      </c>
      <c r="Z2" s="2225" t="s">
        <v>2631</v>
      </c>
      <c r="AA2" s="2226" t="s">
        <v>5396</v>
      </c>
      <c r="AB2" s="2225" t="s">
        <v>2193</v>
      </c>
      <c r="AC2" s="2226" t="s">
        <v>5395</v>
      </c>
      <c r="AD2" s="2225" t="s">
        <v>2192</v>
      </c>
      <c r="AE2" s="2226" t="s">
        <v>5394</v>
      </c>
      <c r="AF2" s="2225" t="s">
        <v>2191</v>
      </c>
      <c r="AG2" s="2225" t="s">
        <v>2851</v>
      </c>
      <c r="AH2" s="2225" t="s">
        <v>2694</v>
      </c>
      <c r="AI2" s="2226" t="s">
        <v>5399</v>
      </c>
      <c r="AJ2" s="2225" t="s">
        <v>1704</v>
      </c>
      <c r="AK2" s="2225" t="s">
        <v>2693</v>
      </c>
      <c r="AL2" s="2226" t="s">
        <v>5398</v>
      </c>
      <c r="AM2" s="2225" t="s">
        <v>1703</v>
      </c>
      <c r="AN2" s="2225" t="s">
        <v>2692</v>
      </c>
      <c r="AO2" s="2226" t="s">
        <v>5397</v>
      </c>
      <c r="AP2" s="2225" t="s">
        <v>2195</v>
      </c>
      <c r="AQ2" s="2225" t="s">
        <v>2691</v>
      </c>
      <c r="AR2" s="2225" t="s">
        <v>2194</v>
      </c>
      <c r="AS2" s="2915" t="s">
        <v>5402</v>
      </c>
      <c r="AT2" s="2225" t="s">
        <v>121</v>
      </c>
      <c r="AU2" s="2915" t="s">
        <v>5401</v>
      </c>
      <c r="AV2" s="2225" t="s">
        <v>120</v>
      </c>
      <c r="AW2" s="2915" t="s">
        <v>5400</v>
      </c>
      <c r="AX2" s="2225" t="s">
        <v>119</v>
      </c>
      <c r="AY2" s="2229" t="s">
        <v>118</v>
      </c>
      <c r="AZ2" s="2226" t="s">
        <v>5414</v>
      </c>
      <c r="BA2" s="2225" t="s">
        <v>2850</v>
      </c>
      <c r="BB2" s="2915" t="s">
        <v>5411</v>
      </c>
      <c r="BC2" s="2225" t="s">
        <v>2846</v>
      </c>
      <c r="BD2" s="2226" t="s">
        <v>5408</v>
      </c>
      <c r="BE2" s="2225" t="s">
        <v>1235</v>
      </c>
      <c r="BF2" s="2915" t="s">
        <v>5405</v>
      </c>
      <c r="BG2" s="2225" t="s">
        <v>3559</v>
      </c>
      <c r="BH2" s="2226" t="s">
        <v>5413</v>
      </c>
      <c r="BI2" s="2225" t="s">
        <v>2849</v>
      </c>
      <c r="BJ2" s="2915" t="s">
        <v>5410</v>
      </c>
      <c r="BK2" s="2225" t="s">
        <v>2845</v>
      </c>
      <c r="BL2" s="2226" t="s">
        <v>5407</v>
      </c>
      <c r="BM2" s="2225" t="s">
        <v>1234</v>
      </c>
      <c r="BN2" s="2915" t="s">
        <v>5404</v>
      </c>
      <c r="BO2" s="2225" t="s">
        <v>127</v>
      </c>
      <c r="BP2" s="2226" t="s">
        <v>5412</v>
      </c>
      <c r="BQ2" s="2225" t="s">
        <v>2848</v>
      </c>
      <c r="BR2" s="2915" t="s">
        <v>5409</v>
      </c>
      <c r="BS2" s="2225" t="s">
        <v>2844</v>
      </c>
      <c r="BT2" s="2226" t="s">
        <v>5406</v>
      </c>
      <c r="BU2" s="2225" t="s">
        <v>1233</v>
      </c>
      <c r="BV2" s="2915" t="s">
        <v>5403</v>
      </c>
      <c r="BW2" s="2225" t="s">
        <v>126</v>
      </c>
      <c r="BX2" s="2225" t="s">
        <v>2847</v>
      </c>
      <c r="BY2" s="2229" t="s">
        <v>2843</v>
      </c>
      <c r="BZ2" s="2225" t="s">
        <v>1232</v>
      </c>
      <c r="CA2" s="2229" t="s">
        <v>125</v>
      </c>
      <c r="CB2" s="2225" t="s">
        <v>117</v>
      </c>
      <c r="CC2" s="2225" t="s">
        <v>116</v>
      </c>
      <c r="CD2" s="2225" t="s">
        <v>115</v>
      </c>
      <c r="CE2" s="2225" t="s">
        <v>114</v>
      </c>
      <c r="CF2" s="2225" t="s">
        <v>113</v>
      </c>
      <c r="CG2" s="2225" t="s">
        <v>112</v>
      </c>
      <c r="CH2" s="2225" t="s">
        <v>111</v>
      </c>
      <c r="CI2" s="2225" t="s">
        <v>108</v>
      </c>
      <c r="CJ2" s="2225" t="s">
        <v>107</v>
      </c>
      <c r="CK2" s="2225" t="s">
        <v>110</v>
      </c>
      <c r="CL2" s="2225" t="s">
        <v>109</v>
      </c>
      <c r="CM2" s="2225" t="s">
        <v>106</v>
      </c>
      <c r="CN2" s="2225" t="s">
        <v>105</v>
      </c>
      <c r="CO2" s="2225" t="s">
        <v>104</v>
      </c>
      <c r="CP2" s="2225" t="s">
        <v>4516</v>
      </c>
      <c r="CQ2" s="2225" t="s">
        <v>4518</v>
      </c>
      <c r="CR2" s="2225" t="s">
        <v>3976</v>
      </c>
      <c r="CS2" s="2225" t="s">
        <v>4517</v>
      </c>
      <c r="CT2" s="2225" t="s">
        <v>3017</v>
      </c>
      <c r="CU2" s="2225" t="s">
        <v>2035</v>
      </c>
      <c r="CV2" s="2225" t="s">
        <v>2035</v>
      </c>
      <c r="CW2" s="2225" t="s">
        <v>2035</v>
      </c>
      <c r="CX2" s="2225" t="s">
        <v>2035</v>
      </c>
      <c r="CY2" s="2225" t="s">
        <v>2036</v>
      </c>
      <c r="CZ2" s="2225" t="s">
        <v>4542</v>
      </c>
      <c r="DA2" s="2225" t="s">
        <v>4580</v>
      </c>
      <c r="DB2" s="2225" t="s">
        <v>846</v>
      </c>
      <c r="DC2" s="2225" t="s">
        <v>4583</v>
      </c>
      <c r="DD2" s="2225" t="s">
        <v>2038</v>
      </c>
      <c r="DE2" s="2225" t="s">
        <v>4581</v>
      </c>
      <c r="DF2" s="2225" t="s">
        <v>4544</v>
      </c>
      <c r="DG2" s="2225" t="s">
        <v>2039</v>
      </c>
      <c r="DH2" s="2225" t="s">
        <v>2040</v>
      </c>
      <c r="DI2" s="2225" t="s">
        <v>550</v>
      </c>
      <c r="DJ2" s="2225" t="s">
        <v>550</v>
      </c>
      <c r="DK2" s="2225" t="s">
        <v>2041</v>
      </c>
      <c r="DL2" s="2225" t="s">
        <v>86</v>
      </c>
      <c r="DM2" s="2225" t="s">
        <v>2042</v>
      </c>
      <c r="DN2" s="2225" t="s">
        <v>2043</v>
      </c>
      <c r="DO2" s="2225" t="s">
        <v>843</v>
      </c>
      <c r="DP2" s="2225" t="s">
        <v>2044</v>
      </c>
      <c r="DQ2" s="2225" t="s">
        <v>849</v>
      </c>
      <c r="DR2" s="2225" t="s">
        <v>4541</v>
      </c>
      <c r="DS2" s="2225" t="s">
        <v>2045</v>
      </c>
      <c r="DT2" s="2225" t="s">
        <v>2046</v>
      </c>
      <c r="DU2" s="2225" t="s">
        <v>2047</v>
      </c>
      <c r="DV2" s="2225" t="s">
        <v>4582</v>
      </c>
      <c r="DW2" s="2225" t="s">
        <v>3977</v>
      </c>
      <c r="DX2" s="2225" t="s">
        <v>2048</v>
      </c>
      <c r="DY2" s="2225" t="s">
        <v>95</v>
      </c>
      <c r="DZ2" s="2225" t="s">
        <v>85</v>
      </c>
      <c r="EA2" s="2225" t="s">
        <v>842</v>
      </c>
      <c r="EB2" s="2225" t="s">
        <v>542</v>
      </c>
      <c r="EC2" s="2225" t="s">
        <v>96</v>
      </c>
      <c r="ED2" s="2225" t="s">
        <v>97</v>
      </c>
      <c r="EE2" s="2225" t="s">
        <v>98</v>
      </c>
      <c r="EF2" s="2225" t="s">
        <v>3981</v>
      </c>
      <c r="EG2" s="2225" t="s">
        <v>3979</v>
      </c>
      <c r="EH2" s="2225" t="s">
        <v>99</v>
      </c>
      <c r="EI2" s="2225" t="s">
        <v>3972</v>
      </c>
      <c r="EJ2" s="2225" t="s">
        <v>88</v>
      </c>
      <c r="EK2" s="2225" t="s">
        <v>84</v>
      </c>
      <c r="EL2" s="2225" t="s">
        <v>100</v>
      </c>
      <c r="EM2" s="2225" t="s">
        <v>545</v>
      </c>
      <c r="EN2" s="2225" t="s">
        <v>87</v>
      </c>
      <c r="EO2" s="2225" t="s">
        <v>101</v>
      </c>
      <c r="EP2" s="2225" t="s">
        <v>102</v>
      </c>
      <c r="EQ2" s="2225" t="s">
        <v>1174</v>
      </c>
      <c r="ER2" s="2225" t="s">
        <v>3299</v>
      </c>
      <c r="ES2" s="2225" t="s">
        <v>3174</v>
      </c>
      <c r="ET2" s="2225" t="s">
        <v>3975</v>
      </c>
      <c r="EU2" s="2225" t="s">
        <v>1075</v>
      </c>
      <c r="EV2" s="2225" t="s">
        <v>847</v>
      </c>
      <c r="EW2" s="2225" t="s">
        <v>3175</v>
      </c>
      <c r="EX2" s="2225" t="s">
        <v>3176</v>
      </c>
      <c r="EY2" s="2225" t="s">
        <v>1076</v>
      </c>
      <c r="EZ2" s="2225" t="s">
        <v>2681</v>
      </c>
      <c r="FA2" s="2225" t="s">
        <v>3177</v>
      </c>
      <c r="FB2" s="2225" t="s">
        <v>3178</v>
      </c>
      <c r="FC2" s="2225" t="s">
        <v>3179</v>
      </c>
      <c r="FD2" s="2225" t="s">
        <v>3180</v>
      </c>
      <c r="FE2" s="2225" t="s">
        <v>543</v>
      </c>
      <c r="FF2" s="2225" t="s">
        <v>3181</v>
      </c>
      <c r="FG2" s="2225" t="s">
        <v>549</v>
      </c>
      <c r="FH2" s="2225" t="s">
        <v>3182</v>
      </c>
      <c r="FI2" s="2225" t="s">
        <v>3978</v>
      </c>
      <c r="FJ2" s="2225" t="s">
        <v>252</v>
      </c>
      <c r="FK2" s="2225" t="s">
        <v>844</v>
      </c>
      <c r="FL2" s="2225" t="s">
        <v>253</v>
      </c>
      <c r="FM2" s="2225" t="s">
        <v>254</v>
      </c>
      <c r="FN2" s="2225" t="s">
        <v>255</v>
      </c>
      <c r="FO2" s="2225" t="s">
        <v>256</v>
      </c>
      <c r="FP2" s="2225" t="s">
        <v>257</v>
      </c>
      <c r="FQ2" s="2225" t="s">
        <v>454</v>
      </c>
      <c r="FR2" s="2225" t="s">
        <v>258</v>
      </c>
      <c r="FS2" s="2225" t="s">
        <v>259</v>
      </c>
      <c r="FT2" s="2225" t="s">
        <v>2680</v>
      </c>
      <c r="FU2" s="2225" t="s">
        <v>260</v>
      </c>
      <c r="FV2" s="2225" t="s">
        <v>261</v>
      </c>
      <c r="FW2" s="2225" t="s">
        <v>262</v>
      </c>
      <c r="FX2" s="2225" t="s">
        <v>263</v>
      </c>
      <c r="FY2" s="2225" t="s">
        <v>3980</v>
      </c>
      <c r="FZ2" s="2225" t="s">
        <v>264</v>
      </c>
      <c r="GA2" s="2225" t="s">
        <v>265</v>
      </c>
      <c r="GB2" s="2225" t="s">
        <v>841</v>
      </c>
      <c r="GC2" s="2225" t="s">
        <v>3968</v>
      </c>
      <c r="GD2" s="2225" t="s">
        <v>266</v>
      </c>
      <c r="GE2" s="2225" t="s">
        <v>267</v>
      </c>
      <c r="GF2" s="2225" t="s">
        <v>268</v>
      </c>
      <c r="GG2" s="2225" t="s">
        <v>269</v>
      </c>
      <c r="GH2" s="2225" t="s">
        <v>270</v>
      </c>
      <c r="GI2" s="2225" t="s">
        <v>271</v>
      </c>
      <c r="GJ2" s="2225" t="s">
        <v>272</v>
      </c>
      <c r="GK2" s="2225" t="s">
        <v>2228</v>
      </c>
      <c r="GL2" s="2225" t="s">
        <v>83</v>
      </c>
      <c r="GM2" s="2225" t="s">
        <v>273</v>
      </c>
      <c r="GN2" s="2225" t="s">
        <v>274</v>
      </c>
      <c r="GO2" s="2225" t="s">
        <v>275</v>
      </c>
      <c r="GP2" s="2225" t="s">
        <v>276</v>
      </c>
      <c r="GQ2" s="2225" t="s">
        <v>277</v>
      </c>
      <c r="GR2" s="2225" t="s">
        <v>278</v>
      </c>
      <c r="GS2" s="2225" t="s">
        <v>279</v>
      </c>
      <c r="GT2" s="2225" t="s">
        <v>280</v>
      </c>
      <c r="GU2" s="2225" t="s">
        <v>281</v>
      </c>
      <c r="GV2" s="2225" t="s">
        <v>282</v>
      </c>
      <c r="GW2" s="2225" t="s">
        <v>283</v>
      </c>
      <c r="GX2" s="2225" t="s">
        <v>546</v>
      </c>
      <c r="GY2" s="2225" t="s">
        <v>544</v>
      </c>
      <c r="GZ2" s="2225" t="s">
        <v>284</v>
      </c>
      <c r="HA2" s="2225" t="s">
        <v>3974</v>
      </c>
      <c r="HB2" s="2225" t="s">
        <v>285</v>
      </c>
      <c r="HC2" s="2225" t="s">
        <v>286</v>
      </c>
      <c r="HD2" s="2225" t="s">
        <v>287</v>
      </c>
      <c r="HE2" s="2225" t="s">
        <v>288</v>
      </c>
      <c r="HF2" s="2225" t="s">
        <v>1097</v>
      </c>
      <c r="HG2" s="2225" t="s">
        <v>1098</v>
      </c>
      <c r="HH2" s="2225" t="s">
        <v>1099</v>
      </c>
      <c r="HI2" s="2225" t="s">
        <v>82</v>
      </c>
      <c r="HJ2" s="2225" t="s">
        <v>1100</v>
      </c>
      <c r="HK2" s="2225" t="s">
        <v>848</v>
      </c>
      <c r="HL2" s="2225" t="s">
        <v>1101</v>
      </c>
      <c r="HM2" s="2225" t="s">
        <v>1102</v>
      </c>
      <c r="HN2" s="2225" t="s">
        <v>1103</v>
      </c>
      <c r="HO2" s="2225" t="s">
        <v>1104</v>
      </c>
      <c r="HP2" s="2225" t="s">
        <v>1105</v>
      </c>
      <c r="HQ2" s="2225" t="s">
        <v>1106</v>
      </c>
      <c r="HR2" s="2225" t="s">
        <v>1107</v>
      </c>
      <c r="HS2" s="2225" t="s">
        <v>1108</v>
      </c>
      <c r="HT2" s="2225" t="s">
        <v>1109</v>
      </c>
      <c r="HU2" s="2225" t="s">
        <v>1110</v>
      </c>
      <c r="HV2" s="2225" t="s">
        <v>2682</v>
      </c>
      <c r="HW2" s="2225" t="s">
        <v>1111</v>
      </c>
      <c r="HX2" s="2225" t="s">
        <v>4445</v>
      </c>
      <c r="HY2" s="2225" t="s">
        <v>4446</v>
      </c>
      <c r="HZ2" s="2225" t="s">
        <v>4447</v>
      </c>
      <c r="IA2" s="2225" t="s">
        <v>4448</v>
      </c>
      <c r="IB2" s="2225" t="s">
        <v>4449</v>
      </c>
      <c r="IC2" s="2225" t="s">
        <v>4450</v>
      </c>
      <c r="ID2" s="2225" t="s">
        <v>4451</v>
      </c>
      <c r="IE2" s="2225" t="s">
        <v>4452</v>
      </c>
      <c r="IF2" s="2225" t="s">
        <v>4453</v>
      </c>
      <c r="IG2" s="2225" t="s">
        <v>4543</v>
      </c>
      <c r="IH2" s="2225" t="s">
        <v>4454</v>
      </c>
      <c r="II2" s="2225" t="s">
        <v>4455</v>
      </c>
      <c r="IJ2" s="2225" t="s">
        <v>4456</v>
      </c>
      <c r="IK2" s="2225" t="s">
        <v>4457</v>
      </c>
      <c r="IL2" s="2225" t="s">
        <v>845</v>
      </c>
      <c r="IM2" s="2225" t="s">
        <v>4035</v>
      </c>
      <c r="IN2" s="2225" t="s">
        <v>4036</v>
      </c>
      <c r="IO2" s="2225" t="s">
        <v>404</v>
      </c>
      <c r="IP2" s="2225" t="s">
        <v>988</v>
      </c>
      <c r="IQ2" s="2225" t="s">
        <v>989</v>
      </c>
      <c r="IR2" s="2225" t="s">
        <v>548</v>
      </c>
      <c r="IS2" s="2225" t="s">
        <v>990</v>
      </c>
      <c r="IT2" s="2225" t="s">
        <v>991</v>
      </c>
      <c r="IU2" s="2225" t="s">
        <v>2489</v>
      </c>
      <c r="IV2" s="2225" t="s">
        <v>846</v>
      </c>
    </row>
    <row r="3" spans="1:256">
      <c r="A3" s="2205" t="s">
        <v>2980</v>
      </c>
      <c r="B3" s="2225" t="s">
        <v>2985</v>
      </c>
      <c r="C3" s="2225" t="s">
        <v>2985</v>
      </c>
      <c r="D3" s="2225" t="s">
        <v>2985</v>
      </c>
      <c r="E3" s="2225" t="s">
        <v>2985</v>
      </c>
      <c r="F3" s="2225" t="s">
        <v>2985</v>
      </c>
      <c r="G3" s="2225" t="s">
        <v>2985</v>
      </c>
      <c r="H3" s="2225" t="s">
        <v>2985</v>
      </c>
      <c r="I3" s="2225" t="s">
        <v>2985</v>
      </c>
      <c r="J3" s="2225" t="s">
        <v>2985</v>
      </c>
      <c r="K3" s="2225" t="s">
        <v>2985</v>
      </c>
      <c r="L3" s="2225" t="s">
        <v>2985</v>
      </c>
      <c r="M3" s="2225" t="s">
        <v>2985</v>
      </c>
      <c r="N3" s="2225" t="s">
        <v>2985</v>
      </c>
      <c r="O3" s="2225" t="s">
        <v>2985</v>
      </c>
      <c r="P3" s="2225" t="s">
        <v>2985</v>
      </c>
      <c r="Q3" s="2225" t="s">
        <v>2985</v>
      </c>
      <c r="R3" s="2225" t="s">
        <v>2985</v>
      </c>
      <c r="S3" s="2225" t="s">
        <v>2985</v>
      </c>
      <c r="T3" s="2225" t="s">
        <v>2985</v>
      </c>
      <c r="U3" s="2225" t="s">
        <v>2985</v>
      </c>
      <c r="V3" s="2225" t="s">
        <v>2985</v>
      </c>
      <c r="W3" s="2225" t="s">
        <v>2985</v>
      </c>
      <c r="X3" s="2225" t="s">
        <v>2985</v>
      </c>
      <c r="Y3" s="2225" t="s">
        <v>2985</v>
      </c>
      <c r="Z3" s="2225" t="s">
        <v>2985</v>
      </c>
      <c r="AA3" s="2225" t="s">
        <v>2985</v>
      </c>
      <c r="AB3" s="2225" t="s">
        <v>2985</v>
      </c>
      <c r="AC3" s="2225" t="s">
        <v>2985</v>
      </c>
      <c r="AD3" s="2225" t="s">
        <v>2985</v>
      </c>
      <c r="AE3" s="2225" t="s">
        <v>2985</v>
      </c>
      <c r="AF3" s="2225" t="s">
        <v>2985</v>
      </c>
      <c r="AG3" s="2225" t="s">
        <v>2985</v>
      </c>
      <c r="AH3" s="2225" t="s">
        <v>2985</v>
      </c>
      <c r="AI3" s="2225" t="s">
        <v>2985</v>
      </c>
      <c r="AJ3" s="2225" t="s">
        <v>2985</v>
      </c>
      <c r="AK3" s="2225" t="s">
        <v>2985</v>
      </c>
      <c r="AL3" s="2225" t="s">
        <v>2985</v>
      </c>
      <c r="AM3" s="2225" t="s">
        <v>2985</v>
      </c>
      <c r="AN3" s="2225" t="s">
        <v>2985</v>
      </c>
      <c r="AO3" s="2225" t="s">
        <v>2985</v>
      </c>
      <c r="AP3" s="2225" t="s">
        <v>2985</v>
      </c>
      <c r="AQ3" s="2225" t="s">
        <v>2985</v>
      </c>
      <c r="AR3" s="2225" t="s">
        <v>2985</v>
      </c>
      <c r="AS3" s="2229" t="s">
        <v>2985</v>
      </c>
      <c r="AT3" s="2225" t="s">
        <v>2985</v>
      </c>
      <c r="AU3" s="2229" t="s">
        <v>2985</v>
      </c>
      <c r="AV3" s="2225" t="s">
        <v>2985</v>
      </c>
      <c r="AW3" s="2229" t="s">
        <v>2985</v>
      </c>
      <c r="AX3" s="2225" t="s">
        <v>2985</v>
      </c>
      <c r="AY3" s="2229" t="s">
        <v>2985</v>
      </c>
      <c r="AZ3" s="2225" t="s">
        <v>2985</v>
      </c>
      <c r="BA3" s="2225" t="s">
        <v>2985</v>
      </c>
      <c r="BB3" s="2229" t="s">
        <v>2985</v>
      </c>
      <c r="BC3" s="2225" t="s">
        <v>2985</v>
      </c>
      <c r="BD3" s="2225" t="s">
        <v>2985</v>
      </c>
      <c r="BE3" s="2225" t="s">
        <v>2985</v>
      </c>
      <c r="BF3" s="2229" t="s">
        <v>2985</v>
      </c>
      <c r="BG3" s="2225" t="s">
        <v>2985</v>
      </c>
      <c r="BH3" s="2225" t="s">
        <v>2985</v>
      </c>
      <c r="BI3" s="2225" t="s">
        <v>2985</v>
      </c>
      <c r="BJ3" s="2229" t="s">
        <v>2985</v>
      </c>
      <c r="BK3" s="2225" t="s">
        <v>2985</v>
      </c>
      <c r="BL3" s="2225" t="s">
        <v>2985</v>
      </c>
      <c r="BM3" s="2225" t="s">
        <v>2985</v>
      </c>
      <c r="BN3" s="2229" t="s">
        <v>2985</v>
      </c>
      <c r="BO3" s="2225" t="s">
        <v>2985</v>
      </c>
      <c r="BP3" s="2225" t="s">
        <v>2985</v>
      </c>
      <c r="BQ3" s="2225" t="s">
        <v>2985</v>
      </c>
      <c r="BR3" s="2229" t="s">
        <v>2985</v>
      </c>
      <c r="BS3" s="2225" t="s">
        <v>2985</v>
      </c>
      <c r="BT3" s="2225" t="s">
        <v>2985</v>
      </c>
      <c r="BU3" s="2225" t="s">
        <v>2985</v>
      </c>
      <c r="BV3" s="2229" t="s">
        <v>2985</v>
      </c>
      <c r="BW3" s="2225" t="s">
        <v>2985</v>
      </c>
      <c r="BX3" s="2225" t="s">
        <v>2985</v>
      </c>
      <c r="BY3" s="2229" t="s">
        <v>2985</v>
      </c>
      <c r="BZ3" s="2225" t="s">
        <v>2985</v>
      </c>
      <c r="CA3" s="2229" t="s">
        <v>2985</v>
      </c>
      <c r="CB3" s="2225" t="s">
        <v>2985</v>
      </c>
      <c r="CC3" s="2225" t="s">
        <v>2985</v>
      </c>
      <c r="CD3" s="2225" t="s">
        <v>2985</v>
      </c>
      <c r="CE3" s="2225" t="s">
        <v>2985</v>
      </c>
      <c r="CF3" s="2225" t="s">
        <v>2985</v>
      </c>
      <c r="CG3" s="2225" t="s">
        <v>2985</v>
      </c>
      <c r="CH3" s="2225" t="s">
        <v>2985</v>
      </c>
      <c r="CI3" s="2225" t="s">
        <v>2985</v>
      </c>
      <c r="CJ3" s="2225" t="s">
        <v>2985</v>
      </c>
      <c r="CK3" s="2225" t="s">
        <v>2985</v>
      </c>
      <c r="CL3" s="2225" t="s">
        <v>2985</v>
      </c>
      <c r="CM3" s="2225" t="s">
        <v>2985</v>
      </c>
      <c r="CN3" s="2225" t="s">
        <v>2985</v>
      </c>
      <c r="CO3" s="2225" t="s">
        <v>2985</v>
      </c>
      <c r="CP3" s="2225" t="s">
        <v>2490</v>
      </c>
      <c r="CQ3" s="2225" t="s">
        <v>2490</v>
      </c>
      <c r="CR3" s="2225" t="s">
        <v>2490</v>
      </c>
      <c r="CS3" s="2225" t="s">
        <v>2490</v>
      </c>
      <c r="CT3" s="2225" t="s">
        <v>2490</v>
      </c>
      <c r="CU3" s="2225" t="s">
        <v>2490</v>
      </c>
      <c r="CV3" s="2225" t="s">
        <v>2490</v>
      </c>
      <c r="CW3" s="2225" t="s">
        <v>2490</v>
      </c>
      <c r="CX3" s="2225" t="s">
        <v>2490</v>
      </c>
      <c r="CY3" s="2225" t="s">
        <v>2490</v>
      </c>
      <c r="CZ3" s="2225" t="s">
        <v>2490</v>
      </c>
      <c r="DA3" s="2225" t="s">
        <v>2490</v>
      </c>
      <c r="DB3" s="2225" t="s">
        <v>2490</v>
      </c>
      <c r="DC3" s="2225" t="s">
        <v>2490</v>
      </c>
      <c r="DD3" s="2225" t="s">
        <v>2490</v>
      </c>
      <c r="DE3" s="2225" t="s">
        <v>2490</v>
      </c>
      <c r="DF3" s="2225" t="s">
        <v>2490</v>
      </c>
      <c r="DG3" s="2225" t="s">
        <v>2490</v>
      </c>
      <c r="DH3" s="2225" t="s">
        <v>2490</v>
      </c>
      <c r="DI3" s="2225" t="s">
        <v>2490</v>
      </c>
      <c r="DJ3" s="2225" t="s">
        <v>2490</v>
      </c>
      <c r="DK3" s="2225" t="s">
        <v>2490</v>
      </c>
      <c r="DL3" s="2225" t="s">
        <v>2490</v>
      </c>
      <c r="DM3" s="2225" t="s">
        <v>2490</v>
      </c>
      <c r="DN3" s="2225" t="s">
        <v>2490</v>
      </c>
      <c r="DO3" s="2225" t="s">
        <v>2490</v>
      </c>
      <c r="DP3" s="2225" t="s">
        <v>2490</v>
      </c>
      <c r="DQ3" s="2225" t="s">
        <v>2490</v>
      </c>
      <c r="DR3" s="2225" t="s">
        <v>2490</v>
      </c>
      <c r="DS3" s="2225" t="s">
        <v>2490</v>
      </c>
      <c r="DT3" s="2225" t="s">
        <v>2490</v>
      </c>
      <c r="DU3" s="2225" t="s">
        <v>2490</v>
      </c>
      <c r="DV3" s="2225" t="s">
        <v>2490</v>
      </c>
      <c r="DW3" s="2225" t="s">
        <v>2490</v>
      </c>
      <c r="DX3" s="2225" t="s">
        <v>2490</v>
      </c>
      <c r="DY3" s="2225" t="s">
        <v>2490</v>
      </c>
      <c r="DZ3" s="2225" t="s">
        <v>2490</v>
      </c>
      <c r="EA3" s="2225" t="s">
        <v>2490</v>
      </c>
      <c r="EB3" s="2225" t="s">
        <v>2490</v>
      </c>
      <c r="EC3" s="2225" t="s">
        <v>2490</v>
      </c>
      <c r="ED3" s="2225" t="s">
        <v>2490</v>
      </c>
      <c r="EE3" s="2225" t="s">
        <v>2490</v>
      </c>
      <c r="EF3" s="2225" t="s">
        <v>2490</v>
      </c>
      <c r="EG3" s="2225" t="s">
        <v>2490</v>
      </c>
      <c r="EH3" s="2225" t="s">
        <v>2490</v>
      </c>
      <c r="EI3" s="2225" t="s">
        <v>2490</v>
      </c>
      <c r="EJ3" s="2225" t="s">
        <v>2490</v>
      </c>
      <c r="EK3" s="2225" t="s">
        <v>2490</v>
      </c>
      <c r="EL3" s="2225" t="s">
        <v>2490</v>
      </c>
      <c r="EM3" s="2225" t="s">
        <v>2490</v>
      </c>
      <c r="EN3" s="2225" t="s">
        <v>2490</v>
      </c>
      <c r="EO3" s="2225" t="s">
        <v>2490</v>
      </c>
      <c r="EP3" s="2225" t="s">
        <v>2490</v>
      </c>
      <c r="EQ3" s="2225" t="s">
        <v>2490</v>
      </c>
      <c r="ER3" s="2225" t="s">
        <v>2490</v>
      </c>
      <c r="ES3" s="2225" t="s">
        <v>2490</v>
      </c>
      <c r="ET3" s="2225" t="s">
        <v>2490</v>
      </c>
      <c r="EU3" s="2225" t="s">
        <v>2490</v>
      </c>
      <c r="EV3" s="2225" t="s">
        <v>2490</v>
      </c>
      <c r="EW3" s="2225" t="s">
        <v>2490</v>
      </c>
      <c r="EX3" s="2225" t="s">
        <v>2490</v>
      </c>
      <c r="EY3" s="2225" t="s">
        <v>2490</v>
      </c>
      <c r="EZ3" s="2225" t="s">
        <v>2490</v>
      </c>
      <c r="FA3" s="2225" t="s">
        <v>2490</v>
      </c>
      <c r="FB3" s="2225" t="s">
        <v>2490</v>
      </c>
      <c r="FC3" s="2225" t="s">
        <v>2490</v>
      </c>
      <c r="FD3" s="2225" t="s">
        <v>2490</v>
      </c>
      <c r="FE3" s="2225" t="s">
        <v>2490</v>
      </c>
      <c r="FF3" s="2225" t="s">
        <v>2490</v>
      </c>
      <c r="FG3" s="2225" t="s">
        <v>2490</v>
      </c>
      <c r="FH3" s="2225" t="s">
        <v>2490</v>
      </c>
      <c r="FI3" s="2225" t="s">
        <v>2490</v>
      </c>
      <c r="FJ3" s="2225" t="s">
        <v>2490</v>
      </c>
      <c r="FK3" s="2225" t="s">
        <v>2490</v>
      </c>
      <c r="FL3" s="2225" t="s">
        <v>2490</v>
      </c>
      <c r="FM3" s="2225" t="s">
        <v>2490</v>
      </c>
      <c r="FN3" s="2225" t="s">
        <v>2490</v>
      </c>
      <c r="FO3" s="2225" t="s">
        <v>2490</v>
      </c>
      <c r="FP3" s="2225" t="s">
        <v>2490</v>
      </c>
      <c r="FQ3" s="2225" t="s">
        <v>2490</v>
      </c>
      <c r="FR3" s="2225" t="s">
        <v>2490</v>
      </c>
      <c r="FS3" s="2225" t="s">
        <v>2490</v>
      </c>
      <c r="FT3" s="2225" t="s">
        <v>2490</v>
      </c>
      <c r="FU3" s="2225" t="s">
        <v>2490</v>
      </c>
      <c r="FV3" s="2225" t="s">
        <v>2490</v>
      </c>
      <c r="FW3" s="2225" t="s">
        <v>2490</v>
      </c>
      <c r="FX3" s="2225" t="s">
        <v>2490</v>
      </c>
      <c r="FY3" s="2225" t="s">
        <v>2490</v>
      </c>
      <c r="FZ3" s="2225" t="s">
        <v>2490</v>
      </c>
      <c r="GA3" s="2225" t="s">
        <v>2490</v>
      </c>
      <c r="GB3" s="2225" t="s">
        <v>2490</v>
      </c>
      <c r="GC3" s="2225" t="s">
        <v>2490</v>
      </c>
      <c r="GD3" s="2225" t="s">
        <v>2490</v>
      </c>
      <c r="GE3" s="2225" t="s">
        <v>2490</v>
      </c>
      <c r="GF3" s="2225" t="s">
        <v>2490</v>
      </c>
      <c r="GG3" s="2225" t="s">
        <v>2985</v>
      </c>
      <c r="GH3" s="2225" t="s">
        <v>2490</v>
      </c>
      <c r="GI3" s="2225" t="s">
        <v>2490</v>
      </c>
      <c r="GJ3" s="2225" t="s">
        <v>2490</v>
      </c>
      <c r="GK3" s="2225" t="s">
        <v>2490</v>
      </c>
      <c r="GL3" s="2225" t="s">
        <v>2490</v>
      </c>
      <c r="GM3" s="2225" t="s">
        <v>2490</v>
      </c>
      <c r="GN3" s="2225" t="s">
        <v>2490</v>
      </c>
      <c r="GO3" s="2225" t="s">
        <v>2490</v>
      </c>
      <c r="GP3" s="2225" t="s">
        <v>2490</v>
      </c>
      <c r="GQ3" s="2225" t="s">
        <v>2490</v>
      </c>
      <c r="GR3" s="2225" t="s">
        <v>2490</v>
      </c>
      <c r="GS3" s="2225" t="s">
        <v>2490</v>
      </c>
      <c r="GT3" s="2225" t="s">
        <v>2490</v>
      </c>
      <c r="GU3" s="2225" t="s">
        <v>2490</v>
      </c>
      <c r="GV3" s="2225" t="s">
        <v>2490</v>
      </c>
      <c r="GW3" s="2225" t="s">
        <v>2490</v>
      </c>
      <c r="GX3" s="2225" t="s">
        <v>2490</v>
      </c>
      <c r="GY3" s="2225" t="s">
        <v>2490</v>
      </c>
      <c r="GZ3" s="2225" t="s">
        <v>2490</v>
      </c>
      <c r="HA3" s="2225" t="s">
        <v>2490</v>
      </c>
      <c r="HB3" s="2225" t="s">
        <v>2490</v>
      </c>
      <c r="HC3" s="2225" t="s">
        <v>2490</v>
      </c>
      <c r="HD3" s="2225" t="s">
        <v>2490</v>
      </c>
      <c r="HE3" s="2225" t="s">
        <v>2490</v>
      </c>
      <c r="HF3" s="2225" t="s">
        <v>2490</v>
      </c>
      <c r="HG3" s="2225" t="s">
        <v>2490</v>
      </c>
      <c r="HH3" s="2225" t="s">
        <v>2490</v>
      </c>
      <c r="HI3" s="2225" t="s">
        <v>2490</v>
      </c>
      <c r="HJ3" s="2225" t="s">
        <v>2490</v>
      </c>
      <c r="HK3" s="2225" t="s">
        <v>2490</v>
      </c>
      <c r="HL3" s="2225" t="s">
        <v>2490</v>
      </c>
      <c r="HM3" s="2225" t="s">
        <v>2490</v>
      </c>
      <c r="HN3" s="2225" t="s">
        <v>2490</v>
      </c>
      <c r="HO3" s="2225" t="s">
        <v>2490</v>
      </c>
      <c r="HP3" s="2225" t="s">
        <v>2490</v>
      </c>
      <c r="HQ3" s="2225" t="s">
        <v>2490</v>
      </c>
      <c r="HR3" s="2225" t="s">
        <v>2490</v>
      </c>
      <c r="HS3" s="2225" t="s">
        <v>2490</v>
      </c>
      <c r="HT3" s="2225" t="s">
        <v>2490</v>
      </c>
      <c r="HU3" s="2225" t="s">
        <v>2490</v>
      </c>
      <c r="HV3" s="2225" t="s">
        <v>2490</v>
      </c>
      <c r="HW3" s="2225" t="s">
        <v>2490</v>
      </c>
      <c r="HX3" s="2225" t="s">
        <v>2490</v>
      </c>
      <c r="HY3" s="2225" t="s">
        <v>2490</v>
      </c>
      <c r="HZ3" s="2225" t="s">
        <v>2490</v>
      </c>
      <c r="IA3" s="2225" t="s">
        <v>2490</v>
      </c>
      <c r="IB3" s="2225" t="s">
        <v>2490</v>
      </c>
      <c r="IC3" s="2225" t="s">
        <v>2490</v>
      </c>
      <c r="ID3" s="2225" t="s">
        <v>2490</v>
      </c>
      <c r="IE3" s="2225" t="s">
        <v>2490</v>
      </c>
      <c r="IF3" s="2225" t="s">
        <v>2490</v>
      </c>
      <c r="IG3" s="2225" t="s">
        <v>2490</v>
      </c>
      <c r="IH3" s="2225" t="s">
        <v>2490</v>
      </c>
      <c r="II3" s="2225" t="s">
        <v>2490</v>
      </c>
      <c r="IJ3" s="2225" t="s">
        <v>2490</v>
      </c>
      <c r="IK3" s="2225" t="s">
        <v>2490</v>
      </c>
      <c r="IL3" s="2225" t="s">
        <v>2490</v>
      </c>
      <c r="IM3" s="2225" t="s">
        <v>2490</v>
      </c>
      <c r="IN3" s="2225" t="s">
        <v>2490</v>
      </c>
      <c r="IO3" s="2225" t="s">
        <v>2490</v>
      </c>
      <c r="IP3" s="2225" t="s">
        <v>2490</v>
      </c>
      <c r="IQ3" s="2225" t="s">
        <v>2490</v>
      </c>
      <c r="IR3" s="2225" t="s">
        <v>2490</v>
      </c>
      <c r="IS3" s="2225" t="s">
        <v>2490</v>
      </c>
      <c r="IT3" s="2225" t="s">
        <v>2490</v>
      </c>
      <c r="IU3" s="2225" t="s">
        <v>2490</v>
      </c>
      <c r="IV3" s="2225" t="s">
        <v>2490</v>
      </c>
    </row>
    <row r="4" spans="1:256">
      <c r="A4" s="2205" t="s">
        <v>3493</v>
      </c>
      <c r="B4" s="2225" t="s">
        <v>4355</v>
      </c>
      <c r="C4" s="2225" t="s">
        <v>4355</v>
      </c>
      <c r="D4" s="2225" t="s">
        <v>4355</v>
      </c>
      <c r="E4" s="2225" t="s">
        <v>4355</v>
      </c>
      <c r="F4" s="2225" t="s">
        <v>4355</v>
      </c>
      <c r="G4" s="2225" t="s">
        <v>4355</v>
      </c>
      <c r="H4" s="2225" t="s">
        <v>4355</v>
      </c>
      <c r="I4" s="2225" t="s">
        <v>4355</v>
      </c>
      <c r="J4" s="2225" t="s">
        <v>4355</v>
      </c>
      <c r="K4" s="2225" t="s">
        <v>4355</v>
      </c>
      <c r="L4" s="2225" t="s">
        <v>4355</v>
      </c>
      <c r="M4" s="2225" t="s">
        <v>4355</v>
      </c>
      <c r="N4" s="2225" t="s">
        <v>4355</v>
      </c>
      <c r="O4" s="2225" t="s">
        <v>4355</v>
      </c>
      <c r="P4" s="2225" t="s">
        <v>4355</v>
      </c>
      <c r="Q4" s="2225" t="s">
        <v>4355</v>
      </c>
      <c r="R4" s="2225" t="s">
        <v>4355</v>
      </c>
      <c r="S4" s="2225" t="s">
        <v>4355</v>
      </c>
      <c r="T4" s="2225" t="s">
        <v>4355</v>
      </c>
      <c r="U4" s="2225" t="s">
        <v>4355</v>
      </c>
      <c r="V4" s="2225" t="s">
        <v>4355</v>
      </c>
      <c r="W4" s="2225" t="s">
        <v>4355</v>
      </c>
      <c r="X4" s="2225" t="s">
        <v>4355</v>
      </c>
      <c r="Y4" s="2225" t="s">
        <v>4355</v>
      </c>
      <c r="Z4" s="2225" t="s">
        <v>4355</v>
      </c>
      <c r="AA4" s="2225" t="s">
        <v>4355</v>
      </c>
      <c r="AB4" s="2225" t="s">
        <v>4355</v>
      </c>
      <c r="AC4" s="2225" t="s">
        <v>4355</v>
      </c>
      <c r="AD4" s="2225" t="s">
        <v>4355</v>
      </c>
      <c r="AE4" s="2225" t="s">
        <v>4355</v>
      </c>
      <c r="AF4" s="2225" t="s">
        <v>4355</v>
      </c>
      <c r="AG4" s="2225" t="s">
        <v>4355</v>
      </c>
      <c r="AH4" s="2225" t="s">
        <v>4355</v>
      </c>
      <c r="AI4" s="2225" t="s">
        <v>4355</v>
      </c>
      <c r="AJ4" s="2225" t="s">
        <v>4355</v>
      </c>
      <c r="AK4" s="2225" t="s">
        <v>4355</v>
      </c>
      <c r="AL4" s="2225" t="s">
        <v>4355</v>
      </c>
      <c r="AM4" s="2225" t="s">
        <v>4355</v>
      </c>
      <c r="AN4" s="2225" t="s">
        <v>4355</v>
      </c>
      <c r="AO4" s="2225" t="s">
        <v>4355</v>
      </c>
      <c r="AP4" s="2225" t="s">
        <v>4355</v>
      </c>
      <c r="AQ4" s="2225" t="s">
        <v>4355</v>
      </c>
      <c r="AR4" s="2225" t="s">
        <v>4355</v>
      </c>
      <c r="AS4" s="2229" t="s">
        <v>4355</v>
      </c>
      <c r="AT4" s="2225" t="s">
        <v>4355</v>
      </c>
      <c r="AU4" s="2229" t="s">
        <v>4355</v>
      </c>
      <c r="AV4" s="2225" t="s">
        <v>4355</v>
      </c>
      <c r="AW4" s="2229" t="s">
        <v>4355</v>
      </c>
      <c r="AX4" s="2225" t="s">
        <v>4355</v>
      </c>
      <c r="AY4" s="2229" t="s">
        <v>4355</v>
      </c>
      <c r="AZ4" s="2225" t="s">
        <v>4355</v>
      </c>
      <c r="BA4" s="2225" t="s">
        <v>4355</v>
      </c>
      <c r="BB4" s="2229" t="s">
        <v>4355</v>
      </c>
      <c r="BC4" s="2225" t="s">
        <v>4355</v>
      </c>
      <c r="BD4" s="2225" t="s">
        <v>4355</v>
      </c>
      <c r="BE4" s="2225" t="s">
        <v>4355</v>
      </c>
      <c r="BF4" s="2229" t="s">
        <v>4355</v>
      </c>
      <c r="BG4" s="2225" t="s">
        <v>4355</v>
      </c>
      <c r="BH4" s="2225" t="s">
        <v>4355</v>
      </c>
      <c r="BI4" s="2225" t="s">
        <v>4355</v>
      </c>
      <c r="BJ4" s="2229" t="s">
        <v>4355</v>
      </c>
      <c r="BK4" s="2225" t="s">
        <v>4355</v>
      </c>
      <c r="BL4" s="2225" t="s">
        <v>4355</v>
      </c>
      <c r="BM4" s="2225" t="s">
        <v>4355</v>
      </c>
      <c r="BN4" s="2229" t="s">
        <v>4355</v>
      </c>
      <c r="BO4" s="2225" t="s">
        <v>4355</v>
      </c>
      <c r="BP4" s="2225" t="s">
        <v>4355</v>
      </c>
      <c r="BQ4" s="2225" t="s">
        <v>4355</v>
      </c>
      <c r="BR4" s="2229" t="s">
        <v>4355</v>
      </c>
      <c r="BS4" s="2225" t="s">
        <v>4355</v>
      </c>
      <c r="BT4" s="2225" t="s">
        <v>4355</v>
      </c>
      <c r="BU4" s="2225" t="s">
        <v>4355</v>
      </c>
      <c r="BV4" s="2229" t="s">
        <v>4355</v>
      </c>
      <c r="BW4" s="2225" t="s">
        <v>4355</v>
      </c>
      <c r="BX4" s="2225" t="s">
        <v>4355</v>
      </c>
      <c r="BY4" s="2229" t="s">
        <v>4355</v>
      </c>
      <c r="BZ4" s="2225" t="s">
        <v>4355</v>
      </c>
      <c r="CA4" s="2229" t="s">
        <v>4355</v>
      </c>
      <c r="CB4" s="2225" t="s">
        <v>4355</v>
      </c>
      <c r="CC4" s="2225" t="s">
        <v>4355</v>
      </c>
      <c r="CD4" s="2225" t="s">
        <v>4355</v>
      </c>
      <c r="CE4" s="2225" t="s">
        <v>4355</v>
      </c>
      <c r="CF4" s="2225" t="s">
        <v>4355</v>
      </c>
      <c r="CG4" s="2225" t="s">
        <v>4355</v>
      </c>
      <c r="CH4" s="2225" t="s">
        <v>4355</v>
      </c>
      <c r="CI4" s="2225" t="s">
        <v>4355</v>
      </c>
      <c r="CJ4" s="2225" t="s">
        <v>4355</v>
      </c>
      <c r="CK4" s="2225" t="s">
        <v>4355</v>
      </c>
      <c r="CL4" s="2225" t="s">
        <v>4355</v>
      </c>
      <c r="CM4" s="2225" t="s">
        <v>4355</v>
      </c>
      <c r="CN4" s="2225" t="s">
        <v>4355</v>
      </c>
      <c r="CO4" s="2225" t="s">
        <v>4355</v>
      </c>
      <c r="CP4" s="2225" t="s">
        <v>4355</v>
      </c>
      <c r="CQ4" s="2225" t="s">
        <v>4355</v>
      </c>
      <c r="CR4" s="2225" t="s">
        <v>4355</v>
      </c>
      <c r="CS4" s="2225" t="s">
        <v>4355</v>
      </c>
      <c r="CT4" s="2225" t="s">
        <v>4355</v>
      </c>
      <c r="CU4" s="2225" t="s">
        <v>4355</v>
      </c>
      <c r="CV4" s="2225" t="s">
        <v>4355</v>
      </c>
      <c r="CW4" s="2225" t="s">
        <v>4355</v>
      </c>
      <c r="CX4" s="2225" t="s">
        <v>4355</v>
      </c>
      <c r="CY4" s="2225" t="s">
        <v>4355</v>
      </c>
      <c r="CZ4" s="2225" t="s">
        <v>4355</v>
      </c>
      <c r="DA4" s="2225" t="s">
        <v>4355</v>
      </c>
      <c r="DB4" s="2225" t="s">
        <v>4355</v>
      </c>
      <c r="DC4" s="2225" t="s">
        <v>4355</v>
      </c>
      <c r="DD4" s="2225" t="s">
        <v>645</v>
      </c>
      <c r="DE4" s="2225" t="s">
        <v>4355</v>
      </c>
      <c r="DF4" s="2225" t="s">
        <v>4355</v>
      </c>
      <c r="DG4" s="2225" t="s">
        <v>4355</v>
      </c>
      <c r="DH4" s="2225" t="s">
        <v>4355</v>
      </c>
      <c r="DI4" s="2225" t="s">
        <v>4355</v>
      </c>
      <c r="DJ4" s="2225" t="s">
        <v>4355</v>
      </c>
      <c r="DK4" s="2225" t="s">
        <v>4355</v>
      </c>
      <c r="DL4" s="2225" t="s">
        <v>4355</v>
      </c>
      <c r="DM4" s="2225" t="s">
        <v>4355</v>
      </c>
      <c r="DN4" s="2225" t="s">
        <v>4355</v>
      </c>
      <c r="DO4" s="2225" t="s">
        <v>4355</v>
      </c>
      <c r="DP4" s="2225" t="s">
        <v>4355</v>
      </c>
      <c r="DQ4" s="2225" t="s">
        <v>4355</v>
      </c>
      <c r="DR4" s="2225" t="s">
        <v>4355</v>
      </c>
      <c r="DS4" s="2225" t="s">
        <v>4355</v>
      </c>
      <c r="DT4" s="2225" t="s">
        <v>4355</v>
      </c>
      <c r="DU4" s="2225" t="s">
        <v>4355</v>
      </c>
      <c r="DV4" s="2225" t="s">
        <v>4355</v>
      </c>
      <c r="DW4" s="2225" t="s">
        <v>4355</v>
      </c>
      <c r="DX4" s="2225" t="s">
        <v>4355</v>
      </c>
      <c r="DY4" s="2225" t="s">
        <v>4355</v>
      </c>
      <c r="DZ4" s="2225" t="s">
        <v>4355</v>
      </c>
      <c r="EA4" s="2225" t="s">
        <v>4355</v>
      </c>
      <c r="EB4" s="2225" t="s">
        <v>4355</v>
      </c>
      <c r="EC4" s="2225" t="s">
        <v>4355</v>
      </c>
      <c r="ED4" s="2225" t="s">
        <v>4355</v>
      </c>
      <c r="EE4" s="2225" t="s">
        <v>4355</v>
      </c>
      <c r="EF4" s="2225" t="s">
        <v>4355</v>
      </c>
      <c r="EG4" s="2225" t="s">
        <v>4355</v>
      </c>
      <c r="EH4" s="2225" t="s">
        <v>4355</v>
      </c>
      <c r="EI4" s="2225" t="s">
        <v>4355</v>
      </c>
      <c r="EJ4" s="2225" t="s">
        <v>4355</v>
      </c>
      <c r="EK4" s="2225" t="s">
        <v>4355</v>
      </c>
      <c r="EL4" s="2225" t="s">
        <v>4355</v>
      </c>
      <c r="EM4" s="2225" t="s">
        <v>4355</v>
      </c>
      <c r="EN4" s="2225" t="s">
        <v>4355</v>
      </c>
      <c r="EO4" s="2225" t="s">
        <v>4355</v>
      </c>
      <c r="EP4" s="2225" t="s">
        <v>4355</v>
      </c>
      <c r="EQ4" s="2225" t="s">
        <v>4355</v>
      </c>
      <c r="ER4" s="2225" t="s">
        <v>4355</v>
      </c>
      <c r="ES4" s="2225" t="s">
        <v>2491</v>
      </c>
      <c r="ET4" s="2225" t="s">
        <v>4355</v>
      </c>
      <c r="EU4" s="2225" t="s">
        <v>4355</v>
      </c>
      <c r="EV4" s="2225" t="s">
        <v>4355</v>
      </c>
      <c r="EW4" s="2225" t="s">
        <v>4355</v>
      </c>
      <c r="EX4" s="2225" t="s">
        <v>4355</v>
      </c>
      <c r="EY4" s="2225" t="s">
        <v>4355</v>
      </c>
      <c r="EZ4" s="2225" t="s">
        <v>4355</v>
      </c>
      <c r="FA4" s="2225" t="s">
        <v>4355</v>
      </c>
      <c r="FB4" s="2225" t="s">
        <v>4355</v>
      </c>
      <c r="FC4" s="2225" t="s">
        <v>4355</v>
      </c>
      <c r="FD4" s="2225" t="s">
        <v>4355</v>
      </c>
      <c r="FE4" s="2225" t="s">
        <v>4355</v>
      </c>
      <c r="FF4" s="2225" t="s">
        <v>4355</v>
      </c>
      <c r="FG4" s="2225" t="s">
        <v>4355</v>
      </c>
      <c r="FH4" s="2225" t="s">
        <v>4355</v>
      </c>
      <c r="FI4" s="2225" t="s">
        <v>4355</v>
      </c>
      <c r="FJ4" s="2225" t="s">
        <v>4355</v>
      </c>
      <c r="FK4" s="2225" t="s">
        <v>4355</v>
      </c>
      <c r="FL4" s="2225" t="s">
        <v>4355</v>
      </c>
      <c r="FM4" s="2225" t="s">
        <v>4355</v>
      </c>
      <c r="FN4" s="2225" t="s">
        <v>4355</v>
      </c>
      <c r="FO4" s="2225" t="s">
        <v>4355</v>
      </c>
      <c r="FP4" s="2225" t="s">
        <v>4355</v>
      </c>
      <c r="FQ4" s="2225" t="s">
        <v>4355</v>
      </c>
      <c r="FR4" s="2225" t="s">
        <v>4355</v>
      </c>
      <c r="FS4" s="2225" t="s">
        <v>4355</v>
      </c>
      <c r="FT4" s="2225" t="s">
        <v>4355</v>
      </c>
      <c r="FU4" s="2225" t="s">
        <v>4355</v>
      </c>
      <c r="FV4" s="2225" t="s">
        <v>4355</v>
      </c>
      <c r="FW4" s="2225" t="s">
        <v>4355</v>
      </c>
      <c r="FX4" s="2225" t="s">
        <v>4355</v>
      </c>
      <c r="FY4" s="2225" t="s">
        <v>4355</v>
      </c>
      <c r="FZ4" s="2225" t="s">
        <v>4355</v>
      </c>
      <c r="GA4" s="2225" t="s">
        <v>4355</v>
      </c>
      <c r="GB4" s="2225" t="s">
        <v>4355</v>
      </c>
      <c r="GC4" s="2225" t="s">
        <v>4355</v>
      </c>
      <c r="GD4" s="2225" t="s">
        <v>4355</v>
      </c>
      <c r="GE4" s="2225" t="s">
        <v>4355</v>
      </c>
      <c r="GF4" s="2225" t="s">
        <v>4355</v>
      </c>
      <c r="GG4" s="2225" t="s">
        <v>4355</v>
      </c>
      <c r="GH4" s="2225" t="s">
        <v>4355</v>
      </c>
      <c r="GI4" s="2225" t="s">
        <v>4355</v>
      </c>
      <c r="GJ4" s="2225" t="s">
        <v>4355</v>
      </c>
      <c r="GK4" s="2225" t="s">
        <v>4355</v>
      </c>
      <c r="GL4" s="2225" t="s">
        <v>4355</v>
      </c>
      <c r="GM4" s="2225" t="s">
        <v>4355</v>
      </c>
      <c r="GN4" s="2225" t="s">
        <v>4355</v>
      </c>
      <c r="GO4" s="2225" t="s">
        <v>4355</v>
      </c>
      <c r="GP4" s="2225" t="s">
        <v>4355</v>
      </c>
      <c r="GQ4" s="2225" t="s">
        <v>4355</v>
      </c>
      <c r="GR4" s="2225" t="s">
        <v>4355</v>
      </c>
      <c r="GS4" s="2225" t="s">
        <v>4355</v>
      </c>
      <c r="GT4" s="2225" t="s">
        <v>4355</v>
      </c>
      <c r="GU4" s="2225" t="s">
        <v>4355</v>
      </c>
      <c r="GV4" s="2225" t="s">
        <v>4355</v>
      </c>
      <c r="GW4" s="2225" t="s">
        <v>4355</v>
      </c>
      <c r="GX4" s="2225" t="s">
        <v>4355</v>
      </c>
      <c r="GY4" s="2225" t="s">
        <v>4355</v>
      </c>
      <c r="GZ4" s="2225" t="s">
        <v>4355</v>
      </c>
      <c r="HA4" s="2225" t="s">
        <v>4355</v>
      </c>
      <c r="HB4" s="2225" t="s">
        <v>4355</v>
      </c>
      <c r="HC4" s="2225" t="s">
        <v>4355</v>
      </c>
      <c r="HD4" s="2225" t="s">
        <v>4355</v>
      </c>
      <c r="HE4" s="2225" t="s">
        <v>4355</v>
      </c>
      <c r="HF4" s="2225" t="s">
        <v>4355</v>
      </c>
      <c r="HG4" s="2225" t="s">
        <v>4355</v>
      </c>
      <c r="HH4" s="2225" t="s">
        <v>4355</v>
      </c>
      <c r="HI4" s="2225" t="s">
        <v>4355</v>
      </c>
      <c r="HJ4" s="2225" t="s">
        <v>4355</v>
      </c>
      <c r="HK4" s="2225" t="s">
        <v>4355</v>
      </c>
      <c r="HL4" s="2225" t="s">
        <v>4355</v>
      </c>
      <c r="HM4" s="2225" t="s">
        <v>4355</v>
      </c>
      <c r="HN4" s="2225" t="s">
        <v>4355</v>
      </c>
      <c r="HO4" s="2225" t="s">
        <v>4355</v>
      </c>
      <c r="HP4" s="2225" t="s">
        <v>4355</v>
      </c>
      <c r="HQ4" s="2225" t="s">
        <v>4355</v>
      </c>
      <c r="HR4" s="2225" t="s">
        <v>4355</v>
      </c>
      <c r="HS4" s="2225" t="s">
        <v>4355</v>
      </c>
      <c r="HT4" s="2225" t="s">
        <v>4355</v>
      </c>
      <c r="HU4" s="2225" t="s">
        <v>4355</v>
      </c>
      <c r="HV4" s="2225" t="s">
        <v>4355</v>
      </c>
      <c r="HW4" s="2225" t="s">
        <v>4355</v>
      </c>
      <c r="HX4" s="2225" t="s">
        <v>4355</v>
      </c>
      <c r="HY4" s="2225" t="s">
        <v>4355</v>
      </c>
      <c r="HZ4" s="2225" t="s">
        <v>4355</v>
      </c>
      <c r="IA4" s="2225" t="s">
        <v>4355</v>
      </c>
      <c r="IB4" s="2225" t="s">
        <v>4355</v>
      </c>
      <c r="IC4" s="2225" t="s">
        <v>4355</v>
      </c>
      <c r="ID4" s="2225" t="s">
        <v>4355</v>
      </c>
      <c r="IE4" s="2225" t="s">
        <v>4355</v>
      </c>
      <c r="IF4" s="2225" t="s">
        <v>4355</v>
      </c>
      <c r="IG4" s="2225" t="s">
        <v>4355</v>
      </c>
      <c r="IH4" s="2225" t="s">
        <v>4355</v>
      </c>
      <c r="II4" s="2225" t="s">
        <v>4355</v>
      </c>
      <c r="IJ4" s="2225" t="s">
        <v>4355</v>
      </c>
      <c r="IK4" s="2225" t="s">
        <v>4355</v>
      </c>
      <c r="IL4" s="2225" t="s">
        <v>4355</v>
      </c>
      <c r="IM4" s="2225" t="s">
        <v>4355</v>
      </c>
      <c r="IN4" s="2225" t="s">
        <v>4355</v>
      </c>
      <c r="IO4" s="2225" t="s">
        <v>4355</v>
      </c>
      <c r="IP4" s="2225" t="s">
        <v>4355</v>
      </c>
      <c r="IQ4" s="2225" t="s">
        <v>4355</v>
      </c>
      <c r="IR4" s="2225" t="s">
        <v>4355</v>
      </c>
      <c r="IS4" s="2225" t="s">
        <v>4355</v>
      </c>
      <c r="IT4" s="2225" t="s">
        <v>4355</v>
      </c>
      <c r="IU4" s="2225" t="s">
        <v>4355</v>
      </c>
      <c r="IV4" s="2225" t="s">
        <v>4355</v>
      </c>
    </row>
    <row r="5" spans="1:256">
      <c r="A5" s="2205" t="s">
        <v>2981</v>
      </c>
      <c r="B5" s="2225" t="s">
        <v>905</v>
      </c>
      <c r="C5" s="2225" t="s">
        <v>905</v>
      </c>
      <c r="D5" s="2225" t="s">
        <v>905</v>
      </c>
      <c r="E5" s="2225" t="s">
        <v>905</v>
      </c>
      <c r="F5" s="2225" t="s">
        <v>905</v>
      </c>
      <c r="G5" s="2225" t="s">
        <v>905</v>
      </c>
      <c r="H5" s="2225" t="s">
        <v>905</v>
      </c>
      <c r="I5" s="2225" t="s">
        <v>905</v>
      </c>
      <c r="J5" s="2225" t="s">
        <v>905</v>
      </c>
      <c r="K5" s="2225" t="s">
        <v>905</v>
      </c>
      <c r="L5" s="2225" t="s">
        <v>905</v>
      </c>
      <c r="M5" s="2225" t="s">
        <v>905</v>
      </c>
      <c r="N5" s="2225" t="s">
        <v>905</v>
      </c>
      <c r="O5" s="2225" t="s">
        <v>905</v>
      </c>
      <c r="P5" s="2225" t="s">
        <v>905</v>
      </c>
      <c r="Q5" s="2225" t="s">
        <v>905</v>
      </c>
      <c r="R5" s="2225" t="s">
        <v>905</v>
      </c>
      <c r="S5" s="2225" t="s">
        <v>905</v>
      </c>
      <c r="T5" s="2225" t="s">
        <v>905</v>
      </c>
      <c r="U5" s="2225" t="s">
        <v>905</v>
      </c>
      <c r="V5" s="2225" t="s">
        <v>905</v>
      </c>
      <c r="W5" s="2225" t="s">
        <v>905</v>
      </c>
      <c r="X5" s="2225" t="s">
        <v>905</v>
      </c>
      <c r="Y5" s="2225" t="s">
        <v>905</v>
      </c>
      <c r="Z5" s="2225" t="s">
        <v>905</v>
      </c>
      <c r="AA5" s="2225" t="s">
        <v>873</v>
      </c>
      <c r="AB5" s="2225" t="s">
        <v>873</v>
      </c>
      <c r="AC5" s="2225" t="s">
        <v>873</v>
      </c>
      <c r="AD5" s="2225" t="s">
        <v>873</v>
      </c>
      <c r="AE5" s="2225" t="s">
        <v>873</v>
      </c>
      <c r="AF5" s="2225" t="s">
        <v>873</v>
      </c>
      <c r="AG5" s="2225" t="s">
        <v>873</v>
      </c>
      <c r="AH5" s="2225" t="s">
        <v>873</v>
      </c>
      <c r="AI5" s="2225" t="s">
        <v>873</v>
      </c>
      <c r="AJ5" s="2225" t="s">
        <v>873</v>
      </c>
      <c r="AK5" s="2225" t="s">
        <v>873</v>
      </c>
      <c r="AL5" s="2225" t="s">
        <v>873</v>
      </c>
      <c r="AM5" s="2225" t="s">
        <v>873</v>
      </c>
      <c r="AN5" s="2225" t="s">
        <v>873</v>
      </c>
      <c r="AO5" s="2225" t="s">
        <v>873</v>
      </c>
      <c r="AP5" s="2225" t="s">
        <v>873</v>
      </c>
      <c r="AQ5" s="2225" t="s">
        <v>873</v>
      </c>
      <c r="AR5" s="2225" t="s">
        <v>873</v>
      </c>
      <c r="AS5" s="2229" t="s">
        <v>3303</v>
      </c>
      <c r="AT5" s="2225" t="s">
        <v>3303</v>
      </c>
      <c r="AU5" s="2229" t="s">
        <v>3303</v>
      </c>
      <c r="AV5" s="2225" t="s">
        <v>3303</v>
      </c>
      <c r="AW5" s="2229" t="s">
        <v>3303</v>
      </c>
      <c r="AX5" s="2225" t="s">
        <v>3303</v>
      </c>
      <c r="AY5" s="2229" t="s">
        <v>3303</v>
      </c>
      <c r="AZ5" s="2225" t="s">
        <v>3303</v>
      </c>
      <c r="BA5" s="2225" t="s">
        <v>3303</v>
      </c>
      <c r="BB5" s="2229" t="s">
        <v>3303</v>
      </c>
      <c r="BC5" s="2225" t="s">
        <v>3303</v>
      </c>
      <c r="BD5" s="2225" t="s">
        <v>3303</v>
      </c>
      <c r="BE5" s="2225" t="s">
        <v>3303</v>
      </c>
      <c r="BF5" s="2229" t="s">
        <v>3303</v>
      </c>
      <c r="BG5" s="2225" t="s">
        <v>3303</v>
      </c>
      <c r="BH5" s="2225" t="s">
        <v>3303</v>
      </c>
      <c r="BI5" s="2225" t="s">
        <v>3303</v>
      </c>
      <c r="BJ5" s="2229" t="s">
        <v>3303</v>
      </c>
      <c r="BK5" s="2225" t="s">
        <v>3303</v>
      </c>
      <c r="BL5" s="2225" t="s">
        <v>3303</v>
      </c>
      <c r="BM5" s="2225" t="s">
        <v>3303</v>
      </c>
      <c r="BN5" s="2229" t="s">
        <v>3303</v>
      </c>
      <c r="BO5" s="2225" t="s">
        <v>3303</v>
      </c>
      <c r="BP5" s="2225" t="s">
        <v>3303</v>
      </c>
      <c r="BQ5" s="2225" t="s">
        <v>3303</v>
      </c>
      <c r="BR5" s="2229" t="s">
        <v>3303</v>
      </c>
      <c r="BS5" s="2225" t="s">
        <v>3303</v>
      </c>
      <c r="BT5" s="2225" t="s">
        <v>3303</v>
      </c>
      <c r="BU5" s="2225" t="s">
        <v>3303</v>
      </c>
      <c r="BV5" s="2229" t="s">
        <v>3303</v>
      </c>
      <c r="BW5" s="2225" t="s">
        <v>3303</v>
      </c>
      <c r="BX5" s="2225" t="s">
        <v>3303</v>
      </c>
      <c r="BY5" s="2229" t="s">
        <v>3303</v>
      </c>
      <c r="BZ5" s="2225" t="s">
        <v>3303</v>
      </c>
      <c r="CA5" s="2229" t="s">
        <v>3303</v>
      </c>
      <c r="CB5" s="2225" t="s">
        <v>904</v>
      </c>
      <c r="CC5" s="2225" t="s">
        <v>904</v>
      </c>
      <c r="CD5" s="2225" t="s">
        <v>904</v>
      </c>
      <c r="CE5" s="2225" t="s">
        <v>904</v>
      </c>
      <c r="CF5" s="2225" t="s">
        <v>904</v>
      </c>
      <c r="CG5" s="2225" t="s">
        <v>904</v>
      </c>
      <c r="CH5" s="2225" t="s">
        <v>904</v>
      </c>
      <c r="CI5" s="2225" t="s">
        <v>904</v>
      </c>
      <c r="CJ5" s="2225" t="s">
        <v>904</v>
      </c>
      <c r="CK5" s="2225" t="s">
        <v>904</v>
      </c>
      <c r="CL5" s="2225" t="s">
        <v>904</v>
      </c>
      <c r="CM5" s="2225" t="s">
        <v>904</v>
      </c>
      <c r="CN5" s="2225" t="s">
        <v>904</v>
      </c>
      <c r="CO5" s="2225" t="s">
        <v>904</v>
      </c>
      <c r="CP5" s="2225" t="s">
        <v>873</v>
      </c>
      <c r="CQ5" s="2225" t="s">
        <v>905</v>
      </c>
      <c r="CR5" s="2225" t="s">
        <v>905</v>
      </c>
      <c r="CS5" s="2225" t="s">
        <v>904</v>
      </c>
      <c r="CT5" s="2225" t="s">
        <v>905</v>
      </c>
      <c r="CU5" s="2225" t="s">
        <v>905</v>
      </c>
      <c r="CV5" s="2225" t="s">
        <v>905</v>
      </c>
      <c r="CW5" s="2225" t="s">
        <v>905</v>
      </c>
      <c r="CX5" s="2225" t="s">
        <v>905</v>
      </c>
      <c r="CY5" s="2225" t="s">
        <v>873</v>
      </c>
      <c r="CZ5" s="2225" t="s">
        <v>873</v>
      </c>
      <c r="DA5" s="2225" t="s">
        <v>905</v>
      </c>
      <c r="DB5" s="2225" t="s">
        <v>3303</v>
      </c>
      <c r="DC5" s="2225" t="s">
        <v>873</v>
      </c>
      <c r="DD5" s="2225" t="s">
        <v>905</v>
      </c>
      <c r="DE5" s="2225" t="s">
        <v>873</v>
      </c>
      <c r="DF5" s="2225" t="s">
        <v>3303</v>
      </c>
      <c r="DG5" s="2225" t="s">
        <v>873</v>
      </c>
      <c r="DH5" s="2225" t="s">
        <v>905</v>
      </c>
      <c r="DI5" s="2225" t="s">
        <v>905</v>
      </c>
      <c r="DJ5" s="2225" t="s">
        <v>905</v>
      </c>
      <c r="DK5" s="2225" t="s">
        <v>905</v>
      </c>
      <c r="DL5" s="2225" t="s">
        <v>3303</v>
      </c>
      <c r="DM5" s="2225" t="s">
        <v>873</v>
      </c>
      <c r="DN5" s="2225" t="s">
        <v>905</v>
      </c>
      <c r="DO5" s="2225" t="s">
        <v>3303</v>
      </c>
      <c r="DP5" s="2225" t="s">
        <v>905</v>
      </c>
      <c r="DQ5" s="2225" t="s">
        <v>904</v>
      </c>
      <c r="DR5" s="2225" t="s">
        <v>873</v>
      </c>
      <c r="DS5" s="2225" t="s">
        <v>905</v>
      </c>
      <c r="DT5" s="2225" t="s">
        <v>905</v>
      </c>
      <c r="DU5" s="2225" t="s">
        <v>905</v>
      </c>
      <c r="DV5" s="2225" t="s">
        <v>873</v>
      </c>
      <c r="DW5" s="2225" t="s">
        <v>905</v>
      </c>
      <c r="DX5" s="2225" t="s">
        <v>3303</v>
      </c>
      <c r="DY5" s="2225" t="s">
        <v>905</v>
      </c>
      <c r="DZ5" s="2225" t="s">
        <v>3303</v>
      </c>
      <c r="EA5" s="2225" t="s">
        <v>3303</v>
      </c>
      <c r="EB5" s="2225" t="s">
        <v>904</v>
      </c>
      <c r="EC5" s="2225" t="s">
        <v>873</v>
      </c>
      <c r="ED5" s="2225" t="s">
        <v>873</v>
      </c>
      <c r="EE5" s="2225" t="s">
        <v>905</v>
      </c>
      <c r="EF5" s="2225" t="s">
        <v>905</v>
      </c>
      <c r="EG5" s="2225" t="s">
        <v>905</v>
      </c>
      <c r="EH5" s="2225" t="s">
        <v>905</v>
      </c>
      <c r="EI5" s="2225" t="s">
        <v>3303</v>
      </c>
      <c r="EJ5" s="2225" t="s">
        <v>3303</v>
      </c>
      <c r="EK5" s="2225" t="s">
        <v>3303</v>
      </c>
      <c r="EL5" s="2225" t="s">
        <v>905</v>
      </c>
      <c r="EM5" s="2225" t="s">
        <v>904</v>
      </c>
      <c r="EN5" s="2225" t="s">
        <v>3303</v>
      </c>
      <c r="EO5" s="2225" t="s">
        <v>905</v>
      </c>
      <c r="EP5" s="2225" t="s">
        <v>905</v>
      </c>
      <c r="EQ5" s="2225" t="s">
        <v>873</v>
      </c>
      <c r="ER5" s="2225" t="s">
        <v>873</v>
      </c>
      <c r="ES5" s="2225" t="s">
        <v>905</v>
      </c>
      <c r="ET5" s="2225" t="s">
        <v>905</v>
      </c>
      <c r="EU5" s="2225" t="s">
        <v>3303</v>
      </c>
      <c r="EV5" s="2225" t="s">
        <v>3303</v>
      </c>
      <c r="EW5" s="2225" t="s">
        <v>873</v>
      </c>
      <c r="EX5" s="2225" t="s">
        <v>873</v>
      </c>
      <c r="EY5" s="2225" t="s">
        <v>3303</v>
      </c>
      <c r="EZ5" s="2225" t="s">
        <v>904</v>
      </c>
      <c r="FA5" s="2225" t="s">
        <v>905</v>
      </c>
      <c r="FB5" s="2225" t="s">
        <v>905</v>
      </c>
      <c r="FC5" s="2225" t="s">
        <v>904</v>
      </c>
      <c r="FD5" s="2225" t="s">
        <v>904</v>
      </c>
      <c r="FE5" s="2225" t="s">
        <v>904</v>
      </c>
      <c r="FF5" s="2225" t="s">
        <v>905</v>
      </c>
      <c r="FG5" s="2225" t="s">
        <v>3303</v>
      </c>
      <c r="FH5" s="2225" t="s">
        <v>873</v>
      </c>
      <c r="FI5" s="2225" t="s">
        <v>905</v>
      </c>
      <c r="FJ5" s="2225" t="s">
        <v>905</v>
      </c>
      <c r="FK5" s="2225" t="s">
        <v>3303</v>
      </c>
      <c r="FL5" s="2225" t="s">
        <v>905</v>
      </c>
      <c r="FM5" s="2225" t="s">
        <v>905</v>
      </c>
      <c r="FN5" s="2225" t="s">
        <v>873</v>
      </c>
      <c r="FO5" s="2225" t="s">
        <v>3303</v>
      </c>
      <c r="FP5" s="2225" t="s">
        <v>905</v>
      </c>
      <c r="FQ5" s="2225" t="s">
        <v>905</v>
      </c>
      <c r="FR5" s="2225" t="s">
        <v>873</v>
      </c>
      <c r="FS5" s="2225" t="s">
        <v>904</v>
      </c>
      <c r="FT5" s="2225" t="s">
        <v>904</v>
      </c>
      <c r="FU5" s="2225" t="s">
        <v>873</v>
      </c>
      <c r="FV5" s="2225" t="s">
        <v>904</v>
      </c>
      <c r="FW5" s="2225" t="s">
        <v>905</v>
      </c>
      <c r="FX5" s="2225" t="s">
        <v>905</v>
      </c>
      <c r="FY5" s="2225" t="s">
        <v>905</v>
      </c>
      <c r="FZ5" s="2225" t="s">
        <v>873</v>
      </c>
      <c r="GA5" s="2225" t="s">
        <v>3303</v>
      </c>
      <c r="GB5" s="2225" t="s">
        <v>3303</v>
      </c>
      <c r="GC5" s="2225" t="s">
        <v>905</v>
      </c>
      <c r="GD5" s="2225" t="s">
        <v>905</v>
      </c>
      <c r="GE5" s="2225" t="s">
        <v>873</v>
      </c>
      <c r="GF5" s="2225" t="s">
        <v>3303</v>
      </c>
      <c r="GG5" s="2225" t="s">
        <v>904</v>
      </c>
      <c r="GH5" s="2225" t="s">
        <v>905</v>
      </c>
      <c r="GI5" s="2225" t="s">
        <v>873</v>
      </c>
      <c r="GJ5" s="2225" t="s">
        <v>905</v>
      </c>
      <c r="GK5" s="2225" t="s">
        <v>905</v>
      </c>
      <c r="GL5" s="2225" t="s">
        <v>3303</v>
      </c>
      <c r="GM5" s="2225" t="s">
        <v>905</v>
      </c>
      <c r="GN5" s="2225" t="s">
        <v>905</v>
      </c>
      <c r="GO5" s="2225" t="s">
        <v>905</v>
      </c>
      <c r="GP5" s="2225" t="s">
        <v>3303</v>
      </c>
      <c r="GQ5" s="2225" t="s">
        <v>905</v>
      </c>
      <c r="GR5" s="2225" t="s">
        <v>905</v>
      </c>
      <c r="GS5" s="2225" t="s">
        <v>905</v>
      </c>
      <c r="GT5" s="2225" t="s">
        <v>905</v>
      </c>
      <c r="GU5" s="2225" t="s">
        <v>3303</v>
      </c>
      <c r="GV5" s="2225" t="s">
        <v>3303</v>
      </c>
      <c r="GW5" s="2225" t="s">
        <v>904</v>
      </c>
      <c r="GX5" s="2225" t="s">
        <v>904</v>
      </c>
      <c r="GY5" s="2225" t="s">
        <v>904</v>
      </c>
      <c r="GZ5" s="2225" t="s">
        <v>905</v>
      </c>
      <c r="HA5" s="2225" t="s">
        <v>905</v>
      </c>
      <c r="HB5" s="2225" t="s">
        <v>905</v>
      </c>
      <c r="HC5" s="2225" t="s">
        <v>905</v>
      </c>
      <c r="HD5" s="2225" t="s">
        <v>905</v>
      </c>
      <c r="HE5" s="2225" t="s">
        <v>873</v>
      </c>
      <c r="HF5" s="2225" t="s">
        <v>873</v>
      </c>
      <c r="HG5" s="2225" t="s">
        <v>873</v>
      </c>
      <c r="HH5" s="2225" t="s">
        <v>873</v>
      </c>
      <c r="HI5" s="2225" t="s">
        <v>3303</v>
      </c>
      <c r="HJ5" s="2225" t="s">
        <v>873</v>
      </c>
      <c r="HK5" s="2225" t="s">
        <v>3303</v>
      </c>
      <c r="HL5" s="2225" t="s">
        <v>904</v>
      </c>
      <c r="HM5" s="2225" t="s">
        <v>905</v>
      </c>
      <c r="HN5" s="2225" t="s">
        <v>905</v>
      </c>
      <c r="HO5" s="2225" t="s">
        <v>905</v>
      </c>
      <c r="HP5" s="2225" t="s">
        <v>873</v>
      </c>
      <c r="HQ5" s="2225" t="s">
        <v>3303</v>
      </c>
      <c r="HR5" s="2225" t="s">
        <v>3303</v>
      </c>
      <c r="HS5" s="2225" t="s">
        <v>3303</v>
      </c>
      <c r="HT5" s="2225" t="s">
        <v>3303</v>
      </c>
      <c r="HU5" s="2225" t="s">
        <v>904</v>
      </c>
      <c r="HV5" s="2225" t="s">
        <v>904</v>
      </c>
      <c r="HW5" s="2225" t="s">
        <v>905</v>
      </c>
      <c r="HX5" s="2225" t="s">
        <v>905</v>
      </c>
      <c r="HY5" s="2225" t="s">
        <v>905</v>
      </c>
      <c r="HZ5" s="2225" t="s">
        <v>905</v>
      </c>
      <c r="IA5" s="2225" t="s">
        <v>905</v>
      </c>
      <c r="IB5" s="2225" t="s">
        <v>905</v>
      </c>
      <c r="IC5" s="2225" t="s">
        <v>905</v>
      </c>
      <c r="ID5" s="2225" t="s">
        <v>873</v>
      </c>
      <c r="IE5" s="2225" t="s">
        <v>873</v>
      </c>
      <c r="IF5" s="2225" t="s">
        <v>873</v>
      </c>
      <c r="IG5" s="2225" t="s">
        <v>873</v>
      </c>
      <c r="IH5" s="2225" t="s">
        <v>873</v>
      </c>
      <c r="II5" s="2225" t="s">
        <v>873</v>
      </c>
      <c r="IJ5" s="2225" t="s">
        <v>3303</v>
      </c>
      <c r="IK5" s="2225" t="s">
        <v>3303</v>
      </c>
      <c r="IL5" s="2225" t="s">
        <v>3303</v>
      </c>
      <c r="IM5" s="2225" t="s">
        <v>3303</v>
      </c>
      <c r="IN5" s="2225" t="s">
        <v>904</v>
      </c>
      <c r="IO5" s="2225" t="s">
        <v>904</v>
      </c>
      <c r="IP5" s="2225" t="s">
        <v>904</v>
      </c>
      <c r="IQ5" s="2225" t="s">
        <v>904</v>
      </c>
      <c r="IR5" s="2225" t="s">
        <v>904</v>
      </c>
      <c r="IS5" s="2225" t="s">
        <v>904</v>
      </c>
      <c r="IT5" s="2225" t="s">
        <v>904</v>
      </c>
      <c r="IU5" s="2225" t="s">
        <v>904</v>
      </c>
      <c r="IV5" s="2225" t="s">
        <v>3303</v>
      </c>
    </row>
    <row r="6" spans="1:256">
      <c r="A6" s="2205" t="s">
        <v>2982</v>
      </c>
      <c r="B6" s="2227">
        <v>10</v>
      </c>
      <c r="C6" s="2227">
        <v>16</v>
      </c>
      <c r="D6" s="2227">
        <v>8</v>
      </c>
      <c r="E6" s="2227">
        <v>21</v>
      </c>
      <c r="F6" s="2227">
        <v>42</v>
      </c>
      <c r="G6" s="2227">
        <v>1118</v>
      </c>
      <c r="H6" s="2227">
        <v>2324</v>
      </c>
      <c r="I6" s="2227">
        <v>2176</v>
      </c>
      <c r="J6" s="2213"/>
      <c r="K6" s="2213"/>
      <c r="L6" s="2227">
        <v>141</v>
      </c>
      <c r="M6" s="2227">
        <v>206</v>
      </c>
      <c r="N6" s="2227">
        <v>370</v>
      </c>
      <c r="O6" s="2213"/>
      <c r="P6" s="2213"/>
      <c r="Q6" s="2227">
        <v>74</v>
      </c>
      <c r="R6" s="2227">
        <v>100</v>
      </c>
      <c r="S6" s="2227">
        <v>23</v>
      </c>
      <c r="T6" s="2227">
        <v>7</v>
      </c>
      <c r="U6" s="2213"/>
      <c r="V6" s="2227">
        <v>744</v>
      </c>
      <c r="W6" s="2227">
        <v>386</v>
      </c>
      <c r="X6" s="2213"/>
      <c r="Y6" s="2227">
        <v>24</v>
      </c>
      <c r="Z6" s="2227">
        <v>1417</v>
      </c>
      <c r="AA6" s="2227">
        <v>76</v>
      </c>
      <c r="AB6" s="2227">
        <v>211</v>
      </c>
      <c r="AC6" s="2227">
        <v>26</v>
      </c>
      <c r="AD6" s="2227">
        <v>20</v>
      </c>
      <c r="AE6" s="2227">
        <v>1150</v>
      </c>
      <c r="AF6" s="2227">
        <v>133</v>
      </c>
      <c r="AG6" s="2227">
        <v>4624</v>
      </c>
      <c r="AH6" s="2227">
        <v>26</v>
      </c>
      <c r="AI6" s="2227">
        <v>1169</v>
      </c>
      <c r="AJ6" s="2227">
        <v>319</v>
      </c>
      <c r="AK6" s="2213"/>
      <c r="AL6" s="2227">
        <v>381</v>
      </c>
      <c r="AM6" s="2227">
        <v>132</v>
      </c>
      <c r="AN6" s="2213"/>
      <c r="AO6" s="2227">
        <v>1134</v>
      </c>
      <c r="AP6" s="2227">
        <v>196</v>
      </c>
      <c r="AQ6" s="2213"/>
      <c r="AR6" s="2227">
        <v>255</v>
      </c>
      <c r="AS6" s="2230">
        <v>26</v>
      </c>
      <c r="AT6" s="2227">
        <v>5</v>
      </c>
      <c r="AU6" s="2230">
        <v>8</v>
      </c>
      <c r="AV6" s="2213"/>
      <c r="AW6" s="2230">
        <v>42</v>
      </c>
      <c r="AX6" s="2227">
        <v>8</v>
      </c>
      <c r="AY6" s="2230">
        <v>1042</v>
      </c>
      <c r="AZ6" s="2227">
        <v>5</v>
      </c>
      <c r="BA6" s="2227">
        <v>2</v>
      </c>
      <c r="BB6" s="2230">
        <v>10</v>
      </c>
      <c r="BC6" s="2227">
        <v>9</v>
      </c>
      <c r="BD6" s="2227">
        <v>43</v>
      </c>
      <c r="BE6" s="2227">
        <v>13</v>
      </c>
      <c r="BF6" s="2221"/>
      <c r="BG6" s="2227">
        <v>17</v>
      </c>
      <c r="BH6" s="2227">
        <v>8</v>
      </c>
      <c r="BI6" s="2227">
        <v>4</v>
      </c>
      <c r="BJ6" s="2230">
        <v>71</v>
      </c>
      <c r="BK6" s="2227">
        <v>4</v>
      </c>
      <c r="BL6" s="2227">
        <v>135</v>
      </c>
      <c r="BM6" s="2227">
        <v>18</v>
      </c>
      <c r="BN6" s="2230">
        <v>145</v>
      </c>
      <c r="BO6" s="2227">
        <v>19</v>
      </c>
      <c r="BP6" s="2227">
        <v>120</v>
      </c>
      <c r="BQ6" s="2227">
        <v>32</v>
      </c>
      <c r="BR6" s="2230">
        <v>245</v>
      </c>
      <c r="BS6" s="2227">
        <v>33</v>
      </c>
      <c r="BT6" s="2227">
        <v>235</v>
      </c>
      <c r="BU6" s="2227">
        <v>26</v>
      </c>
      <c r="BV6" s="2230">
        <v>32</v>
      </c>
      <c r="BW6" s="2213"/>
      <c r="BX6" s="2227">
        <v>801</v>
      </c>
      <c r="BY6" s="2230">
        <v>37</v>
      </c>
      <c r="BZ6" s="2227">
        <v>488</v>
      </c>
      <c r="CA6" s="2230">
        <v>111</v>
      </c>
      <c r="CB6" s="2213"/>
      <c r="CC6" s="2213"/>
      <c r="CD6" s="2213"/>
      <c r="CE6" s="2213"/>
      <c r="CF6" s="2227">
        <v>4</v>
      </c>
      <c r="CG6" s="2227">
        <v>16</v>
      </c>
      <c r="CH6" s="2227">
        <v>4</v>
      </c>
      <c r="CI6" s="2227">
        <v>19</v>
      </c>
      <c r="CJ6" s="2227">
        <v>81</v>
      </c>
      <c r="CK6" s="2227">
        <v>29</v>
      </c>
      <c r="CL6" s="2227">
        <v>72</v>
      </c>
      <c r="CM6" s="2227">
        <v>670</v>
      </c>
      <c r="CN6" s="2227">
        <v>462</v>
      </c>
      <c r="CO6" s="2227">
        <v>893</v>
      </c>
      <c r="CP6" s="2227">
        <v>3336</v>
      </c>
      <c r="CQ6" s="2227">
        <v>2645</v>
      </c>
      <c r="CR6" s="2227">
        <v>1370</v>
      </c>
      <c r="CS6" s="2227">
        <v>878</v>
      </c>
      <c r="CT6" s="2227">
        <v>742</v>
      </c>
      <c r="CU6" s="2227">
        <v>649</v>
      </c>
      <c r="CV6" s="2227">
        <v>649</v>
      </c>
      <c r="CW6" s="2227">
        <v>649</v>
      </c>
      <c r="CX6" s="2227">
        <v>649</v>
      </c>
      <c r="CY6" s="2227">
        <v>617</v>
      </c>
      <c r="CZ6" s="2227">
        <v>555</v>
      </c>
      <c r="DA6" s="2227">
        <v>525</v>
      </c>
      <c r="DB6" s="2227">
        <v>487</v>
      </c>
      <c r="DC6" s="2227">
        <v>458</v>
      </c>
      <c r="DD6" s="2227">
        <v>447</v>
      </c>
      <c r="DE6" s="2227">
        <v>437</v>
      </c>
      <c r="DF6" s="2227">
        <v>410</v>
      </c>
      <c r="DG6" s="2227">
        <v>364</v>
      </c>
      <c r="DH6" s="2227">
        <v>330</v>
      </c>
      <c r="DI6" s="2227">
        <v>309</v>
      </c>
      <c r="DJ6" s="2227">
        <v>309</v>
      </c>
      <c r="DK6" s="2227">
        <v>301</v>
      </c>
      <c r="DL6" s="2227">
        <v>301</v>
      </c>
      <c r="DM6" s="2227">
        <v>251</v>
      </c>
      <c r="DN6" s="2227">
        <v>227</v>
      </c>
      <c r="DO6" s="2227">
        <v>223</v>
      </c>
      <c r="DP6" s="2227">
        <v>192</v>
      </c>
      <c r="DQ6" s="2227">
        <v>192</v>
      </c>
      <c r="DR6" s="2227">
        <v>180</v>
      </c>
      <c r="DS6" s="2227">
        <v>171</v>
      </c>
      <c r="DT6" s="2227">
        <v>166</v>
      </c>
      <c r="DU6" s="2227">
        <v>156</v>
      </c>
      <c r="DV6" s="2227">
        <v>156</v>
      </c>
      <c r="DW6" s="2227">
        <v>146</v>
      </c>
      <c r="DX6" s="2227">
        <v>121</v>
      </c>
      <c r="DY6" s="2227">
        <v>111</v>
      </c>
      <c r="DZ6" s="2227">
        <v>109</v>
      </c>
      <c r="EA6" s="2227">
        <v>107</v>
      </c>
      <c r="EB6" s="2227">
        <v>104</v>
      </c>
      <c r="EC6" s="2227">
        <v>98</v>
      </c>
      <c r="ED6" s="2227">
        <v>97</v>
      </c>
      <c r="EE6" s="2227">
        <v>93</v>
      </c>
      <c r="EF6" s="2227">
        <v>92</v>
      </c>
      <c r="EG6" s="2227">
        <v>82</v>
      </c>
      <c r="EH6" s="2227">
        <v>79</v>
      </c>
      <c r="EI6" s="2227">
        <v>69</v>
      </c>
      <c r="EJ6" s="2227">
        <v>64</v>
      </c>
      <c r="EK6" s="2227">
        <v>61</v>
      </c>
      <c r="EL6" s="2227">
        <v>54</v>
      </c>
      <c r="EM6" s="2227">
        <v>54</v>
      </c>
      <c r="EN6" s="2227">
        <v>52</v>
      </c>
      <c r="EO6" s="2227">
        <v>48</v>
      </c>
      <c r="EP6" s="2227">
        <v>45</v>
      </c>
      <c r="EQ6" s="2227">
        <v>45</v>
      </c>
      <c r="ER6" s="2227">
        <v>45</v>
      </c>
      <c r="ES6" s="2227">
        <v>44</v>
      </c>
      <c r="ET6" s="2227">
        <v>44</v>
      </c>
      <c r="EU6" s="2227">
        <v>44</v>
      </c>
      <c r="EV6" s="2227">
        <v>43</v>
      </c>
      <c r="EW6" s="2227">
        <v>40</v>
      </c>
      <c r="EX6" s="2227">
        <v>37</v>
      </c>
      <c r="EY6" s="2227">
        <v>34</v>
      </c>
      <c r="EZ6" s="2227">
        <v>34</v>
      </c>
      <c r="FA6" s="2227">
        <v>33</v>
      </c>
      <c r="FB6" s="2227">
        <v>32</v>
      </c>
      <c r="FC6" s="2227">
        <v>32</v>
      </c>
      <c r="FD6" s="2227">
        <v>31</v>
      </c>
      <c r="FE6" s="2227">
        <v>29</v>
      </c>
      <c r="FF6" s="2227">
        <v>28</v>
      </c>
      <c r="FG6" s="2227">
        <v>28</v>
      </c>
      <c r="FH6" s="2227">
        <v>26</v>
      </c>
      <c r="FI6" s="2227">
        <v>25</v>
      </c>
      <c r="FJ6" s="2227">
        <v>25</v>
      </c>
      <c r="FK6" s="2227">
        <v>24</v>
      </c>
      <c r="FL6" s="2227">
        <v>22</v>
      </c>
      <c r="FM6" s="2227">
        <v>21</v>
      </c>
      <c r="FN6" s="2227">
        <v>21</v>
      </c>
      <c r="FO6" s="2227">
        <v>21</v>
      </c>
      <c r="FP6" s="2227">
        <v>20</v>
      </c>
      <c r="FQ6" s="2227">
        <v>20</v>
      </c>
      <c r="FR6" s="2227">
        <v>20</v>
      </c>
      <c r="FS6" s="2227">
        <v>19</v>
      </c>
      <c r="FT6" s="2227">
        <v>19</v>
      </c>
      <c r="FU6" s="2227">
        <v>18</v>
      </c>
      <c r="FV6" s="2227">
        <v>18</v>
      </c>
      <c r="FW6" s="2227">
        <v>16</v>
      </c>
      <c r="FX6" s="2227">
        <v>16</v>
      </c>
      <c r="FY6" s="2227">
        <v>16</v>
      </c>
      <c r="FZ6" s="2227">
        <v>16</v>
      </c>
      <c r="GA6" s="2227">
        <v>16</v>
      </c>
      <c r="GB6" s="2227">
        <v>16</v>
      </c>
      <c r="GC6" s="2227">
        <v>15</v>
      </c>
      <c r="GD6" s="2227">
        <v>14</v>
      </c>
      <c r="GE6" s="2227">
        <v>14</v>
      </c>
      <c r="GF6" s="2227">
        <v>14</v>
      </c>
      <c r="GG6" s="2227">
        <v>14</v>
      </c>
      <c r="GH6" s="2227">
        <v>13</v>
      </c>
      <c r="GI6" s="2227">
        <v>13</v>
      </c>
      <c r="GJ6" s="2227">
        <v>12</v>
      </c>
      <c r="GK6" s="2227">
        <v>12</v>
      </c>
      <c r="GL6" s="2227">
        <v>12</v>
      </c>
      <c r="GM6" s="2227">
        <v>11</v>
      </c>
      <c r="GN6" s="2227">
        <v>10</v>
      </c>
      <c r="GO6" s="2227">
        <v>10</v>
      </c>
      <c r="GP6" s="2227">
        <v>10</v>
      </c>
      <c r="GQ6" s="2227">
        <v>9</v>
      </c>
      <c r="GR6" s="2227">
        <v>9</v>
      </c>
      <c r="GS6" s="2227">
        <v>9</v>
      </c>
      <c r="GT6" s="2227">
        <v>9</v>
      </c>
      <c r="GU6" s="2227">
        <v>9</v>
      </c>
      <c r="GV6" s="2227">
        <v>9</v>
      </c>
      <c r="GW6" s="2227">
        <v>9</v>
      </c>
      <c r="GX6" s="2227">
        <v>9</v>
      </c>
      <c r="GY6" s="2227">
        <v>9</v>
      </c>
      <c r="GZ6" s="2227">
        <v>8</v>
      </c>
      <c r="HA6" s="2227">
        <v>8</v>
      </c>
      <c r="HB6" s="2227">
        <v>8</v>
      </c>
      <c r="HC6" s="2227">
        <v>8</v>
      </c>
      <c r="HD6" s="2227">
        <v>8</v>
      </c>
      <c r="HE6" s="2227">
        <v>8</v>
      </c>
      <c r="HF6" s="2227">
        <v>8</v>
      </c>
      <c r="HG6" s="2227">
        <v>8</v>
      </c>
      <c r="HH6" s="2227">
        <v>8</v>
      </c>
      <c r="HI6" s="2227">
        <v>8</v>
      </c>
      <c r="HJ6" s="2227">
        <v>7</v>
      </c>
      <c r="HK6" s="2227">
        <v>7</v>
      </c>
      <c r="HL6" s="2227">
        <v>7</v>
      </c>
      <c r="HM6" s="2227">
        <v>5</v>
      </c>
      <c r="HN6" s="2227">
        <v>5</v>
      </c>
      <c r="HO6" s="2227">
        <v>5</v>
      </c>
      <c r="HP6" s="2227">
        <v>5</v>
      </c>
      <c r="HQ6" s="2227">
        <v>5</v>
      </c>
      <c r="HR6" s="2227">
        <v>5</v>
      </c>
      <c r="HS6" s="2227">
        <v>5</v>
      </c>
      <c r="HT6" s="2227">
        <v>5</v>
      </c>
      <c r="HU6" s="2227">
        <v>5</v>
      </c>
      <c r="HV6" s="2227">
        <v>5</v>
      </c>
      <c r="HW6" s="2227">
        <v>4</v>
      </c>
      <c r="HX6" s="2227">
        <v>4</v>
      </c>
      <c r="HY6" s="2227">
        <v>4</v>
      </c>
      <c r="HZ6" s="2227">
        <v>4</v>
      </c>
      <c r="IA6" s="2227">
        <v>4</v>
      </c>
      <c r="IB6" s="2227">
        <v>4</v>
      </c>
      <c r="IC6" s="2227">
        <v>4</v>
      </c>
      <c r="ID6" s="2227">
        <v>4</v>
      </c>
      <c r="IE6" s="2227">
        <v>4</v>
      </c>
      <c r="IF6" s="2227">
        <v>4</v>
      </c>
      <c r="IG6" s="2227">
        <v>4</v>
      </c>
      <c r="IH6" s="2227">
        <v>4</v>
      </c>
      <c r="II6" s="2227">
        <v>4</v>
      </c>
      <c r="IJ6" s="2227">
        <v>4</v>
      </c>
      <c r="IK6" s="2227">
        <v>4</v>
      </c>
      <c r="IL6" s="2227">
        <v>4</v>
      </c>
      <c r="IM6" s="2227">
        <v>4</v>
      </c>
      <c r="IN6" s="2227">
        <v>4</v>
      </c>
      <c r="IO6" s="2227">
        <v>4</v>
      </c>
      <c r="IP6" s="2227">
        <v>4</v>
      </c>
      <c r="IQ6" s="2227">
        <v>4</v>
      </c>
      <c r="IR6" s="2227">
        <v>4</v>
      </c>
      <c r="IS6" s="2227">
        <v>4</v>
      </c>
      <c r="IT6" s="2227">
        <v>4</v>
      </c>
      <c r="IU6" s="2227">
        <v>4</v>
      </c>
      <c r="IV6" s="2227">
        <v>487</v>
      </c>
    </row>
    <row r="7" spans="1:256" ht="18">
      <c r="A7" s="2205" t="s">
        <v>2492</v>
      </c>
      <c r="B7" s="2225" t="s">
        <v>2493</v>
      </c>
      <c r="C7" s="2225" t="s">
        <v>2493</v>
      </c>
      <c r="D7" s="2225" t="s">
        <v>2493</v>
      </c>
      <c r="E7" s="2225" t="s">
        <v>2494</v>
      </c>
      <c r="F7" s="2225" t="s">
        <v>2493</v>
      </c>
      <c r="G7" s="2225" t="s">
        <v>2494</v>
      </c>
      <c r="H7" s="2225" t="s">
        <v>2494</v>
      </c>
      <c r="I7" s="2225" t="s">
        <v>2494</v>
      </c>
      <c r="J7" s="2225" t="s">
        <v>998</v>
      </c>
      <c r="K7" s="2225" t="s">
        <v>998</v>
      </c>
      <c r="L7" s="2225" t="s">
        <v>2493</v>
      </c>
      <c r="M7" s="2225" t="s">
        <v>2493</v>
      </c>
      <c r="N7" s="2225" t="s">
        <v>2494</v>
      </c>
      <c r="O7" s="2225" t="s">
        <v>998</v>
      </c>
      <c r="P7" s="2225" t="s">
        <v>998</v>
      </c>
      <c r="Q7" s="2225" t="s">
        <v>2493</v>
      </c>
      <c r="R7" s="2225" t="s">
        <v>2493</v>
      </c>
      <c r="S7" s="2225" t="s">
        <v>2493</v>
      </c>
      <c r="T7" s="2225" t="s">
        <v>2493</v>
      </c>
      <c r="U7" s="2225" t="s">
        <v>998</v>
      </c>
      <c r="V7" s="2225" t="s">
        <v>2494</v>
      </c>
      <c r="W7" s="2225" t="s">
        <v>2494</v>
      </c>
      <c r="X7" s="2225" t="s">
        <v>998</v>
      </c>
      <c r="Y7" s="2225" t="s">
        <v>2493</v>
      </c>
      <c r="Z7" s="2225" t="s">
        <v>2494</v>
      </c>
      <c r="AA7" s="2225" t="s">
        <v>2493</v>
      </c>
      <c r="AB7" s="2225" t="s">
        <v>2493</v>
      </c>
      <c r="AC7" s="2225" t="s">
        <v>2493</v>
      </c>
      <c r="AD7" s="2225" t="s">
        <v>2493</v>
      </c>
      <c r="AE7" s="2225" t="s">
        <v>2493</v>
      </c>
      <c r="AF7" s="2225" t="s">
        <v>2494</v>
      </c>
      <c r="AG7" s="2225" t="s">
        <v>2494</v>
      </c>
      <c r="AH7" s="2225" t="s">
        <v>2493</v>
      </c>
      <c r="AI7" s="2225" t="s">
        <v>2493</v>
      </c>
      <c r="AJ7" s="2225" t="s">
        <v>2494</v>
      </c>
      <c r="AK7" s="2225" t="s">
        <v>998</v>
      </c>
      <c r="AL7" s="2225" t="s">
        <v>2493</v>
      </c>
      <c r="AM7" s="2225" t="s">
        <v>2494</v>
      </c>
      <c r="AN7" s="2225" t="s">
        <v>998</v>
      </c>
      <c r="AO7" s="2225" t="s">
        <v>2493</v>
      </c>
      <c r="AP7" s="2225" t="s">
        <v>2494</v>
      </c>
      <c r="AQ7" s="2225" t="s">
        <v>998</v>
      </c>
      <c r="AR7" s="2225" t="s">
        <v>2494</v>
      </c>
      <c r="AS7" s="2231">
        <f>BarNego19!I70</f>
        <v>38</v>
      </c>
      <c r="AT7" s="2225" t="s">
        <v>2493</v>
      </c>
      <c r="AU7" s="2231">
        <f>BarNego19!H70</f>
        <v>34</v>
      </c>
      <c r="AV7" s="2225" t="s">
        <v>998</v>
      </c>
      <c r="AW7" s="2231">
        <f>BarNego19!G70</f>
        <v>30</v>
      </c>
      <c r="AX7" s="2225" t="s">
        <v>2493</v>
      </c>
      <c r="AY7" s="2231">
        <f>BarNego19!F70</f>
        <v>26</v>
      </c>
      <c r="AZ7" s="2225" t="s">
        <v>2493</v>
      </c>
      <c r="BA7" s="2225" t="s">
        <v>2493</v>
      </c>
      <c r="BB7" s="2231">
        <f>BarNego19!Q70</f>
        <v>70</v>
      </c>
      <c r="BC7" s="2225" t="s">
        <v>2493</v>
      </c>
      <c r="BD7" s="2225" t="s">
        <v>2493</v>
      </c>
      <c r="BE7" s="2225" t="s">
        <v>2493</v>
      </c>
      <c r="BF7" s="2231">
        <f>BarNego19!M70</f>
        <v>54</v>
      </c>
      <c r="BG7" s="2225" t="s">
        <v>2493</v>
      </c>
      <c r="BH7" s="2225" t="s">
        <v>2493</v>
      </c>
      <c r="BI7" s="2225" t="s">
        <v>2493</v>
      </c>
      <c r="BJ7" s="2231">
        <f>BarNego19!P70</f>
        <v>66</v>
      </c>
      <c r="BK7" s="2225" t="s">
        <v>2493</v>
      </c>
      <c r="BL7" s="2225" t="s">
        <v>2493</v>
      </c>
      <c r="BM7" s="2225" t="s">
        <v>2493</v>
      </c>
      <c r="BN7" s="2231">
        <f>BarNego19!L70</f>
        <v>50</v>
      </c>
      <c r="BO7" s="2225" t="s">
        <v>2493</v>
      </c>
      <c r="BP7" s="2225" t="s">
        <v>2493</v>
      </c>
      <c r="BQ7" s="2225" t="s">
        <v>2494</v>
      </c>
      <c r="BR7" s="2231">
        <f>BarNego19!O70</f>
        <v>62</v>
      </c>
      <c r="BS7" s="2225" t="s">
        <v>2494</v>
      </c>
      <c r="BT7" s="2225" t="s">
        <v>2493</v>
      </c>
      <c r="BU7" s="2225" t="s">
        <v>2493</v>
      </c>
      <c r="BV7" s="2231">
        <f>BarNego19!K70</f>
        <v>46</v>
      </c>
      <c r="BW7" s="2225" t="s">
        <v>998</v>
      </c>
      <c r="BX7" s="2225" t="s">
        <v>2494</v>
      </c>
      <c r="BY7" s="2231">
        <f>BarNego19!N70</f>
        <v>58</v>
      </c>
      <c r="BZ7" s="2225" t="s">
        <v>2494</v>
      </c>
      <c r="CA7" s="2231">
        <f>BarNego19!J70</f>
        <v>42</v>
      </c>
      <c r="CB7" s="2225" t="s">
        <v>998</v>
      </c>
      <c r="CC7" s="2225" t="s">
        <v>998</v>
      </c>
      <c r="CD7" s="2225" t="s">
        <v>998</v>
      </c>
      <c r="CE7" s="2225" t="s">
        <v>998</v>
      </c>
      <c r="CF7" s="2225" t="s">
        <v>2493</v>
      </c>
      <c r="CG7" s="2225" t="s">
        <v>2493</v>
      </c>
      <c r="CH7" s="2225" t="s">
        <v>2493</v>
      </c>
      <c r="CI7" s="2225" t="s">
        <v>2494</v>
      </c>
      <c r="CJ7" s="2225" t="s">
        <v>2494</v>
      </c>
      <c r="CK7" s="2225" t="s">
        <v>2493</v>
      </c>
      <c r="CL7" s="2225" t="s">
        <v>2493</v>
      </c>
      <c r="CM7" s="2225" t="s">
        <v>2494</v>
      </c>
      <c r="CN7" s="2225" t="s">
        <v>2494</v>
      </c>
      <c r="CO7" s="2225" t="s">
        <v>2494</v>
      </c>
      <c r="CP7" s="2225" t="s">
        <v>2494</v>
      </c>
      <c r="CQ7" s="2225" t="s">
        <v>2494</v>
      </c>
      <c r="CR7" s="2225" t="s">
        <v>2494</v>
      </c>
      <c r="CS7" s="2225" t="s">
        <v>2494</v>
      </c>
      <c r="CT7" s="2225" t="s">
        <v>2494</v>
      </c>
      <c r="CU7" s="2225" t="s">
        <v>2494</v>
      </c>
      <c r="CV7" s="2225" t="s">
        <v>2494</v>
      </c>
      <c r="CW7" s="2225" t="s">
        <v>2494</v>
      </c>
      <c r="CX7" s="2225" t="s">
        <v>2494</v>
      </c>
      <c r="CY7" s="2225" t="s">
        <v>2494</v>
      </c>
      <c r="CZ7" s="2225" t="s">
        <v>2494</v>
      </c>
      <c r="DA7" s="2225" t="s">
        <v>2494</v>
      </c>
      <c r="DB7" s="2225" t="s">
        <v>2494</v>
      </c>
      <c r="DC7" s="2225" t="s">
        <v>2494</v>
      </c>
      <c r="DD7" s="2225" t="s">
        <v>2494</v>
      </c>
      <c r="DE7" s="2225" t="s">
        <v>2494</v>
      </c>
      <c r="DF7" s="2225" t="s">
        <v>2494</v>
      </c>
      <c r="DG7" s="2225" t="s">
        <v>2494</v>
      </c>
      <c r="DH7" s="2225" t="s">
        <v>2494</v>
      </c>
      <c r="DI7" s="2225" t="s">
        <v>2494</v>
      </c>
      <c r="DJ7" s="2225" t="s">
        <v>2494</v>
      </c>
      <c r="DK7" s="2225" t="s">
        <v>2494</v>
      </c>
      <c r="DL7" s="2225" t="s">
        <v>2495</v>
      </c>
      <c r="DM7" s="2225" t="s">
        <v>2494</v>
      </c>
      <c r="DN7" s="2225" t="s">
        <v>2494</v>
      </c>
      <c r="DO7" s="2225" t="s">
        <v>2495</v>
      </c>
      <c r="DP7" s="2225" t="s">
        <v>2494</v>
      </c>
      <c r="DQ7" s="2225" t="s">
        <v>2495</v>
      </c>
      <c r="DR7" s="2225" t="s">
        <v>2495</v>
      </c>
      <c r="DS7" s="2225" t="s">
        <v>2494</v>
      </c>
      <c r="DT7" s="2225" t="s">
        <v>2494</v>
      </c>
      <c r="DU7" s="2225" t="s">
        <v>2494</v>
      </c>
      <c r="DV7" s="2225" t="s">
        <v>2494</v>
      </c>
      <c r="DW7" s="2225" t="s">
        <v>2495</v>
      </c>
      <c r="DX7" s="2225" t="s">
        <v>2494</v>
      </c>
      <c r="DY7" s="2225" t="s">
        <v>2494</v>
      </c>
      <c r="DZ7" s="2225" t="s">
        <v>2495</v>
      </c>
      <c r="EA7" s="2225" t="s">
        <v>2495</v>
      </c>
      <c r="EB7" s="2225" t="s">
        <v>2494</v>
      </c>
      <c r="EC7" s="2225" t="s">
        <v>2494</v>
      </c>
      <c r="ED7" s="2225" t="s">
        <v>2494</v>
      </c>
      <c r="EE7" s="2225" t="s">
        <v>2494</v>
      </c>
      <c r="EF7" s="2225" t="s">
        <v>2495</v>
      </c>
      <c r="EG7" s="2225" t="s">
        <v>2495</v>
      </c>
      <c r="EH7" s="2225" t="s">
        <v>2494</v>
      </c>
      <c r="EI7" s="2225" t="s">
        <v>2494</v>
      </c>
      <c r="EJ7" s="2225" t="s">
        <v>2495</v>
      </c>
      <c r="EK7" s="2225" t="s">
        <v>2494</v>
      </c>
      <c r="EL7" s="2225" t="s">
        <v>2494</v>
      </c>
      <c r="EM7" s="2225" t="s">
        <v>2495</v>
      </c>
      <c r="EN7" s="2225" t="s">
        <v>2495</v>
      </c>
      <c r="EO7" s="2225" t="s">
        <v>2494</v>
      </c>
      <c r="EP7" s="2225" t="s">
        <v>2494</v>
      </c>
      <c r="EQ7" s="2225" t="s">
        <v>2494</v>
      </c>
      <c r="ER7" s="2225" t="s">
        <v>2495</v>
      </c>
      <c r="ES7" s="2225" t="s">
        <v>2494</v>
      </c>
      <c r="ET7" s="2225" t="s">
        <v>2495</v>
      </c>
      <c r="EU7" s="2225" t="s">
        <v>2495</v>
      </c>
      <c r="EV7" s="2225" t="s">
        <v>2495</v>
      </c>
      <c r="EW7" s="2225" t="s">
        <v>2494</v>
      </c>
      <c r="EX7" s="2225" t="s">
        <v>2494</v>
      </c>
      <c r="EY7" s="2225" t="s">
        <v>2495</v>
      </c>
      <c r="EZ7" s="2225" t="s">
        <v>2494</v>
      </c>
      <c r="FA7" s="2225" t="s">
        <v>2494</v>
      </c>
      <c r="FB7" s="2225" t="s">
        <v>2494</v>
      </c>
      <c r="FC7" s="2225" t="s">
        <v>2495</v>
      </c>
      <c r="FD7" s="2225" t="s">
        <v>2495</v>
      </c>
      <c r="FE7" s="2225" t="s">
        <v>2495</v>
      </c>
      <c r="FF7" s="2225" t="s">
        <v>2494</v>
      </c>
      <c r="FG7" s="2225" t="s">
        <v>2494</v>
      </c>
      <c r="FH7" s="2225" t="s">
        <v>2494</v>
      </c>
      <c r="FI7" s="2225" t="s">
        <v>2495</v>
      </c>
      <c r="FJ7" s="2225" t="s">
        <v>2495</v>
      </c>
      <c r="FK7" s="2225" t="s">
        <v>2495</v>
      </c>
      <c r="FL7" s="2225" t="s">
        <v>2494</v>
      </c>
      <c r="FM7" s="2225" t="s">
        <v>2494</v>
      </c>
      <c r="FN7" s="2225" t="s">
        <v>2495</v>
      </c>
      <c r="FO7" s="2225" t="s">
        <v>2494</v>
      </c>
      <c r="FP7" s="2225" t="s">
        <v>2494</v>
      </c>
      <c r="FQ7" s="2225" t="s">
        <v>2495</v>
      </c>
      <c r="FR7" s="2225" t="s">
        <v>2493</v>
      </c>
      <c r="FS7" s="2225" t="s">
        <v>2495</v>
      </c>
      <c r="FT7" s="2225" t="s">
        <v>2495</v>
      </c>
      <c r="FU7" s="2225" t="s">
        <v>2495</v>
      </c>
      <c r="FV7" s="2225" t="s">
        <v>2495</v>
      </c>
      <c r="FW7" s="2225" t="s">
        <v>2493</v>
      </c>
      <c r="FX7" s="2225" t="s">
        <v>2495</v>
      </c>
      <c r="FY7" s="2225" t="s">
        <v>2495</v>
      </c>
      <c r="FZ7" s="2225" t="s">
        <v>2494</v>
      </c>
      <c r="GA7" s="2225" t="s">
        <v>2495</v>
      </c>
      <c r="GB7" s="2225" t="s">
        <v>2495</v>
      </c>
      <c r="GC7" s="2225" t="s">
        <v>2495</v>
      </c>
      <c r="GD7" s="2225" t="s">
        <v>2493</v>
      </c>
      <c r="GE7" s="2225" t="s">
        <v>2494</v>
      </c>
      <c r="GF7" s="2225" t="s">
        <v>2495</v>
      </c>
      <c r="GG7" s="2225" t="s">
        <v>2495</v>
      </c>
      <c r="GH7" s="2225" t="s">
        <v>2494</v>
      </c>
      <c r="GI7" s="2225" t="s">
        <v>2495</v>
      </c>
      <c r="GJ7" s="2225" t="s">
        <v>2494</v>
      </c>
      <c r="GK7" s="2225" t="s">
        <v>2495</v>
      </c>
      <c r="GL7" s="2225" t="s">
        <v>2495</v>
      </c>
      <c r="GM7" s="2225" t="s">
        <v>2495</v>
      </c>
      <c r="GN7" s="2225" t="s">
        <v>2494</v>
      </c>
      <c r="GO7" s="2225" t="s">
        <v>2495</v>
      </c>
      <c r="GP7" s="2225" t="s">
        <v>2494</v>
      </c>
      <c r="GQ7" s="2225" t="s">
        <v>2494</v>
      </c>
      <c r="GR7" s="2225" t="s">
        <v>2495</v>
      </c>
      <c r="GS7" s="2225" t="s">
        <v>2495</v>
      </c>
      <c r="GT7" s="2225" t="s">
        <v>2495</v>
      </c>
      <c r="GU7" s="2225" t="s">
        <v>2493</v>
      </c>
      <c r="GV7" s="2225" t="s">
        <v>2495</v>
      </c>
      <c r="GW7" s="2225" t="s">
        <v>2494</v>
      </c>
      <c r="GX7" s="2225" t="s">
        <v>2494</v>
      </c>
      <c r="GY7" s="2225" t="s">
        <v>2495</v>
      </c>
      <c r="GZ7" s="2225" t="s">
        <v>2493</v>
      </c>
      <c r="HA7" s="2225" t="s">
        <v>2495</v>
      </c>
      <c r="HB7" s="2225" t="s">
        <v>2495</v>
      </c>
      <c r="HC7" s="2225" t="s">
        <v>2495</v>
      </c>
      <c r="HD7" s="2225" t="s">
        <v>2495</v>
      </c>
      <c r="HE7" s="2225" t="s">
        <v>2494</v>
      </c>
      <c r="HF7" s="2225" t="s">
        <v>2493</v>
      </c>
      <c r="HG7" s="2225" t="s">
        <v>2495</v>
      </c>
      <c r="HH7" s="2225" t="s">
        <v>2495</v>
      </c>
      <c r="HI7" s="2225" t="s">
        <v>2495</v>
      </c>
      <c r="HJ7" s="2225" t="s">
        <v>2495</v>
      </c>
      <c r="HK7" s="2225" t="s">
        <v>2495</v>
      </c>
      <c r="HL7" s="2225" t="s">
        <v>2495</v>
      </c>
      <c r="HM7" s="2225" t="s">
        <v>2493</v>
      </c>
      <c r="HN7" s="2225" t="s">
        <v>2495</v>
      </c>
      <c r="HO7" s="2225" t="s">
        <v>2495</v>
      </c>
      <c r="HP7" s="2225" t="s">
        <v>2495</v>
      </c>
      <c r="HQ7" s="2225" t="s">
        <v>2495</v>
      </c>
      <c r="HR7" s="2225" t="s">
        <v>2495</v>
      </c>
      <c r="HS7" s="2225" t="s">
        <v>2495</v>
      </c>
      <c r="HT7" s="2225" t="s">
        <v>2495</v>
      </c>
      <c r="HU7" s="2225" t="s">
        <v>2495</v>
      </c>
      <c r="HV7" s="2225" t="s">
        <v>2495</v>
      </c>
      <c r="HW7" s="2225" t="s">
        <v>2493</v>
      </c>
      <c r="HX7" s="2225" t="s">
        <v>2495</v>
      </c>
      <c r="HY7" s="2225" t="s">
        <v>2495</v>
      </c>
      <c r="HZ7" s="2225" t="s">
        <v>2495</v>
      </c>
      <c r="IA7" s="2225" t="s">
        <v>2495</v>
      </c>
      <c r="IB7" s="2225" t="s">
        <v>2495</v>
      </c>
      <c r="IC7" s="2225" t="s">
        <v>2495</v>
      </c>
      <c r="ID7" s="2225" t="s">
        <v>2493</v>
      </c>
      <c r="IE7" s="2225" t="s">
        <v>2495</v>
      </c>
      <c r="IF7" s="2225" t="s">
        <v>2495</v>
      </c>
      <c r="IG7" s="2225" t="s">
        <v>2495</v>
      </c>
      <c r="IH7" s="2225" t="s">
        <v>2495</v>
      </c>
      <c r="II7" s="2225" t="s">
        <v>2495</v>
      </c>
      <c r="IJ7" s="2225" t="s">
        <v>2493</v>
      </c>
      <c r="IK7" s="2225" t="s">
        <v>2493</v>
      </c>
      <c r="IL7" s="2225" t="s">
        <v>2495</v>
      </c>
      <c r="IM7" s="2225" t="s">
        <v>2495</v>
      </c>
      <c r="IN7" s="2225" t="s">
        <v>2493</v>
      </c>
      <c r="IO7" s="2225" t="s">
        <v>2495</v>
      </c>
      <c r="IP7" s="2225" t="s">
        <v>2495</v>
      </c>
      <c r="IQ7" s="2225" t="s">
        <v>2495</v>
      </c>
      <c r="IR7" s="2225" t="s">
        <v>2495</v>
      </c>
      <c r="IS7" s="2225" t="s">
        <v>2495</v>
      </c>
      <c r="IT7" s="2225" t="s">
        <v>2495</v>
      </c>
      <c r="IU7" s="2225" t="s">
        <v>2495</v>
      </c>
      <c r="IV7" s="2225" t="s">
        <v>2494</v>
      </c>
    </row>
    <row r="8" spans="1:256">
      <c r="A8" s="2205" t="s">
        <v>2983</v>
      </c>
      <c r="B8" s="2213">
        <v>2</v>
      </c>
      <c r="C8" s="2213">
        <f t="shared" ref="C8:BN8" si="0">B8+1</f>
        <v>3</v>
      </c>
      <c r="D8" s="2213">
        <f t="shared" si="0"/>
        <v>4</v>
      </c>
      <c r="E8" s="2213">
        <f t="shared" si="0"/>
        <v>5</v>
      </c>
      <c r="F8" s="2213">
        <f t="shared" si="0"/>
        <v>6</v>
      </c>
      <c r="G8" s="2213">
        <f t="shared" si="0"/>
        <v>7</v>
      </c>
      <c r="H8" s="2213">
        <f t="shared" si="0"/>
        <v>8</v>
      </c>
      <c r="I8" s="2213">
        <f t="shared" si="0"/>
        <v>9</v>
      </c>
      <c r="J8" s="2213">
        <f t="shared" si="0"/>
        <v>10</v>
      </c>
      <c r="K8" s="2213">
        <f t="shared" si="0"/>
        <v>11</v>
      </c>
      <c r="L8" s="2213">
        <f t="shared" si="0"/>
        <v>12</v>
      </c>
      <c r="M8" s="2213">
        <f t="shared" si="0"/>
        <v>13</v>
      </c>
      <c r="N8" s="2213">
        <f t="shared" si="0"/>
        <v>14</v>
      </c>
      <c r="O8" s="2213">
        <f t="shared" si="0"/>
        <v>15</v>
      </c>
      <c r="P8" s="2213">
        <f t="shared" si="0"/>
        <v>16</v>
      </c>
      <c r="Q8" s="2213">
        <f t="shared" si="0"/>
        <v>17</v>
      </c>
      <c r="R8" s="2213">
        <f t="shared" si="0"/>
        <v>18</v>
      </c>
      <c r="S8" s="2213">
        <f t="shared" si="0"/>
        <v>19</v>
      </c>
      <c r="T8" s="2213">
        <f t="shared" si="0"/>
        <v>20</v>
      </c>
      <c r="U8" s="2213">
        <f t="shared" si="0"/>
        <v>21</v>
      </c>
      <c r="V8" s="2213">
        <f t="shared" si="0"/>
        <v>22</v>
      </c>
      <c r="W8" s="2213">
        <f t="shared" si="0"/>
        <v>23</v>
      </c>
      <c r="X8" s="2213">
        <f t="shared" si="0"/>
        <v>24</v>
      </c>
      <c r="Y8" s="2213">
        <f t="shared" si="0"/>
        <v>25</v>
      </c>
      <c r="Z8" s="2213">
        <f t="shared" si="0"/>
        <v>26</v>
      </c>
      <c r="AA8" s="2213">
        <f t="shared" si="0"/>
        <v>27</v>
      </c>
      <c r="AB8" s="2213">
        <f t="shared" si="0"/>
        <v>28</v>
      </c>
      <c r="AC8" s="2213">
        <f t="shared" si="0"/>
        <v>29</v>
      </c>
      <c r="AD8" s="2213">
        <f t="shared" si="0"/>
        <v>30</v>
      </c>
      <c r="AE8" s="2213">
        <f t="shared" si="0"/>
        <v>31</v>
      </c>
      <c r="AF8" s="2213">
        <f t="shared" si="0"/>
        <v>32</v>
      </c>
      <c r="AG8" s="2213">
        <f t="shared" si="0"/>
        <v>33</v>
      </c>
      <c r="AH8" s="2213">
        <f t="shared" si="0"/>
        <v>34</v>
      </c>
      <c r="AI8" s="2213">
        <f t="shared" si="0"/>
        <v>35</v>
      </c>
      <c r="AJ8" s="2213">
        <f t="shared" si="0"/>
        <v>36</v>
      </c>
      <c r="AK8" s="2213">
        <f t="shared" si="0"/>
        <v>37</v>
      </c>
      <c r="AL8" s="2213">
        <f t="shared" si="0"/>
        <v>38</v>
      </c>
      <c r="AM8" s="2213">
        <f t="shared" si="0"/>
        <v>39</v>
      </c>
      <c r="AN8" s="2213">
        <f t="shared" si="0"/>
        <v>40</v>
      </c>
      <c r="AO8" s="2213">
        <f t="shared" si="0"/>
        <v>41</v>
      </c>
      <c r="AP8" s="2213">
        <f t="shared" si="0"/>
        <v>42</v>
      </c>
      <c r="AQ8" s="2213">
        <f t="shared" si="0"/>
        <v>43</v>
      </c>
      <c r="AR8" s="2213">
        <f t="shared" si="0"/>
        <v>44</v>
      </c>
      <c r="AS8" s="2221">
        <f t="shared" si="0"/>
        <v>45</v>
      </c>
      <c r="AT8" s="2213">
        <f t="shared" si="0"/>
        <v>46</v>
      </c>
      <c r="AU8" s="2221">
        <f t="shared" si="0"/>
        <v>47</v>
      </c>
      <c r="AV8" s="2213">
        <f t="shared" si="0"/>
        <v>48</v>
      </c>
      <c r="AW8" s="2221">
        <f t="shared" si="0"/>
        <v>49</v>
      </c>
      <c r="AX8" s="2213">
        <f t="shared" si="0"/>
        <v>50</v>
      </c>
      <c r="AY8" s="2221">
        <f t="shared" si="0"/>
        <v>51</v>
      </c>
      <c r="AZ8" s="2213">
        <f t="shared" si="0"/>
        <v>52</v>
      </c>
      <c r="BA8" s="2213">
        <f t="shared" si="0"/>
        <v>53</v>
      </c>
      <c r="BB8" s="2221">
        <f t="shared" si="0"/>
        <v>54</v>
      </c>
      <c r="BC8" s="2213">
        <f t="shared" si="0"/>
        <v>55</v>
      </c>
      <c r="BD8" s="2213">
        <f t="shared" si="0"/>
        <v>56</v>
      </c>
      <c r="BE8" s="2213">
        <f t="shared" si="0"/>
        <v>57</v>
      </c>
      <c r="BF8" s="2221">
        <f t="shared" si="0"/>
        <v>58</v>
      </c>
      <c r="BG8" s="2213">
        <f t="shared" si="0"/>
        <v>59</v>
      </c>
      <c r="BH8" s="2213">
        <f t="shared" si="0"/>
        <v>60</v>
      </c>
      <c r="BI8" s="2213">
        <f t="shared" si="0"/>
        <v>61</v>
      </c>
      <c r="BJ8" s="2221">
        <f t="shared" si="0"/>
        <v>62</v>
      </c>
      <c r="BK8" s="2213">
        <f t="shared" si="0"/>
        <v>63</v>
      </c>
      <c r="BL8" s="2213">
        <f t="shared" si="0"/>
        <v>64</v>
      </c>
      <c r="BM8" s="2213">
        <f t="shared" si="0"/>
        <v>65</v>
      </c>
      <c r="BN8" s="2221">
        <f t="shared" si="0"/>
        <v>66</v>
      </c>
      <c r="BO8" s="2213">
        <f t="shared" ref="BO8:DZ8" si="1">BN8+1</f>
        <v>67</v>
      </c>
      <c r="BP8" s="2213">
        <f t="shared" si="1"/>
        <v>68</v>
      </c>
      <c r="BQ8" s="2213">
        <f t="shared" si="1"/>
        <v>69</v>
      </c>
      <c r="BR8" s="2221">
        <f t="shared" si="1"/>
        <v>70</v>
      </c>
      <c r="BS8" s="2213">
        <f t="shared" si="1"/>
        <v>71</v>
      </c>
      <c r="BT8" s="2213">
        <f t="shared" si="1"/>
        <v>72</v>
      </c>
      <c r="BU8" s="2213">
        <f t="shared" si="1"/>
        <v>73</v>
      </c>
      <c r="BV8" s="2221">
        <f t="shared" si="1"/>
        <v>74</v>
      </c>
      <c r="BW8" s="2213">
        <f t="shared" si="1"/>
        <v>75</v>
      </c>
      <c r="BX8" s="2213">
        <f t="shared" si="1"/>
        <v>76</v>
      </c>
      <c r="BY8" s="2221">
        <f t="shared" si="1"/>
        <v>77</v>
      </c>
      <c r="BZ8" s="2213">
        <f t="shared" si="1"/>
        <v>78</v>
      </c>
      <c r="CA8" s="2221">
        <f t="shared" si="1"/>
        <v>79</v>
      </c>
      <c r="CB8" s="2213">
        <f t="shared" si="1"/>
        <v>80</v>
      </c>
      <c r="CC8" s="2213">
        <f t="shared" si="1"/>
        <v>81</v>
      </c>
      <c r="CD8" s="2213">
        <f t="shared" si="1"/>
        <v>82</v>
      </c>
      <c r="CE8" s="2213">
        <f t="shared" si="1"/>
        <v>83</v>
      </c>
      <c r="CF8" s="2213">
        <f t="shared" si="1"/>
        <v>84</v>
      </c>
      <c r="CG8" s="2213">
        <f t="shared" si="1"/>
        <v>85</v>
      </c>
      <c r="CH8" s="2213">
        <f t="shared" si="1"/>
        <v>86</v>
      </c>
      <c r="CI8" s="2213">
        <f t="shared" si="1"/>
        <v>87</v>
      </c>
      <c r="CJ8" s="2213">
        <f t="shared" si="1"/>
        <v>88</v>
      </c>
      <c r="CK8" s="2213">
        <f t="shared" si="1"/>
        <v>89</v>
      </c>
      <c r="CL8" s="2213">
        <f t="shared" si="1"/>
        <v>90</v>
      </c>
      <c r="CM8" s="2213">
        <f t="shared" si="1"/>
        <v>91</v>
      </c>
      <c r="CN8" s="2213">
        <f t="shared" si="1"/>
        <v>92</v>
      </c>
      <c r="CO8" s="2213">
        <f t="shared" si="1"/>
        <v>93</v>
      </c>
      <c r="CP8" s="2213">
        <f t="shared" si="1"/>
        <v>94</v>
      </c>
      <c r="CQ8" s="2213">
        <f t="shared" si="1"/>
        <v>95</v>
      </c>
      <c r="CR8" s="2213">
        <f t="shared" si="1"/>
        <v>96</v>
      </c>
      <c r="CS8" s="2213">
        <f t="shared" si="1"/>
        <v>97</v>
      </c>
      <c r="CT8" s="2213">
        <f t="shared" si="1"/>
        <v>98</v>
      </c>
      <c r="CU8" s="2213">
        <f t="shared" si="1"/>
        <v>99</v>
      </c>
      <c r="CV8" s="2213">
        <f t="shared" si="1"/>
        <v>100</v>
      </c>
      <c r="CW8" s="2213">
        <f t="shared" si="1"/>
        <v>101</v>
      </c>
      <c r="CX8" s="2213">
        <f t="shared" si="1"/>
        <v>102</v>
      </c>
      <c r="CY8" s="2213">
        <f t="shared" si="1"/>
        <v>103</v>
      </c>
      <c r="CZ8" s="2213">
        <f t="shared" si="1"/>
        <v>104</v>
      </c>
      <c r="DA8" s="2213">
        <f t="shared" si="1"/>
        <v>105</v>
      </c>
      <c r="DB8" s="2213">
        <f t="shared" si="1"/>
        <v>106</v>
      </c>
      <c r="DC8" s="2213">
        <f t="shared" si="1"/>
        <v>107</v>
      </c>
      <c r="DD8" s="2213">
        <f t="shared" si="1"/>
        <v>108</v>
      </c>
      <c r="DE8" s="2213">
        <f t="shared" si="1"/>
        <v>109</v>
      </c>
      <c r="DF8" s="2213">
        <f t="shared" si="1"/>
        <v>110</v>
      </c>
      <c r="DG8" s="2213">
        <f t="shared" si="1"/>
        <v>111</v>
      </c>
      <c r="DH8" s="2213">
        <f t="shared" si="1"/>
        <v>112</v>
      </c>
      <c r="DI8" s="2213">
        <f t="shared" si="1"/>
        <v>113</v>
      </c>
      <c r="DJ8" s="2213">
        <f t="shared" si="1"/>
        <v>114</v>
      </c>
      <c r="DK8" s="2213">
        <f t="shared" si="1"/>
        <v>115</v>
      </c>
      <c r="DL8" s="2213">
        <f t="shared" si="1"/>
        <v>116</v>
      </c>
      <c r="DM8" s="2213">
        <f t="shared" si="1"/>
        <v>117</v>
      </c>
      <c r="DN8" s="2213">
        <f t="shared" si="1"/>
        <v>118</v>
      </c>
      <c r="DO8" s="2213">
        <f t="shared" si="1"/>
        <v>119</v>
      </c>
      <c r="DP8" s="2213">
        <f t="shared" si="1"/>
        <v>120</v>
      </c>
      <c r="DQ8" s="2213">
        <f t="shared" si="1"/>
        <v>121</v>
      </c>
      <c r="DR8" s="2213">
        <f t="shared" si="1"/>
        <v>122</v>
      </c>
      <c r="DS8" s="2213">
        <f t="shared" si="1"/>
        <v>123</v>
      </c>
      <c r="DT8" s="2213">
        <f t="shared" si="1"/>
        <v>124</v>
      </c>
      <c r="DU8" s="2213">
        <f t="shared" si="1"/>
        <v>125</v>
      </c>
      <c r="DV8" s="2213">
        <f t="shared" si="1"/>
        <v>126</v>
      </c>
      <c r="DW8" s="2213">
        <f t="shared" si="1"/>
        <v>127</v>
      </c>
      <c r="DX8" s="2213">
        <f t="shared" si="1"/>
        <v>128</v>
      </c>
      <c r="DY8" s="2213">
        <f t="shared" si="1"/>
        <v>129</v>
      </c>
      <c r="DZ8" s="2213">
        <f t="shared" si="1"/>
        <v>130</v>
      </c>
      <c r="EA8" s="2213">
        <f t="shared" ref="EA8:GL8" si="2">DZ8+1</f>
        <v>131</v>
      </c>
      <c r="EB8" s="2213">
        <f t="shared" si="2"/>
        <v>132</v>
      </c>
      <c r="EC8" s="2213">
        <f t="shared" si="2"/>
        <v>133</v>
      </c>
      <c r="ED8" s="2213">
        <f t="shared" si="2"/>
        <v>134</v>
      </c>
      <c r="EE8" s="2213">
        <f t="shared" si="2"/>
        <v>135</v>
      </c>
      <c r="EF8" s="2213">
        <f t="shared" si="2"/>
        <v>136</v>
      </c>
      <c r="EG8" s="2213">
        <f t="shared" si="2"/>
        <v>137</v>
      </c>
      <c r="EH8" s="2213">
        <f t="shared" si="2"/>
        <v>138</v>
      </c>
      <c r="EI8" s="2213">
        <f t="shared" si="2"/>
        <v>139</v>
      </c>
      <c r="EJ8" s="2213">
        <f t="shared" si="2"/>
        <v>140</v>
      </c>
      <c r="EK8" s="2213">
        <f t="shared" si="2"/>
        <v>141</v>
      </c>
      <c r="EL8" s="2213">
        <f t="shared" si="2"/>
        <v>142</v>
      </c>
      <c r="EM8" s="2213">
        <f t="shared" si="2"/>
        <v>143</v>
      </c>
      <c r="EN8" s="2213">
        <f t="shared" si="2"/>
        <v>144</v>
      </c>
      <c r="EO8" s="2213">
        <f t="shared" si="2"/>
        <v>145</v>
      </c>
      <c r="EP8" s="2213">
        <f t="shared" si="2"/>
        <v>146</v>
      </c>
      <c r="EQ8" s="2213">
        <f t="shared" si="2"/>
        <v>147</v>
      </c>
      <c r="ER8" s="2213">
        <f t="shared" si="2"/>
        <v>148</v>
      </c>
      <c r="ES8" s="2213">
        <f t="shared" si="2"/>
        <v>149</v>
      </c>
      <c r="ET8" s="2213">
        <f t="shared" si="2"/>
        <v>150</v>
      </c>
      <c r="EU8" s="2213">
        <f t="shared" si="2"/>
        <v>151</v>
      </c>
      <c r="EV8" s="2213">
        <f t="shared" si="2"/>
        <v>152</v>
      </c>
      <c r="EW8" s="2213">
        <f t="shared" si="2"/>
        <v>153</v>
      </c>
      <c r="EX8" s="2213">
        <f t="shared" si="2"/>
        <v>154</v>
      </c>
      <c r="EY8" s="2213">
        <f t="shared" si="2"/>
        <v>155</v>
      </c>
      <c r="EZ8" s="2213">
        <f t="shared" si="2"/>
        <v>156</v>
      </c>
      <c r="FA8" s="2213">
        <f t="shared" si="2"/>
        <v>157</v>
      </c>
      <c r="FB8" s="2213">
        <f t="shared" si="2"/>
        <v>158</v>
      </c>
      <c r="FC8" s="2213">
        <f t="shared" si="2"/>
        <v>159</v>
      </c>
      <c r="FD8" s="2213">
        <f t="shared" si="2"/>
        <v>160</v>
      </c>
      <c r="FE8" s="2213">
        <f t="shared" si="2"/>
        <v>161</v>
      </c>
      <c r="FF8" s="2213">
        <f t="shared" si="2"/>
        <v>162</v>
      </c>
      <c r="FG8" s="2213">
        <f t="shared" si="2"/>
        <v>163</v>
      </c>
      <c r="FH8" s="2213">
        <f t="shared" si="2"/>
        <v>164</v>
      </c>
      <c r="FI8" s="2213">
        <f t="shared" si="2"/>
        <v>165</v>
      </c>
      <c r="FJ8" s="2213">
        <f t="shared" si="2"/>
        <v>166</v>
      </c>
      <c r="FK8" s="2213">
        <f t="shared" si="2"/>
        <v>167</v>
      </c>
      <c r="FL8" s="2213">
        <f t="shared" si="2"/>
        <v>168</v>
      </c>
      <c r="FM8" s="2213">
        <f t="shared" si="2"/>
        <v>169</v>
      </c>
      <c r="FN8" s="2213">
        <f t="shared" si="2"/>
        <v>170</v>
      </c>
      <c r="FO8" s="2213">
        <f t="shared" si="2"/>
        <v>171</v>
      </c>
      <c r="FP8" s="2213">
        <f t="shared" si="2"/>
        <v>172</v>
      </c>
      <c r="FQ8" s="2213">
        <f t="shared" si="2"/>
        <v>173</v>
      </c>
      <c r="FR8" s="2213">
        <f t="shared" si="2"/>
        <v>174</v>
      </c>
      <c r="FS8" s="2213">
        <f t="shared" si="2"/>
        <v>175</v>
      </c>
      <c r="FT8" s="2213">
        <f t="shared" si="2"/>
        <v>176</v>
      </c>
      <c r="FU8" s="2213">
        <f t="shared" si="2"/>
        <v>177</v>
      </c>
      <c r="FV8" s="2213">
        <f t="shared" si="2"/>
        <v>178</v>
      </c>
      <c r="FW8" s="2213">
        <f t="shared" si="2"/>
        <v>179</v>
      </c>
      <c r="FX8" s="2213">
        <f t="shared" si="2"/>
        <v>180</v>
      </c>
      <c r="FY8" s="2213">
        <f t="shared" si="2"/>
        <v>181</v>
      </c>
      <c r="FZ8" s="2213">
        <f t="shared" si="2"/>
        <v>182</v>
      </c>
      <c r="GA8" s="2213">
        <f t="shared" si="2"/>
        <v>183</v>
      </c>
      <c r="GB8" s="2213">
        <f t="shared" si="2"/>
        <v>184</v>
      </c>
      <c r="GC8" s="2213">
        <f t="shared" si="2"/>
        <v>185</v>
      </c>
      <c r="GD8" s="2213">
        <f t="shared" si="2"/>
        <v>186</v>
      </c>
      <c r="GE8" s="2213">
        <f t="shared" si="2"/>
        <v>187</v>
      </c>
      <c r="GF8" s="2213">
        <f t="shared" si="2"/>
        <v>188</v>
      </c>
      <c r="GG8" s="2213">
        <f t="shared" si="2"/>
        <v>189</v>
      </c>
      <c r="GH8" s="2213">
        <f t="shared" si="2"/>
        <v>190</v>
      </c>
      <c r="GI8" s="2213">
        <f t="shared" si="2"/>
        <v>191</v>
      </c>
      <c r="GJ8" s="2213">
        <f t="shared" si="2"/>
        <v>192</v>
      </c>
      <c r="GK8" s="2213">
        <f t="shared" si="2"/>
        <v>193</v>
      </c>
      <c r="GL8" s="2213">
        <f t="shared" si="2"/>
        <v>194</v>
      </c>
      <c r="GM8" s="2213">
        <f t="shared" ref="GM8:IU8" si="3">GL8+1</f>
        <v>195</v>
      </c>
      <c r="GN8" s="2213">
        <f t="shared" si="3"/>
        <v>196</v>
      </c>
      <c r="GO8" s="2213">
        <f t="shared" si="3"/>
        <v>197</v>
      </c>
      <c r="GP8" s="2213">
        <f t="shared" si="3"/>
        <v>198</v>
      </c>
      <c r="GQ8" s="2213">
        <f t="shared" si="3"/>
        <v>199</v>
      </c>
      <c r="GR8" s="2213">
        <f t="shared" si="3"/>
        <v>200</v>
      </c>
      <c r="GS8" s="2213">
        <f t="shared" si="3"/>
        <v>201</v>
      </c>
      <c r="GT8" s="2213">
        <f t="shared" si="3"/>
        <v>202</v>
      </c>
      <c r="GU8" s="2213">
        <f t="shared" si="3"/>
        <v>203</v>
      </c>
      <c r="GV8" s="2213">
        <f t="shared" si="3"/>
        <v>204</v>
      </c>
      <c r="GW8" s="2213">
        <f t="shared" si="3"/>
        <v>205</v>
      </c>
      <c r="GX8" s="2213">
        <f t="shared" si="3"/>
        <v>206</v>
      </c>
      <c r="GY8" s="2213">
        <f t="shared" si="3"/>
        <v>207</v>
      </c>
      <c r="GZ8" s="2213">
        <f t="shared" si="3"/>
        <v>208</v>
      </c>
      <c r="HA8" s="2213">
        <f t="shared" si="3"/>
        <v>209</v>
      </c>
      <c r="HB8" s="2213">
        <f t="shared" si="3"/>
        <v>210</v>
      </c>
      <c r="HC8" s="2213">
        <f t="shared" si="3"/>
        <v>211</v>
      </c>
      <c r="HD8" s="2213">
        <f t="shared" si="3"/>
        <v>212</v>
      </c>
      <c r="HE8" s="2213">
        <f t="shared" si="3"/>
        <v>213</v>
      </c>
      <c r="HF8" s="2213">
        <f t="shared" si="3"/>
        <v>214</v>
      </c>
      <c r="HG8" s="2213">
        <f t="shared" si="3"/>
        <v>215</v>
      </c>
      <c r="HH8" s="2213">
        <f t="shared" si="3"/>
        <v>216</v>
      </c>
      <c r="HI8" s="2213">
        <f t="shared" si="3"/>
        <v>217</v>
      </c>
      <c r="HJ8" s="2213">
        <f t="shared" si="3"/>
        <v>218</v>
      </c>
      <c r="HK8" s="2213">
        <f t="shared" si="3"/>
        <v>219</v>
      </c>
      <c r="HL8" s="2213">
        <f t="shared" si="3"/>
        <v>220</v>
      </c>
      <c r="HM8" s="2213">
        <f t="shared" si="3"/>
        <v>221</v>
      </c>
      <c r="HN8" s="2213">
        <f t="shared" si="3"/>
        <v>222</v>
      </c>
      <c r="HO8" s="2213">
        <f t="shared" si="3"/>
        <v>223</v>
      </c>
      <c r="HP8" s="2213">
        <f t="shared" si="3"/>
        <v>224</v>
      </c>
      <c r="HQ8" s="2213">
        <f t="shared" si="3"/>
        <v>225</v>
      </c>
      <c r="HR8" s="2213">
        <f t="shared" si="3"/>
        <v>226</v>
      </c>
      <c r="HS8" s="2213">
        <f t="shared" si="3"/>
        <v>227</v>
      </c>
      <c r="HT8" s="2213">
        <f t="shared" si="3"/>
        <v>228</v>
      </c>
      <c r="HU8" s="2213">
        <f t="shared" si="3"/>
        <v>229</v>
      </c>
      <c r="HV8" s="2213">
        <f t="shared" si="3"/>
        <v>230</v>
      </c>
      <c r="HW8" s="2213">
        <f t="shared" si="3"/>
        <v>231</v>
      </c>
      <c r="HX8" s="2213">
        <f t="shared" si="3"/>
        <v>232</v>
      </c>
      <c r="HY8" s="2213">
        <f t="shared" si="3"/>
        <v>233</v>
      </c>
      <c r="HZ8" s="2213">
        <f t="shared" si="3"/>
        <v>234</v>
      </c>
      <c r="IA8" s="2213">
        <f t="shared" si="3"/>
        <v>235</v>
      </c>
      <c r="IB8" s="2213">
        <f t="shared" si="3"/>
        <v>236</v>
      </c>
      <c r="IC8" s="2213">
        <f t="shared" si="3"/>
        <v>237</v>
      </c>
      <c r="ID8" s="2213">
        <f t="shared" si="3"/>
        <v>238</v>
      </c>
      <c r="IE8" s="2213">
        <f t="shared" si="3"/>
        <v>239</v>
      </c>
      <c r="IF8" s="2213">
        <f t="shared" si="3"/>
        <v>240</v>
      </c>
      <c r="IG8" s="2213">
        <f t="shared" si="3"/>
        <v>241</v>
      </c>
      <c r="IH8" s="2213">
        <f t="shared" si="3"/>
        <v>242</v>
      </c>
      <c r="II8" s="2213">
        <f t="shared" si="3"/>
        <v>243</v>
      </c>
      <c r="IJ8" s="2213">
        <f t="shared" si="3"/>
        <v>244</v>
      </c>
      <c r="IK8" s="2213">
        <f t="shared" si="3"/>
        <v>245</v>
      </c>
      <c r="IL8" s="2213">
        <f t="shared" si="3"/>
        <v>246</v>
      </c>
      <c r="IM8" s="2213">
        <f t="shared" si="3"/>
        <v>247</v>
      </c>
      <c r="IN8" s="2213">
        <f t="shared" si="3"/>
        <v>248</v>
      </c>
      <c r="IO8" s="2213">
        <f t="shared" si="3"/>
        <v>249</v>
      </c>
      <c r="IP8" s="2213">
        <f t="shared" si="3"/>
        <v>250</v>
      </c>
      <c r="IQ8" s="2213">
        <f t="shared" si="3"/>
        <v>251</v>
      </c>
      <c r="IR8" s="2213">
        <f t="shared" si="3"/>
        <v>252</v>
      </c>
      <c r="IS8" s="2213">
        <f t="shared" si="3"/>
        <v>253</v>
      </c>
      <c r="IT8" s="2213">
        <f t="shared" si="3"/>
        <v>254</v>
      </c>
      <c r="IU8" s="2213">
        <f t="shared" si="3"/>
        <v>255</v>
      </c>
      <c r="IV8" s="2213">
        <f>IU8+1</f>
        <v>256</v>
      </c>
    </row>
    <row r="9" spans="1:256">
      <c r="A9" s="2214">
        <v>0</v>
      </c>
      <c r="B9" s="2925">
        <v>15491.64</v>
      </c>
      <c r="C9" s="2227">
        <v>14277.92</v>
      </c>
      <c r="D9" s="2925">
        <v>14491.64</v>
      </c>
      <c r="E9" s="2227">
        <v>13004.89</v>
      </c>
      <c r="F9" s="2925">
        <v>13751</v>
      </c>
      <c r="G9" s="2227">
        <v>12634.26</v>
      </c>
      <c r="H9" s="2926">
        <v>12951</v>
      </c>
      <c r="I9" s="2925">
        <v>18470.68</v>
      </c>
      <c r="J9" s="2925">
        <v>18470.68</v>
      </c>
      <c r="K9" s="2227">
        <v>14586.49</v>
      </c>
      <c r="L9" s="2925">
        <v>16052</v>
      </c>
      <c r="M9" s="2227">
        <v>14586.49</v>
      </c>
      <c r="N9" s="2925">
        <v>15255.43</v>
      </c>
      <c r="O9" s="2925">
        <v>15255.43</v>
      </c>
      <c r="P9" s="2227">
        <v>13519.32</v>
      </c>
      <c r="Q9" s="2925">
        <v>15052</v>
      </c>
      <c r="R9" s="2227">
        <v>13295.94</v>
      </c>
      <c r="S9" s="2925">
        <v>14052</v>
      </c>
      <c r="T9" s="2925">
        <v>14052</v>
      </c>
      <c r="U9" s="2227">
        <v>13295.94</v>
      </c>
      <c r="V9" s="2925">
        <v>14052</v>
      </c>
      <c r="W9" s="2227">
        <v>13004.89</v>
      </c>
      <c r="X9" s="2925">
        <v>13190.84</v>
      </c>
      <c r="Y9" s="2925">
        <v>13190.84</v>
      </c>
      <c r="Z9" s="2925">
        <v>12952</v>
      </c>
      <c r="AA9" s="2925">
        <v>19674</v>
      </c>
      <c r="AB9" s="2227">
        <v>15905</v>
      </c>
      <c r="AC9" s="2925">
        <v>17974</v>
      </c>
      <c r="AD9" s="2227">
        <v>15692.86</v>
      </c>
      <c r="AE9" s="2925">
        <v>16274</v>
      </c>
      <c r="AF9" s="2227">
        <v>14558.01</v>
      </c>
      <c r="AG9" s="2925">
        <v>14274</v>
      </c>
      <c r="AH9" s="2925">
        <v>19674</v>
      </c>
      <c r="AI9" s="2925">
        <v>19674</v>
      </c>
      <c r="AJ9" s="2227">
        <v>17990.45</v>
      </c>
      <c r="AK9" s="2925">
        <v>17990.45</v>
      </c>
      <c r="AL9" s="2925">
        <v>17974</v>
      </c>
      <c r="AM9" s="2227">
        <v>15905</v>
      </c>
      <c r="AN9" s="2925">
        <v>16274</v>
      </c>
      <c r="AO9" s="2925">
        <v>16274</v>
      </c>
      <c r="AP9" s="2227">
        <v>15692.86</v>
      </c>
      <c r="AQ9" s="2925">
        <v>15692.86</v>
      </c>
      <c r="AR9" s="2925">
        <v>14558.01</v>
      </c>
      <c r="AS9" s="2923">
        <v>20903</v>
      </c>
      <c r="AT9" s="2227">
        <v>18404.490000000002</v>
      </c>
      <c r="AU9" s="2923">
        <v>20103.5</v>
      </c>
      <c r="AV9" s="2227">
        <v>17732.189999999999</v>
      </c>
      <c r="AW9" s="2923">
        <v>19304</v>
      </c>
      <c r="AX9" s="2227">
        <v>16427.099999999999</v>
      </c>
      <c r="AY9" s="2923">
        <v>16804</v>
      </c>
      <c r="AZ9" s="2925">
        <v>21773</v>
      </c>
      <c r="BA9" s="2227">
        <v>20424.04</v>
      </c>
      <c r="BB9" s="2923">
        <v>21346.560000000001</v>
      </c>
      <c r="BC9" s="2227">
        <v>19600.32</v>
      </c>
      <c r="BD9" s="2925">
        <v>25401</v>
      </c>
      <c r="BE9" s="2227">
        <v>22393.07</v>
      </c>
      <c r="BF9" s="2923">
        <v>22364.16</v>
      </c>
      <c r="BG9" s="2227">
        <v>21494.16</v>
      </c>
      <c r="BH9" s="2925">
        <v>20973.5</v>
      </c>
      <c r="BI9" s="2227">
        <v>19710.61</v>
      </c>
      <c r="BJ9" s="2923">
        <v>21346.560000000001</v>
      </c>
      <c r="BK9" s="2227">
        <v>18788.560000000001</v>
      </c>
      <c r="BL9" s="2925">
        <v>24144</v>
      </c>
      <c r="BM9" s="2227">
        <v>21807.9</v>
      </c>
      <c r="BN9" s="2923">
        <v>21948.61</v>
      </c>
      <c r="BO9" s="2227">
        <v>21078.61</v>
      </c>
      <c r="BP9" s="2925">
        <v>20174</v>
      </c>
      <c r="BQ9" s="2227">
        <v>17854.3</v>
      </c>
      <c r="BR9" s="2923">
        <v>19304</v>
      </c>
      <c r="BS9" s="2227">
        <v>17728.11</v>
      </c>
      <c r="BT9" s="2925">
        <v>21144</v>
      </c>
      <c r="BU9" s="2227">
        <v>18442.68</v>
      </c>
      <c r="BV9" s="2923">
        <v>19304</v>
      </c>
      <c r="BW9" s="2227">
        <v>17905.400000000001</v>
      </c>
      <c r="BX9" s="2925">
        <v>17674</v>
      </c>
      <c r="BY9" s="2923">
        <v>16804</v>
      </c>
      <c r="BZ9" s="2924">
        <v>18144</v>
      </c>
      <c r="CA9" s="2923">
        <v>16804</v>
      </c>
      <c r="CB9" s="2227">
        <v>53360</v>
      </c>
      <c r="CC9" s="2227">
        <v>50360</v>
      </c>
      <c r="CD9" s="2227">
        <v>47360</v>
      </c>
      <c r="CE9" s="2227">
        <v>45570</v>
      </c>
      <c r="CF9" s="2227">
        <v>42570</v>
      </c>
      <c r="CG9" s="2227">
        <v>39570</v>
      </c>
      <c r="CH9" s="2227">
        <v>38880</v>
      </c>
      <c r="CI9" s="2227">
        <v>35880</v>
      </c>
      <c r="CJ9" s="2227">
        <v>32380</v>
      </c>
      <c r="CK9" s="2227">
        <v>31880</v>
      </c>
      <c r="CL9" s="2227">
        <v>28880</v>
      </c>
      <c r="CM9" s="2227">
        <v>25880</v>
      </c>
      <c r="CN9" s="2227">
        <v>23880</v>
      </c>
      <c r="CO9" s="2227">
        <v>21880</v>
      </c>
      <c r="CP9" s="2227">
        <v>13543.21</v>
      </c>
      <c r="CQ9" s="2227">
        <v>12246.7</v>
      </c>
      <c r="CR9" s="2227">
        <v>12776.52</v>
      </c>
      <c r="CS9" s="2227">
        <v>20705.34</v>
      </c>
      <c r="CT9" s="2227">
        <v>15255.43</v>
      </c>
      <c r="CU9" s="2227">
        <v>15022.35</v>
      </c>
      <c r="CV9" s="2227">
        <v>15022.35</v>
      </c>
      <c r="CW9" s="2227">
        <v>15022.35</v>
      </c>
      <c r="CX9" s="2227">
        <v>15022.35</v>
      </c>
      <c r="CY9" s="2227">
        <v>14250</v>
      </c>
      <c r="CZ9" s="2227">
        <v>17990.45</v>
      </c>
      <c r="DA9" s="2227">
        <v>18470.68</v>
      </c>
      <c r="DB9" s="2227">
        <v>15692.86</v>
      </c>
      <c r="DC9" s="2227">
        <v>15905</v>
      </c>
      <c r="DD9" s="2227">
        <v>14278.67</v>
      </c>
      <c r="DE9" s="2227">
        <v>14273.7</v>
      </c>
      <c r="DF9" s="2227">
        <v>14419.76</v>
      </c>
      <c r="DG9" s="2227">
        <v>13550</v>
      </c>
      <c r="DH9" s="2227">
        <v>14300</v>
      </c>
      <c r="DI9" s="2227">
        <v>12643.57</v>
      </c>
      <c r="DJ9" s="2227">
        <v>12643.57</v>
      </c>
      <c r="DK9" s="2227">
        <v>15500</v>
      </c>
      <c r="DL9" s="2227">
        <v>16456.84</v>
      </c>
      <c r="DM9" s="2227">
        <v>15900</v>
      </c>
      <c r="DN9" s="2227">
        <v>12394.68</v>
      </c>
      <c r="DO9" s="2227">
        <v>17728.11</v>
      </c>
      <c r="DP9" s="2227">
        <v>13088.78</v>
      </c>
      <c r="DQ9" s="2227">
        <v>22497.86</v>
      </c>
      <c r="DR9" s="2227">
        <v>14558.01</v>
      </c>
      <c r="DS9" s="2227">
        <v>13550</v>
      </c>
      <c r="DT9" s="2227">
        <v>13039.2</v>
      </c>
      <c r="DU9" s="2227">
        <v>12394.68</v>
      </c>
      <c r="DV9" s="2227">
        <v>15692.86</v>
      </c>
      <c r="DW9" s="2227">
        <v>13004.89</v>
      </c>
      <c r="DX9" s="2227">
        <v>18850</v>
      </c>
      <c r="DY9" s="2227">
        <v>12763.57</v>
      </c>
      <c r="DZ9" s="2227">
        <v>17905.400000000001</v>
      </c>
      <c r="EA9" s="2227">
        <v>15476.56</v>
      </c>
      <c r="EB9" s="2227">
        <v>25507.15</v>
      </c>
      <c r="EC9" s="2227">
        <v>16013.93</v>
      </c>
      <c r="ED9" s="2227">
        <v>13510.2</v>
      </c>
      <c r="EE9" s="2227">
        <v>14200</v>
      </c>
      <c r="EF9" s="2227">
        <v>13519.32</v>
      </c>
      <c r="EG9" s="2227">
        <v>14586.49</v>
      </c>
      <c r="EH9" s="2227">
        <v>13832.46</v>
      </c>
      <c r="EI9" s="2227">
        <v>17848.34</v>
      </c>
      <c r="EJ9" s="2227">
        <v>21807.9</v>
      </c>
      <c r="EK9" s="2227">
        <v>14397.03</v>
      </c>
      <c r="EL9" s="2227">
        <v>13088.78</v>
      </c>
      <c r="EM9" s="2227">
        <v>25507.15</v>
      </c>
      <c r="EN9" s="2227">
        <v>18442.68</v>
      </c>
      <c r="EO9" s="2227">
        <v>11669.49</v>
      </c>
      <c r="EP9" s="2227">
        <v>13300</v>
      </c>
      <c r="EQ9" s="2227">
        <v>12855.71</v>
      </c>
      <c r="ER9" s="2227">
        <v>15518.14</v>
      </c>
      <c r="ES9" s="2227">
        <v>13361.02</v>
      </c>
      <c r="ET9" s="2227">
        <v>13004.89</v>
      </c>
      <c r="EU9" s="2227">
        <v>15493.35</v>
      </c>
      <c r="EV9" s="2227">
        <v>17854.3</v>
      </c>
      <c r="EW9" s="2227">
        <v>13120.29</v>
      </c>
      <c r="EX9" s="2227">
        <v>12855.66</v>
      </c>
      <c r="EY9" s="2227">
        <v>17300</v>
      </c>
      <c r="EZ9" s="2227">
        <v>21814.639999999999</v>
      </c>
      <c r="FA9" s="2227">
        <v>12506.16</v>
      </c>
      <c r="FB9" s="2227">
        <v>13634.15</v>
      </c>
      <c r="FC9" s="2227">
        <v>24050</v>
      </c>
      <c r="FD9" s="2227">
        <v>21850</v>
      </c>
      <c r="FE9" s="2227">
        <v>27923.8</v>
      </c>
      <c r="FF9" s="2227">
        <v>12900</v>
      </c>
      <c r="FG9" s="2227">
        <v>21078.61</v>
      </c>
      <c r="FH9" s="2227">
        <v>13510.2</v>
      </c>
      <c r="FI9" s="2227">
        <v>13295.94</v>
      </c>
      <c r="FJ9" s="2227">
        <v>11905.46</v>
      </c>
      <c r="FK9" s="2227">
        <v>18788.560000000001</v>
      </c>
      <c r="FL9" s="2227">
        <v>13088.78</v>
      </c>
      <c r="FM9" s="2227">
        <v>14005.67</v>
      </c>
      <c r="FN9" s="2227">
        <v>14250</v>
      </c>
      <c r="FO9" s="2227">
        <v>21070.95</v>
      </c>
      <c r="FP9" s="2227">
        <v>15518.14</v>
      </c>
      <c r="FQ9" s="2227">
        <v>12034.49</v>
      </c>
      <c r="FR9" s="2227">
        <v>20400</v>
      </c>
      <c r="FS9" s="2227">
        <v>24050</v>
      </c>
      <c r="FT9" s="2227">
        <v>21070.95</v>
      </c>
      <c r="FU9" s="2227">
        <v>13510.2</v>
      </c>
      <c r="FV9" s="2227">
        <v>23100</v>
      </c>
      <c r="FW9" s="2227">
        <v>13782.88</v>
      </c>
      <c r="FX9" s="2227">
        <v>14873.62</v>
      </c>
      <c r="FY9" s="2227">
        <v>12823.83</v>
      </c>
      <c r="FZ9" s="2227">
        <v>12728.37</v>
      </c>
      <c r="GA9" s="2227">
        <v>16319.98</v>
      </c>
      <c r="GB9" s="2227">
        <v>22393.07</v>
      </c>
      <c r="GC9" s="2227">
        <v>13088.78</v>
      </c>
      <c r="GD9" s="2227">
        <v>12355.04</v>
      </c>
      <c r="GE9" s="2227">
        <v>18740.759999999998</v>
      </c>
      <c r="GF9" s="2227">
        <v>19550</v>
      </c>
      <c r="GG9" s="2227">
        <v>30871.52</v>
      </c>
      <c r="GH9" s="2227">
        <v>14824.03</v>
      </c>
      <c r="GI9" s="2227">
        <v>13677.28</v>
      </c>
      <c r="GJ9" s="2227">
        <v>12394.68</v>
      </c>
      <c r="GK9" s="2227">
        <v>12506.16</v>
      </c>
      <c r="GL9" s="2227">
        <v>17732.189999999999</v>
      </c>
      <c r="GM9" s="2227">
        <v>12890.79</v>
      </c>
      <c r="GN9" s="2227">
        <v>15394.19</v>
      </c>
      <c r="GO9" s="2227">
        <v>12985.88</v>
      </c>
      <c r="GP9" s="2227">
        <v>17526.080000000002</v>
      </c>
      <c r="GQ9" s="2227">
        <v>12768.73</v>
      </c>
      <c r="GR9" s="2227">
        <v>11665.34</v>
      </c>
      <c r="GS9" s="2227">
        <v>12334.52</v>
      </c>
      <c r="GT9" s="2227">
        <v>12763.57</v>
      </c>
      <c r="GU9" s="2227">
        <v>15460.15</v>
      </c>
      <c r="GV9" s="2227">
        <v>13409.11</v>
      </c>
      <c r="GW9" s="2227">
        <v>25656.98</v>
      </c>
      <c r="GX9" s="2227">
        <v>28628.37</v>
      </c>
      <c r="GY9" s="2227">
        <v>30715.07</v>
      </c>
      <c r="GZ9" s="2227">
        <v>12355.04</v>
      </c>
      <c r="HA9" s="2227">
        <v>12334.26</v>
      </c>
      <c r="HB9" s="2227">
        <v>13088.78</v>
      </c>
      <c r="HC9" s="2227">
        <v>12041.33</v>
      </c>
      <c r="HD9" s="2227">
        <v>12756.28</v>
      </c>
      <c r="HE9" s="2227">
        <v>17005.5</v>
      </c>
      <c r="HF9" s="2227">
        <v>18550</v>
      </c>
      <c r="HG9" s="2227">
        <v>13871.23</v>
      </c>
      <c r="HH9" s="2227">
        <v>15900</v>
      </c>
      <c r="HI9" s="2227">
        <v>15323.33</v>
      </c>
      <c r="HJ9" s="2227">
        <v>14005.67</v>
      </c>
      <c r="HK9" s="2227">
        <v>20424.04</v>
      </c>
      <c r="HL9" s="2227">
        <v>27950</v>
      </c>
      <c r="HM9" s="2227">
        <v>14824.03</v>
      </c>
      <c r="HN9" s="2227">
        <v>13138.36</v>
      </c>
      <c r="HO9" s="2227">
        <v>12394.68</v>
      </c>
      <c r="HP9" s="2227">
        <v>14300.06</v>
      </c>
      <c r="HQ9" s="2227">
        <v>16319.98</v>
      </c>
      <c r="HR9" s="2227">
        <v>21400</v>
      </c>
      <c r="HS9" s="2227">
        <v>15865.19</v>
      </c>
      <c r="HT9" s="2227">
        <v>17228.599999999999</v>
      </c>
      <c r="HU9" s="2227">
        <v>21014.43</v>
      </c>
      <c r="HV9" s="2227">
        <v>20398.34</v>
      </c>
      <c r="HW9" s="2227">
        <v>14824.03</v>
      </c>
      <c r="HX9" s="2227">
        <v>12506.16</v>
      </c>
      <c r="HY9" s="2227">
        <v>12680.95</v>
      </c>
      <c r="HZ9" s="2227">
        <v>12146.47</v>
      </c>
      <c r="IA9" s="2227">
        <v>12334.26</v>
      </c>
      <c r="IB9" s="2227">
        <v>13922.08</v>
      </c>
      <c r="IC9" s="2227">
        <v>15798.51</v>
      </c>
      <c r="ID9" s="2227">
        <v>15243.03</v>
      </c>
      <c r="IE9" s="2227">
        <v>15493.35</v>
      </c>
      <c r="IF9" s="2227">
        <v>13301.28</v>
      </c>
      <c r="IG9" s="2227">
        <v>18868.11</v>
      </c>
      <c r="IH9" s="2227">
        <v>13510.2</v>
      </c>
      <c r="II9" s="2227">
        <v>16023.84</v>
      </c>
      <c r="IJ9" s="2227">
        <v>22310.42</v>
      </c>
      <c r="IK9" s="2227">
        <v>16274.21</v>
      </c>
      <c r="IL9" s="2227">
        <v>19600.32</v>
      </c>
      <c r="IM9" s="2227">
        <v>15101.95</v>
      </c>
      <c r="IN9" s="2227">
        <v>23549.89</v>
      </c>
      <c r="IO9" s="2227">
        <v>23971.31</v>
      </c>
      <c r="IP9" s="2227">
        <v>21850</v>
      </c>
      <c r="IQ9" s="2227">
        <v>21014.43</v>
      </c>
      <c r="IR9" s="2227">
        <v>36721.24</v>
      </c>
      <c r="IS9" s="2227">
        <v>21002.44</v>
      </c>
      <c r="IT9" s="2227">
        <v>29648.07</v>
      </c>
      <c r="IU9" s="2227">
        <v>21075.91</v>
      </c>
      <c r="IV9" s="2227">
        <v>15692.86</v>
      </c>
    </row>
    <row r="10" spans="1:256">
      <c r="A10" s="2214">
        <v>1</v>
      </c>
      <c r="B10" s="2925">
        <v>15602.64</v>
      </c>
      <c r="C10" s="2227">
        <v>14386.64</v>
      </c>
      <c r="D10" s="2925">
        <v>14602.64</v>
      </c>
      <c r="E10" s="2227">
        <v>13113.61</v>
      </c>
      <c r="F10" s="2925">
        <v>13778</v>
      </c>
      <c r="G10" s="2227">
        <v>12742.98</v>
      </c>
      <c r="H10" s="2926">
        <v>12978</v>
      </c>
      <c r="I10" s="2925">
        <v>18689.34</v>
      </c>
      <c r="J10" s="2925">
        <v>18689.34</v>
      </c>
      <c r="K10" s="2227">
        <v>14805.15</v>
      </c>
      <c r="L10" s="2925">
        <v>16174</v>
      </c>
      <c r="M10" s="2227">
        <v>14805.15</v>
      </c>
      <c r="N10" s="2925">
        <v>15474.09</v>
      </c>
      <c r="O10" s="2925">
        <v>15474.09</v>
      </c>
      <c r="P10" s="2227">
        <v>13737.98</v>
      </c>
      <c r="Q10" s="2925">
        <v>15174</v>
      </c>
      <c r="R10" s="2227">
        <v>13436.03</v>
      </c>
      <c r="S10" s="2925">
        <v>14174</v>
      </c>
      <c r="T10" s="2925">
        <v>14217.98</v>
      </c>
      <c r="U10" s="2227">
        <v>13436.03</v>
      </c>
      <c r="V10" s="2925">
        <v>14174</v>
      </c>
      <c r="W10" s="2227">
        <v>13144.98</v>
      </c>
      <c r="X10" s="2925">
        <v>13330.93</v>
      </c>
      <c r="Y10" s="2925">
        <v>13330.93</v>
      </c>
      <c r="Z10" s="2925">
        <v>13074</v>
      </c>
      <c r="AA10" s="2925">
        <v>19874</v>
      </c>
      <c r="AB10" s="2227">
        <v>16172.31</v>
      </c>
      <c r="AC10" s="2925">
        <v>18174</v>
      </c>
      <c r="AD10" s="2227">
        <v>16004.95</v>
      </c>
      <c r="AE10" s="2925">
        <v>16474</v>
      </c>
      <c r="AF10" s="2227">
        <v>14825.32</v>
      </c>
      <c r="AG10" s="2925">
        <v>14541.01</v>
      </c>
      <c r="AH10" s="2925">
        <v>19874</v>
      </c>
      <c r="AI10" s="2925">
        <v>19874</v>
      </c>
      <c r="AJ10" s="2227">
        <v>18257.759999999998</v>
      </c>
      <c r="AK10" s="2925">
        <v>18257.759999999998</v>
      </c>
      <c r="AL10" s="2925">
        <v>18174</v>
      </c>
      <c r="AM10" s="2227">
        <v>16172.31</v>
      </c>
      <c r="AN10" s="2925">
        <v>16474</v>
      </c>
      <c r="AO10" s="2925">
        <v>16474</v>
      </c>
      <c r="AP10" s="2227">
        <v>16004.95</v>
      </c>
      <c r="AQ10" s="2925">
        <v>16004.95</v>
      </c>
      <c r="AR10" s="2925">
        <v>14825.32</v>
      </c>
      <c r="AS10" s="2923">
        <v>21523</v>
      </c>
      <c r="AT10" s="2227">
        <v>18656.669999999998</v>
      </c>
      <c r="AU10" s="2923">
        <v>20540</v>
      </c>
      <c r="AV10" s="2227">
        <v>17984.37</v>
      </c>
      <c r="AW10" s="2923">
        <v>19557</v>
      </c>
      <c r="AX10" s="2227">
        <v>16887.689999999999</v>
      </c>
      <c r="AY10" s="2923">
        <v>17057</v>
      </c>
      <c r="AZ10" s="2925">
        <v>22393</v>
      </c>
      <c r="BA10" s="2227">
        <v>20736.13</v>
      </c>
      <c r="BB10" s="2923">
        <v>21598.74</v>
      </c>
      <c r="BC10" s="2227">
        <v>19892.91</v>
      </c>
      <c r="BD10" s="2925">
        <v>25773</v>
      </c>
      <c r="BE10" s="2227">
        <v>22645.25</v>
      </c>
      <c r="BF10" s="2923">
        <v>22656.75</v>
      </c>
      <c r="BG10" s="2227">
        <v>21786.75</v>
      </c>
      <c r="BH10" s="2925">
        <v>21410</v>
      </c>
      <c r="BI10" s="2227">
        <v>20022.7</v>
      </c>
      <c r="BJ10" s="2923">
        <v>21598.74</v>
      </c>
      <c r="BK10" s="2227">
        <v>19081.150000000001</v>
      </c>
      <c r="BL10" s="2925">
        <v>24397</v>
      </c>
      <c r="BM10" s="2227">
        <v>22060.080000000002</v>
      </c>
      <c r="BN10" s="2923">
        <v>22241.200000000001</v>
      </c>
      <c r="BO10" s="2227">
        <v>21371.200000000001</v>
      </c>
      <c r="BP10" s="2925">
        <v>20427</v>
      </c>
      <c r="BQ10" s="2227">
        <v>18166.39</v>
      </c>
      <c r="BR10" s="2923">
        <v>19557</v>
      </c>
      <c r="BS10" s="2227">
        <v>17980.29</v>
      </c>
      <c r="BT10" s="2925">
        <v>21397</v>
      </c>
      <c r="BU10" s="2227">
        <v>18694.86</v>
      </c>
      <c r="BV10" s="2923">
        <v>19661</v>
      </c>
      <c r="BW10" s="2227">
        <v>18157.580000000002</v>
      </c>
      <c r="BX10" s="2925">
        <v>17927</v>
      </c>
      <c r="BY10" s="2923">
        <v>17057</v>
      </c>
      <c r="BZ10" s="2924">
        <v>18397</v>
      </c>
      <c r="CA10" s="2923">
        <v>17057</v>
      </c>
      <c r="CB10" s="2227">
        <v>53970</v>
      </c>
      <c r="CC10" s="2227">
        <v>50970</v>
      </c>
      <c r="CD10" s="2227">
        <v>47970</v>
      </c>
      <c r="CE10" s="2227">
        <v>46180</v>
      </c>
      <c r="CF10" s="2227">
        <v>43180</v>
      </c>
      <c r="CG10" s="2227">
        <v>40180</v>
      </c>
      <c r="CH10" s="2227">
        <v>39400</v>
      </c>
      <c r="CI10" s="2227">
        <v>36400</v>
      </c>
      <c r="CJ10" s="2227">
        <v>32900</v>
      </c>
      <c r="CK10" s="2227">
        <v>32360</v>
      </c>
      <c r="CL10" s="2227">
        <v>29360</v>
      </c>
      <c r="CM10" s="2227">
        <v>26360</v>
      </c>
      <c r="CN10" s="2227">
        <v>24325</v>
      </c>
      <c r="CO10" s="2227">
        <v>22325</v>
      </c>
      <c r="CP10" s="2227">
        <v>13810.52</v>
      </c>
      <c r="CQ10" s="2227">
        <v>12355.42</v>
      </c>
      <c r="CR10" s="2227">
        <v>12916.61</v>
      </c>
      <c r="CS10" s="2227">
        <v>21329.61</v>
      </c>
      <c r="CT10" s="2227">
        <v>15474.09</v>
      </c>
      <c r="CU10" s="2227">
        <v>15282.64</v>
      </c>
      <c r="CV10" s="2227">
        <v>15282.64</v>
      </c>
      <c r="CW10" s="2227">
        <v>15282.64</v>
      </c>
      <c r="CX10" s="2227">
        <v>15282.64</v>
      </c>
      <c r="CY10" s="2227">
        <v>14800</v>
      </c>
      <c r="CZ10" s="2227">
        <v>18257.759999999998</v>
      </c>
      <c r="DA10" s="2227">
        <v>18689.34</v>
      </c>
      <c r="DB10" s="2227">
        <v>16004.95</v>
      </c>
      <c r="DC10" s="2227">
        <v>16172.31</v>
      </c>
      <c r="DD10" s="2227">
        <v>14532.77</v>
      </c>
      <c r="DE10" s="2227">
        <v>14541.01</v>
      </c>
      <c r="DF10" s="2227">
        <v>14671.94</v>
      </c>
      <c r="DG10" s="2227">
        <v>14150</v>
      </c>
      <c r="DH10" s="2227">
        <v>14650</v>
      </c>
      <c r="DI10" s="2227">
        <v>12783.66</v>
      </c>
      <c r="DJ10" s="2227">
        <v>12783.66</v>
      </c>
      <c r="DK10" s="2227">
        <v>15850</v>
      </c>
      <c r="DL10" s="2227">
        <v>16709.02</v>
      </c>
      <c r="DM10" s="2227">
        <v>16550</v>
      </c>
      <c r="DN10" s="2227">
        <v>12518.63</v>
      </c>
      <c r="DO10" s="2227">
        <v>17980.29</v>
      </c>
      <c r="DP10" s="2227">
        <v>13435.84</v>
      </c>
      <c r="DQ10" s="2227">
        <v>23122.13</v>
      </c>
      <c r="DR10" s="2227">
        <v>14825.32</v>
      </c>
      <c r="DS10" s="2227">
        <v>13700</v>
      </c>
      <c r="DT10" s="2227">
        <v>13219.77</v>
      </c>
      <c r="DU10" s="2227">
        <v>14055.57</v>
      </c>
      <c r="DV10" s="2227">
        <v>16004.95</v>
      </c>
      <c r="DW10" s="2227">
        <v>13144.98</v>
      </c>
      <c r="DX10" s="2227">
        <v>19450</v>
      </c>
      <c r="DY10" s="2227">
        <v>12942.33</v>
      </c>
      <c r="DZ10" s="2227">
        <v>18157.580000000002</v>
      </c>
      <c r="EA10" s="2227">
        <v>15728.74</v>
      </c>
      <c r="EB10" s="2227">
        <v>26131.42</v>
      </c>
      <c r="EC10" s="2227">
        <v>16683.25</v>
      </c>
      <c r="ED10" s="2227">
        <v>14005.99</v>
      </c>
      <c r="EE10" s="2227">
        <v>14350</v>
      </c>
      <c r="EF10" s="2227">
        <v>13737.98</v>
      </c>
      <c r="EG10" s="2227">
        <v>14805.15</v>
      </c>
      <c r="EH10" s="2227">
        <v>14179.52</v>
      </c>
      <c r="EI10" s="2227">
        <v>18244.97</v>
      </c>
      <c r="EJ10" s="2227">
        <v>22060.080000000002</v>
      </c>
      <c r="EK10" s="2227">
        <v>14649.21</v>
      </c>
      <c r="EL10" s="2227">
        <v>13435.84</v>
      </c>
      <c r="EM10" s="2227">
        <v>26131.42</v>
      </c>
      <c r="EN10" s="2227">
        <v>18694.86</v>
      </c>
      <c r="EO10" s="2227">
        <v>11862.55</v>
      </c>
      <c r="EP10" s="2227">
        <v>13650</v>
      </c>
      <c r="EQ10" s="2227">
        <v>13123.14</v>
      </c>
      <c r="ER10" s="2227">
        <v>15741.25</v>
      </c>
      <c r="ES10" s="2227">
        <v>13592.93</v>
      </c>
      <c r="ET10" s="2227">
        <v>13113.61</v>
      </c>
      <c r="EU10" s="2227">
        <v>16038.72</v>
      </c>
      <c r="EV10" s="2227">
        <v>18166.39</v>
      </c>
      <c r="EW10" s="2227">
        <v>13393.23</v>
      </c>
      <c r="EX10" s="2227">
        <v>13200.01</v>
      </c>
      <c r="EY10" s="2227">
        <v>17800</v>
      </c>
      <c r="EZ10" s="2227">
        <v>22310.43</v>
      </c>
      <c r="FA10" s="2227">
        <v>12681.33</v>
      </c>
      <c r="FB10" s="2227">
        <v>13993.6</v>
      </c>
      <c r="FC10" s="2227">
        <v>24800</v>
      </c>
      <c r="FD10" s="2227">
        <v>22600</v>
      </c>
      <c r="FE10" s="2227">
        <v>27923.8</v>
      </c>
      <c r="FF10" s="2227">
        <v>13050</v>
      </c>
      <c r="FG10" s="2227">
        <v>21371.200000000001</v>
      </c>
      <c r="FH10" s="2227">
        <v>14923.2</v>
      </c>
      <c r="FI10" s="2227">
        <v>13436.03</v>
      </c>
      <c r="FJ10" s="2227">
        <v>12098.52</v>
      </c>
      <c r="FK10" s="2227">
        <v>19081.150000000001</v>
      </c>
      <c r="FL10" s="2227">
        <v>13435.84</v>
      </c>
      <c r="FM10" s="2227">
        <v>14315.39</v>
      </c>
      <c r="FN10" s="2227">
        <v>14800</v>
      </c>
      <c r="FO10" s="2227">
        <v>21393.22</v>
      </c>
      <c r="FP10" s="2227">
        <v>16013.93</v>
      </c>
      <c r="FQ10" s="2227">
        <v>12263.14</v>
      </c>
      <c r="FR10" s="2227">
        <v>21000</v>
      </c>
      <c r="FS10" s="2227">
        <v>24800</v>
      </c>
      <c r="FT10" s="2227">
        <v>21839.42</v>
      </c>
      <c r="FU10" s="2227">
        <v>14055.57</v>
      </c>
      <c r="FV10" s="2227">
        <v>23800</v>
      </c>
      <c r="FW10" s="2227">
        <v>14162.16</v>
      </c>
      <c r="FX10" s="2227">
        <v>15121.52</v>
      </c>
      <c r="FY10" s="2227">
        <v>12963.92</v>
      </c>
      <c r="FZ10" s="2227">
        <v>13114.12</v>
      </c>
      <c r="GA10" s="2227">
        <v>16676.46</v>
      </c>
      <c r="GB10" s="2227">
        <v>22645.25</v>
      </c>
      <c r="GC10" s="2227">
        <v>13435.84</v>
      </c>
      <c r="GD10" s="2227">
        <v>12515.65</v>
      </c>
      <c r="GE10" s="2227">
        <v>19534.02</v>
      </c>
      <c r="GF10" s="2227">
        <v>20350</v>
      </c>
      <c r="GG10" s="2227">
        <v>30871.52</v>
      </c>
      <c r="GH10" s="2227">
        <v>15171.08</v>
      </c>
      <c r="GI10" s="2227">
        <v>13942.25</v>
      </c>
      <c r="GJ10" s="2227">
        <v>13287.1</v>
      </c>
      <c r="GK10" s="2227">
        <v>12791.09</v>
      </c>
      <c r="GL10" s="2227">
        <v>17984.37</v>
      </c>
      <c r="GM10" s="2227">
        <v>13066.08</v>
      </c>
      <c r="GN10" s="2227">
        <v>15666.87</v>
      </c>
      <c r="GO10" s="2227">
        <v>13280.8</v>
      </c>
      <c r="GP10" s="2227">
        <v>18026.830000000002</v>
      </c>
      <c r="GQ10" s="2227">
        <v>12910.21</v>
      </c>
      <c r="GR10" s="2227">
        <v>11854.53</v>
      </c>
      <c r="GS10" s="2227">
        <v>12527.58</v>
      </c>
      <c r="GT10" s="2227">
        <v>12942.33</v>
      </c>
      <c r="GU10" s="2227">
        <v>15763.15</v>
      </c>
      <c r="GV10" s="2227">
        <v>13673.77</v>
      </c>
      <c r="GW10" s="2227">
        <v>26251.919999999998</v>
      </c>
      <c r="GX10" s="2227">
        <v>29252.639999999999</v>
      </c>
      <c r="GY10" s="2227">
        <v>30715.07</v>
      </c>
      <c r="GZ10" s="2227">
        <v>12515.65</v>
      </c>
      <c r="HA10" s="2227">
        <v>12442.98</v>
      </c>
      <c r="HB10" s="2227">
        <v>13435.84</v>
      </c>
      <c r="HC10" s="2227">
        <v>12270.14</v>
      </c>
      <c r="HD10" s="2227">
        <v>12934.94</v>
      </c>
      <c r="HE10" s="2227">
        <v>17550.87</v>
      </c>
      <c r="HF10" s="2227">
        <v>19100</v>
      </c>
      <c r="HG10" s="2227">
        <v>14364.19</v>
      </c>
      <c r="HH10" s="2227">
        <v>16550</v>
      </c>
      <c r="HI10" s="2227">
        <v>15575.51</v>
      </c>
      <c r="HJ10" s="2227">
        <v>14315.39</v>
      </c>
      <c r="HK10" s="2227">
        <v>20736.13</v>
      </c>
      <c r="HL10" s="2227">
        <v>28700</v>
      </c>
      <c r="HM10" s="2227">
        <v>15171.09</v>
      </c>
      <c r="HN10" s="2227">
        <v>13485.42</v>
      </c>
      <c r="HO10" s="2227">
        <v>14055.57</v>
      </c>
      <c r="HP10" s="2227">
        <v>14567.61</v>
      </c>
      <c r="HQ10" s="2227">
        <v>16676.46</v>
      </c>
      <c r="HR10" s="2227">
        <v>22300</v>
      </c>
      <c r="HS10" s="2227">
        <v>16360.97</v>
      </c>
      <c r="HT10" s="2227">
        <v>17773.97</v>
      </c>
      <c r="HU10" s="2227">
        <v>21651.17</v>
      </c>
      <c r="HV10" s="2227">
        <v>21016.41</v>
      </c>
      <c r="HW10" s="2227">
        <v>15171.08</v>
      </c>
      <c r="HX10" s="2227">
        <v>12681.33</v>
      </c>
      <c r="HY10" s="2227">
        <v>12856.12</v>
      </c>
      <c r="HZ10" s="2227">
        <v>12431.48</v>
      </c>
      <c r="IA10" s="2227">
        <v>12442.98</v>
      </c>
      <c r="IB10" s="2227">
        <v>14100.84</v>
      </c>
      <c r="IC10" s="2227">
        <v>16048.89</v>
      </c>
      <c r="ID10" s="2227">
        <v>15510.46</v>
      </c>
      <c r="IE10" s="2227">
        <v>15741.25</v>
      </c>
      <c r="IF10" s="2227">
        <v>13645.63</v>
      </c>
      <c r="IG10" s="2227">
        <v>19135.419999999998</v>
      </c>
      <c r="IH10" s="2227">
        <v>16360.98</v>
      </c>
      <c r="II10" s="2227">
        <v>16274.22</v>
      </c>
      <c r="IJ10" s="2227">
        <v>22930.16</v>
      </c>
      <c r="IK10" s="2227">
        <v>16649.78</v>
      </c>
      <c r="IL10" s="2227">
        <v>19892.91</v>
      </c>
      <c r="IM10" s="2227">
        <v>15374.89</v>
      </c>
      <c r="IN10" s="2227">
        <v>23847.37</v>
      </c>
      <c r="IO10" s="2227">
        <v>25062.05</v>
      </c>
      <c r="IP10" s="2227">
        <v>22600</v>
      </c>
      <c r="IQ10" s="2227">
        <v>21651.17</v>
      </c>
      <c r="IR10" s="2227">
        <v>36721.24</v>
      </c>
      <c r="IS10" s="2227">
        <v>21638.81</v>
      </c>
      <c r="IT10" s="2227">
        <v>30937.11</v>
      </c>
      <c r="IU10" s="2227">
        <v>21721.7</v>
      </c>
      <c r="IV10" s="2227">
        <v>16004.95</v>
      </c>
    </row>
    <row r="11" spans="1:256">
      <c r="A11" s="2214">
        <v>2</v>
      </c>
      <c r="B11" s="2925">
        <v>15713.44</v>
      </c>
      <c r="C11" s="2227">
        <v>14495.36</v>
      </c>
      <c r="D11" s="2925">
        <v>14713.44</v>
      </c>
      <c r="E11" s="2227">
        <v>13222.33</v>
      </c>
      <c r="F11" s="2925">
        <v>13805</v>
      </c>
      <c r="G11" s="2227">
        <v>12851.7</v>
      </c>
      <c r="H11" s="2926">
        <v>13005</v>
      </c>
      <c r="I11" s="2925">
        <v>18908</v>
      </c>
      <c r="J11" s="2925">
        <v>18908</v>
      </c>
      <c r="K11" s="2227">
        <v>15023.81</v>
      </c>
      <c r="L11" s="2925">
        <v>16295</v>
      </c>
      <c r="M11" s="2227">
        <v>15023.81</v>
      </c>
      <c r="N11" s="2925">
        <v>15692.75</v>
      </c>
      <c r="O11" s="2925">
        <v>15692.75</v>
      </c>
      <c r="P11" s="2227">
        <v>13956.64</v>
      </c>
      <c r="Q11" s="2925">
        <v>15295</v>
      </c>
      <c r="R11" s="2227">
        <v>13576.12</v>
      </c>
      <c r="S11" s="2925">
        <v>14295</v>
      </c>
      <c r="T11" s="2925">
        <v>14436.64</v>
      </c>
      <c r="U11" s="2227">
        <v>13576.12</v>
      </c>
      <c r="V11" s="2925">
        <v>14295</v>
      </c>
      <c r="W11" s="2227">
        <v>13285.07</v>
      </c>
      <c r="X11" s="2925">
        <v>13471.02</v>
      </c>
      <c r="Y11" s="2925">
        <v>13471.02</v>
      </c>
      <c r="Z11" s="2925">
        <v>13195</v>
      </c>
      <c r="AA11" s="2925">
        <v>20074</v>
      </c>
      <c r="AB11" s="2227">
        <v>16439.62</v>
      </c>
      <c r="AC11" s="2925">
        <v>18374</v>
      </c>
      <c r="AD11" s="2227">
        <v>16317.04</v>
      </c>
      <c r="AE11" s="2925">
        <v>16674</v>
      </c>
      <c r="AF11" s="2227">
        <v>15092.63</v>
      </c>
      <c r="AG11" s="2925">
        <v>14808.32</v>
      </c>
      <c r="AH11" s="2925">
        <v>20074</v>
      </c>
      <c r="AI11" s="2925">
        <v>20074</v>
      </c>
      <c r="AJ11" s="2227">
        <v>18525.07</v>
      </c>
      <c r="AK11" s="2925">
        <v>18525.07</v>
      </c>
      <c r="AL11" s="2925">
        <v>18374</v>
      </c>
      <c r="AM11" s="2227">
        <v>16439.62</v>
      </c>
      <c r="AN11" s="2925">
        <v>16674</v>
      </c>
      <c r="AO11" s="2925">
        <v>16674</v>
      </c>
      <c r="AP11" s="2227">
        <v>16317.04</v>
      </c>
      <c r="AQ11" s="2925">
        <v>16317.04</v>
      </c>
      <c r="AR11" s="2925">
        <v>15092.63</v>
      </c>
      <c r="AS11" s="2923">
        <v>22143</v>
      </c>
      <c r="AT11" s="2227">
        <v>18908.849999999999</v>
      </c>
      <c r="AU11" s="2923">
        <v>21094.26</v>
      </c>
      <c r="AV11" s="2227">
        <v>18236.55</v>
      </c>
      <c r="AW11" s="2923">
        <v>19810</v>
      </c>
      <c r="AX11" s="2227">
        <v>17348.28</v>
      </c>
      <c r="AY11" s="2923">
        <v>17310</v>
      </c>
      <c r="AZ11" s="2925">
        <v>23013</v>
      </c>
      <c r="BA11" s="2227">
        <v>21271.26</v>
      </c>
      <c r="BB11" s="2923">
        <v>22143</v>
      </c>
      <c r="BC11" s="2227">
        <v>20185.5</v>
      </c>
      <c r="BD11" s="2925">
        <v>26145</v>
      </c>
      <c r="BE11" s="2227">
        <v>22897.43</v>
      </c>
      <c r="BF11" s="2923">
        <v>22949.34</v>
      </c>
      <c r="BG11" s="2227">
        <v>22079.34</v>
      </c>
      <c r="BH11" s="2925">
        <v>21846.5</v>
      </c>
      <c r="BI11" s="2227">
        <v>20557.830000000002</v>
      </c>
      <c r="BJ11" s="2923">
        <v>21850.92</v>
      </c>
      <c r="BK11" s="2227">
        <v>19373.740000000002</v>
      </c>
      <c r="BL11" s="2925">
        <v>24650</v>
      </c>
      <c r="BM11" s="2227">
        <v>22312.26</v>
      </c>
      <c r="BN11" s="2923">
        <v>22533.79</v>
      </c>
      <c r="BO11" s="2227">
        <v>21663.79</v>
      </c>
      <c r="BP11" s="2925">
        <v>20680</v>
      </c>
      <c r="BQ11" s="2227">
        <v>18478.48</v>
      </c>
      <c r="BR11" s="2923">
        <v>19810</v>
      </c>
      <c r="BS11" s="2227">
        <v>18232.47</v>
      </c>
      <c r="BT11" s="2925">
        <v>21650</v>
      </c>
      <c r="BU11" s="2227">
        <v>18947.04</v>
      </c>
      <c r="BV11" s="2923">
        <v>20330</v>
      </c>
      <c r="BW11" s="2227">
        <v>18409.759999999998</v>
      </c>
      <c r="BX11" s="2925">
        <v>18180</v>
      </c>
      <c r="BY11" s="2923">
        <v>17330</v>
      </c>
      <c r="BZ11" s="2924">
        <v>18650</v>
      </c>
      <c r="CA11" s="2923">
        <v>17330</v>
      </c>
      <c r="CB11" s="2227">
        <v>54580</v>
      </c>
      <c r="CC11" s="2227">
        <v>51580</v>
      </c>
      <c r="CD11" s="2227">
        <v>48580</v>
      </c>
      <c r="CE11" s="2227">
        <v>46790</v>
      </c>
      <c r="CF11" s="2227">
        <v>43790</v>
      </c>
      <c r="CG11" s="2227">
        <v>40790</v>
      </c>
      <c r="CH11" s="2227">
        <v>39920</v>
      </c>
      <c r="CI11" s="2227">
        <v>36920</v>
      </c>
      <c r="CJ11" s="2227">
        <v>33420</v>
      </c>
      <c r="CK11" s="2227">
        <v>32840</v>
      </c>
      <c r="CL11" s="2227">
        <v>29840</v>
      </c>
      <c r="CM11" s="2227">
        <v>26840</v>
      </c>
      <c r="CN11" s="2227">
        <v>24770</v>
      </c>
      <c r="CO11" s="2227">
        <v>22770</v>
      </c>
      <c r="CP11" s="2227">
        <v>14077.83</v>
      </c>
      <c r="CQ11" s="2227">
        <v>12464.14</v>
      </c>
      <c r="CR11" s="2227">
        <v>13056.7</v>
      </c>
      <c r="CS11" s="2227">
        <v>21953.88</v>
      </c>
      <c r="CT11" s="2227">
        <v>15692.75</v>
      </c>
      <c r="CU11" s="2227">
        <v>15542.93</v>
      </c>
      <c r="CV11" s="2227">
        <v>15542.93</v>
      </c>
      <c r="CW11" s="2227">
        <v>15542.93</v>
      </c>
      <c r="CX11" s="2227">
        <v>15542.93</v>
      </c>
      <c r="CY11" s="2227">
        <v>14800</v>
      </c>
      <c r="CZ11" s="2227">
        <v>18525.07</v>
      </c>
      <c r="DA11" s="2227">
        <v>18908</v>
      </c>
      <c r="DB11" s="2227">
        <v>16317.04</v>
      </c>
      <c r="DC11" s="2227">
        <v>16439.62</v>
      </c>
      <c r="DD11" s="2227">
        <v>14786.87</v>
      </c>
      <c r="DE11" s="2227">
        <v>14808.32</v>
      </c>
      <c r="DF11" s="2227">
        <v>14924.12</v>
      </c>
      <c r="DG11" s="2227">
        <v>14150</v>
      </c>
      <c r="DH11" s="2227">
        <v>14650</v>
      </c>
      <c r="DI11" s="2227">
        <v>12923.75</v>
      </c>
      <c r="DJ11" s="2227">
        <v>12923.75</v>
      </c>
      <c r="DK11" s="2227">
        <v>15850</v>
      </c>
      <c r="DL11" s="2227">
        <v>16961.2</v>
      </c>
      <c r="DM11" s="2227">
        <v>16550</v>
      </c>
      <c r="DN11" s="2227">
        <v>12518.63</v>
      </c>
      <c r="DO11" s="2227">
        <v>18232.47</v>
      </c>
      <c r="DP11" s="2227">
        <v>13435.84</v>
      </c>
      <c r="DQ11" s="2227">
        <v>23746.400000000001</v>
      </c>
      <c r="DR11" s="2227">
        <v>15092.63</v>
      </c>
      <c r="DS11" s="2227">
        <v>13700</v>
      </c>
      <c r="DT11" s="2227">
        <v>13400.34</v>
      </c>
      <c r="DU11" s="2227">
        <v>14055.57</v>
      </c>
      <c r="DV11" s="2227">
        <v>16317.04</v>
      </c>
      <c r="DW11" s="2227">
        <v>13285.07</v>
      </c>
      <c r="DX11" s="2227">
        <v>19450</v>
      </c>
      <c r="DY11" s="2227">
        <v>13121.09</v>
      </c>
      <c r="DZ11" s="2227">
        <v>18409.759999999998</v>
      </c>
      <c r="EA11" s="2227">
        <v>15980.92</v>
      </c>
      <c r="EB11" s="2227">
        <v>26755.69</v>
      </c>
      <c r="EC11" s="2227">
        <v>17352.57</v>
      </c>
      <c r="ED11" s="2227">
        <v>14005.99</v>
      </c>
      <c r="EE11" s="2227">
        <v>14350</v>
      </c>
      <c r="EF11" s="2227">
        <v>13956.64</v>
      </c>
      <c r="EG11" s="2227">
        <v>15023.81</v>
      </c>
      <c r="EH11" s="2227">
        <v>14179.52</v>
      </c>
      <c r="EI11" s="2227">
        <v>18641.599999999999</v>
      </c>
      <c r="EJ11" s="2227">
        <v>22312.26</v>
      </c>
      <c r="EK11" s="2227">
        <v>14901.39</v>
      </c>
      <c r="EL11" s="2227">
        <v>13435.84</v>
      </c>
      <c r="EM11" s="2227">
        <v>26755.69</v>
      </c>
      <c r="EN11" s="2227">
        <v>18947.04</v>
      </c>
      <c r="EO11" s="2227">
        <v>12055.61</v>
      </c>
      <c r="EP11" s="2227">
        <v>13650</v>
      </c>
      <c r="EQ11" s="2227">
        <v>13390.57</v>
      </c>
      <c r="ER11" s="2227">
        <v>15964.36</v>
      </c>
      <c r="ES11" s="2227">
        <v>14645.34</v>
      </c>
      <c r="ET11" s="2227">
        <v>13222.33</v>
      </c>
      <c r="EU11" s="2227">
        <v>16038.72</v>
      </c>
      <c r="EV11" s="2227">
        <v>18478.48</v>
      </c>
      <c r="EW11" s="2227">
        <v>13666.17</v>
      </c>
      <c r="EX11" s="2227">
        <v>14435.62</v>
      </c>
      <c r="EY11" s="2227">
        <v>17800</v>
      </c>
      <c r="EZ11" s="2227">
        <v>22806.22</v>
      </c>
      <c r="FA11" s="2227">
        <v>12856.5</v>
      </c>
      <c r="FB11" s="2227">
        <v>14353.05</v>
      </c>
      <c r="FC11" s="2227">
        <v>25550</v>
      </c>
      <c r="FD11" s="2227">
        <v>23350</v>
      </c>
      <c r="FE11" s="2227">
        <v>29261.53</v>
      </c>
      <c r="FF11" s="2227">
        <v>13050</v>
      </c>
      <c r="FG11" s="2227">
        <v>21663.79</v>
      </c>
      <c r="FH11" s="2227">
        <v>14923.2</v>
      </c>
      <c r="FI11" s="2227">
        <v>13576.12</v>
      </c>
      <c r="FJ11" s="2227">
        <v>12291.58</v>
      </c>
      <c r="FK11" s="2227">
        <v>19373.740000000002</v>
      </c>
      <c r="FL11" s="2227">
        <v>13435.84</v>
      </c>
      <c r="FM11" s="2227">
        <v>15490.46</v>
      </c>
      <c r="FN11" s="2227">
        <v>14800</v>
      </c>
      <c r="FO11" s="2227">
        <v>21715.49</v>
      </c>
      <c r="FP11" s="2227">
        <v>16013.93</v>
      </c>
      <c r="FQ11" s="2227">
        <v>12491.79</v>
      </c>
      <c r="FR11" s="2227">
        <v>21000</v>
      </c>
      <c r="FS11" s="2227">
        <v>25550</v>
      </c>
      <c r="FT11" s="2227">
        <v>21839.42</v>
      </c>
      <c r="FU11" s="2227">
        <v>14055.57</v>
      </c>
      <c r="FV11" s="2227">
        <v>24550</v>
      </c>
      <c r="FW11" s="2227">
        <v>14541.44</v>
      </c>
      <c r="FX11" s="2227">
        <v>15369.42</v>
      </c>
      <c r="FY11" s="2227">
        <v>13104.01</v>
      </c>
      <c r="FZ11" s="2227">
        <v>14382.3</v>
      </c>
      <c r="GA11" s="2227">
        <v>17924.21</v>
      </c>
      <c r="GB11" s="2227">
        <v>22897.43</v>
      </c>
      <c r="GC11" s="2227">
        <v>13435.84</v>
      </c>
      <c r="GD11" s="2227">
        <v>12676.26</v>
      </c>
      <c r="GE11" s="2227">
        <v>20327.28</v>
      </c>
      <c r="GF11" s="2227">
        <v>20350</v>
      </c>
      <c r="GG11" s="2227">
        <v>32160.720000000001</v>
      </c>
      <c r="GH11" s="2227">
        <v>15171.08</v>
      </c>
      <c r="GI11" s="2227">
        <v>14207.22</v>
      </c>
      <c r="GJ11" s="2227">
        <v>13287.1</v>
      </c>
      <c r="GK11" s="2227">
        <v>13967.25</v>
      </c>
      <c r="GL11" s="2227">
        <v>18236.55</v>
      </c>
      <c r="GM11" s="2227">
        <v>13241.37</v>
      </c>
      <c r="GN11" s="2227">
        <v>15939.55</v>
      </c>
      <c r="GO11" s="2227">
        <v>14458.15</v>
      </c>
      <c r="GP11" s="2227">
        <v>18527.580000000002</v>
      </c>
      <c r="GQ11" s="2227">
        <v>13051.69</v>
      </c>
      <c r="GR11" s="2227">
        <v>12043.72</v>
      </c>
      <c r="GS11" s="2227">
        <v>12720.64</v>
      </c>
      <c r="GT11" s="2227">
        <v>13121.09</v>
      </c>
      <c r="GU11" s="2227">
        <v>16066.15</v>
      </c>
      <c r="GV11" s="2227">
        <v>13938.43</v>
      </c>
      <c r="GW11" s="2227">
        <v>26846.86</v>
      </c>
      <c r="GX11" s="2227">
        <v>29876.91</v>
      </c>
      <c r="GY11" s="2227">
        <v>32052.799999999999</v>
      </c>
      <c r="GZ11" s="2227">
        <v>12676.26</v>
      </c>
      <c r="HA11" s="2227">
        <v>12551.7</v>
      </c>
      <c r="HB11" s="2227">
        <v>13435.84</v>
      </c>
      <c r="HC11" s="2227">
        <v>12498.95</v>
      </c>
      <c r="HD11" s="2227">
        <v>13113.6</v>
      </c>
      <c r="HE11" s="2227">
        <v>18096.240000000002</v>
      </c>
      <c r="HF11" s="2227">
        <v>19100</v>
      </c>
      <c r="HG11" s="2227">
        <v>15710.65</v>
      </c>
      <c r="HH11" s="2227">
        <v>16550</v>
      </c>
      <c r="HI11" s="2227">
        <v>15827.69</v>
      </c>
      <c r="HJ11" s="2227">
        <v>15490.46</v>
      </c>
      <c r="HK11" s="2227">
        <v>21271.26</v>
      </c>
      <c r="HL11" s="2227">
        <v>29450</v>
      </c>
      <c r="HM11" s="2227">
        <v>15171.09</v>
      </c>
      <c r="HN11" s="2227">
        <v>13485.42</v>
      </c>
      <c r="HO11" s="2227">
        <v>14055.57</v>
      </c>
      <c r="HP11" s="2227">
        <v>14835.21</v>
      </c>
      <c r="HQ11" s="2227">
        <v>17924.21</v>
      </c>
      <c r="HR11" s="2227">
        <v>22300</v>
      </c>
      <c r="HS11" s="2227">
        <v>16360.97</v>
      </c>
      <c r="HT11" s="2227">
        <v>17773.97</v>
      </c>
      <c r="HU11" s="2227">
        <v>22287.91</v>
      </c>
      <c r="HV11" s="2227">
        <v>21634.48</v>
      </c>
      <c r="HW11" s="2227">
        <v>15171.08</v>
      </c>
      <c r="HX11" s="2227">
        <v>12856.5</v>
      </c>
      <c r="HY11" s="2227">
        <v>13031.29</v>
      </c>
      <c r="HZ11" s="2227">
        <v>13598.91</v>
      </c>
      <c r="IA11" s="2227">
        <v>12551.7</v>
      </c>
      <c r="IB11" s="2227">
        <v>14279.6</v>
      </c>
      <c r="IC11" s="2227">
        <v>16299.27</v>
      </c>
      <c r="ID11" s="2227">
        <v>15777.89</v>
      </c>
      <c r="IE11" s="2227">
        <v>15989.15</v>
      </c>
      <c r="IF11" s="2227">
        <v>14881.24</v>
      </c>
      <c r="IG11" s="2227">
        <v>19402.73</v>
      </c>
      <c r="IH11" s="2227">
        <v>16360.98</v>
      </c>
      <c r="II11" s="2227">
        <v>16524.599999999999</v>
      </c>
      <c r="IJ11" s="2227">
        <v>23549.9</v>
      </c>
      <c r="IK11" s="2227">
        <v>17025.349999999999</v>
      </c>
      <c r="IL11" s="2227">
        <v>20185.5</v>
      </c>
      <c r="IM11" s="2227">
        <v>15647.83</v>
      </c>
      <c r="IN11" s="2227">
        <v>24144.85</v>
      </c>
      <c r="IO11" s="2227">
        <v>25062.05</v>
      </c>
      <c r="IP11" s="2227">
        <v>23350</v>
      </c>
      <c r="IQ11" s="2227">
        <v>22287.91</v>
      </c>
      <c r="IR11" s="2227">
        <v>38058.97</v>
      </c>
      <c r="IS11" s="2227">
        <v>22275.18</v>
      </c>
      <c r="IT11" s="2227">
        <v>30937.11</v>
      </c>
      <c r="IU11" s="2227">
        <v>22367.49</v>
      </c>
      <c r="IV11" s="2227">
        <v>16317.04</v>
      </c>
    </row>
    <row r="12" spans="1:256">
      <c r="A12" s="2214">
        <v>3</v>
      </c>
      <c r="B12" s="2925">
        <v>15824.34</v>
      </c>
      <c r="C12" s="2227">
        <v>14604.08</v>
      </c>
      <c r="D12" s="2925">
        <v>14824.34</v>
      </c>
      <c r="E12" s="2227">
        <v>13331.05</v>
      </c>
      <c r="F12" s="2925">
        <v>13832</v>
      </c>
      <c r="G12" s="2227">
        <v>12960.42</v>
      </c>
      <c r="H12" s="2926">
        <v>13032</v>
      </c>
      <c r="I12" s="2925">
        <v>19126.66</v>
      </c>
      <c r="J12" s="2925">
        <v>19126.66</v>
      </c>
      <c r="K12" s="2227">
        <v>15242.47</v>
      </c>
      <c r="L12" s="2925">
        <v>16417</v>
      </c>
      <c r="M12" s="2227">
        <v>15242.47</v>
      </c>
      <c r="N12" s="2925">
        <v>15911.41</v>
      </c>
      <c r="O12" s="2925">
        <v>15911.41</v>
      </c>
      <c r="P12" s="2227">
        <v>14175.3</v>
      </c>
      <c r="Q12" s="2925">
        <v>15417</v>
      </c>
      <c r="R12" s="2227">
        <v>13716.21</v>
      </c>
      <c r="S12" s="2925">
        <v>14417</v>
      </c>
      <c r="T12" s="2925">
        <v>14655.3</v>
      </c>
      <c r="U12" s="2227">
        <v>13716.21</v>
      </c>
      <c r="V12" s="2925">
        <v>14417</v>
      </c>
      <c r="W12" s="2227">
        <v>13425.16</v>
      </c>
      <c r="X12" s="2925">
        <v>13611.11</v>
      </c>
      <c r="Y12" s="2925">
        <v>13611.11</v>
      </c>
      <c r="Z12" s="2925">
        <v>13317</v>
      </c>
      <c r="AA12" s="2925">
        <v>20273</v>
      </c>
      <c r="AB12" s="2227">
        <v>16706.93</v>
      </c>
      <c r="AC12" s="2925">
        <v>18573</v>
      </c>
      <c r="AD12" s="2227">
        <v>16629.13</v>
      </c>
      <c r="AE12" s="2925">
        <v>16873</v>
      </c>
      <c r="AF12" s="2227">
        <v>15359.94</v>
      </c>
      <c r="AG12" s="2925">
        <v>15075.63</v>
      </c>
      <c r="AH12" s="2925">
        <v>20273</v>
      </c>
      <c r="AI12" s="2925">
        <v>20273</v>
      </c>
      <c r="AJ12" s="2227">
        <v>18792.38</v>
      </c>
      <c r="AK12" s="2925">
        <v>18792.38</v>
      </c>
      <c r="AL12" s="2925">
        <v>18573</v>
      </c>
      <c r="AM12" s="2227">
        <v>16706.93</v>
      </c>
      <c r="AN12" s="2925">
        <v>16873</v>
      </c>
      <c r="AO12" s="2925">
        <v>16873</v>
      </c>
      <c r="AP12" s="2227">
        <v>16629.13</v>
      </c>
      <c r="AQ12" s="2925">
        <v>16629.13</v>
      </c>
      <c r="AR12" s="2925">
        <v>15359.94</v>
      </c>
      <c r="AS12" s="2923">
        <v>22763</v>
      </c>
      <c r="AT12" s="2227">
        <v>19161.03</v>
      </c>
      <c r="AU12" s="2923">
        <v>21784</v>
      </c>
      <c r="AV12" s="2227">
        <v>18488.73</v>
      </c>
      <c r="AW12" s="2923">
        <v>20063</v>
      </c>
      <c r="AX12" s="2227">
        <v>17808.87</v>
      </c>
      <c r="AY12" s="2923">
        <v>17660</v>
      </c>
      <c r="AZ12" s="2925">
        <v>23633</v>
      </c>
      <c r="BA12" s="2227">
        <v>21806.39</v>
      </c>
      <c r="BB12" s="2923">
        <v>22763</v>
      </c>
      <c r="BC12" s="2227">
        <v>20478.09</v>
      </c>
      <c r="BD12" s="2925">
        <v>26517</v>
      </c>
      <c r="BE12" s="2227">
        <v>23149.61</v>
      </c>
      <c r="BF12" s="2923">
        <v>23241.93</v>
      </c>
      <c r="BG12" s="2227">
        <v>22371.93</v>
      </c>
      <c r="BH12" s="2925">
        <v>22283</v>
      </c>
      <c r="BI12" s="2227">
        <v>21092.959999999999</v>
      </c>
      <c r="BJ12" s="2923">
        <v>22103.1</v>
      </c>
      <c r="BK12" s="2227">
        <v>19666.330000000002</v>
      </c>
      <c r="BL12" s="2925">
        <v>24903</v>
      </c>
      <c r="BM12" s="2227">
        <v>22564.44</v>
      </c>
      <c r="BN12" s="2923">
        <v>22826.38</v>
      </c>
      <c r="BO12" s="2227">
        <v>21956.38</v>
      </c>
      <c r="BP12" s="2925">
        <v>20933</v>
      </c>
      <c r="BQ12" s="2227">
        <v>18790.57</v>
      </c>
      <c r="BR12" s="2923">
        <v>20063</v>
      </c>
      <c r="BS12" s="2227">
        <v>18484.650000000001</v>
      </c>
      <c r="BT12" s="2925">
        <v>21903</v>
      </c>
      <c r="BU12" s="2227">
        <v>19199.22</v>
      </c>
      <c r="BV12" s="2923">
        <v>20999</v>
      </c>
      <c r="BW12" s="2227">
        <v>18661.939999999999</v>
      </c>
      <c r="BX12" s="2925">
        <v>18433</v>
      </c>
      <c r="BY12" s="2923">
        <v>17999</v>
      </c>
      <c r="BZ12" s="2924">
        <v>18903</v>
      </c>
      <c r="CA12" s="2923">
        <v>17999</v>
      </c>
      <c r="CB12" s="2227">
        <v>55190</v>
      </c>
      <c r="CC12" s="2227">
        <v>52190</v>
      </c>
      <c r="CD12" s="2227">
        <v>49190</v>
      </c>
      <c r="CE12" s="2227">
        <v>47400</v>
      </c>
      <c r="CF12" s="2227">
        <v>44400</v>
      </c>
      <c r="CG12" s="2227">
        <v>41400</v>
      </c>
      <c r="CH12" s="2227">
        <v>40440</v>
      </c>
      <c r="CI12" s="2227">
        <v>37440</v>
      </c>
      <c r="CJ12" s="2227">
        <v>33940</v>
      </c>
      <c r="CK12" s="2227">
        <v>33320</v>
      </c>
      <c r="CL12" s="2227">
        <v>30320</v>
      </c>
      <c r="CM12" s="2227">
        <v>27320</v>
      </c>
      <c r="CN12" s="2227">
        <v>25215</v>
      </c>
      <c r="CO12" s="2227">
        <v>23215</v>
      </c>
      <c r="CP12" s="2227">
        <v>14345.14</v>
      </c>
      <c r="CQ12" s="2227">
        <v>12572.86</v>
      </c>
      <c r="CR12" s="2227">
        <v>13196.79</v>
      </c>
      <c r="CS12" s="2227">
        <v>22578.15</v>
      </c>
      <c r="CT12" s="2227">
        <v>15911.41</v>
      </c>
      <c r="CU12" s="2227">
        <v>15803.22</v>
      </c>
      <c r="CV12" s="2227">
        <v>15803.22</v>
      </c>
      <c r="CW12" s="2227">
        <v>15803.22</v>
      </c>
      <c r="CX12" s="2227">
        <v>15803.22</v>
      </c>
      <c r="CY12" s="2227">
        <v>15400</v>
      </c>
      <c r="CZ12" s="2227">
        <v>18792.38</v>
      </c>
      <c r="DA12" s="2227">
        <v>19126.66</v>
      </c>
      <c r="DB12" s="2227">
        <v>16629.13</v>
      </c>
      <c r="DC12" s="2227">
        <v>16706.93</v>
      </c>
      <c r="DD12" s="2227">
        <v>15040.97</v>
      </c>
      <c r="DE12" s="2227">
        <v>15075.63</v>
      </c>
      <c r="DF12" s="2227">
        <v>15176.3</v>
      </c>
      <c r="DG12" s="2227">
        <v>14750</v>
      </c>
      <c r="DH12" s="2227">
        <v>15000</v>
      </c>
      <c r="DI12" s="2227">
        <v>13063.84</v>
      </c>
      <c r="DJ12" s="2227">
        <v>13063.84</v>
      </c>
      <c r="DK12" s="2227">
        <v>16250</v>
      </c>
      <c r="DL12" s="2227">
        <v>17213.38</v>
      </c>
      <c r="DM12" s="2227">
        <v>17150</v>
      </c>
      <c r="DN12" s="2227">
        <v>12642.58</v>
      </c>
      <c r="DO12" s="2227">
        <v>18484.650000000001</v>
      </c>
      <c r="DP12" s="2227">
        <v>13782.9</v>
      </c>
      <c r="DQ12" s="2227">
        <v>24370.67</v>
      </c>
      <c r="DR12" s="2227">
        <v>15359.94</v>
      </c>
      <c r="DS12" s="2227">
        <v>13850</v>
      </c>
      <c r="DT12" s="2227">
        <v>13580.91</v>
      </c>
      <c r="DU12" s="2227">
        <v>14179.52</v>
      </c>
      <c r="DV12" s="2227">
        <v>16629.13</v>
      </c>
      <c r="DW12" s="2227">
        <v>13425.16</v>
      </c>
      <c r="DX12" s="2227">
        <v>20100</v>
      </c>
      <c r="DY12" s="2227">
        <v>14209.5</v>
      </c>
      <c r="DZ12" s="2227">
        <v>18661.939999999999</v>
      </c>
      <c r="EA12" s="2227">
        <v>16233.1</v>
      </c>
      <c r="EB12" s="2227">
        <v>27379.96</v>
      </c>
      <c r="EC12" s="2227">
        <v>18021.89</v>
      </c>
      <c r="ED12" s="2227">
        <v>14501.78</v>
      </c>
      <c r="EE12" s="2227">
        <v>14500</v>
      </c>
      <c r="EF12" s="2227">
        <v>14175.3</v>
      </c>
      <c r="EG12" s="2227">
        <v>15242.47</v>
      </c>
      <c r="EH12" s="2227">
        <v>14526.58</v>
      </c>
      <c r="EI12" s="2227">
        <v>19038.23</v>
      </c>
      <c r="EJ12" s="2227">
        <v>22564.44</v>
      </c>
      <c r="EK12" s="2227">
        <v>15153.57</v>
      </c>
      <c r="EL12" s="2227">
        <v>13782.9</v>
      </c>
      <c r="EM12" s="2227">
        <v>27379.96</v>
      </c>
      <c r="EN12" s="2227">
        <v>19199.22</v>
      </c>
      <c r="EO12" s="2227">
        <v>13158.29</v>
      </c>
      <c r="EP12" s="2227">
        <v>14000</v>
      </c>
      <c r="EQ12" s="2227">
        <v>14549.2</v>
      </c>
      <c r="ER12" s="2227">
        <v>16187.47</v>
      </c>
      <c r="ES12" s="2227">
        <v>14877.25</v>
      </c>
      <c r="ET12" s="2227">
        <v>13331.05</v>
      </c>
      <c r="EU12" s="2227">
        <v>16584.09</v>
      </c>
      <c r="EV12" s="2227">
        <v>18790.57</v>
      </c>
      <c r="EW12" s="2227">
        <v>14848.63</v>
      </c>
      <c r="EX12" s="2227">
        <v>14779.97</v>
      </c>
      <c r="EY12" s="2227">
        <v>18300</v>
      </c>
      <c r="EZ12" s="2227">
        <v>23302.01</v>
      </c>
      <c r="FA12" s="2227">
        <v>13922.94</v>
      </c>
      <c r="FB12" s="2227">
        <v>14712.5</v>
      </c>
      <c r="FC12" s="2227">
        <v>26300</v>
      </c>
      <c r="FD12" s="2227">
        <v>24050</v>
      </c>
      <c r="FE12" s="2227">
        <v>29261.53</v>
      </c>
      <c r="FF12" s="2227">
        <v>13200</v>
      </c>
      <c r="FG12" s="2227">
        <v>21956.38</v>
      </c>
      <c r="FH12" s="2227">
        <v>15418.99</v>
      </c>
      <c r="FI12" s="2227">
        <v>13716.21</v>
      </c>
      <c r="FJ12" s="2227">
        <v>13394.26</v>
      </c>
      <c r="FK12" s="2227">
        <v>19666.330000000002</v>
      </c>
      <c r="FL12" s="2227">
        <v>13782.9</v>
      </c>
      <c r="FM12" s="2227">
        <v>15800.18</v>
      </c>
      <c r="FN12" s="2227">
        <v>15400</v>
      </c>
      <c r="FO12" s="2227">
        <v>22037.759999999998</v>
      </c>
      <c r="FP12" s="2227">
        <v>16509.72</v>
      </c>
      <c r="FQ12" s="2227">
        <v>13629.55</v>
      </c>
      <c r="FR12" s="2227">
        <v>21600</v>
      </c>
      <c r="FS12" s="2227">
        <v>26300</v>
      </c>
      <c r="FT12" s="2227">
        <v>22607.89</v>
      </c>
      <c r="FU12" s="2227">
        <v>14600.94</v>
      </c>
      <c r="FV12" s="2227">
        <v>25300</v>
      </c>
      <c r="FW12" s="2227">
        <v>14920.72</v>
      </c>
      <c r="FX12" s="2227">
        <v>15617.32</v>
      </c>
      <c r="FY12" s="2227">
        <v>13244.1</v>
      </c>
      <c r="FZ12" s="2227">
        <v>14768.05</v>
      </c>
      <c r="GA12" s="2227">
        <v>18280.689999999999</v>
      </c>
      <c r="GB12" s="2227">
        <v>23149.61</v>
      </c>
      <c r="GC12" s="2227">
        <v>13782.9</v>
      </c>
      <c r="GD12" s="2227">
        <v>12836.87</v>
      </c>
      <c r="GE12" s="2227">
        <v>21120.54</v>
      </c>
      <c r="GF12" s="2227">
        <v>21100</v>
      </c>
      <c r="GG12" s="2227">
        <v>32160.720000000001</v>
      </c>
      <c r="GH12" s="2227">
        <v>15518.13</v>
      </c>
      <c r="GI12" s="2227">
        <v>14472.19</v>
      </c>
      <c r="GJ12" s="2227">
        <v>13411.05</v>
      </c>
      <c r="GK12" s="2227">
        <v>14252.18</v>
      </c>
      <c r="GL12" s="2227">
        <v>18488.73</v>
      </c>
      <c r="GM12" s="2227">
        <v>14308.6</v>
      </c>
      <c r="GN12" s="2227">
        <v>16212.23</v>
      </c>
      <c r="GO12" s="2227">
        <v>14753.07</v>
      </c>
      <c r="GP12" s="2227">
        <v>19028.330000000002</v>
      </c>
      <c r="GQ12" s="2227">
        <v>13193.17</v>
      </c>
      <c r="GR12" s="2227">
        <v>13124.16</v>
      </c>
      <c r="GS12" s="2227">
        <v>13823.32</v>
      </c>
      <c r="GT12" s="2227">
        <v>14209.5</v>
      </c>
      <c r="GU12" s="2227">
        <v>16369.15</v>
      </c>
      <c r="GV12" s="2227">
        <v>14203.09</v>
      </c>
      <c r="GW12" s="2227">
        <v>27441.8</v>
      </c>
      <c r="GX12" s="2227">
        <v>30501.18</v>
      </c>
      <c r="GY12" s="2227">
        <v>32052.799999999999</v>
      </c>
      <c r="GZ12" s="2227">
        <v>12836.87</v>
      </c>
      <c r="HA12" s="2227">
        <v>12660.42</v>
      </c>
      <c r="HB12" s="2227">
        <v>13782.9</v>
      </c>
      <c r="HC12" s="2227">
        <v>13637.38</v>
      </c>
      <c r="HD12" s="2227">
        <v>14201.36</v>
      </c>
      <c r="HE12" s="2227">
        <v>18641.61</v>
      </c>
      <c r="HF12" s="2227">
        <v>19700</v>
      </c>
      <c r="HG12" s="2227">
        <v>16174.19</v>
      </c>
      <c r="HH12" s="2227">
        <v>17150</v>
      </c>
      <c r="HI12" s="2227">
        <v>16079.87</v>
      </c>
      <c r="HJ12" s="2227">
        <v>15800.18</v>
      </c>
      <c r="HK12" s="2227">
        <v>21806.39</v>
      </c>
      <c r="HL12" s="2227">
        <v>30200</v>
      </c>
      <c r="HM12" s="2227">
        <v>15518.15</v>
      </c>
      <c r="HN12" s="2227">
        <v>13832.48</v>
      </c>
      <c r="HO12" s="2227">
        <v>14179.52</v>
      </c>
      <c r="HP12" s="2227">
        <v>15994.68</v>
      </c>
      <c r="HQ12" s="2227">
        <v>18280.689999999999</v>
      </c>
      <c r="HR12" s="2227">
        <v>23250</v>
      </c>
      <c r="HS12" s="2227">
        <v>16856.759999999998</v>
      </c>
      <c r="HT12" s="2227">
        <v>18319.34</v>
      </c>
      <c r="HU12" s="2227">
        <v>23379.59</v>
      </c>
      <c r="HV12" s="2227">
        <v>22252.55</v>
      </c>
      <c r="HW12" s="2227">
        <v>15518.13</v>
      </c>
      <c r="HX12" s="2227">
        <v>13922.94</v>
      </c>
      <c r="HY12" s="2227">
        <v>14097.73</v>
      </c>
      <c r="HZ12" s="2227">
        <v>13883.92</v>
      </c>
      <c r="IA12" s="2227">
        <v>12660.42</v>
      </c>
      <c r="IB12" s="2227">
        <v>15368</v>
      </c>
      <c r="IC12" s="2227">
        <v>16549.650000000001</v>
      </c>
      <c r="ID12" s="2227">
        <v>16936.52</v>
      </c>
      <c r="IE12" s="2227">
        <v>16237.05</v>
      </c>
      <c r="IF12" s="2227">
        <v>15225.59</v>
      </c>
      <c r="IG12" s="2227">
        <v>19670.04</v>
      </c>
      <c r="IH12" s="2227">
        <v>16856.77</v>
      </c>
      <c r="II12" s="2227">
        <v>16774.98</v>
      </c>
      <c r="IJ12" s="2227">
        <v>24169.64</v>
      </c>
      <c r="IK12" s="2227">
        <v>17400.919999999998</v>
      </c>
      <c r="IL12" s="2227">
        <v>20478.09</v>
      </c>
      <c r="IM12" s="2227">
        <v>16830.29</v>
      </c>
      <c r="IN12" s="2227">
        <v>24442.33</v>
      </c>
      <c r="IO12" s="2227">
        <v>26152.79</v>
      </c>
      <c r="IP12" s="2227">
        <v>24050</v>
      </c>
      <c r="IQ12" s="2227">
        <v>23379.59</v>
      </c>
      <c r="IR12" s="2227">
        <v>38058.97</v>
      </c>
      <c r="IS12" s="2227">
        <v>23366.21</v>
      </c>
      <c r="IT12" s="2227">
        <v>32226.16</v>
      </c>
      <c r="IU12" s="2227">
        <v>23013.279999999999</v>
      </c>
      <c r="IV12" s="2227">
        <v>16629.13</v>
      </c>
    </row>
    <row r="13" spans="1:256">
      <c r="A13" s="2214">
        <v>4</v>
      </c>
      <c r="B13" s="2925">
        <v>15824.34</v>
      </c>
      <c r="C13" s="2227">
        <v>14604.08</v>
      </c>
      <c r="D13" s="2925">
        <v>14824.34</v>
      </c>
      <c r="E13" s="2227">
        <v>13331.05</v>
      </c>
      <c r="F13" s="2925">
        <v>13859</v>
      </c>
      <c r="G13" s="2227">
        <v>12960.42</v>
      </c>
      <c r="H13" s="2926">
        <v>13059</v>
      </c>
      <c r="I13" s="2925">
        <v>19126.66</v>
      </c>
      <c r="J13" s="2925">
        <v>19126.66</v>
      </c>
      <c r="K13" s="2227">
        <v>15242.47</v>
      </c>
      <c r="L13" s="2925">
        <v>16539</v>
      </c>
      <c r="M13" s="2227">
        <v>15242.47</v>
      </c>
      <c r="N13" s="2925">
        <v>15911.41</v>
      </c>
      <c r="O13" s="2925">
        <v>15911.41</v>
      </c>
      <c r="P13" s="2227">
        <v>14175.3</v>
      </c>
      <c r="Q13" s="2925">
        <v>15539</v>
      </c>
      <c r="R13" s="2227">
        <v>13716.21</v>
      </c>
      <c r="S13" s="2925">
        <v>14539</v>
      </c>
      <c r="T13" s="2925">
        <v>14655.3</v>
      </c>
      <c r="U13" s="2227">
        <v>13716.21</v>
      </c>
      <c r="V13" s="2925">
        <v>14539</v>
      </c>
      <c r="W13" s="2227">
        <v>13425.16</v>
      </c>
      <c r="X13" s="2925">
        <v>13611.11</v>
      </c>
      <c r="Y13" s="2925">
        <v>13611.11</v>
      </c>
      <c r="Z13" s="2925">
        <v>13439</v>
      </c>
      <c r="AA13" s="2925">
        <v>20473</v>
      </c>
      <c r="AB13" s="2227">
        <v>16706.93</v>
      </c>
      <c r="AC13" s="2925">
        <v>18773</v>
      </c>
      <c r="AD13" s="2227">
        <v>16629.13</v>
      </c>
      <c r="AE13" s="2925">
        <v>17073</v>
      </c>
      <c r="AF13" s="2227">
        <v>15359.94</v>
      </c>
      <c r="AG13" s="2925">
        <v>15075.63</v>
      </c>
      <c r="AH13" s="2925">
        <v>20473</v>
      </c>
      <c r="AI13" s="2925">
        <v>20473</v>
      </c>
      <c r="AJ13" s="2227">
        <v>18792.38</v>
      </c>
      <c r="AK13" s="2925">
        <v>18792.38</v>
      </c>
      <c r="AL13" s="2925">
        <v>18773</v>
      </c>
      <c r="AM13" s="2227">
        <v>16706.93</v>
      </c>
      <c r="AN13" s="2925">
        <v>17073</v>
      </c>
      <c r="AO13" s="2925">
        <v>17073</v>
      </c>
      <c r="AP13" s="2227">
        <v>16629.13</v>
      </c>
      <c r="AQ13" s="2925">
        <v>16629.13</v>
      </c>
      <c r="AR13" s="2925">
        <v>15359.94</v>
      </c>
      <c r="AS13" s="2923">
        <v>22763</v>
      </c>
      <c r="AT13" s="2227">
        <v>19161.03</v>
      </c>
      <c r="AU13" s="2923">
        <v>21784</v>
      </c>
      <c r="AV13" s="2227">
        <v>18488.73</v>
      </c>
      <c r="AW13" s="2923">
        <v>20063</v>
      </c>
      <c r="AX13" s="2227">
        <v>17808.87</v>
      </c>
      <c r="AY13" s="2923">
        <v>17660</v>
      </c>
      <c r="AZ13" s="2925">
        <v>23633</v>
      </c>
      <c r="BA13" s="2227">
        <v>21806.39</v>
      </c>
      <c r="BB13" s="2923">
        <v>22763</v>
      </c>
      <c r="BC13" s="2227">
        <v>20478.09</v>
      </c>
      <c r="BD13" s="2925">
        <v>26517</v>
      </c>
      <c r="BE13" s="2227">
        <v>23149.61</v>
      </c>
      <c r="BF13" s="2923">
        <v>23241.93</v>
      </c>
      <c r="BG13" s="2227">
        <v>22371.93</v>
      </c>
      <c r="BH13" s="2925">
        <v>22283</v>
      </c>
      <c r="BI13" s="2227">
        <v>21092.959999999999</v>
      </c>
      <c r="BJ13" s="2923">
        <v>22103.1</v>
      </c>
      <c r="BK13" s="2227">
        <v>19666.330000000002</v>
      </c>
      <c r="BL13" s="2925">
        <v>24903</v>
      </c>
      <c r="BM13" s="2227">
        <v>22564.44</v>
      </c>
      <c r="BN13" s="2923">
        <v>22826.38</v>
      </c>
      <c r="BO13" s="2227">
        <v>21956.38</v>
      </c>
      <c r="BP13" s="2925">
        <v>20933</v>
      </c>
      <c r="BQ13" s="2227">
        <v>18790.57</v>
      </c>
      <c r="BR13" s="2923">
        <v>20063</v>
      </c>
      <c r="BS13" s="2227">
        <v>18484.650000000001</v>
      </c>
      <c r="BT13" s="2925">
        <v>21903</v>
      </c>
      <c r="BU13" s="2227">
        <v>19199.22</v>
      </c>
      <c r="BV13" s="2923">
        <v>20999</v>
      </c>
      <c r="BW13" s="2227">
        <v>18661.939999999999</v>
      </c>
      <c r="BX13" s="2925">
        <v>18433</v>
      </c>
      <c r="BY13" s="2923">
        <v>17999</v>
      </c>
      <c r="BZ13" s="2924">
        <v>18903</v>
      </c>
      <c r="CA13" s="2923">
        <v>17999</v>
      </c>
      <c r="CB13" s="2227">
        <v>55800</v>
      </c>
      <c r="CC13" s="2227">
        <v>52800</v>
      </c>
      <c r="CD13" s="2227">
        <v>49800</v>
      </c>
      <c r="CE13" s="2227">
        <v>48010</v>
      </c>
      <c r="CF13" s="2227">
        <v>45010</v>
      </c>
      <c r="CG13" s="2227">
        <v>42010</v>
      </c>
      <c r="CH13" s="2227">
        <v>40960</v>
      </c>
      <c r="CI13" s="2227">
        <v>37960</v>
      </c>
      <c r="CJ13" s="2227">
        <v>34460</v>
      </c>
      <c r="CK13" s="2227">
        <v>33800</v>
      </c>
      <c r="CL13" s="2227">
        <v>30800</v>
      </c>
      <c r="CM13" s="2227">
        <v>27800</v>
      </c>
      <c r="CN13" s="2227">
        <v>25660</v>
      </c>
      <c r="CO13" s="2227">
        <v>23660</v>
      </c>
      <c r="CP13" s="2227">
        <v>14345.14</v>
      </c>
      <c r="CQ13" s="2227">
        <v>12572.86</v>
      </c>
      <c r="CR13" s="2227">
        <v>13196.79</v>
      </c>
      <c r="CS13" s="2227">
        <v>22578.15</v>
      </c>
      <c r="CT13" s="2227">
        <v>15911.41</v>
      </c>
      <c r="CU13" s="2227">
        <v>16224.64</v>
      </c>
      <c r="CV13" s="2227">
        <v>16224.64</v>
      </c>
      <c r="CW13" s="2227">
        <v>16224.64</v>
      </c>
      <c r="CX13" s="2227">
        <v>16224.64</v>
      </c>
      <c r="CY13" s="2227">
        <v>15400</v>
      </c>
      <c r="CZ13" s="2227">
        <v>18792.38</v>
      </c>
      <c r="DA13" s="2227">
        <v>19126.66</v>
      </c>
      <c r="DB13" s="2227">
        <v>16629.13</v>
      </c>
      <c r="DC13" s="2227">
        <v>16706.93</v>
      </c>
      <c r="DD13" s="2227">
        <v>15295.07</v>
      </c>
      <c r="DE13" s="2227">
        <v>15075.63</v>
      </c>
      <c r="DF13" s="2227">
        <v>15176.3</v>
      </c>
      <c r="DG13" s="2227">
        <v>14750</v>
      </c>
      <c r="DH13" s="2227">
        <v>15000</v>
      </c>
      <c r="DI13" s="2227">
        <v>13063.84</v>
      </c>
      <c r="DJ13" s="2227">
        <v>13063.84</v>
      </c>
      <c r="DK13" s="2227">
        <v>16250</v>
      </c>
      <c r="DL13" s="2227">
        <v>17213.38</v>
      </c>
      <c r="DM13" s="2227">
        <v>17150</v>
      </c>
      <c r="DN13" s="2227">
        <v>12642.58</v>
      </c>
      <c r="DO13" s="2227">
        <v>18484.650000000001</v>
      </c>
      <c r="DP13" s="2227">
        <v>13782.9</v>
      </c>
      <c r="DQ13" s="2227">
        <v>24370.67</v>
      </c>
      <c r="DR13" s="2227">
        <v>15359.94</v>
      </c>
      <c r="DS13" s="2227">
        <v>13850</v>
      </c>
      <c r="DT13" s="2227">
        <v>13761.48</v>
      </c>
      <c r="DU13" s="2227">
        <v>14179.52</v>
      </c>
      <c r="DV13" s="2227">
        <v>16629.13</v>
      </c>
      <c r="DW13" s="2227">
        <v>13425.16</v>
      </c>
      <c r="DX13" s="2227">
        <v>20100</v>
      </c>
      <c r="DY13" s="2227">
        <v>14345.33</v>
      </c>
      <c r="DZ13" s="2227">
        <v>18661.939999999999</v>
      </c>
      <c r="EA13" s="2227">
        <v>16233.1</v>
      </c>
      <c r="EB13" s="2227">
        <v>27379.96</v>
      </c>
      <c r="EC13" s="2227">
        <v>18368.95</v>
      </c>
      <c r="ED13" s="2227">
        <v>14501.78</v>
      </c>
      <c r="EE13" s="2227">
        <v>14500</v>
      </c>
      <c r="EF13" s="2227">
        <v>14175.3</v>
      </c>
      <c r="EG13" s="2227">
        <v>15242.47</v>
      </c>
      <c r="EH13" s="2227">
        <v>14526.58</v>
      </c>
      <c r="EI13" s="2227">
        <v>19335.71</v>
      </c>
      <c r="EJ13" s="2227">
        <v>22564.44</v>
      </c>
      <c r="EK13" s="2227">
        <v>15153.57</v>
      </c>
      <c r="EL13" s="2227">
        <v>13782.9</v>
      </c>
      <c r="EM13" s="2227">
        <v>27379.96</v>
      </c>
      <c r="EN13" s="2227">
        <v>19199.22</v>
      </c>
      <c r="EO13" s="2227">
        <v>13219.08</v>
      </c>
      <c r="EP13" s="2227">
        <v>14000</v>
      </c>
      <c r="EQ13" s="2227">
        <v>14678.26</v>
      </c>
      <c r="ER13" s="2227">
        <v>16608.89</v>
      </c>
      <c r="ES13" s="2227">
        <v>15041.21</v>
      </c>
      <c r="ET13" s="2227">
        <v>13331.05</v>
      </c>
      <c r="EU13" s="2227">
        <v>16584.09</v>
      </c>
      <c r="EV13" s="2227">
        <v>18790.57</v>
      </c>
      <c r="EW13" s="2227">
        <v>14980.34</v>
      </c>
      <c r="EX13" s="2227">
        <v>15102.81</v>
      </c>
      <c r="EY13" s="2227">
        <v>18300</v>
      </c>
      <c r="EZ13" s="2227">
        <v>23797.8</v>
      </c>
      <c r="FA13" s="2227">
        <v>14056.04</v>
      </c>
      <c r="FB13" s="2227">
        <v>14774.48</v>
      </c>
      <c r="FC13" s="2227">
        <v>26300</v>
      </c>
      <c r="FD13" s="2227">
        <v>24050</v>
      </c>
      <c r="FE13" s="2227">
        <v>30599.26</v>
      </c>
      <c r="FF13" s="2227">
        <v>13200</v>
      </c>
      <c r="FG13" s="2227">
        <v>21956.38</v>
      </c>
      <c r="FH13" s="2227">
        <v>15418.99</v>
      </c>
      <c r="FI13" s="2227">
        <v>13716.21</v>
      </c>
      <c r="FJ13" s="2227">
        <v>13465.81</v>
      </c>
      <c r="FK13" s="2227">
        <v>19666.330000000002</v>
      </c>
      <c r="FL13" s="2227">
        <v>13782.9</v>
      </c>
      <c r="FM13" s="2227">
        <v>16002</v>
      </c>
      <c r="FN13" s="2227">
        <v>15400</v>
      </c>
      <c r="FO13" s="2227">
        <v>22360.03</v>
      </c>
      <c r="FP13" s="2227">
        <v>16509.72</v>
      </c>
      <c r="FQ13" s="2227">
        <v>13761.82</v>
      </c>
      <c r="FR13" s="2227">
        <v>21600</v>
      </c>
      <c r="FS13" s="2227">
        <v>26300</v>
      </c>
      <c r="FT13" s="2227">
        <v>22607.89</v>
      </c>
      <c r="FU13" s="2227">
        <v>14600.94</v>
      </c>
      <c r="FV13" s="2227">
        <v>25300</v>
      </c>
      <c r="FW13" s="2227">
        <v>14982.7</v>
      </c>
      <c r="FX13" s="2227">
        <v>15865.22</v>
      </c>
      <c r="FY13" s="2227">
        <v>13244.1</v>
      </c>
      <c r="FZ13" s="2227">
        <v>15153.8</v>
      </c>
      <c r="GA13" s="2227">
        <v>18496.09</v>
      </c>
      <c r="GB13" s="2227">
        <v>23149.61</v>
      </c>
      <c r="GC13" s="2227">
        <v>13782.9</v>
      </c>
      <c r="GD13" s="2227">
        <v>12836.87</v>
      </c>
      <c r="GE13" s="2227">
        <v>21517.17</v>
      </c>
      <c r="GF13" s="2227">
        <v>21100</v>
      </c>
      <c r="GG13" s="2227">
        <v>33449.919999999998</v>
      </c>
      <c r="GH13" s="2227">
        <v>15518.13</v>
      </c>
      <c r="GI13" s="2227">
        <v>14472.19</v>
      </c>
      <c r="GJ13" s="2227">
        <v>13411.05</v>
      </c>
      <c r="GK13" s="2227">
        <v>14455.68</v>
      </c>
      <c r="GL13" s="2227">
        <v>18488.73</v>
      </c>
      <c r="GM13" s="2227">
        <v>14441.81</v>
      </c>
      <c r="GN13" s="2227">
        <v>16484.91</v>
      </c>
      <c r="GO13" s="2227">
        <v>15047.99</v>
      </c>
      <c r="GP13" s="2227">
        <v>19028.330000000002</v>
      </c>
      <c r="GQ13" s="2227">
        <v>13193.17</v>
      </c>
      <c r="GR13" s="2227">
        <v>13194.24</v>
      </c>
      <c r="GS13" s="2227">
        <v>13894.87</v>
      </c>
      <c r="GT13" s="2227">
        <v>14345.33</v>
      </c>
      <c r="GU13" s="2227">
        <v>16369.15</v>
      </c>
      <c r="GV13" s="2227">
        <v>14203.09</v>
      </c>
      <c r="GW13" s="2227">
        <v>27937.59</v>
      </c>
      <c r="GX13" s="2227">
        <v>30501.18</v>
      </c>
      <c r="GY13" s="2227">
        <v>33390.53</v>
      </c>
      <c r="GZ13" s="2227">
        <v>12836.87</v>
      </c>
      <c r="HA13" s="2227">
        <v>12660.42</v>
      </c>
      <c r="HB13" s="2227">
        <v>13782.9</v>
      </c>
      <c r="HC13" s="2227">
        <v>13769.74</v>
      </c>
      <c r="HD13" s="2227">
        <v>14337.11</v>
      </c>
      <c r="HE13" s="2227">
        <v>18939.09</v>
      </c>
      <c r="HF13" s="2227">
        <v>19700</v>
      </c>
      <c r="HG13" s="2227">
        <v>16637.73</v>
      </c>
      <c r="HH13" s="2227">
        <v>17150</v>
      </c>
      <c r="HI13" s="2227">
        <v>16079.87</v>
      </c>
      <c r="HJ13" s="2227">
        <v>16002</v>
      </c>
      <c r="HK13" s="2227">
        <v>21806.39</v>
      </c>
      <c r="HL13" s="2227">
        <v>30200</v>
      </c>
      <c r="HM13" s="2227">
        <v>15518.15</v>
      </c>
      <c r="HN13" s="2227">
        <v>13832.48</v>
      </c>
      <c r="HO13" s="2227">
        <v>14179.52</v>
      </c>
      <c r="HP13" s="2227">
        <v>16123.63</v>
      </c>
      <c r="HQ13" s="2227">
        <v>18496.09</v>
      </c>
      <c r="HR13" s="2227">
        <v>23250</v>
      </c>
      <c r="HS13" s="2227">
        <v>16856.759999999998</v>
      </c>
      <c r="HT13" s="2227">
        <v>18319.34</v>
      </c>
      <c r="HU13" s="2227">
        <v>23379.59</v>
      </c>
      <c r="HV13" s="2227">
        <v>22252.55</v>
      </c>
      <c r="HW13" s="2227">
        <v>15518.13</v>
      </c>
      <c r="HX13" s="2227">
        <v>14056.04</v>
      </c>
      <c r="HY13" s="2227">
        <v>14230.83</v>
      </c>
      <c r="HZ13" s="2227">
        <v>14168.93</v>
      </c>
      <c r="IA13" s="2227">
        <v>12660.42</v>
      </c>
      <c r="IB13" s="2227">
        <v>15511.06</v>
      </c>
      <c r="IC13" s="2227">
        <v>16549.650000000001</v>
      </c>
      <c r="ID13" s="2227">
        <v>16936.52</v>
      </c>
      <c r="IE13" s="2227">
        <v>16484.95</v>
      </c>
      <c r="IF13" s="2227">
        <v>15548.43</v>
      </c>
      <c r="IG13" s="2227">
        <v>19670.04</v>
      </c>
      <c r="IH13" s="2227">
        <v>16856.77</v>
      </c>
      <c r="II13" s="2227">
        <v>16774.98</v>
      </c>
      <c r="IJ13" s="2227">
        <v>24566.27</v>
      </c>
      <c r="IK13" s="2227">
        <v>17400.919999999998</v>
      </c>
      <c r="IL13" s="2227">
        <v>20478.09</v>
      </c>
      <c r="IM13" s="2227">
        <v>16830.29</v>
      </c>
      <c r="IN13" s="2227">
        <v>24987.7</v>
      </c>
      <c r="IO13" s="2227">
        <v>26152.79</v>
      </c>
      <c r="IP13" s="2227">
        <v>24050</v>
      </c>
      <c r="IQ13" s="2227">
        <v>23379.59</v>
      </c>
      <c r="IR13" s="2227">
        <v>39396.699999999997</v>
      </c>
      <c r="IS13" s="2227">
        <v>23366.21</v>
      </c>
      <c r="IT13" s="2227">
        <v>32226.16</v>
      </c>
      <c r="IU13" s="2227">
        <v>23659.07</v>
      </c>
      <c r="IV13" s="2227">
        <v>16629.13</v>
      </c>
    </row>
    <row r="14" spans="1:256">
      <c r="A14" s="2214">
        <v>5</v>
      </c>
      <c r="B14" s="2925">
        <v>15883.68</v>
      </c>
      <c r="C14" s="2227">
        <v>14755.36</v>
      </c>
      <c r="D14" s="2925">
        <v>14883.68</v>
      </c>
      <c r="E14" s="2227">
        <v>13482.33</v>
      </c>
      <c r="F14" s="2925">
        <v>13886</v>
      </c>
      <c r="G14" s="2227">
        <v>13018.59</v>
      </c>
      <c r="H14" s="2926">
        <v>13086</v>
      </c>
      <c r="I14" s="2925">
        <v>19393.45</v>
      </c>
      <c r="J14" s="2925">
        <v>19393.45</v>
      </c>
      <c r="K14" s="2227">
        <v>15509.26</v>
      </c>
      <c r="L14" s="2925">
        <v>16661</v>
      </c>
      <c r="M14" s="2227">
        <v>15509.26</v>
      </c>
      <c r="N14" s="2925">
        <v>16178.2</v>
      </c>
      <c r="O14" s="2925">
        <v>16178.2</v>
      </c>
      <c r="P14" s="2227">
        <v>14454.25</v>
      </c>
      <c r="Q14" s="2925">
        <v>15661</v>
      </c>
      <c r="R14" s="2227">
        <v>13995.16</v>
      </c>
      <c r="S14" s="2925">
        <v>14661</v>
      </c>
      <c r="T14" s="2925">
        <v>14868.8</v>
      </c>
      <c r="U14" s="2227">
        <v>13995.16</v>
      </c>
      <c r="V14" s="2925">
        <v>14661</v>
      </c>
      <c r="W14" s="2227">
        <v>13619.83</v>
      </c>
      <c r="X14" s="2925">
        <v>13832.38</v>
      </c>
      <c r="Y14" s="2925">
        <v>13832.38</v>
      </c>
      <c r="Z14" s="2925">
        <v>13561</v>
      </c>
      <c r="AA14" s="2925">
        <v>20673</v>
      </c>
      <c r="AB14" s="2227">
        <v>17063.27</v>
      </c>
      <c r="AC14" s="2925">
        <v>18973</v>
      </c>
      <c r="AD14" s="2227">
        <v>17164.259999999998</v>
      </c>
      <c r="AE14" s="2925">
        <v>17273</v>
      </c>
      <c r="AF14" s="2227">
        <v>15716.28</v>
      </c>
      <c r="AG14" s="2925">
        <v>15431.97</v>
      </c>
      <c r="AH14" s="2925">
        <v>20673</v>
      </c>
      <c r="AI14" s="2925">
        <v>20673</v>
      </c>
      <c r="AJ14" s="2227">
        <v>19148.72</v>
      </c>
      <c r="AK14" s="2925">
        <v>19148.72</v>
      </c>
      <c r="AL14" s="2925">
        <v>18973</v>
      </c>
      <c r="AM14" s="2227">
        <v>17063.27</v>
      </c>
      <c r="AN14" s="2925">
        <v>17273</v>
      </c>
      <c r="AO14" s="2925">
        <v>17416.28</v>
      </c>
      <c r="AP14" s="2227">
        <v>17164.259999999998</v>
      </c>
      <c r="AQ14" s="2925">
        <v>17164.259999999998</v>
      </c>
      <c r="AR14" s="2925">
        <v>15716.28</v>
      </c>
      <c r="AS14" s="2923">
        <v>23556</v>
      </c>
      <c r="AT14" s="2227">
        <v>19551.07</v>
      </c>
      <c r="AU14" s="2923">
        <v>22397.439999999999</v>
      </c>
      <c r="AV14" s="2227">
        <v>18878.77</v>
      </c>
      <c r="AW14" s="2923">
        <v>20356</v>
      </c>
      <c r="AX14" s="2227">
        <v>18301.39</v>
      </c>
      <c r="AY14" s="2923">
        <v>18273.439999999999</v>
      </c>
      <c r="AZ14" s="2925">
        <v>24426</v>
      </c>
      <c r="BA14" s="2227">
        <v>22341.52</v>
      </c>
      <c r="BB14" s="2923">
        <v>23556</v>
      </c>
      <c r="BC14" s="2227">
        <v>20770.68</v>
      </c>
      <c r="BD14" s="2925">
        <v>26810</v>
      </c>
      <c r="BE14" s="2227">
        <v>23539.65</v>
      </c>
      <c r="BF14" s="2923">
        <v>23556</v>
      </c>
      <c r="BG14" s="2227">
        <v>22664.52</v>
      </c>
      <c r="BH14" s="2925">
        <v>22826</v>
      </c>
      <c r="BI14" s="2227">
        <v>21628.09</v>
      </c>
      <c r="BJ14" s="2923">
        <v>22397.439999999999</v>
      </c>
      <c r="BK14" s="2227">
        <v>19958.919999999998</v>
      </c>
      <c r="BL14" s="2925">
        <v>25196</v>
      </c>
      <c r="BM14" s="2227">
        <v>22954.48</v>
      </c>
      <c r="BN14" s="2923">
        <v>23118.97</v>
      </c>
      <c r="BO14" s="2227">
        <v>22248.97</v>
      </c>
      <c r="BP14" s="2925">
        <v>21226</v>
      </c>
      <c r="BQ14" s="2227">
        <v>19325.7</v>
      </c>
      <c r="BR14" s="2923">
        <v>20356</v>
      </c>
      <c r="BS14" s="2227">
        <v>18777.240000000002</v>
      </c>
      <c r="BT14" s="2925">
        <v>22196</v>
      </c>
      <c r="BU14" s="2227">
        <v>19491.810000000001</v>
      </c>
      <c r="BV14" s="2923">
        <v>21594</v>
      </c>
      <c r="BW14" s="2227">
        <v>18954.53</v>
      </c>
      <c r="BX14" s="2925">
        <v>18726</v>
      </c>
      <c r="BY14" s="2923">
        <v>18594</v>
      </c>
      <c r="BZ14" s="2924">
        <v>19196</v>
      </c>
      <c r="CA14" s="2923">
        <v>18594</v>
      </c>
      <c r="CB14" s="2227">
        <v>56410</v>
      </c>
      <c r="CC14" s="2227">
        <v>53410</v>
      </c>
      <c r="CD14" s="2227">
        <v>50410</v>
      </c>
      <c r="CE14" s="2227">
        <v>48620</v>
      </c>
      <c r="CF14" s="2227">
        <v>45620</v>
      </c>
      <c r="CG14" s="2227">
        <v>42620</v>
      </c>
      <c r="CH14" s="2227">
        <v>41480</v>
      </c>
      <c r="CI14" s="2227">
        <v>38480</v>
      </c>
      <c r="CJ14" s="2227">
        <v>34980</v>
      </c>
      <c r="CK14" s="2227">
        <v>34280</v>
      </c>
      <c r="CL14" s="2227">
        <v>31280</v>
      </c>
      <c r="CM14" s="2227">
        <v>28280</v>
      </c>
      <c r="CN14" s="2227">
        <v>26105</v>
      </c>
      <c r="CO14" s="2227">
        <v>24105</v>
      </c>
      <c r="CP14" s="2227">
        <v>14612.45</v>
      </c>
      <c r="CQ14" s="2227">
        <v>12631.03</v>
      </c>
      <c r="CR14" s="2227">
        <v>13391.46</v>
      </c>
      <c r="CS14" s="2227">
        <v>23536.86</v>
      </c>
      <c r="CT14" s="2227">
        <v>16178.2</v>
      </c>
      <c r="CU14" s="2227">
        <v>16646.060000000001</v>
      </c>
      <c r="CV14" s="2227">
        <v>16646.060000000001</v>
      </c>
      <c r="CW14" s="2227">
        <v>16646.060000000001</v>
      </c>
      <c r="CX14" s="2227">
        <v>16646.060000000001</v>
      </c>
      <c r="CY14" s="2227">
        <v>16000</v>
      </c>
      <c r="CZ14" s="2227">
        <v>19148.72</v>
      </c>
      <c r="DA14" s="2227">
        <v>19393.45</v>
      </c>
      <c r="DB14" s="2227">
        <v>17164.259999999998</v>
      </c>
      <c r="DC14" s="2227">
        <v>17063.27</v>
      </c>
      <c r="DD14" s="2227">
        <v>15549.17</v>
      </c>
      <c r="DE14" s="2227">
        <v>15431.97</v>
      </c>
      <c r="DF14" s="2227">
        <v>15468.89</v>
      </c>
      <c r="DG14" s="2227">
        <v>15300</v>
      </c>
      <c r="DH14" s="2227">
        <v>15400</v>
      </c>
      <c r="DI14" s="2227">
        <v>13258.51</v>
      </c>
      <c r="DJ14" s="2227">
        <v>13258.51</v>
      </c>
      <c r="DK14" s="2227">
        <v>16600</v>
      </c>
      <c r="DL14" s="2227">
        <v>17505.97</v>
      </c>
      <c r="DM14" s="2227">
        <v>17750</v>
      </c>
      <c r="DN14" s="2227">
        <v>12766.53</v>
      </c>
      <c r="DO14" s="2227">
        <v>18777.240000000002</v>
      </c>
      <c r="DP14" s="2227">
        <v>14129.96</v>
      </c>
      <c r="DQ14" s="2227">
        <v>25329.38</v>
      </c>
      <c r="DR14" s="2227">
        <v>15716.28</v>
      </c>
      <c r="DS14" s="2227">
        <v>14000</v>
      </c>
      <c r="DT14" s="2227">
        <v>13942.05</v>
      </c>
      <c r="DU14" s="2227">
        <v>14303.47</v>
      </c>
      <c r="DV14" s="2227">
        <v>17164.259999999998</v>
      </c>
      <c r="DW14" s="2227">
        <v>13619.83</v>
      </c>
      <c r="DX14" s="2227">
        <v>20700</v>
      </c>
      <c r="DY14" s="2227">
        <v>14481.16</v>
      </c>
      <c r="DZ14" s="2227">
        <v>18954.53</v>
      </c>
      <c r="EA14" s="2227">
        <v>16525.689999999999</v>
      </c>
      <c r="EB14" s="2227">
        <v>28338.67</v>
      </c>
      <c r="EC14" s="2227">
        <v>18716.009999999998</v>
      </c>
      <c r="ED14" s="2227">
        <v>14997.57</v>
      </c>
      <c r="EE14" s="2227">
        <v>14650</v>
      </c>
      <c r="EF14" s="2227">
        <v>14454.25</v>
      </c>
      <c r="EG14" s="2227">
        <v>15509.26</v>
      </c>
      <c r="EH14" s="2227">
        <v>14873.64</v>
      </c>
      <c r="EI14" s="2227">
        <v>19633.189999999999</v>
      </c>
      <c r="EJ14" s="2227">
        <v>22954.48</v>
      </c>
      <c r="EK14" s="2227">
        <v>15446.16</v>
      </c>
      <c r="EL14" s="2227">
        <v>14129.96</v>
      </c>
      <c r="EM14" s="2227">
        <v>28472.39</v>
      </c>
      <c r="EN14" s="2227">
        <v>19491.810000000001</v>
      </c>
      <c r="EO14" s="2227">
        <v>13279.87</v>
      </c>
      <c r="EP14" s="2227">
        <v>14350</v>
      </c>
      <c r="EQ14" s="2227">
        <v>14807.32</v>
      </c>
      <c r="ER14" s="2227">
        <v>17030.310000000001</v>
      </c>
      <c r="ES14" s="2227">
        <v>15205.17</v>
      </c>
      <c r="ET14" s="2227">
        <v>13482.33</v>
      </c>
      <c r="EU14" s="2227">
        <v>17129.46</v>
      </c>
      <c r="EV14" s="2227">
        <v>19325.7</v>
      </c>
      <c r="EW14" s="2227">
        <v>15112.05</v>
      </c>
      <c r="EX14" s="2227">
        <v>15425.65</v>
      </c>
      <c r="EY14" s="2227">
        <v>18800</v>
      </c>
      <c r="EZ14" s="2227">
        <v>24293.59</v>
      </c>
      <c r="FA14" s="2227">
        <v>14189.14</v>
      </c>
      <c r="FB14" s="2227">
        <v>14836.46</v>
      </c>
      <c r="FC14" s="2227">
        <v>26300</v>
      </c>
      <c r="FD14" s="2227">
        <v>24050</v>
      </c>
      <c r="FE14" s="2227">
        <v>30599.26</v>
      </c>
      <c r="FF14" s="2227">
        <v>13350</v>
      </c>
      <c r="FG14" s="2227">
        <v>22248.97</v>
      </c>
      <c r="FH14" s="2227">
        <v>15914.78</v>
      </c>
      <c r="FI14" s="2227">
        <v>13995.16</v>
      </c>
      <c r="FJ14" s="2227">
        <v>13537.36</v>
      </c>
      <c r="FK14" s="2227">
        <v>19958.919999999998</v>
      </c>
      <c r="FL14" s="2227">
        <v>14129.96</v>
      </c>
      <c r="FM14" s="2227">
        <v>16203.82</v>
      </c>
      <c r="FN14" s="2227">
        <v>16000</v>
      </c>
      <c r="FO14" s="2227">
        <v>22682.3</v>
      </c>
      <c r="FP14" s="2227">
        <v>17005.509999999998</v>
      </c>
      <c r="FQ14" s="2227">
        <v>13894.09</v>
      </c>
      <c r="FR14" s="2227">
        <v>22250</v>
      </c>
      <c r="FS14" s="2227">
        <v>26300</v>
      </c>
      <c r="FT14" s="2227">
        <v>23376.36</v>
      </c>
      <c r="FU14" s="2227">
        <v>15146.31</v>
      </c>
      <c r="FV14" s="2227">
        <v>25300</v>
      </c>
      <c r="FW14" s="2227">
        <v>15044.68</v>
      </c>
      <c r="FX14" s="2227">
        <v>16113.12</v>
      </c>
      <c r="FY14" s="2227">
        <v>13438.77</v>
      </c>
      <c r="FZ14" s="2227">
        <v>15539.55</v>
      </c>
      <c r="GA14" s="2227">
        <v>18711.490000000002</v>
      </c>
      <c r="GB14" s="2227">
        <v>23539.65</v>
      </c>
      <c r="GC14" s="2227">
        <v>14129.96</v>
      </c>
      <c r="GD14" s="2227">
        <v>12950.33</v>
      </c>
      <c r="GE14" s="2227">
        <v>21913.8</v>
      </c>
      <c r="GF14" s="2227">
        <v>21900</v>
      </c>
      <c r="GG14" s="2227">
        <v>33449.919999999998</v>
      </c>
      <c r="GH14" s="2227">
        <v>15865.19</v>
      </c>
      <c r="GI14" s="2227">
        <v>14727.59</v>
      </c>
      <c r="GJ14" s="2227">
        <v>13535</v>
      </c>
      <c r="GK14" s="2227">
        <v>14659.18</v>
      </c>
      <c r="GL14" s="2227">
        <v>18878.77</v>
      </c>
      <c r="GM14" s="2227">
        <v>14575.02</v>
      </c>
      <c r="GN14" s="2227">
        <v>16757.59</v>
      </c>
      <c r="GO14" s="2227">
        <v>15342.91</v>
      </c>
      <c r="GP14" s="2227">
        <v>19466.490000000002</v>
      </c>
      <c r="GQ14" s="2227">
        <v>13389.78</v>
      </c>
      <c r="GR14" s="2227">
        <v>13264.32</v>
      </c>
      <c r="GS14" s="2227">
        <v>13966.42</v>
      </c>
      <c r="GT14" s="2227">
        <v>14481.16</v>
      </c>
      <c r="GU14" s="2227">
        <v>16888.64</v>
      </c>
      <c r="GV14" s="2227">
        <v>14467.75</v>
      </c>
      <c r="GW14" s="2227">
        <v>28433.38</v>
      </c>
      <c r="GX14" s="2227">
        <v>31593.61</v>
      </c>
      <c r="GY14" s="2227">
        <v>33390.53</v>
      </c>
      <c r="GZ14" s="2227">
        <v>12950.33</v>
      </c>
      <c r="HA14" s="2227">
        <v>12718.59</v>
      </c>
      <c r="HB14" s="2227">
        <v>14129.96</v>
      </c>
      <c r="HC14" s="2227">
        <v>13902.1</v>
      </c>
      <c r="HD14" s="2227">
        <v>14472.86</v>
      </c>
      <c r="HE14" s="2227">
        <v>19236.57</v>
      </c>
      <c r="HF14" s="2227">
        <v>20250</v>
      </c>
      <c r="HG14" s="2227">
        <v>17101.27</v>
      </c>
      <c r="HH14" s="2227">
        <v>17750</v>
      </c>
      <c r="HI14" s="2227">
        <v>16469.91</v>
      </c>
      <c r="HJ14" s="2227">
        <v>16203.82</v>
      </c>
      <c r="HK14" s="2227">
        <v>22341.52</v>
      </c>
      <c r="HL14" s="2227">
        <v>30200</v>
      </c>
      <c r="HM14" s="2227">
        <v>15865.21</v>
      </c>
      <c r="HN14" s="2227">
        <v>14179.54</v>
      </c>
      <c r="HO14" s="2227">
        <v>14303.47</v>
      </c>
      <c r="HP14" s="2227">
        <v>16252.61</v>
      </c>
      <c r="HQ14" s="2227">
        <v>18711.490000000002</v>
      </c>
      <c r="HR14" s="2227">
        <v>24150</v>
      </c>
      <c r="HS14" s="2227">
        <v>17352.55</v>
      </c>
      <c r="HT14" s="2227">
        <v>18864.71</v>
      </c>
      <c r="HU14" s="2227">
        <v>24357.46</v>
      </c>
      <c r="HV14" s="2227">
        <v>23201.759999999998</v>
      </c>
      <c r="HW14" s="2227">
        <v>15865.18</v>
      </c>
      <c r="HX14" s="2227">
        <v>14189.14</v>
      </c>
      <c r="HY14" s="2227">
        <v>14363.93</v>
      </c>
      <c r="HZ14" s="2227">
        <v>14453.94</v>
      </c>
      <c r="IA14" s="2227">
        <v>12718.59</v>
      </c>
      <c r="IB14" s="2227">
        <v>15654.12</v>
      </c>
      <c r="IC14" s="2227">
        <v>16674.84</v>
      </c>
      <c r="ID14" s="2227">
        <v>17203.95</v>
      </c>
      <c r="IE14" s="2227">
        <v>16893.98</v>
      </c>
      <c r="IF14" s="2227">
        <v>15871.27</v>
      </c>
      <c r="IG14" s="2227">
        <v>20026.38</v>
      </c>
      <c r="IH14" s="2227">
        <v>17352.560000000001</v>
      </c>
      <c r="II14" s="2227">
        <v>17213.14</v>
      </c>
      <c r="IJ14" s="2227">
        <v>24962.9</v>
      </c>
      <c r="IK14" s="2227">
        <v>17776.490000000002</v>
      </c>
      <c r="IL14" s="2227">
        <v>20770.68</v>
      </c>
      <c r="IM14" s="2227">
        <v>17103.23</v>
      </c>
      <c r="IN14" s="2227">
        <v>25533.07</v>
      </c>
      <c r="IO14" s="2227">
        <v>27243.53</v>
      </c>
      <c r="IP14" s="2227">
        <v>24050</v>
      </c>
      <c r="IQ14" s="2227">
        <v>24357.46</v>
      </c>
      <c r="IR14" s="2227">
        <v>39396.699999999997</v>
      </c>
      <c r="IS14" s="2227">
        <v>24343.49</v>
      </c>
      <c r="IT14" s="2227">
        <v>33515.21</v>
      </c>
      <c r="IU14" s="2227">
        <v>24304.86</v>
      </c>
      <c r="IV14" s="2227">
        <v>17164.259999999998</v>
      </c>
    </row>
    <row r="15" spans="1:256">
      <c r="A15" s="2214">
        <v>6</v>
      </c>
      <c r="B15" s="2925">
        <v>15883.68</v>
      </c>
      <c r="C15" s="2227">
        <v>14755.36</v>
      </c>
      <c r="D15" s="2925">
        <v>14883.68</v>
      </c>
      <c r="E15" s="2227">
        <v>13482.33</v>
      </c>
      <c r="F15" s="2925">
        <v>13913</v>
      </c>
      <c r="G15" s="2227">
        <v>13018.59</v>
      </c>
      <c r="H15" s="2926">
        <v>13113</v>
      </c>
      <c r="I15" s="2925">
        <v>19393.45</v>
      </c>
      <c r="J15" s="2925">
        <v>19393.45</v>
      </c>
      <c r="K15" s="2227">
        <v>15509.26</v>
      </c>
      <c r="L15" s="2925">
        <v>16782</v>
      </c>
      <c r="M15" s="2227">
        <v>15509.26</v>
      </c>
      <c r="N15" s="2925">
        <v>16178.2</v>
      </c>
      <c r="O15" s="2925">
        <v>16178.2</v>
      </c>
      <c r="P15" s="2227">
        <v>14454.25</v>
      </c>
      <c r="Q15" s="2925">
        <v>15782</v>
      </c>
      <c r="R15" s="2227">
        <v>13995.16</v>
      </c>
      <c r="S15" s="2925">
        <v>14782</v>
      </c>
      <c r="T15" s="2925">
        <v>14868.8</v>
      </c>
      <c r="U15" s="2227">
        <v>13995.16</v>
      </c>
      <c r="V15" s="2925">
        <v>14782</v>
      </c>
      <c r="W15" s="2227">
        <v>13619.83</v>
      </c>
      <c r="X15" s="2925">
        <v>13832.38</v>
      </c>
      <c r="Y15" s="2925">
        <v>13832.38</v>
      </c>
      <c r="Z15" s="2925">
        <v>13682</v>
      </c>
      <c r="AA15" s="2925">
        <v>20873</v>
      </c>
      <c r="AB15" s="2227">
        <v>17063.27</v>
      </c>
      <c r="AC15" s="2925">
        <v>19173</v>
      </c>
      <c r="AD15" s="2227">
        <v>17164.259999999998</v>
      </c>
      <c r="AE15" s="2925">
        <v>17473</v>
      </c>
      <c r="AF15" s="2227">
        <v>15716.28</v>
      </c>
      <c r="AG15" s="2925">
        <v>15473</v>
      </c>
      <c r="AH15" s="2925">
        <v>20873</v>
      </c>
      <c r="AI15" s="2925">
        <v>20873</v>
      </c>
      <c r="AJ15" s="2227">
        <v>19148.72</v>
      </c>
      <c r="AK15" s="2925">
        <v>19173</v>
      </c>
      <c r="AL15" s="2925">
        <v>19173</v>
      </c>
      <c r="AM15" s="2227">
        <v>17063.27</v>
      </c>
      <c r="AN15" s="2925">
        <v>17473</v>
      </c>
      <c r="AO15" s="2925">
        <v>17473</v>
      </c>
      <c r="AP15" s="2227">
        <v>17164.259999999998</v>
      </c>
      <c r="AQ15" s="2925">
        <v>17164.259999999998</v>
      </c>
      <c r="AR15" s="2925">
        <v>15716.28</v>
      </c>
      <c r="AS15" s="2923">
        <v>23556</v>
      </c>
      <c r="AT15" s="2227">
        <v>19551.07</v>
      </c>
      <c r="AU15" s="2923">
        <v>22397.439999999999</v>
      </c>
      <c r="AV15" s="2227">
        <v>18878.77</v>
      </c>
      <c r="AW15" s="2923">
        <v>20356</v>
      </c>
      <c r="AX15" s="2227">
        <v>18301.39</v>
      </c>
      <c r="AY15" s="2923">
        <v>18273.439999999999</v>
      </c>
      <c r="AZ15" s="2925">
        <v>24426</v>
      </c>
      <c r="BA15" s="2227">
        <v>22341.52</v>
      </c>
      <c r="BB15" s="2923">
        <v>23556</v>
      </c>
      <c r="BC15" s="2227">
        <v>20770.68</v>
      </c>
      <c r="BD15" s="2925">
        <v>26810</v>
      </c>
      <c r="BE15" s="2227">
        <v>23539.65</v>
      </c>
      <c r="BF15" s="2923">
        <v>23556</v>
      </c>
      <c r="BG15" s="2227">
        <v>22664.52</v>
      </c>
      <c r="BH15" s="2925">
        <v>22826</v>
      </c>
      <c r="BI15" s="2227">
        <v>21628.09</v>
      </c>
      <c r="BJ15" s="2923">
        <v>22397.439999999999</v>
      </c>
      <c r="BK15" s="2227">
        <v>19958.919999999998</v>
      </c>
      <c r="BL15" s="2925">
        <v>25196</v>
      </c>
      <c r="BM15" s="2227">
        <v>22954.48</v>
      </c>
      <c r="BN15" s="2923">
        <v>23118.97</v>
      </c>
      <c r="BO15" s="2227">
        <v>22248.97</v>
      </c>
      <c r="BP15" s="2925">
        <v>21226</v>
      </c>
      <c r="BQ15" s="2227">
        <v>19325.7</v>
      </c>
      <c r="BR15" s="2923">
        <v>20356</v>
      </c>
      <c r="BS15" s="2227">
        <v>18777.240000000002</v>
      </c>
      <c r="BT15" s="2925">
        <v>22196</v>
      </c>
      <c r="BU15" s="2227">
        <v>19491.810000000001</v>
      </c>
      <c r="BV15" s="2923">
        <v>21594</v>
      </c>
      <c r="BW15" s="2227">
        <v>18954.53</v>
      </c>
      <c r="BX15" s="2925">
        <v>18726</v>
      </c>
      <c r="BY15" s="2923">
        <v>18594</v>
      </c>
      <c r="BZ15" s="2924">
        <v>19196</v>
      </c>
      <c r="CA15" s="2923">
        <v>18594</v>
      </c>
      <c r="CB15" s="2227">
        <v>57020</v>
      </c>
      <c r="CC15" s="2227">
        <v>54020</v>
      </c>
      <c r="CD15" s="2227">
        <v>51020</v>
      </c>
      <c r="CE15" s="2227">
        <v>49230</v>
      </c>
      <c r="CF15" s="2227">
        <v>46230</v>
      </c>
      <c r="CG15" s="2227">
        <v>43230</v>
      </c>
      <c r="CH15" s="2227">
        <v>42000</v>
      </c>
      <c r="CI15" s="2227">
        <v>39000</v>
      </c>
      <c r="CJ15" s="2227">
        <v>35500</v>
      </c>
      <c r="CK15" s="2227">
        <v>34760</v>
      </c>
      <c r="CL15" s="2227">
        <v>31760</v>
      </c>
      <c r="CM15" s="2227">
        <v>28760</v>
      </c>
      <c r="CN15" s="2227">
        <v>26550</v>
      </c>
      <c r="CO15" s="2227">
        <v>24550</v>
      </c>
      <c r="CP15" s="2227">
        <v>14612.45</v>
      </c>
      <c r="CQ15" s="2227">
        <v>12631.03</v>
      </c>
      <c r="CR15" s="2227">
        <v>13391.46</v>
      </c>
      <c r="CS15" s="2227">
        <v>23536.86</v>
      </c>
      <c r="CT15" s="2227">
        <v>16178.2</v>
      </c>
      <c r="CU15" s="2227">
        <v>17067.48</v>
      </c>
      <c r="CV15" s="2227">
        <v>17067.48</v>
      </c>
      <c r="CW15" s="2227">
        <v>17067.48</v>
      </c>
      <c r="CX15" s="2227">
        <v>17067.48</v>
      </c>
      <c r="CY15" s="2227">
        <v>16000</v>
      </c>
      <c r="CZ15" s="2227">
        <v>19148.72</v>
      </c>
      <c r="DA15" s="2227">
        <v>19393.45</v>
      </c>
      <c r="DB15" s="2227">
        <v>17164.259999999998</v>
      </c>
      <c r="DC15" s="2227">
        <v>17063.27</v>
      </c>
      <c r="DD15" s="2227">
        <v>15803.27</v>
      </c>
      <c r="DE15" s="2227">
        <v>15431.97</v>
      </c>
      <c r="DF15" s="2227">
        <v>15468.89</v>
      </c>
      <c r="DG15" s="2227">
        <v>15300</v>
      </c>
      <c r="DH15" s="2227">
        <v>15400</v>
      </c>
      <c r="DI15" s="2227">
        <v>13258.51</v>
      </c>
      <c r="DJ15" s="2227">
        <v>13258.51</v>
      </c>
      <c r="DK15" s="2227">
        <v>16600</v>
      </c>
      <c r="DL15" s="2227">
        <v>17505.97</v>
      </c>
      <c r="DM15" s="2227">
        <v>17750</v>
      </c>
      <c r="DN15" s="2227">
        <v>12766.53</v>
      </c>
      <c r="DO15" s="2227">
        <v>18777.240000000002</v>
      </c>
      <c r="DP15" s="2227">
        <v>14129.96</v>
      </c>
      <c r="DQ15" s="2227">
        <v>25329.38</v>
      </c>
      <c r="DR15" s="2227">
        <v>15716.28</v>
      </c>
      <c r="DS15" s="2227">
        <v>14000</v>
      </c>
      <c r="DT15" s="2227">
        <v>14122.62</v>
      </c>
      <c r="DU15" s="2227">
        <v>14303.47</v>
      </c>
      <c r="DV15" s="2227">
        <v>17164.259999999998</v>
      </c>
      <c r="DW15" s="2227">
        <v>13619.83</v>
      </c>
      <c r="DX15" s="2227">
        <v>20700</v>
      </c>
      <c r="DY15" s="2227">
        <v>14616.99</v>
      </c>
      <c r="DZ15" s="2227">
        <v>18954.53</v>
      </c>
      <c r="EA15" s="2227">
        <v>16525.689999999999</v>
      </c>
      <c r="EB15" s="2227">
        <v>28338.67</v>
      </c>
      <c r="EC15" s="2227">
        <v>19063.07</v>
      </c>
      <c r="ED15" s="2227">
        <v>14997.57</v>
      </c>
      <c r="EE15" s="2227">
        <v>14650</v>
      </c>
      <c r="EF15" s="2227">
        <v>14454.25</v>
      </c>
      <c r="EG15" s="2227">
        <v>15509.26</v>
      </c>
      <c r="EH15" s="2227">
        <v>14873.64</v>
      </c>
      <c r="EI15" s="2227">
        <v>19930.669999999998</v>
      </c>
      <c r="EJ15" s="2227">
        <v>22954.48</v>
      </c>
      <c r="EK15" s="2227">
        <v>15446.16</v>
      </c>
      <c r="EL15" s="2227">
        <v>14873.65</v>
      </c>
      <c r="EM15" s="2227">
        <v>28472.39</v>
      </c>
      <c r="EN15" s="2227">
        <v>19491.810000000001</v>
      </c>
      <c r="EO15" s="2227">
        <v>13340.66</v>
      </c>
      <c r="EP15" s="2227">
        <v>14350</v>
      </c>
      <c r="EQ15" s="2227">
        <v>14936.38</v>
      </c>
      <c r="ER15" s="2227">
        <v>17451.73</v>
      </c>
      <c r="ES15" s="2227">
        <v>15369.13</v>
      </c>
      <c r="ET15" s="2227">
        <v>13482.33</v>
      </c>
      <c r="EU15" s="2227">
        <v>17129.46</v>
      </c>
      <c r="EV15" s="2227">
        <v>19325.7</v>
      </c>
      <c r="EW15" s="2227">
        <v>15243.76</v>
      </c>
      <c r="EX15" s="2227">
        <v>15748.49</v>
      </c>
      <c r="EY15" s="2227">
        <v>18800</v>
      </c>
      <c r="EZ15" s="2227">
        <v>24789.38</v>
      </c>
      <c r="FA15" s="2227">
        <v>14322.24</v>
      </c>
      <c r="FB15" s="2227">
        <v>14898.44</v>
      </c>
      <c r="FC15" s="2227">
        <v>27800</v>
      </c>
      <c r="FD15" s="2227">
        <v>25550</v>
      </c>
      <c r="FE15" s="2227">
        <v>31936.99</v>
      </c>
      <c r="FF15" s="2227">
        <v>13350</v>
      </c>
      <c r="FG15" s="2227">
        <v>22248.97</v>
      </c>
      <c r="FH15" s="2227">
        <v>15914.78</v>
      </c>
      <c r="FI15" s="2227">
        <v>13995.16</v>
      </c>
      <c r="FJ15" s="2227">
        <v>13608.91</v>
      </c>
      <c r="FK15" s="2227">
        <v>19958.919999999998</v>
      </c>
      <c r="FL15" s="2227">
        <v>14129.96</v>
      </c>
      <c r="FM15" s="2227">
        <v>16405.64</v>
      </c>
      <c r="FN15" s="2227">
        <v>16000</v>
      </c>
      <c r="FO15" s="2227">
        <v>23004.57</v>
      </c>
      <c r="FP15" s="2227">
        <v>17005.509999999998</v>
      </c>
      <c r="FQ15" s="2227">
        <v>14026.36</v>
      </c>
      <c r="FR15" s="2227">
        <v>22250</v>
      </c>
      <c r="FS15" s="2227">
        <v>27800</v>
      </c>
      <c r="FT15" s="2227">
        <v>23376.36</v>
      </c>
      <c r="FU15" s="2227">
        <v>16757.62</v>
      </c>
      <c r="FV15" s="2227">
        <v>26800</v>
      </c>
      <c r="FW15" s="2227">
        <v>15106.66</v>
      </c>
      <c r="FX15" s="2227">
        <v>16361.02</v>
      </c>
      <c r="FY15" s="2227">
        <v>13438.77</v>
      </c>
      <c r="FZ15" s="2227">
        <v>15925.3</v>
      </c>
      <c r="GA15" s="2227">
        <v>19164.59</v>
      </c>
      <c r="GB15" s="2227">
        <v>23539.65</v>
      </c>
      <c r="GC15" s="2227">
        <v>14129.96</v>
      </c>
      <c r="GD15" s="2227">
        <v>12950.33</v>
      </c>
      <c r="GE15" s="2227">
        <v>22310.43</v>
      </c>
      <c r="GF15" s="2227">
        <v>21900</v>
      </c>
      <c r="GG15" s="2227">
        <v>34739.07</v>
      </c>
      <c r="GH15" s="2227">
        <v>15865.19</v>
      </c>
      <c r="GI15" s="2227">
        <v>14727.59</v>
      </c>
      <c r="GJ15" s="2227">
        <v>13535</v>
      </c>
      <c r="GK15" s="2227">
        <v>14862.68</v>
      </c>
      <c r="GL15" s="2227">
        <v>18878.77</v>
      </c>
      <c r="GM15" s="2227">
        <v>14708.23</v>
      </c>
      <c r="GN15" s="2227">
        <v>17030.27</v>
      </c>
      <c r="GO15" s="2227">
        <v>15637.83</v>
      </c>
      <c r="GP15" s="2227">
        <v>19466.490000000002</v>
      </c>
      <c r="GQ15" s="2227">
        <v>13389.78</v>
      </c>
      <c r="GR15" s="2227">
        <v>13334.4</v>
      </c>
      <c r="GS15" s="2227">
        <v>14037.97</v>
      </c>
      <c r="GT15" s="2227">
        <v>14616.99</v>
      </c>
      <c r="GU15" s="2227">
        <v>16888.64</v>
      </c>
      <c r="GV15" s="2227">
        <v>14467.75</v>
      </c>
      <c r="GW15" s="2227">
        <v>28929.17</v>
      </c>
      <c r="GX15" s="2227">
        <v>31593.61</v>
      </c>
      <c r="GY15" s="2227">
        <v>34728.26</v>
      </c>
      <c r="GZ15" s="2227">
        <v>12950.33</v>
      </c>
      <c r="HA15" s="2227">
        <v>12718.59</v>
      </c>
      <c r="HB15" s="2227">
        <v>14129.96</v>
      </c>
      <c r="HC15" s="2227">
        <v>14034.46</v>
      </c>
      <c r="HD15" s="2227">
        <v>14608.61</v>
      </c>
      <c r="HE15" s="2227">
        <v>19534.05</v>
      </c>
      <c r="HF15" s="2227">
        <v>20250</v>
      </c>
      <c r="HG15" s="2227">
        <v>17564.810000000001</v>
      </c>
      <c r="HH15" s="2227">
        <v>17750</v>
      </c>
      <c r="HI15" s="2227">
        <v>16469.91</v>
      </c>
      <c r="HJ15" s="2227">
        <v>16405.64</v>
      </c>
      <c r="HK15" s="2227">
        <v>22341.52</v>
      </c>
      <c r="HL15" s="2227">
        <v>31700</v>
      </c>
      <c r="HM15" s="2227">
        <v>15865.21</v>
      </c>
      <c r="HN15" s="2227">
        <v>14923.23</v>
      </c>
      <c r="HO15" s="2227">
        <v>14303.47</v>
      </c>
      <c r="HP15" s="2227">
        <v>16381.59</v>
      </c>
      <c r="HQ15" s="2227">
        <v>19164.59</v>
      </c>
      <c r="HR15" s="2227">
        <v>24150</v>
      </c>
      <c r="HS15" s="2227">
        <v>17352.55</v>
      </c>
      <c r="HT15" s="2227">
        <v>18864.71</v>
      </c>
      <c r="HU15" s="2227">
        <v>24357.46</v>
      </c>
      <c r="HV15" s="2227">
        <v>23201.759999999998</v>
      </c>
      <c r="HW15" s="2227">
        <v>15865.18</v>
      </c>
      <c r="HX15" s="2227">
        <v>14322.24</v>
      </c>
      <c r="HY15" s="2227">
        <v>14497.03</v>
      </c>
      <c r="HZ15" s="2227">
        <v>14738.95</v>
      </c>
      <c r="IA15" s="2227">
        <v>12718.59</v>
      </c>
      <c r="IB15" s="2227">
        <v>15797.18</v>
      </c>
      <c r="IC15" s="2227">
        <v>16674.84</v>
      </c>
      <c r="ID15" s="2227">
        <v>17203.95</v>
      </c>
      <c r="IE15" s="2227">
        <v>17315.400000000001</v>
      </c>
      <c r="IF15" s="2227">
        <v>16194.11</v>
      </c>
      <c r="IG15" s="2227">
        <v>20026.38</v>
      </c>
      <c r="IH15" s="2227">
        <v>17352.560000000001</v>
      </c>
      <c r="II15" s="2227">
        <v>17213.14</v>
      </c>
      <c r="IJ15" s="2227">
        <v>25359.53</v>
      </c>
      <c r="IK15" s="2227">
        <v>17776.490000000002</v>
      </c>
      <c r="IL15" s="2227">
        <v>20770.68</v>
      </c>
      <c r="IM15" s="2227">
        <v>17103.23</v>
      </c>
      <c r="IN15" s="2227">
        <v>26078.44</v>
      </c>
      <c r="IO15" s="2227">
        <v>27243.53</v>
      </c>
      <c r="IP15" s="2227">
        <v>25550</v>
      </c>
      <c r="IQ15" s="2227">
        <v>24357.46</v>
      </c>
      <c r="IR15" s="2227">
        <v>40734.43</v>
      </c>
      <c r="IS15" s="2227">
        <v>24343.49</v>
      </c>
      <c r="IT15" s="2227">
        <v>33515.21</v>
      </c>
      <c r="IU15" s="2227">
        <v>24950.65</v>
      </c>
      <c r="IV15" s="2227">
        <v>17164.259999999998</v>
      </c>
    </row>
    <row r="16" spans="1:256">
      <c r="A16" s="2214">
        <v>7</v>
      </c>
      <c r="B16" s="2925">
        <v>15943.02</v>
      </c>
      <c r="C16" s="2227">
        <v>14906.64</v>
      </c>
      <c r="D16" s="2925">
        <v>14943.02</v>
      </c>
      <c r="E16" s="2227">
        <v>13633.61</v>
      </c>
      <c r="F16" s="2925">
        <v>13943.02</v>
      </c>
      <c r="G16" s="2227">
        <v>13076.76</v>
      </c>
      <c r="H16" s="2926">
        <v>13140</v>
      </c>
      <c r="I16" s="2925">
        <v>19660.240000000002</v>
      </c>
      <c r="J16" s="2925">
        <v>19660.240000000002</v>
      </c>
      <c r="K16" s="2227">
        <v>15776.05</v>
      </c>
      <c r="L16" s="2925">
        <v>16904</v>
      </c>
      <c r="M16" s="2227">
        <v>15776.05</v>
      </c>
      <c r="N16" s="2925">
        <v>16444.990000000002</v>
      </c>
      <c r="O16" s="2925">
        <v>16444.990000000002</v>
      </c>
      <c r="P16" s="2227">
        <v>14733.2</v>
      </c>
      <c r="Q16" s="2925">
        <v>15904</v>
      </c>
      <c r="R16" s="2227">
        <v>14274.11</v>
      </c>
      <c r="S16" s="2925">
        <v>14904</v>
      </c>
      <c r="T16" s="2925">
        <v>15082.3</v>
      </c>
      <c r="U16" s="2227">
        <v>14274.11</v>
      </c>
      <c r="V16" s="2925">
        <v>14904</v>
      </c>
      <c r="W16" s="2227">
        <v>13814.5</v>
      </c>
      <c r="X16" s="2925">
        <v>14053.65</v>
      </c>
      <c r="Y16" s="2925">
        <v>14053.65</v>
      </c>
      <c r="Z16" s="2925">
        <v>13804</v>
      </c>
      <c r="AA16" s="2925">
        <v>21072</v>
      </c>
      <c r="AB16" s="2227">
        <v>17419.61</v>
      </c>
      <c r="AC16" s="2925">
        <v>19372</v>
      </c>
      <c r="AD16" s="2227">
        <v>17699.39</v>
      </c>
      <c r="AE16" s="2925">
        <v>17672</v>
      </c>
      <c r="AF16" s="2227">
        <v>16072.62</v>
      </c>
      <c r="AG16" s="2925">
        <v>15788.31</v>
      </c>
      <c r="AH16" s="2925">
        <v>21072</v>
      </c>
      <c r="AI16" s="2925">
        <v>21072</v>
      </c>
      <c r="AJ16" s="2227">
        <v>19505.060000000001</v>
      </c>
      <c r="AK16" s="2925">
        <v>19505.060000000001</v>
      </c>
      <c r="AL16" s="2925">
        <v>19372</v>
      </c>
      <c r="AM16" s="2227">
        <v>17419.61</v>
      </c>
      <c r="AN16" s="2925">
        <v>17672</v>
      </c>
      <c r="AO16" s="2925">
        <v>17772.62</v>
      </c>
      <c r="AP16" s="2227">
        <v>17699.39</v>
      </c>
      <c r="AQ16" s="2925">
        <v>17699.39</v>
      </c>
      <c r="AR16" s="2925">
        <v>16072.62</v>
      </c>
      <c r="AS16" s="2923">
        <v>24349</v>
      </c>
      <c r="AT16" s="2227">
        <v>19941.11</v>
      </c>
      <c r="AU16" s="2923">
        <v>23010.880000000001</v>
      </c>
      <c r="AV16" s="2227">
        <v>19268.810000000001</v>
      </c>
      <c r="AW16" s="2923">
        <v>20948.88</v>
      </c>
      <c r="AX16" s="2227">
        <v>18793.91</v>
      </c>
      <c r="AY16" s="2923">
        <v>18886.88</v>
      </c>
      <c r="AZ16" s="2925">
        <v>25219</v>
      </c>
      <c r="BA16" s="2227">
        <v>22876.65</v>
      </c>
      <c r="BB16" s="2923">
        <v>24349</v>
      </c>
      <c r="BC16" s="2227">
        <v>21063.27</v>
      </c>
      <c r="BD16" s="2925">
        <v>27103</v>
      </c>
      <c r="BE16" s="2227">
        <v>23929.69</v>
      </c>
      <c r="BF16" s="2923">
        <v>24349</v>
      </c>
      <c r="BG16" s="2227">
        <v>22957.11</v>
      </c>
      <c r="BH16" s="2925">
        <v>23418</v>
      </c>
      <c r="BI16" s="2227">
        <v>22163.22</v>
      </c>
      <c r="BJ16" s="2923">
        <v>23010.880000000001</v>
      </c>
      <c r="BK16" s="2227">
        <v>20251.509999999998</v>
      </c>
      <c r="BL16" s="2925">
        <v>25587</v>
      </c>
      <c r="BM16" s="2227">
        <v>23344.52</v>
      </c>
      <c r="BN16" s="2923">
        <v>23411.56</v>
      </c>
      <c r="BO16" s="2227">
        <v>22541.56</v>
      </c>
      <c r="BP16" s="2925">
        <v>21617</v>
      </c>
      <c r="BQ16" s="2227">
        <v>19860.830000000002</v>
      </c>
      <c r="BR16" s="2923">
        <v>20948.88</v>
      </c>
      <c r="BS16" s="2227">
        <v>19167.28</v>
      </c>
      <c r="BT16" s="2925">
        <v>22587</v>
      </c>
      <c r="BU16" s="2227">
        <v>19881.849999999999</v>
      </c>
      <c r="BV16" s="2923">
        <v>22189</v>
      </c>
      <c r="BW16" s="2227">
        <v>19344.57</v>
      </c>
      <c r="BX16" s="2925">
        <v>19117</v>
      </c>
      <c r="BY16" s="2923">
        <v>19189</v>
      </c>
      <c r="BZ16" s="2924">
        <v>19587</v>
      </c>
      <c r="CA16" s="2923">
        <v>19189</v>
      </c>
      <c r="CB16" s="2227">
        <v>57630</v>
      </c>
      <c r="CC16" s="2227">
        <v>54630</v>
      </c>
      <c r="CD16" s="2227">
        <v>51630</v>
      </c>
      <c r="CE16" s="2227">
        <v>49840</v>
      </c>
      <c r="CF16" s="2227">
        <v>46840</v>
      </c>
      <c r="CG16" s="2227">
        <v>43840</v>
      </c>
      <c r="CH16" s="2227">
        <v>42520</v>
      </c>
      <c r="CI16" s="2227">
        <v>39520</v>
      </c>
      <c r="CJ16" s="2227">
        <v>36020</v>
      </c>
      <c r="CK16" s="2227">
        <v>35240</v>
      </c>
      <c r="CL16" s="2227">
        <v>32240</v>
      </c>
      <c r="CM16" s="2227">
        <v>29240</v>
      </c>
      <c r="CN16" s="2227">
        <v>26995</v>
      </c>
      <c r="CO16" s="2227">
        <v>24995</v>
      </c>
      <c r="CP16" s="2227">
        <v>14968.79</v>
      </c>
      <c r="CQ16" s="2227">
        <v>12689.2</v>
      </c>
      <c r="CR16" s="2227">
        <v>13586.13</v>
      </c>
      <c r="CS16" s="2227">
        <v>24495.57</v>
      </c>
      <c r="CT16" s="2227">
        <v>16444.990000000002</v>
      </c>
      <c r="CU16" s="2227">
        <v>17488.900000000001</v>
      </c>
      <c r="CV16" s="2227">
        <v>17488.900000000001</v>
      </c>
      <c r="CW16" s="2227">
        <v>17488.900000000001</v>
      </c>
      <c r="CX16" s="2227">
        <v>17488.900000000001</v>
      </c>
      <c r="CY16" s="2227">
        <v>16600</v>
      </c>
      <c r="CZ16" s="2227">
        <v>19505.060000000001</v>
      </c>
      <c r="DA16" s="2227">
        <v>19660.240000000002</v>
      </c>
      <c r="DB16" s="2227">
        <v>17699.39</v>
      </c>
      <c r="DC16" s="2227">
        <v>17419.61</v>
      </c>
      <c r="DD16" s="2227">
        <v>16057.37</v>
      </c>
      <c r="DE16" s="2227">
        <v>15788.31</v>
      </c>
      <c r="DF16" s="2227">
        <v>15858.93</v>
      </c>
      <c r="DG16" s="2227">
        <v>15900</v>
      </c>
      <c r="DH16" s="2227">
        <v>15750</v>
      </c>
      <c r="DI16" s="2227">
        <v>13453.18</v>
      </c>
      <c r="DJ16" s="2227">
        <v>13453.18</v>
      </c>
      <c r="DK16" s="2227">
        <v>17000</v>
      </c>
      <c r="DL16" s="2227">
        <v>17896.009999999998</v>
      </c>
      <c r="DM16" s="2227">
        <v>18400</v>
      </c>
      <c r="DN16" s="2227">
        <v>12890.48</v>
      </c>
      <c r="DO16" s="2227">
        <v>19167.28</v>
      </c>
      <c r="DP16" s="2227">
        <v>14477.02</v>
      </c>
      <c r="DQ16" s="2227">
        <v>26288.09</v>
      </c>
      <c r="DR16" s="2227">
        <v>16072.62</v>
      </c>
      <c r="DS16" s="2227">
        <v>14150</v>
      </c>
      <c r="DT16" s="2227">
        <v>14214.84</v>
      </c>
      <c r="DU16" s="2227">
        <v>14427.42</v>
      </c>
      <c r="DV16" s="2227">
        <v>17699.39</v>
      </c>
      <c r="DW16" s="2227">
        <v>13814.5</v>
      </c>
      <c r="DX16" s="2227">
        <v>21300</v>
      </c>
      <c r="DY16" s="2227">
        <v>14752.82</v>
      </c>
      <c r="DZ16" s="2227">
        <v>19344.57</v>
      </c>
      <c r="EA16" s="2227">
        <v>16915.73</v>
      </c>
      <c r="EB16" s="2227">
        <v>29297.38</v>
      </c>
      <c r="EC16" s="2227">
        <v>19410.13</v>
      </c>
      <c r="ED16" s="2227">
        <v>15493.36</v>
      </c>
      <c r="EE16" s="2227">
        <v>14800</v>
      </c>
      <c r="EF16" s="2227">
        <v>14733.2</v>
      </c>
      <c r="EG16" s="2227">
        <v>15776.05</v>
      </c>
      <c r="EH16" s="2227">
        <v>15220.7</v>
      </c>
      <c r="EI16" s="2227">
        <v>20228.150000000001</v>
      </c>
      <c r="EJ16" s="2227">
        <v>23344.52</v>
      </c>
      <c r="EK16" s="2227">
        <v>15836.2</v>
      </c>
      <c r="EL16" s="2227">
        <v>15220.71</v>
      </c>
      <c r="EM16" s="2227">
        <v>29564.82</v>
      </c>
      <c r="EN16" s="2227">
        <v>19881.849999999999</v>
      </c>
      <c r="EO16" s="2227">
        <v>13401.45</v>
      </c>
      <c r="EP16" s="2227">
        <v>14700</v>
      </c>
      <c r="EQ16" s="2227">
        <v>15065.44</v>
      </c>
      <c r="ER16" s="2227">
        <v>17873.150000000001</v>
      </c>
      <c r="ES16" s="2227">
        <v>15533.09</v>
      </c>
      <c r="ET16" s="2227">
        <v>13633.61</v>
      </c>
      <c r="EU16" s="2227">
        <v>17674.830000000002</v>
      </c>
      <c r="EV16" s="2227">
        <v>19860.830000000002</v>
      </c>
      <c r="EW16" s="2227">
        <v>15375.47</v>
      </c>
      <c r="EX16" s="2227">
        <v>16071.33</v>
      </c>
      <c r="EY16" s="2227">
        <v>19300</v>
      </c>
      <c r="EZ16" s="2227">
        <v>25285.17</v>
      </c>
      <c r="FA16" s="2227">
        <v>14455.34</v>
      </c>
      <c r="FB16" s="2227">
        <v>14960.42</v>
      </c>
      <c r="FC16" s="2227">
        <v>27800</v>
      </c>
      <c r="FD16" s="2227">
        <v>25550</v>
      </c>
      <c r="FE16" s="2227">
        <v>31936.99</v>
      </c>
      <c r="FF16" s="2227">
        <v>13500</v>
      </c>
      <c r="FG16" s="2227">
        <v>22541.56</v>
      </c>
      <c r="FH16" s="2227">
        <v>16410.57</v>
      </c>
      <c r="FI16" s="2227">
        <v>14274.11</v>
      </c>
      <c r="FJ16" s="2227">
        <v>13680.46</v>
      </c>
      <c r="FK16" s="2227">
        <v>20251.509999999998</v>
      </c>
      <c r="FL16" s="2227">
        <v>14477.02</v>
      </c>
      <c r="FM16" s="2227">
        <v>16607.46</v>
      </c>
      <c r="FN16" s="2227">
        <v>16600</v>
      </c>
      <c r="FO16" s="2227">
        <v>23326.84</v>
      </c>
      <c r="FP16" s="2227">
        <v>17501.3</v>
      </c>
      <c r="FQ16" s="2227">
        <v>14158.64</v>
      </c>
      <c r="FR16" s="2227">
        <v>22850</v>
      </c>
      <c r="FS16" s="2227">
        <v>27800</v>
      </c>
      <c r="FT16" s="2227">
        <v>24144.83</v>
      </c>
      <c r="FU16" s="2227">
        <v>17302.990000000002</v>
      </c>
      <c r="FV16" s="2227">
        <v>26800</v>
      </c>
      <c r="FW16" s="2227">
        <v>15168.64</v>
      </c>
      <c r="FX16" s="2227">
        <v>16608.919999999998</v>
      </c>
      <c r="FY16" s="2227">
        <v>13633.44</v>
      </c>
      <c r="FZ16" s="2227">
        <v>16311.05</v>
      </c>
      <c r="GA16" s="2227">
        <v>19617.689999999999</v>
      </c>
      <c r="GB16" s="2227">
        <v>23929.69</v>
      </c>
      <c r="GC16" s="2227">
        <v>14477.02</v>
      </c>
      <c r="GD16" s="2227">
        <v>13063.79</v>
      </c>
      <c r="GE16" s="2227">
        <v>22707.06</v>
      </c>
      <c r="GF16" s="2227">
        <v>22700</v>
      </c>
      <c r="GG16" s="2227">
        <v>34739.07</v>
      </c>
      <c r="GH16" s="2227">
        <v>16212.24</v>
      </c>
      <c r="GI16" s="2227">
        <v>14982.99</v>
      </c>
      <c r="GJ16" s="2227">
        <v>13658.95</v>
      </c>
      <c r="GK16" s="2227">
        <v>15066.18</v>
      </c>
      <c r="GL16" s="2227">
        <v>19268.810000000001</v>
      </c>
      <c r="GM16" s="2227">
        <v>14841.44</v>
      </c>
      <c r="GN16" s="2227">
        <v>17302.95</v>
      </c>
      <c r="GO16" s="2227">
        <v>15932.75</v>
      </c>
      <c r="GP16" s="2227">
        <v>19904.650000000001</v>
      </c>
      <c r="GQ16" s="2227">
        <v>13586.39</v>
      </c>
      <c r="GR16" s="2227">
        <v>13404.48</v>
      </c>
      <c r="GS16" s="2227">
        <v>14109.52</v>
      </c>
      <c r="GT16" s="2227">
        <v>14752.82</v>
      </c>
      <c r="GU16" s="2227">
        <v>17408.13</v>
      </c>
      <c r="GV16" s="2227">
        <v>14820.56</v>
      </c>
      <c r="GW16" s="2227">
        <v>29424.959999999999</v>
      </c>
      <c r="GX16" s="2227">
        <v>32686.04</v>
      </c>
      <c r="GY16" s="2227">
        <v>34728.26</v>
      </c>
      <c r="GZ16" s="2227">
        <v>13063.79</v>
      </c>
      <c r="HA16" s="2227">
        <v>12776.76</v>
      </c>
      <c r="HB16" s="2227">
        <v>14477.02</v>
      </c>
      <c r="HC16" s="2227">
        <v>14166.82</v>
      </c>
      <c r="HD16" s="2227">
        <v>14744.36</v>
      </c>
      <c r="HE16" s="2227">
        <v>19831.53</v>
      </c>
      <c r="HF16" s="2227">
        <v>20800</v>
      </c>
      <c r="HG16" s="2227">
        <v>18028.349999999999</v>
      </c>
      <c r="HH16" s="2227">
        <v>18400</v>
      </c>
      <c r="HI16" s="2227">
        <v>16859.95</v>
      </c>
      <c r="HJ16" s="2227">
        <v>16607.46</v>
      </c>
      <c r="HK16" s="2227">
        <v>22876.65</v>
      </c>
      <c r="HL16" s="2227">
        <v>31700</v>
      </c>
      <c r="HM16" s="2227">
        <v>16212.27</v>
      </c>
      <c r="HN16" s="2227">
        <v>15270.29</v>
      </c>
      <c r="HO16" s="2227">
        <v>14427.42</v>
      </c>
      <c r="HP16" s="2227">
        <v>16510.57</v>
      </c>
      <c r="HQ16" s="2227">
        <v>19617.689999999999</v>
      </c>
      <c r="HR16" s="2227">
        <v>25050</v>
      </c>
      <c r="HS16" s="2227">
        <v>17848.34</v>
      </c>
      <c r="HT16" s="2227">
        <v>19410.080000000002</v>
      </c>
      <c r="HU16" s="2227">
        <v>25335.33</v>
      </c>
      <c r="HV16" s="2227">
        <v>24150.97</v>
      </c>
      <c r="HW16" s="2227">
        <v>16212.23</v>
      </c>
      <c r="HX16" s="2227">
        <v>14455.34</v>
      </c>
      <c r="HY16" s="2227">
        <v>14630.13</v>
      </c>
      <c r="HZ16" s="2227">
        <v>15023.96</v>
      </c>
      <c r="IA16" s="2227">
        <v>12776.76</v>
      </c>
      <c r="IB16" s="2227">
        <v>15940.24</v>
      </c>
      <c r="IC16" s="2227">
        <v>16800.03</v>
      </c>
      <c r="ID16" s="2227">
        <v>17560.43</v>
      </c>
      <c r="IE16" s="2227">
        <v>17736.82</v>
      </c>
      <c r="IF16" s="2227">
        <v>16516.95</v>
      </c>
      <c r="IG16" s="2227">
        <v>20382.72</v>
      </c>
      <c r="IH16" s="2227">
        <v>17848.349999999999</v>
      </c>
      <c r="II16" s="2227">
        <v>17651.3</v>
      </c>
      <c r="IJ16" s="2227">
        <v>25756.16</v>
      </c>
      <c r="IK16" s="2227">
        <v>18152.060000000001</v>
      </c>
      <c r="IL16" s="2227">
        <v>21063.27</v>
      </c>
      <c r="IM16" s="2227">
        <v>17467.04</v>
      </c>
      <c r="IN16" s="2227">
        <v>26623.81</v>
      </c>
      <c r="IO16" s="2227">
        <v>28334.27</v>
      </c>
      <c r="IP16" s="2227">
        <v>25550</v>
      </c>
      <c r="IQ16" s="2227">
        <v>25335.33</v>
      </c>
      <c r="IR16" s="2227">
        <v>40734.43</v>
      </c>
      <c r="IS16" s="2227">
        <v>25320.77</v>
      </c>
      <c r="IT16" s="2227">
        <v>34804.26</v>
      </c>
      <c r="IU16" s="2227">
        <v>25596.44</v>
      </c>
      <c r="IV16" s="2227">
        <v>17699.39</v>
      </c>
    </row>
    <row r="17" spans="1:256">
      <c r="A17" s="2214">
        <v>8</v>
      </c>
      <c r="B17" s="2925">
        <v>15943.02</v>
      </c>
      <c r="C17" s="2227">
        <v>14906.64</v>
      </c>
      <c r="D17" s="2925">
        <v>14943.02</v>
      </c>
      <c r="E17" s="2227">
        <v>13633.61</v>
      </c>
      <c r="F17" s="2925">
        <v>13966</v>
      </c>
      <c r="G17" s="2227">
        <v>13076.76</v>
      </c>
      <c r="H17" s="2926">
        <v>13166</v>
      </c>
      <c r="I17" s="2925">
        <v>19660.240000000002</v>
      </c>
      <c r="J17" s="2925">
        <v>19660.240000000002</v>
      </c>
      <c r="K17" s="2227">
        <v>15776.05</v>
      </c>
      <c r="L17" s="2925">
        <v>17026</v>
      </c>
      <c r="M17" s="2227">
        <v>15776.05</v>
      </c>
      <c r="N17" s="2925">
        <v>16444.990000000002</v>
      </c>
      <c r="O17" s="2925">
        <v>16444.990000000002</v>
      </c>
      <c r="P17" s="2227">
        <v>14733.2</v>
      </c>
      <c r="Q17" s="2925">
        <v>16026</v>
      </c>
      <c r="R17" s="2227">
        <v>14274.11</v>
      </c>
      <c r="S17" s="2925">
        <v>15026</v>
      </c>
      <c r="T17" s="2925">
        <v>15082.3</v>
      </c>
      <c r="U17" s="2227">
        <v>14274.11</v>
      </c>
      <c r="V17" s="2925">
        <v>15026</v>
      </c>
      <c r="W17" s="2227">
        <v>13814.5</v>
      </c>
      <c r="X17" s="2925">
        <v>14053.65</v>
      </c>
      <c r="Y17" s="2925">
        <v>14053.65</v>
      </c>
      <c r="Z17" s="2925">
        <v>13926</v>
      </c>
      <c r="AA17" s="2925">
        <v>21272</v>
      </c>
      <c r="AB17" s="2227">
        <v>17419.61</v>
      </c>
      <c r="AC17" s="2925">
        <v>19572</v>
      </c>
      <c r="AD17" s="2227">
        <v>17699.39</v>
      </c>
      <c r="AE17" s="2925">
        <v>17872</v>
      </c>
      <c r="AF17" s="2227">
        <v>16072.62</v>
      </c>
      <c r="AG17" s="2925">
        <v>15872</v>
      </c>
      <c r="AH17" s="2925">
        <v>21272</v>
      </c>
      <c r="AI17" s="2925">
        <v>21272</v>
      </c>
      <c r="AJ17" s="2227">
        <v>19505.060000000001</v>
      </c>
      <c r="AK17" s="2925">
        <v>19572</v>
      </c>
      <c r="AL17" s="2925">
        <v>19572</v>
      </c>
      <c r="AM17" s="2227">
        <v>17419.61</v>
      </c>
      <c r="AN17" s="2925">
        <v>17872</v>
      </c>
      <c r="AO17" s="2925">
        <v>17872</v>
      </c>
      <c r="AP17" s="2227">
        <v>17699.39</v>
      </c>
      <c r="AQ17" s="2925">
        <v>17699.39</v>
      </c>
      <c r="AR17" s="2925">
        <v>16072.62</v>
      </c>
      <c r="AS17" s="2923">
        <v>24349</v>
      </c>
      <c r="AT17" s="2227">
        <v>19941.11</v>
      </c>
      <c r="AU17" s="2923">
        <v>23010.880000000001</v>
      </c>
      <c r="AV17" s="2227">
        <v>19268.810000000001</v>
      </c>
      <c r="AW17" s="2923">
        <v>20948.88</v>
      </c>
      <c r="AX17" s="2227">
        <v>18793.91</v>
      </c>
      <c r="AY17" s="2923">
        <v>18886.88</v>
      </c>
      <c r="AZ17" s="2925">
        <v>25219</v>
      </c>
      <c r="BA17" s="2227">
        <v>22876.65</v>
      </c>
      <c r="BB17" s="2923">
        <v>24349</v>
      </c>
      <c r="BC17" s="2227">
        <v>21063.27</v>
      </c>
      <c r="BD17" s="2925">
        <v>27103</v>
      </c>
      <c r="BE17" s="2227">
        <v>23929.69</v>
      </c>
      <c r="BF17" s="2923">
        <v>24349</v>
      </c>
      <c r="BG17" s="2227">
        <v>22957.11</v>
      </c>
      <c r="BH17" s="2925">
        <v>23418</v>
      </c>
      <c r="BI17" s="2227">
        <v>22163.22</v>
      </c>
      <c r="BJ17" s="2923">
        <v>23010.880000000001</v>
      </c>
      <c r="BK17" s="2227">
        <v>20251.509999999998</v>
      </c>
      <c r="BL17" s="2925">
        <v>25587</v>
      </c>
      <c r="BM17" s="2227">
        <v>23344.52</v>
      </c>
      <c r="BN17" s="2923">
        <v>23411.56</v>
      </c>
      <c r="BO17" s="2227">
        <v>22541.56</v>
      </c>
      <c r="BP17" s="2925">
        <v>21617</v>
      </c>
      <c r="BQ17" s="2227">
        <v>19860.830000000002</v>
      </c>
      <c r="BR17" s="2923">
        <v>20948.88</v>
      </c>
      <c r="BS17" s="2227">
        <v>19167.28</v>
      </c>
      <c r="BT17" s="2925">
        <v>22587</v>
      </c>
      <c r="BU17" s="2227">
        <v>19881.849999999999</v>
      </c>
      <c r="BV17" s="2923">
        <v>22189</v>
      </c>
      <c r="BW17" s="2227">
        <v>19344.57</v>
      </c>
      <c r="BX17" s="2925">
        <v>19117</v>
      </c>
      <c r="BY17" s="2923">
        <v>19189</v>
      </c>
      <c r="BZ17" s="2924">
        <v>19587</v>
      </c>
      <c r="CA17" s="2923">
        <v>19189</v>
      </c>
      <c r="CB17" s="2227">
        <v>58240</v>
      </c>
      <c r="CC17" s="2227">
        <v>55240</v>
      </c>
      <c r="CD17" s="2227">
        <v>52240</v>
      </c>
      <c r="CE17" s="2227">
        <v>50450</v>
      </c>
      <c r="CF17" s="2227">
        <v>47450</v>
      </c>
      <c r="CG17" s="2227">
        <v>44450</v>
      </c>
      <c r="CH17" s="2227">
        <v>43040</v>
      </c>
      <c r="CI17" s="2227">
        <v>40040</v>
      </c>
      <c r="CJ17" s="2227">
        <v>36540</v>
      </c>
      <c r="CK17" s="2227">
        <v>35720</v>
      </c>
      <c r="CL17" s="2227">
        <v>32720</v>
      </c>
      <c r="CM17" s="2227">
        <v>29720</v>
      </c>
      <c r="CN17" s="2227">
        <v>27440</v>
      </c>
      <c r="CO17" s="2227">
        <v>25440</v>
      </c>
      <c r="CP17" s="2227">
        <v>14968.79</v>
      </c>
      <c r="CQ17" s="2227">
        <v>12689.2</v>
      </c>
      <c r="CR17" s="2227">
        <v>13586.13</v>
      </c>
      <c r="CS17" s="2227">
        <v>24495.57</v>
      </c>
      <c r="CT17" s="2227">
        <v>16444.990000000002</v>
      </c>
      <c r="CU17" s="2227">
        <v>17910.32</v>
      </c>
      <c r="CV17" s="2227">
        <v>17910.32</v>
      </c>
      <c r="CW17" s="2227">
        <v>17910.32</v>
      </c>
      <c r="CX17" s="2227">
        <v>17910.32</v>
      </c>
      <c r="CY17" s="2227">
        <v>16600</v>
      </c>
      <c r="CZ17" s="2227">
        <v>19505.060000000001</v>
      </c>
      <c r="DA17" s="2227">
        <v>19660.240000000002</v>
      </c>
      <c r="DB17" s="2227">
        <v>17699.39</v>
      </c>
      <c r="DC17" s="2227">
        <v>17419.61</v>
      </c>
      <c r="DD17" s="2227">
        <v>16311.47</v>
      </c>
      <c r="DE17" s="2227">
        <v>15788.31</v>
      </c>
      <c r="DF17" s="2227">
        <v>15858.93</v>
      </c>
      <c r="DG17" s="2227">
        <v>15900</v>
      </c>
      <c r="DH17" s="2227">
        <v>15750</v>
      </c>
      <c r="DI17" s="2227">
        <v>13453.18</v>
      </c>
      <c r="DJ17" s="2227">
        <v>13453.18</v>
      </c>
      <c r="DK17" s="2227">
        <v>17000</v>
      </c>
      <c r="DL17" s="2227">
        <v>17896.009999999998</v>
      </c>
      <c r="DM17" s="2227">
        <v>18400</v>
      </c>
      <c r="DN17" s="2227">
        <v>12890.48</v>
      </c>
      <c r="DO17" s="2227">
        <v>19167.28</v>
      </c>
      <c r="DP17" s="2227">
        <v>14477.02</v>
      </c>
      <c r="DQ17" s="2227">
        <v>26288.09</v>
      </c>
      <c r="DR17" s="2227">
        <v>16072.62</v>
      </c>
      <c r="DS17" s="2227">
        <v>14150</v>
      </c>
      <c r="DT17" s="2227">
        <v>14307.06</v>
      </c>
      <c r="DU17" s="2227">
        <v>14427.42</v>
      </c>
      <c r="DV17" s="2227">
        <v>17699.39</v>
      </c>
      <c r="DW17" s="2227">
        <v>13814.5</v>
      </c>
      <c r="DX17" s="2227">
        <v>21300</v>
      </c>
      <c r="DY17" s="2227">
        <v>14888.65</v>
      </c>
      <c r="DZ17" s="2227">
        <v>19344.57</v>
      </c>
      <c r="EA17" s="2227">
        <v>16915.73</v>
      </c>
      <c r="EB17" s="2227">
        <v>29297.38</v>
      </c>
      <c r="EC17" s="2227">
        <v>19757.189999999999</v>
      </c>
      <c r="ED17" s="2227">
        <v>15493.36</v>
      </c>
      <c r="EE17" s="2227">
        <v>14800</v>
      </c>
      <c r="EF17" s="2227">
        <v>14733.2</v>
      </c>
      <c r="EG17" s="2227">
        <v>15776.05</v>
      </c>
      <c r="EH17" s="2227">
        <v>15220.7</v>
      </c>
      <c r="EI17" s="2227">
        <v>20376.89</v>
      </c>
      <c r="EJ17" s="2227">
        <v>23344.52</v>
      </c>
      <c r="EK17" s="2227">
        <v>15836.2</v>
      </c>
      <c r="EL17" s="2227">
        <v>15220.71</v>
      </c>
      <c r="EM17" s="2227">
        <v>29564.82</v>
      </c>
      <c r="EN17" s="2227">
        <v>19881.849999999999</v>
      </c>
      <c r="EO17" s="2227">
        <v>13462.24</v>
      </c>
      <c r="EP17" s="2227">
        <v>14700</v>
      </c>
      <c r="EQ17" s="2227">
        <v>15377.34</v>
      </c>
      <c r="ER17" s="2227">
        <v>18294.57</v>
      </c>
      <c r="ES17" s="2227">
        <v>15697.05</v>
      </c>
      <c r="ET17" s="2227">
        <v>13633.61</v>
      </c>
      <c r="EU17" s="2227">
        <v>17674.830000000002</v>
      </c>
      <c r="EV17" s="2227">
        <v>19860.830000000002</v>
      </c>
      <c r="EW17" s="2227">
        <v>15693.77</v>
      </c>
      <c r="EX17" s="2227">
        <v>16437.25</v>
      </c>
      <c r="EY17" s="2227">
        <v>19300</v>
      </c>
      <c r="EZ17" s="2227">
        <v>25780.959999999999</v>
      </c>
      <c r="FA17" s="2227">
        <v>14588.44</v>
      </c>
      <c r="FB17" s="2227">
        <v>15022.4</v>
      </c>
      <c r="FC17" s="2227">
        <v>27800</v>
      </c>
      <c r="FD17" s="2227">
        <v>25550</v>
      </c>
      <c r="FE17" s="2227">
        <v>33274.720000000001</v>
      </c>
      <c r="FF17" s="2227">
        <v>13500</v>
      </c>
      <c r="FG17" s="2227">
        <v>22541.56</v>
      </c>
      <c r="FH17" s="2227">
        <v>16410.57</v>
      </c>
      <c r="FI17" s="2227">
        <v>14274.11</v>
      </c>
      <c r="FJ17" s="2227">
        <v>13752.01</v>
      </c>
      <c r="FK17" s="2227">
        <v>20251.509999999998</v>
      </c>
      <c r="FL17" s="2227">
        <v>14477.02</v>
      </c>
      <c r="FM17" s="2227">
        <v>17011.060000000001</v>
      </c>
      <c r="FN17" s="2227">
        <v>16600</v>
      </c>
      <c r="FO17" s="2227">
        <v>24566.31</v>
      </c>
      <c r="FP17" s="2227">
        <v>17501.3</v>
      </c>
      <c r="FQ17" s="2227">
        <v>14290.92</v>
      </c>
      <c r="FR17" s="2227">
        <v>22850</v>
      </c>
      <c r="FS17" s="2227">
        <v>27800</v>
      </c>
      <c r="FT17" s="2227">
        <v>24144.83</v>
      </c>
      <c r="FU17" s="2227">
        <v>17302.990000000002</v>
      </c>
      <c r="FV17" s="2227">
        <v>26800</v>
      </c>
      <c r="FW17" s="2227">
        <v>15416.54</v>
      </c>
      <c r="FX17" s="2227">
        <v>16856.82</v>
      </c>
      <c r="FY17" s="2227">
        <v>13633.44</v>
      </c>
      <c r="FZ17" s="2227">
        <v>16696.8</v>
      </c>
      <c r="GA17" s="2227">
        <v>20070.79</v>
      </c>
      <c r="GB17" s="2227">
        <v>23929.69</v>
      </c>
      <c r="GC17" s="2227">
        <v>14477.02</v>
      </c>
      <c r="GD17" s="2227">
        <v>13063.79</v>
      </c>
      <c r="GE17" s="2227">
        <v>23103.69</v>
      </c>
      <c r="GF17" s="2227">
        <v>22700</v>
      </c>
      <c r="GG17" s="2227">
        <v>36028.22</v>
      </c>
      <c r="GH17" s="2227">
        <v>16212.24</v>
      </c>
      <c r="GI17" s="2227">
        <v>14982.99</v>
      </c>
      <c r="GJ17" s="2227">
        <v>13658.95</v>
      </c>
      <c r="GK17" s="2227">
        <v>15269.68</v>
      </c>
      <c r="GL17" s="2227">
        <v>19268.810000000001</v>
      </c>
      <c r="GM17" s="2227">
        <v>14974.65</v>
      </c>
      <c r="GN17" s="2227">
        <v>17575.63</v>
      </c>
      <c r="GO17" s="2227">
        <v>16227.67</v>
      </c>
      <c r="GP17" s="2227">
        <v>19904.650000000001</v>
      </c>
      <c r="GQ17" s="2227">
        <v>13586.39</v>
      </c>
      <c r="GR17" s="2227">
        <v>13474.56</v>
      </c>
      <c r="GS17" s="2227">
        <v>14181.07</v>
      </c>
      <c r="GT17" s="2227">
        <v>14888.65</v>
      </c>
      <c r="GU17" s="2227">
        <v>17408.13</v>
      </c>
      <c r="GV17" s="2227">
        <v>14820.56</v>
      </c>
      <c r="GW17" s="2227">
        <v>29920.75</v>
      </c>
      <c r="GX17" s="2227">
        <v>32686.04</v>
      </c>
      <c r="GY17" s="2227">
        <v>36065.99</v>
      </c>
      <c r="GZ17" s="2227">
        <v>13063.79</v>
      </c>
      <c r="HA17" s="2227">
        <v>12776.76</v>
      </c>
      <c r="HB17" s="2227">
        <v>14477.02</v>
      </c>
      <c r="HC17" s="2227">
        <v>14299.18</v>
      </c>
      <c r="HD17" s="2227">
        <v>14880.11</v>
      </c>
      <c r="HE17" s="2227">
        <v>20129.009999999998</v>
      </c>
      <c r="HF17" s="2227">
        <v>20800</v>
      </c>
      <c r="HG17" s="2227">
        <v>18491.89</v>
      </c>
      <c r="HH17" s="2227">
        <v>18400</v>
      </c>
      <c r="HI17" s="2227">
        <v>16859.95</v>
      </c>
      <c r="HJ17" s="2227">
        <v>17011.060000000001</v>
      </c>
      <c r="HK17" s="2227">
        <v>22876.65</v>
      </c>
      <c r="HL17" s="2227">
        <v>31700</v>
      </c>
      <c r="HM17" s="2227">
        <v>16212.27</v>
      </c>
      <c r="HN17" s="2227">
        <v>15270.29</v>
      </c>
      <c r="HO17" s="2227">
        <v>14427.42</v>
      </c>
      <c r="HP17" s="2227">
        <v>16822.64</v>
      </c>
      <c r="HQ17" s="2227">
        <v>20070.79</v>
      </c>
      <c r="HR17" s="2227">
        <v>25050</v>
      </c>
      <c r="HS17" s="2227">
        <v>17848.34</v>
      </c>
      <c r="HT17" s="2227">
        <v>19410.080000000002</v>
      </c>
      <c r="HU17" s="2227">
        <v>25335.33</v>
      </c>
      <c r="HV17" s="2227">
        <v>24150.97</v>
      </c>
      <c r="HW17" s="2227">
        <v>16212.23</v>
      </c>
      <c r="HX17" s="2227">
        <v>14588.44</v>
      </c>
      <c r="HY17" s="2227">
        <v>14763.23</v>
      </c>
      <c r="HZ17" s="2227">
        <v>15308.97</v>
      </c>
      <c r="IA17" s="2227">
        <v>12776.76</v>
      </c>
      <c r="IB17" s="2227">
        <v>16083.3</v>
      </c>
      <c r="IC17" s="2227">
        <v>16800.03</v>
      </c>
      <c r="ID17" s="2227">
        <v>17560.43</v>
      </c>
      <c r="IE17" s="2227">
        <v>18158.240000000002</v>
      </c>
      <c r="IF17" s="2227">
        <v>16882.87</v>
      </c>
      <c r="IG17" s="2227">
        <v>20382.72</v>
      </c>
      <c r="IH17" s="2227">
        <v>17848.349999999999</v>
      </c>
      <c r="II17" s="2227">
        <v>17651.3</v>
      </c>
      <c r="IJ17" s="2227">
        <v>26152.79</v>
      </c>
      <c r="IK17" s="2227">
        <v>18152.060000000001</v>
      </c>
      <c r="IL17" s="2227">
        <v>21063.27</v>
      </c>
      <c r="IM17" s="2227">
        <v>17467.04</v>
      </c>
      <c r="IN17" s="2227">
        <v>27169.18</v>
      </c>
      <c r="IO17" s="2227">
        <v>28334.27</v>
      </c>
      <c r="IP17" s="2227">
        <v>25550</v>
      </c>
      <c r="IQ17" s="2227">
        <v>25335.33</v>
      </c>
      <c r="IR17" s="2227">
        <v>42072.160000000003</v>
      </c>
      <c r="IS17" s="2227">
        <v>25320.77</v>
      </c>
      <c r="IT17" s="2227">
        <v>34804.26</v>
      </c>
      <c r="IU17" s="2227">
        <v>26242.23</v>
      </c>
      <c r="IV17" s="2227">
        <v>17699.39</v>
      </c>
    </row>
    <row r="18" spans="1:256">
      <c r="A18" s="2214">
        <v>9</v>
      </c>
      <c r="B18" s="2925">
        <v>16002.36</v>
      </c>
      <c r="C18" s="2227">
        <v>15068.24</v>
      </c>
      <c r="D18" s="2925">
        <v>15002.36</v>
      </c>
      <c r="E18" s="2227">
        <v>13795.21</v>
      </c>
      <c r="F18" s="2925">
        <v>14002.36</v>
      </c>
      <c r="G18" s="2227">
        <v>13201.65</v>
      </c>
      <c r="H18" s="2926">
        <v>13193</v>
      </c>
      <c r="I18" s="2925">
        <v>19927.03</v>
      </c>
      <c r="J18" s="2925">
        <v>19927.03</v>
      </c>
      <c r="K18" s="2227">
        <v>16042.84</v>
      </c>
      <c r="L18" s="2925">
        <v>17148</v>
      </c>
      <c r="M18" s="2227">
        <v>16042.84</v>
      </c>
      <c r="N18" s="2925">
        <v>16711.78</v>
      </c>
      <c r="O18" s="2925">
        <v>16711.78</v>
      </c>
      <c r="P18" s="2227">
        <v>15012.15</v>
      </c>
      <c r="Q18" s="2925">
        <v>16148</v>
      </c>
      <c r="R18" s="2227">
        <v>14553.06</v>
      </c>
      <c r="S18" s="2925">
        <v>15148</v>
      </c>
      <c r="T18" s="2925">
        <v>15295.8</v>
      </c>
      <c r="U18" s="2227">
        <v>14553.06</v>
      </c>
      <c r="V18" s="2925">
        <v>15148</v>
      </c>
      <c r="W18" s="2227">
        <v>14009.17</v>
      </c>
      <c r="X18" s="2925">
        <v>14274.92</v>
      </c>
      <c r="Y18" s="2925">
        <v>14274.92</v>
      </c>
      <c r="Z18" s="2925">
        <v>14048</v>
      </c>
      <c r="AA18" s="2925">
        <v>21472</v>
      </c>
      <c r="AB18" s="2227">
        <v>18132.25</v>
      </c>
      <c r="AC18" s="2925">
        <v>19772</v>
      </c>
      <c r="AD18" s="2227">
        <v>18234.52</v>
      </c>
      <c r="AE18" s="2925">
        <v>18072</v>
      </c>
      <c r="AF18" s="2227">
        <v>16696.23</v>
      </c>
      <c r="AG18" s="2925">
        <v>16411.919999999998</v>
      </c>
      <c r="AH18" s="2925">
        <v>21472</v>
      </c>
      <c r="AI18" s="2925">
        <v>21472</v>
      </c>
      <c r="AJ18" s="2227">
        <v>20217.7</v>
      </c>
      <c r="AK18" s="2925">
        <v>20217.7</v>
      </c>
      <c r="AL18" s="2925">
        <v>19772</v>
      </c>
      <c r="AM18" s="2227">
        <v>18132.25</v>
      </c>
      <c r="AN18" s="2925">
        <v>18132.25</v>
      </c>
      <c r="AO18" s="2925">
        <v>18396.23</v>
      </c>
      <c r="AP18" s="2227">
        <v>18234.52</v>
      </c>
      <c r="AQ18" s="2925">
        <v>18234.52</v>
      </c>
      <c r="AR18" s="2925">
        <v>16696.23</v>
      </c>
      <c r="AS18" s="2923">
        <v>25142</v>
      </c>
      <c r="AT18" s="2227">
        <v>20613.419999999998</v>
      </c>
      <c r="AU18" s="2923">
        <v>23444.94</v>
      </c>
      <c r="AV18" s="2227">
        <v>19941.12</v>
      </c>
      <c r="AW18" s="2923">
        <v>21420</v>
      </c>
      <c r="AX18" s="2227">
        <v>19340.560000000001</v>
      </c>
      <c r="AY18" s="2923">
        <v>19320.939999999999</v>
      </c>
      <c r="AZ18" s="2925">
        <v>26012</v>
      </c>
      <c r="BA18" s="2227">
        <v>23411.78</v>
      </c>
      <c r="BB18" s="2923">
        <v>25142</v>
      </c>
      <c r="BC18" s="2227">
        <v>21735.58</v>
      </c>
      <c r="BD18" s="2925">
        <v>27776</v>
      </c>
      <c r="BE18" s="2227">
        <v>24602</v>
      </c>
      <c r="BF18" s="2923">
        <v>25142</v>
      </c>
      <c r="BG18" s="2227">
        <v>23629.42</v>
      </c>
      <c r="BH18" s="2925">
        <v>24151</v>
      </c>
      <c r="BI18" s="2227">
        <v>22698.35</v>
      </c>
      <c r="BJ18" s="2923">
        <v>23458.04</v>
      </c>
      <c r="BK18" s="2227">
        <v>20923.82</v>
      </c>
      <c r="BL18" s="2925">
        <v>26260</v>
      </c>
      <c r="BM18" s="2227">
        <v>24016.83</v>
      </c>
      <c r="BN18" s="2923">
        <v>24083.87</v>
      </c>
      <c r="BO18" s="2227">
        <v>23213.87</v>
      </c>
      <c r="BP18" s="2925">
        <v>22290</v>
      </c>
      <c r="BQ18" s="2227">
        <v>20395.96</v>
      </c>
      <c r="BR18" s="2923">
        <v>21420</v>
      </c>
      <c r="BS18" s="2227">
        <v>19839.59</v>
      </c>
      <c r="BT18" s="2925">
        <v>23260</v>
      </c>
      <c r="BU18" s="2227">
        <v>20554.16</v>
      </c>
      <c r="BV18" s="2923">
        <v>22610</v>
      </c>
      <c r="BW18" s="2227">
        <v>20016.88</v>
      </c>
      <c r="BX18" s="2925">
        <v>19790</v>
      </c>
      <c r="BY18" s="2923">
        <v>19610</v>
      </c>
      <c r="BZ18" s="2924">
        <v>20260</v>
      </c>
      <c r="CA18" s="2923">
        <v>19610</v>
      </c>
      <c r="CB18" s="2227">
        <v>58850</v>
      </c>
      <c r="CC18" s="2227">
        <v>55850</v>
      </c>
      <c r="CD18" s="2227">
        <v>52850</v>
      </c>
      <c r="CE18" s="2227">
        <v>51060</v>
      </c>
      <c r="CF18" s="2227">
        <v>48060</v>
      </c>
      <c r="CG18" s="2227">
        <v>45060</v>
      </c>
      <c r="CH18" s="2227">
        <v>43560</v>
      </c>
      <c r="CI18" s="2227">
        <v>40560</v>
      </c>
      <c r="CJ18" s="2227">
        <v>37060</v>
      </c>
      <c r="CK18" s="2227">
        <v>36200</v>
      </c>
      <c r="CL18" s="2227">
        <v>33200</v>
      </c>
      <c r="CM18" s="2227">
        <v>30200</v>
      </c>
      <c r="CN18" s="2227">
        <v>27885</v>
      </c>
      <c r="CO18" s="2227">
        <v>25885</v>
      </c>
      <c r="CP18" s="2227">
        <v>15681.43</v>
      </c>
      <c r="CQ18" s="2227">
        <v>12747.37</v>
      </c>
      <c r="CR18" s="2227">
        <v>13780.8</v>
      </c>
      <c r="CS18" s="2227">
        <v>25454.28</v>
      </c>
      <c r="CT18" s="2227">
        <v>16711.78</v>
      </c>
      <c r="CU18" s="2227">
        <v>18331.740000000002</v>
      </c>
      <c r="CV18" s="2227">
        <v>18331.740000000002</v>
      </c>
      <c r="CW18" s="2227">
        <v>18331.740000000002</v>
      </c>
      <c r="CX18" s="2227">
        <v>18331.740000000002</v>
      </c>
      <c r="CY18" s="2227">
        <v>17200</v>
      </c>
      <c r="CZ18" s="2227">
        <v>20217.7</v>
      </c>
      <c r="DA18" s="2227">
        <v>19927.03</v>
      </c>
      <c r="DB18" s="2227">
        <v>18234.52</v>
      </c>
      <c r="DC18" s="2227">
        <v>18132.25</v>
      </c>
      <c r="DD18" s="2227">
        <v>16565.57</v>
      </c>
      <c r="DE18" s="2227">
        <v>16411.919999999998</v>
      </c>
      <c r="DF18" s="2227">
        <v>16531.240000000002</v>
      </c>
      <c r="DG18" s="2227">
        <v>16500</v>
      </c>
      <c r="DH18" s="2227">
        <v>16150</v>
      </c>
      <c r="DI18" s="2227">
        <v>13647.85</v>
      </c>
      <c r="DJ18" s="2227">
        <v>13647.85</v>
      </c>
      <c r="DK18" s="2227">
        <v>17350</v>
      </c>
      <c r="DL18" s="2227">
        <v>18568.32</v>
      </c>
      <c r="DM18" s="2227">
        <v>19000</v>
      </c>
      <c r="DN18" s="2227">
        <v>13014.43</v>
      </c>
      <c r="DO18" s="2227">
        <v>19839.59</v>
      </c>
      <c r="DP18" s="2227">
        <v>14824.08</v>
      </c>
      <c r="DQ18" s="2227">
        <v>27246.799999999999</v>
      </c>
      <c r="DR18" s="2227">
        <v>16696.23</v>
      </c>
      <c r="DS18" s="2227">
        <v>14300</v>
      </c>
      <c r="DT18" s="2227">
        <v>14399.28</v>
      </c>
      <c r="DU18" s="2227">
        <v>14551.37</v>
      </c>
      <c r="DV18" s="2227">
        <v>18234.52</v>
      </c>
      <c r="DW18" s="2227">
        <v>14009.17</v>
      </c>
      <c r="DX18" s="2227">
        <v>21950</v>
      </c>
      <c r="DY18" s="2227">
        <v>15024.48</v>
      </c>
      <c r="DZ18" s="2227">
        <v>20016.88</v>
      </c>
      <c r="EA18" s="2227">
        <v>17588.04</v>
      </c>
      <c r="EB18" s="2227">
        <v>30256.09</v>
      </c>
      <c r="EC18" s="2227">
        <v>20104.25</v>
      </c>
      <c r="ED18" s="2227">
        <v>15989.15</v>
      </c>
      <c r="EE18" s="2227">
        <v>14950</v>
      </c>
      <c r="EF18" s="2227">
        <v>15012.15</v>
      </c>
      <c r="EG18" s="2227">
        <v>16042.84</v>
      </c>
      <c r="EH18" s="2227">
        <v>15567.76</v>
      </c>
      <c r="EI18" s="2227">
        <v>20525.63</v>
      </c>
      <c r="EJ18" s="2227">
        <v>24016.83</v>
      </c>
      <c r="EK18" s="2227">
        <v>16508.509999999998</v>
      </c>
      <c r="EL18" s="2227">
        <v>15567.77</v>
      </c>
      <c r="EM18" s="2227">
        <v>30657.25</v>
      </c>
      <c r="EN18" s="2227">
        <v>20554.16</v>
      </c>
      <c r="EO18" s="2227">
        <v>13523.03</v>
      </c>
      <c r="EP18" s="2227">
        <v>15000</v>
      </c>
      <c r="EQ18" s="2227">
        <v>15689.24</v>
      </c>
      <c r="ER18" s="2227">
        <v>18715.990000000002</v>
      </c>
      <c r="ES18" s="2227">
        <v>16343.16</v>
      </c>
      <c r="ET18" s="2227">
        <v>13795.21</v>
      </c>
      <c r="EU18" s="2227">
        <v>18220.2</v>
      </c>
      <c r="EV18" s="2227">
        <v>20395.96</v>
      </c>
      <c r="EW18" s="2227">
        <v>16012.07</v>
      </c>
      <c r="EX18" s="2227">
        <v>16803.169999999998</v>
      </c>
      <c r="EY18" s="2227">
        <v>19800</v>
      </c>
      <c r="EZ18" s="2227">
        <v>26276.75</v>
      </c>
      <c r="FA18" s="2227">
        <v>14721.54</v>
      </c>
      <c r="FB18" s="2227">
        <v>15084.38</v>
      </c>
      <c r="FC18" s="2227">
        <v>29300</v>
      </c>
      <c r="FD18" s="2227">
        <v>27050</v>
      </c>
      <c r="FE18" s="2227">
        <v>33274.720000000001</v>
      </c>
      <c r="FF18" s="2227">
        <v>13650</v>
      </c>
      <c r="FG18" s="2227">
        <v>23213.87</v>
      </c>
      <c r="FH18" s="2227">
        <v>16906.36</v>
      </c>
      <c r="FI18" s="2227">
        <v>14553.06</v>
      </c>
      <c r="FJ18" s="2227">
        <v>13823.56</v>
      </c>
      <c r="FK18" s="2227">
        <v>20923.82</v>
      </c>
      <c r="FL18" s="2227">
        <v>14824.08</v>
      </c>
      <c r="FM18" s="2227">
        <v>17414.66</v>
      </c>
      <c r="FN18" s="2227">
        <v>17200</v>
      </c>
      <c r="FO18" s="2227">
        <v>24888.58</v>
      </c>
      <c r="FP18" s="2227">
        <v>17997.09</v>
      </c>
      <c r="FQ18" s="2227">
        <v>14423.2</v>
      </c>
      <c r="FR18" s="2227">
        <v>23500</v>
      </c>
      <c r="FS18" s="2227">
        <v>29300</v>
      </c>
      <c r="FT18" s="2227">
        <v>24913.3</v>
      </c>
      <c r="FU18" s="2227">
        <v>17848.36</v>
      </c>
      <c r="FV18" s="2227">
        <v>28300</v>
      </c>
      <c r="FW18" s="2227">
        <v>15664.44</v>
      </c>
      <c r="FX18" s="2227">
        <v>17104.72</v>
      </c>
      <c r="FY18" s="2227">
        <v>13828.11</v>
      </c>
      <c r="FZ18" s="2227">
        <v>17082.55</v>
      </c>
      <c r="GA18" s="2227">
        <v>20523.89</v>
      </c>
      <c r="GB18" s="2227">
        <v>24602</v>
      </c>
      <c r="GC18" s="2227">
        <v>14824.08</v>
      </c>
      <c r="GD18" s="2227">
        <v>13177.25</v>
      </c>
      <c r="GE18" s="2227">
        <v>23500.32</v>
      </c>
      <c r="GF18" s="2227">
        <v>23500</v>
      </c>
      <c r="GG18" s="2227">
        <v>36028.22</v>
      </c>
      <c r="GH18" s="2227">
        <v>16559.29</v>
      </c>
      <c r="GI18" s="2227">
        <v>15601.06</v>
      </c>
      <c r="GJ18" s="2227">
        <v>13782.9</v>
      </c>
      <c r="GK18" s="2227">
        <v>15473.18</v>
      </c>
      <c r="GL18" s="2227">
        <v>19941.12</v>
      </c>
      <c r="GM18" s="2227">
        <v>15107.86</v>
      </c>
      <c r="GN18" s="2227">
        <v>17848.310000000001</v>
      </c>
      <c r="GO18" s="2227">
        <v>16522.59</v>
      </c>
      <c r="GP18" s="2227">
        <v>20342.810000000001</v>
      </c>
      <c r="GQ18" s="2227">
        <v>13783</v>
      </c>
      <c r="GR18" s="2227">
        <v>13544.64</v>
      </c>
      <c r="GS18" s="2227">
        <v>14252.62</v>
      </c>
      <c r="GT18" s="2227">
        <v>15024.48</v>
      </c>
      <c r="GU18" s="2227">
        <v>17927.62</v>
      </c>
      <c r="GV18" s="2227">
        <v>15526.14</v>
      </c>
      <c r="GW18" s="2227">
        <v>30416.54</v>
      </c>
      <c r="GX18" s="2227">
        <v>33778.47</v>
      </c>
      <c r="GY18" s="2227">
        <v>36065.99</v>
      </c>
      <c r="GZ18" s="2227">
        <v>13216.52</v>
      </c>
      <c r="HA18" s="2227">
        <v>12901.65</v>
      </c>
      <c r="HB18" s="2227">
        <v>14824.08</v>
      </c>
      <c r="HC18" s="2227">
        <v>14431.54</v>
      </c>
      <c r="HD18" s="2227">
        <v>15015.86</v>
      </c>
      <c r="HE18" s="2227">
        <v>20426.490000000002</v>
      </c>
      <c r="HF18" s="2227">
        <v>21400</v>
      </c>
      <c r="HG18" s="2227">
        <v>18955.43</v>
      </c>
      <c r="HH18" s="2227">
        <v>19000</v>
      </c>
      <c r="HI18" s="2227">
        <v>17532.259999999998</v>
      </c>
      <c r="HJ18" s="2227">
        <v>17414.66</v>
      </c>
      <c r="HK18" s="2227">
        <v>23411.78</v>
      </c>
      <c r="HL18" s="2227">
        <v>33150</v>
      </c>
      <c r="HM18" s="2227">
        <v>16559.330000000002</v>
      </c>
      <c r="HN18" s="2227">
        <v>15617.35</v>
      </c>
      <c r="HO18" s="2227">
        <v>14551.37</v>
      </c>
      <c r="HP18" s="2227">
        <v>17134.71</v>
      </c>
      <c r="HQ18" s="2227">
        <v>20523.89</v>
      </c>
      <c r="HR18" s="2227">
        <v>26000</v>
      </c>
      <c r="HS18" s="2227">
        <v>18344.13</v>
      </c>
      <c r="HT18" s="2227">
        <v>19955.45</v>
      </c>
      <c r="HU18" s="2227">
        <v>26313.200000000001</v>
      </c>
      <c r="HV18" s="2227">
        <v>25100.18</v>
      </c>
      <c r="HW18" s="2227">
        <v>16559.28</v>
      </c>
      <c r="HX18" s="2227">
        <v>14721.54</v>
      </c>
      <c r="HY18" s="2227">
        <v>14896.33</v>
      </c>
      <c r="HZ18" s="2227">
        <v>15593.98</v>
      </c>
      <c r="IA18" s="2227">
        <v>12901.65</v>
      </c>
      <c r="IB18" s="2227">
        <v>16226.36</v>
      </c>
      <c r="IC18" s="2227">
        <v>16925.22</v>
      </c>
      <c r="ID18" s="2227">
        <v>18273.45</v>
      </c>
      <c r="IE18" s="2227">
        <v>18579.66</v>
      </c>
      <c r="IF18" s="2227">
        <v>17248.79</v>
      </c>
      <c r="IG18" s="2227">
        <v>21095.360000000001</v>
      </c>
      <c r="IH18" s="2227">
        <v>18344.14</v>
      </c>
      <c r="II18" s="2227">
        <v>18089.46</v>
      </c>
      <c r="IJ18" s="2227">
        <v>26549.42</v>
      </c>
      <c r="IK18" s="2227">
        <v>18527.63</v>
      </c>
      <c r="IL18" s="2227">
        <v>21735.58</v>
      </c>
      <c r="IM18" s="2227">
        <v>18194.759999999998</v>
      </c>
      <c r="IN18" s="2227">
        <v>27714.55</v>
      </c>
      <c r="IO18" s="2227">
        <v>29425.01</v>
      </c>
      <c r="IP18" s="2227">
        <v>27050</v>
      </c>
      <c r="IQ18" s="2227">
        <v>26313.200000000001</v>
      </c>
      <c r="IR18" s="2227">
        <v>42072.160000000003</v>
      </c>
      <c r="IS18" s="2227">
        <v>26298.05</v>
      </c>
      <c r="IT18" s="2227">
        <v>36093.31</v>
      </c>
      <c r="IU18" s="2227">
        <v>26888.02</v>
      </c>
      <c r="IV18" s="2227">
        <v>18234.52</v>
      </c>
    </row>
    <row r="19" spans="1:256">
      <c r="A19" s="2214">
        <v>10</v>
      </c>
      <c r="B19" s="2925">
        <v>16002.36</v>
      </c>
      <c r="C19" s="2227">
        <v>15068.24</v>
      </c>
      <c r="D19" s="2925">
        <v>15002.36</v>
      </c>
      <c r="E19" s="2227">
        <v>13795.21</v>
      </c>
      <c r="F19" s="2925">
        <v>14020</v>
      </c>
      <c r="G19" s="2227">
        <v>13201.65</v>
      </c>
      <c r="H19" s="2926">
        <v>13220</v>
      </c>
      <c r="I19" s="2925">
        <v>19927.03</v>
      </c>
      <c r="J19" s="2925">
        <v>19927.03</v>
      </c>
      <c r="K19" s="2227">
        <v>16042.84</v>
      </c>
      <c r="L19" s="2925">
        <v>17269</v>
      </c>
      <c r="M19" s="2227">
        <v>16042.84</v>
      </c>
      <c r="N19" s="2925">
        <v>16711.78</v>
      </c>
      <c r="O19" s="2925">
        <v>16711.78</v>
      </c>
      <c r="P19" s="2227">
        <v>15012.15</v>
      </c>
      <c r="Q19" s="2925">
        <v>16269</v>
      </c>
      <c r="R19" s="2227">
        <v>14553.06</v>
      </c>
      <c r="S19" s="2925">
        <v>15269</v>
      </c>
      <c r="T19" s="2925">
        <v>15295.8</v>
      </c>
      <c r="U19" s="2227">
        <v>14553.06</v>
      </c>
      <c r="V19" s="2925">
        <v>15269</v>
      </c>
      <c r="W19" s="2227">
        <v>14009.17</v>
      </c>
      <c r="X19" s="2925">
        <v>14274.92</v>
      </c>
      <c r="Y19" s="2925">
        <v>14274.92</v>
      </c>
      <c r="Z19" s="2925">
        <v>14169</v>
      </c>
      <c r="AA19" s="2925">
        <v>21672</v>
      </c>
      <c r="AB19" s="2227">
        <v>18132.25</v>
      </c>
      <c r="AC19" s="2925">
        <v>19972</v>
      </c>
      <c r="AD19" s="2227">
        <v>18234.52</v>
      </c>
      <c r="AE19" s="2925">
        <v>18272</v>
      </c>
      <c r="AF19" s="2227">
        <v>16696.23</v>
      </c>
      <c r="AG19" s="2925">
        <v>16411.919999999998</v>
      </c>
      <c r="AH19" s="2925">
        <v>21672</v>
      </c>
      <c r="AI19" s="2925">
        <v>21672</v>
      </c>
      <c r="AJ19" s="2227">
        <v>20217.7</v>
      </c>
      <c r="AK19" s="2925">
        <v>20217.7</v>
      </c>
      <c r="AL19" s="2925">
        <v>19972</v>
      </c>
      <c r="AM19" s="2227">
        <v>18132.25</v>
      </c>
      <c r="AN19" s="2925">
        <v>18272</v>
      </c>
      <c r="AO19" s="2925">
        <v>18396.23</v>
      </c>
      <c r="AP19" s="2227">
        <v>18234.52</v>
      </c>
      <c r="AQ19" s="2925">
        <v>18234.52</v>
      </c>
      <c r="AR19" s="2925">
        <v>16696.23</v>
      </c>
      <c r="AS19" s="2923">
        <v>25142</v>
      </c>
      <c r="AT19" s="2227">
        <v>20613.419999999998</v>
      </c>
      <c r="AU19" s="2923">
        <v>23444.94</v>
      </c>
      <c r="AV19" s="2227">
        <v>19941.12</v>
      </c>
      <c r="AW19" s="2923">
        <v>21420</v>
      </c>
      <c r="AX19" s="2227">
        <v>19340.560000000001</v>
      </c>
      <c r="AY19" s="2923">
        <v>19320.939999999999</v>
      </c>
      <c r="AZ19" s="2925">
        <v>26012</v>
      </c>
      <c r="BA19" s="2227">
        <v>23411.78</v>
      </c>
      <c r="BB19" s="2923">
        <v>25142</v>
      </c>
      <c r="BC19" s="2227">
        <v>21735.58</v>
      </c>
      <c r="BD19" s="2925">
        <v>27776</v>
      </c>
      <c r="BE19" s="2227">
        <v>24602</v>
      </c>
      <c r="BF19" s="2923">
        <v>25142</v>
      </c>
      <c r="BG19" s="2227">
        <v>23629.42</v>
      </c>
      <c r="BH19" s="2925">
        <v>24151</v>
      </c>
      <c r="BI19" s="2227">
        <v>22698.35</v>
      </c>
      <c r="BJ19" s="2923">
        <v>23458.04</v>
      </c>
      <c r="BK19" s="2227">
        <v>20923.82</v>
      </c>
      <c r="BL19" s="2925">
        <v>26260</v>
      </c>
      <c r="BM19" s="2227">
        <v>24016.83</v>
      </c>
      <c r="BN19" s="2923">
        <v>24083.87</v>
      </c>
      <c r="BO19" s="2227">
        <v>23213.87</v>
      </c>
      <c r="BP19" s="2925">
        <v>22290</v>
      </c>
      <c r="BQ19" s="2227">
        <v>20395.96</v>
      </c>
      <c r="BR19" s="2923">
        <v>21420</v>
      </c>
      <c r="BS19" s="2227">
        <v>19839.59</v>
      </c>
      <c r="BT19" s="2925">
        <v>23260</v>
      </c>
      <c r="BU19" s="2227">
        <v>20554.16</v>
      </c>
      <c r="BV19" s="2923">
        <v>22610</v>
      </c>
      <c r="BW19" s="2227">
        <v>20016.88</v>
      </c>
      <c r="BX19" s="2925">
        <v>19790</v>
      </c>
      <c r="BY19" s="2923">
        <v>19610</v>
      </c>
      <c r="BZ19" s="2924">
        <v>20260</v>
      </c>
      <c r="CA19" s="2923">
        <v>19610</v>
      </c>
      <c r="CB19" s="2227">
        <v>59460</v>
      </c>
      <c r="CC19" s="2227">
        <v>56460</v>
      </c>
      <c r="CD19" s="2227">
        <v>53460</v>
      </c>
      <c r="CE19" s="2227">
        <v>51670</v>
      </c>
      <c r="CF19" s="2227">
        <v>48670</v>
      </c>
      <c r="CG19" s="2227">
        <v>45670</v>
      </c>
      <c r="CH19" s="2227">
        <v>44080</v>
      </c>
      <c r="CI19" s="2227">
        <v>41080</v>
      </c>
      <c r="CJ19" s="2227">
        <v>37580</v>
      </c>
      <c r="CK19" s="2227">
        <v>36680</v>
      </c>
      <c r="CL19" s="2227">
        <v>33680</v>
      </c>
      <c r="CM19" s="2227">
        <v>30680</v>
      </c>
      <c r="CN19" s="2227">
        <v>28330</v>
      </c>
      <c r="CO19" s="2227">
        <v>26330</v>
      </c>
      <c r="CP19" s="2227">
        <v>15681.43</v>
      </c>
      <c r="CQ19" s="2227">
        <v>12747.37</v>
      </c>
      <c r="CR19" s="2227">
        <v>13780.8</v>
      </c>
      <c r="CS19" s="2227">
        <v>25454.28</v>
      </c>
      <c r="CT19" s="2227">
        <v>16711.78</v>
      </c>
      <c r="CU19" s="2227">
        <v>18802.740000000002</v>
      </c>
      <c r="CV19" s="2227">
        <v>18802.740000000002</v>
      </c>
      <c r="CW19" s="2227">
        <v>18802.740000000002</v>
      </c>
      <c r="CX19" s="2227">
        <v>18802.740000000002</v>
      </c>
      <c r="CY19" s="2227">
        <v>17200</v>
      </c>
      <c r="CZ19" s="2227">
        <v>20217.7</v>
      </c>
      <c r="DA19" s="2227">
        <v>19927.03</v>
      </c>
      <c r="DB19" s="2227">
        <v>18234.52</v>
      </c>
      <c r="DC19" s="2227">
        <v>18132.25</v>
      </c>
      <c r="DD19" s="2227">
        <v>16819.669999999998</v>
      </c>
      <c r="DE19" s="2227">
        <v>16411.919999999998</v>
      </c>
      <c r="DF19" s="2227">
        <v>16531.240000000002</v>
      </c>
      <c r="DG19" s="2227">
        <v>16500</v>
      </c>
      <c r="DH19" s="2227">
        <v>16150</v>
      </c>
      <c r="DI19" s="2227">
        <v>13647.85</v>
      </c>
      <c r="DJ19" s="2227">
        <v>13647.85</v>
      </c>
      <c r="DK19" s="2227">
        <v>17350</v>
      </c>
      <c r="DL19" s="2227">
        <v>18568.32</v>
      </c>
      <c r="DM19" s="2227">
        <v>19000</v>
      </c>
      <c r="DN19" s="2227">
        <v>13014.43</v>
      </c>
      <c r="DO19" s="2227">
        <v>19839.59</v>
      </c>
      <c r="DP19" s="2227">
        <v>14824.08</v>
      </c>
      <c r="DQ19" s="2227">
        <v>27246.799999999999</v>
      </c>
      <c r="DR19" s="2227">
        <v>16696.23</v>
      </c>
      <c r="DS19" s="2227">
        <v>14300</v>
      </c>
      <c r="DT19" s="2227">
        <v>14491.5</v>
      </c>
      <c r="DU19" s="2227">
        <v>14551.37</v>
      </c>
      <c r="DV19" s="2227">
        <v>18234.52</v>
      </c>
      <c r="DW19" s="2227">
        <v>14009.17</v>
      </c>
      <c r="DX19" s="2227">
        <v>21950</v>
      </c>
      <c r="DY19" s="2227">
        <v>15160.31</v>
      </c>
      <c r="DZ19" s="2227">
        <v>20016.88</v>
      </c>
      <c r="EA19" s="2227">
        <v>17588.04</v>
      </c>
      <c r="EB19" s="2227">
        <v>30256.09</v>
      </c>
      <c r="EC19" s="2227">
        <v>20451.310000000001</v>
      </c>
      <c r="ED19" s="2227">
        <v>15989.15</v>
      </c>
      <c r="EE19" s="2227">
        <v>14950</v>
      </c>
      <c r="EF19" s="2227">
        <v>15012.15</v>
      </c>
      <c r="EG19" s="2227">
        <v>16042.84</v>
      </c>
      <c r="EH19" s="2227">
        <v>15567.76</v>
      </c>
      <c r="EI19" s="2227">
        <v>20674.37</v>
      </c>
      <c r="EJ19" s="2227">
        <v>24016.83</v>
      </c>
      <c r="EK19" s="2227">
        <v>16508.509999999998</v>
      </c>
      <c r="EL19" s="2227">
        <v>15567.77</v>
      </c>
      <c r="EM19" s="2227">
        <v>30657.25</v>
      </c>
      <c r="EN19" s="2227">
        <v>20554.16</v>
      </c>
      <c r="EO19" s="2227">
        <v>13583.82</v>
      </c>
      <c r="EP19" s="2227">
        <v>15000</v>
      </c>
      <c r="EQ19" s="2227">
        <v>16001.14</v>
      </c>
      <c r="ER19" s="2227">
        <v>19137.41</v>
      </c>
      <c r="ES19" s="2227">
        <v>16628.34</v>
      </c>
      <c r="ET19" s="2227">
        <v>13795.21</v>
      </c>
      <c r="EU19" s="2227">
        <v>18220.2</v>
      </c>
      <c r="EV19" s="2227">
        <v>20395.96</v>
      </c>
      <c r="EW19" s="2227">
        <v>16330.37</v>
      </c>
      <c r="EX19" s="2227">
        <v>17169.09</v>
      </c>
      <c r="EY19" s="2227">
        <v>19800</v>
      </c>
      <c r="EZ19" s="2227">
        <v>26772.54</v>
      </c>
      <c r="FA19" s="2227">
        <v>14854.64</v>
      </c>
      <c r="FB19" s="2227">
        <v>15146.36</v>
      </c>
      <c r="FC19" s="2227">
        <v>29300</v>
      </c>
      <c r="FD19" s="2227">
        <v>27050</v>
      </c>
      <c r="FE19" s="2227">
        <v>34612.449999999997</v>
      </c>
      <c r="FF19" s="2227">
        <v>13650</v>
      </c>
      <c r="FG19" s="2227">
        <v>23213.87</v>
      </c>
      <c r="FH19" s="2227">
        <v>16906.36</v>
      </c>
      <c r="FI19" s="2227">
        <v>14553.06</v>
      </c>
      <c r="FJ19" s="2227">
        <v>13895.11</v>
      </c>
      <c r="FK19" s="2227">
        <v>20923.82</v>
      </c>
      <c r="FL19" s="2227">
        <v>14824.08</v>
      </c>
      <c r="FM19" s="2227">
        <v>17818.259999999998</v>
      </c>
      <c r="FN19" s="2227">
        <v>17200</v>
      </c>
      <c r="FO19" s="2227">
        <v>25210.85</v>
      </c>
      <c r="FP19" s="2227">
        <v>17997.09</v>
      </c>
      <c r="FQ19" s="2227">
        <v>14555.48</v>
      </c>
      <c r="FR19" s="2227">
        <v>23500</v>
      </c>
      <c r="FS19" s="2227">
        <v>29300</v>
      </c>
      <c r="FT19" s="2227">
        <v>24913.3</v>
      </c>
      <c r="FU19" s="2227">
        <v>17848.36</v>
      </c>
      <c r="FV19" s="2227">
        <v>28300</v>
      </c>
      <c r="FW19" s="2227">
        <v>15912.34</v>
      </c>
      <c r="FX19" s="2227">
        <v>17513.75</v>
      </c>
      <c r="FY19" s="2227">
        <v>13828.11</v>
      </c>
      <c r="FZ19" s="2227">
        <v>17468.3</v>
      </c>
      <c r="GA19" s="2227">
        <v>20976.99</v>
      </c>
      <c r="GB19" s="2227">
        <v>24602</v>
      </c>
      <c r="GC19" s="2227">
        <v>14824.08</v>
      </c>
      <c r="GD19" s="2227">
        <v>13177.25</v>
      </c>
      <c r="GE19" s="2227">
        <v>23896.95</v>
      </c>
      <c r="GF19" s="2227">
        <v>23500</v>
      </c>
      <c r="GG19" s="2227">
        <v>37317.370000000003</v>
      </c>
      <c r="GH19" s="2227">
        <v>16559.29</v>
      </c>
      <c r="GI19" s="2227">
        <v>15601.06</v>
      </c>
      <c r="GJ19" s="2227">
        <v>13782.9</v>
      </c>
      <c r="GK19" s="2227">
        <v>15676.68</v>
      </c>
      <c r="GL19" s="2227">
        <v>19941.12</v>
      </c>
      <c r="GM19" s="2227">
        <v>15241.07</v>
      </c>
      <c r="GN19" s="2227">
        <v>18046.62</v>
      </c>
      <c r="GO19" s="2227">
        <v>16817.509999999998</v>
      </c>
      <c r="GP19" s="2227">
        <v>20342.810000000001</v>
      </c>
      <c r="GQ19" s="2227">
        <v>13783</v>
      </c>
      <c r="GR19" s="2227">
        <v>13614.72</v>
      </c>
      <c r="GS19" s="2227">
        <v>14324.17</v>
      </c>
      <c r="GT19" s="2227">
        <v>15160.31</v>
      </c>
      <c r="GU19" s="2227">
        <v>17927.62</v>
      </c>
      <c r="GV19" s="2227">
        <v>15526.14</v>
      </c>
      <c r="GW19" s="2227">
        <v>30912.33</v>
      </c>
      <c r="GX19" s="2227">
        <v>33778.47</v>
      </c>
      <c r="GY19" s="2227">
        <v>37403.72</v>
      </c>
      <c r="GZ19" s="2227">
        <v>13216.52</v>
      </c>
      <c r="HA19" s="2227">
        <v>12901.65</v>
      </c>
      <c r="HB19" s="2227">
        <v>14824.08</v>
      </c>
      <c r="HC19" s="2227">
        <v>14563.9</v>
      </c>
      <c r="HD19" s="2227">
        <v>15151.61</v>
      </c>
      <c r="HE19" s="2227">
        <v>20723.97</v>
      </c>
      <c r="HF19" s="2227">
        <v>21400</v>
      </c>
      <c r="HG19" s="2227">
        <v>19418.97</v>
      </c>
      <c r="HH19" s="2227">
        <v>19000</v>
      </c>
      <c r="HI19" s="2227">
        <v>17532.259999999998</v>
      </c>
      <c r="HJ19" s="2227">
        <v>17818.259999999998</v>
      </c>
      <c r="HK19" s="2227">
        <v>23411.78</v>
      </c>
      <c r="HL19" s="2227">
        <v>33150</v>
      </c>
      <c r="HM19" s="2227">
        <v>16559.330000000002</v>
      </c>
      <c r="HN19" s="2227">
        <v>15617.35</v>
      </c>
      <c r="HO19" s="2227">
        <v>14551.37</v>
      </c>
      <c r="HP19" s="2227">
        <v>17446.78</v>
      </c>
      <c r="HQ19" s="2227">
        <v>20976.99</v>
      </c>
      <c r="HR19" s="2227">
        <v>26000</v>
      </c>
      <c r="HS19" s="2227">
        <v>18344.13</v>
      </c>
      <c r="HT19" s="2227">
        <v>19955.45</v>
      </c>
      <c r="HU19" s="2227">
        <v>26313.200000000001</v>
      </c>
      <c r="HV19" s="2227">
        <v>25100.18</v>
      </c>
      <c r="HW19" s="2227">
        <v>16559.28</v>
      </c>
      <c r="HX19" s="2227">
        <v>14854.64</v>
      </c>
      <c r="HY19" s="2227">
        <v>15029.43</v>
      </c>
      <c r="HZ19" s="2227">
        <v>15878.99</v>
      </c>
      <c r="IA19" s="2227">
        <v>12901.65</v>
      </c>
      <c r="IB19" s="2227">
        <v>16369.42</v>
      </c>
      <c r="IC19" s="2227">
        <v>16925.22</v>
      </c>
      <c r="ID19" s="2227">
        <v>18273.45</v>
      </c>
      <c r="IE19" s="2227">
        <v>19050.66</v>
      </c>
      <c r="IF19" s="2227">
        <v>17614.71</v>
      </c>
      <c r="IG19" s="2227">
        <v>21095.360000000001</v>
      </c>
      <c r="IH19" s="2227">
        <v>18344.14</v>
      </c>
      <c r="II19" s="2227">
        <v>18089.46</v>
      </c>
      <c r="IJ19" s="2227">
        <v>26946.05</v>
      </c>
      <c r="IK19" s="2227">
        <v>18527.63</v>
      </c>
      <c r="IL19" s="2227">
        <v>21735.58</v>
      </c>
      <c r="IM19" s="2227">
        <v>18194.759999999998</v>
      </c>
      <c r="IN19" s="2227">
        <v>28259.919999999998</v>
      </c>
      <c r="IO19" s="2227">
        <v>29425.01</v>
      </c>
      <c r="IP19" s="2227">
        <v>27050</v>
      </c>
      <c r="IQ19" s="2227">
        <v>26313.200000000001</v>
      </c>
      <c r="IR19" s="2227">
        <v>43409.89</v>
      </c>
      <c r="IS19" s="2227">
        <v>26298.05</v>
      </c>
      <c r="IT19" s="2227">
        <v>36093.31</v>
      </c>
      <c r="IU19" s="2227">
        <v>27533.81</v>
      </c>
      <c r="IV19" s="2227">
        <v>18234.52</v>
      </c>
    </row>
    <row r="20" spans="1:256">
      <c r="A20" s="2214">
        <v>11</v>
      </c>
      <c r="B20" s="2925">
        <v>16061.7</v>
      </c>
      <c r="C20" s="2227">
        <v>15229.84</v>
      </c>
      <c r="D20" s="2925">
        <v>15061.7</v>
      </c>
      <c r="E20" s="2227">
        <v>13956.81</v>
      </c>
      <c r="F20" s="2925">
        <v>14061.7</v>
      </c>
      <c r="G20" s="2227">
        <v>13326.54</v>
      </c>
      <c r="H20" s="2926">
        <v>13247</v>
      </c>
      <c r="I20" s="2925">
        <v>20193.82</v>
      </c>
      <c r="J20" s="2925">
        <v>20193.82</v>
      </c>
      <c r="K20" s="2227">
        <v>16309.63</v>
      </c>
      <c r="L20" s="2925">
        <v>17391</v>
      </c>
      <c r="M20" s="2227">
        <v>16309.63</v>
      </c>
      <c r="N20" s="2925">
        <v>16978.57</v>
      </c>
      <c r="O20" s="2925">
        <v>16978.57</v>
      </c>
      <c r="P20" s="2227">
        <v>15291.1</v>
      </c>
      <c r="Q20" s="2925">
        <v>16391</v>
      </c>
      <c r="R20" s="2227">
        <v>14832.01</v>
      </c>
      <c r="S20" s="2925">
        <v>15391</v>
      </c>
      <c r="T20" s="2925">
        <v>15509.3</v>
      </c>
      <c r="U20" s="2227">
        <v>14832.01</v>
      </c>
      <c r="V20" s="2925">
        <v>15391</v>
      </c>
      <c r="W20" s="2227">
        <v>14203.84</v>
      </c>
      <c r="X20" s="2925">
        <v>14496.19</v>
      </c>
      <c r="Y20" s="2925">
        <v>14496.19</v>
      </c>
      <c r="Z20" s="2925">
        <v>14291</v>
      </c>
      <c r="AA20" s="2925">
        <v>21871</v>
      </c>
      <c r="AB20" s="2227">
        <v>18844.89</v>
      </c>
      <c r="AC20" s="2925">
        <v>20171</v>
      </c>
      <c r="AD20" s="2227">
        <v>18769.650000000001</v>
      </c>
      <c r="AE20" s="2925">
        <v>18535.53</v>
      </c>
      <c r="AF20" s="2227">
        <v>17319.84</v>
      </c>
      <c r="AG20" s="2925">
        <v>17035.53</v>
      </c>
      <c r="AH20" s="2925">
        <v>21871</v>
      </c>
      <c r="AI20" s="2925">
        <v>21871</v>
      </c>
      <c r="AJ20" s="2227">
        <v>20930.34</v>
      </c>
      <c r="AK20" s="2925">
        <v>20930.34</v>
      </c>
      <c r="AL20" s="2925">
        <v>20319.84</v>
      </c>
      <c r="AM20" s="2227">
        <v>18844.89</v>
      </c>
      <c r="AN20" s="2925">
        <v>18844.89</v>
      </c>
      <c r="AO20" s="2925">
        <v>19019.84</v>
      </c>
      <c r="AP20" s="2227">
        <v>18769.650000000001</v>
      </c>
      <c r="AQ20" s="2925">
        <v>18769.650000000001</v>
      </c>
      <c r="AR20" s="2925">
        <v>17319.84</v>
      </c>
      <c r="AS20" s="2923">
        <v>25935</v>
      </c>
      <c r="AT20" s="2227">
        <v>21285.73</v>
      </c>
      <c r="AU20" s="2923">
        <v>24014</v>
      </c>
      <c r="AV20" s="2227">
        <v>20613.43</v>
      </c>
      <c r="AW20" s="2923">
        <v>22093</v>
      </c>
      <c r="AX20" s="2227">
        <v>19887.22</v>
      </c>
      <c r="AY20" s="2923">
        <v>19755</v>
      </c>
      <c r="AZ20" s="2925">
        <v>26805</v>
      </c>
      <c r="BA20" s="2227">
        <v>23946.91</v>
      </c>
      <c r="BB20" s="2923">
        <v>25935</v>
      </c>
      <c r="BC20" s="2227">
        <v>22407.89</v>
      </c>
      <c r="BD20" s="2925">
        <v>28449</v>
      </c>
      <c r="BE20" s="2227">
        <v>25274.31</v>
      </c>
      <c r="BF20" s="2923">
        <v>25935</v>
      </c>
      <c r="BG20" s="2227">
        <v>24301.73</v>
      </c>
      <c r="BH20" s="2925">
        <v>24884</v>
      </c>
      <c r="BI20" s="2227">
        <v>23233.48</v>
      </c>
      <c r="BJ20" s="2923">
        <v>24130.35</v>
      </c>
      <c r="BK20" s="2227">
        <v>21596.13</v>
      </c>
      <c r="BL20" s="2925">
        <v>26933</v>
      </c>
      <c r="BM20" s="2227">
        <v>24689.14</v>
      </c>
      <c r="BN20" s="2923">
        <v>24756.18</v>
      </c>
      <c r="BO20" s="2227">
        <v>23886.18</v>
      </c>
      <c r="BP20" s="2925">
        <v>22963</v>
      </c>
      <c r="BQ20" s="2227">
        <v>20931.09</v>
      </c>
      <c r="BR20" s="2923">
        <v>22093</v>
      </c>
      <c r="BS20" s="2227">
        <v>20511.900000000001</v>
      </c>
      <c r="BT20" s="2925">
        <v>23933</v>
      </c>
      <c r="BU20" s="2227">
        <v>21226.47</v>
      </c>
      <c r="BV20" s="2923">
        <v>23031</v>
      </c>
      <c r="BW20" s="2227">
        <v>20689.189999999999</v>
      </c>
      <c r="BX20" s="2925">
        <v>20463</v>
      </c>
      <c r="BY20" s="2923">
        <v>20031</v>
      </c>
      <c r="BZ20" s="2924">
        <v>20933</v>
      </c>
      <c r="CA20" s="2923">
        <v>20031</v>
      </c>
      <c r="CB20" s="2227">
        <v>60070</v>
      </c>
      <c r="CC20" s="2227">
        <v>57070</v>
      </c>
      <c r="CD20" s="2227">
        <v>54070</v>
      </c>
      <c r="CE20" s="2227">
        <v>52280</v>
      </c>
      <c r="CF20" s="2227">
        <v>49280</v>
      </c>
      <c r="CG20" s="2227">
        <v>46280</v>
      </c>
      <c r="CH20" s="2227">
        <v>44600</v>
      </c>
      <c r="CI20" s="2227">
        <v>41600</v>
      </c>
      <c r="CJ20" s="2227">
        <v>38100</v>
      </c>
      <c r="CK20" s="2227">
        <v>37160</v>
      </c>
      <c r="CL20" s="2227">
        <v>34160</v>
      </c>
      <c r="CM20" s="2227">
        <v>31160</v>
      </c>
      <c r="CN20" s="2227">
        <v>28775</v>
      </c>
      <c r="CO20" s="2227">
        <v>26775</v>
      </c>
      <c r="CP20" s="2227">
        <v>16394.07</v>
      </c>
      <c r="CQ20" s="2227">
        <v>12805.54</v>
      </c>
      <c r="CR20" s="2227">
        <v>13975.47</v>
      </c>
      <c r="CS20" s="2227">
        <v>26412.99</v>
      </c>
      <c r="CT20" s="2227">
        <v>16978.57</v>
      </c>
      <c r="CU20" s="2227">
        <v>19273.740000000002</v>
      </c>
      <c r="CV20" s="2227">
        <v>19273.740000000002</v>
      </c>
      <c r="CW20" s="2227">
        <v>19273.740000000002</v>
      </c>
      <c r="CX20" s="2227">
        <v>19273.740000000002</v>
      </c>
      <c r="CY20" s="2227">
        <v>17800</v>
      </c>
      <c r="CZ20" s="2227">
        <v>20930.34</v>
      </c>
      <c r="DA20" s="2227">
        <v>20193.82</v>
      </c>
      <c r="DB20" s="2227">
        <v>18769.650000000001</v>
      </c>
      <c r="DC20" s="2227">
        <v>18844.89</v>
      </c>
      <c r="DD20" s="2227">
        <v>17073.77</v>
      </c>
      <c r="DE20" s="2227">
        <v>17035.53</v>
      </c>
      <c r="DF20" s="2227">
        <v>17203.55</v>
      </c>
      <c r="DG20" s="2227">
        <v>17100</v>
      </c>
      <c r="DH20" s="2227">
        <v>16500</v>
      </c>
      <c r="DI20" s="2227">
        <v>13842.52</v>
      </c>
      <c r="DJ20" s="2227">
        <v>13842.52</v>
      </c>
      <c r="DK20" s="2227">
        <v>17700</v>
      </c>
      <c r="DL20" s="2227">
        <v>19240.63</v>
      </c>
      <c r="DM20" s="2227">
        <v>19650</v>
      </c>
      <c r="DN20" s="2227">
        <v>13138.38</v>
      </c>
      <c r="DO20" s="2227">
        <v>20511.900000000001</v>
      </c>
      <c r="DP20" s="2227">
        <v>15171.14</v>
      </c>
      <c r="DQ20" s="2227">
        <v>28205.51</v>
      </c>
      <c r="DR20" s="2227">
        <v>17319.84</v>
      </c>
      <c r="DS20" s="2227">
        <v>14450</v>
      </c>
      <c r="DT20" s="2227">
        <v>14583.72</v>
      </c>
      <c r="DU20" s="2227">
        <v>14675.32</v>
      </c>
      <c r="DV20" s="2227">
        <v>18769.650000000001</v>
      </c>
      <c r="DW20" s="2227">
        <v>14203.84</v>
      </c>
      <c r="DX20" s="2227">
        <v>22550</v>
      </c>
      <c r="DY20" s="2227">
        <v>15296.14</v>
      </c>
      <c r="DZ20" s="2227">
        <v>20689.189999999999</v>
      </c>
      <c r="EA20" s="2227">
        <v>18260.349999999999</v>
      </c>
      <c r="EB20" s="2227">
        <v>31214.799999999999</v>
      </c>
      <c r="EC20" s="2227">
        <v>20798.37</v>
      </c>
      <c r="ED20" s="2227">
        <v>16484.939999999999</v>
      </c>
      <c r="EE20" s="2227">
        <v>15100</v>
      </c>
      <c r="EF20" s="2227">
        <v>15291.1</v>
      </c>
      <c r="EG20" s="2227">
        <v>16309.63</v>
      </c>
      <c r="EH20" s="2227">
        <v>15914.82</v>
      </c>
      <c r="EI20" s="2227">
        <v>20947.060000000001</v>
      </c>
      <c r="EJ20" s="2227">
        <v>24689.14</v>
      </c>
      <c r="EK20" s="2227">
        <v>17180.82</v>
      </c>
      <c r="EL20" s="2227">
        <v>15914.83</v>
      </c>
      <c r="EM20" s="2227">
        <v>31749.68</v>
      </c>
      <c r="EN20" s="2227">
        <v>21226.47</v>
      </c>
      <c r="EO20" s="2227">
        <v>13644.61</v>
      </c>
      <c r="EP20" s="2227">
        <v>15350</v>
      </c>
      <c r="EQ20" s="2227">
        <v>16313.04</v>
      </c>
      <c r="ER20" s="2227">
        <v>19707.57</v>
      </c>
      <c r="ES20" s="2227">
        <v>16913.52</v>
      </c>
      <c r="ET20" s="2227">
        <v>13956.81</v>
      </c>
      <c r="EU20" s="2227">
        <v>18765.57</v>
      </c>
      <c r="EV20" s="2227">
        <v>20931.09</v>
      </c>
      <c r="EW20" s="2227">
        <v>16648.669999999998</v>
      </c>
      <c r="EX20" s="2227">
        <v>17535.009999999998</v>
      </c>
      <c r="EY20" s="2227">
        <v>20300</v>
      </c>
      <c r="EZ20" s="2227">
        <v>27268.33</v>
      </c>
      <c r="FA20" s="2227">
        <v>14987.74</v>
      </c>
      <c r="FB20" s="2227">
        <v>15208.34</v>
      </c>
      <c r="FC20" s="2227">
        <v>29300</v>
      </c>
      <c r="FD20" s="2227">
        <v>27050</v>
      </c>
      <c r="FE20" s="2227">
        <v>34612.449999999997</v>
      </c>
      <c r="FF20" s="2227">
        <v>13800</v>
      </c>
      <c r="FG20" s="2227">
        <v>23886.18</v>
      </c>
      <c r="FH20" s="2227">
        <v>17402.150000000001</v>
      </c>
      <c r="FI20" s="2227">
        <v>14832.01</v>
      </c>
      <c r="FJ20" s="2227">
        <v>13966.66</v>
      </c>
      <c r="FK20" s="2227">
        <v>21596.13</v>
      </c>
      <c r="FL20" s="2227">
        <v>15171.14</v>
      </c>
      <c r="FM20" s="2227">
        <v>18221.86</v>
      </c>
      <c r="FN20" s="2227">
        <v>17800</v>
      </c>
      <c r="FO20" s="2227">
        <v>25533.119999999999</v>
      </c>
      <c r="FP20" s="2227">
        <v>18492.88</v>
      </c>
      <c r="FQ20" s="2227">
        <v>14687.76</v>
      </c>
      <c r="FR20" s="2227">
        <v>24100</v>
      </c>
      <c r="FS20" s="2227">
        <v>29300</v>
      </c>
      <c r="FT20" s="2227">
        <v>25681.77</v>
      </c>
      <c r="FU20" s="2227">
        <v>18393.73</v>
      </c>
      <c r="FV20" s="2227">
        <v>28300</v>
      </c>
      <c r="FW20" s="2227">
        <v>16160.24</v>
      </c>
      <c r="FX20" s="2227">
        <v>17922.78</v>
      </c>
      <c r="FY20" s="2227">
        <v>14022.78</v>
      </c>
      <c r="FZ20" s="2227">
        <v>17854.05</v>
      </c>
      <c r="GA20" s="2227">
        <v>21430.09</v>
      </c>
      <c r="GB20" s="2227">
        <v>25274.31</v>
      </c>
      <c r="GC20" s="2227">
        <v>15171.14</v>
      </c>
      <c r="GD20" s="2227">
        <v>13290.71</v>
      </c>
      <c r="GE20" s="2227">
        <v>24293.58</v>
      </c>
      <c r="GF20" s="2227">
        <v>24300</v>
      </c>
      <c r="GG20" s="2227">
        <v>37317.370000000003</v>
      </c>
      <c r="GH20" s="2227">
        <v>16906.34</v>
      </c>
      <c r="GI20" s="2227">
        <v>16219.13</v>
      </c>
      <c r="GJ20" s="2227">
        <v>13906.85</v>
      </c>
      <c r="GK20" s="2227">
        <v>15880.18</v>
      </c>
      <c r="GL20" s="2227">
        <v>20613.43</v>
      </c>
      <c r="GM20" s="2227">
        <v>15374.28</v>
      </c>
      <c r="GN20" s="2227">
        <v>18244.93</v>
      </c>
      <c r="GO20" s="2227">
        <v>17112.43</v>
      </c>
      <c r="GP20" s="2227">
        <v>20780.97</v>
      </c>
      <c r="GQ20" s="2227">
        <v>13979.61</v>
      </c>
      <c r="GR20" s="2227">
        <v>13684.8</v>
      </c>
      <c r="GS20" s="2227">
        <v>14395.72</v>
      </c>
      <c r="GT20" s="2227">
        <v>15296.14</v>
      </c>
      <c r="GU20" s="2227">
        <v>18447.11</v>
      </c>
      <c r="GV20" s="2227">
        <v>16231.72</v>
      </c>
      <c r="GW20" s="2227">
        <v>31408.12</v>
      </c>
      <c r="GX20" s="2227">
        <v>34870.9</v>
      </c>
      <c r="GY20" s="2227">
        <v>37403.72</v>
      </c>
      <c r="GZ20" s="2227">
        <v>13369.25</v>
      </c>
      <c r="HA20" s="2227">
        <v>13026.54</v>
      </c>
      <c r="HB20" s="2227">
        <v>15171.14</v>
      </c>
      <c r="HC20" s="2227">
        <v>14696.26</v>
      </c>
      <c r="HD20" s="2227">
        <v>15287.36</v>
      </c>
      <c r="HE20" s="2227">
        <v>21021.45</v>
      </c>
      <c r="HF20" s="2227">
        <v>21950</v>
      </c>
      <c r="HG20" s="2227">
        <v>19882.509999999998</v>
      </c>
      <c r="HH20" s="2227">
        <v>19650</v>
      </c>
      <c r="HI20" s="2227">
        <v>18204.57</v>
      </c>
      <c r="HJ20" s="2227">
        <v>18221.86</v>
      </c>
      <c r="HK20" s="2227">
        <v>23946.91</v>
      </c>
      <c r="HL20" s="2227">
        <v>33150</v>
      </c>
      <c r="HM20" s="2227">
        <v>16906.39</v>
      </c>
      <c r="HN20" s="2227">
        <v>15964.41</v>
      </c>
      <c r="HO20" s="2227">
        <v>14675.32</v>
      </c>
      <c r="HP20" s="2227">
        <v>17758.849999999999</v>
      </c>
      <c r="HQ20" s="2227">
        <v>21430.09</v>
      </c>
      <c r="HR20" s="2227">
        <v>26900</v>
      </c>
      <c r="HS20" s="2227">
        <v>18839.919999999998</v>
      </c>
      <c r="HT20" s="2227">
        <v>20500.82</v>
      </c>
      <c r="HU20" s="2227">
        <v>27291.07</v>
      </c>
      <c r="HV20" s="2227">
        <v>26049.39</v>
      </c>
      <c r="HW20" s="2227">
        <v>16906.330000000002</v>
      </c>
      <c r="HX20" s="2227">
        <v>14987.74</v>
      </c>
      <c r="HY20" s="2227">
        <v>15162.53</v>
      </c>
      <c r="HZ20" s="2227">
        <v>16164</v>
      </c>
      <c r="IA20" s="2227">
        <v>13026.54</v>
      </c>
      <c r="IB20" s="2227">
        <v>16512.48</v>
      </c>
      <c r="IC20" s="2227">
        <v>17050.41</v>
      </c>
      <c r="ID20" s="2227">
        <v>18986.47</v>
      </c>
      <c r="IE20" s="2227">
        <v>19521.66</v>
      </c>
      <c r="IF20" s="2227">
        <v>17980.63</v>
      </c>
      <c r="IG20" s="2227">
        <v>21808</v>
      </c>
      <c r="IH20" s="2227">
        <v>18839.93</v>
      </c>
      <c r="II20" s="2227">
        <v>18590.21</v>
      </c>
      <c r="IJ20" s="2227">
        <v>27342.68</v>
      </c>
      <c r="IK20" s="2227">
        <v>18965.79</v>
      </c>
      <c r="IL20" s="2227">
        <v>22407.89</v>
      </c>
      <c r="IM20" s="2227">
        <v>18922.48</v>
      </c>
      <c r="IN20" s="2227">
        <v>28805.29</v>
      </c>
      <c r="IO20" s="2227">
        <v>30515.75</v>
      </c>
      <c r="IP20" s="2227">
        <v>27050</v>
      </c>
      <c r="IQ20" s="2227">
        <v>27291.07</v>
      </c>
      <c r="IR20" s="2227">
        <v>43409.89</v>
      </c>
      <c r="IS20" s="2227">
        <v>27275.33</v>
      </c>
      <c r="IT20" s="2227">
        <v>37382.36</v>
      </c>
      <c r="IU20" s="2227">
        <v>28179.599999999999</v>
      </c>
      <c r="IV20" s="2227">
        <v>18769.650000000001</v>
      </c>
    </row>
    <row r="21" spans="1:256">
      <c r="A21" s="2214">
        <v>12</v>
      </c>
      <c r="B21" s="2925">
        <v>16061.7</v>
      </c>
      <c r="C21" s="2227">
        <v>15229.84</v>
      </c>
      <c r="D21" s="2925">
        <v>15061.7</v>
      </c>
      <c r="E21" s="2227">
        <v>13956.81</v>
      </c>
      <c r="F21" s="2925">
        <v>14074</v>
      </c>
      <c r="G21" s="2227">
        <v>13326.54</v>
      </c>
      <c r="H21" s="2926">
        <v>13274</v>
      </c>
      <c r="I21" s="2925">
        <v>20193.82</v>
      </c>
      <c r="J21" s="2925">
        <v>20193.82</v>
      </c>
      <c r="K21" s="2227">
        <v>16309.63</v>
      </c>
      <c r="L21" s="2925">
        <v>17513</v>
      </c>
      <c r="M21" s="2227">
        <v>16309.63</v>
      </c>
      <c r="N21" s="2925">
        <v>16978.57</v>
      </c>
      <c r="O21" s="2925">
        <v>16978.57</v>
      </c>
      <c r="P21" s="2227">
        <v>15291.1</v>
      </c>
      <c r="Q21" s="2925">
        <v>16513</v>
      </c>
      <c r="R21" s="2227">
        <v>14832.01</v>
      </c>
      <c r="S21" s="2925">
        <v>15513</v>
      </c>
      <c r="T21" s="2925">
        <v>15513</v>
      </c>
      <c r="U21" s="2227">
        <v>14832.01</v>
      </c>
      <c r="V21" s="2925">
        <v>15513</v>
      </c>
      <c r="W21" s="2227">
        <v>14203.84</v>
      </c>
      <c r="X21" s="2925">
        <v>14496.19</v>
      </c>
      <c r="Y21" s="2925">
        <v>14496.19</v>
      </c>
      <c r="Z21" s="2925">
        <v>14413</v>
      </c>
      <c r="AA21" s="2925">
        <v>22071</v>
      </c>
      <c r="AB21" s="2227">
        <v>18844.89</v>
      </c>
      <c r="AC21" s="2925">
        <v>20371</v>
      </c>
      <c r="AD21" s="2227">
        <v>18769.650000000001</v>
      </c>
      <c r="AE21" s="2925">
        <v>18671</v>
      </c>
      <c r="AF21" s="2227">
        <v>17319.84</v>
      </c>
      <c r="AG21" s="2925">
        <v>17035.53</v>
      </c>
      <c r="AH21" s="2925">
        <v>22071</v>
      </c>
      <c r="AI21" s="2925">
        <v>22071</v>
      </c>
      <c r="AJ21" s="2227">
        <v>20930.34</v>
      </c>
      <c r="AK21" s="2925">
        <v>20930.34</v>
      </c>
      <c r="AL21" s="2925">
        <v>20371</v>
      </c>
      <c r="AM21" s="2227">
        <v>18844.89</v>
      </c>
      <c r="AN21" s="2925">
        <v>18844.89</v>
      </c>
      <c r="AO21" s="2925">
        <v>19019.84</v>
      </c>
      <c r="AP21" s="2227">
        <v>18769.650000000001</v>
      </c>
      <c r="AQ21" s="2925">
        <v>18769.650000000001</v>
      </c>
      <c r="AR21" s="2925">
        <v>17319.84</v>
      </c>
      <c r="AS21" s="2923">
        <v>25935</v>
      </c>
      <c r="AT21" s="2227">
        <v>21285.73</v>
      </c>
      <c r="AU21" s="2923">
        <v>24014</v>
      </c>
      <c r="AV21" s="2227">
        <v>20613.43</v>
      </c>
      <c r="AW21" s="2923">
        <v>22093</v>
      </c>
      <c r="AX21" s="2227">
        <v>19887.22</v>
      </c>
      <c r="AY21" s="2923">
        <v>19755</v>
      </c>
      <c r="AZ21" s="2925">
        <v>26805</v>
      </c>
      <c r="BA21" s="2227">
        <v>23946.91</v>
      </c>
      <c r="BB21" s="2923">
        <v>25935</v>
      </c>
      <c r="BC21" s="2227">
        <v>22407.89</v>
      </c>
      <c r="BD21" s="2925">
        <v>28449</v>
      </c>
      <c r="BE21" s="2227">
        <v>25274.31</v>
      </c>
      <c r="BF21" s="2923">
        <v>25935</v>
      </c>
      <c r="BG21" s="2227">
        <v>24301.73</v>
      </c>
      <c r="BH21" s="2925">
        <v>24884</v>
      </c>
      <c r="BI21" s="2227">
        <v>23233.48</v>
      </c>
      <c r="BJ21" s="2923">
        <v>24130.35</v>
      </c>
      <c r="BK21" s="2227">
        <v>21596.13</v>
      </c>
      <c r="BL21" s="2925">
        <v>26933</v>
      </c>
      <c r="BM21" s="2227">
        <v>24689.14</v>
      </c>
      <c r="BN21" s="2923">
        <v>24756.18</v>
      </c>
      <c r="BO21" s="2227">
        <v>23886.18</v>
      </c>
      <c r="BP21" s="2925">
        <v>22963</v>
      </c>
      <c r="BQ21" s="2227">
        <v>20931.09</v>
      </c>
      <c r="BR21" s="2923">
        <v>22093</v>
      </c>
      <c r="BS21" s="2227">
        <v>20511.900000000001</v>
      </c>
      <c r="BT21" s="2925">
        <v>23933</v>
      </c>
      <c r="BU21" s="2227">
        <v>21226.47</v>
      </c>
      <c r="BV21" s="2923">
        <v>23031</v>
      </c>
      <c r="BW21" s="2227">
        <v>20689.189999999999</v>
      </c>
      <c r="BX21" s="2925">
        <v>20463</v>
      </c>
      <c r="BY21" s="2923">
        <v>20031</v>
      </c>
      <c r="BZ21" s="2924">
        <v>20933</v>
      </c>
      <c r="CA21" s="2923">
        <v>20031</v>
      </c>
      <c r="CB21" s="2227">
        <v>60680</v>
      </c>
      <c r="CC21" s="2227">
        <v>57680</v>
      </c>
      <c r="CD21" s="2227">
        <v>54680</v>
      </c>
      <c r="CE21" s="2227">
        <v>52890</v>
      </c>
      <c r="CF21" s="2227">
        <v>49890</v>
      </c>
      <c r="CG21" s="2227">
        <v>46890</v>
      </c>
      <c r="CH21" s="2227">
        <v>45120</v>
      </c>
      <c r="CI21" s="2227">
        <v>42120</v>
      </c>
      <c r="CJ21" s="2227">
        <v>38620</v>
      </c>
      <c r="CK21" s="2227">
        <v>37640</v>
      </c>
      <c r="CL21" s="2227">
        <v>34640</v>
      </c>
      <c r="CM21" s="2227">
        <v>31640</v>
      </c>
      <c r="CN21" s="2227">
        <v>29220</v>
      </c>
      <c r="CO21" s="2227">
        <v>27220</v>
      </c>
      <c r="CP21" s="2227">
        <v>16394.07</v>
      </c>
      <c r="CQ21" s="2227">
        <v>12805.54</v>
      </c>
      <c r="CR21" s="2227">
        <v>13975.47</v>
      </c>
      <c r="CS21" s="2227">
        <v>26412.99</v>
      </c>
      <c r="CT21" s="2227">
        <v>16978.57</v>
      </c>
      <c r="CU21" s="2227">
        <v>19744.740000000002</v>
      </c>
      <c r="CV21" s="2227">
        <v>19744.740000000002</v>
      </c>
      <c r="CW21" s="2227">
        <v>19744.740000000002</v>
      </c>
      <c r="CX21" s="2227">
        <v>19744.740000000002</v>
      </c>
      <c r="CY21" s="2227">
        <v>17800</v>
      </c>
      <c r="CZ21" s="2227">
        <v>20930.34</v>
      </c>
      <c r="DA21" s="2227">
        <v>20193.82</v>
      </c>
      <c r="DB21" s="2227">
        <v>18769.650000000001</v>
      </c>
      <c r="DC21" s="2227">
        <v>18844.89</v>
      </c>
      <c r="DD21" s="2227">
        <v>17327.87</v>
      </c>
      <c r="DE21" s="2227">
        <v>17035.53</v>
      </c>
      <c r="DF21" s="2227">
        <v>17203.55</v>
      </c>
      <c r="DG21" s="2227">
        <v>17100</v>
      </c>
      <c r="DH21" s="2227">
        <v>16500</v>
      </c>
      <c r="DI21" s="2227">
        <v>13842.52</v>
      </c>
      <c r="DJ21" s="2227">
        <v>13842.52</v>
      </c>
      <c r="DK21" s="2227">
        <v>17700</v>
      </c>
      <c r="DL21" s="2227">
        <v>19240.63</v>
      </c>
      <c r="DM21" s="2227">
        <v>19650</v>
      </c>
      <c r="DN21" s="2227">
        <v>13138.38</v>
      </c>
      <c r="DO21" s="2227">
        <v>20511.900000000001</v>
      </c>
      <c r="DP21" s="2227">
        <v>15171.14</v>
      </c>
      <c r="DQ21" s="2227">
        <v>28205.51</v>
      </c>
      <c r="DR21" s="2227">
        <v>17319.84</v>
      </c>
      <c r="DS21" s="2227">
        <v>14450</v>
      </c>
      <c r="DT21" s="2227">
        <v>14675.94</v>
      </c>
      <c r="DU21" s="2227">
        <v>14675.32</v>
      </c>
      <c r="DV21" s="2227">
        <v>18769.650000000001</v>
      </c>
      <c r="DW21" s="2227">
        <v>14203.84</v>
      </c>
      <c r="DX21" s="2227">
        <v>22550</v>
      </c>
      <c r="DY21" s="2227">
        <v>15853.06</v>
      </c>
      <c r="DZ21" s="2227">
        <v>20689.189999999999</v>
      </c>
      <c r="EA21" s="2227">
        <v>18260.349999999999</v>
      </c>
      <c r="EB21" s="2227">
        <v>31214.799999999999</v>
      </c>
      <c r="EC21" s="2227">
        <v>21591.63</v>
      </c>
      <c r="ED21" s="2227">
        <v>16484.939999999999</v>
      </c>
      <c r="EE21" s="2227">
        <v>15100</v>
      </c>
      <c r="EF21" s="2227">
        <v>15291.1</v>
      </c>
      <c r="EG21" s="2227">
        <v>16309.63</v>
      </c>
      <c r="EH21" s="2227">
        <v>15914.82</v>
      </c>
      <c r="EI21" s="2227">
        <v>21219.75</v>
      </c>
      <c r="EJ21" s="2227">
        <v>24689.14</v>
      </c>
      <c r="EK21" s="2227">
        <v>17180.82</v>
      </c>
      <c r="EL21" s="2227">
        <v>15914.83</v>
      </c>
      <c r="EM21" s="2227">
        <v>31749.68</v>
      </c>
      <c r="EN21" s="2227">
        <v>21226.47</v>
      </c>
      <c r="EO21" s="2227">
        <v>14098.21</v>
      </c>
      <c r="EP21" s="2227">
        <v>15350</v>
      </c>
      <c r="EQ21" s="2227">
        <v>16981.490000000002</v>
      </c>
      <c r="ER21" s="2227">
        <v>20277.73</v>
      </c>
      <c r="ES21" s="2227">
        <v>17478.97</v>
      </c>
      <c r="ET21" s="2227">
        <v>13956.81</v>
      </c>
      <c r="EU21" s="2227">
        <v>18765.57</v>
      </c>
      <c r="EV21" s="2227">
        <v>20931.09</v>
      </c>
      <c r="EW21" s="2227">
        <v>17330.88</v>
      </c>
      <c r="EX21" s="2227">
        <v>18257.919999999998</v>
      </c>
      <c r="EY21" s="2227">
        <v>20300</v>
      </c>
      <c r="EZ21" s="2227">
        <v>27962.44</v>
      </c>
      <c r="FA21" s="2227">
        <v>15533.43</v>
      </c>
      <c r="FB21" s="2227">
        <v>15270.32</v>
      </c>
      <c r="FC21" s="2227">
        <v>30750</v>
      </c>
      <c r="FD21" s="2227">
        <v>28550</v>
      </c>
      <c r="FE21" s="2227">
        <v>35950.18</v>
      </c>
      <c r="FF21" s="2227">
        <v>13800</v>
      </c>
      <c r="FG21" s="2227">
        <v>23886.18</v>
      </c>
      <c r="FH21" s="2227">
        <v>17402.150000000001</v>
      </c>
      <c r="FI21" s="2227">
        <v>14832.01</v>
      </c>
      <c r="FJ21" s="2227">
        <v>14407.17</v>
      </c>
      <c r="FK21" s="2227">
        <v>21596.13</v>
      </c>
      <c r="FL21" s="2227">
        <v>16906.400000000001</v>
      </c>
      <c r="FM21" s="2227">
        <v>18985.62</v>
      </c>
      <c r="FN21" s="2227">
        <v>17800</v>
      </c>
      <c r="FO21" s="2227">
        <v>25855.39</v>
      </c>
      <c r="FP21" s="2227">
        <v>18492.88</v>
      </c>
      <c r="FQ21" s="2227">
        <v>15191.87</v>
      </c>
      <c r="FR21" s="2227">
        <v>24100</v>
      </c>
      <c r="FS21" s="2227">
        <v>30750</v>
      </c>
      <c r="FT21" s="2227">
        <v>25681.77</v>
      </c>
      <c r="FU21" s="2227">
        <v>20426.46</v>
      </c>
      <c r="FV21" s="2227">
        <v>29750</v>
      </c>
      <c r="FW21" s="2227">
        <v>16408.14</v>
      </c>
      <c r="FX21" s="2227">
        <v>18331.810000000001</v>
      </c>
      <c r="FY21" s="2227">
        <v>14022.78</v>
      </c>
      <c r="FZ21" s="2227">
        <v>18592.75</v>
      </c>
      <c r="GA21" s="2227">
        <v>22299.09</v>
      </c>
      <c r="GB21" s="2227">
        <v>25274.31</v>
      </c>
      <c r="GC21" s="2227">
        <v>15171.14</v>
      </c>
      <c r="GD21" s="2227">
        <v>13290.71</v>
      </c>
      <c r="GE21" s="2227">
        <v>25235.58</v>
      </c>
      <c r="GF21" s="2227">
        <v>24300</v>
      </c>
      <c r="GG21" s="2227">
        <v>38606.519999999997</v>
      </c>
      <c r="GH21" s="2227">
        <v>16906.34</v>
      </c>
      <c r="GI21" s="2227">
        <v>16219.13</v>
      </c>
      <c r="GJ21" s="2227">
        <v>13906.85</v>
      </c>
      <c r="GK21" s="2227">
        <v>16440.82</v>
      </c>
      <c r="GL21" s="2227">
        <v>20613.43</v>
      </c>
      <c r="GM21" s="2227">
        <v>15920.36</v>
      </c>
      <c r="GN21" s="2227">
        <v>18988.61</v>
      </c>
      <c r="GO21" s="2227">
        <v>17760.75</v>
      </c>
      <c r="GP21" s="2227">
        <v>20780.97</v>
      </c>
      <c r="GQ21" s="2227">
        <v>13979.61</v>
      </c>
      <c r="GR21" s="2227">
        <v>14116.41</v>
      </c>
      <c r="GS21" s="2227">
        <v>14836.23</v>
      </c>
      <c r="GT21" s="2227">
        <v>15853.06</v>
      </c>
      <c r="GU21" s="2227">
        <v>18447.11</v>
      </c>
      <c r="GV21" s="2227">
        <v>16231.72</v>
      </c>
      <c r="GW21" s="2227">
        <v>31903.91</v>
      </c>
      <c r="GX21" s="2227">
        <v>34870.9</v>
      </c>
      <c r="GY21" s="2227">
        <v>38741.449999999997</v>
      </c>
      <c r="GZ21" s="2227">
        <v>13369.25</v>
      </c>
      <c r="HA21" s="2227">
        <v>13026.54</v>
      </c>
      <c r="HB21" s="2227">
        <v>16906.400000000001</v>
      </c>
      <c r="HC21" s="2227">
        <v>15200.65</v>
      </c>
      <c r="HD21" s="2227">
        <v>15843.96</v>
      </c>
      <c r="HE21" s="2227">
        <v>22013.03</v>
      </c>
      <c r="HF21" s="2227">
        <v>21950</v>
      </c>
      <c r="HG21" s="2227">
        <v>20699.22</v>
      </c>
      <c r="HH21" s="2227">
        <v>19650</v>
      </c>
      <c r="HI21" s="2227">
        <v>18204.57</v>
      </c>
      <c r="HJ21" s="2227">
        <v>18985.62</v>
      </c>
      <c r="HK21" s="2227">
        <v>23946.91</v>
      </c>
      <c r="HL21" s="2227">
        <v>34650</v>
      </c>
      <c r="HM21" s="2227">
        <v>16906.39</v>
      </c>
      <c r="HN21" s="2227">
        <v>15964.41</v>
      </c>
      <c r="HO21" s="2227">
        <v>14675.32</v>
      </c>
      <c r="HP21" s="2227">
        <v>18427.87</v>
      </c>
      <c r="HQ21" s="2227">
        <v>22299.09</v>
      </c>
      <c r="HR21" s="2227">
        <v>26900</v>
      </c>
      <c r="HS21" s="2227">
        <v>18839.919999999998</v>
      </c>
      <c r="HT21" s="2227">
        <v>20500.82</v>
      </c>
      <c r="HU21" s="2227">
        <v>27654.880000000001</v>
      </c>
      <c r="HV21" s="2227">
        <v>26049.39</v>
      </c>
      <c r="HW21" s="2227">
        <v>16906.330000000002</v>
      </c>
      <c r="HX21" s="2227">
        <v>15533.43</v>
      </c>
      <c r="HY21" s="2227">
        <v>15708.22</v>
      </c>
      <c r="HZ21" s="2227">
        <v>16808.060000000001</v>
      </c>
      <c r="IA21" s="2227">
        <v>13026.54</v>
      </c>
      <c r="IB21" s="2227">
        <v>17073.830000000002</v>
      </c>
      <c r="IC21" s="2227">
        <v>17050.41</v>
      </c>
      <c r="ID21" s="2227">
        <v>19342.95</v>
      </c>
      <c r="IE21" s="2227">
        <v>19992.66</v>
      </c>
      <c r="IF21" s="2227">
        <v>18703.54</v>
      </c>
      <c r="IG21" s="2227">
        <v>21808</v>
      </c>
      <c r="IH21" s="2227">
        <v>18839.93</v>
      </c>
      <c r="II21" s="2227">
        <v>18590.21</v>
      </c>
      <c r="IJ21" s="2227">
        <v>28334.26</v>
      </c>
      <c r="IK21" s="2227">
        <v>18965.79</v>
      </c>
      <c r="IL21" s="2227">
        <v>22407.89</v>
      </c>
      <c r="IM21" s="2227">
        <v>19286.29</v>
      </c>
      <c r="IN21" s="2227">
        <v>29350.66</v>
      </c>
      <c r="IO21" s="2227">
        <v>30515.75</v>
      </c>
      <c r="IP21" s="2227">
        <v>28550</v>
      </c>
      <c r="IQ21" s="2227">
        <v>27654.880000000001</v>
      </c>
      <c r="IR21" s="2227">
        <v>44747.62</v>
      </c>
      <c r="IS21" s="2227">
        <v>27638.95</v>
      </c>
      <c r="IT21" s="2227">
        <v>37382.36</v>
      </c>
      <c r="IU21" s="2227">
        <v>28825.39</v>
      </c>
      <c r="IV21" s="2227">
        <v>18769.650000000001</v>
      </c>
    </row>
    <row r="22" spans="1:256">
      <c r="A22" s="2214">
        <v>13</v>
      </c>
      <c r="B22" s="2925">
        <v>16121.04</v>
      </c>
      <c r="C22" s="2227">
        <v>15391.44</v>
      </c>
      <c r="D22" s="2925">
        <v>15121.04</v>
      </c>
      <c r="E22" s="2227">
        <v>14118.41</v>
      </c>
      <c r="F22" s="2925">
        <v>14121.04</v>
      </c>
      <c r="G22" s="2227">
        <v>13451.43</v>
      </c>
      <c r="H22" s="2926">
        <v>13301</v>
      </c>
      <c r="I22" s="2925">
        <v>20546.849999999999</v>
      </c>
      <c r="J22" s="2925">
        <v>20546.849999999999</v>
      </c>
      <c r="K22" s="2227">
        <v>16658.68</v>
      </c>
      <c r="L22" s="2925">
        <v>17634</v>
      </c>
      <c r="M22" s="2227">
        <v>16658.68</v>
      </c>
      <c r="N22" s="2925">
        <v>17327.62</v>
      </c>
      <c r="O22" s="2925">
        <v>17327.62</v>
      </c>
      <c r="P22" s="2227">
        <v>15570.05</v>
      </c>
      <c r="Q22" s="2925">
        <v>16634</v>
      </c>
      <c r="R22" s="2227">
        <v>15110.96</v>
      </c>
      <c r="S22" s="2925">
        <v>15634</v>
      </c>
      <c r="T22" s="2925">
        <v>15722.8</v>
      </c>
      <c r="U22" s="2227">
        <v>15110.96</v>
      </c>
      <c r="V22" s="2925">
        <v>15634</v>
      </c>
      <c r="W22" s="2227">
        <v>14398.51</v>
      </c>
      <c r="X22" s="2925">
        <v>14717.46</v>
      </c>
      <c r="Y22" s="2925">
        <v>14717.46</v>
      </c>
      <c r="Z22" s="2925">
        <v>14534</v>
      </c>
      <c r="AA22" s="2925">
        <v>22271</v>
      </c>
      <c r="AB22" s="2227">
        <v>19468.5</v>
      </c>
      <c r="AC22" s="2925">
        <v>20659.14</v>
      </c>
      <c r="AD22" s="2227">
        <v>19304.78</v>
      </c>
      <c r="AE22" s="2925">
        <v>19159.14</v>
      </c>
      <c r="AF22" s="2227">
        <v>17943.45</v>
      </c>
      <c r="AG22" s="2925">
        <v>17659.14</v>
      </c>
      <c r="AH22" s="2925">
        <v>22431.61</v>
      </c>
      <c r="AI22" s="2925">
        <v>22443.45</v>
      </c>
      <c r="AJ22" s="2227">
        <v>21553.95</v>
      </c>
      <c r="AK22" s="2925">
        <v>21553.95</v>
      </c>
      <c r="AL22" s="2925">
        <v>20943.45</v>
      </c>
      <c r="AM22" s="2227">
        <v>19468.5</v>
      </c>
      <c r="AN22" s="2925">
        <v>19468.5</v>
      </c>
      <c r="AO22" s="2925">
        <v>19643.45</v>
      </c>
      <c r="AP22" s="2227">
        <v>19304.78</v>
      </c>
      <c r="AQ22" s="2925">
        <v>19304.78</v>
      </c>
      <c r="AR22" s="2925">
        <v>17943.45</v>
      </c>
      <c r="AS22" s="2923">
        <v>26728</v>
      </c>
      <c r="AT22" s="2227">
        <v>21958.04</v>
      </c>
      <c r="AU22" s="2923">
        <v>24723</v>
      </c>
      <c r="AV22" s="2227">
        <v>21285.74</v>
      </c>
      <c r="AW22" s="2923">
        <v>22718</v>
      </c>
      <c r="AX22" s="2227">
        <v>20409.37</v>
      </c>
      <c r="AY22" s="2923">
        <v>20218</v>
      </c>
      <c r="AZ22" s="2925">
        <v>27598</v>
      </c>
      <c r="BA22" s="2227">
        <v>24482.04</v>
      </c>
      <c r="BB22" s="2923">
        <v>26728</v>
      </c>
      <c r="BC22" s="2227">
        <v>23080.2</v>
      </c>
      <c r="BD22" s="2925">
        <v>29122</v>
      </c>
      <c r="BE22" s="2227">
        <v>25953.65</v>
      </c>
      <c r="BF22" s="2923">
        <v>26728</v>
      </c>
      <c r="BG22" s="2227">
        <v>24974.04</v>
      </c>
      <c r="BH22" s="2925">
        <v>25593</v>
      </c>
      <c r="BI22" s="2227">
        <v>23768.61</v>
      </c>
      <c r="BJ22" s="2923">
        <v>24754.62</v>
      </c>
      <c r="BK22" s="2227">
        <v>22268.44</v>
      </c>
      <c r="BL22" s="2925">
        <v>27558</v>
      </c>
      <c r="BM22" s="2227">
        <v>25368.48</v>
      </c>
      <c r="BN22" s="2923">
        <v>25428.49</v>
      </c>
      <c r="BO22" s="2227">
        <v>24558.49</v>
      </c>
      <c r="BP22" s="2925">
        <v>23588</v>
      </c>
      <c r="BQ22" s="2227">
        <v>21466.22</v>
      </c>
      <c r="BR22" s="2923">
        <v>22718</v>
      </c>
      <c r="BS22" s="2227">
        <v>21184.21</v>
      </c>
      <c r="BT22" s="2925">
        <v>24558</v>
      </c>
      <c r="BU22" s="2227">
        <v>21898.78</v>
      </c>
      <c r="BV22" s="2923">
        <v>23403</v>
      </c>
      <c r="BW22" s="2227">
        <v>21361.5</v>
      </c>
      <c r="BX22" s="2925">
        <v>21088</v>
      </c>
      <c r="BY22" s="2923">
        <v>20403</v>
      </c>
      <c r="BZ22" s="2924">
        <v>21558</v>
      </c>
      <c r="CA22" s="2923">
        <v>20403</v>
      </c>
      <c r="CB22" s="2227">
        <v>61290</v>
      </c>
      <c r="CC22" s="2227">
        <v>58290</v>
      </c>
      <c r="CD22" s="2227">
        <v>55290</v>
      </c>
      <c r="CE22" s="2227">
        <v>53500</v>
      </c>
      <c r="CF22" s="2227">
        <v>50500</v>
      </c>
      <c r="CG22" s="2227">
        <v>47500</v>
      </c>
      <c r="CH22" s="2227">
        <v>45640</v>
      </c>
      <c r="CI22" s="2227">
        <v>42640</v>
      </c>
      <c r="CJ22" s="2227">
        <v>39140</v>
      </c>
      <c r="CK22" s="2227">
        <v>38120</v>
      </c>
      <c r="CL22" s="2227">
        <v>35120</v>
      </c>
      <c r="CM22" s="2227">
        <v>32120</v>
      </c>
      <c r="CN22" s="2227">
        <v>29665</v>
      </c>
      <c r="CO22" s="2227">
        <v>27665</v>
      </c>
      <c r="CP22" s="2227">
        <v>17017.68</v>
      </c>
      <c r="CQ22" s="2227">
        <v>12863.71</v>
      </c>
      <c r="CR22" s="2227">
        <v>14170.14</v>
      </c>
      <c r="CS22" s="2227">
        <v>27371.7</v>
      </c>
      <c r="CT22" s="2227">
        <v>17327.62</v>
      </c>
      <c r="CU22" s="2227">
        <v>19987.68</v>
      </c>
      <c r="CV22" s="2227">
        <v>19987.68</v>
      </c>
      <c r="CW22" s="2227">
        <v>19987.68</v>
      </c>
      <c r="CX22" s="2227">
        <v>19987.68</v>
      </c>
      <c r="CY22" s="2227">
        <v>18400</v>
      </c>
      <c r="CZ22" s="2227">
        <v>21553.95</v>
      </c>
      <c r="DA22" s="2227">
        <v>20546.849999999999</v>
      </c>
      <c r="DB22" s="2227">
        <v>19304.78</v>
      </c>
      <c r="DC22" s="2227">
        <v>19468.5</v>
      </c>
      <c r="DD22" s="2227">
        <v>17457.28</v>
      </c>
      <c r="DE22" s="2227">
        <v>17659.14</v>
      </c>
      <c r="DF22" s="2227">
        <v>17791.86</v>
      </c>
      <c r="DG22" s="2227">
        <v>17700</v>
      </c>
      <c r="DH22" s="2227">
        <v>16900</v>
      </c>
      <c r="DI22" s="2227">
        <v>14037.19</v>
      </c>
      <c r="DJ22" s="2227">
        <v>14037.19</v>
      </c>
      <c r="DK22" s="2227">
        <v>18100</v>
      </c>
      <c r="DL22" s="2227">
        <v>19864.900000000001</v>
      </c>
      <c r="DM22" s="2227">
        <v>20250</v>
      </c>
      <c r="DN22" s="2227">
        <v>13262.33</v>
      </c>
      <c r="DO22" s="2227">
        <v>21184.21</v>
      </c>
      <c r="DP22" s="2227">
        <v>15518.2</v>
      </c>
      <c r="DQ22" s="2227">
        <v>29164.22</v>
      </c>
      <c r="DR22" s="2227">
        <v>17943.45</v>
      </c>
      <c r="DS22" s="2227">
        <v>14600</v>
      </c>
      <c r="DT22" s="2227">
        <v>14768.16</v>
      </c>
      <c r="DU22" s="2227">
        <v>14799.27</v>
      </c>
      <c r="DV22" s="2227">
        <v>19304.78</v>
      </c>
      <c r="DW22" s="2227">
        <v>14398.51</v>
      </c>
      <c r="DX22" s="2227">
        <v>23200</v>
      </c>
      <c r="DY22" s="2227">
        <v>16017.57</v>
      </c>
      <c r="DZ22" s="2227">
        <v>21361.5</v>
      </c>
      <c r="EA22" s="2227">
        <v>18884.62</v>
      </c>
      <c r="EB22" s="2227">
        <v>32173.51</v>
      </c>
      <c r="EC22" s="2227">
        <v>21832.09</v>
      </c>
      <c r="ED22" s="2227">
        <v>16980.73</v>
      </c>
      <c r="EE22" s="2227">
        <v>15250</v>
      </c>
      <c r="EF22" s="2227">
        <v>15570.05</v>
      </c>
      <c r="EG22" s="2227">
        <v>16658.68</v>
      </c>
      <c r="EH22" s="2227">
        <v>16261.88</v>
      </c>
      <c r="EI22" s="2227">
        <v>21492.44</v>
      </c>
      <c r="EJ22" s="2227">
        <v>25368.48</v>
      </c>
      <c r="EK22" s="2227">
        <v>17769.13</v>
      </c>
      <c r="EL22" s="2227">
        <v>16261.89</v>
      </c>
      <c r="EM22" s="2227">
        <v>32842.11</v>
      </c>
      <c r="EN22" s="2227">
        <v>21898.78</v>
      </c>
      <c r="EO22" s="2227">
        <v>14159</v>
      </c>
      <c r="EP22" s="2227">
        <v>15700</v>
      </c>
      <c r="EQ22" s="2227">
        <v>17293.39</v>
      </c>
      <c r="ER22" s="2227">
        <v>20515.71</v>
      </c>
      <c r="ES22" s="2227">
        <v>17708.82</v>
      </c>
      <c r="ET22" s="2227">
        <v>14118.41</v>
      </c>
      <c r="EU22" s="2227">
        <v>19310.939999999999</v>
      </c>
      <c r="EV22" s="2227">
        <v>21466.22</v>
      </c>
      <c r="EW22" s="2227">
        <v>17649.18</v>
      </c>
      <c r="EX22" s="2227">
        <v>18623.84</v>
      </c>
      <c r="EY22" s="2227">
        <v>20750</v>
      </c>
      <c r="EZ22" s="2227">
        <v>28458.23</v>
      </c>
      <c r="FA22" s="2227">
        <v>15694.62</v>
      </c>
      <c r="FB22" s="2227">
        <v>15332.3</v>
      </c>
      <c r="FC22" s="2227">
        <v>30750</v>
      </c>
      <c r="FD22" s="2227">
        <v>28550</v>
      </c>
      <c r="FE22" s="2227">
        <v>35950.18</v>
      </c>
      <c r="FF22" s="2227">
        <v>13950</v>
      </c>
      <c r="FG22" s="2227">
        <v>24558.49</v>
      </c>
      <c r="FH22" s="2227">
        <v>17897.939999999999</v>
      </c>
      <c r="FI22" s="2227">
        <v>15110.96</v>
      </c>
      <c r="FJ22" s="2227">
        <v>14478.72</v>
      </c>
      <c r="FK22" s="2227">
        <v>22268.44</v>
      </c>
      <c r="FL22" s="2227">
        <v>17253.46</v>
      </c>
      <c r="FM22" s="2227">
        <v>19403.95</v>
      </c>
      <c r="FN22" s="2227">
        <v>18400</v>
      </c>
      <c r="FO22" s="2227">
        <v>26177.66</v>
      </c>
      <c r="FP22" s="2227">
        <v>18988.669999999998</v>
      </c>
      <c r="FQ22" s="2227">
        <v>15352.66</v>
      </c>
      <c r="FR22" s="2227">
        <v>24700</v>
      </c>
      <c r="FS22" s="2227">
        <v>30750</v>
      </c>
      <c r="FT22" s="2227">
        <v>26450.240000000002</v>
      </c>
      <c r="FU22" s="2227">
        <v>20971.83</v>
      </c>
      <c r="FV22" s="2227">
        <v>29750</v>
      </c>
      <c r="FW22" s="2227">
        <v>16656.04</v>
      </c>
      <c r="FX22" s="2227">
        <v>18740.84</v>
      </c>
      <c r="FY22" s="2227">
        <v>14217.45</v>
      </c>
      <c r="FZ22" s="2227">
        <v>18978.5</v>
      </c>
      <c r="GA22" s="2227">
        <v>22811.57</v>
      </c>
      <c r="GB22" s="2227">
        <v>25953.65</v>
      </c>
      <c r="GC22" s="2227">
        <v>15518.2</v>
      </c>
      <c r="GD22" s="2227">
        <v>13404.17</v>
      </c>
      <c r="GE22" s="2227">
        <v>25508.27</v>
      </c>
      <c r="GF22" s="2227">
        <v>25100</v>
      </c>
      <c r="GG22" s="2227">
        <v>38606.519999999997</v>
      </c>
      <c r="GH22" s="2227">
        <v>17253.39</v>
      </c>
      <c r="GI22" s="2227">
        <v>16837.2</v>
      </c>
      <c r="GJ22" s="2227">
        <v>14030.8</v>
      </c>
      <c r="GK22" s="2227">
        <v>16644.32</v>
      </c>
      <c r="GL22" s="2227">
        <v>21285.74</v>
      </c>
      <c r="GM22" s="2227">
        <v>16081.66</v>
      </c>
      <c r="GN22" s="2227">
        <v>19124.95</v>
      </c>
      <c r="GO22" s="2227">
        <v>18055.669999999998</v>
      </c>
      <c r="GP22" s="2227">
        <v>21219.13</v>
      </c>
      <c r="GQ22" s="2227">
        <v>14176.22</v>
      </c>
      <c r="GR22" s="2227">
        <v>14186.49</v>
      </c>
      <c r="GS22" s="2227">
        <v>14907.78</v>
      </c>
      <c r="GT22" s="2227">
        <v>16017.57</v>
      </c>
      <c r="GU22" s="2227">
        <v>18970.88</v>
      </c>
      <c r="GV22" s="2227">
        <v>16849.150000000001</v>
      </c>
      <c r="GW22" s="2227">
        <v>32399.7</v>
      </c>
      <c r="GX22" s="2227">
        <v>35963.33</v>
      </c>
      <c r="GY22" s="2227">
        <v>38741.449999999997</v>
      </c>
      <c r="GZ22" s="2227">
        <v>13521.98</v>
      </c>
      <c r="HA22" s="2227">
        <v>13151.43</v>
      </c>
      <c r="HB22" s="2227">
        <v>17253.46</v>
      </c>
      <c r="HC22" s="2227">
        <v>15361.54</v>
      </c>
      <c r="HD22" s="2227">
        <v>16008.39</v>
      </c>
      <c r="HE22" s="2227">
        <v>22280.76</v>
      </c>
      <c r="HF22" s="2227">
        <v>22550</v>
      </c>
      <c r="HG22" s="2227">
        <v>20986.18</v>
      </c>
      <c r="HH22" s="2227">
        <v>20250</v>
      </c>
      <c r="HI22" s="2227">
        <v>18828.84</v>
      </c>
      <c r="HJ22" s="2227">
        <v>19403.95</v>
      </c>
      <c r="HK22" s="2227">
        <v>24482.04</v>
      </c>
      <c r="HL22" s="2227">
        <v>34650</v>
      </c>
      <c r="HM22" s="2227">
        <v>17253.45</v>
      </c>
      <c r="HN22" s="2227">
        <v>16311.47</v>
      </c>
      <c r="HO22" s="2227">
        <v>14799.27</v>
      </c>
      <c r="HP22" s="2227">
        <v>18739.97</v>
      </c>
      <c r="HQ22" s="2227">
        <v>22811.57</v>
      </c>
      <c r="HR22" s="2227">
        <v>27800</v>
      </c>
      <c r="HS22" s="2227">
        <v>19335.71</v>
      </c>
      <c r="HT22" s="2227">
        <v>21046.19</v>
      </c>
      <c r="HU22" s="2227">
        <v>28632.75</v>
      </c>
      <c r="HV22" s="2227">
        <v>26998.6</v>
      </c>
      <c r="HW22" s="2227">
        <v>17253.38</v>
      </c>
      <c r="HX22" s="2227">
        <v>15694.62</v>
      </c>
      <c r="HY22" s="2227">
        <v>15869.41</v>
      </c>
      <c r="HZ22" s="2227">
        <v>17093.07</v>
      </c>
      <c r="IA22" s="2227">
        <v>13151.43</v>
      </c>
      <c r="IB22" s="2227">
        <v>17245.45</v>
      </c>
      <c r="IC22" s="2227">
        <v>17175.599999999999</v>
      </c>
      <c r="ID22" s="2227">
        <v>19966.849999999999</v>
      </c>
      <c r="IE22" s="2227">
        <v>20235.599999999999</v>
      </c>
      <c r="IF22" s="2227">
        <v>19069.46</v>
      </c>
      <c r="IG22" s="2227">
        <v>22431.61</v>
      </c>
      <c r="IH22" s="2227">
        <v>19335.72</v>
      </c>
      <c r="II22" s="2227">
        <v>19090.96</v>
      </c>
      <c r="IJ22" s="2227">
        <v>28606.95</v>
      </c>
      <c r="IK22" s="2227">
        <v>19403.95</v>
      </c>
      <c r="IL22" s="2227">
        <v>23080.2</v>
      </c>
      <c r="IM22" s="2227">
        <v>19923.03</v>
      </c>
      <c r="IN22" s="2227">
        <v>29896.03</v>
      </c>
      <c r="IO22" s="2227">
        <v>31606.49</v>
      </c>
      <c r="IP22" s="2227">
        <v>28550</v>
      </c>
      <c r="IQ22" s="2227">
        <v>28632.75</v>
      </c>
      <c r="IR22" s="2227">
        <v>44747.62</v>
      </c>
      <c r="IS22" s="2227">
        <v>28616.23</v>
      </c>
      <c r="IT22" s="2227">
        <v>38671.410000000003</v>
      </c>
      <c r="IU22" s="2227">
        <v>29471.18</v>
      </c>
      <c r="IV22" s="2227">
        <v>19304.78</v>
      </c>
    </row>
    <row r="23" spans="1:256">
      <c r="A23" s="2214">
        <v>14</v>
      </c>
      <c r="B23" s="2925">
        <v>16121.04</v>
      </c>
      <c r="C23" s="2227">
        <v>15391.44</v>
      </c>
      <c r="D23" s="2925">
        <v>15121.04</v>
      </c>
      <c r="E23" s="2227">
        <v>14118.41</v>
      </c>
      <c r="F23" s="2925">
        <v>14128</v>
      </c>
      <c r="G23" s="2227">
        <v>13451.43</v>
      </c>
      <c r="H23" s="2926">
        <v>13328</v>
      </c>
      <c r="I23" s="2925">
        <v>20546.849999999999</v>
      </c>
      <c r="J23" s="2925">
        <v>20546.849999999999</v>
      </c>
      <c r="K23" s="2227">
        <v>16658.68</v>
      </c>
      <c r="L23" s="2925">
        <v>17756</v>
      </c>
      <c r="M23" s="2227">
        <v>16658.68</v>
      </c>
      <c r="N23" s="2925">
        <v>17327.62</v>
      </c>
      <c r="O23" s="2925">
        <v>17327.62</v>
      </c>
      <c r="P23" s="2227">
        <v>15570.05</v>
      </c>
      <c r="Q23" s="2925">
        <v>16756</v>
      </c>
      <c r="R23" s="2227">
        <v>15110.96</v>
      </c>
      <c r="S23" s="2925">
        <v>15756</v>
      </c>
      <c r="T23" s="2925">
        <v>15756</v>
      </c>
      <c r="U23" s="2227">
        <v>15110.96</v>
      </c>
      <c r="V23" s="2925">
        <v>15756</v>
      </c>
      <c r="W23" s="2227">
        <v>14398.51</v>
      </c>
      <c r="X23" s="2925">
        <v>14717.46</v>
      </c>
      <c r="Y23" s="2925">
        <v>14717.46</v>
      </c>
      <c r="Z23" s="2925">
        <v>14656</v>
      </c>
      <c r="AA23" s="2925">
        <v>22471</v>
      </c>
      <c r="AB23" s="2227">
        <v>19468.5</v>
      </c>
      <c r="AC23" s="2925">
        <v>20771</v>
      </c>
      <c r="AD23" s="2227">
        <v>19304.78</v>
      </c>
      <c r="AE23" s="2925">
        <v>19159.14</v>
      </c>
      <c r="AF23" s="2227">
        <v>17943.45</v>
      </c>
      <c r="AG23" s="2925">
        <v>17659.14</v>
      </c>
      <c r="AH23" s="2925">
        <v>22471</v>
      </c>
      <c r="AI23" s="2925">
        <v>22471</v>
      </c>
      <c r="AJ23" s="2227">
        <v>21553.95</v>
      </c>
      <c r="AK23" s="2925">
        <v>21553.95</v>
      </c>
      <c r="AL23" s="2925">
        <v>20943.45</v>
      </c>
      <c r="AM23" s="2227">
        <v>19468.5</v>
      </c>
      <c r="AN23" s="2925">
        <v>19468.5</v>
      </c>
      <c r="AO23" s="2925">
        <v>19643.45</v>
      </c>
      <c r="AP23" s="2227">
        <v>19304.78</v>
      </c>
      <c r="AQ23" s="2925">
        <v>19304.78</v>
      </c>
      <c r="AR23" s="2925">
        <v>17943.45</v>
      </c>
      <c r="AS23" s="2923">
        <v>26728</v>
      </c>
      <c r="AT23" s="2227">
        <v>21958.04</v>
      </c>
      <c r="AU23" s="2923">
        <v>24723</v>
      </c>
      <c r="AV23" s="2227">
        <v>21285.74</v>
      </c>
      <c r="AW23" s="2923">
        <v>22718</v>
      </c>
      <c r="AX23" s="2227">
        <v>20409.37</v>
      </c>
      <c r="AY23" s="2923">
        <v>20218</v>
      </c>
      <c r="AZ23" s="2925">
        <v>27598</v>
      </c>
      <c r="BA23" s="2227">
        <v>24482.04</v>
      </c>
      <c r="BB23" s="2923">
        <v>26728</v>
      </c>
      <c r="BC23" s="2227">
        <v>23080.2</v>
      </c>
      <c r="BD23" s="2925">
        <v>29122</v>
      </c>
      <c r="BE23" s="2227">
        <v>25953.65</v>
      </c>
      <c r="BF23" s="2923">
        <v>26728</v>
      </c>
      <c r="BG23" s="2227">
        <v>24974.04</v>
      </c>
      <c r="BH23" s="2925">
        <v>25593</v>
      </c>
      <c r="BI23" s="2227">
        <v>23768.61</v>
      </c>
      <c r="BJ23" s="2923">
        <v>24754.62</v>
      </c>
      <c r="BK23" s="2227">
        <v>22268.44</v>
      </c>
      <c r="BL23" s="2925">
        <v>27558</v>
      </c>
      <c r="BM23" s="2227">
        <v>25368.48</v>
      </c>
      <c r="BN23" s="2923">
        <v>25428.49</v>
      </c>
      <c r="BO23" s="2227">
        <v>24558.49</v>
      </c>
      <c r="BP23" s="2925">
        <v>23588</v>
      </c>
      <c r="BQ23" s="2227">
        <v>21466.22</v>
      </c>
      <c r="BR23" s="2923">
        <v>22718</v>
      </c>
      <c r="BS23" s="2227">
        <v>21184.21</v>
      </c>
      <c r="BT23" s="2925">
        <v>24558</v>
      </c>
      <c r="BU23" s="2227">
        <v>21898.78</v>
      </c>
      <c r="BV23" s="2923">
        <v>23403</v>
      </c>
      <c r="BW23" s="2227">
        <v>21361.5</v>
      </c>
      <c r="BX23" s="2925">
        <v>21088</v>
      </c>
      <c r="BY23" s="2923">
        <v>20403</v>
      </c>
      <c r="BZ23" s="2924">
        <v>21558</v>
      </c>
      <c r="CA23" s="2923">
        <v>20403</v>
      </c>
      <c r="CB23" s="2227">
        <v>61900</v>
      </c>
      <c r="CC23" s="2227">
        <v>58900</v>
      </c>
      <c r="CD23" s="2227">
        <v>55900</v>
      </c>
      <c r="CE23" s="2227">
        <v>54110</v>
      </c>
      <c r="CF23" s="2227">
        <v>51110</v>
      </c>
      <c r="CG23" s="2227">
        <v>48110</v>
      </c>
      <c r="CH23" s="2227">
        <v>46160</v>
      </c>
      <c r="CI23" s="2227">
        <v>43160</v>
      </c>
      <c r="CJ23" s="2227">
        <v>39660</v>
      </c>
      <c r="CK23" s="2227">
        <v>38600</v>
      </c>
      <c r="CL23" s="2227">
        <v>35600</v>
      </c>
      <c r="CM23" s="2227">
        <v>32600</v>
      </c>
      <c r="CN23" s="2227">
        <v>30110</v>
      </c>
      <c r="CO23" s="2227">
        <v>28110</v>
      </c>
      <c r="CP23" s="2227">
        <v>17017.68</v>
      </c>
      <c r="CQ23" s="2227">
        <v>12863.71</v>
      </c>
      <c r="CR23" s="2227">
        <v>14170.14</v>
      </c>
      <c r="CS23" s="2227">
        <v>27371.7</v>
      </c>
      <c r="CT23" s="2227">
        <v>17327.62</v>
      </c>
      <c r="CU23" s="2227">
        <v>20230.62</v>
      </c>
      <c r="CV23" s="2227">
        <v>20230.62</v>
      </c>
      <c r="CW23" s="2227">
        <v>20230.62</v>
      </c>
      <c r="CX23" s="2227">
        <v>20230.62</v>
      </c>
      <c r="CY23" s="2227">
        <v>18400</v>
      </c>
      <c r="CZ23" s="2227">
        <v>21553.95</v>
      </c>
      <c r="DA23" s="2227">
        <v>20546.849999999999</v>
      </c>
      <c r="DB23" s="2227">
        <v>19304.78</v>
      </c>
      <c r="DC23" s="2227">
        <v>19468.5</v>
      </c>
      <c r="DD23" s="2227">
        <v>17586.689999999999</v>
      </c>
      <c r="DE23" s="2227">
        <v>17659.14</v>
      </c>
      <c r="DF23" s="2227">
        <v>17791.86</v>
      </c>
      <c r="DG23" s="2227">
        <v>17700</v>
      </c>
      <c r="DH23" s="2227">
        <v>16900</v>
      </c>
      <c r="DI23" s="2227">
        <v>14037.19</v>
      </c>
      <c r="DJ23" s="2227">
        <v>14037.19</v>
      </c>
      <c r="DK23" s="2227">
        <v>18100</v>
      </c>
      <c r="DL23" s="2227">
        <v>19864.900000000001</v>
      </c>
      <c r="DM23" s="2227">
        <v>20250</v>
      </c>
      <c r="DN23" s="2227">
        <v>13262.33</v>
      </c>
      <c r="DO23" s="2227">
        <v>21184.21</v>
      </c>
      <c r="DP23" s="2227">
        <v>15518.2</v>
      </c>
      <c r="DQ23" s="2227">
        <v>29164.22</v>
      </c>
      <c r="DR23" s="2227">
        <v>17943.45</v>
      </c>
      <c r="DS23" s="2227">
        <v>14600</v>
      </c>
      <c r="DT23" s="2227">
        <v>14860.38</v>
      </c>
      <c r="DU23" s="2227">
        <v>14799.27</v>
      </c>
      <c r="DV23" s="2227">
        <v>19304.78</v>
      </c>
      <c r="DW23" s="2227">
        <v>14398.51</v>
      </c>
      <c r="DX23" s="2227">
        <v>23200</v>
      </c>
      <c r="DY23" s="2227">
        <v>16182.08</v>
      </c>
      <c r="DZ23" s="2227">
        <v>21361.5</v>
      </c>
      <c r="EA23" s="2227">
        <v>18884.62</v>
      </c>
      <c r="EB23" s="2227">
        <v>32173.51</v>
      </c>
      <c r="EC23" s="2227">
        <v>22072.55</v>
      </c>
      <c r="ED23" s="2227">
        <v>16980.73</v>
      </c>
      <c r="EE23" s="2227">
        <v>15250</v>
      </c>
      <c r="EF23" s="2227">
        <v>15570.05</v>
      </c>
      <c r="EG23" s="2227">
        <v>16658.68</v>
      </c>
      <c r="EH23" s="2227">
        <v>16261.88</v>
      </c>
      <c r="EI23" s="2227">
        <v>21765.13</v>
      </c>
      <c r="EJ23" s="2227">
        <v>25368.48</v>
      </c>
      <c r="EK23" s="2227">
        <v>17769.13</v>
      </c>
      <c r="EL23" s="2227">
        <v>16261.89</v>
      </c>
      <c r="EM23" s="2227">
        <v>32842.11</v>
      </c>
      <c r="EN23" s="2227">
        <v>21898.78</v>
      </c>
      <c r="EO23" s="2227">
        <v>14219.79</v>
      </c>
      <c r="EP23" s="2227">
        <v>15700</v>
      </c>
      <c r="EQ23" s="2227">
        <v>17605.29</v>
      </c>
      <c r="ER23" s="2227">
        <v>20753.689999999999</v>
      </c>
      <c r="ES23" s="2227">
        <v>17938.669999999998</v>
      </c>
      <c r="ET23" s="2227">
        <v>14118.41</v>
      </c>
      <c r="EU23" s="2227">
        <v>19310.939999999999</v>
      </c>
      <c r="EV23" s="2227">
        <v>21466.22</v>
      </c>
      <c r="EW23" s="2227">
        <v>17967.48</v>
      </c>
      <c r="EX23" s="2227">
        <v>18989.759999999998</v>
      </c>
      <c r="EY23" s="2227">
        <v>20750</v>
      </c>
      <c r="EZ23" s="2227">
        <v>28954.02</v>
      </c>
      <c r="FA23" s="2227">
        <v>15855.81</v>
      </c>
      <c r="FB23" s="2227">
        <v>15394.28</v>
      </c>
      <c r="FC23" s="2227">
        <v>30750</v>
      </c>
      <c r="FD23" s="2227">
        <v>28550</v>
      </c>
      <c r="FE23" s="2227">
        <v>37287.910000000003</v>
      </c>
      <c r="FF23" s="2227">
        <v>13950</v>
      </c>
      <c r="FG23" s="2227">
        <v>24558.49</v>
      </c>
      <c r="FH23" s="2227">
        <v>17897.939999999999</v>
      </c>
      <c r="FI23" s="2227">
        <v>15110.96</v>
      </c>
      <c r="FJ23" s="2227">
        <v>14550.27</v>
      </c>
      <c r="FK23" s="2227">
        <v>22268.44</v>
      </c>
      <c r="FL23" s="2227">
        <v>17253.46</v>
      </c>
      <c r="FM23" s="2227">
        <v>19822.28</v>
      </c>
      <c r="FN23" s="2227">
        <v>18400</v>
      </c>
      <c r="FO23" s="2227">
        <v>26499.93</v>
      </c>
      <c r="FP23" s="2227">
        <v>18988.669999999998</v>
      </c>
      <c r="FQ23" s="2227">
        <v>15513.45</v>
      </c>
      <c r="FR23" s="2227">
        <v>24700</v>
      </c>
      <c r="FS23" s="2227">
        <v>30750</v>
      </c>
      <c r="FT23" s="2227">
        <v>26450.240000000002</v>
      </c>
      <c r="FU23" s="2227">
        <v>20971.83</v>
      </c>
      <c r="FV23" s="2227">
        <v>29750</v>
      </c>
      <c r="FW23" s="2227">
        <v>16760.16</v>
      </c>
      <c r="FX23" s="2227">
        <v>18864.79</v>
      </c>
      <c r="FY23" s="2227">
        <v>14217.45</v>
      </c>
      <c r="FZ23" s="2227">
        <v>19364.25</v>
      </c>
      <c r="GA23" s="2227">
        <v>23324.05</v>
      </c>
      <c r="GB23" s="2227">
        <v>25953.65</v>
      </c>
      <c r="GC23" s="2227">
        <v>15518.2</v>
      </c>
      <c r="GD23" s="2227">
        <v>13404.17</v>
      </c>
      <c r="GE23" s="2227">
        <v>25780.959999999999</v>
      </c>
      <c r="GF23" s="2227">
        <v>25100</v>
      </c>
      <c r="GG23" s="2227">
        <v>39895.67</v>
      </c>
      <c r="GH23" s="2227">
        <v>17253.39</v>
      </c>
      <c r="GI23" s="2227">
        <v>16837.2</v>
      </c>
      <c r="GJ23" s="2227">
        <v>14030.8</v>
      </c>
      <c r="GK23" s="2227">
        <v>16847.82</v>
      </c>
      <c r="GL23" s="2227">
        <v>21285.74</v>
      </c>
      <c r="GM23" s="2227">
        <v>16242.96</v>
      </c>
      <c r="GN23" s="2227">
        <v>19261.29</v>
      </c>
      <c r="GO23" s="2227">
        <v>18350.59</v>
      </c>
      <c r="GP23" s="2227">
        <v>21219.13</v>
      </c>
      <c r="GQ23" s="2227">
        <v>14176.22</v>
      </c>
      <c r="GR23" s="2227">
        <v>14256.57</v>
      </c>
      <c r="GS23" s="2227">
        <v>14979.33</v>
      </c>
      <c r="GT23" s="2227">
        <v>16182.08</v>
      </c>
      <c r="GU23" s="2227">
        <v>18970.88</v>
      </c>
      <c r="GV23" s="2227">
        <v>16849.150000000001</v>
      </c>
      <c r="GW23" s="2227">
        <v>32895.49</v>
      </c>
      <c r="GX23" s="2227">
        <v>35963.33</v>
      </c>
      <c r="GY23" s="2227">
        <v>40079.18</v>
      </c>
      <c r="GZ23" s="2227">
        <v>13521.98</v>
      </c>
      <c r="HA23" s="2227">
        <v>13151.43</v>
      </c>
      <c r="HB23" s="2227">
        <v>17253.46</v>
      </c>
      <c r="HC23" s="2227">
        <v>15522.43</v>
      </c>
      <c r="HD23" s="2227">
        <v>16172.82</v>
      </c>
      <c r="HE23" s="2227">
        <v>22548.49</v>
      </c>
      <c r="HF23" s="2227">
        <v>22550</v>
      </c>
      <c r="HG23" s="2227">
        <v>21214.27</v>
      </c>
      <c r="HH23" s="2227">
        <v>20250</v>
      </c>
      <c r="HI23" s="2227">
        <v>18828.84</v>
      </c>
      <c r="HJ23" s="2227">
        <v>19822.28</v>
      </c>
      <c r="HK23" s="2227">
        <v>24482.04</v>
      </c>
      <c r="HL23" s="2227">
        <v>34650</v>
      </c>
      <c r="HM23" s="2227">
        <v>17253.45</v>
      </c>
      <c r="HN23" s="2227">
        <v>16311.47</v>
      </c>
      <c r="HO23" s="2227">
        <v>14799.27</v>
      </c>
      <c r="HP23" s="2227">
        <v>19052.07</v>
      </c>
      <c r="HQ23" s="2227">
        <v>23324.05</v>
      </c>
      <c r="HR23" s="2227">
        <v>27800</v>
      </c>
      <c r="HS23" s="2227">
        <v>19335.71</v>
      </c>
      <c r="HT23" s="2227">
        <v>21046.19</v>
      </c>
      <c r="HU23" s="2227">
        <v>28632.75</v>
      </c>
      <c r="HV23" s="2227">
        <v>26998.6</v>
      </c>
      <c r="HW23" s="2227">
        <v>17253.38</v>
      </c>
      <c r="HX23" s="2227">
        <v>15855.81</v>
      </c>
      <c r="HY23" s="2227">
        <v>16030.6</v>
      </c>
      <c r="HZ23" s="2227">
        <v>17378.080000000002</v>
      </c>
      <c r="IA23" s="2227">
        <v>13151.43</v>
      </c>
      <c r="IB23" s="2227">
        <v>17417.07</v>
      </c>
      <c r="IC23" s="2227">
        <v>17175.599999999999</v>
      </c>
      <c r="ID23" s="2227">
        <v>19966.849999999999</v>
      </c>
      <c r="IE23" s="2227">
        <v>20478.54</v>
      </c>
      <c r="IF23" s="2227">
        <v>19435.38</v>
      </c>
      <c r="IG23" s="2227">
        <v>22431.61</v>
      </c>
      <c r="IH23" s="2227">
        <v>19335.72</v>
      </c>
      <c r="II23" s="2227">
        <v>19090.96</v>
      </c>
      <c r="IJ23" s="2227">
        <v>28879.64</v>
      </c>
      <c r="IK23" s="2227">
        <v>19403.95</v>
      </c>
      <c r="IL23" s="2227">
        <v>23080.2</v>
      </c>
      <c r="IM23" s="2227">
        <v>19923.03</v>
      </c>
      <c r="IN23" s="2227">
        <v>30441.4</v>
      </c>
      <c r="IO23" s="2227">
        <v>31606.49</v>
      </c>
      <c r="IP23" s="2227">
        <v>28550</v>
      </c>
      <c r="IQ23" s="2227">
        <v>28632.75</v>
      </c>
      <c r="IR23" s="2227">
        <v>46085.35</v>
      </c>
      <c r="IS23" s="2227">
        <v>28616.23</v>
      </c>
      <c r="IT23" s="2227">
        <v>38671.410000000003</v>
      </c>
      <c r="IU23" s="2227">
        <v>29822.45</v>
      </c>
      <c r="IV23" s="2227">
        <v>19304.78</v>
      </c>
    </row>
    <row r="24" spans="1:256">
      <c r="A24" s="2214">
        <v>15</v>
      </c>
      <c r="B24" s="2925">
        <v>16180.38</v>
      </c>
      <c r="C24" s="2227">
        <v>15553.04</v>
      </c>
      <c r="D24" s="2925">
        <v>15180.38</v>
      </c>
      <c r="E24" s="2227">
        <v>14280.01</v>
      </c>
      <c r="F24" s="2925">
        <v>14180.38</v>
      </c>
      <c r="G24" s="2227">
        <v>13576.32</v>
      </c>
      <c r="H24" s="2926">
        <v>13355</v>
      </c>
      <c r="I24" s="2925">
        <v>20899.88</v>
      </c>
      <c r="J24" s="2925">
        <v>20899.88</v>
      </c>
      <c r="K24" s="2227">
        <v>17007.73</v>
      </c>
      <c r="L24" s="2925">
        <v>17878</v>
      </c>
      <c r="M24" s="2227">
        <v>17007.73</v>
      </c>
      <c r="N24" s="2925">
        <v>17676.669999999998</v>
      </c>
      <c r="O24" s="2925">
        <v>17676.669999999998</v>
      </c>
      <c r="P24" s="2227">
        <v>15919.1</v>
      </c>
      <c r="Q24" s="2925">
        <v>16878</v>
      </c>
      <c r="R24" s="2227">
        <v>15460.01</v>
      </c>
      <c r="S24" s="2925">
        <v>15919.1</v>
      </c>
      <c r="T24" s="2925">
        <v>16071.85</v>
      </c>
      <c r="U24" s="2227">
        <v>15460.01</v>
      </c>
      <c r="V24" s="2925">
        <v>15878</v>
      </c>
      <c r="W24" s="2227">
        <v>14747.56</v>
      </c>
      <c r="X24" s="2925">
        <v>15066.51</v>
      </c>
      <c r="Y24" s="2925">
        <v>15066.51</v>
      </c>
      <c r="Z24" s="2925">
        <v>14778</v>
      </c>
      <c r="AA24" s="2925">
        <v>22782.75</v>
      </c>
      <c r="AB24" s="2227">
        <v>20092.11</v>
      </c>
      <c r="AC24" s="2925">
        <v>21282.75</v>
      </c>
      <c r="AD24" s="2227">
        <v>19839.91</v>
      </c>
      <c r="AE24" s="2925">
        <v>19782.75</v>
      </c>
      <c r="AF24" s="2227">
        <v>18567.060000000001</v>
      </c>
      <c r="AG24" s="2925">
        <v>18282.75</v>
      </c>
      <c r="AH24" s="2925">
        <v>23055.22</v>
      </c>
      <c r="AI24" s="2925">
        <v>23067.06</v>
      </c>
      <c r="AJ24" s="2227">
        <v>22177.56</v>
      </c>
      <c r="AK24" s="2925">
        <v>22177.56</v>
      </c>
      <c r="AL24" s="2925">
        <v>21567.06</v>
      </c>
      <c r="AM24" s="2227">
        <v>20092.11</v>
      </c>
      <c r="AN24" s="2925">
        <v>20092.11</v>
      </c>
      <c r="AO24" s="2925">
        <v>20267.060000000001</v>
      </c>
      <c r="AP24" s="2227">
        <v>19839.91</v>
      </c>
      <c r="AQ24" s="2925">
        <v>19839.91</v>
      </c>
      <c r="AR24" s="2925">
        <v>18567.060000000001</v>
      </c>
      <c r="AS24" s="2923">
        <v>27521</v>
      </c>
      <c r="AT24" s="2227">
        <v>22582.31</v>
      </c>
      <c r="AU24" s="2923">
        <v>25432</v>
      </c>
      <c r="AV24" s="2227">
        <v>21910.01</v>
      </c>
      <c r="AW24" s="2923">
        <v>23343</v>
      </c>
      <c r="AX24" s="2227">
        <v>20907.509999999998</v>
      </c>
      <c r="AY24" s="2923">
        <v>20843</v>
      </c>
      <c r="AZ24" s="2925">
        <v>28391</v>
      </c>
      <c r="BA24" s="2227">
        <v>25017.17</v>
      </c>
      <c r="BB24" s="2923">
        <v>27521</v>
      </c>
      <c r="BC24" s="2227">
        <v>23704.47</v>
      </c>
      <c r="BD24" s="2925">
        <v>30114</v>
      </c>
      <c r="BE24" s="2227">
        <v>26632.99</v>
      </c>
      <c r="BF24" s="2923">
        <v>27521</v>
      </c>
      <c r="BG24" s="2227">
        <v>25598.31</v>
      </c>
      <c r="BH24" s="2925">
        <v>26302</v>
      </c>
      <c r="BI24" s="2227">
        <v>24303.74</v>
      </c>
      <c r="BJ24" s="2923">
        <v>25432</v>
      </c>
      <c r="BK24" s="2227">
        <v>22892.71</v>
      </c>
      <c r="BL24" s="2925">
        <v>28183</v>
      </c>
      <c r="BM24" s="2227">
        <v>26047.82</v>
      </c>
      <c r="BN24" s="2923">
        <v>26052.76</v>
      </c>
      <c r="BO24" s="2227">
        <v>25182.76</v>
      </c>
      <c r="BP24" s="2925">
        <v>24213</v>
      </c>
      <c r="BQ24" s="2227">
        <v>22001.35</v>
      </c>
      <c r="BR24" s="2923">
        <v>23343</v>
      </c>
      <c r="BS24" s="2227">
        <v>21808.48</v>
      </c>
      <c r="BT24" s="2925">
        <v>25183</v>
      </c>
      <c r="BU24" s="2227">
        <v>22523.05</v>
      </c>
      <c r="BV24" s="2923">
        <v>23775</v>
      </c>
      <c r="BW24" s="2227">
        <v>21985.77</v>
      </c>
      <c r="BX24" s="2925">
        <v>21713</v>
      </c>
      <c r="BY24" s="2923">
        <v>20843</v>
      </c>
      <c r="BZ24" s="2924">
        <v>22183</v>
      </c>
      <c r="CA24" s="2923">
        <v>20843</v>
      </c>
      <c r="CB24" s="2227">
        <v>62510</v>
      </c>
      <c r="CC24" s="2227">
        <v>59510</v>
      </c>
      <c r="CD24" s="2227">
        <v>56510</v>
      </c>
      <c r="CE24" s="2227">
        <v>54720</v>
      </c>
      <c r="CF24" s="2227">
        <v>51720</v>
      </c>
      <c r="CG24" s="2227">
        <v>48720</v>
      </c>
      <c r="CH24" s="2227">
        <v>46680</v>
      </c>
      <c r="CI24" s="2227">
        <v>43680</v>
      </c>
      <c r="CJ24" s="2227">
        <v>40180</v>
      </c>
      <c r="CK24" s="2227">
        <v>39080</v>
      </c>
      <c r="CL24" s="2227">
        <v>36080</v>
      </c>
      <c r="CM24" s="2227">
        <v>33080</v>
      </c>
      <c r="CN24" s="2227">
        <v>30555</v>
      </c>
      <c r="CO24" s="2227">
        <v>28555</v>
      </c>
      <c r="CP24" s="2227">
        <v>17641.29</v>
      </c>
      <c r="CQ24" s="2227">
        <v>12921.88</v>
      </c>
      <c r="CR24" s="2227">
        <v>14494.25</v>
      </c>
      <c r="CS24" s="2227">
        <v>28330.41</v>
      </c>
      <c r="CT24" s="2227">
        <v>17676.669999999998</v>
      </c>
      <c r="CU24" s="2227">
        <v>20473.560000000001</v>
      </c>
      <c r="CV24" s="2227">
        <v>20473.560000000001</v>
      </c>
      <c r="CW24" s="2227">
        <v>20473.560000000001</v>
      </c>
      <c r="CX24" s="2227">
        <v>20473.560000000001</v>
      </c>
      <c r="CY24" s="2227">
        <v>19000</v>
      </c>
      <c r="CZ24" s="2227">
        <v>22177.56</v>
      </c>
      <c r="DA24" s="2227">
        <v>20899.88</v>
      </c>
      <c r="DB24" s="2227">
        <v>19839.91</v>
      </c>
      <c r="DC24" s="2227">
        <v>20092.11</v>
      </c>
      <c r="DD24" s="2227">
        <v>17716.099999999999</v>
      </c>
      <c r="DE24" s="2227">
        <v>18282.75</v>
      </c>
      <c r="DF24" s="2227">
        <v>18380.169999999998</v>
      </c>
      <c r="DG24" s="2227">
        <v>18300</v>
      </c>
      <c r="DH24" s="2227">
        <v>17250</v>
      </c>
      <c r="DI24" s="2227">
        <v>14303.98</v>
      </c>
      <c r="DJ24" s="2227">
        <v>14303.98</v>
      </c>
      <c r="DK24" s="2227">
        <v>18450</v>
      </c>
      <c r="DL24" s="2227">
        <v>20489.169999999998</v>
      </c>
      <c r="DM24" s="2227">
        <v>20850</v>
      </c>
      <c r="DN24" s="2227">
        <v>13386.28</v>
      </c>
      <c r="DO24" s="2227">
        <v>21808.48</v>
      </c>
      <c r="DP24" s="2227">
        <v>15865.26</v>
      </c>
      <c r="DQ24" s="2227">
        <v>30122.93</v>
      </c>
      <c r="DR24" s="2227">
        <v>18567.060000000001</v>
      </c>
      <c r="DS24" s="2227">
        <v>14750</v>
      </c>
      <c r="DT24" s="2227">
        <v>14952.6</v>
      </c>
      <c r="DU24" s="2227">
        <v>14923.22</v>
      </c>
      <c r="DV24" s="2227">
        <v>19839.91</v>
      </c>
      <c r="DW24" s="2227">
        <v>14747.56</v>
      </c>
      <c r="DX24" s="2227">
        <v>23800</v>
      </c>
      <c r="DY24" s="2227">
        <v>16346.59</v>
      </c>
      <c r="DZ24" s="2227">
        <v>21985.77</v>
      </c>
      <c r="EA24" s="2227">
        <v>19508.89</v>
      </c>
      <c r="EB24" s="2227">
        <v>33132.22</v>
      </c>
      <c r="EC24" s="2227">
        <v>22313.01</v>
      </c>
      <c r="ED24" s="2227">
        <v>17476.52</v>
      </c>
      <c r="EE24" s="2227">
        <v>15400</v>
      </c>
      <c r="EF24" s="2227">
        <v>15919.1</v>
      </c>
      <c r="EG24" s="2227">
        <v>17007.73</v>
      </c>
      <c r="EH24" s="2227">
        <v>16608.939999999999</v>
      </c>
      <c r="EI24" s="2227">
        <v>22037.82</v>
      </c>
      <c r="EJ24" s="2227">
        <v>26047.82</v>
      </c>
      <c r="EK24" s="2227">
        <v>18357.439999999999</v>
      </c>
      <c r="EL24" s="2227">
        <v>16608.95</v>
      </c>
      <c r="EM24" s="2227">
        <v>33934.54</v>
      </c>
      <c r="EN24" s="2227">
        <v>22523.05</v>
      </c>
      <c r="EO24" s="2227">
        <v>14280.58</v>
      </c>
      <c r="EP24" s="2227">
        <v>16050</v>
      </c>
      <c r="EQ24" s="2227">
        <v>17917.189999999999</v>
      </c>
      <c r="ER24" s="2227">
        <v>20991.67</v>
      </c>
      <c r="ES24" s="2227">
        <v>18168.52</v>
      </c>
      <c r="ET24" s="2227">
        <v>14280.01</v>
      </c>
      <c r="EU24" s="2227">
        <v>19856.310000000001</v>
      </c>
      <c r="EV24" s="2227">
        <v>22001.35</v>
      </c>
      <c r="EW24" s="2227">
        <v>18285.78</v>
      </c>
      <c r="EX24" s="2227">
        <v>19355.68</v>
      </c>
      <c r="EY24" s="2227">
        <v>21250</v>
      </c>
      <c r="EZ24" s="2227">
        <v>29449.81</v>
      </c>
      <c r="FA24" s="2227">
        <v>16017</v>
      </c>
      <c r="FB24" s="2227">
        <v>15456.26</v>
      </c>
      <c r="FC24" s="2227">
        <v>32250</v>
      </c>
      <c r="FD24" s="2227">
        <v>30000</v>
      </c>
      <c r="FE24" s="2227">
        <v>37287.910000000003</v>
      </c>
      <c r="FF24" s="2227">
        <v>14100</v>
      </c>
      <c r="FG24" s="2227">
        <v>25182.76</v>
      </c>
      <c r="FH24" s="2227">
        <v>18393.73</v>
      </c>
      <c r="FI24" s="2227">
        <v>15460.01</v>
      </c>
      <c r="FJ24" s="2227">
        <v>14621.82</v>
      </c>
      <c r="FK24" s="2227">
        <v>22892.71</v>
      </c>
      <c r="FL24" s="2227">
        <v>17600.52</v>
      </c>
      <c r="FM24" s="2227">
        <v>20240.61</v>
      </c>
      <c r="FN24" s="2227">
        <v>19000</v>
      </c>
      <c r="FO24" s="2227">
        <v>26710.639999999999</v>
      </c>
      <c r="FP24" s="2227">
        <v>19484.46</v>
      </c>
      <c r="FQ24" s="2227">
        <v>15674.24</v>
      </c>
      <c r="FR24" s="2227">
        <v>25350</v>
      </c>
      <c r="FS24" s="2227">
        <v>32250</v>
      </c>
      <c r="FT24" s="2227">
        <v>27218.71</v>
      </c>
      <c r="FU24" s="2227">
        <v>21517.200000000001</v>
      </c>
      <c r="FV24" s="2227">
        <v>31250</v>
      </c>
      <c r="FW24" s="2227">
        <v>16864.28</v>
      </c>
      <c r="FX24" s="2227">
        <v>18988.740000000002</v>
      </c>
      <c r="FY24" s="2227">
        <v>14541.56</v>
      </c>
      <c r="FZ24" s="2227">
        <v>19552.11</v>
      </c>
      <c r="GA24" s="2227">
        <v>23836.53</v>
      </c>
      <c r="GB24" s="2227">
        <v>26632.99</v>
      </c>
      <c r="GC24" s="2227">
        <v>15865.26</v>
      </c>
      <c r="GD24" s="2227">
        <v>13517.63</v>
      </c>
      <c r="GE24" s="2227">
        <v>26053.65</v>
      </c>
      <c r="GF24" s="2227">
        <v>25900</v>
      </c>
      <c r="GG24" s="2227">
        <v>39895.67</v>
      </c>
      <c r="GH24" s="2227">
        <v>17600.439999999999</v>
      </c>
      <c r="GI24" s="2227">
        <v>17455.27</v>
      </c>
      <c r="GJ24" s="2227">
        <v>14154.75</v>
      </c>
      <c r="GK24" s="2227">
        <v>17051.32</v>
      </c>
      <c r="GL24" s="2227">
        <v>21910.01</v>
      </c>
      <c r="GM24" s="2227">
        <v>16404.259999999998</v>
      </c>
      <c r="GN24" s="2227">
        <v>19397.63</v>
      </c>
      <c r="GO24" s="2227">
        <v>18498.02</v>
      </c>
      <c r="GP24" s="2227">
        <v>21657.29</v>
      </c>
      <c r="GQ24" s="2227">
        <v>14445.64</v>
      </c>
      <c r="GR24" s="2227">
        <v>14326.65</v>
      </c>
      <c r="GS24" s="2227">
        <v>15050.88</v>
      </c>
      <c r="GT24" s="2227">
        <v>16346.59</v>
      </c>
      <c r="GU24" s="2227">
        <v>19500.7</v>
      </c>
      <c r="GV24" s="2227">
        <v>17466.580000000002</v>
      </c>
      <c r="GW24" s="2227">
        <v>33391.279999999999</v>
      </c>
      <c r="GX24" s="2227">
        <v>37055.760000000002</v>
      </c>
      <c r="GY24" s="2227">
        <v>40079.18</v>
      </c>
      <c r="GZ24" s="2227">
        <v>13674.71</v>
      </c>
      <c r="HA24" s="2227">
        <v>13276.32</v>
      </c>
      <c r="HB24" s="2227">
        <v>17600.52</v>
      </c>
      <c r="HC24" s="2227">
        <v>15683.32</v>
      </c>
      <c r="HD24" s="2227">
        <v>16337.25</v>
      </c>
      <c r="HE24" s="2227">
        <v>22816.22</v>
      </c>
      <c r="HF24" s="2227">
        <v>23100</v>
      </c>
      <c r="HG24" s="2227">
        <v>21442.36</v>
      </c>
      <c r="HH24" s="2227">
        <v>20850</v>
      </c>
      <c r="HI24" s="2227">
        <v>19453.11</v>
      </c>
      <c r="HJ24" s="2227">
        <v>20240.61</v>
      </c>
      <c r="HK24" s="2227">
        <v>25017.17</v>
      </c>
      <c r="HL24" s="2227">
        <v>36150</v>
      </c>
      <c r="HM24" s="2227">
        <v>17600.509999999998</v>
      </c>
      <c r="HN24" s="2227">
        <v>16658.53</v>
      </c>
      <c r="HO24" s="2227">
        <v>14923.22</v>
      </c>
      <c r="HP24" s="2227">
        <v>19365.04</v>
      </c>
      <c r="HQ24" s="2227">
        <v>23836.53</v>
      </c>
      <c r="HR24" s="2227">
        <v>28750</v>
      </c>
      <c r="HS24" s="2227">
        <v>19831.5</v>
      </c>
      <c r="HT24" s="2227">
        <v>21591.56</v>
      </c>
      <c r="HU24" s="2227">
        <v>29610.62</v>
      </c>
      <c r="HV24" s="2227">
        <v>27947.81</v>
      </c>
      <c r="HW24" s="2227">
        <v>17600.43</v>
      </c>
      <c r="HX24" s="2227">
        <v>16017</v>
      </c>
      <c r="HY24" s="2227">
        <v>16191.79</v>
      </c>
      <c r="HZ24" s="2227">
        <v>17520.650000000001</v>
      </c>
      <c r="IA24" s="2227">
        <v>13276.32</v>
      </c>
      <c r="IB24" s="2227">
        <v>17588.689999999999</v>
      </c>
      <c r="IC24" s="2227">
        <v>17300.79</v>
      </c>
      <c r="ID24" s="2227">
        <v>20590.75</v>
      </c>
      <c r="IE24" s="2227">
        <v>20721.48</v>
      </c>
      <c r="IF24" s="2227">
        <v>19801.3</v>
      </c>
      <c r="IG24" s="2227">
        <v>23055.22</v>
      </c>
      <c r="IH24" s="2227">
        <v>19831.509999999998</v>
      </c>
      <c r="II24" s="2227">
        <v>19591.71</v>
      </c>
      <c r="IJ24" s="2227">
        <v>29152.33</v>
      </c>
      <c r="IK24" s="2227">
        <v>19842.11</v>
      </c>
      <c r="IL24" s="2227">
        <v>23704.47</v>
      </c>
      <c r="IM24" s="2227">
        <v>20559.77</v>
      </c>
      <c r="IN24" s="2227">
        <v>30986.77</v>
      </c>
      <c r="IO24" s="2227">
        <v>32697.23</v>
      </c>
      <c r="IP24" s="2227">
        <v>30000</v>
      </c>
      <c r="IQ24" s="2227">
        <v>29610.62</v>
      </c>
      <c r="IR24" s="2227">
        <v>46085.35</v>
      </c>
      <c r="IS24" s="2227">
        <v>29593.51</v>
      </c>
      <c r="IT24" s="2227">
        <v>39960.46</v>
      </c>
      <c r="IU24" s="2227">
        <v>30173.72</v>
      </c>
      <c r="IV24" s="2227">
        <v>19839.91</v>
      </c>
    </row>
    <row r="25" spans="1:256">
      <c r="A25" s="2214">
        <v>16</v>
      </c>
      <c r="B25" s="2925">
        <v>16180.38</v>
      </c>
      <c r="C25" s="2227">
        <v>15553.04</v>
      </c>
      <c r="D25" s="2925">
        <v>15180.38</v>
      </c>
      <c r="E25" s="2227">
        <v>14280.01</v>
      </c>
      <c r="F25" s="2925">
        <v>14182</v>
      </c>
      <c r="G25" s="2227">
        <v>13576.32</v>
      </c>
      <c r="H25" s="2926">
        <v>13382</v>
      </c>
      <c r="I25" s="2925">
        <v>20899.88</v>
      </c>
      <c r="J25" s="2925">
        <v>20899.88</v>
      </c>
      <c r="K25" s="2227">
        <v>17007.73</v>
      </c>
      <c r="L25" s="2925">
        <v>18000</v>
      </c>
      <c r="M25" s="2227">
        <v>17007.73</v>
      </c>
      <c r="N25" s="2925">
        <v>17676.669999999998</v>
      </c>
      <c r="O25" s="2925">
        <v>17676.669999999998</v>
      </c>
      <c r="P25" s="2227">
        <v>15919.1</v>
      </c>
      <c r="Q25" s="2925">
        <v>17000</v>
      </c>
      <c r="R25" s="2227">
        <v>15460.01</v>
      </c>
      <c r="S25" s="2925">
        <v>16000</v>
      </c>
      <c r="T25" s="2925">
        <v>16071.85</v>
      </c>
      <c r="U25" s="2227">
        <v>15460.01</v>
      </c>
      <c r="V25" s="2925">
        <v>16000</v>
      </c>
      <c r="W25" s="2227">
        <v>14747.56</v>
      </c>
      <c r="X25" s="2925">
        <v>15066.51</v>
      </c>
      <c r="Y25" s="2925">
        <v>15066.51</v>
      </c>
      <c r="Z25" s="2925">
        <v>14900</v>
      </c>
      <c r="AA25" s="2925">
        <v>22870</v>
      </c>
      <c r="AB25" s="2227">
        <v>20092.11</v>
      </c>
      <c r="AC25" s="2925">
        <v>21282.75</v>
      </c>
      <c r="AD25" s="2227">
        <v>19839.91</v>
      </c>
      <c r="AE25" s="2925">
        <v>19782.75</v>
      </c>
      <c r="AF25" s="2227">
        <v>18567.060000000001</v>
      </c>
      <c r="AG25" s="2925">
        <v>18282.75</v>
      </c>
      <c r="AH25" s="2925">
        <v>23055.22</v>
      </c>
      <c r="AI25" s="2925">
        <v>23067.06</v>
      </c>
      <c r="AJ25" s="2227">
        <v>22177.56</v>
      </c>
      <c r="AK25" s="2925">
        <v>22177.56</v>
      </c>
      <c r="AL25" s="2925">
        <v>21567.06</v>
      </c>
      <c r="AM25" s="2227">
        <v>20092.11</v>
      </c>
      <c r="AN25" s="2925">
        <v>20092.11</v>
      </c>
      <c r="AO25" s="2925">
        <v>20267.060000000001</v>
      </c>
      <c r="AP25" s="2227">
        <v>19839.91</v>
      </c>
      <c r="AQ25" s="2925">
        <v>19839.91</v>
      </c>
      <c r="AR25" s="2925">
        <v>18567.060000000001</v>
      </c>
      <c r="AS25" s="2923">
        <v>27521</v>
      </c>
      <c r="AT25" s="2227">
        <v>22582.31</v>
      </c>
      <c r="AU25" s="2923">
        <v>25432</v>
      </c>
      <c r="AV25" s="2227">
        <v>21910.01</v>
      </c>
      <c r="AW25" s="2923">
        <v>23343</v>
      </c>
      <c r="AX25" s="2227">
        <v>20907.509999999998</v>
      </c>
      <c r="AY25" s="2923">
        <v>20843</v>
      </c>
      <c r="AZ25" s="2925">
        <v>28391</v>
      </c>
      <c r="BA25" s="2227">
        <v>25017.17</v>
      </c>
      <c r="BB25" s="2923">
        <v>27521</v>
      </c>
      <c r="BC25" s="2227">
        <v>23704.47</v>
      </c>
      <c r="BD25" s="2925">
        <v>30114</v>
      </c>
      <c r="BE25" s="2227">
        <v>26632.99</v>
      </c>
      <c r="BF25" s="2923">
        <v>27521</v>
      </c>
      <c r="BG25" s="2227">
        <v>25598.31</v>
      </c>
      <c r="BH25" s="2925">
        <v>26302</v>
      </c>
      <c r="BI25" s="2227">
        <v>24303.74</v>
      </c>
      <c r="BJ25" s="2923">
        <v>25432</v>
      </c>
      <c r="BK25" s="2227">
        <v>22892.71</v>
      </c>
      <c r="BL25" s="2925">
        <v>28183</v>
      </c>
      <c r="BM25" s="2227">
        <v>26047.82</v>
      </c>
      <c r="BN25" s="2923">
        <v>26052.76</v>
      </c>
      <c r="BO25" s="2227">
        <v>25182.76</v>
      </c>
      <c r="BP25" s="2925">
        <v>24213</v>
      </c>
      <c r="BQ25" s="2227">
        <v>22001.35</v>
      </c>
      <c r="BR25" s="2923">
        <v>23343</v>
      </c>
      <c r="BS25" s="2227">
        <v>21808.48</v>
      </c>
      <c r="BT25" s="2925">
        <v>25183</v>
      </c>
      <c r="BU25" s="2227">
        <v>22523.05</v>
      </c>
      <c r="BV25" s="2923">
        <v>23775</v>
      </c>
      <c r="BW25" s="2227">
        <v>21985.77</v>
      </c>
      <c r="BX25" s="2925">
        <v>21713</v>
      </c>
      <c r="BY25" s="2923">
        <v>20843</v>
      </c>
      <c r="BZ25" s="2924">
        <v>22183</v>
      </c>
      <c r="CA25" s="2923">
        <v>20843</v>
      </c>
      <c r="CB25" s="2227">
        <v>63120</v>
      </c>
      <c r="CC25" s="2227">
        <v>60120</v>
      </c>
      <c r="CD25" s="2227">
        <v>57120</v>
      </c>
      <c r="CE25" s="2227">
        <v>55330</v>
      </c>
      <c r="CF25" s="2227">
        <v>52330</v>
      </c>
      <c r="CG25" s="2227">
        <v>49330</v>
      </c>
      <c r="CH25" s="2227">
        <v>47200</v>
      </c>
      <c r="CI25" s="2227">
        <v>44200</v>
      </c>
      <c r="CJ25" s="2227">
        <v>40700</v>
      </c>
      <c r="CK25" s="2227">
        <v>39560</v>
      </c>
      <c r="CL25" s="2227">
        <v>36560</v>
      </c>
      <c r="CM25" s="2227">
        <v>33560</v>
      </c>
      <c r="CN25" s="2227">
        <v>31000</v>
      </c>
      <c r="CO25" s="2227">
        <v>29000</v>
      </c>
      <c r="CP25" s="2227">
        <v>17641.29</v>
      </c>
      <c r="CQ25" s="2227">
        <v>12921.88</v>
      </c>
      <c r="CR25" s="2227">
        <v>14494.25</v>
      </c>
      <c r="CS25" s="2227">
        <v>28330.41</v>
      </c>
      <c r="CT25" s="2227">
        <v>17676.669999999998</v>
      </c>
      <c r="CU25" s="2227">
        <v>20716.5</v>
      </c>
      <c r="CV25" s="2227">
        <v>20716.5</v>
      </c>
      <c r="CW25" s="2227">
        <v>20716.5</v>
      </c>
      <c r="CX25" s="2227">
        <v>20716.5</v>
      </c>
      <c r="CY25" s="2227">
        <v>19000</v>
      </c>
      <c r="CZ25" s="2227">
        <v>22177.56</v>
      </c>
      <c r="DA25" s="2227">
        <v>20899.88</v>
      </c>
      <c r="DB25" s="2227">
        <v>19839.91</v>
      </c>
      <c r="DC25" s="2227">
        <v>20092.11</v>
      </c>
      <c r="DD25" s="2227">
        <v>17845.509999999998</v>
      </c>
      <c r="DE25" s="2227">
        <v>18282.75</v>
      </c>
      <c r="DF25" s="2227">
        <v>18380.169999999998</v>
      </c>
      <c r="DG25" s="2227">
        <v>18300</v>
      </c>
      <c r="DH25" s="2227">
        <v>17250</v>
      </c>
      <c r="DI25" s="2227">
        <v>14303.98</v>
      </c>
      <c r="DJ25" s="2227">
        <v>14303.98</v>
      </c>
      <c r="DK25" s="2227">
        <v>18450</v>
      </c>
      <c r="DL25" s="2227">
        <v>20489.169999999998</v>
      </c>
      <c r="DM25" s="2227">
        <v>20850</v>
      </c>
      <c r="DN25" s="2227">
        <v>13386.28</v>
      </c>
      <c r="DO25" s="2227">
        <v>21808.48</v>
      </c>
      <c r="DP25" s="2227">
        <v>15865.26</v>
      </c>
      <c r="DQ25" s="2227">
        <v>30122.93</v>
      </c>
      <c r="DR25" s="2227">
        <v>18567.060000000001</v>
      </c>
      <c r="DS25" s="2227">
        <v>14750</v>
      </c>
      <c r="DT25" s="2227">
        <v>15044.82</v>
      </c>
      <c r="DU25" s="2227">
        <v>14923.22</v>
      </c>
      <c r="DV25" s="2227">
        <v>19839.91</v>
      </c>
      <c r="DW25" s="2227">
        <v>14747.56</v>
      </c>
      <c r="DX25" s="2227">
        <v>23800</v>
      </c>
      <c r="DY25" s="2227">
        <v>16511.099999999999</v>
      </c>
      <c r="DZ25" s="2227">
        <v>21985.77</v>
      </c>
      <c r="EA25" s="2227">
        <v>19508.89</v>
      </c>
      <c r="EB25" s="2227">
        <v>33132.22</v>
      </c>
      <c r="EC25" s="2227">
        <v>22553.47</v>
      </c>
      <c r="ED25" s="2227">
        <v>17476.52</v>
      </c>
      <c r="EE25" s="2227">
        <v>15400</v>
      </c>
      <c r="EF25" s="2227">
        <v>15919.1</v>
      </c>
      <c r="EG25" s="2227">
        <v>17007.73</v>
      </c>
      <c r="EH25" s="2227">
        <v>16608.939999999999</v>
      </c>
      <c r="EI25" s="2227">
        <v>22310.51</v>
      </c>
      <c r="EJ25" s="2227">
        <v>26047.82</v>
      </c>
      <c r="EK25" s="2227">
        <v>18357.439999999999</v>
      </c>
      <c r="EL25" s="2227">
        <v>16608.95</v>
      </c>
      <c r="EM25" s="2227">
        <v>33934.54</v>
      </c>
      <c r="EN25" s="2227">
        <v>22523.05</v>
      </c>
      <c r="EO25" s="2227">
        <v>14341.37</v>
      </c>
      <c r="EP25" s="2227">
        <v>16050</v>
      </c>
      <c r="EQ25" s="2227">
        <v>18229.09</v>
      </c>
      <c r="ER25" s="2227">
        <v>21229.65</v>
      </c>
      <c r="ES25" s="2227">
        <v>18398.37</v>
      </c>
      <c r="ET25" s="2227">
        <v>14280.01</v>
      </c>
      <c r="EU25" s="2227">
        <v>19856.310000000001</v>
      </c>
      <c r="EV25" s="2227">
        <v>22001.35</v>
      </c>
      <c r="EW25" s="2227">
        <v>18604.080000000002</v>
      </c>
      <c r="EX25" s="2227">
        <v>19721.599999999999</v>
      </c>
      <c r="EY25" s="2227">
        <v>21250</v>
      </c>
      <c r="EZ25" s="2227">
        <v>29945.599999999999</v>
      </c>
      <c r="FA25" s="2227">
        <v>16178.19</v>
      </c>
      <c r="FB25" s="2227">
        <v>15518.24</v>
      </c>
      <c r="FC25" s="2227">
        <v>32250</v>
      </c>
      <c r="FD25" s="2227">
        <v>30000</v>
      </c>
      <c r="FE25" s="2227">
        <v>38625.64</v>
      </c>
      <c r="FF25" s="2227">
        <v>14100</v>
      </c>
      <c r="FG25" s="2227">
        <v>25182.76</v>
      </c>
      <c r="FH25" s="2227">
        <v>18393.73</v>
      </c>
      <c r="FI25" s="2227">
        <v>15460.01</v>
      </c>
      <c r="FJ25" s="2227">
        <v>14693.37</v>
      </c>
      <c r="FK25" s="2227">
        <v>22892.71</v>
      </c>
      <c r="FL25" s="2227">
        <v>17600.52</v>
      </c>
      <c r="FM25" s="2227">
        <v>20658.939999999999</v>
      </c>
      <c r="FN25" s="2227">
        <v>19000</v>
      </c>
      <c r="FO25" s="2227">
        <v>26921.35</v>
      </c>
      <c r="FP25" s="2227">
        <v>19484.46</v>
      </c>
      <c r="FQ25" s="2227">
        <v>15835.03</v>
      </c>
      <c r="FR25" s="2227">
        <v>25350</v>
      </c>
      <c r="FS25" s="2227">
        <v>32250</v>
      </c>
      <c r="FT25" s="2227">
        <v>27218.71</v>
      </c>
      <c r="FU25" s="2227">
        <v>21517.200000000001</v>
      </c>
      <c r="FV25" s="2227">
        <v>31250</v>
      </c>
      <c r="FW25" s="2227">
        <v>16968.400000000001</v>
      </c>
      <c r="FX25" s="2227">
        <v>19112.689999999999</v>
      </c>
      <c r="FY25" s="2227">
        <v>14541.56</v>
      </c>
      <c r="FZ25" s="2227">
        <v>19739.97</v>
      </c>
      <c r="GA25" s="2227">
        <v>24349.01</v>
      </c>
      <c r="GB25" s="2227">
        <v>26632.99</v>
      </c>
      <c r="GC25" s="2227">
        <v>15865.26</v>
      </c>
      <c r="GD25" s="2227">
        <v>13517.63</v>
      </c>
      <c r="GE25" s="2227">
        <v>26326.34</v>
      </c>
      <c r="GF25" s="2227">
        <v>25900</v>
      </c>
      <c r="GG25" s="2227">
        <v>41184.82</v>
      </c>
      <c r="GH25" s="2227">
        <v>17600.439999999999</v>
      </c>
      <c r="GI25" s="2227">
        <v>17455.27</v>
      </c>
      <c r="GJ25" s="2227">
        <v>14154.75</v>
      </c>
      <c r="GK25" s="2227">
        <v>17254.82</v>
      </c>
      <c r="GL25" s="2227">
        <v>21910.01</v>
      </c>
      <c r="GM25" s="2227">
        <v>16565.560000000001</v>
      </c>
      <c r="GN25" s="2227">
        <v>19533.97</v>
      </c>
      <c r="GO25" s="2227">
        <v>18645.45</v>
      </c>
      <c r="GP25" s="2227">
        <v>21657.29</v>
      </c>
      <c r="GQ25" s="2227">
        <v>14445.64</v>
      </c>
      <c r="GR25" s="2227">
        <v>14396.73</v>
      </c>
      <c r="GS25" s="2227">
        <v>15122.43</v>
      </c>
      <c r="GT25" s="2227">
        <v>16511.099999999999</v>
      </c>
      <c r="GU25" s="2227">
        <v>19500.7</v>
      </c>
      <c r="GV25" s="2227">
        <v>17466.580000000002</v>
      </c>
      <c r="GW25" s="2227">
        <v>33887.07</v>
      </c>
      <c r="GX25" s="2227">
        <v>37055.760000000002</v>
      </c>
      <c r="GY25" s="2227">
        <v>41416.910000000003</v>
      </c>
      <c r="GZ25" s="2227">
        <v>13674.71</v>
      </c>
      <c r="HA25" s="2227">
        <v>13276.32</v>
      </c>
      <c r="HB25" s="2227">
        <v>17600.52</v>
      </c>
      <c r="HC25" s="2227">
        <v>15844.21</v>
      </c>
      <c r="HD25" s="2227">
        <v>16501.68</v>
      </c>
      <c r="HE25" s="2227">
        <v>23083.95</v>
      </c>
      <c r="HF25" s="2227">
        <v>23100</v>
      </c>
      <c r="HG25" s="2227">
        <v>21670.45</v>
      </c>
      <c r="HH25" s="2227">
        <v>20850</v>
      </c>
      <c r="HI25" s="2227">
        <v>19453.11</v>
      </c>
      <c r="HJ25" s="2227">
        <v>20658.939999999999</v>
      </c>
      <c r="HK25" s="2227">
        <v>25017.17</v>
      </c>
      <c r="HL25" s="2227">
        <v>36150</v>
      </c>
      <c r="HM25" s="2227">
        <v>17600.509999999998</v>
      </c>
      <c r="HN25" s="2227">
        <v>16658.53</v>
      </c>
      <c r="HO25" s="2227">
        <v>14923.22</v>
      </c>
      <c r="HP25" s="2227">
        <v>19683.3</v>
      </c>
      <c r="HQ25" s="2227">
        <v>24349.01</v>
      </c>
      <c r="HR25" s="2227">
        <v>28750</v>
      </c>
      <c r="HS25" s="2227">
        <v>19831.5</v>
      </c>
      <c r="HT25" s="2227">
        <v>21591.56</v>
      </c>
      <c r="HU25" s="2227">
        <v>29610.62</v>
      </c>
      <c r="HV25" s="2227">
        <v>27947.81</v>
      </c>
      <c r="HW25" s="2227">
        <v>17600.43</v>
      </c>
      <c r="HX25" s="2227">
        <v>16178.19</v>
      </c>
      <c r="HY25" s="2227">
        <v>16352.98</v>
      </c>
      <c r="HZ25" s="2227">
        <v>17663.22</v>
      </c>
      <c r="IA25" s="2227">
        <v>13276.32</v>
      </c>
      <c r="IB25" s="2227">
        <v>17760.310000000001</v>
      </c>
      <c r="IC25" s="2227">
        <v>17300.79</v>
      </c>
      <c r="ID25" s="2227">
        <v>20590.75</v>
      </c>
      <c r="IE25" s="2227">
        <v>20964.419999999998</v>
      </c>
      <c r="IF25" s="2227">
        <v>20167.22</v>
      </c>
      <c r="IG25" s="2227">
        <v>23055.22</v>
      </c>
      <c r="IH25" s="2227">
        <v>19831.509999999998</v>
      </c>
      <c r="II25" s="2227">
        <v>19591.71</v>
      </c>
      <c r="IJ25" s="2227">
        <v>29425.02</v>
      </c>
      <c r="IK25" s="2227">
        <v>19842.11</v>
      </c>
      <c r="IL25" s="2227">
        <v>23704.47</v>
      </c>
      <c r="IM25" s="2227">
        <v>20559.77</v>
      </c>
      <c r="IN25" s="2227">
        <v>31532.14</v>
      </c>
      <c r="IO25" s="2227">
        <v>32697.23</v>
      </c>
      <c r="IP25" s="2227">
        <v>30000</v>
      </c>
      <c r="IQ25" s="2227">
        <v>29610.62</v>
      </c>
      <c r="IR25" s="2227">
        <v>47423.08</v>
      </c>
      <c r="IS25" s="2227">
        <v>29593.51</v>
      </c>
      <c r="IT25" s="2227">
        <v>39960.46</v>
      </c>
      <c r="IU25" s="2227">
        <v>30524.99</v>
      </c>
      <c r="IV25" s="2227">
        <v>19839.91</v>
      </c>
    </row>
    <row r="26" spans="1:256">
      <c r="A26" s="2214">
        <v>17</v>
      </c>
      <c r="B26" s="2925">
        <v>16239.72</v>
      </c>
      <c r="C26" s="2227">
        <v>15714.64</v>
      </c>
      <c r="D26" s="2925">
        <v>15239.72</v>
      </c>
      <c r="E26" s="2227">
        <v>14441.61</v>
      </c>
      <c r="F26" s="2925">
        <v>14239.72</v>
      </c>
      <c r="G26" s="2227">
        <v>13701.21</v>
      </c>
      <c r="H26" s="2926">
        <v>13409</v>
      </c>
      <c r="I26" s="2925">
        <v>21252.91</v>
      </c>
      <c r="J26" s="2925">
        <v>21252.91</v>
      </c>
      <c r="K26" s="2227">
        <v>17356.78</v>
      </c>
      <c r="L26" s="2925">
        <v>18121</v>
      </c>
      <c r="M26" s="2227">
        <v>17356.78</v>
      </c>
      <c r="N26" s="2925">
        <v>18025.72</v>
      </c>
      <c r="O26" s="2925">
        <v>18025.72</v>
      </c>
      <c r="P26" s="2227">
        <v>16268.15</v>
      </c>
      <c r="Q26" s="2925">
        <v>17121</v>
      </c>
      <c r="R26" s="2227">
        <v>15809.06</v>
      </c>
      <c r="S26" s="2925">
        <v>16268.15</v>
      </c>
      <c r="T26" s="2925">
        <v>16420.900000000001</v>
      </c>
      <c r="U26" s="2227">
        <v>15809.06</v>
      </c>
      <c r="V26" s="2925">
        <v>16121</v>
      </c>
      <c r="W26" s="2227">
        <v>15096.61</v>
      </c>
      <c r="X26" s="2925">
        <v>15415.56</v>
      </c>
      <c r="Y26" s="2925">
        <v>15415.56</v>
      </c>
      <c r="Z26" s="2925">
        <v>15021</v>
      </c>
      <c r="AA26" s="2925">
        <v>23406.36</v>
      </c>
      <c r="AB26" s="2227">
        <v>20715.72</v>
      </c>
      <c r="AC26" s="2925">
        <v>21906.36</v>
      </c>
      <c r="AD26" s="2227">
        <v>20375.04</v>
      </c>
      <c r="AE26" s="2925">
        <v>20406.36</v>
      </c>
      <c r="AF26" s="2227">
        <v>19190.669999999998</v>
      </c>
      <c r="AG26" s="2925">
        <v>18906.36</v>
      </c>
      <c r="AH26" s="2925">
        <v>23678.83</v>
      </c>
      <c r="AI26" s="2925">
        <v>23690.67</v>
      </c>
      <c r="AJ26" s="2227">
        <v>22801.17</v>
      </c>
      <c r="AK26" s="2925">
        <v>22801.17</v>
      </c>
      <c r="AL26" s="2925">
        <v>22190.67</v>
      </c>
      <c r="AM26" s="2227">
        <v>20715.72</v>
      </c>
      <c r="AN26" s="2925">
        <v>20715.72</v>
      </c>
      <c r="AO26" s="2925">
        <v>20690.669999999998</v>
      </c>
      <c r="AP26" s="2227">
        <v>20375.04</v>
      </c>
      <c r="AQ26" s="2925">
        <v>20375.04</v>
      </c>
      <c r="AR26" s="2925">
        <v>19190.669999999998</v>
      </c>
      <c r="AS26" s="2923">
        <v>28314</v>
      </c>
      <c r="AT26" s="2227">
        <v>23206.58</v>
      </c>
      <c r="AU26" s="2923">
        <v>26141</v>
      </c>
      <c r="AV26" s="2227">
        <v>22534.28</v>
      </c>
      <c r="AW26" s="2923">
        <v>23968</v>
      </c>
      <c r="AX26" s="2227">
        <v>21405.64</v>
      </c>
      <c r="AY26" s="2923">
        <v>21468</v>
      </c>
      <c r="AZ26" s="2925">
        <v>29184</v>
      </c>
      <c r="BA26" s="2227">
        <v>25552.3</v>
      </c>
      <c r="BB26" s="2923">
        <v>28314</v>
      </c>
      <c r="BC26" s="2227">
        <v>24328.74</v>
      </c>
      <c r="BD26" s="2925">
        <v>30858</v>
      </c>
      <c r="BE26" s="2227">
        <v>27312.33</v>
      </c>
      <c r="BF26" s="2923">
        <v>28314</v>
      </c>
      <c r="BG26" s="2227">
        <v>26222.58</v>
      </c>
      <c r="BH26" s="2925">
        <v>27011</v>
      </c>
      <c r="BI26" s="2227">
        <v>24838.87</v>
      </c>
      <c r="BJ26" s="2923">
        <v>26141</v>
      </c>
      <c r="BK26" s="2227">
        <v>23516.98</v>
      </c>
      <c r="BL26" s="2925">
        <v>28808</v>
      </c>
      <c r="BM26" s="2227">
        <v>26727.16</v>
      </c>
      <c r="BN26" s="2923">
        <v>26677.03</v>
      </c>
      <c r="BO26" s="2227">
        <v>25807.03</v>
      </c>
      <c r="BP26" s="2925">
        <v>24838</v>
      </c>
      <c r="BQ26" s="2227">
        <v>22536.48</v>
      </c>
      <c r="BR26" s="2923">
        <v>23968</v>
      </c>
      <c r="BS26" s="2227">
        <v>22432.75</v>
      </c>
      <c r="BT26" s="2925">
        <v>25808</v>
      </c>
      <c r="BU26" s="2227">
        <v>23147.32</v>
      </c>
      <c r="BV26" s="2923">
        <v>24147</v>
      </c>
      <c r="BW26" s="2227">
        <v>22610.04</v>
      </c>
      <c r="BX26" s="2925">
        <v>22338</v>
      </c>
      <c r="BY26" s="2923">
        <v>21468</v>
      </c>
      <c r="BZ26" s="2924">
        <v>22808</v>
      </c>
      <c r="CA26" s="2923">
        <v>21468</v>
      </c>
      <c r="CB26" s="2227">
        <v>63730</v>
      </c>
      <c r="CC26" s="2227">
        <v>60730</v>
      </c>
      <c r="CD26" s="2227">
        <v>57730</v>
      </c>
      <c r="CE26" s="2227">
        <v>55940</v>
      </c>
      <c r="CF26" s="2227">
        <v>52940</v>
      </c>
      <c r="CG26" s="2227">
        <v>49940</v>
      </c>
      <c r="CH26" s="2227">
        <v>47720</v>
      </c>
      <c r="CI26" s="2227">
        <v>44720</v>
      </c>
      <c r="CJ26" s="2227">
        <v>41220</v>
      </c>
      <c r="CK26" s="2227">
        <v>40040</v>
      </c>
      <c r="CL26" s="2227">
        <v>37040</v>
      </c>
      <c r="CM26" s="2227">
        <v>34040</v>
      </c>
      <c r="CN26" s="2227">
        <v>31445</v>
      </c>
      <c r="CO26" s="2227">
        <v>29445</v>
      </c>
      <c r="CP26" s="2227">
        <v>18264.900000000001</v>
      </c>
      <c r="CQ26" s="2227">
        <v>12980.05</v>
      </c>
      <c r="CR26" s="2227">
        <v>14818.36</v>
      </c>
      <c r="CS26" s="2227">
        <v>29289.119999999999</v>
      </c>
      <c r="CT26" s="2227">
        <v>18025.72</v>
      </c>
      <c r="CU26" s="2227">
        <v>20959.439999999999</v>
      </c>
      <c r="CV26" s="2227">
        <v>20959.439999999999</v>
      </c>
      <c r="CW26" s="2227">
        <v>20959.439999999999</v>
      </c>
      <c r="CX26" s="2227">
        <v>20959.439999999999</v>
      </c>
      <c r="CY26" s="2227">
        <v>19600</v>
      </c>
      <c r="CZ26" s="2227">
        <v>22801.17</v>
      </c>
      <c r="DA26" s="2227">
        <v>21252.91</v>
      </c>
      <c r="DB26" s="2227">
        <v>20375.04</v>
      </c>
      <c r="DC26" s="2227">
        <v>20715.72</v>
      </c>
      <c r="DD26" s="2227">
        <v>17974.919999999998</v>
      </c>
      <c r="DE26" s="2227">
        <v>18906.36</v>
      </c>
      <c r="DF26" s="2227">
        <v>18968.48</v>
      </c>
      <c r="DG26" s="2227">
        <v>18900</v>
      </c>
      <c r="DH26" s="2227">
        <v>17650</v>
      </c>
      <c r="DI26" s="2227">
        <v>14570.77</v>
      </c>
      <c r="DJ26" s="2227">
        <v>14570.77</v>
      </c>
      <c r="DK26" s="2227">
        <v>18850</v>
      </c>
      <c r="DL26" s="2227">
        <v>21113.439999999999</v>
      </c>
      <c r="DM26" s="2227">
        <v>21500</v>
      </c>
      <c r="DN26" s="2227">
        <v>13510.23</v>
      </c>
      <c r="DO26" s="2227">
        <v>22432.75</v>
      </c>
      <c r="DP26" s="2227">
        <v>16212.32</v>
      </c>
      <c r="DQ26" s="2227">
        <v>31081.64</v>
      </c>
      <c r="DR26" s="2227">
        <v>19190.669999999998</v>
      </c>
      <c r="DS26" s="2227">
        <v>14850</v>
      </c>
      <c r="DT26" s="2227">
        <v>15137.04</v>
      </c>
      <c r="DU26" s="2227">
        <v>15047.17</v>
      </c>
      <c r="DV26" s="2227">
        <v>20375.04</v>
      </c>
      <c r="DW26" s="2227">
        <v>15096.61</v>
      </c>
      <c r="DX26" s="2227">
        <v>24400</v>
      </c>
      <c r="DY26" s="2227">
        <v>16675.61</v>
      </c>
      <c r="DZ26" s="2227">
        <v>22610.04</v>
      </c>
      <c r="EA26" s="2227">
        <v>20133.16</v>
      </c>
      <c r="EB26" s="2227">
        <v>34090.93</v>
      </c>
      <c r="EC26" s="2227">
        <v>22793.93</v>
      </c>
      <c r="ED26" s="2227">
        <v>17972.310000000001</v>
      </c>
      <c r="EE26" s="2227">
        <v>15550</v>
      </c>
      <c r="EF26" s="2227">
        <v>16268.15</v>
      </c>
      <c r="EG26" s="2227">
        <v>17356.78</v>
      </c>
      <c r="EH26" s="2227">
        <v>16956</v>
      </c>
      <c r="EI26" s="2227">
        <v>22583.200000000001</v>
      </c>
      <c r="EJ26" s="2227">
        <v>26727.16</v>
      </c>
      <c r="EK26" s="2227">
        <v>18945.75</v>
      </c>
      <c r="EL26" s="2227">
        <v>16956.009999999998</v>
      </c>
      <c r="EM26" s="2227">
        <v>35026.97</v>
      </c>
      <c r="EN26" s="2227">
        <v>23147.32</v>
      </c>
      <c r="EO26" s="2227">
        <v>14402.16</v>
      </c>
      <c r="EP26" s="2227">
        <v>16400</v>
      </c>
      <c r="EQ26" s="2227">
        <v>18540.990000000002</v>
      </c>
      <c r="ER26" s="2227">
        <v>21467.63</v>
      </c>
      <c r="ES26" s="2227">
        <v>18628.22</v>
      </c>
      <c r="ET26" s="2227">
        <v>14441.61</v>
      </c>
      <c r="EU26" s="2227">
        <v>20401.68</v>
      </c>
      <c r="EV26" s="2227">
        <v>22536.48</v>
      </c>
      <c r="EW26" s="2227">
        <v>18922.38</v>
      </c>
      <c r="EX26" s="2227">
        <v>20087.52</v>
      </c>
      <c r="EY26" s="2227">
        <v>21750</v>
      </c>
      <c r="EZ26" s="2227">
        <v>30441.39</v>
      </c>
      <c r="FA26" s="2227">
        <v>16339.38</v>
      </c>
      <c r="FB26" s="2227">
        <v>15580.22</v>
      </c>
      <c r="FC26" s="2227">
        <v>32250</v>
      </c>
      <c r="FD26" s="2227">
        <v>30000</v>
      </c>
      <c r="FE26" s="2227">
        <v>38625.64</v>
      </c>
      <c r="FF26" s="2227">
        <v>14250</v>
      </c>
      <c r="FG26" s="2227">
        <v>25807.03</v>
      </c>
      <c r="FH26" s="2227">
        <v>18889.52</v>
      </c>
      <c r="FI26" s="2227">
        <v>15809.06</v>
      </c>
      <c r="FJ26" s="2227">
        <v>14764.92</v>
      </c>
      <c r="FK26" s="2227">
        <v>23516.98</v>
      </c>
      <c r="FL26" s="2227">
        <v>17947.580000000002</v>
      </c>
      <c r="FM26" s="2227">
        <v>21077.27</v>
      </c>
      <c r="FN26" s="2227">
        <v>19600</v>
      </c>
      <c r="FO26" s="2227">
        <v>27132.06</v>
      </c>
      <c r="FP26" s="2227">
        <v>19980.25</v>
      </c>
      <c r="FQ26" s="2227">
        <v>15995.82</v>
      </c>
      <c r="FR26" s="2227">
        <v>25950</v>
      </c>
      <c r="FS26" s="2227">
        <v>32250</v>
      </c>
      <c r="FT26" s="2227">
        <v>27987.18</v>
      </c>
      <c r="FU26" s="2227">
        <v>22062.57</v>
      </c>
      <c r="FV26" s="2227">
        <v>31250</v>
      </c>
      <c r="FW26" s="2227">
        <v>17072.52</v>
      </c>
      <c r="FX26" s="2227">
        <v>19236.64</v>
      </c>
      <c r="FY26" s="2227">
        <v>14865.67</v>
      </c>
      <c r="FZ26" s="2227">
        <v>19927.830000000002</v>
      </c>
      <c r="GA26" s="2227">
        <v>24861.49</v>
      </c>
      <c r="GB26" s="2227">
        <v>27312.33</v>
      </c>
      <c r="GC26" s="2227">
        <v>16212.32</v>
      </c>
      <c r="GD26" s="2227">
        <v>13631.09</v>
      </c>
      <c r="GE26" s="2227">
        <v>26599.03</v>
      </c>
      <c r="GF26" s="2227">
        <v>26650</v>
      </c>
      <c r="GG26" s="2227">
        <v>41184.82</v>
      </c>
      <c r="GH26" s="2227">
        <v>17947.490000000002</v>
      </c>
      <c r="GI26" s="2227">
        <v>18073.34</v>
      </c>
      <c r="GJ26" s="2227">
        <v>14278.7</v>
      </c>
      <c r="GK26" s="2227">
        <v>17458.32</v>
      </c>
      <c r="GL26" s="2227">
        <v>22534.28</v>
      </c>
      <c r="GM26" s="2227">
        <v>16726.86</v>
      </c>
      <c r="GN26" s="2227">
        <v>19670.310000000001</v>
      </c>
      <c r="GO26" s="2227">
        <v>18792.88</v>
      </c>
      <c r="GP26" s="2227">
        <v>22095.45</v>
      </c>
      <c r="GQ26" s="2227">
        <v>14715.06</v>
      </c>
      <c r="GR26" s="2227">
        <v>14466.81</v>
      </c>
      <c r="GS26" s="2227">
        <v>15193.98</v>
      </c>
      <c r="GT26" s="2227">
        <v>16675.61</v>
      </c>
      <c r="GU26" s="2227">
        <v>20030.52</v>
      </c>
      <c r="GV26" s="2227">
        <v>18084.009999999998</v>
      </c>
      <c r="GW26" s="2227">
        <v>34382.86</v>
      </c>
      <c r="GX26" s="2227">
        <v>38148.19</v>
      </c>
      <c r="GY26" s="2227">
        <v>41416.910000000003</v>
      </c>
      <c r="GZ26" s="2227">
        <v>13827.44</v>
      </c>
      <c r="HA26" s="2227">
        <v>13401.21</v>
      </c>
      <c r="HB26" s="2227">
        <v>17947.580000000002</v>
      </c>
      <c r="HC26" s="2227">
        <v>16005.1</v>
      </c>
      <c r="HD26" s="2227">
        <v>16666.11</v>
      </c>
      <c r="HE26" s="2227">
        <v>23351.68</v>
      </c>
      <c r="HF26" s="2227">
        <v>23650</v>
      </c>
      <c r="HG26" s="2227">
        <v>21898.54</v>
      </c>
      <c r="HH26" s="2227">
        <v>21500</v>
      </c>
      <c r="HI26" s="2227">
        <v>20077.38</v>
      </c>
      <c r="HJ26" s="2227">
        <v>21077.27</v>
      </c>
      <c r="HK26" s="2227">
        <v>25552.3</v>
      </c>
      <c r="HL26" s="2227">
        <v>36150</v>
      </c>
      <c r="HM26" s="2227">
        <v>17947.57</v>
      </c>
      <c r="HN26" s="2227">
        <v>17005.59</v>
      </c>
      <c r="HO26" s="2227">
        <v>15047.17</v>
      </c>
      <c r="HP26" s="2227">
        <v>20001.560000000001</v>
      </c>
      <c r="HQ26" s="2227">
        <v>24861.49</v>
      </c>
      <c r="HR26" s="2227">
        <v>29650</v>
      </c>
      <c r="HS26" s="2227">
        <v>20327.29</v>
      </c>
      <c r="HT26" s="2227">
        <v>22136.93</v>
      </c>
      <c r="HU26" s="2227">
        <v>30588.49</v>
      </c>
      <c r="HV26" s="2227">
        <v>28897.02</v>
      </c>
      <c r="HW26" s="2227">
        <v>17947.48</v>
      </c>
      <c r="HX26" s="2227">
        <v>16339.38</v>
      </c>
      <c r="HY26" s="2227">
        <v>16514.169999999998</v>
      </c>
      <c r="HZ26" s="2227">
        <v>17805.79</v>
      </c>
      <c r="IA26" s="2227">
        <v>13401.21</v>
      </c>
      <c r="IB26" s="2227">
        <v>17931.93</v>
      </c>
      <c r="IC26" s="2227">
        <v>17425.98</v>
      </c>
      <c r="ID26" s="2227">
        <v>21214.65</v>
      </c>
      <c r="IE26" s="2227">
        <v>21207.360000000001</v>
      </c>
      <c r="IF26" s="2227">
        <v>20533.14</v>
      </c>
      <c r="IG26" s="2227">
        <v>23678.83</v>
      </c>
      <c r="IH26" s="2227">
        <v>20327.3</v>
      </c>
      <c r="II26" s="2227">
        <v>20092.46</v>
      </c>
      <c r="IJ26" s="2227">
        <v>29697.71</v>
      </c>
      <c r="IK26" s="2227">
        <v>20280.27</v>
      </c>
      <c r="IL26" s="2227">
        <v>24328.74</v>
      </c>
      <c r="IM26" s="2227">
        <v>21196.51</v>
      </c>
      <c r="IN26" s="2227">
        <v>32077.51</v>
      </c>
      <c r="IO26" s="2227">
        <v>33787.97</v>
      </c>
      <c r="IP26" s="2227">
        <v>30000</v>
      </c>
      <c r="IQ26" s="2227">
        <v>30588.49</v>
      </c>
      <c r="IR26" s="2227">
        <v>47423.08</v>
      </c>
      <c r="IS26" s="2227">
        <v>30570.79</v>
      </c>
      <c r="IT26" s="2227">
        <v>41249.51</v>
      </c>
      <c r="IU26" s="2227">
        <v>30876.26</v>
      </c>
      <c r="IV26" s="2227">
        <v>20375.04</v>
      </c>
    </row>
    <row r="27" spans="1:256">
      <c r="A27" s="2214">
        <v>18</v>
      </c>
      <c r="B27" s="2925">
        <v>16239.72</v>
      </c>
      <c r="C27" s="2227">
        <v>15714.64</v>
      </c>
      <c r="D27" s="2925">
        <v>15239.72</v>
      </c>
      <c r="E27" s="2227">
        <v>14441.61</v>
      </c>
      <c r="F27" s="2925">
        <v>14239.72</v>
      </c>
      <c r="G27" s="2227">
        <v>13701.21</v>
      </c>
      <c r="H27" s="2926">
        <v>13436</v>
      </c>
      <c r="I27" s="2925">
        <v>21252.91</v>
      </c>
      <c r="J27" s="2925">
        <v>21252.91</v>
      </c>
      <c r="K27" s="2227">
        <v>17356.78</v>
      </c>
      <c r="L27" s="2925">
        <v>18243</v>
      </c>
      <c r="M27" s="2227">
        <v>17356.78</v>
      </c>
      <c r="N27" s="2925">
        <v>18025.72</v>
      </c>
      <c r="O27" s="2925">
        <v>18025.72</v>
      </c>
      <c r="P27" s="2227">
        <v>16268.15</v>
      </c>
      <c r="Q27" s="2925">
        <v>17243</v>
      </c>
      <c r="R27" s="2227">
        <v>15809.06</v>
      </c>
      <c r="S27" s="2925">
        <v>16268.15</v>
      </c>
      <c r="T27" s="2925">
        <v>16420.900000000001</v>
      </c>
      <c r="U27" s="2227">
        <v>15809.06</v>
      </c>
      <c r="V27" s="2925">
        <v>16243</v>
      </c>
      <c r="W27" s="2227">
        <v>15096.61</v>
      </c>
      <c r="X27" s="2925">
        <v>15415.56</v>
      </c>
      <c r="Y27" s="2925">
        <v>15415.56</v>
      </c>
      <c r="Z27" s="2925">
        <v>15143</v>
      </c>
      <c r="AA27" s="2925">
        <v>23406.36</v>
      </c>
      <c r="AB27" s="2227">
        <v>20715.72</v>
      </c>
      <c r="AC27" s="2925">
        <v>21906.36</v>
      </c>
      <c r="AD27" s="2227">
        <v>20375.04</v>
      </c>
      <c r="AE27" s="2925">
        <v>20406.36</v>
      </c>
      <c r="AF27" s="2227">
        <v>19190.669999999998</v>
      </c>
      <c r="AG27" s="2925">
        <v>18906.36</v>
      </c>
      <c r="AH27" s="2925">
        <v>23678.83</v>
      </c>
      <c r="AI27" s="2925">
        <v>23690.67</v>
      </c>
      <c r="AJ27" s="2227">
        <v>22801.17</v>
      </c>
      <c r="AK27" s="2925">
        <v>22801.17</v>
      </c>
      <c r="AL27" s="2925">
        <v>22190.67</v>
      </c>
      <c r="AM27" s="2227">
        <v>20715.72</v>
      </c>
      <c r="AN27" s="2925">
        <v>20715.72</v>
      </c>
      <c r="AO27" s="2925">
        <v>20690.669999999998</v>
      </c>
      <c r="AP27" s="2227">
        <v>20375.04</v>
      </c>
      <c r="AQ27" s="2925">
        <v>20375.04</v>
      </c>
      <c r="AR27" s="2925">
        <v>19190.669999999998</v>
      </c>
      <c r="AS27" s="2923">
        <v>28314</v>
      </c>
      <c r="AT27" s="2227">
        <v>23206.58</v>
      </c>
      <c r="AU27" s="2923">
        <v>26141</v>
      </c>
      <c r="AV27" s="2227">
        <v>22534.28</v>
      </c>
      <c r="AW27" s="2923">
        <v>23968</v>
      </c>
      <c r="AX27" s="2227">
        <v>21405.64</v>
      </c>
      <c r="AY27" s="2923">
        <v>21468</v>
      </c>
      <c r="AZ27" s="2925">
        <v>29184</v>
      </c>
      <c r="BA27" s="2227">
        <v>25552.3</v>
      </c>
      <c r="BB27" s="2923">
        <v>28314</v>
      </c>
      <c r="BC27" s="2227">
        <v>24328.74</v>
      </c>
      <c r="BD27" s="2925">
        <v>30858</v>
      </c>
      <c r="BE27" s="2227">
        <v>27312.33</v>
      </c>
      <c r="BF27" s="2923">
        <v>28314</v>
      </c>
      <c r="BG27" s="2227">
        <v>26222.58</v>
      </c>
      <c r="BH27" s="2925">
        <v>27011</v>
      </c>
      <c r="BI27" s="2227">
        <v>24838.87</v>
      </c>
      <c r="BJ27" s="2923">
        <v>26141</v>
      </c>
      <c r="BK27" s="2227">
        <v>23516.98</v>
      </c>
      <c r="BL27" s="2925">
        <v>28808</v>
      </c>
      <c r="BM27" s="2227">
        <v>26727.16</v>
      </c>
      <c r="BN27" s="2923">
        <v>26677.03</v>
      </c>
      <c r="BO27" s="2227">
        <v>25807.03</v>
      </c>
      <c r="BP27" s="2925">
        <v>24838</v>
      </c>
      <c r="BQ27" s="2227">
        <v>22536.48</v>
      </c>
      <c r="BR27" s="2923">
        <v>23968</v>
      </c>
      <c r="BS27" s="2227">
        <v>22432.75</v>
      </c>
      <c r="BT27" s="2925">
        <v>25808</v>
      </c>
      <c r="BU27" s="2227">
        <v>23147.32</v>
      </c>
      <c r="BV27" s="2923">
        <v>24147</v>
      </c>
      <c r="BW27" s="2227">
        <v>22610.04</v>
      </c>
      <c r="BX27" s="2925">
        <v>22338</v>
      </c>
      <c r="BY27" s="2923">
        <v>21468</v>
      </c>
      <c r="BZ27" s="2924">
        <v>22808</v>
      </c>
      <c r="CA27" s="2923">
        <v>21468</v>
      </c>
      <c r="CB27" s="2227">
        <v>64340</v>
      </c>
      <c r="CC27" s="2227">
        <v>61340</v>
      </c>
      <c r="CD27" s="2227">
        <v>58340</v>
      </c>
      <c r="CE27" s="2227">
        <v>56550</v>
      </c>
      <c r="CF27" s="2227">
        <v>53550</v>
      </c>
      <c r="CG27" s="2227">
        <v>50550</v>
      </c>
      <c r="CH27" s="2227">
        <v>48240</v>
      </c>
      <c r="CI27" s="2227">
        <v>45240</v>
      </c>
      <c r="CJ27" s="2227">
        <v>41740</v>
      </c>
      <c r="CK27" s="2227">
        <v>40520</v>
      </c>
      <c r="CL27" s="2227">
        <v>37520</v>
      </c>
      <c r="CM27" s="2227">
        <v>34520</v>
      </c>
      <c r="CN27" s="2227">
        <v>31890</v>
      </c>
      <c r="CO27" s="2227">
        <v>29890</v>
      </c>
      <c r="CP27" s="2227">
        <v>18264.900000000001</v>
      </c>
      <c r="CQ27" s="2227">
        <v>12980.05</v>
      </c>
      <c r="CR27" s="2227">
        <v>14818.36</v>
      </c>
      <c r="CS27" s="2227">
        <v>29289.119999999999</v>
      </c>
      <c r="CT27" s="2227">
        <v>18025.72</v>
      </c>
      <c r="CU27" s="2227">
        <v>21202.38</v>
      </c>
      <c r="CV27" s="2227">
        <v>21202.38</v>
      </c>
      <c r="CW27" s="2227">
        <v>21202.38</v>
      </c>
      <c r="CX27" s="2227">
        <v>21202.38</v>
      </c>
      <c r="CY27" s="2227">
        <v>19600</v>
      </c>
      <c r="CZ27" s="2227">
        <v>22801.17</v>
      </c>
      <c r="DA27" s="2227">
        <v>21252.91</v>
      </c>
      <c r="DB27" s="2227">
        <v>20375.04</v>
      </c>
      <c r="DC27" s="2227">
        <v>20715.72</v>
      </c>
      <c r="DD27" s="2227">
        <v>18104.330000000002</v>
      </c>
      <c r="DE27" s="2227">
        <v>18906.36</v>
      </c>
      <c r="DF27" s="2227">
        <v>18968.48</v>
      </c>
      <c r="DG27" s="2227">
        <v>18900</v>
      </c>
      <c r="DH27" s="2227">
        <v>17650</v>
      </c>
      <c r="DI27" s="2227">
        <v>14570.77</v>
      </c>
      <c r="DJ27" s="2227">
        <v>14570.77</v>
      </c>
      <c r="DK27" s="2227">
        <v>18850</v>
      </c>
      <c r="DL27" s="2227">
        <v>21113.439999999999</v>
      </c>
      <c r="DM27" s="2227">
        <v>21500</v>
      </c>
      <c r="DN27" s="2227">
        <v>13510.23</v>
      </c>
      <c r="DO27" s="2227">
        <v>22432.75</v>
      </c>
      <c r="DP27" s="2227">
        <v>16212.32</v>
      </c>
      <c r="DQ27" s="2227">
        <v>31081.64</v>
      </c>
      <c r="DR27" s="2227">
        <v>19190.669999999998</v>
      </c>
      <c r="DS27" s="2227">
        <v>14850</v>
      </c>
      <c r="DT27" s="2227">
        <v>15229.26</v>
      </c>
      <c r="DU27" s="2227">
        <v>15047.17</v>
      </c>
      <c r="DV27" s="2227">
        <v>20375.04</v>
      </c>
      <c r="DW27" s="2227">
        <v>15096.61</v>
      </c>
      <c r="DX27" s="2227">
        <v>24400</v>
      </c>
      <c r="DY27" s="2227">
        <v>16840.12</v>
      </c>
      <c r="DZ27" s="2227">
        <v>22610.04</v>
      </c>
      <c r="EA27" s="2227">
        <v>20133.16</v>
      </c>
      <c r="EB27" s="2227">
        <v>34090.93</v>
      </c>
      <c r="EC27" s="2227">
        <v>23034.39</v>
      </c>
      <c r="ED27" s="2227">
        <v>17972.310000000001</v>
      </c>
      <c r="EE27" s="2227">
        <v>15550</v>
      </c>
      <c r="EF27" s="2227">
        <v>16268.15</v>
      </c>
      <c r="EG27" s="2227">
        <v>17356.78</v>
      </c>
      <c r="EH27" s="2227">
        <v>16956</v>
      </c>
      <c r="EI27" s="2227">
        <v>22855.89</v>
      </c>
      <c r="EJ27" s="2227">
        <v>26727.16</v>
      </c>
      <c r="EK27" s="2227">
        <v>18945.75</v>
      </c>
      <c r="EL27" s="2227">
        <v>16956.009999999998</v>
      </c>
      <c r="EM27" s="2227">
        <v>35026.97</v>
      </c>
      <c r="EN27" s="2227">
        <v>23147.32</v>
      </c>
      <c r="EO27" s="2227">
        <v>14462.95</v>
      </c>
      <c r="EP27" s="2227">
        <v>16400</v>
      </c>
      <c r="EQ27" s="2227">
        <v>18852.89</v>
      </c>
      <c r="ER27" s="2227">
        <v>21705.61</v>
      </c>
      <c r="ES27" s="2227">
        <v>18858.07</v>
      </c>
      <c r="ET27" s="2227">
        <v>14441.61</v>
      </c>
      <c r="EU27" s="2227">
        <v>20401.68</v>
      </c>
      <c r="EV27" s="2227">
        <v>22536.48</v>
      </c>
      <c r="EW27" s="2227">
        <v>19240.68</v>
      </c>
      <c r="EX27" s="2227">
        <v>20453.439999999999</v>
      </c>
      <c r="EY27" s="2227">
        <v>21750</v>
      </c>
      <c r="EZ27" s="2227">
        <v>30937.18</v>
      </c>
      <c r="FA27" s="2227">
        <v>16500.57</v>
      </c>
      <c r="FB27" s="2227">
        <v>15642.2</v>
      </c>
      <c r="FC27" s="2227">
        <v>33750</v>
      </c>
      <c r="FD27" s="2227">
        <v>31500</v>
      </c>
      <c r="FE27" s="2227">
        <v>39963.370000000003</v>
      </c>
      <c r="FF27" s="2227">
        <v>14250</v>
      </c>
      <c r="FG27" s="2227">
        <v>25807.03</v>
      </c>
      <c r="FH27" s="2227">
        <v>18889.52</v>
      </c>
      <c r="FI27" s="2227">
        <v>15809.06</v>
      </c>
      <c r="FJ27" s="2227">
        <v>14836.47</v>
      </c>
      <c r="FK27" s="2227">
        <v>23516.98</v>
      </c>
      <c r="FL27" s="2227">
        <v>17947.580000000002</v>
      </c>
      <c r="FM27" s="2227">
        <v>21495.599999999999</v>
      </c>
      <c r="FN27" s="2227">
        <v>19600</v>
      </c>
      <c r="FO27" s="2227">
        <v>27342.77</v>
      </c>
      <c r="FP27" s="2227">
        <v>19980.25</v>
      </c>
      <c r="FQ27" s="2227">
        <v>16156.61</v>
      </c>
      <c r="FR27" s="2227">
        <v>25950</v>
      </c>
      <c r="FS27" s="2227">
        <v>33750</v>
      </c>
      <c r="FT27" s="2227">
        <v>27987.18</v>
      </c>
      <c r="FU27" s="2227">
        <v>22062.57</v>
      </c>
      <c r="FV27" s="2227">
        <v>32750</v>
      </c>
      <c r="FW27" s="2227">
        <v>17176.64</v>
      </c>
      <c r="FX27" s="2227">
        <v>19360.59</v>
      </c>
      <c r="FY27" s="2227">
        <v>14865.67</v>
      </c>
      <c r="FZ27" s="2227">
        <v>20115.689999999999</v>
      </c>
      <c r="GA27" s="2227">
        <v>25373.97</v>
      </c>
      <c r="GB27" s="2227">
        <v>27312.33</v>
      </c>
      <c r="GC27" s="2227">
        <v>16212.32</v>
      </c>
      <c r="GD27" s="2227">
        <v>13631.09</v>
      </c>
      <c r="GE27" s="2227">
        <v>26871.72</v>
      </c>
      <c r="GF27" s="2227">
        <v>26650</v>
      </c>
      <c r="GG27" s="2227">
        <v>42473.97</v>
      </c>
      <c r="GH27" s="2227">
        <v>17947.490000000002</v>
      </c>
      <c r="GI27" s="2227">
        <v>18073.34</v>
      </c>
      <c r="GJ27" s="2227">
        <v>14278.7</v>
      </c>
      <c r="GK27" s="2227">
        <v>17661.82</v>
      </c>
      <c r="GL27" s="2227">
        <v>22534.28</v>
      </c>
      <c r="GM27" s="2227">
        <v>16888.16</v>
      </c>
      <c r="GN27" s="2227">
        <v>19806.650000000001</v>
      </c>
      <c r="GO27" s="2227">
        <v>18940.310000000001</v>
      </c>
      <c r="GP27" s="2227">
        <v>22095.45</v>
      </c>
      <c r="GQ27" s="2227">
        <v>14715.06</v>
      </c>
      <c r="GR27" s="2227">
        <v>14536.89</v>
      </c>
      <c r="GS27" s="2227">
        <v>15265.53</v>
      </c>
      <c r="GT27" s="2227">
        <v>16840.12</v>
      </c>
      <c r="GU27" s="2227">
        <v>20030.52</v>
      </c>
      <c r="GV27" s="2227">
        <v>18084.009999999998</v>
      </c>
      <c r="GW27" s="2227">
        <v>34878.65</v>
      </c>
      <c r="GX27" s="2227">
        <v>38148.19</v>
      </c>
      <c r="GY27" s="2227">
        <v>42754.64</v>
      </c>
      <c r="GZ27" s="2227">
        <v>13827.44</v>
      </c>
      <c r="HA27" s="2227">
        <v>13401.21</v>
      </c>
      <c r="HB27" s="2227">
        <v>17947.580000000002</v>
      </c>
      <c r="HC27" s="2227">
        <v>16165.99</v>
      </c>
      <c r="HD27" s="2227">
        <v>16830.54</v>
      </c>
      <c r="HE27" s="2227">
        <v>23619.41</v>
      </c>
      <c r="HF27" s="2227">
        <v>23650</v>
      </c>
      <c r="HG27" s="2227">
        <v>22126.63</v>
      </c>
      <c r="HH27" s="2227">
        <v>21500</v>
      </c>
      <c r="HI27" s="2227">
        <v>20077.38</v>
      </c>
      <c r="HJ27" s="2227">
        <v>21495.599999999999</v>
      </c>
      <c r="HK27" s="2227">
        <v>25552.3</v>
      </c>
      <c r="HL27" s="2227">
        <v>37650</v>
      </c>
      <c r="HM27" s="2227">
        <v>17947.57</v>
      </c>
      <c r="HN27" s="2227">
        <v>17005.59</v>
      </c>
      <c r="HO27" s="2227">
        <v>15047.17</v>
      </c>
      <c r="HP27" s="2227">
        <v>20319.82</v>
      </c>
      <c r="HQ27" s="2227">
        <v>25373.97</v>
      </c>
      <c r="HR27" s="2227">
        <v>29650</v>
      </c>
      <c r="HS27" s="2227">
        <v>20327.29</v>
      </c>
      <c r="HT27" s="2227">
        <v>22136.93</v>
      </c>
      <c r="HU27" s="2227">
        <v>30588.49</v>
      </c>
      <c r="HV27" s="2227">
        <v>28897.02</v>
      </c>
      <c r="HW27" s="2227">
        <v>17947.48</v>
      </c>
      <c r="HX27" s="2227">
        <v>16500.57</v>
      </c>
      <c r="HY27" s="2227">
        <v>16675.36</v>
      </c>
      <c r="HZ27" s="2227">
        <v>17948.36</v>
      </c>
      <c r="IA27" s="2227">
        <v>13401.21</v>
      </c>
      <c r="IB27" s="2227">
        <v>18103.55</v>
      </c>
      <c r="IC27" s="2227">
        <v>17425.98</v>
      </c>
      <c r="ID27" s="2227">
        <v>21214.65</v>
      </c>
      <c r="IE27" s="2227">
        <v>21450.3</v>
      </c>
      <c r="IF27" s="2227">
        <v>20899.060000000001</v>
      </c>
      <c r="IG27" s="2227">
        <v>23678.83</v>
      </c>
      <c r="IH27" s="2227">
        <v>20327.3</v>
      </c>
      <c r="II27" s="2227">
        <v>20092.46</v>
      </c>
      <c r="IJ27" s="2227">
        <v>29970.400000000001</v>
      </c>
      <c r="IK27" s="2227">
        <v>20280.27</v>
      </c>
      <c r="IL27" s="2227">
        <v>24328.74</v>
      </c>
      <c r="IM27" s="2227">
        <v>21196.51</v>
      </c>
      <c r="IN27" s="2227">
        <v>32622.880000000001</v>
      </c>
      <c r="IO27" s="2227">
        <v>33787.97</v>
      </c>
      <c r="IP27" s="2227">
        <v>31500</v>
      </c>
      <c r="IQ27" s="2227">
        <v>30588.49</v>
      </c>
      <c r="IR27" s="2227">
        <v>48760.81</v>
      </c>
      <c r="IS27" s="2227">
        <v>30570.79</v>
      </c>
      <c r="IT27" s="2227">
        <v>41249.51</v>
      </c>
      <c r="IU27" s="2227">
        <v>31227.53</v>
      </c>
      <c r="IV27" s="2227">
        <v>20375.04</v>
      </c>
    </row>
    <row r="28" spans="1:256">
      <c r="A28" s="2214">
        <v>19</v>
      </c>
      <c r="B28" s="2925">
        <v>16299.06</v>
      </c>
      <c r="C28" s="2227">
        <v>15876.24</v>
      </c>
      <c r="D28" s="2925">
        <v>15299.06</v>
      </c>
      <c r="E28" s="2227">
        <v>14603.21</v>
      </c>
      <c r="F28" s="2925">
        <v>14299.06</v>
      </c>
      <c r="G28" s="2227">
        <v>13826.1</v>
      </c>
      <c r="H28" s="2926">
        <v>13463</v>
      </c>
      <c r="I28" s="2925">
        <v>21605.94</v>
      </c>
      <c r="J28" s="2925">
        <v>21605.94</v>
      </c>
      <c r="K28" s="2227">
        <v>17705.830000000002</v>
      </c>
      <c r="L28" s="2925">
        <v>18410.88</v>
      </c>
      <c r="M28" s="2227">
        <v>17705.830000000002</v>
      </c>
      <c r="N28" s="2925">
        <v>18374.77</v>
      </c>
      <c r="O28" s="2925">
        <v>18374.77</v>
      </c>
      <c r="P28" s="2227">
        <v>16617.2</v>
      </c>
      <c r="Q28" s="2925">
        <v>17410.88</v>
      </c>
      <c r="R28" s="2227">
        <v>16158.11</v>
      </c>
      <c r="S28" s="2925">
        <v>16617.2</v>
      </c>
      <c r="T28" s="2925">
        <v>16769.95</v>
      </c>
      <c r="U28" s="2227">
        <v>16158.11</v>
      </c>
      <c r="V28" s="2925">
        <v>16365</v>
      </c>
      <c r="W28" s="2227">
        <v>15445.66</v>
      </c>
      <c r="X28" s="2925">
        <v>15764.61</v>
      </c>
      <c r="Y28" s="2925">
        <v>15764.61</v>
      </c>
      <c r="Z28" s="2925">
        <v>15265</v>
      </c>
      <c r="AA28" s="2925">
        <v>24029.97</v>
      </c>
      <c r="AB28" s="2227">
        <v>21339.33</v>
      </c>
      <c r="AC28" s="2925">
        <v>22529.97</v>
      </c>
      <c r="AD28" s="2227">
        <v>20910.169999999998</v>
      </c>
      <c r="AE28" s="2925">
        <v>21029.97</v>
      </c>
      <c r="AF28" s="2227">
        <v>19814.28</v>
      </c>
      <c r="AG28" s="2925">
        <v>19529.97</v>
      </c>
      <c r="AH28" s="2925">
        <v>24302.44</v>
      </c>
      <c r="AI28" s="2925">
        <v>24314.28</v>
      </c>
      <c r="AJ28" s="2227">
        <v>23424.78</v>
      </c>
      <c r="AK28" s="2925">
        <v>23424.78</v>
      </c>
      <c r="AL28" s="2925">
        <v>22814.28</v>
      </c>
      <c r="AM28" s="2227">
        <v>21339.33</v>
      </c>
      <c r="AN28" s="2925">
        <v>21339.33</v>
      </c>
      <c r="AO28" s="2925">
        <v>21314.28</v>
      </c>
      <c r="AP28" s="2227">
        <v>20910.169999999998</v>
      </c>
      <c r="AQ28" s="2925">
        <v>20910.169999999998</v>
      </c>
      <c r="AR28" s="2925">
        <v>19814.28</v>
      </c>
      <c r="AS28" s="2923">
        <v>29232</v>
      </c>
      <c r="AT28" s="2227">
        <v>23830.85</v>
      </c>
      <c r="AU28" s="2923">
        <v>26992</v>
      </c>
      <c r="AV28" s="2227">
        <v>23158.55</v>
      </c>
      <c r="AW28" s="2923">
        <v>24593</v>
      </c>
      <c r="AX28" s="2227">
        <v>21903.78</v>
      </c>
      <c r="AY28" s="2923">
        <v>22093</v>
      </c>
      <c r="AZ28" s="2925">
        <v>30102</v>
      </c>
      <c r="BA28" s="2227">
        <v>26087.43</v>
      </c>
      <c r="BB28" s="2923">
        <v>29232</v>
      </c>
      <c r="BC28" s="2227">
        <v>24953.01</v>
      </c>
      <c r="BD28" s="2925">
        <v>31602</v>
      </c>
      <c r="BE28" s="2227">
        <v>27991.67</v>
      </c>
      <c r="BF28" s="2923">
        <v>29232</v>
      </c>
      <c r="BG28" s="2227">
        <v>26846.85</v>
      </c>
      <c r="BH28" s="2925">
        <v>27862</v>
      </c>
      <c r="BI28" s="2227">
        <v>25374</v>
      </c>
      <c r="BJ28" s="2923">
        <v>26992</v>
      </c>
      <c r="BK28" s="2227">
        <v>24141.25</v>
      </c>
      <c r="BL28" s="2925">
        <v>29433</v>
      </c>
      <c r="BM28" s="2227">
        <v>27406.5</v>
      </c>
      <c r="BN28" s="2923">
        <v>27301.3</v>
      </c>
      <c r="BO28" s="2227">
        <v>26431.3</v>
      </c>
      <c r="BP28" s="2925">
        <v>25463</v>
      </c>
      <c r="BQ28" s="2227">
        <v>23071.61</v>
      </c>
      <c r="BR28" s="2923">
        <v>24593</v>
      </c>
      <c r="BS28" s="2227">
        <v>23057.02</v>
      </c>
      <c r="BT28" s="2925">
        <v>26433</v>
      </c>
      <c r="BU28" s="2227">
        <v>23771.59</v>
      </c>
      <c r="BV28" s="2923">
        <v>24593</v>
      </c>
      <c r="BW28" s="2227">
        <v>23234.31</v>
      </c>
      <c r="BX28" s="2925">
        <v>22963</v>
      </c>
      <c r="BY28" s="2923">
        <v>22093</v>
      </c>
      <c r="BZ28" s="2924">
        <v>23433</v>
      </c>
      <c r="CA28" s="2923">
        <v>22093</v>
      </c>
      <c r="CB28" s="2227">
        <v>64950</v>
      </c>
      <c r="CC28" s="2227">
        <v>61950</v>
      </c>
      <c r="CD28" s="2227">
        <v>58950</v>
      </c>
      <c r="CE28" s="2227">
        <v>57160</v>
      </c>
      <c r="CF28" s="2227">
        <v>54160</v>
      </c>
      <c r="CG28" s="2227">
        <v>51160</v>
      </c>
      <c r="CH28" s="2227">
        <v>48760</v>
      </c>
      <c r="CI28" s="2227">
        <v>45760</v>
      </c>
      <c r="CJ28" s="2227">
        <v>42260</v>
      </c>
      <c r="CK28" s="2227">
        <v>41000</v>
      </c>
      <c r="CL28" s="2227">
        <v>38000</v>
      </c>
      <c r="CM28" s="2227">
        <v>35000</v>
      </c>
      <c r="CN28" s="2227">
        <v>32335</v>
      </c>
      <c r="CO28" s="2227">
        <v>30335</v>
      </c>
      <c r="CP28" s="2227">
        <v>18888.509999999998</v>
      </c>
      <c r="CQ28" s="2227">
        <v>13038.22</v>
      </c>
      <c r="CR28" s="2227">
        <v>15142.47</v>
      </c>
      <c r="CS28" s="2227">
        <v>30247.83</v>
      </c>
      <c r="CT28" s="2227">
        <v>18374.77</v>
      </c>
      <c r="CU28" s="2227">
        <v>21445.32</v>
      </c>
      <c r="CV28" s="2227">
        <v>21445.32</v>
      </c>
      <c r="CW28" s="2227">
        <v>21445.32</v>
      </c>
      <c r="CX28" s="2227">
        <v>21445.32</v>
      </c>
      <c r="CY28" s="2227">
        <v>20200</v>
      </c>
      <c r="CZ28" s="2227">
        <v>23424.78</v>
      </c>
      <c r="DA28" s="2227">
        <v>21605.94</v>
      </c>
      <c r="DB28" s="2227">
        <v>20910.169999999998</v>
      </c>
      <c r="DC28" s="2227">
        <v>21339.33</v>
      </c>
      <c r="DD28" s="2227">
        <v>18233.740000000002</v>
      </c>
      <c r="DE28" s="2227">
        <v>19529.97</v>
      </c>
      <c r="DF28" s="2227">
        <v>19556.79</v>
      </c>
      <c r="DG28" s="2227">
        <v>19500</v>
      </c>
      <c r="DH28" s="2227">
        <v>18000</v>
      </c>
      <c r="DI28" s="2227">
        <v>14837.56</v>
      </c>
      <c r="DJ28" s="2227">
        <v>14837.56</v>
      </c>
      <c r="DK28" s="2227">
        <v>19200</v>
      </c>
      <c r="DL28" s="2227">
        <v>21737.71</v>
      </c>
      <c r="DM28" s="2227">
        <v>22100</v>
      </c>
      <c r="DN28" s="2227">
        <v>13634.18</v>
      </c>
      <c r="DO28" s="2227">
        <v>23057.02</v>
      </c>
      <c r="DP28" s="2227">
        <v>16559.38</v>
      </c>
      <c r="DQ28" s="2227">
        <v>32040.35</v>
      </c>
      <c r="DR28" s="2227">
        <v>19814.28</v>
      </c>
      <c r="DS28" s="2227">
        <v>15000</v>
      </c>
      <c r="DT28" s="2227">
        <v>15288.76</v>
      </c>
      <c r="DU28" s="2227">
        <v>15171.12</v>
      </c>
      <c r="DV28" s="2227">
        <v>20910.169999999998</v>
      </c>
      <c r="DW28" s="2227">
        <v>15445.66</v>
      </c>
      <c r="DX28" s="2227">
        <v>25050</v>
      </c>
      <c r="DY28" s="2227">
        <v>17004.63</v>
      </c>
      <c r="DZ28" s="2227">
        <v>23234.31</v>
      </c>
      <c r="EA28" s="2227">
        <v>20757.43</v>
      </c>
      <c r="EB28" s="2227">
        <v>35049.64</v>
      </c>
      <c r="EC28" s="2227">
        <v>23274.85</v>
      </c>
      <c r="ED28" s="2227">
        <v>18468.099999999999</v>
      </c>
      <c r="EE28" s="2227">
        <v>15700</v>
      </c>
      <c r="EF28" s="2227">
        <v>16617.2</v>
      </c>
      <c r="EG28" s="2227">
        <v>17705.830000000002</v>
      </c>
      <c r="EH28" s="2227">
        <v>17303.060000000001</v>
      </c>
      <c r="EI28" s="2227">
        <v>23128.58</v>
      </c>
      <c r="EJ28" s="2227">
        <v>27406.5</v>
      </c>
      <c r="EK28" s="2227">
        <v>19534.060000000001</v>
      </c>
      <c r="EL28" s="2227">
        <v>17303.07</v>
      </c>
      <c r="EM28" s="2227">
        <v>36119.4</v>
      </c>
      <c r="EN28" s="2227">
        <v>23771.59</v>
      </c>
      <c r="EO28" s="2227">
        <v>14523.74</v>
      </c>
      <c r="EP28" s="2227">
        <v>16750</v>
      </c>
      <c r="EQ28" s="2227">
        <v>19164.79</v>
      </c>
      <c r="ER28" s="2227">
        <v>21943.59</v>
      </c>
      <c r="ES28" s="2227">
        <v>19087.919999999998</v>
      </c>
      <c r="ET28" s="2227">
        <v>14603.21</v>
      </c>
      <c r="EU28" s="2227">
        <v>20947.05</v>
      </c>
      <c r="EV28" s="2227">
        <v>23071.61</v>
      </c>
      <c r="EW28" s="2227">
        <v>19558.98</v>
      </c>
      <c r="EX28" s="2227">
        <v>20819.36</v>
      </c>
      <c r="EY28" s="2227">
        <v>22250</v>
      </c>
      <c r="EZ28" s="2227">
        <v>31432.97</v>
      </c>
      <c r="FA28" s="2227">
        <v>16661.759999999998</v>
      </c>
      <c r="FB28" s="2227">
        <v>15704.18</v>
      </c>
      <c r="FC28" s="2227">
        <v>33750</v>
      </c>
      <c r="FD28" s="2227">
        <v>31500</v>
      </c>
      <c r="FE28" s="2227">
        <v>39963.370000000003</v>
      </c>
      <c r="FF28" s="2227">
        <v>14400</v>
      </c>
      <c r="FG28" s="2227">
        <v>26431.3</v>
      </c>
      <c r="FH28" s="2227">
        <v>19385.310000000001</v>
      </c>
      <c r="FI28" s="2227">
        <v>16158.11</v>
      </c>
      <c r="FJ28" s="2227">
        <v>14908.02</v>
      </c>
      <c r="FK28" s="2227">
        <v>24141.25</v>
      </c>
      <c r="FL28" s="2227">
        <v>18294.64</v>
      </c>
      <c r="FM28" s="2227">
        <v>21913.93</v>
      </c>
      <c r="FN28" s="2227">
        <v>20200</v>
      </c>
      <c r="FO28" s="2227">
        <v>27553.48</v>
      </c>
      <c r="FP28" s="2227">
        <v>20476.04</v>
      </c>
      <c r="FQ28" s="2227">
        <v>16317.4</v>
      </c>
      <c r="FR28" s="2227">
        <v>26550</v>
      </c>
      <c r="FS28" s="2227">
        <v>33750</v>
      </c>
      <c r="FT28" s="2227">
        <v>28755.65</v>
      </c>
      <c r="FU28" s="2227">
        <v>22607.94</v>
      </c>
      <c r="FV28" s="2227">
        <v>32750</v>
      </c>
      <c r="FW28" s="2227">
        <v>17280.759999999998</v>
      </c>
      <c r="FX28" s="2227">
        <v>19484.54</v>
      </c>
      <c r="FY28" s="2227">
        <v>15189.78</v>
      </c>
      <c r="FZ28" s="2227">
        <v>20303.55</v>
      </c>
      <c r="GA28" s="2227">
        <v>25886.45</v>
      </c>
      <c r="GB28" s="2227">
        <v>27991.67</v>
      </c>
      <c r="GC28" s="2227">
        <v>16559.38</v>
      </c>
      <c r="GD28" s="2227">
        <v>13744.55</v>
      </c>
      <c r="GE28" s="2227">
        <v>27144.41</v>
      </c>
      <c r="GF28" s="2227">
        <v>27450</v>
      </c>
      <c r="GG28" s="2227">
        <v>42473.97</v>
      </c>
      <c r="GH28" s="2227">
        <v>18294.54</v>
      </c>
      <c r="GI28" s="2227">
        <v>18691.41</v>
      </c>
      <c r="GJ28" s="2227">
        <v>14402.65</v>
      </c>
      <c r="GK28" s="2227">
        <v>17865.32</v>
      </c>
      <c r="GL28" s="2227">
        <v>23158.55</v>
      </c>
      <c r="GM28" s="2227">
        <v>17049.46</v>
      </c>
      <c r="GN28" s="2227">
        <v>19942.990000000002</v>
      </c>
      <c r="GO28" s="2227">
        <v>19087.740000000002</v>
      </c>
      <c r="GP28" s="2227">
        <v>22533.61</v>
      </c>
      <c r="GQ28" s="2227">
        <v>14984.48</v>
      </c>
      <c r="GR28" s="2227">
        <v>14606.97</v>
      </c>
      <c r="GS28" s="2227">
        <v>15337.08</v>
      </c>
      <c r="GT28" s="2227">
        <v>17004.63</v>
      </c>
      <c r="GU28" s="2227">
        <v>20560.34</v>
      </c>
      <c r="GV28" s="2227">
        <v>18701.439999999999</v>
      </c>
      <c r="GW28" s="2227">
        <v>35374.44</v>
      </c>
      <c r="GX28" s="2227">
        <v>39240.620000000003</v>
      </c>
      <c r="GY28" s="2227">
        <v>42754.64</v>
      </c>
      <c r="GZ28" s="2227">
        <v>13980.17</v>
      </c>
      <c r="HA28" s="2227">
        <v>13526.1</v>
      </c>
      <c r="HB28" s="2227">
        <v>18294.64</v>
      </c>
      <c r="HC28" s="2227">
        <v>16326.88</v>
      </c>
      <c r="HD28" s="2227">
        <v>16994.97</v>
      </c>
      <c r="HE28" s="2227">
        <v>23887.14</v>
      </c>
      <c r="HF28" s="2227">
        <v>24250</v>
      </c>
      <c r="HG28" s="2227">
        <v>22354.720000000001</v>
      </c>
      <c r="HH28" s="2227">
        <v>22100</v>
      </c>
      <c r="HI28" s="2227">
        <v>20701.650000000001</v>
      </c>
      <c r="HJ28" s="2227">
        <v>21913.93</v>
      </c>
      <c r="HK28" s="2227">
        <v>26087.43</v>
      </c>
      <c r="HL28" s="2227">
        <v>37650</v>
      </c>
      <c r="HM28" s="2227">
        <v>18294.63</v>
      </c>
      <c r="HN28" s="2227">
        <v>17352.650000000001</v>
      </c>
      <c r="HO28" s="2227">
        <v>15171.12</v>
      </c>
      <c r="HP28" s="2227">
        <v>20638.080000000002</v>
      </c>
      <c r="HQ28" s="2227">
        <v>25886.45</v>
      </c>
      <c r="HR28" s="2227">
        <v>30550</v>
      </c>
      <c r="HS28" s="2227">
        <v>20823.080000000002</v>
      </c>
      <c r="HT28" s="2227">
        <v>22682.3</v>
      </c>
      <c r="HU28" s="2227">
        <v>31566.36</v>
      </c>
      <c r="HV28" s="2227">
        <v>29846.23</v>
      </c>
      <c r="HW28" s="2227">
        <v>18294.53</v>
      </c>
      <c r="HX28" s="2227">
        <v>16661.759999999998</v>
      </c>
      <c r="HY28" s="2227">
        <v>16836.55</v>
      </c>
      <c r="HZ28" s="2227">
        <v>18090.93</v>
      </c>
      <c r="IA28" s="2227">
        <v>13526.1</v>
      </c>
      <c r="IB28" s="2227">
        <v>18275.169999999998</v>
      </c>
      <c r="IC28" s="2227">
        <v>17763.990000000002</v>
      </c>
      <c r="ID28" s="2227">
        <v>21838.55</v>
      </c>
      <c r="IE28" s="2227">
        <v>21693.24</v>
      </c>
      <c r="IF28" s="2227">
        <v>21264.98</v>
      </c>
      <c r="IG28" s="2227">
        <v>24302.44</v>
      </c>
      <c r="IH28" s="2227">
        <v>20823.09</v>
      </c>
      <c r="II28" s="2227">
        <v>20593.21</v>
      </c>
      <c r="IJ28" s="2227">
        <v>30243.09</v>
      </c>
      <c r="IK28" s="2227">
        <v>20718.43</v>
      </c>
      <c r="IL28" s="2227">
        <v>24953.01</v>
      </c>
      <c r="IM28" s="2227">
        <v>21833.25</v>
      </c>
      <c r="IN28" s="2227">
        <v>33168.25</v>
      </c>
      <c r="IO28" s="2227">
        <v>34878.71</v>
      </c>
      <c r="IP28" s="2227">
        <v>31500</v>
      </c>
      <c r="IQ28" s="2227">
        <v>31566.36</v>
      </c>
      <c r="IR28" s="2227">
        <v>48760.81</v>
      </c>
      <c r="IS28" s="2227">
        <v>31548.07</v>
      </c>
      <c r="IT28" s="2227">
        <v>42538.559999999998</v>
      </c>
      <c r="IU28" s="2227">
        <v>31578.799999999999</v>
      </c>
      <c r="IV28" s="2227">
        <v>20910.169999999998</v>
      </c>
    </row>
    <row r="29" spans="1:256">
      <c r="A29" s="2214">
        <v>20</v>
      </c>
      <c r="B29" s="2925">
        <v>16299.06</v>
      </c>
      <c r="C29" s="2227">
        <v>15876.24</v>
      </c>
      <c r="D29" s="2925">
        <v>15299.06</v>
      </c>
      <c r="E29" s="2227">
        <v>14603.21</v>
      </c>
      <c r="F29" s="2925">
        <v>14299.06</v>
      </c>
      <c r="G29" s="2227">
        <v>13826.1</v>
      </c>
      <c r="H29" s="2926">
        <v>13490</v>
      </c>
      <c r="I29" s="2925">
        <v>21605.94</v>
      </c>
      <c r="J29" s="2925">
        <v>21605.94</v>
      </c>
      <c r="K29" s="2227">
        <v>17705.830000000002</v>
      </c>
      <c r="L29" s="2925">
        <v>18486</v>
      </c>
      <c r="M29" s="2227">
        <v>17705.830000000002</v>
      </c>
      <c r="N29" s="2925">
        <v>18374.77</v>
      </c>
      <c r="O29" s="2925">
        <v>18374.77</v>
      </c>
      <c r="P29" s="2227">
        <v>16617.2</v>
      </c>
      <c r="Q29" s="2925">
        <v>17486</v>
      </c>
      <c r="R29" s="2227">
        <v>16158.11</v>
      </c>
      <c r="S29" s="2925">
        <v>16617.2</v>
      </c>
      <c r="T29" s="2925">
        <v>16769.95</v>
      </c>
      <c r="U29" s="2227">
        <v>16158.11</v>
      </c>
      <c r="V29" s="2925">
        <v>16486</v>
      </c>
      <c r="W29" s="2227">
        <v>15445.66</v>
      </c>
      <c r="X29" s="2925">
        <v>15764.61</v>
      </c>
      <c r="Y29" s="2925">
        <v>15764.61</v>
      </c>
      <c r="Z29" s="2925">
        <v>15386</v>
      </c>
      <c r="AA29" s="2925">
        <v>24029.97</v>
      </c>
      <c r="AB29" s="2227">
        <v>21339.33</v>
      </c>
      <c r="AC29" s="2925">
        <v>22529.97</v>
      </c>
      <c r="AD29" s="2227">
        <v>20910.169999999998</v>
      </c>
      <c r="AE29" s="2925">
        <v>21029.97</v>
      </c>
      <c r="AF29" s="2227">
        <v>19814.28</v>
      </c>
      <c r="AG29" s="2925">
        <v>19529.97</v>
      </c>
      <c r="AH29" s="2925">
        <v>24302.44</v>
      </c>
      <c r="AI29" s="2925">
        <v>24314.28</v>
      </c>
      <c r="AJ29" s="2227">
        <v>23424.78</v>
      </c>
      <c r="AK29" s="2925">
        <v>23424.78</v>
      </c>
      <c r="AL29" s="2925">
        <v>22814.28</v>
      </c>
      <c r="AM29" s="2227">
        <v>21339.33</v>
      </c>
      <c r="AN29" s="2925">
        <v>21339.33</v>
      </c>
      <c r="AO29" s="2925">
        <v>21314.28</v>
      </c>
      <c r="AP29" s="2227">
        <v>20910.169999999998</v>
      </c>
      <c r="AQ29" s="2925">
        <v>20910.169999999998</v>
      </c>
      <c r="AR29" s="2925">
        <v>19814.28</v>
      </c>
      <c r="AS29" s="2923">
        <v>29232</v>
      </c>
      <c r="AT29" s="2227">
        <v>23830.85</v>
      </c>
      <c r="AU29" s="2923">
        <v>26992</v>
      </c>
      <c r="AV29" s="2227">
        <v>23158.55</v>
      </c>
      <c r="AW29" s="2923">
        <v>24593</v>
      </c>
      <c r="AX29" s="2227">
        <v>21903.78</v>
      </c>
      <c r="AY29" s="2923">
        <v>22093</v>
      </c>
      <c r="AZ29" s="2925">
        <v>30102</v>
      </c>
      <c r="BA29" s="2227">
        <v>26087.43</v>
      </c>
      <c r="BB29" s="2923">
        <v>29232</v>
      </c>
      <c r="BC29" s="2227">
        <v>24953.01</v>
      </c>
      <c r="BD29" s="2925">
        <v>31602</v>
      </c>
      <c r="BE29" s="2227">
        <v>27991.67</v>
      </c>
      <c r="BF29" s="2923">
        <v>29232</v>
      </c>
      <c r="BG29" s="2227">
        <v>26846.85</v>
      </c>
      <c r="BH29" s="2925">
        <v>27862</v>
      </c>
      <c r="BI29" s="2227">
        <v>25374</v>
      </c>
      <c r="BJ29" s="2923">
        <v>26992</v>
      </c>
      <c r="BK29" s="2227">
        <v>24141.25</v>
      </c>
      <c r="BL29" s="2925">
        <v>29433</v>
      </c>
      <c r="BM29" s="2227">
        <v>27406.5</v>
      </c>
      <c r="BN29" s="2923">
        <v>27301.3</v>
      </c>
      <c r="BO29" s="2227">
        <v>26431.3</v>
      </c>
      <c r="BP29" s="2925">
        <v>25463</v>
      </c>
      <c r="BQ29" s="2227">
        <v>23071.61</v>
      </c>
      <c r="BR29" s="2923">
        <v>24593</v>
      </c>
      <c r="BS29" s="2227">
        <v>23057.02</v>
      </c>
      <c r="BT29" s="2925">
        <v>26433</v>
      </c>
      <c r="BU29" s="2227">
        <v>23771.59</v>
      </c>
      <c r="BV29" s="2923">
        <v>24593</v>
      </c>
      <c r="BW29" s="2227">
        <v>23234.31</v>
      </c>
      <c r="BX29" s="2925">
        <v>22963</v>
      </c>
      <c r="BY29" s="2923">
        <v>22093</v>
      </c>
      <c r="BZ29" s="2924">
        <v>23433</v>
      </c>
      <c r="CA29" s="2923">
        <v>22093</v>
      </c>
      <c r="CB29" s="2227">
        <v>65560</v>
      </c>
      <c r="CC29" s="2227">
        <v>62560</v>
      </c>
      <c r="CD29" s="2227">
        <v>59560</v>
      </c>
      <c r="CE29" s="2227">
        <v>57770</v>
      </c>
      <c r="CF29" s="2227">
        <v>54770</v>
      </c>
      <c r="CG29" s="2227">
        <v>51770</v>
      </c>
      <c r="CH29" s="2227">
        <v>49280</v>
      </c>
      <c r="CI29" s="2227">
        <v>46280</v>
      </c>
      <c r="CJ29" s="2227">
        <v>42780</v>
      </c>
      <c r="CK29" s="2227">
        <v>41480</v>
      </c>
      <c r="CL29" s="2227">
        <v>38480</v>
      </c>
      <c r="CM29" s="2227">
        <v>35480</v>
      </c>
      <c r="CN29" s="2227">
        <v>32780</v>
      </c>
      <c r="CO29" s="2227">
        <v>30780</v>
      </c>
      <c r="CP29" s="2227">
        <v>18888.509999999998</v>
      </c>
      <c r="CQ29" s="2227">
        <v>13038.22</v>
      </c>
      <c r="CR29" s="2227">
        <v>15142.47</v>
      </c>
      <c r="CS29" s="2227">
        <v>30247.83</v>
      </c>
      <c r="CT29" s="2227">
        <v>18374.77</v>
      </c>
      <c r="CU29" s="2227">
        <v>21688.26</v>
      </c>
      <c r="CV29" s="2227">
        <v>21688.26</v>
      </c>
      <c r="CW29" s="2227">
        <v>21688.26</v>
      </c>
      <c r="CX29" s="2227">
        <v>21688.26</v>
      </c>
      <c r="CY29" s="2227">
        <v>20200</v>
      </c>
      <c r="CZ29" s="2227">
        <v>23424.78</v>
      </c>
      <c r="DA29" s="2227">
        <v>21605.94</v>
      </c>
      <c r="DB29" s="2227">
        <v>20910.169999999998</v>
      </c>
      <c r="DC29" s="2227">
        <v>21339.33</v>
      </c>
      <c r="DD29" s="2227">
        <v>18363.150000000001</v>
      </c>
      <c r="DE29" s="2227">
        <v>19529.97</v>
      </c>
      <c r="DF29" s="2227">
        <v>19556.79</v>
      </c>
      <c r="DG29" s="2227">
        <v>19500</v>
      </c>
      <c r="DH29" s="2227">
        <v>18000</v>
      </c>
      <c r="DI29" s="2227">
        <v>14837.56</v>
      </c>
      <c r="DJ29" s="2227">
        <v>14837.56</v>
      </c>
      <c r="DK29" s="2227">
        <v>19200</v>
      </c>
      <c r="DL29" s="2227">
        <v>21737.71</v>
      </c>
      <c r="DM29" s="2227">
        <v>22100</v>
      </c>
      <c r="DN29" s="2227">
        <v>13634.18</v>
      </c>
      <c r="DO29" s="2227">
        <v>23057.02</v>
      </c>
      <c r="DP29" s="2227">
        <v>16559.38</v>
      </c>
      <c r="DQ29" s="2227">
        <v>32040.35</v>
      </c>
      <c r="DR29" s="2227">
        <v>19814.28</v>
      </c>
      <c r="DS29" s="2227">
        <v>15000</v>
      </c>
      <c r="DT29" s="2227">
        <v>15348.26</v>
      </c>
      <c r="DU29" s="2227">
        <v>15171.12</v>
      </c>
      <c r="DV29" s="2227">
        <v>20910.169999999998</v>
      </c>
      <c r="DW29" s="2227">
        <v>15445.66</v>
      </c>
      <c r="DX29" s="2227">
        <v>25050</v>
      </c>
      <c r="DY29" s="2227">
        <v>17169.14</v>
      </c>
      <c r="DZ29" s="2227">
        <v>23234.31</v>
      </c>
      <c r="EA29" s="2227">
        <v>20757.43</v>
      </c>
      <c r="EB29" s="2227">
        <v>35049.64</v>
      </c>
      <c r="EC29" s="2227">
        <v>23515.31</v>
      </c>
      <c r="ED29" s="2227">
        <v>18468.099999999999</v>
      </c>
      <c r="EE29" s="2227">
        <v>15700</v>
      </c>
      <c r="EF29" s="2227">
        <v>16617.2</v>
      </c>
      <c r="EG29" s="2227">
        <v>17705.830000000002</v>
      </c>
      <c r="EH29" s="2227">
        <v>17303.060000000001</v>
      </c>
      <c r="EI29" s="2227">
        <v>23401.27</v>
      </c>
      <c r="EJ29" s="2227">
        <v>27406.5</v>
      </c>
      <c r="EK29" s="2227">
        <v>19534.060000000001</v>
      </c>
      <c r="EL29" s="2227">
        <v>17303.07</v>
      </c>
      <c r="EM29" s="2227">
        <v>36119.4</v>
      </c>
      <c r="EN29" s="2227">
        <v>23771.59</v>
      </c>
      <c r="EO29" s="2227">
        <v>14584.53</v>
      </c>
      <c r="EP29" s="2227">
        <v>16750</v>
      </c>
      <c r="EQ29" s="2227">
        <v>19476.689999999999</v>
      </c>
      <c r="ER29" s="2227">
        <v>22181.57</v>
      </c>
      <c r="ES29" s="2227">
        <v>19317.77</v>
      </c>
      <c r="ET29" s="2227">
        <v>14603.21</v>
      </c>
      <c r="EU29" s="2227">
        <v>20947.05</v>
      </c>
      <c r="EV29" s="2227">
        <v>23071.61</v>
      </c>
      <c r="EW29" s="2227">
        <v>19877.28</v>
      </c>
      <c r="EX29" s="2227">
        <v>21185.279999999999</v>
      </c>
      <c r="EY29" s="2227">
        <v>22250</v>
      </c>
      <c r="EZ29" s="2227">
        <v>31928.76</v>
      </c>
      <c r="FA29" s="2227">
        <v>16822.95</v>
      </c>
      <c r="FB29" s="2227">
        <v>15766.16</v>
      </c>
      <c r="FC29" s="2227">
        <v>33750</v>
      </c>
      <c r="FD29" s="2227">
        <v>31500</v>
      </c>
      <c r="FE29" s="2227">
        <v>41301.1</v>
      </c>
      <c r="FF29" s="2227">
        <v>14400</v>
      </c>
      <c r="FG29" s="2227">
        <v>26431.3</v>
      </c>
      <c r="FH29" s="2227">
        <v>19385.310000000001</v>
      </c>
      <c r="FI29" s="2227">
        <v>16158.11</v>
      </c>
      <c r="FJ29" s="2227">
        <v>14979.57</v>
      </c>
      <c r="FK29" s="2227">
        <v>24141.25</v>
      </c>
      <c r="FL29" s="2227">
        <v>18294.64</v>
      </c>
      <c r="FM29" s="2227">
        <v>22332.26</v>
      </c>
      <c r="FN29" s="2227">
        <v>20200</v>
      </c>
      <c r="FO29" s="2227">
        <v>27764.19</v>
      </c>
      <c r="FP29" s="2227">
        <v>20476.04</v>
      </c>
      <c r="FQ29" s="2227">
        <v>16478.18</v>
      </c>
      <c r="FR29" s="2227">
        <v>26550</v>
      </c>
      <c r="FS29" s="2227">
        <v>33750</v>
      </c>
      <c r="FT29" s="2227">
        <v>28755.65</v>
      </c>
      <c r="FU29" s="2227">
        <v>22607.94</v>
      </c>
      <c r="FV29" s="2227">
        <v>32750</v>
      </c>
      <c r="FW29" s="2227">
        <v>17384.88</v>
      </c>
      <c r="FX29" s="2227">
        <v>19608.490000000002</v>
      </c>
      <c r="FY29" s="2227">
        <v>15189.78</v>
      </c>
      <c r="FZ29" s="2227">
        <v>20491.41</v>
      </c>
      <c r="GA29" s="2227">
        <v>26398.93</v>
      </c>
      <c r="GB29" s="2227">
        <v>27991.67</v>
      </c>
      <c r="GC29" s="2227">
        <v>16559.38</v>
      </c>
      <c r="GD29" s="2227">
        <v>13744.55</v>
      </c>
      <c r="GE29" s="2227">
        <v>27417.1</v>
      </c>
      <c r="GF29" s="2227">
        <v>27450</v>
      </c>
      <c r="GG29" s="2227">
        <v>43763.12</v>
      </c>
      <c r="GH29" s="2227">
        <v>18294.54</v>
      </c>
      <c r="GI29" s="2227">
        <v>18691.41</v>
      </c>
      <c r="GJ29" s="2227">
        <v>14402.65</v>
      </c>
      <c r="GK29" s="2227">
        <v>18068.82</v>
      </c>
      <c r="GL29" s="2227">
        <v>23158.55</v>
      </c>
      <c r="GM29" s="2227">
        <v>17210.759999999998</v>
      </c>
      <c r="GN29" s="2227">
        <v>20079.330000000002</v>
      </c>
      <c r="GO29" s="2227">
        <v>19235.169999999998</v>
      </c>
      <c r="GP29" s="2227">
        <v>22533.61</v>
      </c>
      <c r="GQ29" s="2227">
        <v>14984.48</v>
      </c>
      <c r="GR29" s="2227">
        <v>14677.05</v>
      </c>
      <c r="GS29" s="2227">
        <v>15408.63</v>
      </c>
      <c r="GT29" s="2227">
        <v>17169.14</v>
      </c>
      <c r="GU29" s="2227">
        <v>20560.34</v>
      </c>
      <c r="GV29" s="2227">
        <v>18701.439999999999</v>
      </c>
      <c r="GW29" s="2227">
        <v>35870.230000000003</v>
      </c>
      <c r="GX29" s="2227">
        <v>39240.620000000003</v>
      </c>
      <c r="GY29" s="2227">
        <v>44092.37</v>
      </c>
      <c r="GZ29" s="2227">
        <v>13980.17</v>
      </c>
      <c r="HA29" s="2227">
        <v>13526.1</v>
      </c>
      <c r="HB29" s="2227">
        <v>18294.64</v>
      </c>
      <c r="HC29" s="2227">
        <v>16487.77</v>
      </c>
      <c r="HD29" s="2227">
        <v>17159.400000000001</v>
      </c>
      <c r="HE29" s="2227">
        <v>24154.87</v>
      </c>
      <c r="HF29" s="2227">
        <v>24250</v>
      </c>
      <c r="HG29" s="2227">
        <v>22582.81</v>
      </c>
      <c r="HH29" s="2227">
        <v>22100</v>
      </c>
      <c r="HI29" s="2227">
        <v>20701.650000000001</v>
      </c>
      <c r="HJ29" s="2227">
        <v>22332.26</v>
      </c>
      <c r="HK29" s="2227">
        <v>26087.43</v>
      </c>
      <c r="HL29" s="2227">
        <v>37650</v>
      </c>
      <c r="HM29" s="2227">
        <v>18294.63</v>
      </c>
      <c r="HN29" s="2227">
        <v>17352.650000000001</v>
      </c>
      <c r="HO29" s="2227">
        <v>15171.12</v>
      </c>
      <c r="HP29" s="2227">
        <v>20956.34</v>
      </c>
      <c r="HQ29" s="2227">
        <v>26398.93</v>
      </c>
      <c r="HR29" s="2227">
        <v>30550</v>
      </c>
      <c r="HS29" s="2227">
        <v>20823.080000000002</v>
      </c>
      <c r="HT29" s="2227">
        <v>22682.3</v>
      </c>
      <c r="HU29" s="2227">
        <v>31566.36</v>
      </c>
      <c r="HV29" s="2227">
        <v>29846.23</v>
      </c>
      <c r="HW29" s="2227">
        <v>18294.53</v>
      </c>
      <c r="HX29" s="2227">
        <v>16822.95</v>
      </c>
      <c r="HY29" s="2227">
        <v>16997.740000000002</v>
      </c>
      <c r="HZ29" s="2227">
        <v>18233.5</v>
      </c>
      <c r="IA29" s="2227">
        <v>13526.1</v>
      </c>
      <c r="IB29" s="2227">
        <v>18446.79</v>
      </c>
      <c r="IC29" s="2227">
        <v>17763.990000000002</v>
      </c>
      <c r="ID29" s="2227">
        <v>21838.55</v>
      </c>
      <c r="IE29" s="2227">
        <v>21936.18</v>
      </c>
      <c r="IF29" s="2227">
        <v>21630.9</v>
      </c>
      <c r="IG29" s="2227">
        <v>24302.44</v>
      </c>
      <c r="IH29" s="2227">
        <v>20823.09</v>
      </c>
      <c r="II29" s="2227">
        <v>20593.21</v>
      </c>
      <c r="IJ29" s="2227">
        <v>30515.78</v>
      </c>
      <c r="IK29" s="2227">
        <v>20718.43</v>
      </c>
      <c r="IL29" s="2227">
        <v>24953.01</v>
      </c>
      <c r="IM29" s="2227">
        <v>21833.25</v>
      </c>
      <c r="IN29" s="2227">
        <v>33713.620000000003</v>
      </c>
      <c r="IO29" s="2227">
        <v>34878.71</v>
      </c>
      <c r="IP29" s="2227">
        <v>31500</v>
      </c>
      <c r="IQ29" s="2227">
        <v>31566.36</v>
      </c>
      <c r="IR29" s="2227">
        <v>50098.54</v>
      </c>
      <c r="IS29" s="2227">
        <v>31548.07</v>
      </c>
      <c r="IT29" s="2227">
        <v>42538.559999999998</v>
      </c>
      <c r="IU29" s="2227">
        <v>31930.07</v>
      </c>
      <c r="IV29" s="2227">
        <v>20910.169999999998</v>
      </c>
    </row>
    <row r="30" spans="1:256">
      <c r="A30" s="2214">
        <v>21</v>
      </c>
      <c r="B30" s="2925">
        <v>16358.4</v>
      </c>
      <c r="C30" s="2227">
        <v>16037.84</v>
      </c>
      <c r="D30" s="2925">
        <v>15358.4</v>
      </c>
      <c r="E30" s="2227">
        <v>14764.81</v>
      </c>
      <c r="F30" s="2925">
        <v>14358.4</v>
      </c>
      <c r="G30" s="2227">
        <v>13950.99</v>
      </c>
      <c r="H30" s="2926">
        <v>13517</v>
      </c>
      <c r="I30" s="2925">
        <v>21958.97</v>
      </c>
      <c r="J30" s="2925">
        <v>21958.97</v>
      </c>
      <c r="K30" s="2227">
        <v>18054.88</v>
      </c>
      <c r="L30" s="2925">
        <v>18759.93</v>
      </c>
      <c r="M30" s="2227">
        <v>18054.88</v>
      </c>
      <c r="N30" s="2925">
        <v>18723.82</v>
      </c>
      <c r="O30" s="2925">
        <v>18723.82</v>
      </c>
      <c r="P30" s="2227">
        <v>16966.25</v>
      </c>
      <c r="Q30" s="2925">
        <v>17759.93</v>
      </c>
      <c r="R30" s="2227">
        <v>16507.16</v>
      </c>
      <c r="S30" s="2925">
        <v>16966.25</v>
      </c>
      <c r="T30" s="2925">
        <v>17119</v>
      </c>
      <c r="U30" s="2227">
        <v>16507.16</v>
      </c>
      <c r="V30" s="2925">
        <v>16702.61</v>
      </c>
      <c r="W30" s="2227">
        <v>15794.71</v>
      </c>
      <c r="X30" s="2925">
        <v>16113.66</v>
      </c>
      <c r="Y30" s="2925">
        <v>16113.66</v>
      </c>
      <c r="Z30" s="2925">
        <v>15564.32</v>
      </c>
      <c r="AA30" s="2925">
        <v>24653.58</v>
      </c>
      <c r="AB30" s="2227">
        <v>21962.94</v>
      </c>
      <c r="AC30" s="2925">
        <v>23153.58</v>
      </c>
      <c r="AD30" s="2227">
        <v>21445.3</v>
      </c>
      <c r="AE30" s="2925">
        <v>21653.58</v>
      </c>
      <c r="AF30" s="2227">
        <v>20437.89</v>
      </c>
      <c r="AG30" s="2925">
        <v>20153.580000000002</v>
      </c>
      <c r="AH30" s="2925">
        <v>24926.05</v>
      </c>
      <c r="AI30" s="2925">
        <v>24937.89</v>
      </c>
      <c r="AJ30" s="2227">
        <v>24048.39</v>
      </c>
      <c r="AK30" s="2925">
        <v>24048.39</v>
      </c>
      <c r="AL30" s="2925">
        <v>23437.89</v>
      </c>
      <c r="AM30" s="2227">
        <v>21962.94</v>
      </c>
      <c r="AN30" s="2925">
        <v>21962.94</v>
      </c>
      <c r="AO30" s="2925">
        <v>21937.89</v>
      </c>
      <c r="AP30" s="2227">
        <v>21445.3</v>
      </c>
      <c r="AQ30" s="2925">
        <v>21445.3</v>
      </c>
      <c r="AR30" s="2925">
        <v>20437.89</v>
      </c>
      <c r="AS30" s="2923">
        <v>30150</v>
      </c>
      <c r="AT30" s="2227">
        <v>24455.119999999999</v>
      </c>
      <c r="AU30" s="2923">
        <v>27910</v>
      </c>
      <c r="AV30" s="2227">
        <v>23782.82</v>
      </c>
      <c r="AW30" s="2923">
        <v>25218</v>
      </c>
      <c r="AX30" s="2227">
        <v>22401.91</v>
      </c>
      <c r="AY30" s="2923">
        <v>22718</v>
      </c>
      <c r="AZ30" s="2925">
        <v>31020</v>
      </c>
      <c r="BA30" s="2227">
        <v>26622.560000000001</v>
      </c>
      <c r="BB30" s="2923">
        <v>30150</v>
      </c>
      <c r="BC30" s="2227">
        <v>25577.279999999999</v>
      </c>
      <c r="BD30" s="2925">
        <v>32346</v>
      </c>
      <c r="BE30" s="2227">
        <v>28671.01</v>
      </c>
      <c r="BF30" s="2923">
        <v>30150</v>
      </c>
      <c r="BG30" s="2227">
        <v>27471.119999999999</v>
      </c>
      <c r="BH30" s="2925">
        <v>28780</v>
      </c>
      <c r="BI30" s="2227">
        <v>25909.13</v>
      </c>
      <c r="BJ30" s="2923">
        <v>27910</v>
      </c>
      <c r="BK30" s="2227">
        <v>24765.52</v>
      </c>
      <c r="BL30" s="2925">
        <v>30058</v>
      </c>
      <c r="BM30" s="2227">
        <v>28085.84</v>
      </c>
      <c r="BN30" s="2923">
        <v>27925.57</v>
      </c>
      <c r="BO30" s="2227">
        <v>27055.57</v>
      </c>
      <c r="BP30" s="2925">
        <v>26088</v>
      </c>
      <c r="BQ30" s="2227">
        <v>23606.74</v>
      </c>
      <c r="BR30" s="2923">
        <v>25218</v>
      </c>
      <c r="BS30" s="2227">
        <v>23681.29</v>
      </c>
      <c r="BT30" s="2925">
        <v>27058</v>
      </c>
      <c r="BU30" s="2227">
        <v>24395.86</v>
      </c>
      <c r="BV30" s="2923">
        <v>25218</v>
      </c>
      <c r="BW30" s="2227">
        <v>23858.58</v>
      </c>
      <c r="BX30" s="2925">
        <v>23588</v>
      </c>
      <c r="BY30" s="2923">
        <v>22718</v>
      </c>
      <c r="BZ30" s="2924">
        <v>24058</v>
      </c>
      <c r="CA30" s="2923">
        <v>22718</v>
      </c>
      <c r="CB30" s="2227">
        <v>66170</v>
      </c>
      <c r="CC30" s="2227">
        <v>63170</v>
      </c>
      <c r="CD30" s="2227">
        <v>60170</v>
      </c>
      <c r="CE30" s="2227">
        <v>58380</v>
      </c>
      <c r="CF30" s="2227">
        <v>55380</v>
      </c>
      <c r="CG30" s="2227">
        <v>52380</v>
      </c>
      <c r="CH30" s="2227">
        <v>49800</v>
      </c>
      <c r="CI30" s="2227">
        <v>46800</v>
      </c>
      <c r="CJ30" s="2227">
        <v>43300</v>
      </c>
      <c r="CK30" s="2227">
        <v>41960</v>
      </c>
      <c r="CL30" s="2227">
        <v>38960</v>
      </c>
      <c r="CM30" s="2227">
        <v>35960</v>
      </c>
      <c r="CN30" s="2227">
        <v>33225</v>
      </c>
      <c r="CO30" s="2227">
        <v>31225</v>
      </c>
      <c r="CP30" s="2227">
        <v>19512.12</v>
      </c>
      <c r="CQ30" s="2227">
        <v>13096.39</v>
      </c>
      <c r="CR30" s="2227">
        <v>15466.58</v>
      </c>
      <c r="CS30" s="2227">
        <v>31206.54</v>
      </c>
      <c r="CT30" s="2227">
        <v>18723.82</v>
      </c>
      <c r="CU30" s="2227">
        <v>21931.200000000001</v>
      </c>
      <c r="CV30" s="2227">
        <v>21931.200000000001</v>
      </c>
      <c r="CW30" s="2227">
        <v>21931.200000000001</v>
      </c>
      <c r="CX30" s="2227">
        <v>21931.200000000001</v>
      </c>
      <c r="CY30" s="2227">
        <v>20750</v>
      </c>
      <c r="CZ30" s="2227">
        <v>24048.39</v>
      </c>
      <c r="DA30" s="2227">
        <v>21958.97</v>
      </c>
      <c r="DB30" s="2227">
        <v>21445.3</v>
      </c>
      <c r="DC30" s="2227">
        <v>21962.94</v>
      </c>
      <c r="DD30" s="2227">
        <v>18492.560000000001</v>
      </c>
      <c r="DE30" s="2227">
        <v>20153.580000000002</v>
      </c>
      <c r="DF30" s="2227">
        <v>20145.099999999999</v>
      </c>
      <c r="DG30" s="2227">
        <v>20100</v>
      </c>
      <c r="DH30" s="2227">
        <v>18350</v>
      </c>
      <c r="DI30" s="2227">
        <v>15104.35</v>
      </c>
      <c r="DJ30" s="2227">
        <v>15104.35</v>
      </c>
      <c r="DK30" s="2227">
        <v>19600</v>
      </c>
      <c r="DL30" s="2227">
        <v>22361.98</v>
      </c>
      <c r="DM30" s="2227">
        <v>22750</v>
      </c>
      <c r="DN30" s="2227">
        <v>13758.13</v>
      </c>
      <c r="DO30" s="2227">
        <v>23681.29</v>
      </c>
      <c r="DP30" s="2227">
        <v>16906.439999999999</v>
      </c>
      <c r="DQ30" s="2227">
        <v>32999.06</v>
      </c>
      <c r="DR30" s="2227">
        <v>20437.89</v>
      </c>
      <c r="DS30" s="2227">
        <v>15150</v>
      </c>
      <c r="DT30" s="2227">
        <v>15407.76</v>
      </c>
      <c r="DU30" s="2227">
        <v>15295.07</v>
      </c>
      <c r="DV30" s="2227">
        <v>21445.3</v>
      </c>
      <c r="DW30" s="2227">
        <v>15794.71</v>
      </c>
      <c r="DX30" s="2227">
        <v>25650</v>
      </c>
      <c r="DY30" s="2227">
        <v>17333.650000000001</v>
      </c>
      <c r="DZ30" s="2227">
        <v>23858.58</v>
      </c>
      <c r="EA30" s="2227">
        <v>21381.7</v>
      </c>
      <c r="EB30" s="2227">
        <v>36008.35</v>
      </c>
      <c r="EC30" s="2227">
        <v>23733.46</v>
      </c>
      <c r="ED30" s="2227">
        <v>18963.89</v>
      </c>
      <c r="EE30" s="2227">
        <v>15850</v>
      </c>
      <c r="EF30" s="2227">
        <v>16966.25</v>
      </c>
      <c r="EG30" s="2227">
        <v>18054.88</v>
      </c>
      <c r="EH30" s="2227">
        <v>17650.12</v>
      </c>
      <c r="EI30" s="2227">
        <v>23673.96</v>
      </c>
      <c r="EJ30" s="2227">
        <v>28085.84</v>
      </c>
      <c r="EK30" s="2227">
        <v>20122.37</v>
      </c>
      <c r="EL30" s="2227">
        <v>17650.13</v>
      </c>
      <c r="EM30" s="2227">
        <v>37211.83</v>
      </c>
      <c r="EN30" s="2227">
        <v>24395.86</v>
      </c>
      <c r="EO30" s="2227">
        <v>14645.32</v>
      </c>
      <c r="EP30" s="2227">
        <v>17100</v>
      </c>
      <c r="EQ30" s="2227">
        <v>19788.59</v>
      </c>
      <c r="ER30" s="2227">
        <v>22419.55</v>
      </c>
      <c r="ES30" s="2227">
        <v>19547.62</v>
      </c>
      <c r="ET30" s="2227">
        <v>14764.81</v>
      </c>
      <c r="EU30" s="2227">
        <v>21492.42</v>
      </c>
      <c r="EV30" s="2227">
        <v>23606.74</v>
      </c>
      <c r="EW30" s="2227">
        <v>20195.580000000002</v>
      </c>
      <c r="EX30" s="2227">
        <v>21551.200000000001</v>
      </c>
      <c r="EY30" s="2227">
        <v>22750</v>
      </c>
      <c r="EZ30" s="2227">
        <v>32424.55</v>
      </c>
      <c r="FA30" s="2227">
        <v>16984.14</v>
      </c>
      <c r="FB30" s="2227">
        <v>15828.14</v>
      </c>
      <c r="FC30" s="2227">
        <v>35000</v>
      </c>
      <c r="FD30" s="2227">
        <v>32750</v>
      </c>
      <c r="FE30" s="2227">
        <v>41301.1</v>
      </c>
      <c r="FF30" s="2227">
        <v>14550</v>
      </c>
      <c r="FG30" s="2227">
        <v>27055.57</v>
      </c>
      <c r="FH30" s="2227">
        <v>19881.099999999999</v>
      </c>
      <c r="FI30" s="2227">
        <v>16507.16</v>
      </c>
      <c r="FJ30" s="2227">
        <v>15051.12</v>
      </c>
      <c r="FK30" s="2227">
        <v>24765.52</v>
      </c>
      <c r="FL30" s="2227">
        <v>18641.7</v>
      </c>
      <c r="FM30" s="2227">
        <v>22750.59</v>
      </c>
      <c r="FN30" s="2227">
        <v>20750</v>
      </c>
      <c r="FO30" s="2227">
        <v>27974.9</v>
      </c>
      <c r="FP30" s="2227">
        <v>20971.83</v>
      </c>
      <c r="FQ30" s="2227">
        <v>16638.96</v>
      </c>
      <c r="FR30" s="2227">
        <v>27200</v>
      </c>
      <c r="FS30" s="2227">
        <v>35000</v>
      </c>
      <c r="FT30" s="2227">
        <v>29524.12</v>
      </c>
      <c r="FU30" s="2227">
        <v>23153.31</v>
      </c>
      <c r="FV30" s="2227">
        <v>34000</v>
      </c>
      <c r="FW30" s="2227">
        <v>17489</v>
      </c>
      <c r="FX30" s="2227">
        <v>19732.439999999999</v>
      </c>
      <c r="FY30" s="2227">
        <v>15513.89</v>
      </c>
      <c r="FZ30" s="2227">
        <v>20679.27</v>
      </c>
      <c r="GA30" s="2227">
        <v>26911.41</v>
      </c>
      <c r="GB30" s="2227">
        <v>28671.01</v>
      </c>
      <c r="GC30" s="2227">
        <v>16906.439999999999</v>
      </c>
      <c r="GD30" s="2227">
        <v>13858.01</v>
      </c>
      <c r="GE30" s="2227">
        <v>27689.79</v>
      </c>
      <c r="GF30" s="2227">
        <v>28250</v>
      </c>
      <c r="GG30" s="2227">
        <v>43763.12</v>
      </c>
      <c r="GH30" s="2227">
        <v>18641.59</v>
      </c>
      <c r="GI30" s="2227">
        <v>19309.48</v>
      </c>
      <c r="GJ30" s="2227">
        <v>14526.6</v>
      </c>
      <c r="GK30" s="2227">
        <v>18273.39</v>
      </c>
      <c r="GL30" s="2227">
        <v>23782.82</v>
      </c>
      <c r="GM30" s="2227">
        <v>17372.060000000001</v>
      </c>
      <c r="GN30" s="2227">
        <v>20339.62</v>
      </c>
      <c r="GO30" s="2227">
        <v>19382.599999999999</v>
      </c>
      <c r="GP30" s="2227">
        <v>22971.77</v>
      </c>
      <c r="GQ30" s="2227">
        <v>15253.9</v>
      </c>
      <c r="GR30" s="2227">
        <v>14747.13</v>
      </c>
      <c r="GS30" s="2227">
        <v>15480.18</v>
      </c>
      <c r="GT30" s="2227">
        <v>17333.650000000001</v>
      </c>
      <c r="GU30" s="2227">
        <v>21090.16</v>
      </c>
      <c r="GV30" s="2227">
        <v>19318.87</v>
      </c>
      <c r="GW30" s="2227">
        <v>36366.019999999997</v>
      </c>
      <c r="GX30" s="2227">
        <v>40333.050000000003</v>
      </c>
      <c r="GY30" s="2227">
        <v>44092.37</v>
      </c>
      <c r="GZ30" s="2227">
        <v>14132.9</v>
      </c>
      <c r="HA30" s="2227">
        <v>13650.99</v>
      </c>
      <c r="HB30" s="2227">
        <v>18641.7</v>
      </c>
      <c r="HC30" s="2227">
        <v>16648.66</v>
      </c>
      <c r="HD30" s="2227">
        <v>17323.830000000002</v>
      </c>
      <c r="HE30" s="2227">
        <v>24422.6</v>
      </c>
      <c r="HF30" s="2227">
        <v>24800</v>
      </c>
      <c r="HG30" s="2227">
        <v>22810.9</v>
      </c>
      <c r="HH30" s="2227">
        <v>22750</v>
      </c>
      <c r="HI30" s="2227">
        <v>21325.919999999998</v>
      </c>
      <c r="HJ30" s="2227">
        <v>22750.59</v>
      </c>
      <c r="HK30" s="2227">
        <v>26622.560000000001</v>
      </c>
      <c r="HL30" s="2227">
        <v>38850</v>
      </c>
      <c r="HM30" s="2227">
        <v>18641.689999999999</v>
      </c>
      <c r="HN30" s="2227">
        <v>17699.71</v>
      </c>
      <c r="HO30" s="2227">
        <v>15295.07</v>
      </c>
      <c r="HP30" s="2227">
        <v>21274.6</v>
      </c>
      <c r="HQ30" s="2227">
        <v>26911.41</v>
      </c>
      <c r="HR30" s="2227">
        <v>31500</v>
      </c>
      <c r="HS30" s="2227">
        <v>21318.87</v>
      </c>
      <c r="HT30" s="2227">
        <v>23227.67</v>
      </c>
      <c r="HU30" s="2227">
        <v>32544.23</v>
      </c>
      <c r="HV30" s="2227">
        <v>30795.439999999999</v>
      </c>
      <c r="HW30" s="2227">
        <v>18641.580000000002</v>
      </c>
      <c r="HX30" s="2227">
        <v>16984.14</v>
      </c>
      <c r="HY30" s="2227">
        <v>17158.93</v>
      </c>
      <c r="HZ30" s="2227">
        <v>18376.07</v>
      </c>
      <c r="IA30" s="2227">
        <v>13650.99</v>
      </c>
      <c r="IB30" s="2227">
        <v>18618.41</v>
      </c>
      <c r="IC30" s="2227">
        <v>18102</v>
      </c>
      <c r="ID30" s="2227">
        <v>22462.45</v>
      </c>
      <c r="IE30" s="2227">
        <v>22179.119999999999</v>
      </c>
      <c r="IF30" s="2227">
        <v>21996.82</v>
      </c>
      <c r="IG30" s="2227">
        <v>24926.05</v>
      </c>
      <c r="IH30" s="2227">
        <v>21318.880000000001</v>
      </c>
      <c r="II30" s="2227">
        <v>21093.96</v>
      </c>
      <c r="IJ30" s="2227">
        <v>30788.47</v>
      </c>
      <c r="IK30" s="2227">
        <v>21156.59</v>
      </c>
      <c r="IL30" s="2227">
        <v>25577.279999999999</v>
      </c>
      <c r="IM30" s="2227">
        <v>22469.99</v>
      </c>
      <c r="IN30" s="2227">
        <v>34258.99</v>
      </c>
      <c r="IO30" s="2227">
        <v>35969.449999999997</v>
      </c>
      <c r="IP30" s="2227">
        <v>32750</v>
      </c>
      <c r="IQ30" s="2227">
        <v>32544.23</v>
      </c>
      <c r="IR30" s="2227">
        <v>50098.54</v>
      </c>
      <c r="IS30" s="2227">
        <v>32525.35</v>
      </c>
      <c r="IT30" s="2227">
        <v>43827.61</v>
      </c>
      <c r="IU30" s="2227">
        <v>32281.34</v>
      </c>
      <c r="IV30" s="2227">
        <v>21445.3</v>
      </c>
    </row>
    <row r="31" spans="1:256">
      <c r="A31" s="2214">
        <v>22</v>
      </c>
      <c r="B31" s="2925">
        <v>16358.4</v>
      </c>
      <c r="C31" s="2227">
        <v>16037.84</v>
      </c>
      <c r="D31" s="2925">
        <v>15358.4</v>
      </c>
      <c r="E31" s="2227">
        <v>14764.81</v>
      </c>
      <c r="F31" s="2925">
        <v>14358.4</v>
      </c>
      <c r="G31" s="2227">
        <v>13950.99</v>
      </c>
      <c r="H31" s="2926">
        <v>13543</v>
      </c>
      <c r="I31" s="2925">
        <v>21958.97</v>
      </c>
      <c r="J31" s="2925">
        <v>21958.97</v>
      </c>
      <c r="K31" s="2227">
        <v>18054.88</v>
      </c>
      <c r="L31" s="2925">
        <v>18759.93</v>
      </c>
      <c r="M31" s="2227">
        <v>18054.88</v>
      </c>
      <c r="N31" s="2925">
        <v>18723.82</v>
      </c>
      <c r="O31" s="2925">
        <v>18723.82</v>
      </c>
      <c r="P31" s="2227">
        <v>16966.25</v>
      </c>
      <c r="Q31" s="2925">
        <v>17759.93</v>
      </c>
      <c r="R31" s="2227">
        <v>16507.16</v>
      </c>
      <c r="S31" s="2925">
        <v>16966.25</v>
      </c>
      <c r="T31" s="2925">
        <v>17119</v>
      </c>
      <c r="U31" s="2227">
        <v>16507.16</v>
      </c>
      <c r="V31" s="2925">
        <v>16730</v>
      </c>
      <c r="W31" s="2227">
        <v>15794.71</v>
      </c>
      <c r="X31" s="2925">
        <v>16113.66</v>
      </c>
      <c r="Y31" s="2925">
        <v>16113.66</v>
      </c>
      <c r="Z31" s="2925">
        <v>15630</v>
      </c>
      <c r="AA31" s="2925">
        <v>24653.58</v>
      </c>
      <c r="AB31" s="2227">
        <v>21962.94</v>
      </c>
      <c r="AC31" s="2925">
        <v>23153.58</v>
      </c>
      <c r="AD31" s="2227">
        <v>21445.3</v>
      </c>
      <c r="AE31" s="2925">
        <v>21653.58</v>
      </c>
      <c r="AF31" s="2227">
        <v>20437.89</v>
      </c>
      <c r="AG31" s="2925">
        <v>20153.580000000002</v>
      </c>
      <c r="AH31" s="2925">
        <v>24926.05</v>
      </c>
      <c r="AI31" s="2925">
        <v>24937.89</v>
      </c>
      <c r="AJ31" s="2227">
        <v>24048.39</v>
      </c>
      <c r="AK31" s="2925">
        <v>24048.39</v>
      </c>
      <c r="AL31" s="2925">
        <v>23437.89</v>
      </c>
      <c r="AM31" s="2227">
        <v>21962.94</v>
      </c>
      <c r="AN31" s="2925">
        <v>21962.94</v>
      </c>
      <c r="AO31" s="2925">
        <v>21937.89</v>
      </c>
      <c r="AP31" s="2227">
        <v>21445.3</v>
      </c>
      <c r="AQ31" s="2925">
        <v>21445.3</v>
      </c>
      <c r="AR31" s="2925">
        <v>20437.89</v>
      </c>
      <c r="AS31" s="2923">
        <v>30150</v>
      </c>
      <c r="AT31" s="2227">
        <v>24455.119999999999</v>
      </c>
      <c r="AU31" s="2923">
        <v>27910</v>
      </c>
      <c r="AV31" s="2227">
        <v>23782.82</v>
      </c>
      <c r="AW31" s="2923">
        <v>25218</v>
      </c>
      <c r="AX31" s="2227">
        <v>22401.91</v>
      </c>
      <c r="AY31" s="2923">
        <v>22718</v>
      </c>
      <c r="AZ31" s="2925">
        <v>31020</v>
      </c>
      <c r="BA31" s="2227">
        <v>26622.560000000001</v>
      </c>
      <c r="BB31" s="2923">
        <v>30150</v>
      </c>
      <c r="BC31" s="2227">
        <v>25577.279999999999</v>
      </c>
      <c r="BD31" s="2925">
        <v>32346</v>
      </c>
      <c r="BE31" s="2227">
        <v>28671.01</v>
      </c>
      <c r="BF31" s="2923">
        <v>30150</v>
      </c>
      <c r="BG31" s="2227">
        <v>27471.119999999999</v>
      </c>
      <c r="BH31" s="2925">
        <v>28780</v>
      </c>
      <c r="BI31" s="2227">
        <v>25909.13</v>
      </c>
      <c r="BJ31" s="2923">
        <v>27910</v>
      </c>
      <c r="BK31" s="2227">
        <v>24765.52</v>
      </c>
      <c r="BL31" s="2925">
        <v>30058</v>
      </c>
      <c r="BM31" s="2227">
        <v>28085.84</v>
      </c>
      <c r="BN31" s="2923">
        <v>27925.57</v>
      </c>
      <c r="BO31" s="2227">
        <v>27055.57</v>
      </c>
      <c r="BP31" s="2925">
        <v>26088</v>
      </c>
      <c r="BQ31" s="2227">
        <v>23606.74</v>
      </c>
      <c r="BR31" s="2923">
        <v>25218</v>
      </c>
      <c r="BS31" s="2227">
        <v>23681.29</v>
      </c>
      <c r="BT31" s="2925">
        <v>27058</v>
      </c>
      <c r="BU31" s="2227">
        <v>24395.86</v>
      </c>
      <c r="BV31" s="2923">
        <v>25218</v>
      </c>
      <c r="BW31" s="2227">
        <v>23858.58</v>
      </c>
      <c r="BX31" s="2925">
        <v>23588</v>
      </c>
      <c r="BY31" s="2923">
        <v>22718</v>
      </c>
      <c r="BZ31" s="2924">
        <v>24058</v>
      </c>
      <c r="CA31" s="2923">
        <v>22718</v>
      </c>
      <c r="CB31" s="2227">
        <v>66780</v>
      </c>
      <c r="CC31" s="2227">
        <v>63780</v>
      </c>
      <c r="CD31" s="2227">
        <v>60780</v>
      </c>
      <c r="CE31" s="2227">
        <v>58990</v>
      </c>
      <c r="CF31" s="2227">
        <v>55990</v>
      </c>
      <c r="CG31" s="2227">
        <v>52990</v>
      </c>
      <c r="CH31" s="2227">
        <v>50320</v>
      </c>
      <c r="CI31" s="2227">
        <v>47320</v>
      </c>
      <c r="CJ31" s="2227">
        <v>43820</v>
      </c>
      <c r="CK31" s="2227">
        <v>42440</v>
      </c>
      <c r="CL31" s="2227">
        <v>39440</v>
      </c>
      <c r="CM31" s="2227">
        <v>36440</v>
      </c>
      <c r="CN31" s="2227">
        <v>33670</v>
      </c>
      <c r="CO31" s="2227">
        <v>31670</v>
      </c>
      <c r="CP31" s="2227">
        <v>19512.12</v>
      </c>
      <c r="CQ31" s="2227">
        <v>13096.39</v>
      </c>
      <c r="CR31" s="2227">
        <v>15466.58</v>
      </c>
      <c r="CS31" s="2227">
        <v>31206.54</v>
      </c>
      <c r="CT31" s="2227">
        <v>18723.82</v>
      </c>
      <c r="CU31" s="2227">
        <v>22174.14</v>
      </c>
      <c r="CV31" s="2227">
        <v>22174.14</v>
      </c>
      <c r="CW31" s="2227">
        <v>22174.14</v>
      </c>
      <c r="CX31" s="2227">
        <v>22174.14</v>
      </c>
      <c r="CY31" s="2227">
        <v>20750</v>
      </c>
      <c r="CZ31" s="2227">
        <v>24048.39</v>
      </c>
      <c r="DA31" s="2227">
        <v>21958.97</v>
      </c>
      <c r="DB31" s="2227">
        <v>21445.3</v>
      </c>
      <c r="DC31" s="2227">
        <v>21962.94</v>
      </c>
      <c r="DD31" s="2227">
        <v>18621.97</v>
      </c>
      <c r="DE31" s="2227">
        <v>20153.580000000002</v>
      </c>
      <c r="DF31" s="2227">
        <v>20145.099999999999</v>
      </c>
      <c r="DG31" s="2227">
        <v>20100</v>
      </c>
      <c r="DH31" s="2227">
        <v>18350</v>
      </c>
      <c r="DI31" s="2227">
        <v>15104.35</v>
      </c>
      <c r="DJ31" s="2227">
        <v>15104.35</v>
      </c>
      <c r="DK31" s="2227">
        <v>19600</v>
      </c>
      <c r="DL31" s="2227">
        <v>22361.98</v>
      </c>
      <c r="DM31" s="2227">
        <v>22750</v>
      </c>
      <c r="DN31" s="2227">
        <v>13758.13</v>
      </c>
      <c r="DO31" s="2227">
        <v>23681.29</v>
      </c>
      <c r="DP31" s="2227">
        <v>16906.439999999999</v>
      </c>
      <c r="DQ31" s="2227">
        <v>32999.06</v>
      </c>
      <c r="DR31" s="2227">
        <v>20437.89</v>
      </c>
      <c r="DS31" s="2227">
        <v>15150</v>
      </c>
      <c r="DT31" s="2227">
        <v>15467.26</v>
      </c>
      <c r="DU31" s="2227">
        <v>15295.07</v>
      </c>
      <c r="DV31" s="2227">
        <v>21445.3</v>
      </c>
      <c r="DW31" s="2227">
        <v>15794.71</v>
      </c>
      <c r="DX31" s="2227">
        <v>25650</v>
      </c>
      <c r="DY31" s="2227">
        <v>17498.16</v>
      </c>
      <c r="DZ31" s="2227">
        <v>23858.58</v>
      </c>
      <c r="EA31" s="2227">
        <v>21381.7</v>
      </c>
      <c r="EB31" s="2227">
        <v>36008.35</v>
      </c>
      <c r="EC31" s="2227">
        <v>23951.61</v>
      </c>
      <c r="ED31" s="2227">
        <v>18963.89</v>
      </c>
      <c r="EE31" s="2227">
        <v>15850</v>
      </c>
      <c r="EF31" s="2227">
        <v>16966.25</v>
      </c>
      <c r="EG31" s="2227">
        <v>18054.88</v>
      </c>
      <c r="EH31" s="2227">
        <v>17650.12</v>
      </c>
      <c r="EI31" s="2227">
        <v>23946.65</v>
      </c>
      <c r="EJ31" s="2227">
        <v>28085.84</v>
      </c>
      <c r="EK31" s="2227">
        <v>20122.37</v>
      </c>
      <c r="EL31" s="2227">
        <v>17650.13</v>
      </c>
      <c r="EM31" s="2227">
        <v>37211.83</v>
      </c>
      <c r="EN31" s="2227">
        <v>24395.86</v>
      </c>
      <c r="EO31" s="2227">
        <v>14706.11</v>
      </c>
      <c r="EP31" s="2227">
        <v>17100</v>
      </c>
      <c r="EQ31" s="2227">
        <v>20100.490000000002</v>
      </c>
      <c r="ER31" s="2227">
        <v>22657.53</v>
      </c>
      <c r="ES31" s="2227">
        <v>19777.47</v>
      </c>
      <c r="ET31" s="2227">
        <v>14764.81</v>
      </c>
      <c r="EU31" s="2227">
        <v>21492.42</v>
      </c>
      <c r="EV31" s="2227">
        <v>23606.74</v>
      </c>
      <c r="EW31" s="2227">
        <v>20513.88</v>
      </c>
      <c r="EX31" s="2227">
        <v>21917.119999999999</v>
      </c>
      <c r="EY31" s="2227">
        <v>22750</v>
      </c>
      <c r="EZ31" s="2227">
        <v>32920.339999999997</v>
      </c>
      <c r="FA31" s="2227">
        <v>17145.330000000002</v>
      </c>
      <c r="FB31" s="2227">
        <v>15890.12</v>
      </c>
      <c r="FC31" s="2227">
        <v>35000</v>
      </c>
      <c r="FD31" s="2227">
        <v>32750</v>
      </c>
      <c r="FE31" s="2227">
        <v>42638.83</v>
      </c>
      <c r="FF31" s="2227">
        <v>14550</v>
      </c>
      <c r="FG31" s="2227">
        <v>27055.57</v>
      </c>
      <c r="FH31" s="2227">
        <v>19881.099999999999</v>
      </c>
      <c r="FI31" s="2227">
        <v>16507.16</v>
      </c>
      <c r="FJ31" s="2227">
        <v>15122.67</v>
      </c>
      <c r="FK31" s="2227">
        <v>24765.52</v>
      </c>
      <c r="FL31" s="2227">
        <v>18641.7</v>
      </c>
      <c r="FM31" s="2227">
        <v>23168.92</v>
      </c>
      <c r="FN31" s="2227">
        <v>20750</v>
      </c>
      <c r="FO31" s="2227">
        <v>28185.61</v>
      </c>
      <c r="FP31" s="2227">
        <v>20971.83</v>
      </c>
      <c r="FQ31" s="2227">
        <v>16799.740000000002</v>
      </c>
      <c r="FR31" s="2227">
        <v>27200</v>
      </c>
      <c r="FS31" s="2227">
        <v>35000</v>
      </c>
      <c r="FT31" s="2227">
        <v>29524.12</v>
      </c>
      <c r="FU31" s="2227">
        <v>23153.31</v>
      </c>
      <c r="FV31" s="2227">
        <v>34000</v>
      </c>
      <c r="FW31" s="2227">
        <v>17593.12</v>
      </c>
      <c r="FX31" s="2227">
        <v>19856.39</v>
      </c>
      <c r="FY31" s="2227">
        <v>15513.89</v>
      </c>
      <c r="FZ31" s="2227">
        <v>20867.13</v>
      </c>
      <c r="GA31" s="2227">
        <v>27423.89</v>
      </c>
      <c r="GB31" s="2227">
        <v>28671.01</v>
      </c>
      <c r="GC31" s="2227">
        <v>16906.439999999999</v>
      </c>
      <c r="GD31" s="2227">
        <v>13858.01</v>
      </c>
      <c r="GE31" s="2227">
        <v>27962.48</v>
      </c>
      <c r="GF31" s="2227">
        <v>28250</v>
      </c>
      <c r="GG31" s="2227">
        <v>45052.27</v>
      </c>
      <c r="GH31" s="2227">
        <v>18641.59</v>
      </c>
      <c r="GI31" s="2227">
        <v>19309.48</v>
      </c>
      <c r="GJ31" s="2227">
        <v>14526.6</v>
      </c>
      <c r="GK31" s="2227">
        <v>18273.39</v>
      </c>
      <c r="GL31" s="2227">
        <v>23782.82</v>
      </c>
      <c r="GM31" s="2227">
        <v>17533.36</v>
      </c>
      <c r="GN31" s="2227">
        <v>20599.91</v>
      </c>
      <c r="GO31" s="2227">
        <v>19530.03</v>
      </c>
      <c r="GP31" s="2227">
        <v>22971.77</v>
      </c>
      <c r="GQ31" s="2227">
        <v>15253.9</v>
      </c>
      <c r="GR31" s="2227">
        <v>14817.21</v>
      </c>
      <c r="GS31" s="2227">
        <v>15551.73</v>
      </c>
      <c r="GT31" s="2227">
        <v>17498.16</v>
      </c>
      <c r="GU31" s="2227">
        <v>21090.16</v>
      </c>
      <c r="GV31" s="2227">
        <v>19318.87</v>
      </c>
      <c r="GW31" s="2227">
        <v>36861.81</v>
      </c>
      <c r="GX31" s="2227">
        <v>40333.050000000003</v>
      </c>
      <c r="GY31" s="2227">
        <v>45430.1</v>
      </c>
      <c r="GZ31" s="2227">
        <v>14132.9</v>
      </c>
      <c r="HA31" s="2227">
        <v>13650.99</v>
      </c>
      <c r="HB31" s="2227">
        <v>18641.7</v>
      </c>
      <c r="HC31" s="2227">
        <v>16809.55</v>
      </c>
      <c r="HD31" s="2227">
        <v>17488.259999999998</v>
      </c>
      <c r="HE31" s="2227">
        <v>24690.33</v>
      </c>
      <c r="HF31" s="2227">
        <v>24800</v>
      </c>
      <c r="HG31" s="2227">
        <v>23038.99</v>
      </c>
      <c r="HH31" s="2227">
        <v>22750</v>
      </c>
      <c r="HI31" s="2227">
        <v>21325.919999999998</v>
      </c>
      <c r="HJ31" s="2227">
        <v>23168.92</v>
      </c>
      <c r="HK31" s="2227">
        <v>26622.560000000001</v>
      </c>
      <c r="HL31" s="2227">
        <v>38850</v>
      </c>
      <c r="HM31" s="2227">
        <v>18641.689999999999</v>
      </c>
      <c r="HN31" s="2227">
        <v>17699.71</v>
      </c>
      <c r="HO31" s="2227">
        <v>15295.07</v>
      </c>
      <c r="HP31" s="2227">
        <v>21592.86</v>
      </c>
      <c r="HQ31" s="2227">
        <v>27423.89</v>
      </c>
      <c r="HR31" s="2227">
        <v>31500</v>
      </c>
      <c r="HS31" s="2227">
        <v>21318.87</v>
      </c>
      <c r="HT31" s="2227">
        <v>23227.67</v>
      </c>
      <c r="HU31" s="2227">
        <v>32544.23</v>
      </c>
      <c r="HV31" s="2227">
        <v>30795.439999999999</v>
      </c>
      <c r="HW31" s="2227">
        <v>18641.580000000002</v>
      </c>
      <c r="HX31" s="2227">
        <v>17145.330000000002</v>
      </c>
      <c r="HY31" s="2227">
        <v>17320.12</v>
      </c>
      <c r="HZ31" s="2227">
        <v>18518.64</v>
      </c>
      <c r="IA31" s="2227">
        <v>13650.99</v>
      </c>
      <c r="IB31" s="2227">
        <v>18790.03</v>
      </c>
      <c r="IC31" s="2227">
        <v>18102</v>
      </c>
      <c r="ID31" s="2227">
        <v>22462.45</v>
      </c>
      <c r="IE31" s="2227">
        <v>22422.06</v>
      </c>
      <c r="IF31" s="2227">
        <v>22362.74</v>
      </c>
      <c r="IG31" s="2227">
        <v>24926.05</v>
      </c>
      <c r="IH31" s="2227">
        <v>21318.880000000001</v>
      </c>
      <c r="II31" s="2227">
        <v>21093.96</v>
      </c>
      <c r="IJ31" s="2227">
        <v>31061.16</v>
      </c>
      <c r="IK31" s="2227">
        <v>21156.59</v>
      </c>
      <c r="IL31" s="2227">
        <v>25577.279999999999</v>
      </c>
      <c r="IM31" s="2227">
        <v>22469.99</v>
      </c>
      <c r="IN31" s="2227">
        <v>34804.36</v>
      </c>
      <c r="IO31" s="2227">
        <v>35969.449999999997</v>
      </c>
      <c r="IP31" s="2227">
        <v>32750</v>
      </c>
      <c r="IQ31" s="2227">
        <v>32544.23</v>
      </c>
      <c r="IR31" s="2227">
        <v>51436.27</v>
      </c>
      <c r="IS31" s="2227">
        <v>32525.35</v>
      </c>
      <c r="IT31" s="2227">
        <v>43827.61</v>
      </c>
      <c r="IU31" s="2227">
        <v>32632.61</v>
      </c>
      <c r="IV31" s="2227">
        <v>21445.3</v>
      </c>
    </row>
    <row r="32" spans="1:256">
      <c r="A32" s="2214">
        <v>23</v>
      </c>
      <c r="B32" s="2925">
        <v>16417.740000000002</v>
      </c>
      <c r="C32" s="2227">
        <v>16199.44</v>
      </c>
      <c r="D32" s="2925">
        <v>15417.74</v>
      </c>
      <c r="E32" s="2227">
        <v>14926.41</v>
      </c>
      <c r="F32" s="2925">
        <v>14417.74</v>
      </c>
      <c r="G32" s="2227">
        <v>14075.88</v>
      </c>
      <c r="H32" s="2926">
        <v>13570</v>
      </c>
      <c r="I32" s="2925">
        <v>22312</v>
      </c>
      <c r="J32" s="2925">
        <v>22312</v>
      </c>
      <c r="K32" s="2227">
        <v>18403.93</v>
      </c>
      <c r="L32" s="2925">
        <v>19108.98</v>
      </c>
      <c r="M32" s="2227">
        <v>18403.93</v>
      </c>
      <c r="N32" s="2925">
        <v>19072.87</v>
      </c>
      <c r="O32" s="2925">
        <v>19072.87</v>
      </c>
      <c r="P32" s="2227">
        <v>17315.3</v>
      </c>
      <c r="Q32" s="2925">
        <v>18108.98</v>
      </c>
      <c r="R32" s="2227">
        <v>16856.21</v>
      </c>
      <c r="S32" s="2925">
        <v>17315.3</v>
      </c>
      <c r="T32" s="2925">
        <v>17468.05</v>
      </c>
      <c r="U32" s="2227">
        <v>16856.21</v>
      </c>
      <c r="V32" s="2925">
        <v>17051.66</v>
      </c>
      <c r="W32" s="2227">
        <v>16143.76</v>
      </c>
      <c r="X32" s="2925">
        <v>16462.71</v>
      </c>
      <c r="Y32" s="2925">
        <v>16462.71</v>
      </c>
      <c r="Z32" s="2925">
        <v>15888.43</v>
      </c>
      <c r="AA32" s="2925">
        <v>25277.19</v>
      </c>
      <c r="AB32" s="2227">
        <v>22586.55</v>
      </c>
      <c r="AC32" s="2925">
        <v>23777.19</v>
      </c>
      <c r="AD32" s="2227">
        <v>21980.43</v>
      </c>
      <c r="AE32" s="2925">
        <v>22277.19</v>
      </c>
      <c r="AF32" s="2227">
        <v>21061.5</v>
      </c>
      <c r="AG32" s="2925">
        <v>20777.189999999999</v>
      </c>
      <c r="AH32" s="2925">
        <v>25549.66</v>
      </c>
      <c r="AI32" s="2925">
        <v>25561.5</v>
      </c>
      <c r="AJ32" s="2227">
        <v>24672</v>
      </c>
      <c r="AK32" s="2925">
        <v>24672</v>
      </c>
      <c r="AL32" s="2925">
        <v>24061.5</v>
      </c>
      <c r="AM32" s="2227">
        <v>22586.55</v>
      </c>
      <c r="AN32" s="2925">
        <v>22586.55</v>
      </c>
      <c r="AO32" s="2925">
        <v>22561.5</v>
      </c>
      <c r="AP32" s="2227">
        <v>21980.43</v>
      </c>
      <c r="AQ32" s="2925">
        <v>21980.43</v>
      </c>
      <c r="AR32" s="2925">
        <v>21061.5</v>
      </c>
      <c r="AS32" s="2923">
        <v>31068</v>
      </c>
      <c r="AT32" s="2227">
        <v>25079.39</v>
      </c>
      <c r="AU32" s="2923">
        <v>28828</v>
      </c>
      <c r="AV32" s="2227">
        <v>24407.09</v>
      </c>
      <c r="AW32" s="2923">
        <v>25843</v>
      </c>
      <c r="AX32" s="2227">
        <v>22900.05</v>
      </c>
      <c r="AY32" s="2923">
        <v>23343</v>
      </c>
      <c r="AZ32" s="2925">
        <v>31938</v>
      </c>
      <c r="BA32" s="2227">
        <v>27157.69</v>
      </c>
      <c r="BB32" s="2923">
        <v>31068</v>
      </c>
      <c r="BC32" s="2227">
        <v>26201.55</v>
      </c>
      <c r="BD32" s="2925">
        <v>33090</v>
      </c>
      <c r="BE32" s="2227">
        <v>29350.35</v>
      </c>
      <c r="BF32" s="2923">
        <v>31068</v>
      </c>
      <c r="BG32" s="2227">
        <v>28095.39</v>
      </c>
      <c r="BH32" s="2925">
        <v>29698</v>
      </c>
      <c r="BI32" s="2227">
        <v>26444.26</v>
      </c>
      <c r="BJ32" s="2923">
        <v>28828</v>
      </c>
      <c r="BK32" s="2227">
        <v>25389.79</v>
      </c>
      <c r="BL32" s="2925">
        <v>30683</v>
      </c>
      <c r="BM32" s="2227">
        <v>28765.18</v>
      </c>
      <c r="BN32" s="2923">
        <v>28828</v>
      </c>
      <c r="BO32" s="2227">
        <v>27679.84</v>
      </c>
      <c r="BP32" s="2925">
        <v>26713</v>
      </c>
      <c r="BQ32" s="2227">
        <v>24141.87</v>
      </c>
      <c r="BR32" s="2923">
        <v>25843</v>
      </c>
      <c r="BS32" s="2227">
        <v>24305.56</v>
      </c>
      <c r="BT32" s="2925">
        <v>27683</v>
      </c>
      <c r="BU32" s="2227">
        <v>25020.13</v>
      </c>
      <c r="BV32" s="2923">
        <v>25843</v>
      </c>
      <c r="BW32" s="2227">
        <v>24482.85</v>
      </c>
      <c r="BX32" s="2925">
        <v>24213</v>
      </c>
      <c r="BY32" s="2923">
        <v>23343</v>
      </c>
      <c r="BZ32" s="2924">
        <v>24683</v>
      </c>
      <c r="CA32" s="2923">
        <v>23343</v>
      </c>
      <c r="CB32" s="2227">
        <v>66780</v>
      </c>
      <c r="CC32" s="2227">
        <v>63780</v>
      </c>
      <c r="CD32" s="2227">
        <v>60780</v>
      </c>
      <c r="CE32" s="2227">
        <v>58990</v>
      </c>
      <c r="CF32" s="2227">
        <v>55990</v>
      </c>
      <c r="CG32" s="2227">
        <v>52990</v>
      </c>
      <c r="CH32" s="2227">
        <v>50840</v>
      </c>
      <c r="CI32" s="2227">
        <v>47840</v>
      </c>
      <c r="CJ32" s="2227">
        <v>44340</v>
      </c>
      <c r="CK32" s="2227">
        <v>42920</v>
      </c>
      <c r="CL32" s="2227">
        <v>39920</v>
      </c>
      <c r="CM32" s="2227">
        <v>36920</v>
      </c>
      <c r="CN32" s="2227">
        <v>34115</v>
      </c>
      <c r="CO32" s="2227">
        <v>32115</v>
      </c>
      <c r="CP32" s="2227">
        <v>20135.73</v>
      </c>
      <c r="CQ32" s="2227">
        <v>13154.56</v>
      </c>
      <c r="CR32" s="2227">
        <v>15790.69</v>
      </c>
      <c r="CS32" s="2227">
        <v>32165.25</v>
      </c>
      <c r="CT32" s="2227">
        <v>19072.87</v>
      </c>
      <c r="CU32" s="2227">
        <v>22417.08</v>
      </c>
      <c r="CV32" s="2227">
        <v>22417.08</v>
      </c>
      <c r="CW32" s="2227">
        <v>22417.08</v>
      </c>
      <c r="CX32" s="2227">
        <v>22417.08</v>
      </c>
      <c r="CY32" s="2227">
        <v>21350</v>
      </c>
      <c r="CZ32" s="2227">
        <v>24672</v>
      </c>
      <c r="DA32" s="2227">
        <v>22312</v>
      </c>
      <c r="DB32" s="2227">
        <v>21980.43</v>
      </c>
      <c r="DC32" s="2227">
        <v>22586.55</v>
      </c>
      <c r="DD32" s="2227">
        <v>18751.38</v>
      </c>
      <c r="DE32" s="2227">
        <v>20777.189999999999</v>
      </c>
      <c r="DF32" s="2227">
        <v>20733.41</v>
      </c>
      <c r="DG32" s="2227">
        <v>20650</v>
      </c>
      <c r="DH32" s="2227">
        <v>18750</v>
      </c>
      <c r="DI32" s="2227">
        <v>15371.14</v>
      </c>
      <c r="DJ32" s="2227">
        <v>15371.14</v>
      </c>
      <c r="DK32" s="2227">
        <v>19950</v>
      </c>
      <c r="DL32" s="2227">
        <v>22986.25</v>
      </c>
      <c r="DM32" s="2227">
        <v>23350</v>
      </c>
      <c r="DN32" s="2227">
        <v>13882.08</v>
      </c>
      <c r="DO32" s="2227">
        <v>24305.56</v>
      </c>
      <c r="DP32" s="2227">
        <v>17253.5</v>
      </c>
      <c r="DQ32" s="2227">
        <v>33957.769999999997</v>
      </c>
      <c r="DR32" s="2227">
        <v>21061.5</v>
      </c>
      <c r="DS32" s="2227">
        <v>15300</v>
      </c>
      <c r="DT32" s="2227">
        <v>15526.76</v>
      </c>
      <c r="DU32" s="2227">
        <v>15419.02</v>
      </c>
      <c r="DV32" s="2227">
        <v>21980.43</v>
      </c>
      <c r="DW32" s="2227">
        <v>16143.76</v>
      </c>
      <c r="DX32" s="2227">
        <v>26450</v>
      </c>
      <c r="DY32" s="2227">
        <v>17662.669999999998</v>
      </c>
      <c r="DZ32" s="2227">
        <v>24482.85</v>
      </c>
      <c r="EA32" s="2227">
        <v>22005.97</v>
      </c>
      <c r="EB32" s="2227">
        <v>36967.06</v>
      </c>
      <c r="EC32" s="2227">
        <v>24169.759999999998</v>
      </c>
      <c r="ED32" s="2227">
        <v>19459.68</v>
      </c>
      <c r="EE32" s="2227">
        <v>16000</v>
      </c>
      <c r="EF32" s="2227">
        <v>17315.3</v>
      </c>
      <c r="EG32" s="2227">
        <v>18403.93</v>
      </c>
      <c r="EH32" s="2227">
        <v>17997.18</v>
      </c>
      <c r="EI32" s="2227">
        <v>24219.34</v>
      </c>
      <c r="EJ32" s="2227">
        <v>28765.18</v>
      </c>
      <c r="EK32" s="2227">
        <v>20710.68</v>
      </c>
      <c r="EL32" s="2227">
        <v>17997.189999999999</v>
      </c>
      <c r="EM32" s="2227">
        <v>38304.26</v>
      </c>
      <c r="EN32" s="2227">
        <v>25020.13</v>
      </c>
      <c r="EO32" s="2227">
        <v>14766.9</v>
      </c>
      <c r="EP32" s="2227">
        <v>17450</v>
      </c>
      <c r="EQ32" s="2227">
        <v>20412.39</v>
      </c>
      <c r="ER32" s="2227">
        <v>22895.51</v>
      </c>
      <c r="ES32" s="2227">
        <v>20007.32</v>
      </c>
      <c r="ET32" s="2227">
        <v>14926.41</v>
      </c>
      <c r="EU32" s="2227">
        <v>22037.79</v>
      </c>
      <c r="EV32" s="2227">
        <v>24141.87</v>
      </c>
      <c r="EW32" s="2227">
        <v>20832.18</v>
      </c>
      <c r="EX32" s="2227">
        <v>22284.13</v>
      </c>
      <c r="EY32" s="2227">
        <v>23350</v>
      </c>
      <c r="EZ32" s="2227">
        <v>33242.61</v>
      </c>
      <c r="FA32" s="2227">
        <v>17306.52</v>
      </c>
      <c r="FB32" s="2227">
        <v>15952.1</v>
      </c>
      <c r="FC32" s="2227">
        <v>35000</v>
      </c>
      <c r="FD32" s="2227">
        <v>32750</v>
      </c>
      <c r="FE32" s="2227">
        <v>42638.83</v>
      </c>
      <c r="FF32" s="2227">
        <v>14700</v>
      </c>
      <c r="FG32" s="2227">
        <v>27679.84</v>
      </c>
      <c r="FH32" s="2227">
        <v>20376.89</v>
      </c>
      <c r="FI32" s="2227">
        <v>16856.21</v>
      </c>
      <c r="FJ32" s="2227">
        <v>15194.22</v>
      </c>
      <c r="FK32" s="2227">
        <v>25389.79</v>
      </c>
      <c r="FL32" s="2227">
        <v>18988.759999999998</v>
      </c>
      <c r="FM32" s="2227">
        <v>23587.25</v>
      </c>
      <c r="FN32" s="2227">
        <v>21350</v>
      </c>
      <c r="FO32" s="2227">
        <v>28396.32</v>
      </c>
      <c r="FP32" s="2227">
        <v>21467.62</v>
      </c>
      <c r="FQ32" s="2227">
        <v>16960.52</v>
      </c>
      <c r="FR32" s="2227">
        <v>27800</v>
      </c>
      <c r="FS32" s="2227">
        <v>35000</v>
      </c>
      <c r="FT32" s="2227">
        <v>30292.59</v>
      </c>
      <c r="FU32" s="2227">
        <v>23698.68</v>
      </c>
      <c r="FV32" s="2227">
        <v>34000</v>
      </c>
      <c r="FW32" s="2227">
        <v>17697.240000000002</v>
      </c>
      <c r="FX32" s="2227">
        <v>19980.34</v>
      </c>
      <c r="FY32" s="2227">
        <v>15838</v>
      </c>
      <c r="FZ32" s="2227">
        <v>21054.99</v>
      </c>
      <c r="GA32" s="2227">
        <v>27936.37</v>
      </c>
      <c r="GB32" s="2227">
        <v>29350.35</v>
      </c>
      <c r="GC32" s="2227">
        <v>17253.5</v>
      </c>
      <c r="GD32" s="2227">
        <v>13971.47</v>
      </c>
      <c r="GE32" s="2227">
        <v>28235.17</v>
      </c>
      <c r="GF32" s="2227">
        <v>29150</v>
      </c>
      <c r="GG32" s="2227">
        <v>45052.27</v>
      </c>
      <c r="GH32" s="2227">
        <v>18988.64</v>
      </c>
      <c r="GI32" s="2227">
        <v>19927.55</v>
      </c>
      <c r="GJ32" s="2227">
        <v>14650.55</v>
      </c>
      <c r="GK32" s="2227">
        <v>18273.39</v>
      </c>
      <c r="GL32" s="2227">
        <v>24407.09</v>
      </c>
      <c r="GM32" s="2227">
        <v>17694.66</v>
      </c>
      <c r="GN32" s="2227">
        <v>20860.2</v>
      </c>
      <c r="GO32" s="2227">
        <v>19677.46</v>
      </c>
      <c r="GP32" s="2227">
        <v>23409.93</v>
      </c>
      <c r="GQ32" s="2227">
        <v>15523.32</v>
      </c>
      <c r="GR32" s="2227">
        <v>14887.29</v>
      </c>
      <c r="GS32" s="2227">
        <v>15623.28</v>
      </c>
      <c r="GT32" s="2227">
        <v>17662.669999999998</v>
      </c>
      <c r="GU32" s="2227">
        <v>21619.98</v>
      </c>
      <c r="GV32" s="2227">
        <v>19936.3</v>
      </c>
      <c r="GW32" s="2227">
        <v>37357.599999999999</v>
      </c>
      <c r="GX32" s="2227">
        <v>40333.050000000003</v>
      </c>
      <c r="GY32" s="2227">
        <v>45430.1</v>
      </c>
      <c r="GZ32" s="2227">
        <v>14285.63</v>
      </c>
      <c r="HA32" s="2227">
        <v>13775.88</v>
      </c>
      <c r="HB32" s="2227">
        <v>18988.759999999998</v>
      </c>
      <c r="HC32" s="2227">
        <v>16970.439999999999</v>
      </c>
      <c r="HD32" s="2227">
        <v>17652.689999999999</v>
      </c>
      <c r="HE32" s="2227">
        <v>24958.06</v>
      </c>
      <c r="HF32" s="2227">
        <v>25400</v>
      </c>
      <c r="HG32" s="2227">
        <v>23267.08</v>
      </c>
      <c r="HH32" s="2227">
        <v>23350</v>
      </c>
      <c r="HI32" s="2227">
        <v>21950.19</v>
      </c>
      <c r="HJ32" s="2227">
        <v>23587.25</v>
      </c>
      <c r="HK32" s="2227">
        <v>27157.69</v>
      </c>
      <c r="HL32" s="2227">
        <v>38850</v>
      </c>
      <c r="HM32" s="2227">
        <v>18988.75</v>
      </c>
      <c r="HN32" s="2227">
        <v>18046.77</v>
      </c>
      <c r="HO32" s="2227">
        <v>15419.02</v>
      </c>
      <c r="HP32" s="2227">
        <v>21911.119999999999</v>
      </c>
      <c r="HQ32" s="2227">
        <v>27936.37</v>
      </c>
      <c r="HR32" s="2227">
        <v>32500</v>
      </c>
      <c r="HS32" s="2227">
        <v>21814.66</v>
      </c>
      <c r="HT32" s="2227">
        <v>23773.040000000001</v>
      </c>
      <c r="HU32" s="2227">
        <v>33522.1</v>
      </c>
      <c r="HV32" s="2227">
        <v>31744.65</v>
      </c>
      <c r="HW32" s="2227">
        <v>18988.63</v>
      </c>
      <c r="HX32" s="2227">
        <v>17306.52</v>
      </c>
      <c r="HY32" s="2227">
        <v>17481.310000000001</v>
      </c>
      <c r="HZ32" s="2227">
        <v>18661.21</v>
      </c>
      <c r="IA32" s="2227">
        <v>13775.88</v>
      </c>
      <c r="IB32" s="2227">
        <v>18961.650000000001</v>
      </c>
      <c r="IC32" s="2227">
        <v>18440.009999999998</v>
      </c>
      <c r="ID32" s="2227">
        <v>23086.35</v>
      </c>
      <c r="IE32" s="2227">
        <v>22665</v>
      </c>
      <c r="IF32" s="2227">
        <v>22729.75</v>
      </c>
      <c r="IG32" s="2227">
        <v>25549.66</v>
      </c>
      <c r="IH32" s="2227">
        <v>21814.67</v>
      </c>
      <c r="II32" s="2227">
        <v>21594.71</v>
      </c>
      <c r="IJ32" s="2227">
        <v>31333.85</v>
      </c>
      <c r="IK32" s="2227">
        <v>21782.53</v>
      </c>
      <c r="IL32" s="2227">
        <v>26201.55</v>
      </c>
      <c r="IM32" s="2227">
        <v>23106.73</v>
      </c>
      <c r="IN32" s="2227">
        <v>35052.26</v>
      </c>
      <c r="IO32" s="2227">
        <v>37060.19</v>
      </c>
      <c r="IP32" s="2227">
        <v>32750</v>
      </c>
      <c r="IQ32" s="2227">
        <v>33522.1</v>
      </c>
      <c r="IR32" s="2227">
        <v>51436.27</v>
      </c>
      <c r="IS32" s="2227">
        <v>33502.629999999997</v>
      </c>
      <c r="IT32" s="2227">
        <v>45116.66</v>
      </c>
      <c r="IU32" s="2227">
        <v>32983.879999999997</v>
      </c>
      <c r="IV32" s="2227">
        <v>21980.43</v>
      </c>
    </row>
    <row r="33" spans="1:256">
      <c r="A33" s="2214">
        <v>24</v>
      </c>
      <c r="B33" s="2925">
        <v>16417.740000000002</v>
      </c>
      <c r="C33" s="2227">
        <v>16199.44</v>
      </c>
      <c r="D33" s="2925">
        <v>15417.74</v>
      </c>
      <c r="E33" s="2227">
        <v>14926.41</v>
      </c>
      <c r="F33" s="2925">
        <v>14417.74</v>
      </c>
      <c r="G33" s="2227">
        <v>14075.88</v>
      </c>
      <c r="H33" s="2926">
        <v>13597</v>
      </c>
      <c r="I33" s="2925">
        <v>22312</v>
      </c>
      <c r="J33" s="2925">
        <v>22312</v>
      </c>
      <c r="K33" s="2227">
        <v>18403.93</v>
      </c>
      <c r="L33" s="2925">
        <v>19973</v>
      </c>
      <c r="M33" s="2227">
        <v>18403.93</v>
      </c>
      <c r="N33" s="2925">
        <v>19072.87</v>
      </c>
      <c r="O33" s="2925">
        <v>19072.87</v>
      </c>
      <c r="P33" s="2227">
        <v>17315.3</v>
      </c>
      <c r="Q33" s="2925">
        <v>18108.98</v>
      </c>
      <c r="R33" s="2227">
        <v>16856.21</v>
      </c>
      <c r="S33" s="2925">
        <v>17315.3</v>
      </c>
      <c r="T33" s="2925">
        <v>17468.05</v>
      </c>
      <c r="U33" s="2227">
        <v>16856.21</v>
      </c>
      <c r="V33" s="2925">
        <v>17051.66</v>
      </c>
      <c r="W33" s="2227">
        <v>16143.76</v>
      </c>
      <c r="X33" s="2925">
        <v>16462.71</v>
      </c>
      <c r="Y33" s="2925">
        <v>16462.71</v>
      </c>
      <c r="Z33" s="2925">
        <v>15888.43</v>
      </c>
      <c r="AA33" s="2925">
        <v>26168</v>
      </c>
      <c r="AB33" s="2227">
        <v>22586.55</v>
      </c>
      <c r="AC33" s="2925">
        <v>23777.19</v>
      </c>
      <c r="AD33" s="2227">
        <v>21980.43</v>
      </c>
      <c r="AE33" s="2925">
        <v>22277.19</v>
      </c>
      <c r="AF33" s="2227">
        <v>21061.5</v>
      </c>
      <c r="AG33" s="2925">
        <v>20777.189999999999</v>
      </c>
      <c r="AH33" s="2925">
        <v>26168</v>
      </c>
      <c r="AI33" s="2925">
        <v>26168</v>
      </c>
      <c r="AJ33" s="2227">
        <v>24672</v>
      </c>
      <c r="AK33" s="2925">
        <v>24672</v>
      </c>
      <c r="AL33" s="2925">
        <v>24061.5</v>
      </c>
      <c r="AM33" s="2227">
        <v>22586.55</v>
      </c>
      <c r="AN33" s="2925">
        <v>22586.55</v>
      </c>
      <c r="AO33" s="2925">
        <v>22561.5</v>
      </c>
      <c r="AP33" s="2227">
        <v>21980.43</v>
      </c>
      <c r="AQ33" s="2925">
        <v>21980.43</v>
      </c>
      <c r="AR33" s="2925">
        <v>21061.5</v>
      </c>
      <c r="AS33" s="2923">
        <v>31068</v>
      </c>
      <c r="AT33" s="2227">
        <v>25079.39</v>
      </c>
      <c r="AU33" s="2923">
        <v>28828</v>
      </c>
      <c r="AV33" s="2227">
        <v>24407.09</v>
      </c>
      <c r="AW33" s="2923">
        <v>25843</v>
      </c>
      <c r="AX33" s="2227">
        <v>22900.05</v>
      </c>
      <c r="AY33" s="2923">
        <v>23343</v>
      </c>
      <c r="AZ33" s="2925">
        <v>31938</v>
      </c>
      <c r="BA33" s="2227">
        <v>27157.69</v>
      </c>
      <c r="BB33" s="2923">
        <v>31068</v>
      </c>
      <c r="BC33" s="2227">
        <v>26201.55</v>
      </c>
      <c r="BD33" s="2925">
        <v>33090</v>
      </c>
      <c r="BE33" s="2227">
        <v>29350.35</v>
      </c>
      <c r="BF33" s="2923">
        <v>31068</v>
      </c>
      <c r="BG33" s="2227">
        <v>28095.39</v>
      </c>
      <c r="BH33" s="2925">
        <v>29698</v>
      </c>
      <c r="BI33" s="2227">
        <v>26444.26</v>
      </c>
      <c r="BJ33" s="2923">
        <v>28828</v>
      </c>
      <c r="BK33" s="2227">
        <v>25389.79</v>
      </c>
      <c r="BL33" s="2925">
        <v>30683</v>
      </c>
      <c r="BM33" s="2227">
        <v>28765.18</v>
      </c>
      <c r="BN33" s="2923">
        <v>28828</v>
      </c>
      <c r="BO33" s="2227">
        <v>27679.84</v>
      </c>
      <c r="BP33" s="2925">
        <v>26713</v>
      </c>
      <c r="BQ33" s="2227">
        <v>24141.87</v>
      </c>
      <c r="BR33" s="2923">
        <v>25843</v>
      </c>
      <c r="BS33" s="2227">
        <v>24305.56</v>
      </c>
      <c r="BT33" s="2925">
        <v>27683</v>
      </c>
      <c r="BU33" s="2227">
        <v>25020.13</v>
      </c>
      <c r="BV33" s="2923">
        <v>25843</v>
      </c>
      <c r="BW33" s="2227">
        <v>24482.85</v>
      </c>
      <c r="BX33" s="2925">
        <v>24213</v>
      </c>
      <c r="BY33" s="2923">
        <v>23343</v>
      </c>
      <c r="BZ33" s="2924">
        <v>24683</v>
      </c>
      <c r="CA33" s="2923">
        <v>23343</v>
      </c>
      <c r="CB33" s="2227">
        <v>66780</v>
      </c>
      <c r="CC33" s="2227">
        <v>63780</v>
      </c>
      <c r="CD33" s="2227">
        <v>60780</v>
      </c>
      <c r="CE33" s="2227">
        <v>58990</v>
      </c>
      <c r="CF33" s="2227">
        <v>55990</v>
      </c>
      <c r="CG33" s="2227">
        <v>52990</v>
      </c>
      <c r="CH33" s="2227">
        <v>51360</v>
      </c>
      <c r="CI33" s="2227">
        <v>48360</v>
      </c>
      <c r="CJ33" s="2227">
        <v>44860</v>
      </c>
      <c r="CK33" s="2227">
        <v>43400</v>
      </c>
      <c r="CL33" s="2227">
        <v>40400</v>
      </c>
      <c r="CM33" s="2227">
        <v>37400</v>
      </c>
      <c r="CN33" s="2227">
        <v>34560</v>
      </c>
      <c r="CO33" s="2227">
        <v>32560</v>
      </c>
      <c r="CP33" s="2227">
        <v>20135.73</v>
      </c>
      <c r="CQ33" s="2227">
        <v>13154.56</v>
      </c>
      <c r="CR33" s="2227">
        <v>15790.69</v>
      </c>
      <c r="CS33" s="2227">
        <v>32165.25</v>
      </c>
      <c r="CT33" s="2227">
        <v>19072.87</v>
      </c>
      <c r="CU33" s="2227">
        <v>22660.02</v>
      </c>
      <c r="CV33" s="2227">
        <v>22660.02</v>
      </c>
      <c r="CW33" s="2227">
        <v>22660.02</v>
      </c>
      <c r="CX33" s="2227">
        <v>22660.02</v>
      </c>
      <c r="CY33" s="2227">
        <v>21350</v>
      </c>
      <c r="CZ33" s="2227">
        <v>24672</v>
      </c>
      <c r="DA33" s="2227">
        <v>22312</v>
      </c>
      <c r="DB33" s="2227">
        <v>21980.43</v>
      </c>
      <c r="DC33" s="2227">
        <v>22586.55</v>
      </c>
      <c r="DD33" s="2227">
        <v>18880.79</v>
      </c>
      <c r="DE33" s="2227">
        <v>20777.189999999999</v>
      </c>
      <c r="DF33" s="2227">
        <v>20733.41</v>
      </c>
      <c r="DG33" s="2227">
        <v>20650</v>
      </c>
      <c r="DH33" s="2227">
        <v>18750</v>
      </c>
      <c r="DI33" s="2227">
        <v>15371.14</v>
      </c>
      <c r="DJ33" s="2227">
        <v>15371.14</v>
      </c>
      <c r="DK33" s="2227">
        <v>19950</v>
      </c>
      <c r="DL33" s="2227">
        <v>22986.25</v>
      </c>
      <c r="DM33" s="2227">
        <v>23350</v>
      </c>
      <c r="DN33" s="2227">
        <v>13882.08</v>
      </c>
      <c r="DO33" s="2227">
        <v>24305.56</v>
      </c>
      <c r="DP33" s="2227">
        <v>17253.5</v>
      </c>
      <c r="DQ33" s="2227">
        <v>33957.769999999997</v>
      </c>
      <c r="DR33" s="2227">
        <v>21061.5</v>
      </c>
      <c r="DS33" s="2227">
        <v>15300</v>
      </c>
      <c r="DT33" s="2227">
        <v>15586.26</v>
      </c>
      <c r="DU33" s="2227">
        <v>15419.02</v>
      </c>
      <c r="DV33" s="2227">
        <v>21980.43</v>
      </c>
      <c r="DW33" s="2227">
        <v>16143.76</v>
      </c>
      <c r="DX33" s="2227">
        <v>26450</v>
      </c>
      <c r="DY33" s="2227">
        <v>17827.18</v>
      </c>
      <c r="DZ33" s="2227">
        <v>24482.85</v>
      </c>
      <c r="EA33" s="2227">
        <v>22005.97</v>
      </c>
      <c r="EB33" s="2227">
        <v>36967.06</v>
      </c>
      <c r="EC33" s="2227">
        <v>24387.91</v>
      </c>
      <c r="ED33" s="2227">
        <v>19459.68</v>
      </c>
      <c r="EE33" s="2227">
        <v>16000</v>
      </c>
      <c r="EF33" s="2227">
        <v>17315.3</v>
      </c>
      <c r="EG33" s="2227">
        <v>18403.93</v>
      </c>
      <c r="EH33" s="2227">
        <v>17997.18</v>
      </c>
      <c r="EI33" s="2227">
        <v>24492.03</v>
      </c>
      <c r="EJ33" s="2227">
        <v>28765.18</v>
      </c>
      <c r="EK33" s="2227">
        <v>20710.68</v>
      </c>
      <c r="EL33" s="2227">
        <v>17997.189999999999</v>
      </c>
      <c r="EM33" s="2227">
        <v>38304.26</v>
      </c>
      <c r="EN33" s="2227">
        <v>25020.13</v>
      </c>
      <c r="EO33" s="2227">
        <v>14827.69</v>
      </c>
      <c r="EP33" s="2227">
        <v>17450</v>
      </c>
      <c r="EQ33" s="2227">
        <v>20724.29</v>
      </c>
      <c r="ER33" s="2227">
        <v>23133.49</v>
      </c>
      <c r="ES33" s="2227">
        <v>20237.169999999998</v>
      </c>
      <c r="ET33" s="2227">
        <v>14926.41</v>
      </c>
      <c r="EU33" s="2227">
        <v>22037.79</v>
      </c>
      <c r="EV33" s="2227">
        <v>24141.87</v>
      </c>
      <c r="EW33" s="2227">
        <v>21150.48</v>
      </c>
      <c r="EX33" s="2227">
        <v>22284.13</v>
      </c>
      <c r="EY33" s="2227">
        <v>23350</v>
      </c>
      <c r="EZ33" s="2227">
        <v>33564.879999999997</v>
      </c>
      <c r="FA33" s="2227">
        <v>17467.71</v>
      </c>
      <c r="FB33" s="2227">
        <v>16014.08</v>
      </c>
      <c r="FC33" s="2227">
        <v>36200</v>
      </c>
      <c r="FD33" s="2227">
        <v>34000</v>
      </c>
      <c r="FE33" s="2227">
        <v>42638.83</v>
      </c>
      <c r="FF33" s="2227">
        <v>14700</v>
      </c>
      <c r="FG33" s="2227">
        <v>27679.84</v>
      </c>
      <c r="FH33" s="2227">
        <v>20376.89</v>
      </c>
      <c r="FI33" s="2227">
        <v>16856.21</v>
      </c>
      <c r="FJ33" s="2227">
        <v>15265.77</v>
      </c>
      <c r="FK33" s="2227">
        <v>25389.79</v>
      </c>
      <c r="FL33" s="2227">
        <v>18988.759999999998</v>
      </c>
      <c r="FM33" s="2227">
        <v>24005.58</v>
      </c>
      <c r="FN33" s="2227">
        <v>21350</v>
      </c>
      <c r="FO33" s="2227">
        <v>28607.03</v>
      </c>
      <c r="FP33" s="2227">
        <v>21467.62</v>
      </c>
      <c r="FQ33" s="2227">
        <v>17121.3</v>
      </c>
      <c r="FR33" s="2227">
        <v>27800</v>
      </c>
      <c r="FS33" s="2227">
        <v>36200</v>
      </c>
      <c r="FT33" s="2227">
        <v>30292.59</v>
      </c>
      <c r="FU33" s="2227">
        <v>23698.68</v>
      </c>
      <c r="FV33" s="2227">
        <v>35250</v>
      </c>
      <c r="FW33" s="2227">
        <v>17801.36</v>
      </c>
      <c r="FX33" s="2227">
        <v>20104.29</v>
      </c>
      <c r="FY33" s="2227">
        <v>15838</v>
      </c>
      <c r="FZ33" s="2227">
        <v>21242.85</v>
      </c>
      <c r="GA33" s="2227">
        <v>28448.85</v>
      </c>
      <c r="GB33" s="2227">
        <v>29350.35</v>
      </c>
      <c r="GC33" s="2227">
        <v>17253.5</v>
      </c>
      <c r="GD33" s="2227">
        <v>13971.47</v>
      </c>
      <c r="GE33" s="2227">
        <v>28507.86</v>
      </c>
      <c r="GF33" s="2227">
        <v>29150</v>
      </c>
      <c r="GG33" s="2227">
        <v>45052.27</v>
      </c>
      <c r="GH33" s="2227">
        <v>18988.64</v>
      </c>
      <c r="GI33" s="2227">
        <v>19927.55</v>
      </c>
      <c r="GJ33" s="2227">
        <v>14650.55</v>
      </c>
      <c r="GK33" s="2227">
        <v>18273.39</v>
      </c>
      <c r="GL33" s="2227">
        <v>24407.09</v>
      </c>
      <c r="GM33" s="2227">
        <v>17855.96</v>
      </c>
      <c r="GN33" s="2227">
        <v>21108.09</v>
      </c>
      <c r="GO33" s="2227">
        <v>19824.89</v>
      </c>
      <c r="GP33" s="2227">
        <v>23409.93</v>
      </c>
      <c r="GQ33" s="2227">
        <v>15523.32</v>
      </c>
      <c r="GR33" s="2227">
        <v>14957.37</v>
      </c>
      <c r="GS33" s="2227">
        <v>15694.83</v>
      </c>
      <c r="GT33" s="2227">
        <v>17827.18</v>
      </c>
      <c r="GU33" s="2227">
        <v>21619.98</v>
      </c>
      <c r="GV33" s="2227">
        <v>19936.3</v>
      </c>
      <c r="GW33" s="2227">
        <v>37853.39</v>
      </c>
      <c r="GX33" s="2227">
        <v>40333.050000000003</v>
      </c>
      <c r="GY33" s="2227">
        <v>46767.83</v>
      </c>
      <c r="GZ33" s="2227">
        <v>14285.63</v>
      </c>
      <c r="HA33" s="2227">
        <v>13775.88</v>
      </c>
      <c r="HB33" s="2227">
        <v>18988.759999999998</v>
      </c>
      <c r="HC33" s="2227">
        <v>17131.330000000002</v>
      </c>
      <c r="HD33" s="2227">
        <v>17817.12</v>
      </c>
      <c r="HE33" s="2227">
        <v>25225.79</v>
      </c>
      <c r="HF33" s="2227">
        <v>25400</v>
      </c>
      <c r="HG33" s="2227">
        <v>23495.17</v>
      </c>
      <c r="HH33" s="2227">
        <v>23350</v>
      </c>
      <c r="HI33" s="2227">
        <v>21950.19</v>
      </c>
      <c r="HJ33" s="2227">
        <v>24005.58</v>
      </c>
      <c r="HK33" s="2227">
        <v>27157.69</v>
      </c>
      <c r="HL33" s="2227">
        <v>40100</v>
      </c>
      <c r="HM33" s="2227">
        <v>18988.75</v>
      </c>
      <c r="HN33" s="2227">
        <v>18046.77</v>
      </c>
      <c r="HO33" s="2227">
        <v>15419.02</v>
      </c>
      <c r="HP33" s="2227">
        <v>22229.38</v>
      </c>
      <c r="HQ33" s="2227">
        <v>28448.85</v>
      </c>
      <c r="HR33" s="2227">
        <v>32500</v>
      </c>
      <c r="HS33" s="2227">
        <v>21814.66</v>
      </c>
      <c r="HT33" s="2227">
        <v>23773.040000000001</v>
      </c>
      <c r="HU33" s="2227">
        <v>33522.1</v>
      </c>
      <c r="HV33" s="2227">
        <v>31744.65</v>
      </c>
      <c r="HW33" s="2227">
        <v>18988.63</v>
      </c>
      <c r="HX33" s="2227">
        <v>17467.71</v>
      </c>
      <c r="HY33" s="2227">
        <v>17642.5</v>
      </c>
      <c r="HZ33" s="2227">
        <v>18803.78</v>
      </c>
      <c r="IA33" s="2227">
        <v>13775.88</v>
      </c>
      <c r="IB33" s="2227">
        <v>19133.27</v>
      </c>
      <c r="IC33" s="2227">
        <v>18440.009999999998</v>
      </c>
      <c r="ID33" s="2227">
        <v>23086.35</v>
      </c>
      <c r="IE33" s="2227">
        <v>22907.94</v>
      </c>
      <c r="IF33" s="2227">
        <v>22729.75</v>
      </c>
      <c r="IG33" s="2227">
        <v>25549.66</v>
      </c>
      <c r="IH33" s="2227">
        <v>21814.67</v>
      </c>
      <c r="II33" s="2227">
        <v>21594.71</v>
      </c>
      <c r="IJ33" s="2227">
        <v>31606.54</v>
      </c>
      <c r="IK33" s="2227">
        <v>21782.53</v>
      </c>
      <c r="IL33" s="2227">
        <v>26201.55</v>
      </c>
      <c r="IM33" s="2227">
        <v>23106.73</v>
      </c>
      <c r="IN33" s="2227">
        <v>35300.160000000003</v>
      </c>
      <c r="IO33" s="2227">
        <v>37060.19</v>
      </c>
      <c r="IP33" s="2227">
        <v>34000</v>
      </c>
      <c r="IQ33" s="2227">
        <v>33522.1</v>
      </c>
      <c r="IR33" s="2227">
        <v>51436.27</v>
      </c>
      <c r="IS33" s="2227">
        <v>33502.629999999997</v>
      </c>
      <c r="IT33" s="2227">
        <v>45116.66</v>
      </c>
      <c r="IU33" s="2227">
        <v>33335.15</v>
      </c>
      <c r="IV33" s="2227">
        <v>21980.43</v>
      </c>
    </row>
    <row r="34" spans="1:256">
      <c r="A34" s="2214">
        <v>25</v>
      </c>
      <c r="B34" s="2925">
        <v>16545.13</v>
      </c>
      <c r="C34" s="2227">
        <v>16361.04</v>
      </c>
      <c r="D34" s="2925">
        <v>15545.13</v>
      </c>
      <c r="E34" s="2227">
        <v>15088.01</v>
      </c>
      <c r="F34" s="2925">
        <v>14545.13</v>
      </c>
      <c r="G34" s="2227">
        <v>14200.77</v>
      </c>
      <c r="H34" s="2926">
        <v>13624</v>
      </c>
      <c r="I34" s="2925">
        <v>22665.03</v>
      </c>
      <c r="J34" s="2925">
        <v>22665.03</v>
      </c>
      <c r="K34" s="2227">
        <v>18752.98</v>
      </c>
      <c r="L34" s="2925">
        <v>20095</v>
      </c>
      <c r="M34" s="2227">
        <v>18752.98</v>
      </c>
      <c r="N34" s="2925">
        <v>19421.919999999998</v>
      </c>
      <c r="O34" s="2925">
        <v>19421.919999999998</v>
      </c>
      <c r="P34" s="2227">
        <v>17664.349999999999</v>
      </c>
      <c r="Q34" s="2925">
        <v>18458.03</v>
      </c>
      <c r="R34" s="2227">
        <v>17205.259999999998</v>
      </c>
      <c r="S34" s="2925">
        <v>17664.349999999999</v>
      </c>
      <c r="T34" s="2925">
        <v>17817.099999999999</v>
      </c>
      <c r="U34" s="2227">
        <v>17205.259999999998</v>
      </c>
      <c r="V34" s="2925">
        <v>17400.71</v>
      </c>
      <c r="W34" s="2227">
        <v>16492.810000000001</v>
      </c>
      <c r="X34" s="2925">
        <v>16811.759999999998</v>
      </c>
      <c r="Y34" s="2925">
        <v>16811.759999999998</v>
      </c>
      <c r="Z34" s="2925">
        <v>16212.54</v>
      </c>
      <c r="AA34" s="2925">
        <v>26368</v>
      </c>
      <c r="AB34" s="2227">
        <v>23210.16</v>
      </c>
      <c r="AC34" s="2925">
        <v>24400.799999999999</v>
      </c>
      <c r="AD34" s="2227">
        <v>22515.56</v>
      </c>
      <c r="AE34" s="2925">
        <v>22900.799999999999</v>
      </c>
      <c r="AF34" s="2227">
        <v>21685.11</v>
      </c>
      <c r="AG34" s="2925">
        <v>21400.799999999999</v>
      </c>
      <c r="AH34" s="2925">
        <v>26368</v>
      </c>
      <c r="AI34" s="2925">
        <v>26368</v>
      </c>
      <c r="AJ34" s="2227">
        <v>25295.61</v>
      </c>
      <c r="AK34" s="2925">
        <v>25295.61</v>
      </c>
      <c r="AL34" s="2925">
        <v>24685.11</v>
      </c>
      <c r="AM34" s="2227">
        <v>23210.16</v>
      </c>
      <c r="AN34" s="2925">
        <v>23210.16</v>
      </c>
      <c r="AO34" s="2925">
        <v>23185.11</v>
      </c>
      <c r="AP34" s="2227">
        <v>22515.56</v>
      </c>
      <c r="AQ34" s="2925">
        <v>22515.56</v>
      </c>
      <c r="AR34" s="2925">
        <v>21685.11</v>
      </c>
      <c r="AS34" s="2923">
        <v>31582</v>
      </c>
      <c r="AT34" s="2227">
        <v>25703.66</v>
      </c>
      <c r="AU34" s="2923">
        <v>29342</v>
      </c>
      <c r="AV34" s="2227">
        <v>25031.360000000001</v>
      </c>
      <c r="AW34" s="2923">
        <v>26468</v>
      </c>
      <c r="AX34" s="2227">
        <v>23398.18</v>
      </c>
      <c r="AY34" s="2923">
        <v>23968</v>
      </c>
      <c r="AZ34" s="2925">
        <v>32452</v>
      </c>
      <c r="BA34" s="2227">
        <v>27692.82</v>
      </c>
      <c r="BB34" s="2923">
        <v>31582</v>
      </c>
      <c r="BC34" s="2227">
        <v>26825.82</v>
      </c>
      <c r="BD34" s="2925">
        <v>33834</v>
      </c>
      <c r="BE34" s="2227">
        <v>30029.69</v>
      </c>
      <c r="BF34" s="2923">
        <v>31582</v>
      </c>
      <c r="BG34" s="2227">
        <v>28719.66</v>
      </c>
      <c r="BH34" s="2925">
        <v>30212</v>
      </c>
      <c r="BI34" s="2227">
        <v>26979.39</v>
      </c>
      <c r="BJ34" s="2923">
        <v>29342</v>
      </c>
      <c r="BK34" s="2227">
        <v>26014.06</v>
      </c>
      <c r="BL34" s="2925">
        <v>31308</v>
      </c>
      <c r="BM34" s="2227">
        <v>29444.52</v>
      </c>
      <c r="BN34" s="2923">
        <v>29342</v>
      </c>
      <c r="BO34" s="2227">
        <v>28304.11</v>
      </c>
      <c r="BP34" s="2925">
        <v>27338</v>
      </c>
      <c r="BQ34" s="2227">
        <v>24677</v>
      </c>
      <c r="BR34" s="2923">
        <v>26468</v>
      </c>
      <c r="BS34" s="2227">
        <v>24929.83</v>
      </c>
      <c r="BT34" s="2925">
        <v>28308</v>
      </c>
      <c r="BU34" s="2227">
        <v>25644.400000000001</v>
      </c>
      <c r="BV34" s="2923">
        <v>26468</v>
      </c>
      <c r="BW34" s="2227">
        <v>25107.119999999999</v>
      </c>
      <c r="BX34" s="2925">
        <v>24838</v>
      </c>
      <c r="BY34" s="2923">
        <v>23968</v>
      </c>
      <c r="BZ34" s="2924">
        <v>25308</v>
      </c>
      <c r="CA34" s="2923">
        <v>23968</v>
      </c>
      <c r="CB34" s="2227">
        <v>66780</v>
      </c>
      <c r="CC34" s="2227">
        <v>63780</v>
      </c>
      <c r="CD34" s="2227">
        <v>60780</v>
      </c>
      <c r="CE34" s="2227">
        <v>58990</v>
      </c>
      <c r="CF34" s="2227">
        <v>55990</v>
      </c>
      <c r="CG34" s="2227">
        <v>52990</v>
      </c>
      <c r="CH34" s="2227">
        <v>51360</v>
      </c>
      <c r="CI34" s="2227">
        <v>48360</v>
      </c>
      <c r="CJ34" s="2227">
        <v>44860</v>
      </c>
      <c r="CK34" s="2227">
        <v>43880</v>
      </c>
      <c r="CL34" s="2227">
        <v>40880</v>
      </c>
      <c r="CM34" s="2227">
        <v>37880</v>
      </c>
      <c r="CN34" s="2227">
        <v>35005</v>
      </c>
      <c r="CO34" s="2227">
        <v>33005</v>
      </c>
      <c r="CP34" s="2227">
        <v>20759.34</v>
      </c>
      <c r="CQ34" s="2227">
        <v>13279.45</v>
      </c>
      <c r="CR34" s="2227">
        <v>16114.8</v>
      </c>
      <c r="CS34" s="2227">
        <v>32165.25</v>
      </c>
      <c r="CT34" s="2227">
        <v>19421.919999999998</v>
      </c>
      <c r="CU34" s="2227">
        <v>22902.959999999999</v>
      </c>
      <c r="CV34" s="2227">
        <v>22902.959999999999</v>
      </c>
      <c r="CW34" s="2227">
        <v>22902.959999999999</v>
      </c>
      <c r="CX34" s="2227">
        <v>22902.959999999999</v>
      </c>
      <c r="CY34" s="2227">
        <v>21950</v>
      </c>
      <c r="CZ34" s="2227">
        <v>25295.61</v>
      </c>
      <c r="DA34" s="2227">
        <v>22665.03</v>
      </c>
      <c r="DB34" s="2227">
        <v>22515.56</v>
      </c>
      <c r="DC34" s="2227">
        <v>23210.16</v>
      </c>
      <c r="DD34" s="2227">
        <v>19010.2</v>
      </c>
      <c r="DE34" s="2227">
        <v>21400.799999999999</v>
      </c>
      <c r="DF34" s="2227">
        <v>21321.72</v>
      </c>
      <c r="DG34" s="2227">
        <v>21250</v>
      </c>
      <c r="DH34" s="2227">
        <v>19100</v>
      </c>
      <c r="DI34" s="2227">
        <v>15637.93</v>
      </c>
      <c r="DJ34" s="2227">
        <v>15637.93</v>
      </c>
      <c r="DK34" s="2227">
        <v>20350</v>
      </c>
      <c r="DL34" s="2227">
        <v>23610.52</v>
      </c>
      <c r="DM34" s="2227">
        <v>23950</v>
      </c>
      <c r="DN34" s="2227">
        <v>14006.03</v>
      </c>
      <c r="DO34" s="2227">
        <v>24929.83</v>
      </c>
      <c r="DP34" s="2227">
        <v>17600.560000000001</v>
      </c>
      <c r="DQ34" s="2227">
        <v>34916.480000000003</v>
      </c>
      <c r="DR34" s="2227">
        <v>21685.11</v>
      </c>
      <c r="DS34" s="2227">
        <v>15450</v>
      </c>
      <c r="DT34" s="2227">
        <v>15645.76</v>
      </c>
      <c r="DU34" s="2227">
        <v>15542.97</v>
      </c>
      <c r="DV34" s="2227">
        <v>22515.56</v>
      </c>
      <c r="DW34" s="2227">
        <v>16492.810000000001</v>
      </c>
      <c r="DX34" s="2227">
        <v>26450</v>
      </c>
      <c r="DY34" s="2227">
        <v>17991.689999999999</v>
      </c>
      <c r="DZ34" s="2227">
        <v>25107.119999999999</v>
      </c>
      <c r="EA34" s="2227">
        <v>22630.240000000002</v>
      </c>
      <c r="EB34" s="2227">
        <v>37925.769999999997</v>
      </c>
      <c r="EC34" s="2227">
        <v>24606.06</v>
      </c>
      <c r="ED34" s="2227">
        <v>19955.47</v>
      </c>
      <c r="EE34" s="2227">
        <v>16150</v>
      </c>
      <c r="EF34" s="2227">
        <v>17664.349999999999</v>
      </c>
      <c r="EG34" s="2227">
        <v>18752.98</v>
      </c>
      <c r="EH34" s="2227">
        <v>18344.240000000002</v>
      </c>
      <c r="EI34" s="2227">
        <v>24764.720000000001</v>
      </c>
      <c r="EJ34" s="2227">
        <v>29444.52</v>
      </c>
      <c r="EK34" s="2227">
        <v>21298.99</v>
      </c>
      <c r="EL34" s="2227">
        <v>18344.25</v>
      </c>
      <c r="EM34" s="2227">
        <v>38304.26</v>
      </c>
      <c r="EN34" s="2227">
        <v>25644.400000000001</v>
      </c>
      <c r="EO34" s="2227">
        <v>14888.48</v>
      </c>
      <c r="EP34" s="2227">
        <v>17800</v>
      </c>
      <c r="EQ34" s="2227">
        <v>21036.19</v>
      </c>
      <c r="ER34" s="2227">
        <v>23371.47</v>
      </c>
      <c r="ES34" s="2227">
        <v>20382.759999999998</v>
      </c>
      <c r="ET34" s="2227">
        <v>15088.01</v>
      </c>
      <c r="EU34" s="2227">
        <v>22583.16</v>
      </c>
      <c r="EV34" s="2227">
        <v>24677</v>
      </c>
      <c r="EW34" s="2227">
        <v>21468.78</v>
      </c>
      <c r="EX34" s="2227">
        <v>22284.13</v>
      </c>
      <c r="EY34" s="2227">
        <v>23350</v>
      </c>
      <c r="EZ34" s="2227">
        <v>33887.15</v>
      </c>
      <c r="FA34" s="2227">
        <v>17628.900000000001</v>
      </c>
      <c r="FB34" s="2227">
        <v>16076.06</v>
      </c>
      <c r="FC34" s="2227">
        <v>36200</v>
      </c>
      <c r="FD34" s="2227">
        <v>34000</v>
      </c>
      <c r="FE34" s="2227">
        <v>42638.83</v>
      </c>
      <c r="FF34" s="2227">
        <v>14850</v>
      </c>
      <c r="FG34" s="2227">
        <v>28304.11</v>
      </c>
      <c r="FH34" s="2227">
        <v>20872.68</v>
      </c>
      <c r="FI34" s="2227">
        <v>17205.259999999998</v>
      </c>
      <c r="FJ34" s="2227">
        <v>15337.32</v>
      </c>
      <c r="FK34" s="2227">
        <v>26014.06</v>
      </c>
      <c r="FL34" s="2227">
        <v>19335.82</v>
      </c>
      <c r="FM34" s="2227">
        <v>24408.44</v>
      </c>
      <c r="FN34" s="2227">
        <v>21950</v>
      </c>
      <c r="FO34" s="2227">
        <v>28817.74</v>
      </c>
      <c r="FP34" s="2227">
        <v>21963.41</v>
      </c>
      <c r="FQ34" s="2227">
        <v>17282.080000000002</v>
      </c>
      <c r="FR34" s="2227">
        <v>28450</v>
      </c>
      <c r="FS34" s="2227">
        <v>36200</v>
      </c>
      <c r="FT34" s="2227">
        <v>30292.59</v>
      </c>
      <c r="FU34" s="2227">
        <v>24244.05</v>
      </c>
      <c r="FV34" s="2227">
        <v>35250</v>
      </c>
      <c r="FW34" s="2227">
        <v>17905.48</v>
      </c>
      <c r="FX34" s="2227">
        <v>20228.240000000002</v>
      </c>
      <c r="FY34" s="2227">
        <v>16162.11</v>
      </c>
      <c r="FZ34" s="2227">
        <v>21430.71</v>
      </c>
      <c r="GA34" s="2227">
        <v>28946.43</v>
      </c>
      <c r="GB34" s="2227">
        <v>30029.69</v>
      </c>
      <c r="GC34" s="2227">
        <v>17600.560000000001</v>
      </c>
      <c r="GD34" s="2227">
        <v>14084.93</v>
      </c>
      <c r="GE34" s="2227">
        <v>28780.55</v>
      </c>
      <c r="GF34" s="2227">
        <v>29150</v>
      </c>
      <c r="GG34" s="2227">
        <v>45052.27</v>
      </c>
      <c r="GH34" s="2227">
        <v>19335.689999999999</v>
      </c>
      <c r="GI34" s="2227">
        <v>20545.62</v>
      </c>
      <c r="GJ34" s="2227">
        <v>14774.5</v>
      </c>
      <c r="GK34" s="2227">
        <v>18273.39</v>
      </c>
      <c r="GL34" s="2227">
        <v>25031.360000000001</v>
      </c>
      <c r="GM34" s="2227">
        <v>18017.259999999998</v>
      </c>
      <c r="GN34" s="2227">
        <v>21355.98</v>
      </c>
      <c r="GO34" s="2227">
        <v>19972.32</v>
      </c>
      <c r="GP34" s="2227">
        <v>23848.09</v>
      </c>
      <c r="GQ34" s="2227">
        <v>15792.74</v>
      </c>
      <c r="GR34" s="2227">
        <v>15027.45</v>
      </c>
      <c r="GS34" s="2227">
        <v>15766.38</v>
      </c>
      <c r="GT34" s="2227">
        <v>17991.689999999999</v>
      </c>
      <c r="GU34" s="2227">
        <v>22149.8</v>
      </c>
      <c r="GV34" s="2227">
        <v>20553.73</v>
      </c>
      <c r="GW34" s="2227">
        <v>38349.18</v>
      </c>
      <c r="GX34" s="2227">
        <v>40333.050000000003</v>
      </c>
      <c r="GY34" s="2227">
        <v>46767.83</v>
      </c>
      <c r="GZ34" s="2227">
        <v>14438.36</v>
      </c>
      <c r="HA34" s="2227">
        <v>13900.77</v>
      </c>
      <c r="HB34" s="2227">
        <v>19335.82</v>
      </c>
      <c r="HC34" s="2227">
        <v>17292.22</v>
      </c>
      <c r="HD34" s="2227">
        <v>17981.55</v>
      </c>
      <c r="HE34" s="2227">
        <v>25493.52</v>
      </c>
      <c r="HF34" s="2227">
        <v>25950</v>
      </c>
      <c r="HG34" s="2227">
        <v>23723.26</v>
      </c>
      <c r="HH34" s="2227">
        <v>23950</v>
      </c>
      <c r="HI34" s="2227">
        <v>22574.46</v>
      </c>
      <c r="HJ34" s="2227">
        <v>24408.44</v>
      </c>
      <c r="HK34" s="2227">
        <v>27692.82</v>
      </c>
      <c r="HL34" s="2227">
        <v>40100</v>
      </c>
      <c r="HM34" s="2227">
        <v>19335.810000000001</v>
      </c>
      <c r="HN34" s="2227">
        <v>18393.830000000002</v>
      </c>
      <c r="HO34" s="2227">
        <v>15542.97</v>
      </c>
      <c r="HP34" s="2227">
        <v>22547.64</v>
      </c>
      <c r="HQ34" s="2227">
        <v>28946.43</v>
      </c>
      <c r="HR34" s="2227">
        <v>32500</v>
      </c>
      <c r="HS34" s="2227">
        <v>22310.45</v>
      </c>
      <c r="HT34" s="2227">
        <v>24318.41</v>
      </c>
      <c r="HU34" s="2227">
        <v>33522.1</v>
      </c>
      <c r="HV34" s="2227">
        <v>31744.65</v>
      </c>
      <c r="HW34" s="2227">
        <v>19335.68</v>
      </c>
      <c r="HX34" s="2227">
        <v>17628.900000000001</v>
      </c>
      <c r="HY34" s="2227">
        <v>17803.689999999999</v>
      </c>
      <c r="HZ34" s="2227">
        <v>18946.349999999999</v>
      </c>
      <c r="IA34" s="2227">
        <v>13900.77</v>
      </c>
      <c r="IB34" s="2227">
        <v>19304.89</v>
      </c>
      <c r="IC34" s="2227">
        <v>18778.02</v>
      </c>
      <c r="ID34" s="2227">
        <v>23710.25</v>
      </c>
      <c r="IE34" s="2227">
        <v>23150.880000000001</v>
      </c>
      <c r="IF34" s="2227">
        <v>22729.75</v>
      </c>
      <c r="IG34" s="2227">
        <v>26173.27</v>
      </c>
      <c r="IH34" s="2227">
        <v>22310.46</v>
      </c>
      <c r="II34" s="2227">
        <v>22095.46</v>
      </c>
      <c r="IJ34" s="2227">
        <v>31879.23</v>
      </c>
      <c r="IK34" s="2227">
        <v>22408.47</v>
      </c>
      <c r="IL34" s="2227">
        <v>26825.82</v>
      </c>
      <c r="IM34" s="2227">
        <v>23743.47</v>
      </c>
      <c r="IN34" s="2227">
        <v>35548.06</v>
      </c>
      <c r="IO34" s="2227">
        <v>37060.19</v>
      </c>
      <c r="IP34" s="2227">
        <v>34000</v>
      </c>
      <c r="IQ34" s="2227">
        <v>33522.1</v>
      </c>
      <c r="IR34" s="2227">
        <v>51436.27</v>
      </c>
      <c r="IS34" s="2227">
        <v>33502.629999999997</v>
      </c>
      <c r="IT34" s="2227">
        <v>45116.66</v>
      </c>
      <c r="IU34" s="2227">
        <v>33667.51</v>
      </c>
      <c r="IV34" s="2227">
        <v>22515.56</v>
      </c>
    </row>
    <row r="35" spans="1:256">
      <c r="A35" s="2214">
        <v>26</v>
      </c>
      <c r="B35" s="2925">
        <v>16545.13</v>
      </c>
      <c r="C35" s="2227">
        <v>16361.04</v>
      </c>
      <c r="D35" s="2925">
        <v>15545.13</v>
      </c>
      <c r="E35" s="2227">
        <v>15088.01</v>
      </c>
      <c r="F35" s="2925">
        <v>14545.13</v>
      </c>
      <c r="G35" s="2227">
        <v>14200.77</v>
      </c>
      <c r="H35" s="2926">
        <v>13651</v>
      </c>
      <c r="I35" s="2925">
        <v>22665.03</v>
      </c>
      <c r="J35" s="2925">
        <v>22665.03</v>
      </c>
      <c r="K35" s="2227">
        <v>18752.98</v>
      </c>
      <c r="L35" s="2925">
        <v>20217</v>
      </c>
      <c r="M35" s="2227">
        <v>18752.98</v>
      </c>
      <c r="N35" s="2925">
        <v>19421.919999999998</v>
      </c>
      <c r="O35" s="2925">
        <v>19421.919999999998</v>
      </c>
      <c r="P35" s="2227">
        <v>17664.349999999999</v>
      </c>
      <c r="Q35" s="2925">
        <v>18458.03</v>
      </c>
      <c r="R35" s="2227">
        <v>17205.259999999998</v>
      </c>
      <c r="S35" s="2925">
        <v>17664.349999999999</v>
      </c>
      <c r="T35" s="2925">
        <v>17817.099999999999</v>
      </c>
      <c r="U35" s="2227">
        <v>17205.259999999998</v>
      </c>
      <c r="V35" s="2925">
        <v>17400.71</v>
      </c>
      <c r="W35" s="2227">
        <v>16492.810000000001</v>
      </c>
      <c r="X35" s="2925">
        <v>16811.759999999998</v>
      </c>
      <c r="Y35" s="2925">
        <v>16811.759999999998</v>
      </c>
      <c r="Z35" s="2925">
        <v>16212.54</v>
      </c>
      <c r="AA35" s="2925">
        <v>26568</v>
      </c>
      <c r="AB35" s="2227">
        <v>23210.16</v>
      </c>
      <c r="AC35" s="2925">
        <v>24400.799999999999</v>
      </c>
      <c r="AD35" s="2227">
        <v>22515.56</v>
      </c>
      <c r="AE35" s="2925">
        <v>22900.799999999999</v>
      </c>
      <c r="AF35" s="2227">
        <v>21685.11</v>
      </c>
      <c r="AG35" s="2925">
        <v>21400.799999999999</v>
      </c>
      <c r="AH35" s="2925">
        <v>26568</v>
      </c>
      <c r="AI35" s="2925">
        <v>26568</v>
      </c>
      <c r="AJ35" s="2227">
        <v>25295.61</v>
      </c>
      <c r="AK35" s="2925">
        <v>25295.61</v>
      </c>
      <c r="AL35" s="2925">
        <v>24685.11</v>
      </c>
      <c r="AM35" s="2227">
        <v>23210.16</v>
      </c>
      <c r="AN35" s="2925">
        <v>23210.16</v>
      </c>
      <c r="AO35" s="2925">
        <v>23185.11</v>
      </c>
      <c r="AP35" s="2227">
        <v>22515.56</v>
      </c>
      <c r="AQ35" s="2925">
        <v>22515.56</v>
      </c>
      <c r="AR35" s="2925">
        <v>21685.11</v>
      </c>
      <c r="AS35" s="2923">
        <v>31582</v>
      </c>
      <c r="AT35" s="2227">
        <v>25703.66</v>
      </c>
      <c r="AU35" s="2923">
        <v>29342</v>
      </c>
      <c r="AV35" s="2227">
        <v>25031.360000000001</v>
      </c>
      <c r="AW35" s="2923">
        <v>26468</v>
      </c>
      <c r="AX35" s="2227">
        <v>23398.18</v>
      </c>
      <c r="AY35" s="2923">
        <v>23968</v>
      </c>
      <c r="AZ35" s="2925">
        <v>32452</v>
      </c>
      <c r="BA35" s="2227">
        <v>27692.82</v>
      </c>
      <c r="BB35" s="2923">
        <v>31582</v>
      </c>
      <c r="BC35" s="2227">
        <v>26825.82</v>
      </c>
      <c r="BD35" s="2925">
        <v>33834</v>
      </c>
      <c r="BE35" s="2227">
        <v>30029.69</v>
      </c>
      <c r="BF35" s="2923">
        <v>31582</v>
      </c>
      <c r="BG35" s="2227">
        <v>28719.66</v>
      </c>
      <c r="BH35" s="2925">
        <v>30212</v>
      </c>
      <c r="BI35" s="2227">
        <v>26979.39</v>
      </c>
      <c r="BJ35" s="2923">
        <v>29342</v>
      </c>
      <c r="BK35" s="2227">
        <v>26014.06</v>
      </c>
      <c r="BL35" s="2925">
        <v>31308</v>
      </c>
      <c r="BM35" s="2227">
        <v>29444.52</v>
      </c>
      <c r="BN35" s="2923">
        <v>29342</v>
      </c>
      <c r="BO35" s="2227">
        <v>28304.11</v>
      </c>
      <c r="BP35" s="2925">
        <v>27338</v>
      </c>
      <c r="BQ35" s="2227">
        <v>24677</v>
      </c>
      <c r="BR35" s="2923">
        <v>26468</v>
      </c>
      <c r="BS35" s="2227">
        <v>24929.83</v>
      </c>
      <c r="BT35" s="2925">
        <v>28308</v>
      </c>
      <c r="BU35" s="2227">
        <v>25644.400000000001</v>
      </c>
      <c r="BV35" s="2923">
        <v>26468</v>
      </c>
      <c r="BW35" s="2227">
        <v>25107.119999999999</v>
      </c>
      <c r="BX35" s="2925">
        <v>24838</v>
      </c>
      <c r="BY35" s="2923">
        <v>23968</v>
      </c>
      <c r="BZ35" s="2924">
        <v>25308</v>
      </c>
      <c r="CA35" s="2923">
        <v>23968</v>
      </c>
      <c r="CB35" s="2227">
        <v>66780</v>
      </c>
      <c r="CC35" s="2227">
        <v>63780</v>
      </c>
      <c r="CD35" s="2227">
        <v>60780</v>
      </c>
      <c r="CE35" s="2227">
        <v>58990</v>
      </c>
      <c r="CF35" s="2227">
        <v>55990</v>
      </c>
      <c r="CG35" s="2227">
        <v>52990</v>
      </c>
      <c r="CH35" s="2227">
        <v>51360</v>
      </c>
      <c r="CI35" s="2227">
        <v>48360</v>
      </c>
      <c r="CJ35" s="2227">
        <v>44860</v>
      </c>
      <c r="CK35" s="2227">
        <v>43951.59</v>
      </c>
      <c r="CL35" s="2227">
        <v>41360</v>
      </c>
      <c r="CM35" s="2227">
        <v>38360</v>
      </c>
      <c r="CN35" s="2227">
        <v>35450</v>
      </c>
      <c r="CO35" s="2227">
        <v>33450</v>
      </c>
      <c r="CP35" s="2227">
        <v>20759.34</v>
      </c>
      <c r="CQ35" s="2227">
        <v>13279.45</v>
      </c>
      <c r="CR35" s="2227">
        <v>16114.8</v>
      </c>
      <c r="CS35" s="2227">
        <v>32165.25</v>
      </c>
      <c r="CT35" s="2227">
        <v>19421.919999999998</v>
      </c>
      <c r="CU35" s="2227">
        <v>22902.959999999999</v>
      </c>
      <c r="CV35" s="2227">
        <v>22902.959999999999</v>
      </c>
      <c r="CW35" s="2227">
        <v>22902.959999999999</v>
      </c>
      <c r="CX35" s="2227">
        <v>22902.959999999999</v>
      </c>
      <c r="CY35" s="2227">
        <v>21950</v>
      </c>
      <c r="CZ35" s="2227">
        <v>25295.61</v>
      </c>
      <c r="DA35" s="2227">
        <v>22665.03</v>
      </c>
      <c r="DB35" s="2227">
        <v>22515.56</v>
      </c>
      <c r="DC35" s="2227">
        <v>23210.16</v>
      </c>
      <c r="DD35" s="2227">
        <v>19010.2</v>
      </c>
      <c r="DE35" s="2227">
        <v>21400.799999999999</v>
      </c>
      <c r="DF35" s="2227">
        <v>21321.72</v>
      </c>
      <c r="DG35" s="2227">
        <v>21250</v>
      </c>
      <c r="DH35" s="2227">
        <v>19100</v>
      </c>
      <c r="DI35" s="2227">
        <v>15637.93</v>
      </c>
      <c r="DJ35" s="2227">
        <v>15637.93</v>
      </c>
      <c r="DK35" s="2227">
        <v>20350</v>
      </c>
      <c r="DL35" s="2227">
        <v>23610.52</v>
      </c>
      <c r="DM35" s="2227">
        <v>23950</v>
      </c>
      <c r="DN35" s="2227">
        <v>14006.03</v>
      </c>
      <c r="DO35" s="2227">
        <v>24929.83</v>
      </c>
      <c r="DP35" s="2227">
        <v>17600.560000000001</v>
      </c>
      <c r="DQ35" s="2227">
        <v>34916.480000000003</v>
      </c>
      <c r="DR35" s="2227">
        <v>21685.11</v>
      </c>
      <c r="DS35" s="2227">
        <v>15450</v>
      </c>
      <c r="DT35" s="2227">
        <v>15645.76</v>
      </c>
      <c r="DU35" s="2227">
        <v>15542.97</v>
      </c>
      <c r="DV35" s="2227">
        <v>22515.56</v>
      </c>
      <c r="DW35" s="2227">
        <v>16492.810000000001</v>
      </c>
      <c r="DX35" s="2227">
        <v>26450</v>
      </c>
      <c r="DY35" s="2227">
        <v>18156.2</v>
      </c>
      <c r="DZ35" s="2227">
        <v>25107.119999999999</v>
      </c>
      <c r="EA35" s="2227">
        <v>22630.240000000002</v>
      </c>
      <c r="EB35" s="2227">
        <v>37925.769999999997</v>
      </c>
      <c r="EC35" s="2227">
        <v>24606.06</v>
      </c>
      <c r="ED35" s="2227">
        <v>19955.47</v>
      </c>
      <c r="EE35" s="2227">
        <v>16150</v>
      </c>
      <c r="EF35" s="2227">
        <v>17664.349999999999</v>
      </c>
      <c r="EG35" s="2227">
        <v>18752.98</v>
      </c>
      <c r="EH35" s="2227">
        <v>18344.240000000002</v>
      </c>
      <c r="EI35" s="2227">
        <v>24764.720000000001</v>
      </c>
      <c r="EJ35" s="2227">
        <v>29444.52</v>
      </c>
      <c r="EK35" s="2227">
        <v>21298.99</v>
      </c>
      <c r="EL35" s="2227">
        <v>18344.25</v>
      </c>
      <c r="EM35" s="2227">
        <v>38304.26</v>
      </c>
      <c r="EN35" s="2227">
        <v>25644.400000000001</v>
      </c>
      <c r="EO35" s="2227">
        <v>14888.48</v>
      </c>
      <c r="EP35" s="2227">
        <v>17800</v>
      </c>
      <c r="EQ35" s="2227">
        <v>21348.09</v>
      </c>
      <c r="ER35" s="2227">
        <v>23371.47</v>
      </c>
      <c r="ES35" s="2227">
        <v>20382.759999999998</v>
      </c>
      <c r="ET35" s="2227">
        <v>15088.01</v>
      </c>
      <c r="EU35" s="2227">
        <v>22583.16</v>
      </c>
      <c r="EV35" s="2227">
        <v>24677</v>
      </c>
      <c r="EW35" s="2227">
        <v>21787.08</v>
      </c>
      <c r="EX35" s="2227">
        <v>22284.13</v>
      </c>
      <c r="EY35" s="2227">
        <v>23350</v>
      </c>
      <c r="EZ35" s="2227">
        <v>33887.15</v>
      </c>
      <c r="FA35" s="2227">
        <v>17790.09</v>
      </c>
      <c r="FB35" s="2227">
        <v>16076.06</v>
      </c>
      <c r="FC35" s="2227">
        <v>36200</v>
      </c>
      <c r="FD35" s="2227">
        <v>34000</v>
      </c>
      <c r="FE35" s="2227">
        <v>42638.83</v>
      </c>
      <c r="FF35" s="2227">
        <v>14850</v>
      </c>
      <c r="FG35" s="2227">
        <v>28304.11</v>
      </c>
      <c r="FH35" s="2227">
        <v>20872.68</v>
      </c>
      <c r="FI35" s="2227">
        <v>17205.259999999998</v>
      </c>
      <c r="FJ35" s="2227">
        <v>15408.87</v>
      </c>
      <c r="FK35" s="2227">
        <v>26014.06</v>
      </c>
      <c r="FL35" s="2227">
        <v>19335.82</v>
      </c>
      <c r="FM35" s="2227">
        <v>24408.44</v>
      </c>
      <c r="FN35" s="2227">
        <v>21950</v>
      </c>
      <c r="FO35" s="2227">
        <v>28817.74</v>
      </c>
      <c r="FP35" s="2227">
        <v>21963.41</v>
      </c>
      <c r="FQ35" s="2227">
        <v>17442.86</v>
      </c>
      <c r="FR35" s="2227">
        <v>28450</v>
      </c>
      <c r="FS35" s="2227">
        <v>36200</v>
      </c>
      <c r="FT35" s="2227">
        <v>30292.59</v>
      </c>
      <c r="FU35" s="2227">
        <v>24244.05</v>
      </c>
      <c r="FV35" s="2227">
        <v>35250</v>
      </c>
      <c r="FW35" s="2227">
        <v>17905.48</v>
      </c>
      <c r="FX35" s="2227">
        <v>20228.240000000002</v>
      </c>
      <c r="FY35" s="2227">
        <v>16162.11</v>
      </c>
      <c r="FZ35" s="2227">
        <v>21618.57</v>
      </c>
      <c r="GA35" s="2227">
        <v>28946.43</v>
      </c>
      <c r="GB35" s="2227">
        <v>30029.69</v>
      </c>
      <c r="GC35" s="2227">
        <v>17600.560000000001</v>
      </c>
      <c r="GD35" s="2227">
        <v>14084.93</v>
      </c>
      <c r="GE35" s="2227">
        <v>28780.55</v>
      </c>
      <c r="GF35" s="2227">
        <v>29150</v>
      </c>
      <c r="GG35" s="2227">
        <v>45052.27</v>
      </c>
      <c r="GH35" s="2227">
        <v>19335.689999999999</v>
      </c>
      <c r="GI35" s="2227">
        <v>20545.62</v>
      </c>
      <c r="GJ35" s="2227">
        <v>14774.5</v>
      </c>
      <c r="GK35" s="2227">
        <v>18273.39</v>
      </c>
      <c r="GL35" s="2227">
        <v>25031.360000000001</v>
      </c>
      <c r="GM35" s="2227">
        <v>18178.560000000001</v>
      </c>
      <c r="GN35" s="2227">
        <v>21355.98</v>
      </c>
      <c r="GO35" s="2227">
        <v>20119.75</v>
      </c>
      <c r="GP35" s="2227">
        <v>23848.09</v>
      </c>
      <c r="GQ35" s="2227">
        <v>15792.74</v>
      </c>
      <c r="GR35" s="2227">
        <v>15097.53</v>
      </c>
      <c r="GS35" s="2227">
        <v>15837.93</v>
      </c>
      <c r="GT35" s="2227">
        <v>18156.2</v>
      </c>
      <c r="GU35" s="2227">
        <v>22149.8</v>
      </c>
      <c r="GV35" s="2227">
        <v>20553.73</v>
      </c>
      <c r="GW35" s="2227">
        <v>38349.18</v>
      </c>
      <c r="GX35" s="2227">
        <v>40333.050000000003</v>
      </c>
      <c r="GY35" s="2227">
        <v>48105.56</v>
      </c>
      <c r="GZ35" s="2227">
        <v>14438.36</v>
      </c>
      <c r="HA35" s="2227">
        <v>13900.77</v>
      </c>
      <c r="HB35" s="2227">
        <v>19335.82</v>
      </c>
      <c r="HC35" s="2227">
        <v>17453.11</v>
      </c>
      <c r="HD35" s="2227">
        <v>18145.98</v>
      </c>
      <c r="HE35" s="2227">
        <v>25493.52</v>
      </c>
      <c r="HF35" s="2227">
        <v>25950</v>
      </c>
      <c r="HG35" s="2227">
        <v>23723.26</v>
      </c>
      <c r="HH35" s="2227">
        <v>23950</v>
      </c>
      <c r="HI35" s="2227">
        <v>22574.46</v>
      </c>
      <c r="HJ35" s="2227">
        <v>24408.44</v>
      </c>
      <c r="HK35" s="2227">
        <v>27692.82</v>
      </c>
      <c r="HL35" s="2227">
        <v>40100</v>
      </c>
      <c r="HM35" s="2227">
        <v>19335.810000000001</v>
      </c>
      <c r="HN35" s="2227">
        <v>18393.830000000002</v>
      </c>
      <c r="HO35" s="2227">
        <v>15542.97</v>
      </c>
      <c r="HP35" s="2227">
        <v>22865.9</v>
      </c>
      <c r="HQ35" s="2227">
        <v>28946.43</v>
      </c>
      <c r="HR35" s="2227">
        <v>32500</v>
      </c>
      <c r="HS35" s="2227">
        <v>22310.45</v>
      </c>
      <c r="HT35" s="2227">
        <v>24318.41</v>
      </c>
      <c r="HU35" s="2227">
        <v>33522.1</v>
      </c>
      <c r="HV35" s="2227">
        <v>31744.65</v>
      </c>
      <c r="HW35" s="2227">
        <v>19335.68</v>
      </c>
      <c r="HX35" s="2227">
        <v>17790.09</v>
      </c>
      <c r="HY35" s="2227">
        <v>17964.88</v>
      </c>
      <c r="HZ35" s="2227">
        <v>19088.919999999998</v>
      </c>
      <c r="IA35" s="2227">
        <v>13900.77</v>
      </c>
      <c r="IB35" s="2227">
        <v>19476.509999999998</v>
      </c>
      <c r="IC35" s="2227">
        <v>18778.02</v>
      </c>
      <c r="ID35" s="2227">
        <v>23710.25</v>
      </c>
      <c r="IE35" s="2227">
        <v>23150.880000000001</v>
      </c>
      <c r="IF35" s="2227">
        <v>22729.75</v>
      </c>
      <c r="IG35" s="2227">
        <v>26173.27</v>
      </c>
      <c r="IH35" s="2227">
        <v>22310.46</v>
      </c>
      <c r="II35" s="2227">
        <v>22095.46</v>
      </c>
      <c r="IJ35" s="2227">
        <v>31879.23</v>
      </c>
      <c r="IK35" s="2227">
        <v>22408.47</v>
      </c>
      <c r="IL35" s="2227">
        <v>26825.82</v>
      </c>
      <c r="IM35" s="2227">
        <v>23743.47</v>
      </c>
      <c r="IN35" s="2227">
        <v>35548.06</v>
      </c>
      <c r="IO35" s="2227">
        <v>37060.19</v>
      </c>
      <c r="IP35" s="2227">
        <v>34000</v>
      </c>
      <c r="IQ35" s="2227">
        <v>33522.1</v>
      </c>
      <c r="IR35" s="2227">
        <v>51436.27</v>
      </c>
      <c r="IS35" s="2227">
        <v>33502.629999999997</v>
      </c>
      <c r="IT35" s="2227">
        <v>45116.66</v>
      </c>
      <c r="IU35" s="2227">
        <v>33667.51</v>
      </c>
      <c r="IV35" s="2227">
        <v>22515.56</v>
      </c>
    </row>
    <row r="36" spans="1:256">
      <c r="A36" s="2214">
        <v>27</v>
      </c>
      <c r="B36" s="2925">
        <v>16672.52</v>
      </c>
      <c r="C36" s="2227">
        <v>16522.64</v>
      </c>
      <c r="D36" s="2925">
        <v>15672.52</v>
      </c>
      <c r="E36" s="2227">
        <v>15249.61</v>
      </c>
      <c r="F36" s="2925">
        <v>14672.52</v>
      </c>
      <c r="G36" s="2227">
        <v>14325.66</v>
      </c>
      <c r="H36" s="2926">
        <v>13678</v>
      </c>
      <c r="I36" s="2925">
        <v>23018.06</v>
      </c>
      <c r="J36" s="2925">
        <v>23018.06</v>
      </c>
      <c r="K36" s="2227">
        <v>19102.03</v>
      </c>
      <c r="L36" s="2925">
        <v>20339</v>
      </c>
      <c r="M36" s="2227">
        <v>19102.03</v>
      </c>
      <c r="N36" s="2925">
        <v>19770.97</v>
      </c>
      <c r="O36" s="2925">
        <v>19770.97</v>
      </c>
      <c r="P36" s="2227">
        <v>18013.400000000001</v>
      </c>
      <c r="Q36" s="2925">
        <v>18807.080000000002</v>
      </c>
      <c r="R36" s="2227">
        <v>17554.310000000001</v>
      </c>
      <c r="S36" s="2925">
        <v>18013.400000000001</v>
      </c>
      <c r="T36" s="2925">
        <v>18166.150000000001</v>
      </c>
      <c r="U36" s="2227">
        <v>17554.310000000001</v>
      </c>
      <c r="V36" s="2925">
        <v>17749.759999999998</v>
      </c>
      <c r="W36" s="2227">
        <v>16841.86</v>
      </c>
      <c r="X36" s="2925">
        <v>17160.810000000001</v>
      </c>
      <c r="Y36" s="2925">
        <v>17160.810000000001</v>
      </c>
      <c r="Z36" s="2925">
        <v>16536.650000000001</v>
      </c>
      <c r="AA36" s="2925">
        <v>26767</v>
      </c>
      <c r="AB36" s="2227">
        <v>23833.77</v>
      </c>
      <c r="AC36" s="2925">
        <v>25024.41</v>
      </c>
      <c r="AD36" s="2227">
        <v>23050.69</v>
      </c>
      <c r="AE36" s="2925">
        <v>23524.41</v>
      </c>
      <c r="AF36" s="2227">
        <v>22308.720000000001</v>
      </c>
      <c r="AG36" s="2925">
        <v>22024.41</v>
      </c>
      <c r="AH36" s="2925">
        <v>26796.880000000001</v>
      </c>
      <c r="AI36" s="2925">
        <v>26808.720000000001</v>
      </c>
      <c r="AJ36" s="2227">
        <v>25919.22</v>
      </c>
      <c r="AK36" s="2925">
        <v>25919.22</v>
      </c>
      <c r="AL36" s="2925">
        <v>25308.720000000001</v>
      </c>
      <c r="AM36" s="2227">
        <v>23833.77</v>
      </c>
      <c r="AN36" s="2925">
        <v>23833.77</v>
      </c>
      <c r="AO36" s="2925">
        <v>23808.720000000001</v>
      </c>
      <c r="AP36" s="2227">
        <v>23050.69</v>
      </c>
      <c r="AQ36" s="2925">
        <v>23050.69</v>
      </c>
      <c r="AR36" s="2925">
        <v>22308.720000000001</v>
      </c>
      <c r="AS36" s="2923">
        <v>32096</v>
      </c>
      <c r="AT36" s="2227">
        <v>26327.93</v>
      </c>
      <c r="AU36" s="2923">
        <v>29856</v>
      </c>
      <c r="AV36" s="2227">
        <v>25655.63</v>
      </c>
      <c r="AW36" s="2923">
        <v>27093</v>
      </c>
      <c r="AX36" s="2227">
        <v>23896.32</v>
      </c>
      <c r="AY36" s="2923">
        <v>24593</v>
      </c>
      <c r="AZ36" s="2925">
        <v>32966</v>
      </c>
      <c r="BA36" s="2227">
        <v>28227.95</v>
      </c>
      <c r="BB36" s="2923">
        <v>32096</v>
      </c>
      <c r="BC36" s="2227">
        <v>27450.09</v>
      </c>
      <c r="BD36" s="2925">
        <v>34578</v>
      </c>
      <c r="BE36" s="2227">
        <v>30709.03</v>
      </c>
      <c r="BF36" s="2923">
        <v>32096</v>
      </c>
      <c r="BG36" s="2227">
        <v>29343.93</v>
      </c>
      <c r="BH36" s="2925">
        <v>30726</v>
      </c>
      <c r="BI36" s="2227">
        <v>27514.52</v>
      </c>
      <c r="BJ36" s="2923">
        <v>29856</v>
      </c>
      <c r="BK36" s="2227">
        <v>26638.33</v>
      </c>
      <c r="BL36" s="2925">
        <v>31933</v>
      </c>
      <c r="BM36" s="2227">
        <v>30123.86</v>
      </c>
      <c r="BN36" s="2923">
        <v>29856</v>
      </c>
      <c r="BO36" s="2227">
        <v>28928.38</v>
      </c>
      <c r="BP36" s="2925">
        <v>27963</v>
      </c>
      <c r="BQ36" s="2227">
        <v>25212.13</v>
      </c>
      <c r="BR36" s="2923">
        <v>27093</v>
      </c>
      <c r="BS36" s="2227">
        <v>25554.1</v>
      </c>
      <c r="BT36" s="2925">
        <v>28933</v>
      </c>
      <c r="BU36" s="2227">
        <v>26268.67</v>
      </c>
      <c r="BV36" s="2923">
        <v>27093</v>
      </c>
      <c r="BW36" s="2227">
        <v>25731.39</v>
      </c>
      <c r="BX36" s="2925">
        <v>25463</v>
      </c>
      <c r="BY36" s="2923">
        <v>24593</v>
      </c>
      <c r="BZ36" s="2924">
        <v>25933</v>
      </c>
      <c r="CA36" s="2923">
        <v>24593</v>
      </c>
      <c r="CB36" s="2227">
        <v>66780</v>
      </c>
      <c r="CC36" s="2227">
        <v>63780</v>
      </c>
      <c r="CD36" s="2227">
        <v>60780</v>
      </c>
      <c r="CE36" s="2227">
        <v>58990</v>
      </c>
      <c r="CF36" s="2227">
        <v>55990</v>
      </c>
      <c r="CG36" s="2227">
        <v>52990</v>
      </c>
      <c r="CH36" s="2227">
        <v>51360</v>
      </c>
      <c r="CI36" s="2227">
        <v>48360</v>
      </c>
      <c r="CJ36" s="2227">
        <v>44860</v>
      </c>
      <c r="CK36" s="2227">
        <v>43951.59</v>
      </c>
      <c r="CL36" s="2227">
        <v>41360</v>
      </c>
      <c r="CM36" s="2227">
        <v>38360</v>
      </c>
      <c r="CN36" s="2227">
        <v>35895</v>
      </c>
      <c r="CO36" s="2227">
        <v>33895</v>
      </c>
      <c r="CP36" s="2227">
        <v>21382.95</v>
      </c>
      <c r="CQ36" s="2227">
        <v>13404.34</v>
      </c>
      <c r="CR36" s="2227">
        <v>16438.91</v>
      </c>
      <c r="CS36" s="2227">
        <v>32165.25</v>
      </c>
      <c r="CT36" s="2227">
        <v>19770.97</v>
      </c>
      <c r="CU36" s="2227">
        <v>22902.959999999999</v>
      </c>
      <c r="CV36" s="2227">
        <v>22902.959999999999</v>
      </c>
      <c r="CW36" s="2227">
        <v>22902.959999999999</v>
      </c>
      <c r="CX36" s="2227">
        <v>22902.959999999999</v>
      </c>
      <c r="CY36" s="2227">
        <v>22800</v>
      </c>
      <c r="CZ36" s="2227">
        <v>25919.22</v>
      </c>
      <c r="DA36" s="2227">
        <v>23018.06</v>
      </c>
      <c r="DB36" s="2227">
        <v>23050.69</v>
      </c>
      <c r="DC36" s="2227">
        <v>23833.77</v>
      </c>
      <c r="DD36" s="2227">
        <v>19010.2</v>
      </c>
      <c r="DE36" s="2227">
        <v>22024.41</v>
      </c>
      <c r="DF36" s="2227">
        <v>21910.03</v>
      </c>
      <c r="DG36" s="2227">
        <v>21950</v>
      </c>
      <c r="DH36" s="2227">
        <v>19600</v>
      </c>
      <c r="DI36" s="2227">
        <v>16057.29</v>
      </c>
      <c r="DJ36" s="2227">
        <v>16057.29</v>
      </c>
      <c r="DK36" s="2227">
        <v>20700</v>
      </c>
      <c r="DL36" s="2227">
        <v>24234.79</v>
      </c>
      <c r="DM36" s="2227">
        <v>24800</v>
      </c>
      <c r="DN36" s="2227">
        <v>14129.98</v>
      </c>
      <c r="DO36" s="2227">
        <v>25554.1</v>
      </c>
      <c r="DP36" s="2227">
        <v>17947.62</v>
      </c>
      <c r="DQ36" s="2227">
        <v>34916.480000000003</v>
      </c>
      <c r="DR36" s="2227">
        <v>22308.720000000001</v>
      </c>
      <c r="DS36" s="2227">
        <v>15650</v>
      </c>
      <c r="DT36" s="2227">
        <v>15645.76</v>
      </c>
      <c r="DU36" s="2227">
        <v>15666.92</v>
      </c>
      <c r="DV36" s="2227">
        <v>23050.69</v>
      </c>
      <c r="DW36" s="2227">
        <v>16841.86</v>
      </c>
      <c r="DX36" s="2227">
        <v>26450</v>
      </c>
      <c r="DY36" s="2227">
        <v>18320.71</v>
      </c>
      <c r="DZ36" s="2227">
        <v>25731.39</v>
      </c>
      <c r="EA36" s="2227">
        <v>23254.51</v>
      </c>
      <c r="EB36" s="2227">
        <v>37925.769999999997</v>
      </c>
      <c r="EC36" s="2227">
        <v>24606.06</v>
      </c>
      <c r="ED36" s="2227">
        <v>20451.259999999998</v>
      </c>
      <c r="EE36" s="2227">
        <v>16550</v>
      </c>
      <c r="EF36" s="2227">
        <v>18013.400000000001</v>
      </c>
      <c r="EG36" s="2227">
        <v>19102.03</v>
      </c>
      <c r="EH36" s="2227">
        <v>18691.3</v>
      </c>
      <c r="EI36" s="2227">
        <v>24764.720000000001</v>
      </c>
      <c r="EJ36" s="2227">
        <v>30123.86</v>
      </c>
      <c r="EK36" s="2227">
        <v>21887.3</v>
      </c>
      <c r="EL36" s="2227">
        <v>18691.310000000001</v>
      </c>
      <c r="EM36" s="2227">
        <v>38304.26</v>
      </c>
      <c r="EN36" s="2227">
        <v>26268.67</v>
      </c>
      <c r="EO36" s="2227">
        <v>14888.48</v>
      </c>
      <c r="EP36" s="2227">
        <v>18300</v>
      </c>
      <c r="EQ36" s="2227">
        <v>21659.99</v>
      </c>
      <c r="ER36" s="2227">
        <v>23371.47</v>
      </c>
      <c r="ES36" s="2227">
        <v>20382.759999999998</v>
      </c>
      <c r="ET36" s="2227">
        <v>15249.61</v>
      </c>
      <c r="EU36" s="2227">
        <v>23128.53</v>
      </c>
      <c r="EV36" s="2227">
        <v>25212.13</v>
      </c>
      <c r="EW36" s="2227">
        <v>22105.38</v>
      </c>
      <c r="EX36" s="2227">
        <v>22284.13</v>
      </c>
      <c r="EY36" s="2227">
        <v>23350</v>
      </c>
      <c r="EZ36" s="2227">
        <v>33887.15</v>
      </c>
      <c r="FA36" s="2227">
        <v>17951.28</v>
      </c>
      <c r="FB36" s="2227">
        <v>16076.06</v>
      </c>
      <c r="FC36" s="2227">
        <v>36200</v>
      </c>
      <c r="FD36" s="2227">
        <v>34000</v>
      </c>
      <c r="FE36" s="2227">
        <v>42638.83</v>
      </c>
      <c r="FF36" s="2227">
        <v>15000</v>
      </c>
      <c r="FG36" s="2227">
        <v>28928.38</v>
      </c>
      <c r="FH36" s="2227">
        <v>21368.47</v>
      </c>
      <c r="FI36" s="2227">
        <v>17554.310000000001</v>
      </c>
      <c r="FJ36" s="2227">
        <v>15480.42</v>
      </c>
      <c r="FK36" s="2227">
        <v>26638.33</v>
      </c>
      <c r="FL36" s="2227">
        <v>19682.88</v>
      </c>
      <c r="FM36" s="2227">
        <v>24408.44</v>
      </c>
      <c r="FN36" s="2227">
        <v>22800</v>
      </c>
      <c r="FO36" s="2227">
        <v>28817.74</v>
      </c>
      <c r="FP36" s="2227">
        <v>22459.200000000001</v>
      </c>
      <c r="FQ36" s="2227">
        <v>17603.64</v>
      </c>
      <c r="FR36" s="2227">
        <v>29300</v>
      </c>
      <c r="FS36" s="2227">
        <v>36200</v>
      </c>
      <c r="FT36" s="2227">
        <v>30292.59</v>
      </c>
      <c r="FU36" s="2227">
        <v>24789.42</v>
      </c>
      <c r="FV36" s="2227">
        <v>35250</v>
      </c>
      <c r="FW36" s="2227">
        <v>17905.48</v>
      </c>
      <c r="FX36" s="2227">
        <v>20228.240000000002</v>
      </c>
      <c r="FY36" s="2227">
        <v>16486.22</v>
      </c>
      <c r="FZ36" s="2227">
        <v>21806.43</v>
      </c>
      <c r="GA36" s="2227">
        <v>28946.43</v>
      </c>
      <c r="GB36" s="2227">
        <v>30709.03</v>
      </c>
      <c r="GC36" s="2227">
        <v>17947.62</v>
      </c>
      <c r="GD36" s="2227">
        <v>14084.93</v>
      </c>
      <c r="GE36" s="2227">
        <v>28780.55</v>
      </c>
      <c r="GF36" s="2227">
        <v>29150</v>
      </c>
      <c r="GG36" s="2227">
        <v>45052.27</v>
      </c>
      <c r="GH36" s="2227">
        <v>19682.75</v>
      </c>
      <c r="GI36" s="2227">
        <v>21163.69</v>
      </c>
      <c r="GJ36" s="2227">
        <v>14898.45</v>
      </c>
      <c r="GK36" s="2227">
        <v>18273.39</v>
      </c>
      <c r="GL36" s="2227">
        <v>25655.63</v>
      </c>
      <c r="GM36" s="2227">
        <v>18339.86</v>
      </c>
      <c r="GN36" s="2227">
        <v>21355.98</v>
      </c>
      <c r="GO36" s="2227">
        <v>20267.18</v>
      </c>
      <c r="GP36" s="2227">
        <v>24286.25</v>
      </c>
      <c r="GQ36" s="2227">
        <v>16216.22</v>
      </c>
      <c r="GR36" s="2227">
        <v>15167.61</v>
      </c>
      <c r="GS36" s="2227">
        <v>15909.48</v>
      </c>
      <c r="GT36" s="2227">
        <v>18320.71</v>
      </c>
      <c r="GU36" s="2227">
        <v>22679.62</v>
      </c>
      <c r="GV36" s="2227">
        <v>21171.16</v>
      </c>
      <c r="GW36" s="2227">
        <v>38349.18</v>
      </c>
      <c r="GX36" s="2227">
        <v>40333.050000000003</v>
      </c>
      <c r="GY36" s="2227">
        <v>48105.56</v>
      </c>
      <c r="GZ36" s="2227">
        <v>14591.09</v>
      </c>
      <c r="HA36" s="2227">
        <v>14025.66</v>
      </c>
      <c r="HB36" s="2227">
        <v>19682.88</v>
      </c>
      <c r="HC36" s="2227">
        <v>17614</v>
      </c>
      <c r="HD36" s="2227">
        <v>18310.41</v>
      </c>
      <c r="HE36" s="2227">
        <v>25493.52</v>
      </c>
      <c r="HF36" s="2227">
        <v>26550</v>
      </c>
      <c r="HG36" s="2227">
        <v>23723.26</v>
      </c>
      <c r="HH36" s="2227">
        <v>24800</v>
      </c>
      <c r="HI36" s="2227">
        <v>23198.73</v>
      </c>
      <c r="HJ36" s="2227">
        <v>24408.44</v>
      </c>
      <c r="HK36" s="2227">
        <v>28227.95</v>
      </c>
      <c r="HL36" s="2227">
        <v>40100</v>
      </c>
      <c r="HM36" s="2227">
        <v>19682.87</v>
      </c>
      <c r="HN36" s="2227">
        <v>18740.89</v>
      </c>
      <c r="HO36" s="2227">
        <v>15666.92</v>
      </c>
      <c r="HP36" s="2227">
        <v>23184.16</v>
      </c>
      <c r="HQ36" s="2227">
        <v>28946.43</v>
      </c>
      <c r="HR36" s="2227">
        <v>32500</v>
      </c>
      <c r="HS36" s="2227">
        <v>22806.240000000002</v>
      </c>
      <c r="HT36" s="2227">
        <v>24863.78</v>
      </c>
      <c r="HU36" s="2227">
        <v>33522.1</v>
      </c>
      <c r="HV36" s="2227">
        <v>31744.65</v>
      </c>
      <c r="HW36" s="2227">
        <v>19682.73</v>
      </c>
      <c r="HX36" s="2227">
        <v>17951.28</v>
      </c>
      <c r="HY36" s="2227">
        <v>18126.07</v>
      </c>
      <c r="HZ36" s="2227">
        <v>19231.490000000002</v>
      </c>
      <c r="IA36" s="2227">
        <v>14025.66</v>
      </c>
      <c r="IB36" s="2227">
        <v>19648.13</v>
      </c>
      <c r="IC36" s="2227">
        <v>19116.03</v>
      </c>
      <c r="ID36" s="2227">
        <v>24334.15</v>
      </c>
      <c r="IE36" s="2227">
        <v>23150.880000000001</v>
      </c>
      <c r="IF36" s="2227">
        <v>22729.75</v>
      </c>
      <c r="IG36" s="2227">
        <v>26796.880000000001</v>
      </c>
      <c r="IH36" s="2227">
        <v>22806.25</v>
      </c>
      <c r="II36" s="2227">
        <v>22596.21</v>
      </c>
      <c r="IJ36" s="2227">
        <v>31879.23</v>
      </c>
      <c r="IK36" s="2227">
        <v>23034.41</v>
      </c>
      <c r="IL36" s="2227">
        <v>27450.09</v>
      </c>
      <c r="IM36" s="2227">
        <v>24380.21</v>
      </c>
      <c r="IN36" s="2227">
        <v>35548.06</v>
      </c>
      <c r="IO36" s="2227">
        <v>37060.19</v>
      </c>
      <c r="IP36" s="2227">
        <v>34000</v>
      </c>
      <c r="IQ36" s="2227">
        <v>33522.1</v>
      </c>
      <c r="IR36" s="2227">
        <v>51436.27</v>
      </c>
      <c r="IS36" s="2227">
        <v>33502.629999999997</v>
      </c>
      <c r="IT36" s="2227">
        <v>45116.66</v>
      </c>
      <c r="IU36" s="2227">
        <v>33667.51</v>
      </c>
      <c r="IV36" s="2227">
        <v>23050.69</v>
      </c>
    </row>
    <row r="37" spans="1:256">
      <c r="A37" s="2214">
        <v>28</v>
      </c>
      <c r="B37" s="2925">
        <v>16672.52</v>
      </c>
      <c r="C37" s="2227">
        <v>16522.64</v>
      </c>
      <c r="D37" s="2925">
        <v>15672.52</v>
      </c>
      <c r="E37" s="2227">
        <v>15249.61</v>
      </c>
      <c r="F37" s="2925">
        <v>14672.52</v>
      </c>
      <c r="G37" s="2227">
        <v>14325.66</v>
      </c>
      <c r="H37" s="2926">
        <v>13705</v>
      </c>
      <c r="I37" s="2925">
        <v>23018.06</v>
      </c>
      <c r="J37" s="2925">
        <v>23018.06</v>
      </c>
      <c r="K37" s="2227">
        <v>19102.03</v>
      </c>
      <c r="L37" s="2925">
        <v>20460</v>
      </c>
      <c r="M37" s="2227">
        <v>19102.03</v>
      </c>
      <c r="N37" s="2925">
        <v>19770.97</v>
      </c>
      <c r="O37" s="2925">
        <v>19770.97</v>
      </c>
      <c r="P37" s="2227">
        <v>18013.400000000001</v>
      </c>
      <c r="Q37" s="2925">
        <v>18807.080000000002</v>
      </c>
      <c r="R37" s="2227">
        <v>17554.310000000001</v>
      </c>
      <c r="S37" s="2925">
        <v>18013.400000000001</v>
      </c>
      <c r="T37" s="2925">
        <v>18166.150000000001</v>
      </c>
      <c r="U37" s="2227">
        <v>17554.310000000001</v>
      </c>
      <c r="V37" s="2925">
        <v>17749.759999999998</v>
      </c>
      <c r="W37" s="2227">
        <v>16841.86</v>
      </c>
      <c r="X37" s="2925">
        <v>17160.810000000001</v>
      </c>
      <c r="Y37" s="2925">
        <v>17160.810000000001</v>
      </c>
      <c r="Z37" s="2925">
        <v>16536.650000000001</v>
      </c>
      <c r="AA37" s="2925">
        <v>26967</v>
      </c>
      <c r="AB37" s="2227">
        <v>23833.77</v>
      </c>
      <c r="AC37" s="2925">
        <v>25024.41</v>
      </c>
      <c r="AD37" s="2227">
        <v>23050.69</v>
      </c>
      <c r="AE37" s="2925">
        <v>23524.41</v>
      </c>
      <c r="AF37" s="2227">
        <v>22308.720000000001</v>
      </c>
      <c r="AG37" s="2925">
        <v>22024.41</v>
      </c>
      <c r="AH37" s="2925">
        <v>26967</v>
      </c>
      <c r="AI37" s="2925">
        <v>26967</v>
      </c>
      <c r="AJ37" s="2227">
        <v>25919.22</v>
      </c>
      <c r="AK37" s="2925">
        <v>25919.22</v>
      </c>
      <c r="AL37" s="2925">
        <v>25308.720000000001</v>
      </c>
      <c r="AM37" s="2227">
        <v>23833.77</v>
      </c>
      <c r="AN37" s="2925">
        <v>23833.77</v>
      </c>
      <c r="AO37" s="2925">
        <v>23808.720000000001</v>
      </c>
      <c r="AP37" s="2227">
        <v>23050.69</v>
      </c>
      <c r="AQ37" s="2925">
        <v>23050.69</v>
      </c>
      <c r="AR37" s="2925">
        <v>22308.720000000001</v>
      </c>
      <c r="AS37" s="2923">
        <v>32096</v>
      </c>
      <c r="AT37" s="2227">
        <v>26327.93</v>
      </c>
      <c r="AU37" s="2923">
        <v>29856</v>
      </c>
      <c r="AV37" s="2227">
        <v>25655.63</v>
      </c>
      <c r="AW37" s="2923">
        <v>27093</v>
      </c>
      <c r="AX37" s="2227">
        <v>23896.32</v>
      </c>
      <c r="AY37" s="2923">
        <v>24593</v>
      </c>
      <c r="AZ37" s="2925">
        <v>32966</v>
      </c>
      <c r="BA37" s="2227">
        <v>28227.95</v>
      </c>
      <c r="BB37" s="2923">
        <v>32096</v>
      </c>
      <c r="BC37" s="2227">
        <v>27450.09</v>
      </c>
      <c r="BD37" s="2925">
        <v>34578</v>
      </c>
      <c r="BE37" s="2227">
        <v>30709.03</v>
      </c>
      <c r="BF37" s="2923">
        <v>32096</v>
      </c>
      <c r="BG37" s="2227">
        <v>29343.93</v>
      </c>
      <c r="BH37" s="2925">
        <v>30726</v>
      </c>
      <c r="BI37" s="2227">
        <v>27514.52</v>
      </c>
      <c r="BJ37" s="2923">
        <v>29856</v>
      </c>
      <c r="BK37" s="2227">
        <v>26638.33</v>
      </c>
      <c r="BL37" s="2925">
        <v>31933</v>
      </c>
      <c r="BM37" s="2227">
        <v>30123.86</v>
      </c>
      <c r="BN37" s="2923">
        <v>29856</v>
      </c>
      <c r="BO37" s="2227">
        <v>28928.38</v>
      </c>
      <c r="BP37" s="2925">
        <v>27963</v>
      </c>
      <c r="BQ37" s="2227">
        <v>25212.13</v>
      </c>
      <c r="BR37" s="2923">
        <v>27093</v>
      </c>
      <c r="BS37" s="2227">
        <v>25554.1</v>
      </c>
      <c r="BT37" s="2925">
        <v>28933</v>
      </c>
      <c r="BU37" s="2227">
        <v>26268.67</v>
      </c>
      <c r="BV37" s="2923">
        <v>27093</v>
      </c>
      <c r="BW37" s="2227">
        <v>25731.39</v>
      </c>
      <c r="BX37" s="2925">
        <v>25463</v>
      </c>
      <c r="BY37" s="2923">
        <v>24593</v>
      </c>
      <c r="BZ37" s="2924">
        <v>25933</v>
      </c>
      <c r="CA37" s="2923">
        <v>24593</v>
      </c>
      <c r="CB37" s="2227">
        <v>66780</v>
      </c>
      <c r="CC37" s="2227">
        <v>63780</v>
      </c>
      <c r="CD37" s="2227">
        <v>60780</v>
      </c>
      <c r="CE37" s="2227">
        <v>58990</v>
      </c>
      <c r="CF37" s="2227">
        <v>55990</v>
      </c>
      <c r="CG37" s="2227">
        <v>52990</v>
      </c>
      <c r="CH37" s="2227">
        <v>51360</v>
      </c>
      <c r="CI37" s="2227">
        <v>48360</v>
      </c>
      <c r="CJ37" s="2227">
        <v>44860</v>
      </c>
      <c r="CK37" s="2227">
        <v>43951.59</v>
      </c>
      <c r="CL37" s="2227">
        <v>41360</v>
      </c>
      <c r="CM37" s="2227">
        <v>38360</v>
      </c>
      <c r="CN37" s="2227">
        <v>35895</v>
      </c>
      <c r="CO37" s="2227">
        <v>33895</v>
      </c>
      <c r="CP37" s="2227">
        <v>21382.95</v>
      </c>
      <c r="CQ37" s="2227">
        <v>13404.34</v>
      </c>
      <c r="CR37" s="2227">
        <v>16438.91</v>
      </c>
      <c r="CS37" s="2227">
        <v>32165.25</v>
      </c>
      <c r="CT37" s="2227">
        <v>19770.97</v>
      </c>
      <c r="CU37" s="2227">
        <v>22902.959999999999</v>
      </c>
      <c r="CV37" s="2227">
        <v>22902.959999999999</v>
      </c>
      <c r="CW37" s="2227">
        <v>22902.959999999999</v>
      </c>
      <c r="CX37" s="2227">
        <v>22902.959999999999</v>
      </c>
      <c r="CY37" s="2227">
        <v>22800</v>
      </c>
      <c r="CZ37" s="2227">
        <v>25919.22</v>
      </c>
      <c r="DA37" s="2227">
        <v>23018.06</v>
      </c>
      <c r="DB37" s="2227">
        <v>23050.69</v>
      </c>
      <c r="DC37" s="2227">
        <v>23833.77</v>
      </c>
      <c r="DD37" s="2227">
        <v>19010.2</v>
      </c>
      <c r="DE37" s="2227">
        <v>22024.41</v>
      </c>
      <c r="DF37" s="2227">
        <v>21910.03</v>
      </c>
      <c r="DG37" s="2227">
        <v>21950</v>
      </c>
      <c r="DH37" s="2227">
        <v>19600</v>
      </c>
      <c r="DI37" s="2227">
        <v>16057.29</v>
      </c>
      <c r="DJ37" s="2227">
        <v>16057.29</v>
      </c>
      <c r="DK37" s="2227">
        <v>20700</v>
      </c>
      <c r="DL37" s="2227">
        <v>24234.79</v>
      </c>
      <c r="DM37" s="2227">
        <v>24800</v>
      </c>
      <c r="DN37" s="2227">
        <v>14129.98</v>
      </c>
      <c r="DO37" s="2227">
        <v>25554.1</v>
      </c>
      <c r="DP37" s="2227">
        <v>17947.62</v>
      </c>
      <c r="DQ37" s="2227">
        <v>34916.480000000003</v>
      </c>
      <c r="DR37" s="2227">
        <v>22308.720000000001</v>
      </c>
      <c r="DS37" s="2227">
        <v>15650</v>
      </c>
      <c r="DT37" s="2227">
        <v>15645.76</v>
      </c>
      <c r="DU37" s="2227">
        <v>15666.92</v>
      </c>
      <c r="DV37" s="2227">
        <v>23050.69</v>
      </c>
      <c r="DW37" s="2227">
        <v>16841.86</v>
      </c>
      <c r="DX37" s="2227">
        <v>26450</v>
      </c>
      <c r="DY37" s="2227">
        <v>18485.22</v>
      </c>
      <c r="DZ37" s="2227">
        <v>25731.39</v>
      </c>
      <c r="EA37" s="2227">
        <v>23254.51</v>
      </c>
      <c r="EB37" s="2227">
        <v>37925.769999999997</v>
      </c>
      <c r="EC37" s="2227">
        <v>24606.06</v>
      </c>
      <c r="ED37" s="2227">
        <v>20451.259999999998</v>
      </c>
      <c r="EE37" s="2227">
        <v>16550</v>
      </c>
      <c r="EF37" s="2227">
        <v>18013.400000000001</v>
      </c>
      <c r="EG37" s="2227">
        <v>19102.03</v>
      </c>
      <c r="EH37" s="2227">
        <v>18691.3</v>
      </c>
      <c r="EI37" s="2227">
        <v>24764.720000000001</v>
      </c>
      <c r="EJ37" s="2227">
        <v>30123.86</v>
      </c>
      <c r="EK37" s="2227">
        <v>21887.3</v>
      </c>
      <c r="EL37" s="2227">
        <v>18691.310000000001</v>
      </c>
      <c r="EM37" s="2227">
        <v>38304.26</v>
      </c>
      <c r="EN37" s="2227">
        <v>26268.67</v>
      </c>
      <c r="EO37" s="2227">
        <v>14888.48</v>
      </c>
      <c r="EP37" s="2227">
        <v>18300</v>
      </c>
      <c r="EQ37" s="2227">
        <v>21971.89</v>
      </c>
      <c r="ER37" s="2227">
        <v>23371.47</v>
      </c>
      <c r="ES37" s="2227">
        <v>20382.759999999998</v>
      </c>
      <c r="ET37" s="2227">
        <v>15249.61</v>
      </c>
      <c r="EU37" s="2227">
        <v>23128.53</v>
      </c>
      <c r="EV37" s="2227">
        <v>25212.13</v>
      </c>
      <c r="EW37" s="2227">
        <v>22423.68</v>
      </c>
      <c r="EX37" s="2227">
        <v>22284.13</v>
      </c>
      <c r="EY37" s="2227">
        <v>23350</v>
      </c>
      <c r="EZ37" s="2227">
        <v>33887.15</v>
      </c>
      <c r="FA37" s="2227">
        <v>18112.47</v>
      </c>
      <c r="FB37" s="2227">
        <v>16076.06</v>
      </c>
      <c r="FC37" s="2227">
        <v>36200</v>
      </c>
      <c r="FD37" s="2227">
        <v>34000</v>
      </c>
      <c r="FE37" s="2227">
        <v>42638.83</v>
      </c>
      <c r="FF37" s="2227">
        <v>15000</v>
      </c>
      <c r="FG37" s="2227">
        <v>28928.38</v>
      </c>
      <c r="FH37" s="2227">
        <v>21368.47</v>
      </c>
      <c r="FI37" s="2227">
        <v>17554.310000000001</v>
      </c>
      <c r="FJ37" s="2227">
        <v>15480.42</v>
      </c>
      <c r="FK37" s="2227">
        <v>26638.33</v>
      </c>
      <c r="FL37" s="2227">
        <v>19682.88</v>
      </c>
      <c r="FM37" s="2227">
        <v>24408.44</v>
      </c>
      <c r="FN37" s="2227">
        <v>22800</v>
      </c>
      <c r="FO37" s="2227">
        <v>28817.74</v>
      </c>
      <c r="FP37" s="2227">
        <v>22459.200000000001</v>
      </c>
      <c r="FQ37" s="2227">
        <v>17764.419999999998</v>
      </c>
      <c r="FR37" s="2227">
        <v>29300</v>
      </c>
      <c r="FS37" s="2227">
        <v>36200</v>
      </c>
      <c r="FT37" s="2227">
        <v>30292.59</v>
      </c>
      <c r="FU37" s="2227">
        <v>24789.42</v>
      </c>
      <c r="FV37" s="2227">
        <v>35250</v>
      </c>
      <c r="FW37" s="2227">
        <v>17905.48</v>
      </c>
      <c r="FX37" s="2227">
        <v>20228.240000000002</v>
      </c>
      <c r="FY37" s="2227">
        <v>16486.22</v>
      </c>
      <c r="FZ37" s="2227">
        <v>21994.29</v>
      </c>
      <c r="GA37" s="2227">
        <v>28946.43</v>
      </c>
      <c r="GB37" s="2227">
        <v>30709.03</v>
      </c>
      <c r="GC37" s="2227">
        <v>17947.62</v>
      </c>
      <c r="GD37" s="2227">
        <v>14084.93</v>
      </c>
      <c r="GE37" s="2227">
        <v>28780.55</v>
      </c>
      <c r="GF37" s="2227">
        <v>29150</v>
      </c>
      <c r="GG37" s="2227">
        <v>45052.27</v>
      </c>
      <c r="GH37" s="2227">
        <v>19682.75</v>
      </c>
      <c r="GI37" s="2227">
        <v>21163.69</v>
      </c>
      <c r="GJ37" s="2227">
        <v>14898.45</v>
      </c>
      <c r="GK37" s="2227">
        <v>18273.39</v>
      </c>
      <c r="GL37" s="2227">
        <v>25655.63</v>
      </c>
      <c r="GM37" s="2227">
        <v>18501.16</v>
      </c>
      <c r="GN37" s="2227">
        <v>21355.98</v>
      </c>
      <c r="GO37" s="2227">
        <v>20414.61</v>
      </c>
      <c r="GP37" s="2227">
        <v>24286.25</v>
      </c>
      <c r="GQ37" s="2227">
        <v>16216.22</v>
      </c>
      <c r="GR37" s="2227">
        <v>15167.61</v>
      </c>
      <c r="GS37" s="2227">
        <v>15909.48</v>
      </c>
      <c r="GT37" s="2227">
        <v>18485.22</v>
      </c>
      <c r="GU37" s="2227">
        <v>22679.62</v>
      </c>
      <c r="GV37" s="2227">
        <v>21171.16</v>
      </c>
      <c r="GW37" s="2227">
        <v>38349.18</v>
      </c>
      <c r="GX37" s="2227">
        <v>40333.050000000003</v>
      </c>
      <c r="GY37" s="2227">
        <v>49443.29</v>
      </c>
      <c r="GZ37" s="2227">
        <v>14591.09</v>
      </c>
      <c r="HA37" s="2227">
        <v>14025.66</v>
      </c>
      <c r="HB37" s="2227">
        <v>19682.88</v>
      </c>
      <c r="HC37" s="2227">
        <v>17774.89</v>
      </c>
      <c r="HD37" s="2227">
        <v>18474.84</v>
      </c>
      <c r="HE37" s="2227">
        <v>25493.52</v>
      </c>
      <c r="HF37" s="2227">
        <v>26550</v>
      </c>
      <c r="HG37" s="2227">
        <v>23723.26</v>
      </c>
      <c r="HH37" s="2227">
        <v>24800</v>
      </c>
      <c r="HI37" s="2227">
        <v>23198.73</v>
      </c>
      <c r="HJ37" s="2227">
        <v>24408.44</v>
      </c>
      <c r="HK37" s="2227">
        <v>28227.95</v>
      </c>
      <c r="HL37" s="2227">
        <v>40100</v>
      </c>
      <c r="HM37" s="2227">
        <v>19682.87</v>
      </c>
      <c r="HN37" s="2227">
        <v>18740.89</v>
      </c>
      <c r="HO37" s="2227">
        <v>15666.92</v>
      </c>
      <c r="HP37" s="2227">
        <v>23502.42</v>
      </c>
      <c r="HQ37" s="2227">
        <v>28946.43</v>
      </c>
      <c r="HR37" s="2227">
        <v>32500</v>
      </c>
      <c r="HS37" s="2227">
        <v>22806.240000000002</v>
      </c>
      <c r="HT37" s="2227">
        <v>24863.78</v>
      </c>
      <c r="HU37" s="2227">
        <v>33522.1</v>
      </c>
      <c r="HV37" s="2227">
        <v>31744.65</v>
      </c>
      <c r="HW37" s="2227">
        <v>19682.73</v>
      </c>
      <c r="HX37" s="2227">
        <v>18112.47</v>
      </c>
      <c r="HY37" s="2227">
        <v>18287.259999999998</v>
      </c>
      <c r="HZ37" s="2227">
        <v>19374.060000000001</v>
      </c>
      <c r="IA37" s="2227">
        <v>14025.66</v>
      </c>
      <c r="IB37" s="2227">
        <v>19819.75</v>
      </c>
      <c r="IC37" s="2227">
        <v>19116.03</v>
      </c>
      <c r="ID37" s="2227">
        <v>24334.15</v>
      </c>
      <c r="IE37" s="2227">
        <v>23150.880000000001</v>
      </c>
      <c r="IF37" s="2227">
        <v>22729.75</v>
      </c>
      <c r="IG37" s="2227">
        <v>26796.880000000001</v>
      </c>
      <c r="IH37" s="2227">
        <v>22806.25</v>
      </c>
      <c r="II37" s="2227">
        <v>22596.21</v>
      </c>
      <c r="IJ37" s="2227">
        <v>31879.23</v>
      </c>
      <c r="IK37" s="2227">
        <v>23034.41</v>
      </c>
      <c r="IL37" s="2227">
        <v>27450.09</v>
      </c>
      <c r="IM37" s="2227">
        <v>24380.21</v>
      </c>
      <c r="IN37" s="2227">
        <v>35548.06</v>
      </c>
      <c r="IO37" s="2227">
        <v>37060.19</v>
      </c>
      <c r="IP37" s="2227">
        <v>34000</v>
      </c>
      <c r="IQ37" s="2227">
        <v>33522.1</v>
      </c>
      <c r="IR37" s="2227">
        <v>51436.27</v>
      </c>
      <c r="IS37" s="2227">
        <v>33502.629999999997</v>
      </c>
      <c r="IT37" s="2227">
        <v>45116.66</v>
      </c>
      <c r="IU37" s="2227">
        <v>33667.51</v>
      </c>
      <c r="IV37" s="2227">
        <v>23050.69</v>
      </c>
    </row>
    <row r="38" spans="1:256">
      <c r="A38" s="2214">
        <v>29</v>
      </c>
      <c r="B38" s="2925">
        <v>16672.52</v>
      </c>
      <c r="C38" s="2227">
        <v>16522.64</v>
      </c>
      <c r="D38" s="2925">
        <v>15672.52</v>
      </c>
      <c r="E38" s="2227">
        <v>15249.61</v>
      </c>
      <c r="F38" s="2925">
        <v>14672.52</v>
      </c>
      <c r="G38" s="2227">
        <v>14325.66</v>
      </c>
      <c r="H38" s="2926">
        <v>13732</v>
      </c>
      <c r="I38" s="2925">
        <v>23724.12</v>
      </c>
      <c r="J38" s="2925">
        <v>23724.12</v>
      </c>
      <c r="K38" s="2227">
        <v>19800.13</v>
      </c>
      <c r="L38" s="2925">
        <v>20582</v>
      </c>
      <c r="M38" s="2227">
        <v>19800.13</v>
      </c>
      <c r="N38" s="2925">
        <v>20469.07</v>
      </c>
      <c r="O38" s="2925">
        <v>20469.07</v>
      </c>
      <c r="P38" s="2227">
        <v>18362.45</v>
      </c>
      <c r="Q38" s="2925">
        <v>19505.18</v>
      </c>
      <c r="R38" s="2227">
        <v>17903.36</v>
      </c>
      <c r="S38" s="2925">
        <v>18362.45</v>
      </c>
      <c r="T38" s="2925">
        <v>18515.2</v>
      </c>
      <c r="U38" s="2227">
        <v>17903.36</v>
      </c>
      <c r="V38" s="2925">
        <v>18098.810000000001</v>
      </c>
      <c r="W38" s="2227">
        <v>17190.91</v>
      </c>
      <c r="X38" s="2925">
        <v>17509.86</v>
      </c>
      <c r="Y38" s="2925">
        <v>17509.86</v>
      </c>
      <c r="Z38" s="2925">
        <v>16860.759999999998</v>
      </c>
      <c r="AA38" s="2925">
        <v>27167</v>
      </c>
      <c r="AB38" s="2227">
        <v>24457.38</v>
      </c>
      <c r="AC38" s="2925">
        <v>25648.02</v>
      </c>
      <c r="AD38" s="2227">
        <v>23585.82</v>
      </c>
      <c r="AE38" s="2925">
        <v>24148.02</v>
      </c>
      <c r="AF38" s="2227">
        <v>22932.33</v>
      </c>
      <c r="AG38" s="2925">
        <v>22648.02</v>
      </c>
      <c r="AH38" s="2925">
        <v>28044.1</v>
      </c>
      <c r="AI38" s="2925">
        <v>28055.94</v>
      </c>
      <c r="AJ38" s="2227">
        <v>27166.44</v>
      </c>
      <c r="AK38" s="2925">
        <v>27166.44</v>
      </c>
      <c r="AL38" s="2925">
        <v>25932.33</v>
      </c>
      <c r="AM38" s="2227">
        <v>24457.38</v>
      </c>
      <c r="AN38" s="2925">
        <v>24457.38</v>
      </c>
      <c r="AO38" s="2925">
        <v>24432.33</v>
      </c>
      <c r="AP38" s="2227">
        <v>23585.82</v>
      </c>
      <c r="AQ38" s="2925">
        <v>23585.82</v>
      </c>
      <c r="AR38" s="2925">
        <v>22932.33</v>
      </c>
      <c r="AS38" s="2923">
        <v>33124</v>
      </c>
      <c r="AT38" s="2227">
        <v>27576.47</v>
      </c>
      <c r="AU38" s="2923">
        <v>30884</v>
      </c>
      <c r="AV38" s="2227">
        <v>26904.17</v>
      </c>
      <c r="AW38" s="2923">
        <v>27718</v>
      </c>
      <c r="AX38" s="2227">
        <v>24394.45</v>
      </c>
      <c r="AY38" s="2923">
        <v>25218</v>
      </c>
      <c r="AZ38" s="2925">
        <v>33994</v>
      </c>
      <c r="BA38" s="2227">
        <v>29298.21</v>
      </c>
      <c r="BB38" s="2923">
        <v>33124</v>
      </c>
      <c r="BC38" s="2227">
        <v>28698.63</v>
      </c>
      <c r="BD38" s="2925">
        <v>35888.620000000003</v>
      </c>
      <c r="BE38" s="2227">
        <v>32067.71</v>
      </c>
      <c r="BF38" s="2923">
        <v>33124</v>
      </c>
      <c r="BG38" s="2227">
        <v>30592.47</v>
      </c>
      <c r="BH38" s="2925">
        <v>31754</v>
      </c>
      <c r="BI38" s="2227">
        <v>28584.78</v>
      </c>
      <c r="BJ38" s="2923">
        <v>30884</v>
      </c>
      <c r="BK38" s="2227">
        <v>27886.87</v>
      </c>
      <c r="BL38" s="2925">
        <v>32558</v>
      </c>
      <c r="BM38" s="2227">
        <v>31482.54</v>
      </c>
      <c r="BN38" s="2923">
        <v>31046.92</v>
      </c>
      <c r="BO38" s="2227">
        <v>30176.92</v>
      </c>
      <c r="BP38" s="2925">
        <v>28588</v>
      </c>
      <c r="BQ38" s="2227">
        <v>25747.26</v>
      </c>
      <c r="BR38" s="2923">
        <v>27718</v>
      </c>
      <c r="BS38" s="2227">
        <v>26802.639999999999</v>
      </c>
      <c r="BT38" s="2925">
        <v>29558</v>
      </c>
      <c r="BU38" s="2227">
        <v>27517.21</v>
      </c>
      <c r="BV38" s="2923">
        <v>27999.93</v>
      </c>
      <c r="BW38" s="2227">
        <v>26979.93</v>
      </c>
      <c r="BX38" s="2925">
        <v>26088</v>
      </c>
      <c r="BY38" s="2923">
        <v>25218</v>
      </c>
      <c r="BZ38" s="2924">
        <v>26558</v>
      </c>
      <c r="CA38" s="2923">
        <v>25218</v>
      </c>
      <c r="CB38" s="2227">
        <v>66780</v>
      </c>
      <c r="CC38" s="2227">
        <v>63780</v>
      </c>
      <c r="CD38" s="2227">
        <v>60780</v>
      </c>
      <c r="CE38" s="2227">
        <v>58990</v>
      </c>
      <c r="CF38" s="2227">
        <v>55990</v>
      </c>
      <c r="CG38" s="2227">
        <v>52990</v>
      </c>
      <c r="CH38" s="2227">
        <v>51360</v>
      </c>
      <c r="CI38" s="2227">
        <v>48360</v>
      </c>
      <c r="CJ38" s="2227">
        <v>44860</v>
      </c>
      <c r="CK38" s="2227">
        <v>43951.59</v>
      </c>
      <c r="CL38" s="2227">
        <v>41360</v>
      </c>
      <c r="CM38" s="2227">
        <v>38360</v>
      </c>
      <c r="CN38" s="2227">
        <v>35895</v>
      </c>
      <c r="CO38" s="2227">
        <v>33895</v>
      </c>
      <c r="CP38" s="2227">
        <v>22006.560000000001</v>
      </c>
      <c r="CQ38" s="2227">
        <v>13404.34</v>
      </c>
      <c r="CR38" s="2227">
        <v>16763.02</v>
      </c>
      <c r="CS38" s="2227">
        <v>32165.25</v>
      </c>
      <c r="CT38" s="2227">
        <v>20120.02</v>
      </c>
      <c r="CU38" s="2227">
        <v>22902.959999999999</v>
      </c>
      <c r="CV38" s="2227">
        <v>22902.959999999999</v>
      </c>
      <c r="CW38" s="2227">
        <v>22902.959999999999</v>
      </c>
      <c r="CX38" s="2227">
        <v>22902.959999999999</v>
      </c>
      <c r="CY38" s="2227">
        <v>22800</v>
      </c>
      <c r="CZ38" s="2227">
        <v>26542.83</v>
      </c>
      <c r="DA38" s="2227">
        <v>23371.09</v>
      </c>
      <c r="DB38" s="2227">
        <v>23050.69</v>
      </c>
      <c r="DC38" s="2227">
        <v>24457.38</v>
      </c>
      <c r="DD38" s="2227">
        <v>19010.2</v>
      </c>
      <c r="DE38" s="2227">
        <v>22648.02</v>
      </c>
      <c r="DF38" s="2227">
        <v>22498.34</v>
      </c>
      <c r="DG38" s="2227">
        <v>21950</v>
      </c>
      <c r="DH38" s="2227">
        <v>19600</v>
      </c>
      <c r="DI38" s="2227">
        <v>16476.650000000001</v>
      </c>
      <c r="DJ38" s="2227">
        <v>16476.650000000001</v>
      </c>
      <c r="DK38" s="2227">
        <v>20700</v>
      </c>
      <c r="DL38" s="2227">
        <v>24859.06</v>
      </c>
      <c r="DM38" s="2227">
        <v>24800</v>
      </c>
      <c r="DN38" s="2227">
        <v>14129.98</v>
      </c>
      <c r="DO38" s="2227">
        <v>26178.37</v>
      </c>
      <c r="DP38" s="2227">
        <v>17947.62</v>
      </c>
      <c r="DQ38" s="2227">
        <v>34916.480000000003</v>
      </c>
      <c r="DR38" s="2227">
        <v>22932.33</v>
      </c>
      <c r="DS38" s="2227">
        <v>15650</v>
      </c>
      <c r="DT38" s="2227">
        <v>15645.76</v>
      </c>
      <c r="DU38" s="2227">
        <v>15666.92</v>
      </c>
      <c r="DV38" s="2227">
        <v>23585.82</v>
      </c>
      <c r="DW38" s="2227">
        <v>17190.91</v>
      </c>
      <c r="DX38" s="2227">
        <v>26450</v>
      </c>
      <c r="DY38" s="2227">
        <v>18649.73</v>
      </c>
      <c r="DZ38" s="2227">
        <v>26355.66</v>
      </c>
      <c r="EA38" s="2227">
        <v>23878.78</v>
      </c>
      <c r="EB38" s="2227">
        <v>37925.769999999997</v>
      </c>
      <c r="EC38" s="2227">
        <v>24606.06</v>
      </c>
      <c r="ED38" s="2227">
        <v>20451.259999999998</v>
      </c>
      <c r="EE38" s="2227">
        <v>16550</v>
      </c>
      <c r="EF38" s="2227">
        <v>18362.45</v>
      </c>
      <c r="EG38" s="2227">
        <v>19451.080000000002</v>
      </c>
      <c r="EH38" s="2227">
        <v>18691.3</v>
      </c>
      <c r="EI38" s="2227">
        <v>24764.720000000001</v>
      </c>
      <c r="EJ38" s="2227">
        <v>30803.200000000001</v>
      </c>
      <c r="EK38" s="2227">
        <v>22475.61</v>
      </c>
      <c r="EL38" s="2227">
        <v>18691.310000000001</v>
      </c>
      <c r="EM38" s="2227">
        <v>38304.26</v>
      </c>
      <c r="EN38" s="2227">
        <v>26892.94</v>
      </c>
      <c r="EO38" s="2227">
        <v>14888.48</v>
      </c>
      <c r="EP38" s="2227">
        <v>18300</v>
      </c>
      <c r="EQ38" s="2227">
        <v>22283.79</v>
      </c>
      <c r="ER38" s="2227">
        <v>23371.47</v>
      </c>
      <c r="ES38" s="2227">
        <v>20382.759999999998</v>
      </c>
      <c r="ET38" s="2227">
        <v>15249.61</v>
      </c>
      <c r="EU38" s="2227">
        <v>23128.53</v>
      </c>
      <c r="EV38" s="2227">
        <v>25212.13</v>
      </c>
      <c r="EW38" s="2227">
        <v>22741.98</v>
      </c>
      <c r="EX38" s="2227">
        <v>22284.13</v>
      </c>
      <c r="EY38" s="2227">
        <v>23350</v>
      </c>
      <c r="EZ38" s="2227">
        <v>33887.15</v>
      </c>
      <c r="FA38" s="2227">
        <v>18273.66</v>
      </c>
      <c r="FB38" s="2227">
        <v>16076.06</v>
      </c>
      <c r="FC38" s="2227">
        <v>36200</v>
      </c>
      <c r="FD38" s="2227">
        <v>34000</v>
      </c>
      <c r="FE38" s="2227">
        <v>42638.83</v>
      </c>
      <c r="FF38" s="2227">
        <v>15000</v>
      </c>
      <c r="FG38" s="2227">
        <v>29552.65</v>
      </c>
      <c r="FH38" s="2227">
        <v>21368.47</v>
      </c>
      <c r="FI38" s="2227">
        <v>17903.36</v>
      </c>
      <c r="FJ38" s="2227">
        <v>15480.42</v>
      </c>
      <c r="FK38" s="2227">
        <v>27262.6</v>
      </c>
      <c r="FL38" s="2227">
        <v>19682.88</v>
      </c>
      <c r="FM38" s="2227">
        <v>24408.44</v>
      </c>
      <c r="FN38" s="2227">
        <v>22800</v>
      </c>
      <c r="FO38" s="2227">
        <v>28817.74</v>
      </c>
      <c r="FP38" s="2227">
        <v>22459.200000000001</v>
      </c>
      <c r="FQ38" s="2227">
        <v>17925.2</v>
      </c>
      <c r="FR38" s="2227">
        <v>29300</v>
      </c>
      <c r="FS38" s="2227">
        <v>36200</v>
      </c>
      <c r="FT38" s="2227">
        <v>30292.59</v>
      </c>
      <c r="FU38" s="2227">
        <v>24789.42</v>
      </c>
      <c r="FV38" s="2227">
        <v>35250</v>
      </c>
      <c r="FW38" s="2227">
        <v>17905.48</v>
      </c>
      <c r="FX38" s="2227">
        <v>20228.240000000002</v>
      </c>
      <c r="FY38" s="2227">
        <v>16810.330000000002</v>
      </c>
      <c r="FZ38" s="2227">
        <v>22063.68</v>
      </c>
      <c r="GA38" s="2227">
        <v>28946.43</v>
      </c>
      <c r="GB38" s="2227">
        <v>31388.37</v>
      </c>
      <c r="GC38" s="2227">
        <v>17947.62</v>
      </c>
      <c r="GD38" s="2227">
        <v>14084.93</v>
      </c>
      <c r="GE38" s="2227">
        <v>28780.55</v>
      </c>
      <c r="GF38" s="2227">
        <v>29150</v>
      </c>
      <c r="GG38" s="2227">
        <v>45052.27</v>
      </c>
      <c r="GH38" s="2227">
        <v>19682.75</v>
      </c>
      <c r="GI38" s="2227">
        <v>22224.3</v>
      </c>
      <c r="GJ38" s="2227">
        <v>14898.45</v>
      </c>
      <c r="GK38" s="2227">
        <v>18273.39</v>
      </c>
      <c r="GL38" s="2227">
        <v>26279.9</v>
      </c>
      <c r="GM38" s="2227">
        <v>18662.46</v>
      </c>
      <c r="GN38" s="2227">
        <v>21355.98</v>
      </c>
      <c r="GO38" s="2227">
        <v>20414.61</v>
      </c>
      <c r="GP38" s="2227">
        <v>24724.41</v>
      </c>
      <c r="GQ38" s="2227">
        <v>16639.7</v>
      </c>
      <c r="GR38" s="2227">
        <v>15167.61</v>
      </c>
      <c r="GS38" s="2227">
        <v>15909.48</v>
      </c>
      <c r="GT38" s="2227">
        <v>18649.73</v>
      </c>
      <c r="GU38" s="2227">
        <v>22679.62</v>
      </c>
      <c r="GV38" s="2227">
        <v>21788.59</v>
      </c>
      <c r="GW38" s="2227">
        <v>38349.18</v>
      </c>
      <c r="GX38" s="2227">
        <v>40333.050000000003</v>
      </c>
      <c r="GY38" s="2227">
        <v>49443.29</v>
      </c>
      <c r="GZ38" s="2227">
        <v>14591.09</v>
      </c>
      <c r="HA38" s="2227">
        <v>14025.66</v>
      </c>
      <c r="HB38" s="2227">
        <v>19682.88</v>
      </c>
      <c r="HC38" s="2227">
        <v>17935.78</v>
      </c>
      <c r="HD38" s="2227">
        <v>18639.27</v>
      </c>
      <c r="HE38" s="2227">
        <v>25493.52</v>
      </c>
      <c r="HF38" s="2227">
        <v>26550</v>
      </c>
      <c r="HG38" s="2227">
        <v>23723.26</v>
      </c>
      <c r="HH38" s="2227">
        <v>24800</v>
      </c>
      <c r="HI38" s="2227">
        <v>23823</v>
      </c>
      <c r="HJ38" s="2227">
        <v>24408.44</v>
      </c>
      <c r="HK38" s="2227">
        <v>28763.08</v>
      </c>
      <c r="HL38" s="2227">
        <v>40100</v>
      </c>
      <c r="HM38" s="2227">
        <v>19682.87</v>
      </c>
      <c r="HN38" s="2227">
        <v>18740.89</v>
      </c>
      <c r="HO38" s="2227">
        <v>15666.92</v>
      </c>
      <c r="HP38" s="2227">
        <v>23731.39</v>
      </c>
      <c r="HQ38" s="2227">
        <v>28946.43</v>
      </c>
      <c r="HR38" s="2227">
        <v>32500</v>
      </c>
      <c r="HS38" s="2227">
        <v>22806.240000000002</v>
      </c>
      <c r="HT38" s="2227">
        <v>24863.78</v>
      </c>
      <c r="HU38" s="2227">
        <v>33522.1</v>
      </c>
      <c r="HV38" s="2227">
        <v>31744.65</v>
      </c>
      <c r="HW38" s="2227">
        <v>19682.73</v>
      </c>
      <c r="HX38" s="2227">
        <v>18273.66</v>
      </c>
      <c r="HY38" s="2227">
        <v>18448.45</v>
      </c>
      <c r="HZ38" s="2227">
        <v>19374.060000000001</v>
      </c>
      <c r="IA38" s="2227">
        <v>14025.66</v>
      </c>
      <c r="IB38" s="2227">
        <v>19991.37</v>
      </c>
      <c r="IC38" s="2227">
        <v>19454.04</v>
      </c>
      <c r="ID38" s="2227">
        <v>24958.05</v>
      </c>
      <c r="IE38" s="2227">
        <v>23150.880000000001</v>
      </c>
      <c r="IF38" s="2227">
        <v>22729.75</v>
      </c>
      <c r="IG38" s="2227">
        <v>27420.49</v>
      </c>
      <c r="IH38" s="2227">
        <v>22806.25</v>
      </c>
      <c r="II38" s="2227">
        <v>23096.959999999999</v>
      </c>
      <c r="IJ38" s="2227">
        <v>31879.23</v>
      </c>
      <c r="IK38" s="2227">
        <v>23785.54</v>
      </c>
      <c r="IL38" s="2227">
        <v>28074.36</v>
      </c>
      <c r="IM38" s="2227">
        <v>25016.95</v>
      </c>
      <c r="IN38" s="2227">
        <v>35548.06</v>
      </c>
      <c r="IO38" s="2227">
        <v>37060.19</v>
      </c>
      <c r="IP38" s="2227">
        <v>34000</v>
      </c>
      <c r="IQ38" s="2227">
        <v>33522.1</v>
      </c>
      <c r="IR38" s="2227">
        <v>51436.27</v>
      </c>
      <c r="IS38" s="2227">
        <v>33502.629999999997</v>
      </c>
      <c r="IT38" s="2227">
        <v>45116.66</v>
      </c>
      <c r="IU38" s="2227">
        <v>33667.51</v>
      </c>
      <c r="IV38" s="2227">
        <v>23050.69</v>
      </c>
    </row>
    <row r="39" spans="1:256">
      <c r="A39" s="2214">
        <v>30</v>
      </c>
      <c r="B39" s="2925">
        <v>16672.52</v>
      </c>
      <c r="C39" s="2227">
        <v>16522.64</v>
      </c>
      <c r="D39" s="2925">
        <v>15672.52</v>
      </c>
      <c r="E39" s="2227">
        <v>15249.61</v>
      </c>
      <c r="F39" s="2925">
        <v>14672.52</v>
      </c>
      <c r="G39" s="2227">
        <v>14325.66</v>
      </c>
      <c r="H39" s="2926">
        <v>13732</v>
      </c>
      <c r="I39" s="2925">
        <v>23724.12</v>
      </c>
      <c r="J39" s="2925">
        <v>23724.12</v>
      </c>
      <c r="K39" s="2227">
        <v>19800.13</v>
      </c>
      <c r="L39" s="2925">
        <v>20582</v>
      </c>
      <c r="M39" s="2227">
        <v>19800.13</v>
      </c>
      <c r="N39" s="2925">
        <v>20469.07</v>
      </c>
      <c r="O39" s="2925">
        <v>20469.07</v>
      </c>
      <c r="P39" s="2227">
        <v>18362.45</v>
      </c>
      <c r="Q39" s="2925">
        <v>19505.18</v>
      </c>
      <c r="R39" s="2227">
        <v>17903.36</v>
      </c>
      <c r="S39" s="2925">
        <v>18362.45</v>
      </c>
      <c r="T39" s="2925">
        <v>18515.2</v>
      </c>
      <c r="U39" s="2227">
        <v>17903.36</v>
      </c>
      <c r="V39" s="2925">
        <v>18098.810000000001</v>
      </c>
      <c r="W39" s="2227">
        <v>17190.91</v>
      </c>
      <c r="X39" s="2925">
        <v>17509.86</v>
      </c>
      <c r="Y39" s="2925">
        <v>17509.86</v>
      </c>
      <c r="Z39" s="2925">
        <v>16860.759999999998</v>
      </c>
      <c r="AA39" s="2925">
        <v>27167</v>
      </c>
      <c r="AB39" s="2227">
        <v>24457.38</v>
      </c>
      <c r="AC39" s="2925">
        <v>25648.02</v>
      </c>
      <c r="AD39" s="2227">
        <v>23585.82</v>
      </c>
      <c r="AE39" s="2925">
        <v>24148.02</v>
      </c>
      <c r="AF39" s="2227">
        <v>22932.33</v>
      </c>
      <c r="AG39" s="2925">
        <v>22648.02</v>
      </c>
      <c r="AH39" s="2925">
        <v>28044.1</v>
      </c>
      <c r="AI39" s="2925">
        <v>28055.94</v>
      </c>
      <c r="AJ39" s="2227">
        <v>27166.44</v>
      </c>
      <c r="AK39" s="2925">
        <v>27166.44</v>
      </c>
      <c r="AL39" s="2925">
        <v>25932.33</v>
      </c>
      <c r="AM39" s="2227">
        <v>24457.38</v>
      </c>
      <c r="AN39" s="2925">
        <v>24457.38</v>
      </c>
      <c r="AO39" s="2925">
        <v>24432.33</v>
      </c>
      <c r="AP39" s="2227">
        <v>23585.82</v>
      </c>
      <c r="AQ39" s="2925">
        <v>23585.82</v>
      </c>
      <c r="AR39" s="2925">
        <v>22932.33</v>
      </c>
      <c r="AS39" s="2923">
        <v>33124</v>
      </c>
      <c r="AT39" s="2227">
        <v>27576.47</v>
      </c>
      <c r="AU39" s="2923">
        <v>30884</v>
      </c>
      <c r="AV39" s="2227">
        <v>26904.17</v>
      </c>
      <c r="AW39" s="2923">
        <v>27718</v>
      </c>
      <c r="AX39" s="2227">
        <v>24394.45</v>
      </c>
      <c r="AY39" s="2923">
        <v>25218</v>
      </c>
      <c r="AZ39" s="2925">
        <v>33994</v>
      </c>
      <c r="BA39" s="2227">
        <v>29298.21</v>
      </c>
      <c r="BB39" s="2923">
        <v>33124</v>
      </c>
      <c r="BC39" s="2227">
        <v>28698.63</v>
      </c>
      <c r="BD39" s="2925">
        <v>35888.620000000003</v>
      </c>
      <c r="BE39" s="2227">
        <v>32067.71</v>
      </c>
      <c r="BF39" s="2923">
        <v>33124</v>
      </c>
      <c r="BG39" s="2227">
        <v>30592.47</v>
      </c>
      <c r="BH39" s="2925">
        <v>31754</v>
      </c>
      <c r="BI39" s="2227">
        <v>28584.78</v>
      </c>
      <c r="BJ39" s="2923">
        <v>30884</v>
      </c>
      <c r="BK39" s="2227">
        <v>27886.87</v>
      </c>
      <c r="BL39" s="2925">
        <v>32558</v>
      </c>
      <c r="BM39" s="2227">
        <v>31482.54</v>
      </c>
      <c r="BN39" s="2923">
        <v>31046.92</v>
      </c>
      <c r="BO39" s="2227">
        <v>30176.92</v>
      </c>
      <c r="BP39" s="2925">
        <v>28588</v>
      </c>
      <c r="BQ39" s="2227">
        <v>25747.26</v>
      </c>
      <c r="BR39" s="2923">
        <v>27718</v>
      </c>
      <c r="BS39" s="2227">
        <v>26802.639999999999</v>
      </c>
      <c r="BT39" s="2925">
        <v>29558</v>
      </c>
      <c r="BU39" s="2227">
        <v>27517.21</v>
      </c>
      <c r="BV39" s="2923">
        <v>27999.93</v>
      </c>
      <c r="BW39" s="2227">
        <v>26979.93</v>
      </c>
      <c r="BX39" s="2925">
        <v>26088</v>
      </c>
      <c r="BY39" s="2923">
        <v>25218</v>
      </c>
      <c r="BZ39" s="2924">
        <v>26558</v>
      </c>
      <c r="CA39" s="2923">
        <v>25218</v>
      </c>
      <c r="CB39" s="2227">
        <v>66780</v>
      </c>
      <c r="CC39" s="2227">
        <v>63780</v>
      </c>
      <c r="CD39" s="2227">
        <v>60780</v>
      </c>
      <c r="CE39" s="2227">
        <v>58990</v>
      </c>
      <c r="CF39" s="2227">
        <v>55990</v>
      </c>
      <c r="CG39" s="2227">
        <v>52990</v>
      </c>
      <c r="CH39" s="2227">
        <v>51360</v>
      </c>
      <c r="CI39" s="2227">
        <v>48360</v>
      </c>
      <c r="CJ39" s="2227">
        <v>44860</v>
      </c>
      <c r="CK39" s="2227">
        <v>43951.59</v>
      </c>
      <c r="CL39" s="2227">
        <v>41360</v>
      </c>
      <c r="CM39" s="2227">
        <v>38360</v>
      </c>
      <c r="CN39" s="2227">
        <v>35895</v>
      </c>
      <c r="CO39" s="2227">
        <v>33895</v>
      </c>
      <c r="CP39" s="2227">
        <v>22006.560000000001</v>
      </c>
      <c r="CQ39" s="2227">
        <v>13404.34</v>
      </c>
      <c r="CR39" s="2227">
        <v>16763.02</v>
      </c>
      <c r="CS39" s="2227">
        <v>32165.25</v>
      </c>
      <c r="CT39" s="2227">
        <v>20120.02</v>
      </c>
      <c r="CU39" s="2227">
        <v>22902.959999999999</v>
      </c>
      <c r="CV39" s="2227">
        <v>22902.959999999999</v>
      </c>
      <c r="CW39" s="2227">
        <v>22902.959999999999</v>
      </c>
      <c r="CX39" s="2227">
        <v>22902.959999999999</v>
      </c>
      <c r="CY39" s="2227">
        <v>22800</v>
      </c>
      <c r="CZ39" s="2227">
        <v>26542.83</v>
      </c>
      <c r="DA39" s="2227">
        <v>23371.09</v>
      </c>
      <c r="DB39" s="2227">
        <v>23050.69</v>
      </c>
      <c r="DC39" s="2227">
        <v>24457.38</v>
      </c>
      <c r="DD39" s="2227">
        <v>19010.2</v>
      </c>
      <c r="DE39" s="2227">
        <v>22648.02</v>
      </c>
      <c r="DF39" s="2227">
        <v>22498.34</v>
      </c>
      <c r="DG39" s="2227">
        <v>21950</v>
      </c>
      <c r="DH39" s="2227">
        <v>19600</v>
      </c>
      <c r="DI39" s="2227">
        <v>16476.650000000001</v>
      </c>
      <c r="DJ39" s="2227">
        <v>16476.650000000001</v>
      </c>
      <c r="DK39" s="2227">
        <v>20700</v>
      </c>
      <c r="DL39" s="2227">
        <v>24859.06</v>
      </c>
      <c r="DM39" s="2227">
        <v>24800</v>
      </c>
      <c r="DN39" s="2227">
        <v>14129.98</v>
      </c>
      <c r="DO39" s="2227">
        <v>26178.37</v>
      </c>
      <c r="DP39" s="2227">
        <v>17947.62</v>
      </c>
      <c r="DQ39" s="2227">
        <v>34916.480000000003</v>
      </c>
      <c r="DR39" s="2227">
        <v>22932.33</v>
      </c>
      <c r="DS39" s="2227">
        <v>15650</v>
      </c>
      <c r="DT39" s="2227">
        <v>15645.76</v>
      </c>
      <c r="DU39" s="2227">
        <v>15666.92</v>
      </c>
      <c r="DV39" s="2227">
        <v>23585.82</v>
      </c>
      <c r="DW39" s="2227">
        <v>17190.91</v>
      </c>
      <c r="DX39" s="2227">
        <v>26450</v>
      </c>
      <c r="DY39" s="2227">
        <v>18649.73</v>
      </c>
      <c r="DZ39" s="2227">
        <v>26355.66</v>
      </c>
      <c r="EA39" s="2227">
        <v>23878.78</v>
      </c>
      <c r="EB39" s="2227">
        <v>37925.769999999997</v>
      </c>
      <c r="EC39" s="2227">
        <v>24606.06</v>
      </c>
      <c r="ED39" s="2227">
        <v>20451.259999999998</v>
      </c>
      <c r="EE39" s="2227">
        <v>16550</v>
      </c>
      <c r="EF39" s="2227">
        <v>18362.45</v>
      </c>
      <c r="EG39" s="2227">
        <v>19451.080000000002</v>
      </c>
      <c r="EH39" s="2227">
        <v>18691.3</v>
      </c>
      <c r="EI39" s="2227">
        <v>24764.720000000001</v>
      </c>
      <c r="EJ39" s="2227">
        <v>30803.200000000001</v>
      </c>
      <c r="EK39" s="2227">
        <v>22475.61</v>
      </c>
      <c r="EL39" s="2227">
        <v>18691.310000000001</v>
      </c>
      <c r="EM39" s="2227">
        <v>38304.26</v>
      </c>
      <c r="EN39" s="2227">
        <v>26892.94</v>
      </c>
      <c r="EO39" s="2227">
        <v>14888.48</v>
      </c>
      <c r="EP39" s="2227">
        <v>18300</v>
      </c>
      <c r="EQ39" s="2227">
        <v>22283.79</v>
      </c>
      <c r="ER39" s="2227">
        <v>23371.47</v>
      </c>
      <c r="ES39" s="2227">
        <v>20382.759999999998</v>
      </c>
      <c r="ET39" s="2227">
        <v>15249.61</v>
      </c>
      <c r="EU39" s="2227">
        <v>23128.53</v>
      </c>
      <c r="EV39" s="2227">
        <v>25212.13</v>
      </c>
      <c r="EW39" s="2227">
        <v>22741.98</v>
      </c>
      <c r="EX39" s="2227">
        <v>22284.13</v>
      </c>
      <c r="EY39" s="2227">
        <v>23350</v>
      </c>
      <c r="EZ39" s="2227">
        <v>33887.15</v>
      </c>
      <c r="FA39" s="2227">
        <v>18273.66</v>
      </c>
      <c r="FB39" s="2227">
        <v>16076.06</v>
      </c>
      <c r="FC39" s="2227">
        <v>36200</v>
      </c>
      <c r="FD39" s="2227">
        <v>34000</v>
      </c>
      <c r="FE39" s="2227">
        <v>42638.83</v>
      </c>
      <c r="FF39" s="2227">
        <v>15000</v>
      </c>
      <c r="FG39" s="2227">
        <v>29552.65</v>
      </c>
      <c r="FH39" s="2227">
        <v>21368.47</v>
      </c>
      <c r="FI39" s="2227">
        <v>17903.36</v>
      </c>
      <c r="FJ39" s="2227">
        <v>15480.42</v>
      </c>
      <c r="FK39" s="2227">
        <v>27262.6</v>
      </c>
      <c r="FL39" s="2227">
        <v>19682.88</v>
      </c>
      <c r="FM39" s="2227">
        <v>24408.44</v>
      </c>
      <c r="FN39" s="2227">
        <v>22800</v>
      </c>
      <c r="FO39" s="2227">
        <v>28817.74</v>
      </c>
      <c r="FP39" s="2227">
        <v>22459.200000000001</v>
      </c>
      <c r="FQ39" s="2227">
        <v>17925.2</v>
      </c>
      <c r="FR39" s="2227">
        <v>29300</v>
      </c>
      <c r="FS39" s="2227">
        <v>36200</v>
      </c>
      <c r="FT39" s="2227">
        <v>30292.59</v>
      </c>
      <c r="FU39" s="2227">
        <v>24789.42</v>
      </c>
      <c r="FV39" s="2227">
        <v>35250</v>
      </c>
      <c r="FW39" s="2227">
        <v>17905.48</v>
      </c>
      <c r="FX39" s="2227">
        <v>20228.240000000002</v>
      </c>
      <c r="FY39" s="2227">
        <v>16810.330000000002</v>
      </c>
      <c r="FZ39" s="2227">
        <v>22063.68</v>
      </c>
      <c r="GA39" s="2227">
        <v>28946.43</v>
      </c>
      <c r="GB39" s="2227">
        <v>31388.37</v>
      </c>
      <c r="GC39" s="2227">
        <v>17947.62</v>
      </c>
      <c r="GD39" s="2227">
        <v>14084.93</v>
      </c>
      <c r="GE39" s="2227">
        <v>28780.55</v>
      </c>
      <c r="GF39" s="2227">
        <v>29150</v>
      </c>
      <c r="GG39" s="2227">
        <v>45052.27</v>
      </c>
      <c r="GH39" s="2227">
        <v>19682.75</v>
      </c>
      <c r="GI39" s="2227">
        <v>22224.3</v>
      </c>
      <c r="GJ39" s="2227">
        <v>14898.45</v>
      </c>
      <c r="GK39" s="2227">
        <v>18273.39</v>
      </c>
      <c r="GL39" s="2227">
        <v>26279.9</v>
      </c>
      <c r="GM39" s="2227">
        <v>18662.46</v>
      </c>
      <c r="GN39" s="2227">
        <v>21355.98</v>
      </c>
      <c r="GO39" s="2227">
        <v>20414.61</v>
      </c>
      <c r="GP39" s="2227">
        <v>24724.41</v>
      </c>
      <c r="GQ39" s="2227">
        <v>16639.7</v>
      </c>
      <c r="GR39" s="2227">
        <v>15167.61</v>
      </c>
      <c r="GS39" s="2227">
        <v>15909.48</v>
      </c>
      <c r="GT39" s="2227">
        <v>18649.73</v>
      </c>
      <c r="GU39" s="2227">
        <v>22679.62</v>
      </c>
      <c r="GV39" s="2227">
        <v>21788.59</v>
      </c>
      <c r="GW39" s="2227">
        <v>38349.18</v>
      </c>
      <c r="GX39" s="2227">
        <v>40333.050000000003</v>
      </c>
      <c r="GY39" s="2227">
        <v>49443.29</v>
      </c>
      <c r="GZ39" s="2227">
        <v>14591.09</v>
      </c>
      <c r="HA39" s="2227">
        <v>14025.66</v>
      </c>
      <c r="HB39" s="2227">
        <v>19682.88</v>
      </c>
      <c r="HC39" s="2227">
        <v>17935.78</v>
      </c>
      <c r="HD39" s="2227">
        <v>18639.27</v>
      </c>
      <c r="HE39" s="2227">
        <v>25493.52</v>
      </c>
      <c r="HF39" s="2227">
        <v>26550</v>
      </c>
      <c r="HG39" s="2227">
        <v>23723.26</v>
      </c>
      <c r="HH39" s="2227">
        <v>24800</v>
      </c>
      <c r="HI39" s="2227">
        <v>23823</v>
      </c>
      <c r="HJ39" s="2227">
        <v>24408.44</v>
      </c>
      <c r="HK39" s="2227">
        <v>28763.08</v>
      </c>
      <c r="HL39" s="2227">
        <v>40100</v>
      </c>
      <c r="HM39" s="2227">
        <v>19682.87</v>
      </c>
      <c r="HN39" s="2227">
        <v>18740.89</v>
      </c>
      <c r="HO39" s="2227">
        <v>15666.92</v>
      </c>
      <c r="HP39" s="2227">
        <v>23731.39</v>
      </c>
      <c r="HQ39" s="2227">
        <v>28946.43</v>
      </c>
      <c r="HR39" s="2227">
        <v>32500</v>
      </c>
      <c r="HS39" s="2227">
        <v>22806.240000000002</v>
      </c>
      <c r="HT39" s="2227">
        <v>24863.78</v>
      </c>
      <c r="HU39" s="2227">
        <v>33522.1</v>
      </c>
      <c r="HV39" s="2227">
        <v>31744.65</v>
      </c>
      <c r="HW39" s="2227">
        <v>19682.73</v>
      </c>
      <c r="HX39" s="2227">
        <v>18273.66</v>
      </c>
      <c r="HY39" s="2227">
        <v>18448.45</v>
      </c>
      <c r="HZ39" s="2227">
        <v>19374.060000000001</v>
      </c>
      <c r="IA39" s="2227">
        <v>14025.66</v>
      </c>
      <c r="IB39" s="2227">
        <v>19991.37</v>
      </c>
      <c r="IC39" s="2227">
        <v>19454.04</v>
      </c>
      <c r="ID39" s="2227">
        <v>24958.05</v>
      </c>
      <c r="IE39" s="2227">
        <v>23150.880000000001</v>
      </c>
      <c r="IF39" s="2227">
        <v>22729.75</v>
      </c>
      <c r="IG39" s="2227">
        <v>27420.49</v>
      </c>
      <c r="IH39" s="2227">
        <v>22806.25</v>
      </c>
      <c r="II39" s="2227">
        <v>23096.959999999999</v>
      </c>
      <c r="IJ39" s="2227">
        <v>31879.23</v>
      </c>
      <c r="IK39" s="2227">
        <v>23785.54</v>
      </c>
      <c r="IL39" s="2227">
        <v>28074.36</v>
      </c>
      <c r="IM39" s="2227">
        <v>25016.95</v>
      </c>
      <c r="IN39" s="2227">
        <v>35548.06</v>
      </c>
      <c r="IO39" s="2227">
        <v>37060.19</v>
      </c>
      <c r="IP39" s="2227">
        <v>34000</v>
      </c>
      <c r="IQ39" s="2227">
        <v>33522.1</v>
      </c>
      <c r="IR39" s="2227">
        <v>51436.27</v>
      </c>
      <c r="IS39" s="2227">
        <v>33502.629999999997</v>
      </c>
      <c r="IT39" s="2227">
        <v>45116.66</v>
      </c>
      <c r="IU39" s="2227">
        <v>33667.51</v>
      </c>
      <c r="IV39" s="2227">
        <v>23050.69</v>
      </c>
    </row>
    <row r="40" spans="1:256">
      <c r="A40" s="2214">
        <v>31</v>
      </c>
      <c r="B40" s="2925">
        <v>16672.52</v>
      </c>
      <c r="C40" s="2227">
        <v>16522.64</v>
      </c>
      <c r="D40" s="2925">
        <v>15672.52</v>
      </c>
      <c r="E40" s="2227">
        <v>15249.61</v>
      </c>
      <c r="F40" s="2925">
        <v>14672.52</v>
      </c>
      <c r="G40" s="2227">
        <v>14325.66</v>
      </c>
      <c r="H40" s="2926">
        <v>13732</v>
      </c>
      <c r="I40" s="2925">
        <v>23724.12</v>
      </c>
      <c r="J40" s="2925">
        <v>23724.12</v>
      </c>
      <c r="K40" s="2227">
        <v>19800.13</v>
      </c>
      <c r="L40" s="2925">
        <v>20582</v>
      </c>
      <c r="M40" s="2227">
        <v>19800.13</v>
      </c>
      <c r="N40" s="2925">
        <v>20469.07</v>
      </c>
      <c r="O40" s="2925">
        <v>20469.07</v>
      </c>
      <c r="P40" s="2227">
        <v>18362.45</v>
      </c>
      <c r="Q40" s="2925">
        <v>19505.18</v>
      </c>
      <c r="R40" s="2227">
        <v>17903.36</v>
      </c>
      <c r="S40" s="2925">
        <v>18362.45</v>
      </c>
      <c r="T40" s="2925">
        <v>18515.2</v>
      </c>
      <c r="U40" s="2227">
        <v>17903.36</v>
      </c>
      <c r="V40" s="2925">
        <v>18098.810000000001</v>
      </c>
      <c r="W40" s="2227">
        <v>17190.91</v>
      </c>
      <c r="X40" s="2925">
        <v>17509.86</v>
      </c>
      <c r="Y40" s="2925">
        <v>17509.86</v>
      </c>
      <c r="Z40" s="2925">
        <v>16860.759999999998</v>
      </c>
      <c r="AA40" s="2925">
        <v>27167</v>
      </c>
      <c r="AB40" s="2227">
        <v>24457.38</v>
      </c>
      <c r="AC40" s="2925">
        <v>25648.02</v>
      </c>
      <c r="AD40" s="2227">
        <v>23585.82</v>
      </c>
      <c r="AE40" s="2925">
        <v>24148.02</v>
      </c>
      <c r="AF40" s="2227">
        <v>22932.33</v>
      </c>
      <c r="AG40" s="2925">
        <v>22648.02</v>
      </c>
      <c r="AH40" s="2925">
        <v>28044.1</v>
      </c>
      <c r="AI40" s="2925">
        <v>28055.94</v>
      </c>
      <c r="AJ40" s="2227">
        <v>27166.44</v>
      </c>
      <c r="AK40" s="2925">
        <v>27166.44</v>
      </c>
      <c r="AL40" s="2925">
        <v>25932.33</v>
      </c>
      <c r="AM40" s="2227">
        <v>24457.38</v>
      </c>
      <c r="AN40" s="2925">
        <v>24457.38</v>
      </c>
      <c r="AO40" s="2925">
        <v>24432.33</v>
      </c>
      <c r="AP40" s="2227">
        <v>23585.82</v>
      </c>
      <c r="AQ40" s="2925">
        <v>23585.82</v>
      </c>
      <c r="AR40" s="2925">
        <v>22932.33</v>
      </c>
      <c r="AS40" s="2923">
        <v>33124</v>
      </c>
      <c r="AT40" s="2227">
        <v>27576.47</v>
      </c>
      <c r="AU40" s="2923">
        <v>30884</v>
      </c>
      <c r="AV40" s="2227">
        <v>26904.17</v>
      </c>
      <c r="AW40" s="2923">
        <v>27718</v>
      </c>
      <c r="AX40" s="2227">
        <v>24394.45</v>
      </c>
      <c r="AY40" s="2923">
        <v>25218</v>
      </c>
      <c r="AZ40" s="2925">
        <v>33994</v>
      </c>
      <c r="BA40" s="2227">
        <v>29298.21</v>
      </c>
      <c r="BB40" s="2923">
        <v>33124</v>
      </c>
      <c r="BC40" s="2227">
        <v>28698.63</v>
      </c>
      <c r="BD40" s="2925">
        <v>35888.620000000003</v>
      </c>
      <c r="BE40" s="2227">
        <v>32067.71</v>
      </c>
      <c r="BF40" s="2923">
        <v>33124</v>
      </c>
      <c r="BG40" s="2227">
        <v>30592.47</v>
      </c>
      <c r="BH40" s="2925">
        <v>31754</v>
      </c>
      <c r="BI40" s="2227">
        <v>28584.78</v>
      </c>
      <c r="BJ40" s="2923">
        <v>30884</v>
      </c>
      <c r="BK40" s="2227">
        <v>27886.87</v>
      </c>
      <c r="BL40" s="2925">
        <v>32558</v>
      </c>
      <c r="BM40" s="2227">
        <v>31482.54</v>
      </c>
      <c r="BN40" s="2923">
        <v>31046.92</v>
      </c>
      <c r="BO40" s="2227">
        <v>30176.92</v>
      </c>
      <c r="BP40" s="2925">
        <v>28588</v>
      </c>
      <c r="BQ40" s="2227">
        <v>25747.26</v>
      </c>
      <c r="BR40" s="2923">
        <v>27718</v>
      </c>
      <c r="BS40" s="2227">
        <v>26802.639999999999</v>
      </c>
      <c r="BT40" s="2925">
        <v>29558</v>
      </c>
      <c r="BU40" s="2227">
        <v>27517.21</v>
      </c>
      <c r="BV40" s="2923">
        <v>27999.93</v>
      </c>
      <c r="BW40" s="2227">
        <v>26979.93</v>
      </c>
      <c r="BX40" s="2925">
        <v>26088</v>
      </c>
      <c r="BY40" s="2923">
        <v>25218</v>
      </c>
      <c r="BZ40" s="2924">
        <v>26558</v>
      </c>
      <c r="CA40" s="2923">
        <v>25218</v>
      </c>
      <c r="CB40" s="2227">
        <v>66780</v>
      </c>
      <c r="CC40" s="2227">
        <v>63780</v>
      </c>
      <c r="CD40" s="2227">
        <v>60780</v>
      </c>
      <c r="CE40" s="2227">
        <v>58990</v>
      </c>
      <c r="CF40" s="2227">
        <v>55990</v>
      </c>
      <c r="CG40" s="2227">
        <v>52990</v>
      </c>
      <c r="CH40" s="2227">
        <v>51360</v>
      </c>
      <c r="CI40" s="2227">
        <v>48360</v>
      </c>
      <c r="CJ40" s="2227">
        <v>44860</v>
      </c>
      <c r="CK40" s="2227">
        <v>43951.59</v>
      </c>
      <c r="CL40" s="2227">
        <v>41360</v>
      </c>
      <c r="CM40" s="2227">
        <v>38360</v>
      </c>
      <c r="CN40" s="2227">
        <v>35895</v>
      </c>
      <c r="CO40" s="2227">
        <v>33895</v>
      </c>
      <c r="CP40" s="2227">
        <v>22006.560000000001</v>
      </c>
      <c r="CQ40" s="2227">
        <v>13404.34</v>
      </c>
      <c r="CR40" s="2227">
        <v>16763.02</v>
      </c>
      <c r="CS40" s="2227">
        <v>32165.25</v>
      </c>
      <c r="CT40" s="2227">
        <v>20469.07</v>
      </c>
      <c r="CU40" s="2227">
        <v>22902.959999999999</v>
      </c>
      <c r="CV40" s="2227">
        <v>22902.959999999999</v>
      </c>
      <c r="CW40" s="2227">
        <v>22902.959999999999</v>
      </c>
      <c r="CX40" s="2227">
        <v>22902.959999999999</v>
      </c>
      <c r="CY40" s="2227">
        <v>22800</v>
      </c>
      <c r="CZ40" s="2227">
        <v>27166.44</v>
      </c>
      <c r="DA40" s="2227">
        <v>23724.12</v>
      </c>
      <c r="DB40" s="2227">
        <v>23050.69</v>
      </c>
      <c r="DC40" s="2227">
        <v>24457.38</v>
      </c>
      <c r="DD40" s="2227">
        <v>19010.2</v>
      </c>
      <c r="DE40" s="2227">
        <v>22648.02</v>
      </c>
      <c r="DF40" s="2227">
        <v>22498.34</v>
      </c>
      <c r="DG40" s="2227">
        <v>21950</v>
      </c>
      <c r="DH40" s="2227">
        <v>19600</v>
      </c>
      <c r="DI40" s="2227">
        <v>16476.650000000001</v>
      </c>
      <c r="DJ40" s="2227">
        <v>16476.650000000001</v>
      </c>
      <c r="DK40" s="2227">
        <v>20700</v>
      </c>
      <c r="DL40" s="2227">
        <v>24859.06</v>
      </c>
      <c r="DM40" s="2227">
        <v>24800</v>
      </c>
      <c r="DN40" s="2227">
        <v>14129.98</v>
      </c>
      <c r="DO40" s="2227">
        <v>26802.639999999999</v>
      </c>
      <c r="DP40" s="2227">
        <v>17947.62</v>
      </c>
      <c r="DQ40" s="2227">
        <v>34916.480000000003</v>
      </c>
      <c r="DR40" s="2227">
        <v>22932.33</v>
      </c>
      <c r="DS40" s="2227">
        <v>15650</v>
      </c>
      <c r="DT40" s="2227">
        <v>15645.76</v>
      </c>
      <c r="DU40" s="2227">
        <v>15666.92</v>
      </c>
      <c r="DV40" s="2227">
        <v>23585.82</v>
      </c>
      <c r="DW40" s="2227">
        <v>17190.91</v>
      </c>
      <c r="DX40" s="2227">
        <v>26450</v>
      </c>
      <c r="DY40" s="2227">
        <v>18649.73</v>
      </c>
      <c r="DZ40" s="2227">
        <v>26979.93</v>
      </c>
      <c r="EA40" s="2227">
        <v>23878.78</v>
      </c>
      <c r="EB40" s="2227">
        <v>37925.769999999997</v>
      </c>
      <c r="EC40" s="2227">
        <v>24606.06</v>
      </c>
      <c r="ED40" s="2227">
        <v>20451.259999999998</v>
      </c>
      <c r="EE40" s="2227">
        <v>16550</v>
      </c>
      <c r="EF40" s="2227">
        <v>18362.45</v>
      </c>
      <c r="EG40" s="2227">
        <v>19800.13</v>
      </c>
      <c r="EH40" s="2227">
        <v>18691.3</v>
      </c>
      <c r="EI40" s="2227">
        <v>24764.720000000001</v>
      </c>
      <c r="EJ40" s="2227">
        <v>31482.54</v>
      </c>
      <c r="EK40" s="2227">
        <v>22475.61</v>
      </c>
      <c r="EL40" s="2227">
        <v>18691.310000000001</v>
      </c>
      <c r="EM40" s="2227">
        <v>38304.26</v>
      </c>
      <c r="EN40" s="2227">
        <v>27517.21</v>
      </c>
      <c r="EO40" s="2227">
        <v>14888.48</v>
      </c>
      <c r="EP40" s="2227">
        <v>18300</v>
      </c>
      <c r="EQ40" s="2227">
        <v>22283.79</v>
      </c>
      <c r="ER40" s="2227">
        <v>23371.47</v>
      </c>
      <c r="ES40" s="2227">
        <v>20382.759999999998</v>
      </c>
      <c r="ET40" s="2227">
        <v>15249.61</v>
      </c>
      <c r="EU40" s="2227">
        <v>23128.53</v>
      </c>
      <c r="EV40" s="2227">
        <v>25212.13</v>
      </c>
      <c r="EW40" s="2227">
        <v>22741.98</v>
      </c>
      <c r="EX40" s="2227">
        <v>22284.13</v>
      </c>
      <c r="EY40" s="2227">
        <v>23350</v>
      </c>
      <c r="EZ40" s="2227">
        <v>33887.15</v>
      </c>
      <c r="FA40" s="2227">
        <v>18273.66</v>
      </c>
      <c r="FB40" s="2227">
        <v>16076.06</v>
      </c>
      <c r="FC40" s="2227">
        <v>36200</v>
      </c>
      <c r="FD40" s="2227">
        <v>34000</v>
      </c>
      <c r="FE40" s="2227">
        <v>42638.83</v>
      </c>
      <c r="FF40" s="2227">
        <v>15000</v>
      </c>
      <c r="FG40" s="2227">
        <v>30176.92</v>
      </c>
      <c r="FH40" s="2227">
        <v>21368.47</v>
      </c>
      <c r="FI40" s="2227">
        <v>17903.36</v>
      </c>
      <c r="FJ40" s="2227">
        <v>15480.42</v>
      </c>
      <c r="FK40" s="2227">
        <v>27886.87</v>
      </c>
      <c r="FL40" s="2227">
        <v>19682.88</v>
      </c>
      <c r="FM40" s="2227">
        <v>24408.44</v>
      </c>
      <c r="FN40" s="2227">
        <v>22800</v>
      </c>
      <c r="FO40" s="2227">
        <v>28817.74</v>
      </c>
      <c r="FP40" s="2227">
        <v>22459.200000000001</v>
      </c>
      <c r="FQ40" s="2227">
        <v>17925.2</v>
      </c>
      <c r="FR40" s="2227">
        <v>29300</v>
      </c>
      <c r="FS40" s="2227">
        <v>36200</v>
      </c>
      <c r="FT40" s="2227">
        <v>30292.59</v>
      </c>
      <c r="FU40" s="2227">
        <v>24789.42</v>
      </c>
      <c r="FV40" s="2227">
        <v>35250</v>
      </c>
      <c r="FW40" s="2227">
        <v>17905.48</v>
      </c>
      <c r="FX40" s="2227">
        <v>20228.240000000002</v>
      </c>
      <c r="FY40" s="2227">
        <v>16810.330000000002</v>
      </c>
      <c r="FZ40" s="2227">
        <v>22063.68</v>
      </c>
      <c r="GA40" s="2227">
        <v>28946.43</v>
      </c>
      <c r="GB40" s="2227">
        <v>32067.71</v>
      </c>
      <c r="GC40" s="2227">
        <v>17947.62</v>
      </c>
      <c r="GD40" s="2227">
        <v>14084.93</v>
      </c>
      <c r="GE40" s="2227">
        <v>28780.55</v>
      </c>
      <c r="GF40" s="2227">
        <v>29150</v>
      </c>
      <c r="GG40" s="2227">
        <v>45052.27</v>
      </c>
      <c r="GH40" s="2227">
        <v>19682.75</v>
      </c>
      <c r="GI40" s="2227">
        <v>22224.3</v>
      </c>
      <c r="GJ40" s="2227">
        <v>14898.45</v>
      </c>
      <c r="GK40" s="2227">
        <v>18273.39</v>
      </c>
      <c r="GL40" s="2227">
        <v>26904.17</v>
      </c>
      <c r="GM40" s="2227">
        <v>18662.46</v>
      </c>
      <c r="GN40" s="2227">
        <v>21355.98</v>
      </c>
      <c r="GO40" s="2227">
        <v>20414.61</v>
      </c>
      <c r="GP40" s="2227">
        <v>24724.41</v>
      </c>
      <c r="GQ40" s="2227">
        <v>16639.7</v>
      </c>
      <c r="GR40" s="2227">
        <v>15167.61</v>
      </c>
      <c r="GS40" s="2227">
        <v>15909.48</v>
      </c>
      <c r="GT40" s="2227">
        <v>18649.73</v>
      </c>
      <c r="GU40" s="2227">
        <v>22679.62</v>
      </c>
      <c r="GV40" s="2227">
        <v>21788.59</v>
      </c>
      <c r="GW40" s="2227">
        <v>38349.18</v>
      </c>
      <c r="GX40" s="2227">
        <v>40333.050000000003</v>
      </c>
      <c r="GY40" s="2227">
        <v>49443.29</v>
      </c>
      <c r="GZ40" s="2227">
        <v>14591.09</v>
      </c>
      <c r="HA40" s="2227">
        <v>14025.66</v>
      </c>
      <c r="HB40" s="2227">
        <v>19682.88</v>
      </c>
      <c r="HC40" s="2227">
        <v>17935.78</v>
      </c>
      <c r="HD40" s="2227">
        <v>18639.27</v>
      </c>
      <c r="HE40" s="2227">
        <v>25493.52</v>
      </c>
      <c r="HF40" s="2227">
        <v>26550</v>
      </c>
      <c r="HG40" s="2227">
        <v>23723.26</v>
      </c>
      <c r="HH40" s="2227">
        <v>24800</v>
      </c>
      <c r="HI40" s="2227">
        <v>23823</v>
      </c>
      <c r="HJ40" s="2227">
        <v>24408.44</v>
      </c>
      <c r="HK40" s="2227">
        <v>29298.21</v>
      </c>
      <c r="HL40" s="2227">
        <v>40100</v>
      </c>
      <c r="HM40" s="2227">
        <v>19682.87</v>
      </c>
      <c r="HN40" s="2227">
        <v>18740.89</v>
      </c>
      <c r="HO40" s="2227">
        <v>15666.92</v>
      </c>
      <c r="HP40" s="2227">
        <v>23731.39</v>
      </c>
      <c r="HQ40" s="2227">
        <v>28946.43</v>
      </c>
      <c r="HR40" s="2227">
        <v>32500</v>
      </c>
      <c r="HS40" s="2227">
        <v>22806.240000000002</v>
      </c>
      <c r="HT40" s="2227">
        <v>24863.78</v>
      </c>
      <c r="HU40" s="2227">
        <v>33522.1</v>
      </c>
      <c r="HV40" s="2227">
        <v>31744.65</v>
      </c>
      <c r="HW40" s="2227">
        <v>19682.73</v>
      </c>
      <c r="HX40" s="2227">
        <v>18273.66</v>
      </c>
      <c r="HY40" s="2227">
        <v>18448.45</v>
      </c>
      <c r="HZ40" s="2227">
        <v>19374.060000000001</v>
      </c>
      <c r="IA40" s="2227">
        <v>14025.66</v>
      </c>
      <c r="IB40" s="2227">
        <v>19991.37</v>
      </c>
      <c r="IC40" s="2227">
        <v>19792.05</v>
      </c>
      <c r="ID40" s="2227">
        <v>24958.05</v>
      </c>
      <c r="IE40" s="2227">
        <v>23150.880000000001</v>
      </c>
      <c r="IF40" s="2227">
        <v>22729.75</v>
      </c>
      <c r="IG40" s="2227">
        <v>28044.1</v>
      </c>
      <c r="IH40" s="2227">
        <v>22806.25</v>
      </c>
      <c r="II40" s="2227">
        <v>23096.959999999999</v>
      </c>
      <c r="IJ40" s="2227">
        <v>31879.23</v>
      </c>
      <c r="IK40" s="2227">
        <v>23785.54</v>
      </c>
      <c r="IL40" s="2227">
        <v>28698.63</v>
      </c>
      <c r="IM40" s="2227">
        <v>25016.95</v>
      </c>
      <c r="IN40" s="2227">
        <v>35548.06</v>
      </c>
      <c r="IO40" s="2227">
        <v>37060.19</v>
      </c>
      <c r="IP40" s="2227">
        <v>34000</v>
      </c>
      <c r="IQ40" s="2227">
        <v>33522.1</v>
      </c>
      <c r="IR40" s="2227">
        <v>51436.27</v>
      </c>
      <c r="IS40" s="2227">
        <v>33502.629999999997</v>
      </c>
      <c r="IT40" s="2227">
        <v>45116.66</v>
      </c>
      <c r="IU40" s="2227">
        <v>33667.51</v>
      </c>
      <c r="IV40" s="2227">
        <v>23050.69</v>
      </c>
    </row>
    <row r="41" spans="1:256">
      <c r="A41" s="2214">
        <v>32</v>
      </c>
      <c r="B41" s="2925">
        <v>16672.52</v>
      </c>
      <c r="C41" s="2227">
        <v>16522.64</v>
      </c>
      <c r="D41" s="2925">
        <v>15672.52</v>
      </c>
      <c r="E41" s="2227">
        <v>15249.61</v>
      </c>
      <c r="F41" s="2925">
        <v>14672.52</v>
      </c>
      <c r="G41" s="2227">
        <v>14325.66</v>
      </c>
      <c r="H41" s="2926">
        <v>13732</v>
      </c>
      <c r="I41" s="2925">
        <v>23724.12</v>
      </c>
      <c r="J41" s="2925">
        <v>23724.12</v>
      </c>
      <c r="K41" s="2227">
        <v>19800.13</v>
      </c>
      <c r="L41" s="2925">
        <v>20582</v>
      </c>
      <c r="M41" s="2227">
        <v>19800.13</v>
      </c>
      <c r="N41" s="2925">
        <v>20469.07</v>
      </c>
      <c r="O41" s="2925">
        <v>20469.07</v>
      </c>
      <c r="P41" s="2227">
        <v>18362.45</v>
      </c>
      <c r="Q41" s="2925">
        <v>19505.18</v>
      </c>
      <c r="R41" s="2227">
        <v>17903.36</v>
      </c>
      <c r="S41" s="2925">
        <v>18362.45</v>
      </c>
      <c r="T41" s="2925">
        <v>18515.2</v>
      </c>
      <c r="U41" s="2227">
        <v>17903.36</v>
      </c>
      <c r="V41" s="2925">
        <v>18098.810000000001</v>
      </c>
      <c r="W41" s="2227">
        <v>17190.91</v>
      </c>
      <c r="X41" s="2925">
        <v>17509.86</v>
      </c>
      <c r="Y41" s="2925">
        <v>17509.86</v>
      </c>
      <c r="Z41" s="2925">
        <v>16860.759999999998</v>
      </c>
      <c r="AA41" s="2925">
        <v>27167</v>
      </c>
      <c r="AB41" s="2227">
        <v>24457.38</v>
      </c>
      <c r="AC41" s="2925">
        <v>25648.02</v>
      </c>
      <c r="AD41" s="2227">
        <v>23585.82</v>
      </c>
      <c r="AE41" s="2925">
        <v>24148.02</v>
      </c>
      <c r="AF41" s="2227">
        <v>22932.33</v>
      </c>
      <c r="AG41" s="2925">
        <v>22648.02</v>
      </c>
      <c r="AH41" s="2925">
        <v>28044.1</v>
      </c>
      <c r="AI41" s="2925">
        <v>28055.94</v>
      </c>
      <c r="AJ41" s="2227">
        <v>27166.44</v>
      </c>
      <c r="AK41" s="2925">
        <v>27166.44</v>
      </c>
      <c r="AL41" s="2925">
        <v>25932.33</v>
      </c>
      <c r="AM41" s="2227">
        <v>24457.38</v>
      </c>
      <c r="AN41" s="2925">
        <v>24457.38</v>
      </c>
      <c r="AO41" s="2925">
        <v>24432.33</v>
      </c>
      <c r="AP41" s="2227">
        <v>23585.82</v>
      </c>
      <c r="AQ41" s="2925">
        <v>23585.82</v>
      </c>
      <c r="AR41" s="2925">
        <v>22932.33</v>
      </c>
      <c r="AS41" s="2923">
        <v>33124</v>
      </c>
      <c r="AT41" s="2227">
        <v>27576.47</v>
      </c>
      <c r="AU41" s="2923">
        <v>30884</v>
      </c>
      <c r="AV41" s="2227">
        <v>26904.17</v>
      </c>
      <c r="AW41" s="2923">
        <v>27718</v>
      </c>
      <c r="AX41" s="2227">
        <v>24394.45</v>
      </c>
      <c r="AY41" s="2923">
        <v>25218</v>
      </c>
      <c r="AZ41" s="2925">
        <v>33994</v>
      </c>
      <c r="BA41" s="2227">
        <v>29298.21</v>
      </c>
      <c r="BB41" s="2923">
        <v>33124</v>
      </c>
      <c r="BC41" s="2227">
        <v>28698.63</v>
      </c>
      <c r="BD41" s="2925">
        <v>35888.620000000003</v>
      </c>
      <c r="BE41" s="2227">
        <v>32067.71</v>
      </c>
      <c r="BF41" s="2923">
        <v>33124</v>
      </c>
      <c r="BG41" s="2227">
        <v>30592.47</v>
      </c>
      <c r="BH41" s="2925">
        <v>31754</v>
      </c>
      <c r="BI41" s="2227">
        <v>28584.78</v>
      </c>
      <c r="BJ41" s="2923">
        <v>30884</v>
      </c>
      <c r="BK41" s="2227">
        <v>27886.87</v>
      </c>
      <c r="BL41" s="2925">
        <v>32558</v>
      </c>
      <c r="BM41" s="2227">
        <v>31482.54</v>
      </c>
      <c r="BN41" s="2923">
        <v>31046.92</v>
      </c>
      <c r="BO41" s="2227">
        <v>30176.92</v>
      </c>
      <c r="BP41" s="2925">
        <v>28588</v>
      </c>
      <c r="BQ41" s="2227">
        <v>25747.26</v>
      </c>
      <c r="BR41" s="2923">
        <v>27718</v>
      </c>
      <c r="BS41" s="2227">
        <v>26802.639999999999</v>
      </c>
      <c r="BT41" s="2925">
        <v>29558</v>
      </c>
      <c r="BU41" s="2227">
        <v>27517.21</v>
      </c>
      <c r="BV41" s="2923">
        <v>27999.93</v>
      </c>
      <c r="BW41" s="2227">
        <v>26979.93</v>
      </c>
      <c r="BX41" s="2925">
        <v>26088</v>
      </c>
      <c r="BY41" s="2923">
        <v>25218</v>
      </c>
      <c r="BZ41" s="2924">
        <v>26558</v>
      </c>
      <c r="CA41" s="2923">
        <v>25218</v>
      </c>
      <c r="CB41" s="2227">
        <v>66780</v>
      </c>
      <c r="CC41" s="2227">
        <v>63780</v>
      </c>
      <c r="CD41" s="2227">
        <v>60780</v>
      </c>
      <c r="CE41" s="2227">
        <v>58990</v>
      </c>
      <c r="CF41" s="2227">
        <v>55990</v>
      </c>
      <c r="CG41" s="2227">
        <v>52990</v>
      </c>
      <c r="CH41" s="2227">
        <v>51360</v>
      </c>
      <c r="CI41" s="2227">
        <v>48360</v>
      </c>
      <c r="CJ41" s="2227">
        <v>44860</v>
      </c>
      <c r="CK41" s="2227">
        <v>43951.59</v>
      </c>
      <c r="CL41" s="2227">
        <v>41360</v>
      </c>
      <c r="CM41" s="2227">
        <v>38360</v>
      </c>
      <c r="CN41" s="2227">
        <v>35895</v>
      </c>
      <c r="CO41" s="2227">
        <v>33895</v>
      </c>
      <c r="CP41" s="2227">
        <v>22006.560000000001</v>
      </c>
      <c r="CQ41" s="2227">
        <v>13404.34</v>
      </c>
      <c r="CR41" s="2227">
        <v>16763.02</v>
      </c>
      <c r="CS41" s="2227">
        <v>32165.25</v>
      </c>
      <c r="CT41" s="2227">
        <v>20469.07</v>
      </c>
      <c r="CU41" s="2227">
        <v>22902.959999999999</v>
      </c>
      <c r="CV41" s="2227">
        <v>22902.959999999999</v>
      </c>
      <c r="CW41" s="2227">
        <v>22902.959999999999</v>
      </c>
      <c r="CX41" s="2227">
        <v>22902.959999999999</v>
      </c>
      <c r="CY41" s="2227">
        <v>22800</v>
      </c>
      <c r="CZ41" s="2227">
        <v>27166.44</v>
      </c>
      <c r="DA41" s="2227">
        <v>23724.12</v>
      </c>
      <c r="DB41" s="2227">
        <v>23050.69</v>
      </c>
      <c r="DC41" s="2227">
        <v>24457.38</v>
      </c>
      <c r="DD41" s="2227">
        <v>19010.2</v>
      </c>
      <c r="DE41" s="2227">
        <v>22648.02</v>
      </c>
      <c r="DF41" s="2227">
        <v>22498.34</v>
      </c>
      <c r="DG41" s="2227">
        <v>21950</v>
      </c>
      <c r="DH41" s="2227">
        <v>19600</v>
      </c>
      <c r="DI41" s="2227">
        <v>16476.650000000001</v>
      </c>
      <c r="DJ41" s="2227">
        <v>16476.650000000001</v>
      </c>
      <c r="DK41" s="2227">
        <v>20700</v>
      </c>
      <c r="DL41" s="2227">
        <v>24859.06</v>
      </c>
      <c r="DM41" s="2227">
        <v>24800</v>
      </c>
      <c r="DN41" s="2227">
        <v>14129.98</v>
      </c>
      <c r="DO41" s="2227">
        <v>26802.639999999999</v>
      </c>
      <c r="DP41" s="2227">
        <v>17947.62</v>
      </c>
      <c r="DQ41" s="2227">
        <v>34916.480000000003</v>
      </c>
      <c r="DR41" s="2227">
        <v>22932.33</v>
      </c>
      <c r="DS41" s="2227">
        <v>15650</v>
      </c>
      <c r="DT41" s="2227">
        <v>15645.76</v>
      </c>
      <c r="DU41" s="2227">
        <v>15666.92</v>
      </c>
      <c r="DV41" s="2227">
        <v>23585.82</v>
      </c>
      <c r="DW41" s="2227">
        <v>17190.91</v>
      </c>
      <c r="DX41" s="2227">
        <v>26450</v>
      </c>
      <c r="DY41" s="2227">
        <v>18649.73</v>
      </c>
      <c r="DZ41" s="2227">
        <v>26979.93</v>
      </c>
      <c r="EA41" s="2227">
        <v>23878.78</v>
      </c>
      <c r="EB41" s="2227">
        <v>37925.769999999997</v>
      </c>
      <c r="EC41" s="2227">
        <v>24606.06</v>
      </c>
      <c r="ED41" s="2227">
        <v>20451.259999999998</v>
      </c>
      <c r="EE41" s="2227">
        <v>16550</v>
      </c>
      <c r="EF41" s="2227">
        <v>18362.45</v>
      </c>
      <c r="EG41" s="2227">
        <v>19800.13</v>
      </c>
      <c r="EH41" s="2227">
        <v>18691.3</v>
      </c>
      <c r="EI41" s="2227">
        <v>24764.720000000001</v>
      </c>
      <c r="EJ41" s="2227">
        <v>31482.54</v>
      </c>
      <c r="EK41" s="2227">
        <v>22475.61</v>
      </c>
      <c r="EL41" s="2227">
        <v>18691.310000000001</v>
      </c>
      <c r="EM41" s="2227">
        <v>38304.26</v>
      </c>
      <c r="EN41" s="2227">
        <v>27517.21</v>
      </c>
      <c r="EO41" s="2227">
        <v>14888.48</v>
      </c>
      <c r="EP41" s="2227">
        <v>18300</v>
      </c>
      <c r="EQ41" s="2227">
        <v>22283.79</v>
      </c>
      <c r="ER41" s="2227">
        <v>23371.47</v>
      </c>
      <c r="ES41" s="2227">
        <v>20382.759999999998</v>
      </c>
      <c r="ET41" s="2227">
        <v>15249.61</v>
      </c>
      <c r="EU41" s="2227">
        <v>23128.53</v>
      </c>
      <c r="EV41" s="2227">
        <v>25212.13</v>
      </c>
      <c r="EW41" s="2227">
        <v>22741.98</v>
      </c>
      <c r="EX41" s="2227">
        <v>22284.13</v>
      </c>
      <c r="EY41" s="2227">
        <v>23350</v>
      </c>
      <c r="EZ41" s="2227">
        <v>33887.15</v>
      </c>
      <c r="FA41" s="2227">
        <v>18273.66</v>
      </c>
      <c r="FB41" s="2227">
        <v>16076.06</v>
      </c>
      <c r="FC41" s="2227">
        <v>36200</v>
      </c>
      <c r="FD41" s="2227">
        <v>34000</v>
      </c>
      <c r="FE41" s="2227">
        <v>42638.83</v>
      </c>
      <c r="FF41" s="2227">
        <v>15000</v>
      </c>
      <c r="FG41" s="2227">
        <v>30176.92</v>
      </c>
      <c r="FH41" s="2227">
        <v>21368.47</v>
      </c>
      <c r="FI41" s="2227">
        <v>17903.36</v>
      </c>
      <c r="FJ41" s="2227">
        <v>15480.42</v>
      </c>
      <c r="FK41" s="2227">
        <v>27886.87</v>
      </c>
      <c r="FL41" s="2227">
        <v>19682.88</v>
      </c>
      <c r="FM41" s="2227">
        <v>24408.44</v>
      </c>
      <c r="FN41" s="2227">
        <v>22800</v>
      </c>
      <c r="FO41" s="2227">
        <v>28817.74</v>
      </c>
      <c r="FP41" s="2227">
        <v>22459.200000000001</v>
      </c>
      <c r="FQ41" s="2227">
        <v>17925.2</v>
      </c>
      <c r="FR41" s="2227">
        <v>29300</v>
      </c>
      <c r="FS41" s="2227">
        <v>36200</v>
      </c>
      <c r="FT41" s="2227">
        <v>30292.59</v>
      </c>
      <c r="FU41" s="2227">
        <v>24789.42</v>
      </c>
      <c r="FV41" s="2227">
        <v>35250</v>
      </c>
      <c r="FW41" s="2227">
        <v>17905.48</v>
      </c>
      <c r="FX41" s="2227">
        <v>20228.240000000002</v>
      </c>
      <c r="FY41" s="2227">
        <v>16810.330000000002</v>
      </c>
      <c r="FZ41" s="2227">
        <v>22063.68</v>
      </c>
      <c r="GA41" s="2227">
        <v>28946.43</v>
      </c>
      <c r="GB41" s="2227">
        <v>32067.71</v>
      </c>
      <c r="GC41" s="2227">
        <v>17947.62</v>
      </c>
      <c r="GD41" s="2227">
        <v>14084.93</v>
      </c>
      <c r="GE41" s="2227">
        <v>28780.55</v>
      </c>
      <c r="GF41" s="2227">
        <v>29150</v>
      </c>
      <c r="GG41" s="2227">
        <v>45052.27</v>
      </c>
      <c r="GH41" s="2227">
        <v>19682.75</v>
      </c>
      <c r="GI41" s="2227">
        <v>22224.3</v>
      </c>
      <c r="GJ41" s="2227">
        <v>14898.45</v>
      </c>
      <c r="GK41" s="2227">
        <v>18273.39</v>
      </c>
      <c r="GL41" s="2227">
        <v>26904.17</v>
      </c>
      <c r="GM41" s="2227">
        <v>18662.46</v>
      </c>
      <c r="GN41" s="2227">
        <v>21355.98</v>
      </c>
      <c r="GO41" s="2227">
        <v>20414.61</v>
      </c>
      <c r="GP41" s="2227">
        <v>24724.41</v>
      </c>
      <c r="GQ41" s="2227">
        <v>16639.7</v>
      </c>
      <c r="GR41" s="2227">
        <v>15167.61</v>
      </c>
      <c r="GS41" s="2227">
        <v>15909.48</v>
      </c>
      <c r="GT41" s="2227">
        <v>18649.73</v>
      </c>
      <c r="GU41" s="2227">
        <v>22679.62</v>
      </c>
      <c r="GV41" s="2227">
        <v>21788.59</v>
      </c>
      <c r="GW41" s="2227">
        <v>38349.18</v>
      </c>
      <c r="GX41" s="2227">
        <v>40333.050000000003</v>
      </c>
      <c r="GY41" s="2227">
        <v>49443.29</v>
      </c>
      <c r="GZ41" s="2227">
        <v>14591.09</v>
      </c>
      <c r="HA41" s="2227">
        <v>14025.66</v>
      </c>
      <c r="HB41" s="2227">
        <v>19682.88</v>
      </c>
      <c r="HC41" s="2227">
        <v>17935.78</v>
      </c>
      <c r="HD41" s="2227">
        <v>18639.27</v>
      </c>
      <c r="HE41" s="2227">
        <v>25493.52</v>
      </c>
      <c r="HF41" s="2227">
        <v>26550</v>
      </c>
      <c r="HG41" s="2227">
        <v>23723.26</v>
      </c>
      <c r="HH41" s="2227">
        <v>24800</v>
      </c>
      <c r="HI41" s="2227">
        <v>23823</v>
      </c>
      <c r="HJ41" s="2227">
        <v>24408.44</v>
      </c>
      <c r="HK41" s="2227">
        <v>29298.21</v>
      </c>
      <c r="HL41" s="2227">
        <v>40100</v>
      </c>
      <c r="HM41" s="2227">
        <v>19682.87</v>
      </c>
      <c r="HN41" s="2227">
        <v>18740.89</v>
      </c>
      <c r="HO41" s="2227">
        <v>15666.92</v>
      </c>
      <c r="HP41" s="2227">
        <v>23731.39</v>
      </c>
      <c r="HQ41" s="2227">
        <v>28946.43</v>
      </c>
      <c r="HR41" s="2227">
        <v>32500</v>
      </c>
      <c r="HS41" s="2227">
        <v>22806.240000000002</v>
      </c>
      <c r="HT41" s="2227">
        <v>24863.78</v>
      </c>
      <c r="HU41" s="2227">
        <v>33522.1</v>
      </c>
      <c r="HV41" s="2227">
        <v>31744.65</v>
      </c>
      <c r="HW41" s="2227">
        <v>19682.73</v>
      </c>
      <c r="HX41" s="2227">
        <v>18273.66</v>
      </c>
      <c r="HY41" s="2227">
        <v>18448.45</v>
      </c>
      <c r="HZ41" s="2227">
        <v>19374.060000000001</v>
      </c>
      <c r="IA41" s="2227">
        <v>14025.66</v>
      </c>
      <c r="IB41" s="2227">
        <v>19991.37</v>
      </c>
      <c r="IC41" s="2227">
        <v>19792.05</v>
      </c>
      <c r="ID41" s="2227">
        <v>24958.05</v>
      </c>
      <c r="IE41" s="2227">
        <v>23150.880000000001</v>
      </c>
      <c r="IF41" s="2227">
        <v>22729.75</v>
      </c>
      <c r="IG41" s="2227">
        <v>28044.1</v>
      </c>
      <c r="IH41" s="2227">
        <v>22806.25</v>
      </c>
      <c r="II41" s="2227">
        <v>23096.959999999999</v>
      </c>
      <c r="IJ41" s="2227">
        <v>31879.23</v>
      </c>
      <c r="IK41" s="2227">
        <v>23785.54</v>
      </c>
      <c r="IL41" s="2227">
        <v>28698.63</v>
      </c>
      <c r="IM41" s="2227">
        <v>25016.95</v>
      </c>
      <c r="IN41" s="2227">
        <v>35548.06</v>
      </c>
      <c r="IO41" s="2227">
        <v>37060.19</v>
      </c>
      <c r="IP41" s="2227">
        <v>34000</v>
      </c>
      <c r="IQ41" s="2227">
        <v>33522.1</v>
      </c>
      <c r="IR41" s="2227">
        <v>51436.27</v>
      </c>
      <c r="IS41" s="2227">
        <v>33502.629999999997</v>
      </c>
      <c r="IT41" s="2227">
        <v>45116.66</v>
      </c>
      <c r="IU41" s="2227">
        <v>33667.51</v>
      </c>
      <c r="IV41" s="2227">
        <v>23050.69</v>
      </c>
    </row>
    <row r="42" spans="1:256">
      <c r="A42" s="2214">
        <v>33</v>
      </c>
      <c r="B42" s="2925">
        <v>16672.52</v>
      </c>
      <c r="C42" s="2227">
        <v>16522.64</v>
      </c>
      <c r="D42" s="2925">
        <v>15672.52</v>
      </c>
      <c r="E42" s="2227">
        <v>15249.61</v>
      </c>
      <c r="F42" s="2925">
        <v>14672.52</v>
      </c>
      <c r="G42" s="2227">
        <v>14325.66</v>
      </c>
      <c r="H42" s="2926">
        <v>13732</v>
      </c>
      <c r="I42" s="2925">
        <v>23724.12</v>
      </c>
      <c r="J42" s="2925">
        <v>23724.12</v>
      </c>
      <c r="K42" s="2227">
        <v>19800.13</v>
      </c>
      <c r="L42" s="2925">
        <v>20582</v>
      </c>
      <c r="M42" s="2227">
        <v>19800.13</v>
      </c>
      <c r="N42" s="2925">
        <v>20469.07</v>
      </c>
      <c r="O42" s="2925">
        <v>20469.07</v>
      </c>
      <c r="P42" s="2227">
        <v>18362.45</v>
      </c>
      <c r="Q42" s="2925">
        <v>19505.18</v>
      </c>
      <c r="R42" s="2227">
        <v>17903.36</v>
      </c>
      <c r="S42" s="2925">
        <v>18362.45</v>
      </c>
      <c r="T42" s="2925">
        <v>18515.2</v>
      </c>
      <c r="U42" s="2227">
        <v>17903.36</v>
      </c>
      <c r="V42" s="2925">
        <v>18098.810000000001</v>
      </c>
      <c r="W42" s="2227">
        <v>17190.91</v>
      </c>
      <c r="X42" s="2925">
        <v>17509.86</v>
      </c>
      <c r="Y42" s="2925">
        <v>17509.86</v>
      </c>
      <c r="Z42" s="2925">
        <v>16860.759999999998</v>
      </c>
      <c r="AA42" s="2925">
        <v>27167</v>
      </c>
      <c r="AB42" s="2227">
        <v>24457.38</v>
      </c>
      <c r="AC42" s="2925">
        <v>25648.02</v>
      </c>
      <c r="AD42" s="2227">
        <v>23585.82</v>
      </c>
      <c r="AE42" s="2925">
        <v>24148.02</v>
      </c>
      <c r="AF42" s="2227">
        <v>22932.33</v>
      </c>
      <c r="AG42" s="2925">
        <v>22648.02</v>
      </c>
      <c r="AH42" s="2925">
        <v>28044.1</v>
      </c>
      <c r="AI42" s="2925">
        <v>28055.94</v>
      </c>
      <c r="AJ42" s="2227">
        <v>27166.44</v>
      </c>
      <c r="AK42" s="2925">
        <v>27166.44</v>
      </c>
      <c r="AL42" s="2925">
        <v>25932.33</v>
      </c>
      <c r="AM42" s="2227">
        <v>24457.38</v>
      </c>
      <c r="AN42" s="2925">
        <v>24457.38</v>
      </c>
      <c r="AO42" s="2925">
        <v>24432.33</v>
      </c>
      <c r="AP42" s="2227">
        <v>23585.82</v>
      </c>
      <c r="AQ42" s="2925">
        <v>23585.82</v>
      </c>
      <c r="AR42" s="2925">
        <v>22932.33</v>
      </c>
      <c r="AS42" s="2923">
        <v>33124</v>
      </c>
      <c r="AT42" s="2227">
        <v>27576.47</v>
      </c>
      <c r="AU42" s="2923">
        <v>30884</v>
      </c>
      <c r="AV42" s="2227">
        <v>26904.17</v>
      </c>
      <c r="AW42" s="2923">
        <v>27718</v>
      </c>
      <c r="AX42" s="2227">
        <v>24394.45</v>
      </c>
      <c r="AY42" s="2923">
        <v>25218</v>
      </c>
      <c r="AZ42" s="2925">
        <v>33994</v>
      </c>
      <c r="BA42" s="2227">
        <v>29298.21</v>
      </c>
      <c r="BB42" s="2923">
        <v>33124</v>
      </c>
      <c r="BC42" s="2227">
        <v>28698.63</v>
      </c>
      <c r="BD42" s="2925">
        <v>35888.620000000003</v>
      </c>
      <c r="BE42" s="2227">
        <v>32067.71</v>
      </c>
      <c r="BF42" s="2923">
        <v>33124</v>
      </c>
      <c r="BG42" s="2227">
        <v>30592.47</v>
      </c>
      <c r="BH42" s="2925">
        <v>31754</v>
      </c>
      <c r="BI42" s="2227">
        <v>28584.78</v>
      </c>
      <c r="BJ42" s="2923">
        <v>30884</v>
      </c>
      <c r="BK42" s="2227">
        <v>27886.87</v>
      </c>
      <c r="BL42" s="2925">
        <v>32558</v>
      </c>
      <c r="BM42" s="2227">
        <v>31482.54</v>
      </c>
      <c r="BN42" s="2923">
        <v>31046.92</v>
      </c>
      <c r="BO42" s="2227">
        <v>30176.92</v>
      </c>
      <c r="BP42" s="2925">
        <v>28588</v>
      </c>
      <c r="BQ42" s="2227">
        <v>25747.26</v>
      </c>
      <c r="BR42" s="2923">
        <v>27718</v>
      </c>
      <c r="BS42" s="2227">
        <v>26802.639999999999</v>
      </c>
      <c r="BT42" s="2925">
        <v>29558</v>
      </c>
      <c r="BU42" s="2227">
        <v>27517.21</v>
      </c>
      <c r="BV42" s="2923">
        <v>27999.93</v>
      </c>
      <c r="BW42" s="2227">
        <v>26979.93</v>
      </c>
      <c r="BX42" s="2925">
        <v>26088</v>
      </c>
      <c r="BY42" s="2923">
        <v>25218</v>
      </c>
      <c r="BZ42" s="2924">
        <v>26558</v>
      </c>
      <c r="CA42" s="2923">
        <v>25218</v>
      </c>
      <c r="CB42" s="2227">
        <v>66780</v>
      </c>
      <c r="CC42" s="2227">
        <v>63780</v>
      </c>
      <c r="CD42" s="2227">
        <v>60780</v>
      </c>
      <c r="CE42" s="2227">
        <v>58990</v>
      </c>
      <c r="CF42" s="2227">
        <v>55990</v>
      </c>
      <c r="CG42" s="2227">
        <v>52990</v>
      </c>
      <c r="CH42" s="2227">
        <v>51360</v>
      </c>
      <c r="CI42" s="2227">
        <v>48360</v>
      </c>
      <c r="CJ42" s="2227">
        <v>44860</v>
      </c>
      <c r="CK42" s="2227">
        <v>43951.59</v>
      </c>
      <c r="CL42" s="2227">
        <v>41360</v>
      </c>
      <c r="CM42" s="2227">
        <v>38360</v>
      </c>
      <c r="CN42" s="2227">
        <v>35895</v>
      </c>
      <c r="CO42" s="2227">
        <v>33895</v>
      </c>
      <c r="CP42" s="2227">
        <v>22006.560000000001</v>
      </c>
      <c r="CQ42" s="2227">
        <v>13404.34</v>
      </c>
      <c r="CR42" s="2227">
        <v>16763.02</v>
      </c>
      <c r="CS42" s="2227">
        <v>32165.25</v>
      </c>
      <c r="CT42" s="2227">
        <v>20469.07</v>
      </c>
      <c r="CU42" s="2227">
        <v>22902.959999999999</v>
      </c>
      <c r="CV42" s="2227">
        <v>22902.959999999999</v>
      </c>
      <c r="CW42" s="2227">
        <v>22902.959999999999</v>
      </c>
      <c r="CX42" s="2227">
        <v>22902.959999999999</v>
      </c>
      <c r="CY42" s="2227">
        <v>22800</v>
      </c>
      <c r="CZ42" s="2227">
        <v>27166.44</v>
      </c>
      <c r="DA42" s="2227">
        <v>23724.12</v>
      </c>
      <c r="DB42" s="2227">
        <v>23050.69</v>
      </c>
      <c r="DC42" s="2227">
        <v>24457.38</v>
      </c>
      <c r="DD42" s="2227">
        <v>19010.2</v>
      </c>
      <c r="DE42" s="2227">
        <v>22648.02</v>
      </c>
      <c r="DF42" s="2227">
        <v>22498.34</v>
      </c>
      <c r="DG42" s="2227">
        <v>21950</v>
      </c>
      <c r="DH42" s="2227">
        <v>19600</v>
      </c>
      <c r="DI42" s="2227">
        <v>16476.650000000001</v>
      </c>
      <c r="DJ42" s="2227">
        <v>16476.650000000001</v>
      </c>
      <c r="DK42" s="2227">
        <v>20700</v>
      </c>
      <c r="DL42" s="2227">
        <v>24859.06</v>
      </c>
      <c r="DM42" s="2227">
        <v>24800</v>
      </c>
      <c r="DN42" s="2227">
        <v>14129.98</v>
      </c>
      <c r="DO42" s="2227">
        <v>26802.639999999999</v>
      </c>
      <c r="DP42" s="2227">
        <v>17947.62</v>
      </c>
      <c r="DQ42" s="2227">
        <v>34916.480000000003</v>
      </c>
      <c r="DR42" s="2227">
        <v>22932.33</v>
      </c>
      <c r="DS42" s="2227">
        <v>15650</v>
      </c>
      <c r="DT42" s="2227">
        <v>15645.76</v>
      </c>
      <c r="DU42" s="2227">
        <v>15666.92</v>
      </c>
      <c r="DV42" s="2227">
        <v>23585.82</v>
      </c>
      <c r="DW42" s="2227">
        <v>17190.91</v>
      </c>
      <c r="DX42" s="2227">
        <v>26450</v>
      </c>
      <c r="DY42" s="2227">
        <v>18649.73</v>
      </c>
      <c r="DZ42" s="2227">
        <v>26979.93</v>
      </c>
      <c r="EA42" s="2227">
        <v>23878.78</v>
      </c>
      <c r="EB42" s="2227">
        <v>37925.769999999997</v>
      </c>
      <c r="EC42" s="2227">
        <v>24606.06</v>
      </c>
      <c r="ED42" s="2227">
        <v>20451.259999999998</v>
      </c>
      <c r="EE42" s="2227">
        <v>16550</v>
      </c>
      <c r="EF42" s="2227">
        <v>18362.45</v>
      </c>
      <c r="EG42" s="2227">
        <v>19800.13</v>
      </c>
      <c r="EH42" s="2227">
        <v>18691.3</v>
      </c>
      <c r="EI42" s="2227">
        <v>24764.720000000001</v>
      </c>
      <c r="EJ42" s="2227">
        <v>31482.54</v>
      </c>
      <c r="EK42" s="2227">
        <v>22475.61</v>
      </c>
      <c r="EL42" s="2227">
        <v>18691.310000000001</v>
      </c>
      <c r="EM42" s="2227">
        <v>38304.26</v>
      </c>
      <c r="EN42" s="2227">
        <v>27517.21</v>
      </c>
      <c r="EO42" s="2227">
        <v>14888.48</v>
      </c>
      <c r="EP42" s="2227">
        <v>18300</v>
      </c>
      <c r="EQ42" s="2227">
        <v>22283.79</v>
      </c>
      <c r="ER42" s="2227">
        <v>23371.47</v>
      </c>
      <c r="ES42" s="2227">
        <v>20382.759999999998</v>
      </c>
      <c r="ET42" s="2227">
        <v>15249.61</v>
      </c>
      <c r="EU42" s="2227">
        <v>23128.53</v>
      </c>
      <c r="EV42" s="2227">
        <v>25212.13</v>
      </c>
      <c r="EW42" s="2227">
        <v>22741.98</v>
      </c>
      <c r="EX42" s="2227">
        <v>22284.13</v>
      </c>
      <c r="EY42" s="2227">
        <v>23350</v>
      </c>
      <c r="EZ42" s="2227">
        <v>33887.15</v>
      </c>
      <c r="FA42" s="2227">
        <v>18273.66</v>
      </c>
      <c r="FB42" s="2227">
        <v>16076.06</v>
      </c>
      <c r="FC42" s="2227">
        <v>36200</v>
      </c>
      <c r="FD42" s="2227">
        <v>34000</v>
      </c>
      <c r="FE42" s="2227">
        <v>42638.83</v>
      </c>
      <c r="FF42" s="2227">
        <v>15000</v>
      </c>
      <c r="FG42" s="2227">
        <v>30176.92</v>
      </c>
      <c r="FH42" s="2227">
        <v>21368.47</v>
      </c>
      <c r="FI42" s="2227">
        <v>17903.36</v>
      </c>
      <c r="FJ42" s="2227">
        <v>15480.42</v>
      </c>
      <c r="FK42" s="2227">
        <v>27886.87</v>
      </c>
      <c r="FL42" s="2227">
        <v>19682.88</v>
      </c>
      <c r="FM42" s="2227">
        <v>24408.44</v>
      </c>
      <c r="FN42" s="2227">
        <v>22800</v>
      </c>
      <c r="FO42" s="2227">
        <v>28817.74</v>
      </c>
      <c r="FP42" s="2227">
        <v>22459.200000000001</v>
      </c>
      <c r="FQ42" s="2227">
        <v>17925.2</v>
      </c>
      <c r="FR42" s="2227">
        <v>29300</v>
      </c>
      <c r="FS42" s="2227">
        <v>36200</v>
      </c>
      <c r="FT42" s="2227">
        <v>30292.59</v>
      </c>
      <c r="FU42" s="2227">
        <v>24789.42</v>
      </c>
      <c r="FV42" s="2227">
        <v>35250</v>
      </c>
      <c r="FW42" s="2227">
        <v>17905.48</v>
      </c>
      <c r="FX42" s="2227">
        <v>20228.240000000002</v>
      </c>
      <c r="FY42" s="2227">
        <v>16810.330000000002</v>
      </c>
      <c r="FZ42" s="2227">
        <v>22063.68</v>
      </c>
      <c r="GA42" s="2227">
        <v>28946.43</v>
      </c>
      <c r="GB42" s="2227">
        <v>32067.71</v>
      </c>
      <c r="GC42" s="2227">
        <v>17947.62</v>
      </c>
      <c r="GD42" s="2227">
        <v>14084.93</v>
      </c>
      <c r="GE42" s="2227">
        <v>28780.55</v>
      </c>
      <c r="GF42" s="2227">
        <v>29150</v>
      </c>
      <c r="GG42" s="2227">
        <v>45052.27</v>
      </c>
      <c r="GH42" s="2227">
        <v>19682.75</v>
      </c>
      <c r="GI42" s="2227">
        <v>22224.3</v>
      </c>
      <c r="GJ42" s="2227">
        <v>14898.45</v>
      </c>
      <c r="GK42" s="2227">
        <v>18273.39</v>
      </c>
      <c r="GL42" s="2227">
        <v>26904.17</v>
      </c>
      <c r="GM42" s="2227">
        <v>18662.46</v>
      </c>
      <c r="GN42" s="2227">
        <v>21355.98</v>
      </c>
      <c r="GO42" s="2227">
        <v>20414.61</v>
      </c>
      <c r="GP42" s="2227">
        <v>24724.41</v>
      </c>
      <c r="GQ42" s="2227">
        <v>16639.7</v>
      </c>
      <c r="GR42" s="2227">
        <v>15167.61</v>
      </c>
      <c r="GS42" s="2227">
        <v>15909.48</v>
      </c>
      <c r="GT42" s="2227">
        <v>18649.73</v>
      </c>
      <c r="GU42" s="2227">
        <v>22679.62</v>
      </c>
      <c r="GV42" s="2227">
        <v>21788.59</v>
      </c>
      <c r="GW42" s="2227">
        <v>38349.18</v>
      </c>
      <c r="GX42" s="2227">
        <v>40333.050000000003</v>
      </c>
      <c r="GY42" s="2227">
        <v>49443.29</v>
      </c>
      <c r="GZ42" s="2227">
        <v>14591.09</v>
      </c>
      <c r="HA42" s="2227">
        <v>14025.66</v>
      </c>
      <c r="HB42" s="2227">
        <v>19682.88</v>
      </c>
      <c r="HC42" s="2227">
        <v>17935.78</v>
      </c>
      <c r="HD42" s="2227">
        <v>18639.27</v>
      </c>
      <c r="HE42" s="2227">
        <v>25493.52</v>
      </c>
      <c r="HF42" s="2227">
        <v>26550</v>
      </c>
      <c r="HG42" s="2227">
        <v>23723.26</v>
      </c>
      <c r="HH42" s="2227">
        <v>24800</v>
      </c>
      <c r="HI42" s="2227">
        <v>23823</v>
      </c>
      <c r="HJ42" s="2227">
        <v>24408.44</v>
      </c>
      <c r="HK42" s="2227">
        <v>29298.21</v>
      </c>
      <c r="HL42" s="2227">
        <v>40100</v>
      </c>
      <c r="HM42" s="2227">
        <v>19682.87</v>
      </c>
      <c r="HN42" s="2227">
        <v>18740.89</v>
      </c>
      <c r="HO42" s="2227">
        <v>15666.92</v>
      </c>
      <c r="HP42" s="2227">
        <v>23731.39</v>
      </c>
      <c r="HQ42" s="2227">
        <v>28946.43</v>
      </c>
      <c r="HR42" s="2227">
        <v>32500</v>
      </c>
      <c r="HS42" s="2227">
        <v>22806.240000000002</v>
      </c>
      <c r="HT42" s="2227">
        <v>24863.78</v>
      </c>
      <c r="HU42" s="2227">
        <v>33522.1</v>
      </c>
      <c r="HV42" s="2227">
        <v>31744.65</v>
      </c>
      <c r="HW42" s="2227">
        <v>19682.73</v>
      </c>
      <c r="HX42" s="2227">
        <v>18273.66</v>
      </c>
      <c r="HY42" s="2227">
        <v>18448.45</v>
      </c>
      <c r="HZ42" s="2227">
        <v>19374.060000000001</v>
      </c>
      <c r="IA42" s="2227">
        <v>14025.66</v>
      </c>
      <c r="IB42" s="2227">
        <v>19991.37</v>
      </c>
      <c r="IC42" s="2227">
        <v>19792.05</v>
      </c>
      <c r="ID42" s="2227">
        <v>24958.05</v>
      </c>
      <c r="IE42" s="2227">
        <v>23150.880000000001</v>
      </c>
      <c r="IF42" s="2227">
        <v>22729.75</v>
      </c>
      <c r="IG42" s="2227">
        <v>28044.1</v>
      </c>
      <c r="IH42" s="2227">
        <v>22806.25</v>
      </c>
      <c r="II42" s="2227">
        <v>23096.959999999999</v>
      </c>
      <c r="IJ42" s="2227">
        <v>31879.23</v>
      </c>
      <c r="IK42" s="2227">
        <v>23785.54</v>
      </c>
      <c r="IL42" s="2227">
        <v>28698.63</v>
      </c>
      <c r="IM42" s="2227">
        <v>25016.95</v>
      </c>
      <c r="IN42" s="2227">
        <v>35548.06</v>
      </c>
      <c r="IO42" s="2227">
        <v>37060.19</v>
      </c>
      <c r="IP42" s="2227">
        <v>34000</v>
      </c>
      <c r="IQ42" s="2227">
        <v>33522.1</v>
      </c>
      <c r="IR42" s="2227">
        <v>51436.27</v>
      </c>
      <c r="IS42" s="2227">
        <v>33502.629999999997</v>
      </c>
      <c r="IT42" s="2227">
        <v>45116.66</v>
      </c>
      <c r="IU42" s="2227">
        <v>33667.51</v>
      </c>
      <c r="IV42" s="2227">
        <v>23050.69</v>
      </c>
    </row>
    <row r="43" spans="1:256">
      <c r="A43" s="2214">
        <v>34</v>
      </c>
      <c r="B43" s="2925">
        <v>16672.52</v>
      </c>
      <c r="C43" s="2227">
        <v>16522.64</v>
      </c>
      <c r="D43" s="2925">
        <v>15672.52</v>
      </c>
      <c r="E43" s="2227">
        <v>15249.61</v>
      </c>
      <c r="F43" s="2925">
        <v>14672.52</v>
      </c>
      <c r="G43" s="2227">
        <v>14325.66</v>
      </c>
      <c r="H43" s="2926">
        <v>13732</v>
      </c>
      <c r="I43" s="2925">
        <v>23724.12</v>
      </c>
      <c r="J43" s="2925">
        <v>23724.12</v>
      </c>
      <c r="K43" s="2227">
        <v>19800.13</v>
      </c>
      <c r="L43" s="2925">
        <v>20582</v>
      </c>
      <c r="M43" s="2227">
        <v>19800.13</v>
      </c>
      <c r="N43" s="2925">
        <v>20469.07</v>
      </c>
      <c r="O43" s="2925">
        <v>20469.07</v>
      </c>
      <c r="P43" s="2227">
        <v>18362.45</v>
      </c>
      <c r="Q43" s="2925">
        <v>19505.18</v>
      </c>
      <c r="R43" s="2227">
        <v>17903.36</v>
      </c>
      <c r="S43" s="2925">
        <v>18362.45</v>
      </c>
      <c r="T43" s="2925">
        <v>18515.2</v>
      </c>
      <c r="U43" s="2227">
        <v>17903.36</v>
      </c>
      <c r="V43" s="2925">
        <v>18098.810000000001</v>
      </c>
      <c r="W43" s="2227">
        <v>17190.91</v>
      </c>
      <c r="X43" s="2925">
        <v>17509.86</v>
      </c>
      <c r="Y43" s="2925">
        <v>17509.86</v>
      </c>
      <c r="Z43" s="2925">
        <v>16860.759999999998</v>
      </c>
      <c r="AA43" s="2925">
        <v>27167</v>
      </c>
      <c r="AB43" s="2227">
        <v>24457.38</v>
      </c>
      <c r="AC43" s="2925">
        <v>25648.02</v>
      </c>
      <c r="AD43" s="2227">
        <v>23585.82</v>
      </c>
      <c r="AE43" s="2925">
        <v>24148.02</v>
      </c>
      <c r="AF43" s="2227">
        <v>22932.33</v>
      </c>
      <c r="AG43" s="2925">
        <v>22648.02</v>
      </c>
      <c r="AH43" s="2925">
        <v>28044.1</v>
      </c>
      <c r="AI43" s="2925">
        <v>28055.94</v>
      </c>
      <c r="AJ43" s="2227">
        <v>27166.44</v>
      </c>
      <c r="AK43" s="2925">
        <v>27166.44</v>
      </c>
      <c r="AL43" s="2925">
        <v>25932.33</v>
      </c>
      <c r="AM43" s="2227">
        <v>24457.38</v>
      </c>
      <c r="AN43" s="2925">
        <v>24457.38</v>
      </c>
      <c r="AO43" s="2925">
        <v>24432.33</v>
      </c>
      <c r="AP43" s="2227">
        <v>23585.82</v>
      </c>
      <c r="AQ43" s="2925">
        <v>23585.82</v>
      </c>
      <c r="AR43" s="2925">
        <v>22932.33</v>
      </c>
      <c r="AS43" s="2923">
        <v>33124</v>
      </c>
      <c r="AT43" s="2227">
        <v>27576.47</v>
      </c>
      <c r="AU43" s="2923">
        <v>30884</v>
      </c>
      <c r="AV43" s="2227">
        <v>26904.17</v>
      </c>
      <c r="AW43" s="2923">
        <v>27718</v>
      </c>
      <c r="AX43" s="2227">
        <v>24394.45</v>
      </c>
      <c r="AY43" s="2923">
        <v>25218</v>
      </c>
      <c r="AZ43" s="2925">
        <v>33994</v>
      </c>
      <c r="BA43" s="2227">
        <v>29298.21</v>
      </c>
      <c r="BB43" s="2923">
        <v>33124</v>
      </c>
      <c r="BC43" s="2227">
        <v>28698.63</v>
      </c>
      <c r="BD43" s="2925">
        <v>35888.620000000003</v>
      </c>
      <c r="BE43" s="2227">
        <v>32067.71</v>
      </c>
      <c r="BF43" s="2923">
        <v>33124</v>
      </c>
      <c r="BG43" s="2227">
        <v>30592.47</v>
      </c>
      <c r="BH43" s="2925">
        <v>31754</v>
      </c>
      <c r="BI43" s="2227">
        <v>28584.78</v>
      </c>
      <c r="BJ43" s="2923">
        <v>30884</v>
      </c>
      <c r="BK43" s="2227">
        <v>27886.87</v>
      </c>
      <c r="BL43" s="2925">
        <v>32558</v>
      </c>
      <c r="BM43" s="2227">
        <v>31482.54</v>
      </c>
      <c r="BN43" s="2923">
        <v>31046.92</v>
      </c>
      <c r="BO43" s="2227">
        <v>30176.92</v>
      </c>
      <c r="BP43" s="2925">
        <v>28588</v>
      </c>
      <c r="BQ43" s="2227">
        <v>25747.26</v>
      </c>
      <c r="BR43" s="2923">
        <v>27718</v>
      </c>
      <c r="BS43" s="2227">
        <v>26802.639999999999</v>
      </c>
      <c r="BT43" s="2925">
        <v>29558</v>
      </c>
      <c r="BU43" s="2227">
        <v>27517.21</v>
      </c>
      <c r="BV43" s="2923">
        <v>27999.93</v>
      </c>
      <c r="BW43" s="2227">
        <v>26979.93</v>
      </c>
      <c r="BX43" s="2925">
        <v>26088</v>
      </c>
      <c r="BY43" s="2923">
        <v>25218</v>
      </c>
      <c r="BZ43" s="2924">
        <v>26558</v>
      </c>
      <c r="CA43" s="2923">
        <v>25218</v>
      </c>
      <c r="CB43" s="2227">
        <v>66780</v>
      </c>
      <c r="CC43" s="2227">
        <v>63780</v>
      </c>
      <c r="CD43" s="2227">
        <v>60780</v>
      </c>
      <c r="CE43" s="2227">
        <v>58990</v>
      </c>
      <c r="CF43" s="2227">
        <v>55990</v>
      </c>
      <c r="CG43" s="2227">
        <v>52990</v>
      </c>
      <c r="CH43" s="2227">
        <v>51360</v>
      </c>
      <c r="CI43" s="2227">
        <v>48360</v>
      </c>
      <c r="CJ43" s="2227">
        <v>44860</v>
      </c>
      <c r="CK43" s="2227">
        <v>43951.59</v>
      </c>
      <c r="CL43" s="2227">
        <v>41360</v>
      </c>
      <c r="CM43" s="2227">
        <v>38360</v>
      </c>
      <c r="CN43" s="2227">
        <v>35895</v>
      </c>
      <c r="CO43" s="2227">
        <v>33895</v>
      </c>
      <c r="CP43" s="2227">
        <v>22006.560000000001</v>
      </c>
      <c r="CQ43" s="2227">
        <v>13404.34</v>
      </c>
      <c r="CR43" s="2227">
        <v>16763.02</v>
      </c>
      <c r="CS43" s="2227">
        <v>32165.25</v>
      </c>
      <c r="CT43" s="2227">
        <v>20469.07</v>
      </c>
      <c r="CU43" s="2227">
        <v>22902.959999999999</v>
      </c>
      <c r="CV43" s="2227">
        <v>22902.959999999999</v>
      </c>
      <c r="CW43" s="2227">
        <v>22902.959999999999</v>
      </c>
      <c r="CX43" s="2227">
        <v>22902.959999999999</v>
      </c>
      <c r="CY43" s="2227">
        <v>22800</v>
      </c>
      <c r="CZ43" s="2227">
        <v>27166.44</v>
      </c>
      <c r="DA43" s="2227">
        <v>23724.12</v>
      </c>
      <c r="DB43" s="2227">
        <v>23050.69</v>
      </c>
      <c r="DC43" s="2227">
        <v>24457.38</v>
      </c>
      <c r="DD43" s="2227">
        <v>19010.2</v>
      </c>
      <c r="DE43" s="2227">
        <v>22648.02</v>
      </c>
      <c r="DF43" s="2227">
        <v>22498.34</v>
      </c>
      <c r="DG43" s="2227">
        <v>21950</v>
      </c>
      <c r="DH43" s="2227">
        <v>19600</v>
      </c>
      <c r="DI43" s="2227">
        <v>16476.650000000001</v>
      </c>
      <c r="DJ43" s="2227">
        <v>16476.650000000001</v>
      </c>
      <c r="DK43" s="2227">
        <v>20700</v>
      </c>
      <c r="DL43" s="2227">
        <v>24859.06</v>
      </c>
      <c r="DM43" s="2227">
        <v>24800</v>
      </c>
      <c r="DN43" s="2227">
        <v>14129.98</v>
      </c>
      <c r="DO43" s="2227">
        <v>26802.639999999999</v>
      </c>
      <c r="DP43" s="2227">
        <v>17947.62</v>
      </c>
      <c r="DQ43" s="2227">
        <v>34916.480000000003</v>
      </c>
      <c r="DR43" s="2227">
        <v>22932.33</v>
      </c>
      <c r="DS43" s="2227">
        <v>15650</v>
      </c>
      <c r="DT43" s="2227">
        <v>15645.76</v>
      </c>
      <c r="DU43" s="2227">
        <v>15666.92</v>
      </c>
      <c r="DV43" s="2227">
        <v>23585.82</v>
      </c>
      <c r="DW43" s="2227">
        <v>17190.91</v>
      </c>
      <c r="DX43" s="2227">
        <v>26450</v>
      </c>
      <c r="DY43" s="2227">
        <v>18649.73</v>
      </c>
      <c r="DZ43" s="2227">
        <v>26979.93</v>
      </c>
      <c r="EA43" s="2227">
        <v>23878.78</v>
      </c>
      <c r="EB43" s="2227">
        <v>37925.769999999997</v>
      </c>
      <c r="EC43" s="2227">
        <v>24606.06</v>
      </c>
      <c r="ED43" s="2227">
        <v>20451.259999999998</v>
      </c>
      <c r="EE43" s="2227">
        <v>16550</v>
      </c>
      <c r="EF43" s="2227">
        <v>18362.45</v>
      </c>
      <c r="EG43" s="2227">
        <v>19800.13</v>
      </c>
      <c r="EH43" s="2227">
        <v>18691.3</v>
      </c>
      <c r="EI43" s="2227">
        <v>24764.720000000001</v>
      </c>
      <c r="EJ43" s="2227">
        <v>31482.54</v>
      </c>
      <c r="EK43" s="2227">
        <v>22475.61</v>
      </c>
      <c r="EL43" s="2227">
        <v>18691.310000000001</v>
      </c>
      <c r="EM43" s="2227">
        <v>38304.26</v>
      </c>
      <c r="EN43" s="2227">
        <v>27517.21</v>
      </c>
      <c r="EO43" s="2227">
        <v>14888.48</v>
      </c>
      <c r="EP43" s="2227">
        <v>18300</v>
      </c>
      <c r="EQ43" s="2227">
        <v>22283.79</v>
      </c>
      <c r="ER43" s="2227">
        <v>23371.47</v>
      </c>
      <c r="ES43" s="2227">
        <v>20382.759999999998</v>
      </c>
      <c r="ET43" s="2227">
        <v>15249.61</v>
      </c>
      <c r="EU43" s="2227">
        <v>23128.53</v>
      </c>
      <c r="EV43" s="2227">
        <v>25212.13</v>
      </c>
      <c r="EW43" s="2227">
        <v>22741.98</v>
      </c>
      <c r="EX43" s="2227">
        <v>22284.13</v>
      </c>
      <c r="EY43" s="2227">
        <v>23350</v>
      </c>
      <c r="EZ43" s="2227">
        <v>33887.15</v>
      </c>
      <c r="FA43" s="2227">
        <v>18273.66</v>
      </c>
      <c r="FB43" s="2227">
        <v>16076.06</v>
      </c>
      <c r="FC43" s="2227">
        <v>36200</v>
      </c>
      <c r="FD43" s="2227">
        <v>34000</v>
      </c>
      <c r="FE43" s="2227">
        <v>42638.83</v>
      </c>
      <c r="FF43" s="2227">
        <v>15000</v>
      </c>
      <c r="FG43" s="2227">
        <v>30176.92</v>
      </c>
      <c r="FH43" s="2227">
        <v>21368.47</v>
      </c>
      <c r="FI43" s="2227">
        <v>17903.36</v>
      </c>
      <c r="FJ43" s="2227">
        <v>15480.42</v>
      </c>
      <c r="FK43" s="2227">
        <v>27886.87</v>
      </c>
      <c r="FL43" s="2227">
        <v>19682.88</v>
      </c>
      <c r="FM43" s="2227">
        <v>24408.44</v>
      </c>
      <c r="FN43" s="2227">
        <v>22800</v>
      </c>
      <c r="FO43" s="2227">
        <v>28817.74</v>
      </c>
      <c r="FP43" s="2227">
        <v>22459.200000000001</v>
      </c>
      <c r="FQ43" s="2227">
        <v>17925.2</v>
      </c>
      <c r="FR43" s="2227">
        <v>29300</v>
      </c>
      <c r="FS43" s="2227">
        <v>36200</v>
      </c>
      <c r="FT43" s="2227">
        <v>30292.59</v>
      </c>
      <c r="FU43" s="2227">
        <v>24789.42</v>
      </c>
      <c r="FV43" s="2227">
        <v>35250</v>
      </c>
      <c r="FW43" s="2227">
        <v>17905.48</v>
      </c>
      <c r="FX43" s="2227">
        <v>20228.240000000002</v>
      </c>
      <c r="FY43" s="2227">
        <v>16810.330000000002</v>
      </c>
      <c r="FZ43" s="2227">
        <v>22063.68</v>
      </c>
      <c r="GA43" s="2227">
        <v>28946.43</v>
      </c>
      <c r="GB43" s="2227">
        <v>32067.71</v>
      </c>
      <c r="GC43" s="2227">
        <v>17947.62</v>
      </c>
      <c r="GD43" s="2227">
        <v>14084.93</v>
      </c>
      <c r="GE43" s="2227">
        <v>28780.55</v>
      </c>
      <c r="GF43" s="2227">
        <v>29150</v>
      </c>
      <c r="GG43" s="2227">
        <v>45052.27</v>
      </c>
      <c r="GH43" s="2227">
        <v>19682.75</v>
      </c>
      <c r="GI43" s="2227">
        <v>22224.3</v>
      </c>
      <c r="GJ43" s="2227">
        <v>14898.45</v>
      </c>
      <c r="GK43" s="2227">
        <v>18273.39</v>
      </c>
      <c r="GL43" s="2227">
        <v>26904.17</v>
      </c>
      <c r="GM43" s="2227">
        <v>18662.46</v>
      </c>
      <c r="GN43" s="2227">
        <v>21355.98</v>
      </c>
      <c r="GO43" s="2227">
        <v>20414.61</v>
      </c>
      <c r="GP43" s="2227">
        <v>24724.41</v>
      </c>
      <c r="GQ43" s="2227">
        <v>16639.7</v>
      </c>
      <c r="GR43" s="2227">
        <v>15167.61</v>
      </c>
      <c r="GS43" s="2227">
        <v>15909.48</v>
      </c>
      <c r="GT43" s="2227">
        <v>18649.73</v>
      </c>
      <c r="GU43" s="2227">
        <v>22679.62</v>
      </c>
      <c r="GV43" s="2227">
        <v>21788.59</v>
      </c>
      <c r="GW43" s="2227">
        <v>38349.18</v>
      </c>
      <c r="GX43" s="2227">
        <v>40333.050000000003</v>
      </c>
      <c r="GY43" s="2227">
        <v>49443.29</v>
      </c>
      <c r="GZ43" s="2227">
        <v>14591.09</v>
      </c>
      <c r="HA43" s="2227">
        <v>14025.66</v>
      </c>
      <c r="HB43" s="2227">
        <v>19682.88</v>
      </c>
      <c r="HC43" s="2227">
        <v>17935.78</v>
      </c>
      <c r="HD43" s="2227">
        <v>18639.27</v>
      </c>
      <c r="HE43" s="2227">
        <v>25493.52</v>
      </c>
      <c r="HF43" s="2227">
        <v>26550</v>
      </c>
      <c r="HG43" s="2227">
        <v>23723.26</v>
      </c>
      <c r="HH43" s="2227">
        <v>24800</v>
      </c>
      <c r="HI43" s="2227">
        <v>23823</v>
      </c>
      <c r="HJ43" s="2227">
        <v>24408.44</v>
      </c>
      <c r="HK43" s="2227">
        <v>29298.21</v>
      </c>
      <c r="HL43" s="2227">
        <v>40100</v>
      </c>
      <c r="HM43" s="2227">
        <v>19682.87</v>
      </c>
      <c r="HN43" s="2227">
        <v>18740.89</v>
      </c>
      <c r="HO43" s="2227">
        <v>15666.92</v>
      </c>
      <c r="HP43" s="2227">
        <v>23731.39</v>
      </c>
      <c r="HQ43" s="2227">
        <v>28946.43</v>
      </c>
      <c r="HR43" s="2227">
        <v>32500</v>
      </c>
      <c r="HS43" s="2227">
        <v>22806.240000000002</v>
      </c>
      <c r="HT43" s="2227">
        <v>24863.78</v>
      </c>
      <c r="HU43" s="2227">
        <v>33522.1</v>
      </c>
      <c r="HV43" s="2227">
        <v>31744.65</v>
      </c>
      <c r="HW43" s="2227">
        <v>19682.73</v>
      </c>
      <c r="HX43" s="2227">
        <v>18273.66</v>
      </c>
      <c r="HY43" s="2227">
        <v>18448.45</v>
      </c>
      <c r="HZ43" s="2227">
        <v>19374.060000000001</v>
      </c>
      <c r="IA43" s="2227">
        <v>14025.66</v>
      </c>
      <c r="IB43" s="2227">
        <v>19991.37</v>
      </c>
      <c r="IC43" s="2227">
        <v>19792.05</v>
      </c>
      <c r="ID43" s="2227">
        <v>24958.05</v>
      </c>
      <c r="IE43" s="2227">
        <v>23150.880000000001</v>
      </c>
      <c r="IF43" s="2227">
        <v>22729.75</v>
      </c>
      <c r="IG43" s="2227">
        <v>28044.1</v>
      </c>
      <c r="IH43" s="2227">
        <v>22806.25</v>
      </c>
      <c r="II43" s="2227">
        <v>23096.959999999999</v>
      </c>
      <c r="IJ43" s="2227">
        <v>31879.23</v>
      </c>
      <c r="IK43" s="2227">
        <v>23785.54</v>
      </c>
      <c r="IL43" s="2227">
        <v>28698.63</v>
      </c>
      <c r="IM43" s="2227">
        <v>25016.95</v>
      </c>
      <c r="IN43" s="2227">
        <v>35548.06</v>
      </c>
      <c r="IO43" s="2227">
        <v>37060.19</v>
      </c>
      <c r="IP43" s="2227">
        <v>34000</v>
      </c>
      <c r="IQ43" s="2227">
        <v>33522.1</v>
      </c>
      <c r="IR43" s="2227">
        <v>51436.27</v>
      </c>
      <c r="IS43" s="2227">
        <v>33502.629999999997</v>
      </c>
      <c r="IT43" s="2227">
        <v>45116.66</v>
      </c>
      <c r="IU43" s="2227">
        <v>33667.51</v>
      </c>
      <c r="IV43" s="2227">
        <v>23050.69</v>
      </c>
    </row>
    <row r="44" spans="1:256">
      <c r="A44" s="2214">
        <v>35</v>
      </c>
      <c r="B44" s="2925">
        <v>16672.52</v>
      </c>
      <c r="C44" s="2227">
        <v>16522.64</v>
      </c>
      <c r="D44" s="2925">
        <v>15672.52</v>
      </c>
      <c r="E44" s="2227">
        <v>15249.61</v>
      </c>
      <c r="F44" s="2925">
        <v>14672.52</v>
      </c>
      <c r="G44" s="2227">
        <v>14325.66</v>
      </c>
      <c r="H44" s="2926">
        <v>13732</v>
      </c>
      <c r="I44" s="2925">
        <v>23724.12</v>
      </c>
      <c r="J44" s="2925">
        <v>23724.12</v>
      </c>
      <c r="K44" s="2227">
        <v>19800.13</v>
      </c>
      <c r="L44" s="2925">
        <v>20582</v>
      </c>
      <c r="M44" s="2227">
        <v>19800.13</v>
      </c>
      <c r="N44" s="2925">
        <v>20469.07</v>
      </c>
      <c r="O44" s="2925">
        <v>20469.07</v>
      </c>
      <c r="P44" s="2227">
        <v>18362.45</v>
      </c>
      <c r="Q44" s="2925">
        <v>19505.18</v>
      </c>
      <c r="R44" s="2227">
        <v>17903.36</v>
      </c>
      <c r="S44" s="2925">
        <v>18362.45</v>
      </c>
      <c r="T44" s="2925">
        <v>18515.2</v>
      </c>
      <c r="U44" s="2227">
        <v>17903.36</v>
      </c>
      <c r="V44" s="2925">
        <v>18098.810000000001</v>
      </c>
      <c r="W44" s="2227">
        <v>17190.91</v>
      </c>
      <c r="X44" s="2925">
        <v>17509.86</v>
      </c>
      <c r="Y44" s="2925">
        <v>17509.86</v>
      </c>
      <c r="Z44" s="2925">
        <v>16860.759999999998</v>
      </c>
      <c r="AA44" s="2925">
        <v>27167</v>
      </c>
      <c r="AB44" s="2227">
        <v>24457.38</v>
      </c>
      <c r="AC44" s="2925">
        <v>25648.02</v>
      </c>
      <c r="AD44" s="2227">
        <v>23585.82</v>
      </c>
      <c r="AE44" s="2925">
        <v>24148.02</v>
      </c>
      <c r="AF44" s="2227">
        <v>22932.33</v>
      </c>
      <c r="AG44" s="2925">
        <v>22648.02</v>
      </c>
      <c r="AH44" s="2925">
        <v>28044.1</v>
      </c>
      <c r="AI44" s="2925">
        <v>28055.94</v>
      </c>
      <c r="AJ44" s="2227">
        <v>27166.44</v>
      </c>
      <c r="AK44" s="2925">
        <v>27166.44</v>
      </c>
      <c r="AL44" s="2925">
        <v>25932.33</v>
      </c>
      <c r="AM44" s="2227">
        <v>24457.38</v>
      </c>
      <c r="AN44" s="2925">
        <v>24457.38</v>
      </c>
      <c r="AO44" s="2925">
        <v>24432.33</v>
      </c>
      <c r="AP44" s="2227">
        <v>23585.82</v>
      </c>
      <c r="AQ44" s="2925">
        <v>23585.82</v>
      </c>
      <c r="AR44" s="2925">
        <v>22932.33</v>
      </c>
      <c r="AS44" s="2923">
        <v>33124</v>
      </c>
      <c r="AT44" s="2227">
        <v>27576.47</v>
      </c>
      <c r="AU44" s="2923">
        <v>30884</v>
      </c>
      <c r="AV44" s="2227">
        <v>26904.17</v>
      </c>
      <c r="AW44" s="2923">
        <v>27718</v>
      </c>
      <c r="AX44" s="2227">
        <v>24394.45</v>
      </c>
      <c r="AY44" s="2923">
        <v>25218</v>
      </c>
      <c r="AZ44" s="2925">
        <v>33994</v>
      </c>
      <c r="BA44" s="2227">
        <v>29298.21</v>
      </c>
      <c r="BB44" s="2923">
        <v>33124</v>
      </c>
      <c r="BC44" s="2227">
        <v>28698.63</v>
      </c>
      <c r="BD44" s="2925">
        <v>35888.620000000003</v>
      </c>
      <c r="BE44" s="2227">
        <v>32067.71</v>
      </c>
      <c r="BF44" s="2923">
        <v>33124</v>
      </c>
      <c r="BG44" s="2227">
        <v>30592.47</v>
      </c>
      <c r="BH44" s="2925">
        <v>31754</v>
      </c>
      <c r="BI44" s="2227">
        <v>28584.78</v>
      </c>
      <c r="BJ44" s="2923">
        <v>30884</v>
      </c>
      <c r="BK44" s="2227">
        <v>27886.87</v>
      </c>
      <c r="BL44" s="2925">
        <v>32558</v>
      </c>
      <c r="BM44" s="2227">
        <v>31482.54</v>
      </c>
      <c r="BN44" s="2923">
        <v>31046.92</v>
      </c>
      <c r="BO44" s="2227">
        <v>30176.92</v>
      </c>
      <c r="BP44" s="2925">
        <v>28588</v>
      </c>
      <c r="BQ44" s="2227">
        <v>25747.26</v>
      </c>
      <c r="BR44" s="2923">
        <v>27718</v>
      </c>
      <c r="BS44" s="2227">
        <v>26802.639999999999</v>
      </c>
      <c r="BT44" s="2925">
        <v>29558</v>
      </c>
      <c r="BU44" s="2227">
        <v>27517.21</v>
      </c>
      <c r="BV44" s="2923">
        <v>27999.93</v>
      </c>
      <c r="BW44" s="2227">
        <v>26979.93</v>
      </c>
      <c r="BX44" s="2925">
        <v>26088</v>
      </c>
      <c r="BY44" s="2923">
        <v>25218</v>
      </c>
      <c r="BZ44" s="2924">
        <v>26558</v>
      </c>
      <c r="CA44" s="2923">
        <v>25218</v>
      </c>
      <c r="CB44" s="2227">
        <v>66780</v>
      </c>
      <c r="CC44" s="2227">
        <v>63780</v>
      </c>
      <c r="CD44" s="2227">
        <v>60780</v>
      </c>
      <c r="CE44" s="2227">
        <v>58990</v>
      </c>
      <c r="CF44" s="2227">
        <v>55990</v>
      </c>
      <c r="CG44" s="2227">
        <v>52990</v>
      </c>
      <c r="CH44" s="2227">
        <v>51360</v>
      </c>
      <c r="CI44" s="2227">
        <v>48360</v>
      </c>
      <c r="CJ44" s="2227">
        <v>44860</v>
      </c>
      <c r="CK44" s="2227">
        <v>43951.59</v>
      </c>
      <c r="CL44" s="2227">
        <v>41360</v>
      </c>
      <c r="CM44" s="2227">
        <v>38360</v>
      </c>
      <c r="CN44" s="2227">
        <v>35895</v>
      </c>
      <c r="CO44" s="2227">
        <v>33895</v>
      </c>
      <c r="CP44" s="2227">
        <v>22006.560000000001</v>
      </c>
      <c r="CQ44" s="2227">
        <v>13404.34</v>
      </c>
      <c r="CR44" s="2227">
        <v>16763.02</v>
      </c>
      <c r="CS44" s="2227">
        <v>32165.25</v>
      </c>
      <c r="CT44" s="2227">
        <v>20469.07</v>
      </c>
      <c r="CU44" s="2227">
        <v>22902.959999999999</v>
      </c>
      <c r="CV44" s="2227">
        <v>22902.959999999999</v>
      </c>
      <c r="CW44" s="2227">
        <v>22902.959999999999</v>
      </c>
      <c r="CX44" s="2227">
        <v>22902.959999999999</v>
      </c>
      <c r="CY44" s="2227">
        <v>22800</v>
      </c>
      <c r="CZ44" s="2227">
        <v>27166.44</v>
      </c>
      <c r="DA44" s="2227">
        <v>23724.12</v>
      </c>
      <c r="DB44" s="2227">
        <v>23050.69</v>
      </c>
      <c r="DC44" s="2227">
        <v>24457.38</v>
      </c>
      <c r="DD44" s="2227">
        <v>19010.2</v>
      </c>
      <c r="DE44" s="2227">
        <v>22648.02</v>
      </c>
      <c r="DF44" s="2227">
        <v>22498.34</v>
      </c>
      <c r="DG44" s="2227">
        <v>21950</v>
      </c>
      <c r="DH44" s="2227">
        <v>19600</v>
      </c>
      <c r="DI44" s="2227">
        <v>16476.650000000001</v>
      </c>
      <c r="DJ44" s="2227">
        <v>16476.650000000001</v>
      </c>
      <c r="DK44" s="2227">
        <v>20700</v>
      </c>
      <c r="DL44" s="2227">
        <v>24859.06</v>
      </c>
      <c r="DM44" s="2227">
        <v>24800</v>
      </c>
      <c r="DN44" s="2227">
        <v>14129.98</v>
      </c>
      <c r="DO44" s="2227">
        <v>26802.639999999999</v>
      </c>
      <c r="DP44" s="2227">
        <v>17947.62</v>
      </c>
      <c r="DQ44" s="2227">
        <v>34916.480000000003</v>
      </c>
      <c r="DR44" s="2227">
        <v>22932.33</v>
      </c>
      <c r="DS44" s="2227">
        <v>15650</v>
      </c>
      <c r="DT44" s="2227">
        <v>15645.76</v>
      </c>
      <c r="DU44" s="2227">
        <v>15666.92</v>
      </c>
      <c r="DV44" s="2227">
        <v>23585.82</v>
      </c>
      <c r="DW44" s="2227">
        <v>17190.91</v>
      </c>
      <c r="DX44" s="2227">
        <v>26450</v>
      </c>
      <c r="DY44" s="2227">
        <v>18649.73</v>
      </c>
      <c r="DZ44" s="2227">
        <v>26979.93</v>
      </c>
      <c r="EA44" s="2227">
        <v>23878.78</v>
      </c>
      <c r="EB44" s="2227">
        <v>37925.769999999997</v>
      </c>
      <c r="EC44" s="2227">
        <v>24606.06</v>
      </c>
      <c r="ED44" s="2227">
        <v>20451.259999999998</v>
      </c>
      <c r="EE44" s="2227">
        <v>16550</v>
      </c>
      <c r="EF44" s="2227">
        <v>18362.45</v>
      </c>
      <c r="EG44" s="2227">
        <v>19800.13</v>
      </c>
      <c r="EH44" s="2227">
        <v>18691.3</v>
      </c>
      <c r="EI44" s="2227">
        <v>24764.720000000001</v>
      </c>
      <c r="EJ44" s="2227">
        <v>31482.54</v>
      </c>
      <c r="EK44" s="2227">
        <v>22475.61</v>
      </c>
      <c r="EL44" s="2227">
        <v>18691.310000000001</v>
      </c>
      <c r="EM44" s="2227">
        <v>38304.26</v>
      </c>
      <c r="EN44" s="2227">
        <v>27517.21</v>
      </c>
      <c r="EO44" s="2227">
        <v>14888.48</v>
      </c>
      <c r="EP44" s="2227">
        <v>18300</v>
      </c>
      <c r="EQ44" s="2227">
        <v>22283.79</v>
      </c>
      <c r="ER44" s="2227">
        <v>23371.47</v>
      </c>
      <c r="ES44" s="2227">
        <v>20382.759999999998</v>
      </c>
      <c r="ET44" s="2227">
        <v>15249.61</v>
      </c>
      <c r="EU44" s="2227">
        <v>23128.53</v>
      </c>
      <c r="EV44" s="2227">
        <v>25212.13</v>
      </c>
      <c r="EW44" s="2227">
        <v>22741.98</v>
      </c>
      <c r="EX44" s="2227">
        <v>22284.13</v>
      </c>
      <c r="EY44" s="2227">
        <v>23350</v>
      </c>
      <c r="EZ44" s="2227">
        <v>33887.15</v>
      </c>
      <c r="FA44" s="2227">
        <v>18273.66</v>
      </c>
      <c r="FB44" s="2227">
        <v>16076.06</v>
      </c>
      <c r="FC44" s="2227">
        <v>36200</v>
      </c>
      <c r="FD44" s="2227">
        <v>34000</v>
      </c>
      <c r="FE44" s="2227">
        <v>42638.83</v>
      </c>
      <c r="FF44" s="2227">
        <v>15000</v>
      </c>
      <c r="FG44" s="2227">
        <v>30176.92</v>
      </c>
      <c r="FH44" s="2227">
        <v>21368.47</v>
      </c>
      <c r="FI44" s="2227">
        <v>17903.36</v>
      </c>
      <c r="FJ44" s="2227">
        <v>15480.42</v>
      </c>
      <c r="FK44" s="2227">
        <v>27886.87</v>
      </c>
      <c r="FL44" s="2227">
        <v>19682.88</v>
      </c>
      <c r="FM44" s="2227">
        <v>24408.44</v>
      </c>
      <c r="FN44" s="2227">
        <v>22800</v>
      </c>
      <c r="FO44" s="2227">
        <v>28817.74</v>
      </c>
      <c r="FP44" s="2227">
        <v>22459.200000000001</v>
      </c>
      <c r="FQ44" s="2227">
        <v>17925.2</v>
      </c>
      <c r="FR44" s="2227">
        <v>29300</v>
      </c>
      <c r="FS44" s="2227">
        <v>36200</v>
      </c>
      <c r="FT44" s="2227">
        <v>30292.59</v>
      </c>
      <c r="FU44" s="2227">
        <v>24789.42</v>
      </c>
      <c r="FV44" s="2227">
        <v>35250</v>
      </c>
      <c r="FW44" s="2227">
        <v>17905.48</v>
      </c>
      <c r="FX44" s="2227">
        <v>20228.240000000002</v>
      </c>
      <c r="FY44" s="2227">
        <v>16810.330000000002</v>
      </c>
      <c r="FZ44" s="2227">
        <v>22063.68</v>
      </c>
      <c r="GA44" s="2227">
        <v>28946.43</v>
      </c>
      <c r="GB44" s="2227">
        <v>32067.71</v>
      </c>
      <c r="GC44" s="2227">
        <v>17947.62</v>
      </c>
      <c r="GD44" s="2227">
        <v>14084.93</v>
      </c>
      <c r="GE44" s="2227">
        <v>28780.55</v>
      </c>
      <c r="GF44" s="2227">
        <v>29150</v>
      </c>
      <c r="GG44" s="2227">
        <v>45052.27</v>
      </c>
      <c r="GH44" s="2227">
        <v>19682.75</v>
      </c>
      <c r="GI44" s="2227">
        <v>22224.3</v>
      </c>
      <c r="GJ44" s="2227">
        <v>14898.45</v>
      </c>
      <c r="GK44" s="2227">
        <v>18273.39</v>
      </c>
      <c r="GL44" s="2227">
        <v>26904.17</v>
      </c>
      <c r="GM44" s="2227">
        <v>18662.46</v>
      </c>
      <c r="GN44" s="2227">
        <v>21355.98</v>
      </c>
      <c r="GO44" s="2227">
        <v>20414.61</v>
      </c>
      <c r="GP44" s="2227">
        <v>24724.41</v>
      </c>
      <c r="GQ44" s="2227">
        <v>16639.7</v>
      </c>
      <c r="GR44" s="2227">
        <v>15167.61</v>
      </c>
      <c r="GS44" s="2227">
        <v>15909.48</v>
      </c>
      <c r="GT44" s="2227">
        <v>18649.73</v>
      </c>
      <c r="GU44" s="2227">
        <v>22679.62</v>
      </c>
      <c r="GV44" s="2227">
        <v>21788.59</v>
      </c>
      <c r="GW44" s="2227">
        <v>38349.18</v>
      </c>
      <c r="GX44" s="2227">
        <v>40333.050000000003</v>
      </c>
      <c r="GY44" s="2227">
        <v>49443.29</v>
      </c>
      <c r="GZ44" s="2227">
        <v>14591.09</v>
      </c>
      <c r="HA44" s="2227">
        <v>14025.66</v>
      </c>
      <c r="HB44" s="2227">
        <v>19682.88</v>
      </c>
      <c r="HC44" s="2227">
        <v>17935.78</v>
      </c>
      <c r="HD44" s="2227">
        <v>18639.27</v>
      </c>
      <c r="HE44" s="2227">
        <v>25493.52</v>
      </c>
      <c r="HF44" s="2227">
        <v>26550</v>
      </c>
      <c r="HG44" s="2227">
        <v>23723.26</v>
      </c>
      <c r="HH44" s="2227">
        <v>24800</v>
      </c>
      <c r="HI44" s="2227">
        <v>23823</v>
      </c>
      <c r="HJ44" s="2227">
        <v>24408.44</v>
      </c>
      <c r="HK44" s="2227">
        <v>29298.21</v>
      </c>
      <c r="HL44" s="2227">
        <v>40100</v>
      </c>
      <c r="HM44" s="2227">
        <v>19682.87</v>
      </c>
      <c r="HN44" s="2227">
        <v>18740.89</v>
      </c>
      <c r="HO44" s="2227">
        <v>15666.92</v>
      </c>
      <c r="HP44" s="2227">
        <v>23731.39</v>
      </c>
      <c r="HQ44" s="2227">
        <v>28946.43</v>
      </c>
      <c r="HR44" s="2227">
        <v>32500</v>
      </c>
      <c r="HS44" s="2227">
        <v>22806.240000000002</v>
      </c>
      <c r="HT44" s="2227">
        <v>24863.78</v>
      </c>
      <c r="HU44" s="2227">
        <v>33522.1</v>
      </c>
      <c r="HV44" s="2227">
        <v>31744.65</v>
      </c>
      <c r="HW44" s="2227">
        <v>19682.73</v>
      </c>
      <c r="HX44" s="2227">
        <v>18273.66</v>
      </c>
      <c r="HY44" s="2227">
        <v>18448.45</v>
      </c>
      <c r="HZ44" s="2227">
        <v>19374.060000000001</v>
      </c>
      <c r="IA44" s="2227">
        <v>14025.66</v>
      </c>
      <c r="IB44" s="2227">
        <v>19991.37</v>
      </c>
      <c r="IC44" s="2227">
        <v>19792.05</v>
      </c>
      <c r="ID44" s="2227">
        <v>24958.05</v>
      </c>
      <c r="IE44" s="2227">
        <v>23150.880000000001</v>
      </c>
      <c r="IF44" s="2227">
        <v>22729.75</v>
      </c>
      <c r="IG44" s="2227">
        <v>28044.1</v>
      </c>
      <c r="IH44" s="2227">
        <v>22806.25</v>
      </c>
      <c r="II44" s="2227">
        <v>23096.959999999999</v>
      </c>
      <c r="IJ44" s="2227">
        <v>31879.23</v>
      </c>
      <c r="IK44" s="2227">
        <v>23785.54</v>
      </c>
      <c r="IL44" s="2227">
        <v>28698.63</v>
      </c>
      <c r="IM44" s="2227">
        <v>25016.95</v>
      </c>
      <c r="IN44" s="2227">
        <v>35548.06</v>
      </c>
      <c r="IO44" s="2227">
        <v>37060.19</v>
      </c>
      <c r="IP44" s="2227">
        <v>34000</v>
      </c>
      <c r="IQ44" s="2227">
        <v>33522.1</v>
      </c>
      <c r="IR44" s="2227">
        <v>51436.27</v>
      </c>
      <c r="IS44" s="2227">
        <v>33502.629999999997</v>
      </c>
      <c r="IT44" s="2227">
        <v>45116.66</v>
      </c>
      <c r="IU44" s="2227">
        <v>33667.51</v>
      </c>
      <c r="IV44" s="2227">
        <v>23050.69</v>
      </c>
    </row>
    <row r="45" spans="1:256">
      <c r="A45" s="2214">
        <v>36</v>
      </c>
      <c r="B45" s="2925">
        <v>16672.52</v>
      </c>
      <c r="C45" s="2227">
        <v>16522.64</v>
      </c>
      <c r="D45" s="2925">
        <v>15672.52</v>
      </c>
      <c r="E45" s="2227">
        <v>15249.61</v>
      </c>
      <c r="F45" s="2925">
        <v>14672.52</v>
      </c>
      <c r="G45" s="2227">
        <v>14325.66</v>
      </c>
      <c r="H45" s="2926">
        <v>13732</v>
      </c>
      <c r="I45" s="2925">
        <v>23724.12</v>
      </c>
      <c r="J45" s="2925">
        <v>23724.12</v>
      </c>
      <c r="K45" s="2227">
        <v>19800.13</v>
      </c>
      <c r="L45" s="2925">
        <v>20582</v>
      </c>
      <c r="M45" s="2227">
        <v>19800.13</v>
      </c>
      <c r="N45" s="2925">
        <v>20469.07</v>
      </c>
      <c r="O45" s="2925">
        <v>20469.07</v>
      </c>
      <c r="P45" s="2227">
        <v>18362.45</v>
      </c>
      <c r="Q45" s="2925">
        <v>19505.18</v>
      </c>
      <c r="R45" s="2227">
        <v>17903.36</v>
      </c>
      <c r="S45" s="2925">
        <v>18362.45</v>
      </c>
      <c r="T45" s="2925">
        <v>18515.2</v>
      </c>
      <c r="U45" s="2227">
        <v>17903.36</v>
      </c>
      <c r="V45" s="2925">
        <v>18098.810000000001</v>
      </c>
      <c r="W45" s="2227">
        <v>17190.91</v>
      </c>
      <c r="X45" s="2925">
        <v>17509.86</v>
      </c>
      <c r="Y45" s="2925">
        <v>17509.86</v>
      </c>
      <c r="Z45" s="2925">
        <v>16860.759999999998</v>
      </c>
      <c r="AA45" s="2925">
        <v>27167</v>
      </c>
      <c r="AB45" s="2227">
        <v>24457.38</v>
      </c>
      <c r="AC45" s="2925">
        <v>25648.02</v>
      </c>
      <c r="AD45" s="2227">
        <v>23585.82</v>
      </c>
      <c r="AE45" s="2925">
        <v>24148.02</v>
      </c>
      <c r="AF45" s="2227">
        <v>22932.33</v>
      </c>
      <c r="AG45" s="2925">
        <v>22648.02</v>
      </c>
      <c r="AH45" s="2925">
        <v>28044.1</v>
      </c>
      <c r="AI45" s="2925">
        <v>28055.94</v>
      </c>
      <c r="AJ45" s="2227">
        <v>27166.44</v>
      </c>
      <c r="AK45" s="2925">
        <v>27166.44</v>
      </c>
      <c r="AL45" s="2925">
        <v>25932.33</v>
      </c>
      <c r="AM45" s="2227">
        <v>24457.38</v>
      </c>
      <c r="AN45" s="2925">
        <v>24457.38</v>
      </c>
      <c r="AO45" s="2925">
        <v>24432.33</v>
      </c>
      <c r="AP45" s="2227">
        <v>23585.82</v>
      </c>
      <c r="AQ45" s="2925">
        <v>23585.82</v>
      </c>
      <c r="AR45" s="2925">
        <v>22932.33</v>
      </c>
      <c r="AS45" s="2923">
        <v>33124</v>
      </c>
      <c r="AT45" s="2227">
        <v>27576.47</v>
      </c>
      <c r="AU45" s="2923">
        <v>30884</v>
      </c>
      <c r="AV45" s="2227">
        <v>26904.17</v>
      </c>
      <c r="AW45" s="2923">
        <v>27718</v>
      </c>
      <c r="AX45" s="2227">
        <v>24394.45</v>
      </c>
      <c r="AY45" s="2923">
        <v>25218</v>
      </c>
      <c r="AZ45" s="2925">
        <v>33994</v>
      </c>
      <c r="BA45" s="2227">
        <v>29298.21</v>
      </c>
      <c r="BB45" s="2923">
        <v>33124</v>
      </c>
      <c r="BC45" s="2227">
        <v>28698.63</v>
      </c>
      <c r="BD45" s="2925">
        <v>35888.620000000003</v>
      </c>
      <c r="BE45" s="2227">
        <v>32067.71</v>
      </c>
      <c r="BF45" s="2923">
        <v>33124</v>
      </c>
      <c r="BG45" s="2227">
        <v>30592.47</v>
      </c>
      <c r="BH45" s="2925">
        <v>31754</v>
      </c>
      <c r="BI45" s="2227">
        <v>28584.78</v>
      </c>
      <c r="BJ45" s="2923">
        <v>30884</v>
      </c>
      <c r="BK45" s="2227">
        <v>27886.87</v>
      </c>
      <c r="BL45" s="2925">
        <v>32558</v>
      </c>
      <c r="BM45" s="2227">
        <v>31482.54</v>
      </c>
      <c r="BN45" s="2923">
        <v>31046.92</v>
      </c>
      <c r="BO45" s="2227">
        <v>30176.92</v>
      </c>
      <c r="BP45" s="2925">
        <v>28588</v>
      </c>
      <c r="BQ45" s="2227">
        <v>25747.26</v>
      </c>
      <c r="BR45" s="2923">
        <v>27718</v>
      </c>
      <c r="BS45" s="2227">
        <v>26802.639999999999</v>
      </c>
      <c r="BT45" s="2925">
        <v>29558</v>
      </c>
      <c r="BU45" s="2227">
        <v>27517.21</v>
      </c>
      <c r="BV45" s="2923">
        <v>27999.93</v>
      </c>
      <c r="BW45" s="2227">
        <v>26979.93</v>
      </c>
      <c r="BX45" s="2925">
        <v>26088</v>
      </c>
      <c r="BY45" s="2923">
        <v>25218</v>
      </c>
      <c r="BZ45" s="2924">
        <v>26558</v>
      </c>
      <c r="CA45" s="2923">
        <v>25218</v>
      </c>
      <c r="CB45" s="2227">
        <v>66780</v>
      </c>
      <c r="CC45" s="2227">
        <v>63780</v>
      </c>
      <c r="CD45" s="2227">
        <v>60780</v>
      </c>
      <c r="CE45" s="2227">
        <v>58990</v>
      </c>
      <c r="CF45" s="2227">
        <v>55990</v>
      </c>
      <c r="CG45" s="2227">
        <v>52990</v>
      </c>
      <c r="CH45" s="2227">
        <v>51360</v>
      </c>
      <c r="CI45" s="2227">
        <v>48360</v>
      </c>
      <c r="CJ45" s="2227">
        <v>44860</v>
      </c>
      <c r="CK45" s="2227">
        <v>43951.59</v>
      </c>
      <c r="CL45" s="2227">
        <v>41360</v>
      </c>
      <c r="CM45" s="2227">
        <v>38360</v>
      </c>
      <c r="CN45" s="2227">
        <v>35895</v>
      </c>
      <c r="CO45" s="2227">
        <v>33895</v>
      </c>
      <c r="CP45" s="2227">
        <v>22006.560000000001</v>
      </c>
      <c r="CQ45" s="2227">
        <v>13404.34</v>
      </c>
      <c r="CR45" s="2227">
        <v>16763.02</v>
      </c>
      <c r="CS45" s="2227">
        <v>32165.25</v>
      </c>
      <c r="CT45" s="2227">
        <v>20469.07</v>
      </c>
      <c r="CU45" s="2227">
        <v>22902.959999999999</v>
      </c>
      <c r="CV45" s="2227">
        <v>22902.959999999999</v>
      </c>
      <c r="CW45" s="2227">
        <v>22902.959999999999</v>
      </c>
      <c r="CX45" s="2227">
        <v>22902.959999999999</v>
      </c>
      <c r="CY45" s="2227">
        <v>22800</v>
      </c>
      <c r="CZ45" s="2227">
        <v>27166.44</v>
      </c>
      <c r="DA45" s="2227">
        <v>23724.12</v>
      </c>
      <c r="DB45" s="2227">
        <v>23050.69</v>
      </c>
      <c r="DC45" s="2227">
        <v>24457.38</v>
      </c>
      <c r="DD45" s="2227">
        <v>19010.2</v>
      </c>
      <c r="DE45" s="2227">
        <v>22648.02</v>
      </c>
      <c r="DF45" s="2227">
        <v>22498.34</v>
      </c>
      <c r="DG45" s="2227">
        <v>21950</v>
      </c>
      <c r="DH45" s="2227">
        <v>19600</v>
      </c>
      <c r="DI45" s="2227">
        <v>16476.650000000001</v>
      </c>
      <c r="DJ45" s="2227">
        <v>16476.650000000001</v>
      </c>
      <c r="DK45" s="2227">
        <v>20700</v>
      </c>
      <c r="DL45" s="2227">
        <v>24859.06</v>
      </c>
      <c r="DM45" s="2227">
        <v>24800</v>
      </c>
      <c r="DN45" s="2227">
        <v>14129.98</v>
      </c>
      <c r="DO45" s="2227">
        <v>26802.639999999999</v>
      </c>
      <c r="DP45" s="2227">
        <v>17947.62</v>
      </c>
      <c r="DQ45" s="2227">
        <v>34916.480000000003</v>
      </c>
      <c r="DR45" s="2227">
        <v>22932.33</v>
      </c>
      <c r="DS45" s="2227">
        <v>15650</v>
      </c>
      <c r="DT45" s="2227">
        <v>15645.76</v>
      </c>
      <c r="DU45" s="2227">
        <v>15666.92</v>
      </c>
      <c r="DV45" s="2227">
        <v>23585.82</v>
      </c>
      <c r="DW45" s="2227">
        <v>17190.91</v>
      </c>
      <c r="DX45" s="2227">
        <v>26450</v>
      </c>
      <c r="DY45" s="2227">
        <v>18649.73</v>
      </c>
      <c r="DZ45" s="2227">
        <v>26979.93</v>
      </c>
      <c r="EA45" s="2227">
        <v>23878.78</v>
      </c>
      <c r="EB45" s="2227">
        <v>37925.769999999997</v>
      </c>
      <c r="EC45" s="2227">
        <v>24606.06</v>
      </c>
      <c r="ED45" s="2227">
        <v>20451.259999999998</v>
      </c>
      <c r="EE45" s="2227">
        <v>16550</v>
      </c>
      <c r="EF45" s="2227">
        <v>18362.45</v>
      </c>
      <c r="EG45" s="2227">
        <v>19800.13</v>
      </c>
      <c r="EH45" s="2227">
        <v>18691.3</v>
      </c>
      <c r="EI45" s="2227">
        <v>24764.720000000001</v>
      </c>
      <c r="EJ45" s="2227">
        <v>31482.54</v>
      </c>
      <c r="EK45" s="2227">
        <v>22475.61</v>
      </c>
      <c r="EL45" s="2227">
        <v>18691.310000000001</v>
      </c>
      <c r="EM45" s="2227">
        <v>38304.26</v>
      </c>
      <c r="EN45" s="2227">
        <v>27517.21</v>
      </c>
      <c r="EO45" s="2227">
        <v>14888.48</v>
      </c>
      <c r="EP45" s="2227">
        <v>18300</v>
      </c>
      <c r="EQ45" s="2227">
        <v>22283.79</v>
      </c>
      <c r="ER45" s="2227">
        <v>23371.47</v>
      </c>
      <c r="ES45" s="2227">
        <v>20382.759999999998</v>
      </c>
      <c r="ET45" s="2227">
        <v>15249.61</v>
      </c>
      <c r="EU45" s="2227">
        <v>23128.53</v>
      </c>
      <c r="EV45" s="2227">
        <v>25212.13</v>
      </c>
      <c r="EW45" s="2227">
        <v>22741.98</v>
      </c>
      <c r="EX45" s="2227">
        <v>22284.13</v>
      </c>
      <c r="EY45" s="2227">
        <v>23350</v>
      </c>
      <c r="EZ45" s="2227">
        <v>33887.15</v>
      </c>
      <c r="FA45" s="2227">
        <v>18273.66</v>
      </c>
      <c r="FB45" s="2227">
        <v>16076.06</v>
      </c>
      <c r="FC45" s="2227">
        <v>36200</v>
      </c>
      <c r="FD45" s="2227">
        <v>34000</v>
      </c>
      <c r="FE45" s="2227">
        <v>42638.83</v>
      </c>
      <c r="FF45" s="2227">
        <v>15000</v>
      </c>
      <c r="FG45" s="2227">
        <v>30176.92</v>
      </c>
      <c r="FH45" s="2227">
        <v>21368.47</v>
      </c>
      <c r="FI45" s="2227">
        <v>17903.36</v>
      </c>
      <c r="FJ45" s="2227">
        <v>15480.42</v>
      </c>
      <c r="FK45" s="2227">
        <v>27886.87</v>
      </c>
      <c r="FL45" s="2227">
        <v>19682.88</v>
      </c>
      <c r="FM45" s="2227">
        <v>24408.44</v>
      </c>
      <c r="FN45" s="2227">
        <v>22800</v>
      </c>
      <c r="FO45" s="2227">
        <v>28817.74</v>
      </c>
      <c r="FP45" s="2227">
        <v>22459.200000000001</v>
      </c>
      <c r="FQ45" s="2227">
        <v>17925.2</v>
      </c>
      <c r="FR45" s="2227">
        <v>29300</v>
      </c>
      <c r="FS45" s="2227">
        <v>36200</v>
      </c>
      <c r="FT45" s="2227">
        <v>30292.59</v>
      </c>
      <c r="FU45" s="2227">
        <v>24789.42</v>
      </c>
      <c r="FV45" s="2227">
        <v>35250</v>
      </c>
      <c r="FW45" s="2227">
        <v>17905.48</v>
      </c>
      <c r="FX45" s="2227">
        <v>20228.240000000002</v>
      </c>
      <c r="FY45" s="2227">
        <v>16810.330000000002</v>
      </c>
      <c r="FZ45" s="2227">
        <v>22063.68</v>
      </c>
      <c r="GA45" s="2227">
        <v>28946.43</v>
      </c>
      <c r="GB45" s="2227">
        <v>32067.71</v>
      </c>
      <c r="GC45" s="2227">
        <v>17947.62</v>
      </c>
      <c r="GD45" s="2227">
        <v>14084.93</v>
      </c>
      <c r="GE45" s="2227">
        <v>28780.55</v>
      </c>
      <c r="GF45" s="2227">
        <v>29150</v>
      </c>
      <c r="GG45" s="2227">
        <v>45052.27</v>
      </c>
      <c r="GH45" s="2227">
        <v>19682.75</v>
      </c>
      <c r="GI45" s="2227">
        <v>22224.3</v>
      </c>
      <c r="GJ45" s="2227">
        <v>14898.45</v>
      </c>
      <c r="GK45" s="2227">
        <v>18273.39</v>
      </c>
      <c r="GL45" s="2227">
        <v>26904.17</v>
      </c>
      <c r="GM45" s="2227">
        <v>18662.46</v>
      </c>
      <c r="GN45" s="2227">
        <v>21355.98</v>
      </c>
      <c r="GO45" s="2227">
        <v>20414.61</v>
      </c>
      <c r="GP45" s="2227">
        <v>24724.41</v>
      </c>
      <c r="GQ45" s="2227">
        <v>16639.7</v>
      </c>
      <c r="GR45" s="2227">
        <v>15167.61</v>
      </c>
      <c r="GS45" s="2227">
        <v>15909.48</v>
      </c>
      <c r="GT45" s="2227">
        <v>18649.73</v>
      </c>
      <c r="GU45" s="2227">
        <v>22679.62</v>
      </c>
      <c r="GV45" s="2227">
        <v>21788.59</v>
      </c>
      <c r="GW45" s="2227">
        <v>38349.18</v>
      </c>
      <c r="GX45" s="2227">
        <v>40333.050000000003</v>
      </c>
      <c r="GY45" s="2227">
        <v>49443.29</v>
      </c>
      <c r="GZ45" s="2227">
        <v>14591.09</v>
      </c>
      <c r="HA45" s="2227">
        <v>14025.66</v>
      </c>
      <c r="HB45" s="2227">
        <v>19682.88</v>
      </c>
      <c r="HC45" s="2227">
        <v>17935.78</v>
      </c>
      <c r="HD45" s="2227">
        <v>18639.27</v>
      </c>
      <c r="HE45" s="2227">
        <v>25493.52</v>
      </c>
      <c r="HF45" s="2227">
        <v>26550</v>
      </c>
      <c r="HG45" s="2227">
        <v>23723.26</v>
      </c>
      <c r="HH45" s="2227">
        <v>24800</v>
      </c>
      <c r="HI45" s="2227">
        <v>23823</v>
      </c>
      <c r="HJ45" s="2227">
        <v>24408.44</v>
      </c>
      <c r="HK45" s="2227">
        <v>29298.21</v>
      </c>
      <c r="HL45" s="2227">
        <v>40100</v>
      </c>
      <c r="HM45" s="2227">
        <v>19682.87</v>
      </c>
      <c r="HN45" s="2227">
        <v>18740.89</v>
      </c>
      <c r="HO45" s="2227">
        <v>15666.92</v>
      </c>
      <c r="HP45" s="2227">
        <v>23731.39</v>
      </c>
      <c r="HQ45" s="2227">
        <v>28946.43</v>
      </c>
      <c r="HR45" s="2227">
        <v>32500</v>
      </c>
      <c r="HS45" s="2227">
        <v>22806.240000000002</v>
      </c>
      <c r="HT45" s="2227">
        <v>24863.78</v>
      </c>
      <c r="HU45" s="2227">
        <v>33522.1</v>
      </c>
      <c r="HV45" s="2227">
        <v>31744.65</v>
      </c>
      <c r="HW45" s="2227">
        <v>19682.73</v>
      </c>
      <c r="HX45" s="2227">
        <v>18273.66</v>
      </c>
      <c r="HY45" s="2227">
        <v>18448.45</v>
      </c>
      <c r="HZ45" s="2227">
        <v>19374.060000000001</v>
      </c>
      <c r="IA45" s="2227">
        <v>14025.66</v>
      </c>
      <c r="IB45" s="2227">
        <v>19991.37</v>
      </c>
      <c r="IC45" s="2227">
        <v>19792.05</v>
      </c>
      <c r="ID45" s="2227">
        <v>24958.05</v>
      </c>
      <c r="IE45" s="2227">
        <v>23150.880000000001</v>
      </c>
      <c r="IF45" s="2227">
        <v>22729.75</v>
      </c>
      <c r="IG45" s="2227">
        <v>28044.1</v>
      </c>
      <c r="IH45" s="2227">
        <v>22806.25</v>
      </c>
      <c r="II45" s="2227">
        <v>23096.959999999999</v>
      </c>
      <c r="IJ45" s="2227">
        <v>31879.23</v>
      </c>
      <c r="IK45" s="2227">
        <v>23785.54</v>
      </c>
      <c r="IL45" s="2227">
        <v>28698.63</v>
      </c>
      <c r="IM45" s="2227">
        <v>25016.95</v>
      </c>
      <c r="IN45" s="2227">
        <v>35548.06</v>
      </c>
      <c r="IO45" s="2227">
        <v>37060.19</v>
      </c>
      <c r="IP45" s="2227">
        <v>34000</v>
      </c>
      <c r="IQ45" s="2227">
        <v>33522.1</v>
      </c>
      <c r="IR45" s="2227">
        <v>51436.27</v>
      </c>
      <c r="IS45" s="2227">
        <v>33502.629999999997</v>
      </c>
      <c r="IT45" s="2227">
        <v>45116.66</v>
      </c>
      <c r="IU45" s="2227">
        <v>33667.51</v>
      </c>
      <c r="IV45" s="2227">
        <v>23050.69</v>
      </c>
    </row>
    <row r="46" spans="1:256">
      <c r="A46" s="2214">
        <v>37</v>
      </c>
      <c r="B46" s="2925">
        <v>16672.52</v>
      </c>
      <c r="C46" s="2227">
        <v>16522.64</v>
      </c>
      <c r="D46" s="2925">
        <v>15672.52</v>
      </c>
      <c r="E46" s="2227">
        <v>15249.61</v>
      </c>
      <c r="F46" s="2925">
        <v>14672.52</v>
      </c>
      <c r="G46" s="2227">
        <v>14325.66</v>
      </c>
      <c r="H46" s="2926">
        <v>13732</v>
      </c>
      <c r="I46" s="2925">
        <v>23724.12</v>
      </c>
      <c r="J46" s="2925">
        <v>23724.12</v>
      </c>
      <c r="K46" s="2227">
        <v>19800.13</v>
      </c>
      <c r="L46" s="2925">
        <v>20582</v>
      </c>
      <c r="M46" s="2227">
        <v>19800.13</v>
      </c>
      <c r="N46" s="2925">
        <v>20469.07</v>
      </c>
      <c r="O46" s="2925">
        <v>20469.07</v>
      </c>
      <c r="P46" s="2227">
        <v>18362.45</v>
      </c>
      <c r="Q46" s="2925">
        <v>19505.18</v>
      </c>
      <c r="R46" s="2227">
        <v>17903.36</v>
      </c>
      <c r="S46" s="2925">
        <v>18362.45</v>
      </c>
      <c r="T46" s="2925">
        <v>18515.2</v>
      </c>
      <c r="U46" s="2227">
        <v>17903.36</v>
      </c>
      <c r="V46" s="2925">
        <v>18098.810000000001</v>
      </c>
      <c r="W46" s="2227">
        <v>17190.91</v>
      </c>
      <c r="X46" s="2925">
        <v>17509.86</v>
      </c>
      <c r="Y46" s="2925">
        <v>17509.86</v>
      </c>
      <c r="Z46" s="2925">
        <v>16860.759999999998</v>
      </c>
      <c r="AA46" s="2925">
        <v>27167</v>
      </c>
      <c r="AB46" s="2227">
        <v>24457.38</v>
      </c>
      <c r="AC46" s="2925">
        <v>25648.02</v>
      </c>
      <c r="AD46" s="2227">
        <v>23585.82</v>
      </c>
      <c r="AE46" s="2925">
        <v>24148.02</v>
      </c>
      <c r="AF46" s="2227">
        <v>22932.33</v>
      </c>
      <c r="AG46" s="2925">
        <v>22648.02</v>
      </c>
      <c r="AH46" s="2925">
        <v>28044.1</v>
      </c>
      <c r="AI46" s="2925">
        <v>28055.94</v>
      </c>
      <c r="AJ46" s="2227">
        <v>27166.44</v>
      </c>
      <c r="AK46" s="2925">
        <v>27166.44</v>
      </c>
      <c r="AL46" s="2925">
        <v>25932.33</v>
      </c>
      <c r="AM46" s="2227">
        <v>24457.38</v>
      </c>
      <c r="AN46" s="2925">
        <v>24457.38</v>
      </c>
      <c r="AO46" s="2925">
        <v>24432.33</v>
      </c>
      <c r="AP46" s="2227">
        <v>23585.82</v>
      </c>
      <c r="AQ46" s="2925">
        <v>23585.82</v>
      </c>
      <c r="AR46" s="2925">
        <v>22932.33</v>
      </c>
      <c r="AS46" s="2923">
        <v>33124</v>
      </c>
      <c r="AT46" s="2227">
        <v>27576.47</v>
      </c>
      <c r="AU46" s="2923">
        <v>30884</v>
      </c>
      <c r="AV46" s="2227">
        <v>26904.17</v>
      </c>
      <c r="AW46" s="2923">
        <v>27718</v>
      </c>
      <c r="AX46" s="2227">
        <v>24394.45</v>
      </c>
      <c r="AY46" s="2923">
        <v>25218</v>
      </c>
      <c r="AZ46" s="2925">
        <v>33994</v>
      </c>
      <c r="BA46" s="2227">
        <v>29298.21</v>
      </c>
      <c r="BB46" s="2923">
        <v>33124</v>
      </c>
      <c r="BC46" s="2227">
        <v>28698.63</v>
      </c>
      <c r="BD46" s="2925">
        <v>35888.620000000003</v>
      </c>
      <c r="BE46" s="2227">
        <v>32067.71</v>
      </c>
      <c r="BF46" s="2923">
        <v>33124</v>
      </c>
      <c r="BG46" s="2227">
        <v>30592.47</v>
      </c>
      <c r="BH46" s="2925">
        <v>31754</v>
      </c>
      <c r="BI46" s="2227">
        <v>28584.78</v>
      </c>
      <c r="BJ46" s="2923">
        <v>30884</v>
      </c>
      <c r="BK46" s="2227">
        <v>27886.87</v>
      </c>
      <c r="BL46" s="2925">
        <v>32558</v>
      </c>
      <c r="BM46" s="2227">
        <v>31482.54</v>
      </c>
      <c r="BN46" s="2923">
        <v>31046.92</v>
      </c>
      <c r="BO46" s="2227">
        <v>30176.92</v>
      </c>
      <c r="BP46" s="2925">
        <v>28588</v>
      </c>
      <c r="BQ46" s="2227">
        <v>25747.26</v>
      </c>
      <c r="BR46" s="2923">
        <v>27718</v>
      </c>
      <c r="BS46" s="2227">
        <v>26802.639999999999</v>
      </c>
      <c r="BT46" s="2925">
        <v>29558</v>
      </c>
      <c r="BU46" s="2227">
        <v>27517.21</v>
      </c>
      <c r="BV46" s="2923">
        <v>27999.93</v>
      </c>
      <c r="BW46" s="2227">
        <v>26979.93</v>
      </c>
      <c r="BX46" s="2925">
        <v>26088</v>
      </c>
      <c r="BY46" s="2923">
        <v>25218</v>
      </c>
      <c r="BZ46" s="2924">
        <v>26558</v>
      </c>
      <c r="CA46" s="2923">
        <v>25218</v>
      </c>
      <c r="CB46" s="2227">
        <v>66780</v>
      </c>
      <c r="CC46" s="2227">
        <v>63780</v>
      </c>
      <c r="CD46" s="2227">
        <v>60780</v>
      </c>
      <c r="CE46" s="2227">
        <v>58990</v>
      </c>
      <c r="CF46" s="2227">
        <v>55990</v>
      </c>
      <c r="CG46" s="2227">
        <v>52990</v>
      </c>
      <c r="CH46" s="2227">
        <v>51360</v>
      </c>
      <c r="CI46" s="2227">
        <v>48360</v>
      </c>
      <c r="CJ46" s="2227">
        <v>44860</v>
      </c>
      <c r="CK46" s="2227">
        <v>43951.59</v>
      </c>
      <c r="CL46" s="2227">
        <v>41360</v>
      </c>
      <c r="CM46" s="2227">
        <v>38360</v>
      </c>
      <c r="CN46" s="2227">
        <v>35895</v>
      </c>
      <c r="CO46" s="2227">
        <v>33895</v>
      </c>
      <c r="CP46" s="2227">
        <v>22006.560000000001</v>
      </c>
      <c r="CQ46" s="2227">
        <v>13404.34</v>
      </c>
      <c r="CR46" s="2227">
        <v>16763.02</v>
      </c>
      <c r="CS46" s="2227">
        <v>32165.25</v>
      </c>
      <c r="CT46" s="2227">
        <v>20469.07</v>
      </c>
      <c r="CU46" s="2227">
        <v>22902.959999999999</v>
      </c>
      <c r="CV46" s="2227">
        <v>22902.959999999999</v>
      </c>
      <c r="CW46" s="2227">
        <v>22902.959999999999</v>
      </c>
      <c r="CX46" s="2227">
        <v>22902.959999999999</v>
      </c>
      <c r="CY46" s="2227">
        <v>22800</v>
      </c>
      <c r="CZ46" s="2227">
        <v>27166.44</v>
      </c>
      <c r="DA46" s="2227">
        <v>23724.12</v>
      </c>
      <c r="DB46" s="2227">
        <v>23050.69</v>
      </c>
      <c r="DC46" s="2227">
        <v>24457.38</v>
      </c>
      <c r="DD46" s="2227">
        <v>19010.2</v>
      </c>
      <c r="DE46" s="2227">
        <v>22648.02</v>
      </c>
      <c r="DF46" s="2227">
        <v>22498.34</v>
      </c>
      <c r="DG46" s="2227">
        <v>21950</v>
      </c>
      <c r="DH46" s="2227">
        <v>19600</v>
      </c>
      <c r="DI46" s="2227">
        <v>16476.650000000001</v>
      </c>
      <c r="DJ46" s="2227">
        <v>16476.650000000001</v>
      </c>
      <c r="DK46" s="2227">
        <v>20700</v>
      </c>
      <c r="DL46" s="2227">
        <v>24859.06</v>
      </c>
      <c r="DM46" s="2227">
        <v>24800</v>
      </c>
      <c r="DN46" s="2227">
        <v>14129.98</v>
      </c>
      <c r="DO46" s="2227">
        <v>26802.639999999999</v>
      </c>
      <c r="DP46" s="2227">
        <v>17947.62</v>
      </c>
      <c r="DQ46" s="2227">
        <v>34916.480000000003</v>
      </c>
      <c r="DR46" s="2227">
        <v>22932.33</v>
      </c>
      <c r="DS46" s="2227">
        <v>15650</v>
      </c>
      <c r="DT46" s="2227">
        <v>15645.76</v>
      </c>
      <c r="DU46" s="2227">
        <v>15666.92</v>
      </c>
      <c r="DV46" s="2227">
        <v>23585.82</v>
      </c>
      <c r="DW46" s="2227">
        <v>17190.91</v>
      </c>
      <c r="DX46" s="2227">
        <v>26450</v>
      </c>
      <c r="DY46" s="2227">
        <v>18649.73</v>
      </c>
      <c r="DZ46" s="2227">
        <v>26979.93</v>
      </c>
      <c r="EA46" s="2227">
        <v>23878.78</v>
      </c>
      <c r="EB46" s="2227">
        <v>37925.769999999997</v>
      </c>
      <c r="EC46" s="2227">
        <v>24606.06</v>
      </c>
      <c r="ED46" s="2227">
        <v>20451.259999999998</v>
      </c>
      <c r="EE46" s="2227">
        <v>16550</v>
      </c>
      <c r="EF46" s="2227">
        <v>18362.45</v>
      </c>
      <c r="EG46" s="2227">
        <v>19800.13</v>
      </c>
      <c r="EH46" s="2227">
        <v>18691.3</v>
      </c>
      <c r="EI46" s="2227">
        <v>24764.720000000001</v>
      </c>
      <c r="EJ46" s="2227">
        <v>31482.54</v>
      </c>
      <c r="EK46" s="2227">
        <v>22475.61</v>
      </c>
      <c r="EL46" s="2227">
        <v>18691.310000000001</v>
      </c>
      <c r="EM46" s="2227">
        <v>38304.26</v>
      </c>
      <c r="EN46" s="2227">
        <v>27517.21</v>
      </c>
      <c r="EO46" s="2227">
        <v>14888.48</v>
      </c>
      <c r="EP46" s="2227">
        <v>18300</v>
      </c>
      <c r="EQ46" s="2227">
        <v>22283.79</v>
      </c>
      <c r="ER46" s="2227">
        <v>23371.47</v>
      </c>
      <c r="ES46" s="2227">
        <v>20382.759999999998</v>
      </c>
      <c r="ET46" s="2227">
        <v>15249.61</v>
      </c>
      <c r="EU46" s="2227">
        <v>23128.53</v>
      </c>
      <c r="EV46" s="2227">
        <v>25212.13</v>
      </c>
      <c r="EW46" s="2227">
        <v>22741.98</v>
      </c>
      <c r="EX46" s="2227">
        <v>22284.13</v>
      </c>
      <c r="EY46" s="2227">
        <v>23350</v>
      </c>
      <c r="EZ46" s="2227">
        <v>33887.15</v>
      </c>
      <c r="FA46" s="2227">
        <v>18273.66</v>
      </c>
      <c r="FB46" s="2227">
        <v>16076.06</v>
      </c>
      <c r="FC46" s="2227">
        <v>36200</v>
      </c>
      <c r="FD46" s="2227">
        <v>34000</v>
      </c>
      <c r="FE46" s="2227">
        <v>42638.83</v>
      </c>
      <c r="FF46" s="2227">
        <v>15000</v>
      </c>
      <c r="FG46" s="2227">
        <v>30176.92</v>
      </c>
      <c r="FH46" s="2227">
        <v>21368.47</v>
      </c>
      <c r="FI46" s="2227">
        <v>17903.36</v>
      </c>
      <c r="FJ46" s="2227">
        <v>15480.42</v>
      </c>
      <c r="FK46" s="2227">
        <v>27886.87</v>
      </c>
      <c r="FL46" s="2227">
        <v>19682.88</v>
      </c>
      <c r="FM46" s="2227">
        <v>24408.44</v>
      </c>
      <c r="FN46" s="2227">
        <v>22800</v>
      </c>
      <c r="FO46" s="2227">
        <v>28817.74</v>
      </c>
      <c r="FP46" s="2227">
        <v>22459.200000000001</v>
      </c>
      <c r="FQ46" s="2227">
        <v>17925.2</v>
      </c>
      <c r="FR46" s="2227">
        <v>29300</v>
      </c>
      <c r="FS46" s="2227">
        <v>36200</v>
      </c>
      <c r="FT46" s="2227">
        <v>30292.59</v>
      </c>
      <c r="FU46" s="2227">
        <v>24789.42</v>
      </c>
      <c r="FV46" s="2227">
        <v>35250</v>
      </c>
      <c r="FW46" s="2227">
        <v>17905.48</v>
      </c>
      <c r="FX46" s="2227">
        <v>20228.240000000002</v>
      </c>
      <c r="FY46" s="2227">
        <v>16810.330000000002</v>
      </c>
      <c r="FZ46" s="2227">
        <v>22063.68</v>
      </c>
      <c r="GA46" s="2227">
        <v>28946.43</v>
      </c>
      <c r="GB46" s="2227">
        <v>32067.71</v>
      </c>
      <c r="GC46" s="2227">
        <v>17947.62</v>
      </c>
      <c r="GD46" s="2227">
        <v>14084.93</v>
      </c>
      <c r="GE46" s="2227">
        <v>28780.55</v>
      </c>
      <c r="GF46" s="2227">
        <v>29150</v>
      </c>
      <c r="GG46" s="2227">
        <v>45052.27</v>
      </c>
      <c r="GH46" s="2227">
        <v>19682.75</v>
      </c>
      <c r="GI46" s="2227">
        <v>22224.3</v>
      </c>
      <c r="GJ46" s="2227">
        <v>14898.45</v>
      </c>
      <c r="GK46" s="2227">
        <v>18273.39</v>
      </c>
      <c r="GL46" s="2227">
        <v>26904.17</v>
      </c>
      <c r="GM46" s="2227">
        <v>18662.46</v>
      </c>
      <c r="GN46" s="2227">
        <v>21355.98</v>
      </c>
      <c r="GO46" s="2227">
        <v>20414.61</v>
      </c>
      <c r="GP46" s="2227">
        <v>24724.41</v>
      </c>
      <c r="GQ46" s="2227">
        <v>16639.7</v>
      </c>
      <c r="GR46" s="2227">
        <v>15167.61</v>
      </c>
      <c r="GS46" s="2227">
        <v>15909.48</v>
      </c>
      <c r="GT46" s="2227">
        <v>18649.73</v>
      </c>
      <c r="GU46" s="2227">
        <v>22679.62</v>
      </c>
      <c r="GV46" s="2227">
        <v>21788.59</v>
      </c>
      <c r="GW46" s="2227">
        <v>38349.18</v>
      </c>
      <c r="GX46" s="2227">
        <v>40333.050000000003</v>
      </c>
      <c r="GY46" s="2227">
        <v>49443.29</v>
      </c>
      <c r="GZ46" s="2227">
        <v>14591.09</v>
      </c>
      <c r="HA46" s="2227">
        <v>14025.66</v>
      </c>
      <c r="HB46" s="2227">
        <v>19682.88</v>
      </c>
      <c r="HC46" s="2227">
        <v>17935.78</v>
      </c>
      <c r="HD46" s="2227">
        <v>18639.27</v>
      </c>
      <c r="HE46" s="2227">
        <v>25493.52</v>
      </c>
      <c r="HF46" s="2227">
        <v>26550</v>
      </c>
      <c r="HG46" s="2227">
        <v>23723.26</v>
      </c>
      <c r="HH46" s="2227">
        <v>24800</v>
      </c>
      <c r="HI46" s="2227">
        <v>23823</v>
      </c>
      <c r="HJ46" s="2227">
        <v>24408.44</v>
      </c>
      <c r="HK46" s="2227">
        <v>29298.21</v>
      </c>
      <c r="HL46" s="2227">
        <v>40100</v>
      </c>
      <c r="HM46" s="2227">
        <v>19682.87</v>
      </c>
      <c r="HN46" s="2227">
        <v>18740.89</v>
      </c>
      <c r="HO46" s="2227">
        <v>15666.92</v>
      </c>
      <c r="HP46" s="2227">
        <v>23731.39</v>
      </c>
      <c r="HQ46" s="2227">
        <v>28946.43</v>
      </c>
      <c r="HR46" s="2227">
        <v>32500</v>
      </c>
      <c r="HS46" s="2227">
        <v>22806.240000000002</v>
      </c>
      <c r="HT46" s="2227">
        <v>24863.78</v>
      </c>
      <c r="HU46" s="2227">
        <v>33522.1</v>
      </c>
      <c r="HV46" s="2227">
        <v>31744.65</v>
      </c>
      <c r="HW46" s="2227">
        <v>19682.73</v>
      </c>
      <c r="HX46" s="2227">
        <v>18273.66</v>
      </c>
      <c r="HY46" s="2227">
        <v>18448.45</v>
      </c>
      <c r="HZ46" s="2227">
        <v>19374.060000000001</v>
      </c>
      <c r="IA46" s="2227">
        <v>14025.66</v>
      </c>
      <c r="IB46" s="2227">
        <v>19991.37</v>
      </c>
      <c r="IC46" s="2227">
        <v>19792.05</v>
      </c>
      <c r="ID46" s="2227">
        <v>24958.05</v>
      </c>
      <c r="IE46" s="2227">
        <v>23150.880000000001</v>
      </c>
      <c r="IF46" s="2227">
        <v>22729.75</v>
      </c>
      <c r="IG46" s="2227">
        <v>28044.1</v>
      </c>
      <c r="IH46" s="2227">
        <v>22806.25</v>
      </c>
      <c r="II46" s="2227">
        <v>23096.959999999999</v>
      </c>
      <c r="IJ46" s="2227">
        <v>31879.23</v>
      </c>
      <c r="IK46" s="2227">
        <v>23785.54</v>
      </c>
      <c r="IL46" s="2227">
        <v>28698.63</v>
      </c>
      <c r="IM46" s="2227">
        <v>25016.95</v>
      </c>
      <c r="IN46" s="2227">
        <v>35548.06</v>
      </c>
      <c r="IO46" s="2227">
        <v>37060.19</v>
      </c>
      <c r="IP46" s="2227">
        <v>34000</v>
      </c>
      <c r="IQ46" s="2227">
        <v>33522.1</v>
      </c>
      <c r="IR46" s="2227">
        <v>51436.27</v>
      </c>
      <c r="IS46" s="2227">
        <v>33502.629999999997</v>
      </c>
      <c r="IT46" s="2227">
        <v>45116.66</v>
      </c>
      <c r="IU46" s="2227">
        <v>33667.51</v>
      </c>
      <c r="IV46" s="2227">
        <v>23050.69</v>
      </c>
    </row>
    <row r="47" spans="1:256">
      <c r="A47" s="2214">
        <v>38</v>
      </c>
      <c r="B47" s="2925">
        <v>16672.52</v>
      </c>
      <c r="C47" s="2227">
        <v>16522.64</v>
      </c>
      <c r="D47" s="2925">
        <v>15672.52</v>
      </c>
      <c r="E47" s="2227">
        <v>15249.61</v>
      </c>
      <c r="F47" s="2925">
        <v>14672.52</v>
      </c>
      <c r="G47" s="2227">
        <v>14325.66</v>
      </c>
      <c r="H47" s="2926">
        <v>13732</v>
      </c>
      <c r="I47" s="2925">
        <v>23724.12</v>
      </c>
      <c r="J47" s="2925">
        <v>23724.12</v>
      </c>
      <c r="K47" s="2227">
        <v>19800.13</v>
      </c>
      <c r="L47" s="2925">
        <v>20582</v>
      </c>
      <c r="M47" s="2227">
        <v>19800.13</v>
      </c>
      <c r="N47" s="2925">
        <v>20469.07</v>
      </c>
      <c r="O47" s="2925">
        <v>20469.07</v>
      </c>
      <c r="P47" s="2227">
        <v>18362.45</v>
      </c>
      <c r="Q47" s="2925">
        <v>19505.18</v>
      </c>
      <c r="R47" s="2227">
        <v>17903.36</v>
      </c>
      <c r="S47" s="2925">
        <v>18362.45</v>
      </c>
      <c r="T47" s="2925">
        <v>18515.2</v>
      </c>
      <c r="U47" s="2227">
        <v>17903.36</v>
      </c>
      <c r="V47" s="2925">
        <v>18098.810000000001</v>
      </c>
      <c r="W47" s="2227">
        <v>17190.91</v>
      </c>
      <c r="X47" s="2925">
        <v>17509.86</v>
      </c>
      <c r="Y47" s="2925">
        <v>17509.86</v>
      </c>
      <c r="Z47" s="2925">
        <v>16860.759999999998</v>
      </c>
      <c r="AA47" s="2925">
        <v>27167</v>
      </c>
      <c r="AB47" s="2227">
        <v>24457.38</v>
      </c>
      <c r="AC47" s="2925">
        <v>25648.02</v>
      </c>
      <c r="AD47" s="2227">
        <v>23585.82</v>
      </c>
      <c r="AE47" s="2925">
        <v>24148.02</v>
      </c>
      <c r="AF47" s="2227">
        <v>22932.33</v>
      </c>
      <c r="AG47" s="2925">
        <v>22648.02</v>
      </c>
      <c r="AH47" s="2925">
        <v>28044.1</v>
      </c>
      <c r="AI47" s="2925">
        <v>28055.94</v>
      </c>
      <c r="AJ47" s="2227">
        <v>27166.44</v>
      </c>
      <c r="AK47" s="2925">
        <v>27166.44</v>
      </c>
      <c r="AL47" s="2925">
        <v>25932.33</v>
      </c>
      <c r="AM47" s="2227">
        <v>24457.38</v>
      </c>
      <c r="AN47" s="2925">
        <v>24457.38</v>
      </c>
      <c r="AO47" s="2925">
        <v>24432.33</v>
      </c>
      <c r="AP47" s="2227">
        <v>23585.82</v>
      </c>
      <c r="AQ47" s="2925">
        <v>23585.82</v>
      </c>
      <c r="AR47" s="2925">
        <v>22932.33</v>
      </c>
      <c r="AS47" s="2923">
        <v>33124</v>
      </c>
      <c r="AT47" s="2227">
        <v>27576.47</v>
      </c>
      <c r="AU47" s="2923">
        <v>30884</v>
      </c>
      <c r="AV47" s="2227">
        <v>26904.17</v>
      </c>
      <c r="AW47" s="2923">
        <v>27718</v>
      </c>
      <c r="AX47" s="2227">
        <v>24394.45</v>
      </c>
      <c r="AY47" s="2923">
        <v>25218</v>
      </c>
      <c r="AZ47" s="2925">
        <v>33994</v>
      </c>
      <c r="BA47" s="2227">
        <v>29298.21</v>
      </c>
      <c r="BB47" s="2923">
        <v>33124</v>
      </c>
      <c r="BC47" s="2227">
        <v>28698.63</v>
      </c>
      <c r="BD47" s="2925">
        <v>35888.620000000003</v>
      </c>
      <c r="BE47" s="2227">
        <v>32067.71</v>
      </c>
      <c r="BF47" s="2923">
        <v>33124</v>
      </c>
      <c r="BG47" s="2227">
        <v>30592.47</v>
      </c>
      <c r="BH47" s="2925">
        <v>31754</v>
      </c>
      <c r="BI47" s="2227">
        <v>28584.78</v>
      </c>
      <c r="BJ47" s="2923">
        <v>30884</v>
      </c>
      <c r="BK47" s="2227">
        <v>27886.87</v>
      </c>
      <c r="BL47" s="2925">
        <v>32558</v>
      </c>
      <c r="BM47" s="2227">
        <v>31482.54</v>
      </c>
      <c r="BN47" s="2923">
        <v>31046.92</v>
      </c>
      <c r="BO47" s="2227">
        <v>30176.92</v>
      </c>
      <c r="BP47" s="2925">
        <v>28588</v>
      </c>
      <c r="BQ47" s="2227">
        <v>25747.26</v>
      </c>
      <c r="BR47" s="2923">
        <v>27718</v>
      </c>
      <c r="BS47" s="2227">
        <v>26802.639999999999</v>
      </c>
      <c r="BT47" s="2925">
        <v>29558</v>
      </c>
      <c r="BU47" s="2227">
        <v>27517.21</v>
      </c>
      <c r="BV47" s="2923">
        <v>27999.93</v>
      </c>
      <c r="BW47" s="2227">
        <v>26979.93</v>
      </c>
      <c r="BX47" s="2925">
        <v>26088</v>
      </c>
      <c r="BY47" s="2923">
        <v>25218</v>
      </c>
      <c r="BZ47" s="2924">
        <v>26558</v>
      </c>
      <c r="CA47" s="2923">
        <v>25218</v>
      </c>
      <c r="CB47" s="2227">
        <v>66780</v>
      </c>
      <c r="CC47" s="2227">
        <v>63780</v>
      </c>
      <c r="CD47" s="2227">
        <v>60780</v>
      </c>
      <c r="CE47" s="2227">
        <v>58990</v>
      </c>
      <c r="CF47" s="2227">
        <v>55990</v>
      </c>
      <c r="CG47" s="2227">
        <v>52990</v>
      </c>
      <c r="CH47" s="2227">
        <v>51360</v>
      </c>
      <c r="CI47" s="2227">
        <v>48360</v>
      </c>
      <c r="CJ47" s="2227">
        <v>44860</v>
      </c>
      <c r="CK47" s="2227">
        <v>43951.59</v>
      </c>
      <c r="CL47" s="2227">
        <v>41360</v>
      </c>
      <c r="CM47" s="2227">
        <v>38360</v>
      </c>
      <c r="CN47" s="2227">
        <v>35895</v>
      </c>
      <c r="CO47" s="2227">
        <v>33895</v>
      </c>
      <c r="CP47" s="2227">
        <v>22006.560000000001</v>
      </c>
      <c r="CQ47" s="2227">
        <v>13404.34</v>
      </c>
      <c r="CR47" s="2227">
        <v>16763.02</v>
      </c>
      <c r="CS47" s="2227">
        <v>32165.25</v>
      </c>
      <c r="CT47" s="2227">
        <v>20469.07</v>
      </c>
      <c r="CU47" s="2227">
        <v>22902.959999999999</v>
      </c>
      <c r="CV47" s="2227">
        <v>22902.959999999999</v>
      </c>
      <c r="CW47" s="2227">
        <v>22902.959999999999</v>
      </c>
      <c r="CX47" s="2227">
        <v>22902.959999999999</v>
      </c>
      <c r="CY47" s="2227">
        <v>22800</v>
      </c>
      <c r="CZ47" s="2227">
        <v>27166.44</v>
      </c>
      <c r="DA47" s="2227">
        <v>23724.12</v>
      </c>
      <c r="DB47" s="2227">
        <v>23050.69</v>
      </c>
      <c r="DC47" s="2227">
        <v>24457.38</v>
      </c>
      <c r="DD47" s="2227">
        <v>19010.2</v>
      </c>
      <c r="DE47" s="2227">
        <v>22648.02</v>
      </c>
      <c r="DF47" s="2227">
        <v>22498.34</v>
      </c>
      <c r="DG47" s="2227">
        <v>21950</v>
      </c>
      <c r="DH47" s="2227">
        <v>19600</v>
      </c>
      <c r="DI47" s="2227">
        <v>16476.650000000001</v>
      </c>
      <c r="DJ47" s="2227">
        <v>16476.650000000001</v>
      </c>
      <c r="DK47" s="2227">
        <v>20700</v>
      </c>
      <c r="DL47" s="2227">
        <v>24859.06</v>
      </c>
      <c r="DM47" s="2227">
        <v>24800</v>
      </c>
      <c r="DN47" s="2227">
        <v>14129.98</v>
      </c>
      <c r="DO47" s="2227">
        <v>26802.639999999999</v>
      </c>
      <c r="DP47" s="2227">
        <v>17947.62</v>
      </c>
      <c r="DQ47" s="2227">
        <v>34916.480000000003</v>
      </c>
      <c r="DR47" s="2227">
        <v>22932.33</v>
      </c>
      <c r="DS47" s="2227">
        <v>15650</v>
      </c>
      <c r="DT47" s="2227">
        <v>15645.76</v>
      </c>
      <c r="DU47" s="2227">
        <v>15666.92</v>
      </c>
      <c r="DV47" s="2227">
        <v>23585.82</v>
      </c>
      <c r="DW47" s="2227">
        <v>17190.91</v>
      </c>
      <c r="DX47" s="2227">
        <v>26450</v>
      </c>
      <c r="DY47" s="2227">
        <v>18649.73</v>
      </c>
      <c r="DZ47" s="2227">
        <v>26979.93</v>
      </c>
      <c r="EA47" s="2227">
        <v>23878.78</v>
      </c>
      <c r="EB47" s="2227">
        <v>37925.769999999997</v>
      </c>
      <c r="EC47" s="2227">
        <v>24606.06</v>
      </c>
      <c r="ED47" s="2227">
        <v>20451.259999999998</v>
      </c>
      <c r="EE47" s="2227">
        <v>16550</v>
      </c>
      <c r="EF47" s="2227">
        <v>18362.45</v>
      </c>
      <c r="EG47" s="2227">
        <v>19800.13</v>
      </c>
      <c r="EH47" s="2227">
        <v>18691.3</v>
      </c>
      <c r="EI47" s="2227">
        <v>24764.720000000001</v>
      </c>
      <c r="EJ47" s="2227">
        <v>31482.54</v>
      </c>
      <c r="EK47" s="2227">
        <v>22475.61</v>
      </c>
      <c r="EL47" s="2227">
        <v>18691.310000000001</v>
      </c>
      <c r="EM47" s="2227">
        <v>38304.26</v>
      </c>
      <c r="EN47" s="2227">
        <v>27517.21</v>
      </c>
      <c r="EO47" s="2227">
        <v>14888.48</v>
      </c>
      <c r="EP47" s="2227">
        <v>18300</v>
      </c>
      <c r="EQ47" s="2227">
        <v>22283.79</v>
      </c>
      <c r="ER47" s="2227">
        <v>23371.47</v>
      </c>
      <c r="ES47" s="2227">
        <v>20382.759999999998</v>
      </c>
      <c r="ET47" s="2227">
        <v>15249.61</v>
      </c>
      <c r="EU47" s="2227">
        <v>23128.53</v>
      </c>
      <c r="EV47" s="2227">
        <v>25212.13</v>
      </c>
      <c r="EW47" s="2227">
        <v>22741.98</v>
      </c>
      <c r="EX47" s="2227">
        <v>22284.13</v>
      </c>
      <c r="EY47" s="2227">
        <v>23350</v>
      </c>
      <c r="EZ47" s="2227">
        <v>33887.15</v>
      </c>
      <c r="FA47" s="2227">
        <v>18273.66</v>
      </c>
      <c r="FB47" s="2227">
        <v>16076.06</v>
      </c>
      <c r="FC47" s="2227">
        <v>36200</v>
      </c>
      <c r="FD47" s="2227">
        <v>34000</v>
      </c>
      <c r="FE47" s="2227">
        <v>42638.83</v>
      </c>
      <c r="FF47" s="2227">
        <v>15000</v>
      </c>
      <c r="FG47" s="2227">
        <v>30176.92</v>
      </c>
      <c r="FH47" s="2227">
        <v>21368.47</v>
      </c>
      <c r="FI47" s="2227">
        <v>17903.36</v>
      </c>
      <c r="FJ47" s="2227">
        <v>15480.42</v>
      </c>
      <c r="FK47" s="2227">
        <v>27886.87</v>
      </c>
      <c r="FL47" s="2227">
        <v>19682.88</v>
      </c>
      <c r="FM47" s="2227">
        <v>24408.44</v>
      </c>
      <c r="FN47" s="2227">
        <v>22800</v>
      </c>
      <c r="FO47" s="2227">
        <v>28817.74</v>
      </c>
      <c r="FP47" s="2227">
        <v>22459.200000000001</v>
      </c>
      <c r="FQ47" s="2227">
        <v>17925.2</v>
      </c>
      <c r="FR47" s="2227">
        <v>29300</v>
      </c>
      <c r="FS47" s="2227">
        <v>36200</v>
      </c>
      <c r="FT47" s="2227">
        <v>30292.59</v>
      </c>
      <c r="FU47" s="2227">
        <v>24789.42</v>
      </c>
      <c r="FV47" s="2227">
        <v>35250</v>
      </c>
      <c r="FW47" s="2227">
        <v>17905.48</v>
      </c>
      <c r="FX47" s="2227">
        <v>20228.240000000002</v>
      </c>
      <c r="FY47" s="2227">
        <v>16810.330000000002</v>
      </c>
      <c r="FZ47" s="2227">
        <v>22063.68</v>
      </c>
      <c r="GA47" s="2227">
        <v>28946.43</v>
      </c>
      <c r="GB47" s="2227">
        <v>32067.71</v>
      </c>
      <c r="GC47" s="2227">
        <v>17947.62</v>
      </c>
      <c r="GD47" s="2227">
        <v>14084.93</v>
      </c>
      <c r="GE47" s="2227">
        <v>28780.55</v>
      </c>
      <c r="GF47" s="2227">
        <v>29150</v>
      </c>
      <c r="GG47" s="2227">
        <v>45052.27</v>
      </c>
      <c r="GH47" s="2227">
        <v>19682.75</v>
      </c>
      <c r="GI47" s="2227">
        <v>22224.3</v>
      </c>
      <c r="GJ47" s="2227">
        <v>14898.45</v>
      </c>
      <c r="GK47" s="2227">
        <v>18273.39</v>
      </c>
      <c r="GL47" s="2227">
        <v>26904.17</v>
      </c>
      <c r="GM47" s="2227">
        <v>18662.46</v>
      </c>
      <c r="GN47" s="2227">
        <v>21355.98</v>
      </c>
      <c r="GO47" s="2227">
        <v>20414.61</v>
      </c>
      <c r="GP47" s="2227">
        <v>24724.41</v>
      </c>
      <c r="GQ47" s="2227">
        <v>16639.7</v>
      </c>
      <c r="GR47" s="2227">
        <v>15167.61</v>
      </c>
      <c r="GS47" s="2227">
        <v>15909.48</v>
      </c>
      <c r="GT47" s="2227">
        <v>18649.73</v>
      </c>
      <c r="GU47" s="2227">
        <v>22679.62</v>
      </c>
      <c r="GV47" s="2227">
        <v>21788.59</v>
      </c>
      <c r="GW47" s="2227">
        <v>38349.18</v>
      </c>
      <c r="GX47" s="2227">
        <v>40333.050000000003</v>
      </c>
      <c r="GY47" s="2227">
        <v>49443.29</v>
      </c>
      <c r="GZ47" s="2227">
        <v>14591.09</v>
      </c>
      <c r="HA47" s="2227">
        <v>14025.66</v>
      </c>
      <c r="HB47" s="2227">
        <v>19682.88</v>
      </c>
      <c r="HC47" s="2227">
        <v>17935.78</v>
      </c>
      <c r="HD47" s="2227">
        <v>18639.27</v>
      </c>
      <c r="HE47" s="2227">
        <v>25493.52</v>
      </c>
      <c r="HF47" s="2227">
        <v>26550</v>
      </c>
      <c r="HG47" s="2227">
        <v>23723.26</v>
      </c>
      <c r="HH47" s="2227">
        <v>24800</v>
      </c>
      <c r="HI47" s="2227">
        <v>23823</v>
      </c>
      <c r="HJ47" s="2227">
        <v>24408.44</v>
      </c>
      <c r="HK47" s="2227">
        <v>29298.21</v>
      </c>
      <c r="HL47" s="2227">
        <v>40100</v>
      </c>
      <c r="HM47" s="2227">
        <v>19682.87</v>
      </c>
      <c r="HN47" s="2227">
        <v>18740.89</v>
      </c>
      <c r="HO47" s="2227">
        <v>15666.92</v>
      </c>
      <c r="HP47" s="2227">
        <v>23731.39</v>
      </c>
      <c r="HQ47" s="2227">
        <v>28946.43</v>
      </c>
      <c r="HR47" s="2227">
        <v>32500</v>
      </c>
      <c r="HS47" s="2227">
        <v>22806.240000000002</v>
      </c>
      <c r="HT47" s="2227">
        <v>24863.78</v>
      </c>
      <c r="HU47" s="2227">
        <v>33522.1</v>
      </c>
      <c r="HV47" s="2227">
        <v>31744.65</v>
      </c>
      <c r="HW47" s="2227">
        <v>19682.73</v>
      </c>
      <c r="HX47" s="2227">
        <v>18273.66</v>
      </c>
      <c r="HY47" s="2227">
        <v>18448.45</v>
      </c>
      <c r="HZ47" s="2227">
        <v>19374.060000000001</v>
      </c>
      <c r="IA47" s="2227">
        <v>14025.66</v>
      </c>
      <c r="IB47" s="2227">
        <v>19991.37</v>
      </c>
      <c r="IC47" s="2227">
        <v>19792.05</v>
      </c>
      <c r="ID47" s="2227">
        <v>24958.05</v>
      </c>
      <c r="IE47" s="2227">
        <v>23150.880000000001</v>
      </c>
      <c r="IF47" s="2227">
        <v>22729.75</v>
      </c>
      <c r="IG47" s="2227">
        <v>28044.1</v>
      </c>
      <c r="IH47" s="2227">
        <v>22806.25</v>
      </c>
      <c r="II47" s="2227">
        <v>23096.959999999999</v>
      </c>
      <c r="IJ47" s="2227">
        <v>31879.23</v>
      </c>
      <c r="IK47" s="2227">
        <v>23785.54</v>
      </c>
      <c r="IL47" s="2227">
        <v>28698.63</v>
      </c>
      <c r="IM47" s="2227">
        <v>25016.95</v>
      </c>
      <c r="IN47" s="2227">
        <v>35548.06</v>
      </c>
      <c r="IO47" s="2227">
        <v>37060.19</v>
      </c>
      <c r="IP47" s="2227">
        <v>34000</v>
      </c>
      <c r="IQ47" s="2227">
        <v>33522.1</v>
      </c>
      <c r="IR47" s="2227">
        <v>51436.27</v>
      </c>
      <c r="IS47" s="2227">
        <v>33502.629999999997</v>
      </c>
      <c r="IT47" s="2227">
        <v>45116.66</v>
      </c>
      <c r="IU47" s="2227">
        <v>33667.51</v>
      </c>
      <c r="IV47" s="2227">
        <v>23050.69</v>
      </c>
    </row>
    <row r="48" spans="1:256">
      <c r="A48" s="2214">
        <v>39</v>
      </c>
      <c r="B48" s="2925">
        <v>16672.52</v>
      </c>
      <c r="C48" s="2227">
        <v>16522.64</v>
      </c>
      <c r="D48" s="2925">
        <v>15672.52</v>
      </c>
      <c r="E48" s="2227">
        <v>15249.61</v>
      </c>
      <c r="F48" s="2925">
        <v>14672.52</v>
      </c>
      <c r="G48" s="2227">
        <v>14325.66</v>
      </c>
      <c r="H48" s="2926">
        <v>13732</v>
      </c>
      <c r="I48" s="2925">
        <v>23724.12</v>
      </c>
      <c r="J48" s="2925">
        <v>23724.12</v>
      </c>
      <c r="K48" s="2227">
        <v>19800.13</v>
      </c>
      <c r="L48" s="2925">
        <v>20582</v>
      </c>
      <c r="M48" s="2227">
        <v>19800.13</v>
      </c>
      <c r="N48" s="2925">
        <v>20469.07</v>
      </c>
      <c r="O48" s="2925">
        <v>20469.07</v>
      </c>
      <c r="P48" s="2227">
        <v>18362.45</v>
      </c>
      <c r="Q48" s="2925">
        <v>19505.18</v>
      </c>
      <c r="R48" s="2227">
        <v>17903.36</v>
      </c>
      <c r="S48" s="2925">
        <v>18362.45</v>
      </c>
      <c r="T48" s="2925">
        <v>18515.2</v>
      </c>
      <c r="U48" s="2227">
        <v>17903.36</v>
      </c>
      <c r="V48" s="2925">
        <v>18098.810000000001</v>
      </c>
      <c r="W48" s="2227">
        <v>17190.91</v>
      </c>
      <c r="X48" s="2925">
        <v>17509.86</v>
      </c>
      <c r="Y48" s="2925">
        <v>17509.86</v>
      </c>
      <c r="Z48" s="2925">
        <v>16860.759999999998</v>
      </c>
      <c r="AA48" s="2925">
        <v>27167</v>
      </c>
      <c r="AB48" s="2227">
        <v>24457.38</v>
      </c>
      <c r="AC48" s="2925">
        <v>25648.02</v>
      </c>
      <c r="AD48" s="2227">
        <v>23585.82</v>
      </c>
      <c r="AE48" s="2925">
        <v>24148.02</v>
      </c>
      <c r="AF48" s="2227">
        <v>22932.33</v>
      </c>
      <c r="AG48" s="2925">
        <v>22648.02</v>
      </c>
      <c r="AH48" s="2925">
        <v>28044.1</v>
      </c>
      <c r="AI48" s="2925">
        <v>28055.94</v>
      </c>
      <c r="AJ48" s="2227">
        <v>27166.44</v>
      </c>
      <c r="AK48" s="2925">
        <v>27166.44</v>
      </c>
      <c r="AL48" s="2925">
        <v>25932.33</v>
      </c>
      <c r="AM48" s="2227">
        <v>24457.38</v>
      </c>
      <c r="AN48" s="2925">
        <v>24457.38</v>
      </c>
      <c r="AO48" s="2925">
        <v>24432.33</v>
      </c>
      <c r="AP48" s="2227">
        <v>23585.82</v>
      </c>
      <c r="AQ48" s="2925">
        <v>23585.82</v>
      </c>
      <c r="AR48" s="2925">
        <v>22932.33</v>
      </c>
      <c r="AS48" s="2923">
        <v>33124</v>
      </c>
      <c r="AT48" s="2227">
        <v>27576.47</v>
      </c>
      <c r="AU48" s="2923">
        <v>30884</v>
      </c>
      <c r="AV48" s="2227">
        <v>26904.17</v>
      </c>
      <c r="AW48" s="2923">
        <v>27718</v>
      </c>
      <c r="AX48" s="2227">
        <v>24394.45</v>
      </c>
      <c r="AY48" s="2923">
        <v>25218</v>
      </c>
      <c r="AZ48" s="2925">
        <v>33994</v>
      </c>
      <c r="BA48" s="2227">
        <v>29298.21</v>
      </c>
      <c r="BB48" s="2923">
        <v>33124</v>
      </c>
      <c r="BC48" s="2227">
        <v>28698.63</v>
      </c>
      <c r="BD48" s="2925">
        <v>35888.620000000003</v>
      </c>
      <c r="BE48" s="2227">
        <v>32067.71</v>
      </c>
      <c r="BF48" s="2923">
        <v>33124</v>
      </c>
      <c r="BG48" s="2227">
        <v>30592.47</v>
      </c>
      <c r="BH48" s="2925">
        <v>31754</v>
      </c>
      <c r="BI48" s="2227">
        <v>28584.78</v>
      </c>
      <c r="BJ48" s="2923">
        <v>30884</v>
      </c>
      <c r="BK48" s="2227">
        <v>27886.87</v>
      </c>
      <c r="BL48" s="2925">
        <v>32558</v>
      </c>
      <c r="BM48" s="2227">
        <v>31482.54</v>
      </c>
      <c r="BN48" s="2923">
        <v>31046.92</v>
      </c>
      <c r="BO48" s="2227">
        <v>30176.92</v>
      </c>
      <c r="BP48" s="2925">
        <v>28588</v>
      </c>
      <c r="BQ48" s="2227">
        <v>25747.26</v>
      </c>
      <c r="BR48" s="2923">
        <v>27718</v>
      </c>
      <c r="BS48" s="2227">
        <v>26802.639999999999</v>
      </c>
      <c r="BT48" s="2925">
        <v>29558</v>
      </c>
      <c r="BU48" s="2227">
        <v>27517.21</v>
      </c>
      <c r="BV48" s="2923">
        <v>27999.93</v>
      </c>
      <c r="BW48" s="2227">
        <v>26979.93</v>
      </c>
      <c r="BX48" s="2925">
        <v>26088</v>
      </c>
      <c r="BY48" s="2923">
        <v>25218</v>
      </c>
      <c r="BZ48" s="2924">
        <v>26558</v>
      </c>
      <c r="CA48" s="2923">
        <v>25218</v>
      </c>
      <c r="CB48" s="2227">
        <v>66780</v>
      </c>
      <c r="CC48" s="2227">
        <v>63780</v>
      </c>
      <c r="CD48" s="2227">
        <v>60780</v>
      </c>
      <c r="CE48" s="2227">
        <v>58990</v>
      </c>
      <c r="CF48" s="2227">
        <v>55990</v>
      </c>
      <c r="CG48" s="2227">
        <v>52990</v>
      </c>
      <c r="CH48" s="2227">
        <v>51360</v>
      </c>
      <c r="CI48" s="2227">
        <v>48360</v>
      </c>
      <c r="CJ48" s="2227">
        <v>44860</v>
      </c>
      <c r="CK48" s="2227">
        <v>43951.59</v>
      </c>
      <c r="CL48" s="2227">
        <v>41360</v>
      </c>
      <c r="CM48" s="2227">
        <v>38360</v>
      </c>
      <c r="CN48" s="2227">
        <v>35895</v>
      </c>
      <c r="CO48" s="2227">
        <v>33895</v>
      </c>
      <c r="CP48" s="2227">
        <v>22006.560000000001</v>
      </c>
      <c r="CQ48" s="2227">
        <v>13404.34</v>
      </c>
      <c r="CR48" s="2227">
        <v>16763.02</v>
      </c>
      <c r="CS48" s="2227">
        <v>32165.25</v>
      </c>
      <c r="CT48" s="2227">
        <v>20469.07</v>
      </c>
      <c r="CU48" s="2227">
        <v>22902.959999999999</v>
      </c>
      <c r="CV48" s="2227">
        <v>22902.959999999999</v>
      </c>
      <c r="CW48" s="2227">
        <v>22902.959999999999</v>
      </c>
      <c r="CX48" s="2227">
        <v>22902.959999999999</v>
      </c>
      <c r="CY48" s="2227">
        <v>22800</v>
      </c>
      <c r="CZ48" s="2227">
        <v>27166.44</v>
      </c>
      <c r="DA48" s="2227">
        <v>23724.12</v>
      </c>
      <c r="DB48" s="2227">
        <v>23050.69</v>
      </c>
      <c r="DC48" s="2227">
        <v>24457.38</v>
      </c>
      <c r="DD48" s="2227">
        <v>19010.2</v>
      </c>
      <c r="DE48" s="2227">
        <v>22648.02</v>
      </c>
      <c r="DF48" s="2227">
        <v>22498.34</v>
      </c>
      <c r="DG48" s="2227">
        <v>21950</v>
      </c>
      <c r="DH48" s="2227">
        <v>19600</v>
      </c>
      <c r="DI48" s="2227">
        <v>16476.650000000001</v>
      </c>
      <c r="DJ48" s="2227">
        <v>16476.650000000001</v>
      </c>
      <c r="DK48" s="2227">
        <v>20700</v>
      </c>
      <c r="DL48" s="2227">
        <v>24859.06</v>
      </c>
      <c r="DM48" s="2227">
        <v>24800</v>
      </c>
      <c r="DN48" s="2227">
        <v>14129.98</v>
      </c>
      <c r="DO48" s="2227">
        <v>26802.639999999999</v>
      </c>
      <c r="DP48" s="2227">
        <v>17947.62</v>
      </c>
      <c r="DQ48" s="2227">
        <v>34916.480000000003</v>
      </c>
      <c r="DR48" s="2227">
        <v>22932.33</v>
      </c>
      <c r="DS48" s="2227">
        <v>15650</v>
      </c>
      <c r="DT48" s="2227">
        <v>15645.76</v>
      </c>
      <c r="DU48" s="2227">
        <v>15666.92</v>
      </c>
      <c r="DV48" s="2227">
        <v>23585.82</v>
      </c>
      <c r="DW48" s="2227">
        <v>17190.91</v>
      </c>
      <c r="DX48" s="2227">
        <v>26450</v>
      </c>
      <c r="DY48" s="2227">
        <v>18649.73</v>
      </c>
      <c r="DZ48" s="2227">
        <v>26979.93</v>
      </c>
      <c r="EA48" s="2227">
        <v>23878.78</v>
      </c>
      <c r="EB48" s="2227">
        <v>37925.769999999997</v>
      </c>
      <c r="EC48" s="2227">
        <v>24606.06</v>
      </c>
      <c r="ED48" s="2227">
        <v>20451.259999999998</v>
      </c>
      <c r="EE48" s="2227">
        <v>16550</v>
      </c>
      <c r="EF48" s="2227">
        <v>18362.45</v>
      </c>
      <c r="EG48" s="2227">
        <v>19800.13</v>
      </c>
      <c r="EH48" s="2227">
        <v>18691.3</v>
      </c>
      <c r="EI48" s="2227">
        <v>24764.720000000001</v>
      </c>
      <c r="EJ48" s="2227">
        <v>31482.54</v>
      </c>
      <c r="EK48" s="2227">
        <v>22475.61</v>
      </c>
      <c r="EL48" s="2227">
        <v>18691.310000000001</v>
      </c>
      <c r="EM48" s="2227">
        <v>38304.26</v>
      </c>
      <c r="EN48" s="2227">
        <v>27517.21</v>
      </c>
      <c r="EO48" s="2227">
        <v>14888.48</v>
      </c>
      <c r="EP48" s="2227">
        <v>18300</v>
      </c>
      <c r="EQ48" s="2227">
        <v>22283.79</v>
      </c>
      <c r="ER48" s="2227">
        <v>23371.47</v>
      </c>
      <c r="ES48" s="2227">
        <v>20382.759999999998</v>
      </c>
      <c r="ET48" s="2227">
        <v>15249.61</v>
      </c>
      <c r="EU48" s="2227">
        <v>23128.53</v>
      </c>
      <c r="EV48" s="2227">
        <v>25212.13</v>
      </c>
      <c r="EW48" s="2227">
        <v>22741.98</v>
      </c>
      <c r="EX48" s="2227">
        <v>22284.13</v>
      </c>
      <c r="EY48" s="2227">
        <v>23350</v>
      </c>
      <c r="EZ48" s="2227">
        <v>33887.15</v>
      </c>
      <c r="FA48" s="2227">
        <v>18273.66</v>
      </c>
      <c r="FB48" s="2227">
        <v>16076.06</v>
      </c>
      <c r="FC48" s="2227">
        <v>36200</v>
      </c>
      <c r="FD48" s="2227">
        <v>34000</v>
      </c>
      <c r="FE48" s="2227">
        <v>42638.83</v>
      </c>
      <c r="FF48" s="2227">
        <v>15000</v>
      </c>
      <c r="FG48" s="2227">
        <v>30176.92</v>
      </c>
      <c r="FH48" s="2227">
        <v>21368.47</v>
      </c>
      <c r="FI48" s="2227">
        <v>17903.36</v>
      </c>
      <c r="FJ48" s="2227">
        <v>15480.42</v>
      </c>
      <c r="FK48" s="2227">
        <v>27886.87</v>
      </c>
      <c r="FL48" s="2227">
        <v>19682.88</v>
      </c>
      <c r="FM48" s="2227">
        <v>24408.44</v>
      </c>
      <c r="FN48" s="2227">
        <v>22800</v>
      </c>
      <c r="FO48" s="2227">
        <v>28817.74</v>
      </c>
      <c r="FP48" s="2227">
        <v>22459.200000000001</v>
      </c>
      <c r="FQ48" s="2227">
        <v>17925.2</v>
      </c>
      <c r="FR48" s="2227">
        <v>29300</v>
      </c>
      <c r="FS48" s="2227">
        <v>36200</v>
      </c>
      <c r="FT48" s="2227">
        <v>30292.59</v>
      </c>
      <c r="FU48" s="2227">
        <v>24789.42</v>
      </c>
      <c r="FV48" s="2227">
        <v>35250</v>
      </c>
      <c r="FW48" s="2227">
        <v>17905.48</v>
      </c>
      <c r="FX48" s="2227">
        <v>20228.240000000002</v>
      </c>
      <c r="FY48" s="2227">
        <v>16810.330000000002</v>
      </c>
      <c r="FZ48" s="2227">
        <v>22063.68</v>
      </c>
      <c r="GA48" s="2227">
        <v>28946.43</v>
      </c>
      <c r="GB48" s="2227">
        <v>32067.71</v>
      </c>
      <c r="GC48" s="2227">
        <v>17947.62</v>
      </c>
      <c r="GD48" s="2227">
        <v>14084.93</v>
      </c>
      <c r="GE48" s="2227">
        <v>28780.55</v>
      </c>
      <c r="GF48" s="2227">
        <v>29150</v>
      </c>
      <c r="GG48" s="2227">
        <v>45052.27</v>
      </c>
      <c r="GH48" s="2227">
        <v>19682.75</v>
      </c>
      <c r="GI48" s="2227">
        <v>22224.3</v>
      </c>
      <c r="GJ48" s="2227">
        <v>14898.45</v>
      </c>
      <c r="GK48" s="2227">
        <v>18273.39</v>
      </c>
      <c r="GL48" s="2227">
        <v>26904.17</v>
      </c>
      <c r="GM48" s="2227">
        <v>18662.46</v>
      </c>
      <c r="GN48" s="2227">
        <v>21355.98</v>
      </c>
      <c r="GO48" s="2227">
        <v>20414.61</v>
      </c>
      <c r="GP48" s="2227">
        <v>24724.41</v>
      </c>
      <c r="GQ48" s="2227">
        <v>16639.7</v>
      </c>
      <c r="GR48" s="2227">
        <v>15167.61</v>
      </c>
      <c r="GS48" s="2227">
        <v>15909.48</v>
      </c>
      <c r="GT48" s="2227">
        <v>18649.73</v>
      </c>
      <c r="GU48" s="2227">
        <v>22679.62</v>
      </c>
      <c r="GV48" s="2227">
        <v>21788.59</v>
      </c>
      <c r="GW48" s="2227">
        <v>38349.18</v>
      </c>
      <c r="GX48" s="2227">
        <v>40333.050000000003</v>
      </c>
      <c r="GY48" s="2227">
        <v>49443.29</v>
      </c>
      <c r="GZ48" s="2227">
        <v>14591.09</v>
      </c>
      <c r="HA48" s="2227">
        <v>14025.66</v>
      </c>
      <c r="HB48" s="2227">
        <v>19682.88</v>
      </c>
      <c r="HC48" s="2227">
        <v>17935.78</v>
      </c>
      <c r="HD48" s="2227">
        <v>18639.27</v>
      </c>
      <c r="HE48" s="2227">
        <v>25493.52</v>
      </c>
      <c r="HF48" s="2227">
        <v>26550</v>
      </c>
      <c r="HG48" s="2227">
        <v>23723.26</v>
      </c>
      <c r="HH48" s="2227">
        <v>24800</v>
      </c>
      <c r="HI48" s="2227">
        <v>23823</v>
      </c>
      <c r="HJ48" s="2227">
        <v>24408.44</v>
      </c>
      <c r="HK48" s="2227">
        <v>29298.21</v>
      </c>
      <c r="HL48" s="2227">
        <v>40100</v>
      </c>
      <c r="HM48" s="2227">
        <v>19682.87</v>
      </c>
      <c r="HN48" s="2227">
        <v>18740.89</v>
      </c>
      <c r="HO48" s="2227">
        <v>15666.92</v>
      </c>
      <c r="HP48" s="2227">
        <v>23731.39</v>
      </c>
      <c r="HQ48" s="2227">
        <v>28946.43</v>
      </c>
      <c r="HR48" s="2227">
        <v>32500</v>
      </c>
      <c r="HS48" s="2227">
        <v>22806.240000000002</v>
      </c>
      <c r="HT48" s="2227">
        <v>24863.78</v>
      </c>
      <c r="HU48" s="2227">
        <v>33522.1</v>
      </c>
      <c r="HV48" s="2227">
        <v>31744.65</v>
      </c>
      <c r="HW48" s="2227">
        <v>19682.73</v>
      </c>
      <c r="HX48" s="2227">
        <v>18273.66</v>
      </c>
      <c r="HY48" s="2227">
        <v>18448.45</v>
      </c>
      <c r="HZ48" s="2227">
        <v>19374.060000000001</v>
      </c>
      <c r="IA48" s="2227">
        <v>14025.66</v>
      </c>
      <c r="IB48" s="2227">
        <v>19991.37</v>
      </c>
      <c r="IC48" s="2227">
        <v>19792.05</v>
      </c>
      <c r="ID48" s="2227">
        <v>24958.05</v>
      </c>
      <c r="IE48" s="2227">
        <v>23150.880000000001</v>
      </c>
      <c r="IF48" s="2227">
        <v>22729.75</v>
      </c>
      <c r="IG48" s="2227">
        <v>28044.1</v>
      </c>
      <c r="IH48" s="2227">
        <v>22806.25</v>
      </c>
      <c r="II48" s="2227">
        <v>23096.959999999999</v>
      </c>
      <c r="IJ48" s="2227">
        <v>31879.23</v>
      </c>
      <c r="IK48" s="2227">
        <v>23785.54</v>
      </c>
      <c r="IL48" s="2227">
        <v>28698.63</v>
      </c>
      <c r="IM48" s="2227">
        <v>25016.95</v>
      </c>
      <c r="IN48" s="2227">
        <v>35548.06</v>
      </c>
      <c r="IO48" s="2227">
        <v>37060.19</v>
      </c>
      <c r="IP48" s="2227">
        <v>34000</v>
      </c>
      <c r="IQ48" s="2227">
        <v>33522.1</v>
      </c>
      <c r="IR48" s="2227">
        <v>51436.27</v>
      </c>
      <c r="IS48" s="2227">
        <v>33502.629999999997</v>
      </c>
      <c r="IT48" s="2227">
        <v>45116.66</v>
      </c>
      <c r="IU48" s="2227">
        <v>33667.51</v>
      </c>
      <c r="IV48" s="2227">
        <v>23050.69</v>
      </c>
    </row>
    <row r="49" spans="1:256">
      <c r="A49" s="2214">
        <v>40</v>
      </c>
      <c r="B49" s="2925">
        <v>16672.52</v>
      </c>
      <c r="C49" s="2227">
        <v>16522.64</v>
      </c>
      <c r="D49" s="2925">
        <v>15672.52</v>
      </c>
      <c r="E49" s="2227">
        <v>15249.61</v>
      </c>
      <c r="F49" s="2925">
        <v>14672.52</v>
      </c>
      <c r="G49" s="2227">
        <v>14325.66</v>
      </c>
      <c r="H49" s="2926">
        <v>13732</v>
      </c>
      <c r="I49" s="2925">
        <v>23724.12</v>
      </c>
      <c r="J49" s="2925">
        <v>23724.12</v>
      </c>
      <c r="K49" s="2227">
        <v>19800.13</v>
      </c>
      <c r="L49" s="2925">
        <v>20582</v>
      </c>
      <c r="M49" s="2227">
        <v>19800.13</v>
      </c>
      <c r="N49" s="2925">
        <v>20469.07</v>
      </c>
      <c r="O49" s="2925">
        <v>20469.07</v>
      </c>
      <c r="P49" s="2227">
        <v>18362.45</v>
      </c>
      <c r="Q49" s="2925">
        <v>19505.18</v>
      </c>
      <c r="R49" s="2227">
        <v>17903.36</v>
      </c>
      <c r="S49" s="2925">
        <v>18362.45</v>
      </c>
      <c r="T49" s="2925">
        <v>18515.2</v>
      </c>
      <c r="U49" s="2227">
        <v>17903.36</v>
      </c>
      <c r="V49" s="2925">
        <v>18098.810000000001</v>
      </c>
      <c r="W49" s="2227">
        <v>17190.91</v>
      </c>
      <c r="X49" s="2925">
        <v>17509.86</v>
      </c>
      <c r="Y49" s="2925">
        <v>17509.86</v>
      </c>
      <c r="Z49" s="2925">
        <v>16860.759999999998</v>
      </c>
      <c r="AA49" s="2925">
        <v>27167</v>
      </c>
      <c r="AB49" s="2227">
        <v>24457.38</v>
      </c>
      <c r="AC49" s="2925">
        <v>25648.02</v>
      </c>
      <c r="AD49" s="2227">
        <v>23585.82</v>
      </c>
      <c r="AE49" s="2925">
        <v>24148.02</v>
      </c>
      <c r="AF49" s="2227">
        <v>22932.33</v>
      </c>
      <c r="AG49" s="2925">
        <v>22648.02</v>
      </c>
      <c r="AH49" s="2925">
        <v>28044.1</v>
      </c>
      <c r="AI49" s="2925">
        <v>28055.94</v>
      </c>
      <c r="AJ49" s="2227">
        <v>27166.44</v>
      </c>
      <c r="AK49" s="2925">
        <v>27166.44</v>
      </c>
      <c r="AL49" s="2925">
        <v>25932.33</v>
      </c>
      <c r="AM49" s="2227">
        <v>24457.38</v>
      </c>
      <c r="AN49" s="2925">
        <v>24457.38</v>
      </c>
      <c r="AO49" s="2925">
        <v>24432.33</v>
      </c>
      <c r="AP49" s="2227">
        <v>23585.82</v>
      </c>
      <c r="AQ49" s="2925">
        <v>23585.82</v>
      </c>
      <c r="AR49" s="2925">
        <v>22932.33</v>
      </c>
      <c r="AS49" s="2923">
        <v>33124</v>
      </c>
      <c r="AT49" s="2227">
        <v>27576.47</v>
      </c>
      <c r="AU49" s="2923">
        <v>30884</v>
      </c>
      <c r="AV49" s="2227">
        <v>26904.17</v>
      </c>
      <c r="AW49" s="2923">
        <v>27718</v>
      </c>
      <c r="AX49" s="2227">
        <v>24394.45</v>
      </c>
      <c r="AY49" s="2923">
        <v>25218</v>
      </c>
      <c r="AZ49" s="2925">
        <v>33994</v>
      </c>
      <c r="BA49" s="2227">
        <v>29298.21</v>
      </c>
      <c r="BB49" s="2923">
        <v>33124</v>
      </c>
      <c r="BC49" s="2227">
        <v>28698.63</v>
      </c>
      <c r="BD49" s="2925">
        <v>35888.620000000003</v>
      </c>
      <c r="BE49" s="2227">
        <v>32067.71</v>
      </c>
      <c r="BF49" s="2923">
        <v>33124</v>
      </c>
      <c r="BG49" s="2227">
        <v>30592.47</v>
      </c>
      <c r="BH49" s="2925">
        <v>31754</v>
      </c>
      <c r="BI49" s="2227">
        <v>28584.78</v>
      </c>
      <c r="BJ49" s="2923">
        <v>30884</v>
      </c>
      <c r="BK49" s="2227">
        <v>27886.87</v>
      </c>
      <c r="BL49" s="2925">
        <v>32558</v>
      </c>
      <c r="BM49" s="2227">
        <v>31482.54</v>
      </c>
      <c r="BN49" s="2923">
        <v>31046.92</v>
      </c>
      <c r="BO49" s="2227">
        <v>30176.92</v>
      </c>
      <c r="BP49" s="2925">
        <v>28588</v>
      </c>
      <c r="BQ49" s="2227">
        <v>25747.26</v>
      </c>
      <c r="BR49" s="2923">
        <v>27718</v>
      </c>
      <c r="BS49" s="2227">
        <v>26802.639999999999</v>
      </c>
      <c r="BT49" s="2925">
        <v>29558</v>
      </c>
      <c r="BU49" s="2227">
        <v>27517.21</v>
      </c>
      <c r="BV49" s="2923">
        <v>27999.93</v>
      </c>
      <c r="BW49" s="2227">
        <v>26979.93</v>
      </c>
      <c r="BX49" s="2925">
        <v>26088</v>
      </c>
      <c r="BY49" s="2923">
        <v>25218</v>
      </c>
      <c r="BZ49" s="2924">
        <v>26558</v>
      </c>
      <c r="CA49" s="2923">
        <v>25218</v>
      </c>
      <c r="CB49" s="2227">
        <v>66780</v>
      </c>
      <c r="CC49" s="2227">
        <v>63780</v>
      </c>
      <c r="CD49" s="2227">
        <v>60780</v>
      </c>
      <c r="CE49" s="2227">
        <v>58990</v>
      </c>
      <c r="CF49" s="2227">
        <v>55990</v>
      </c>
      <c r="CG49" s="2227">
        <v>52990</v>
      </c>
      <c r="CH49" s="2227">
        <v>51360</v>
      </c>
      <c r="CI49" s="2227">
        <v>48360</v>
      </c>
      <c r="CJ49" s="2227">
        <v>44860</v>
      </c>
      <c r="CK49" s="2227">
        <v>43951.59</v>
      </c>
      <c r="CL49" s="2227">
        <v>41360</v>
      </c>
      <c r="CM49" s="2227">
        <v>38360</v>
      </c>
      <c r="CN49" s="2227">
        <v>35895</v>
      </c>
      <c r="CO49" s="2227">
        <v>33895</v>
      </c>
      <c r="CP49" s="2227">
        <v>22006.560000000001</v>
      </c>
      <c r="CQ49" s="2227">
        <v>13404.34</v>
      </c>
      <c r="CR49" s="2227">
        <v>16763.02</v>
      </c>
      <c r="CS49" s="2227">
        <v>32165.25</v>
      </c>
      <c r="CT49" s="2227">
        <v>20469.07</v>
      </c>
      <c r="CU49" s="2227">
        <v>22902.959999999999</v>
      </c>
      <c r="CV49" s="2227">
        <v>22902.959999999999</v>
      </c>
      <c r="CW49" s="2227">
        <v>22902.959999999999</v>
      </c>
      <c r="CX49" s="2227">
        <v>22902.959999999999</v>
      </c>
      <c r="CY49" s="2227">
        <v>22800</v>
      </c>
      <c r="CZ49" s="2227">
        <v>27166.44</v>
      </c>
      <c r="DA49" s="2227">
        <v>23724.12</v>
      </c>
      <c r="DB49" s="2227">
        <v>23050.69</v>
      </c>
      <c r="DC49" s="2227">
        <v>24457.38</v>
      </c>
      <c r="DD49" s="2227">
        <v>19010.2</v>
      </c>
      <c r="DE49" s="2227">
        <v>22648.02</v>
      </c>
      <c r="DF49" s="2227">
        <v>22498.34</v>
      </c>
      <c r="DG49" s="2227">
        <v>21950</v>
      </c>
      <c r="DH49" s="2227">
        <v>19600</v>
      </c>
      <c r="DI49" s="2227">
        <v>16476.650000000001</v>
      </c>
      <c r="DJ49" s="2227">
        <v>16476.650000000001</v>
      </c>
      <c r="DK49" s="2227">
        <v>20700</v>
      </c>
      <c r="DL49" s="2227">
        <v>24859.06</v>
      </c>
      <c r="DM49" s="2227">
        <v>24800</v>
      </c>
      <c r="DN49" s="2227">
        <v>14129.98</v>
      </c>
      <c r="DO49" s="2227">
        <v>26802.639999999999</v>
      </c>
      <c r="DP49" s="2227">
        <v>17947.62</v>
      </c>
      <c r="DQ49" s="2227">
        <v>34916.480000000003</v>
      </c>
      <c r="DR49" s="2227">
        <v>22932.33</v>
      </c>
      <c r="DS49" s="2227">
        <v>15650</v>
      </c>
      <c r="DT49" s="2227">
        <v>15645.76</v>
      </c>
      <c r="DU49" s="2227">
        <v>15666.92</v>
      </c>
      <c r="DV49" s="2227">
        <v>23585.82</v>
      </c>
      <c r="DW49" s="2227">
        <v>17190.91</v>
      </c>
      <c r="DX49" s="2227">
        <v>26450</v>
      </c>
      <c r="DY49" s="2227">
        <v>18649.73</v>
      </c>
      <c r="DZ49" s="2227">
        <v>26979.93</v>
      </c>
      <c r="EA49" s="2227">
        <v>23878.78</v>
      </c>
      <c r="EB49" s="2227">
        <v>37925.769999999997</v>
      </c>
      <c r="EC49" s="2227">
        <v>24606.06</v>
      </c>
      <c r="ED49" s="2227">
        <v>20451.259999999998</v>
      </c>
      <c r="EE49" s="2227">
        <v>16550</v>
      </c>
      <c r="EF49" s="2227">
        <v>18362.45</v>
      </c>
      <c r="EG49" s="2227">
        <v>19800.13</v>
      </c>
      <c r="EH49" s="2227">
        <v>18691.3</v>
      </c>
      <c r="EI49" s="2227">
        <v>24764.720000000001</v>
      </c>
      <c r="EJ49" s="2227">
        <v>31482.54</v>
      </c>
      <c r="EK49" s="2227">
        <v>22475.61</v>
      </c>
      <c r="EL49" s="2227">
        <v>18691.310000000001</v>
      </c>
      <c r="EM49" s="2227">
        <v>38304.26</v>
      </c>
      <c r="EN49" s="2227">
        <v>27517.21</v>
      </c>
      <c r="EO49" s="2227">
        <v>14888.48</v>
      </c>
      <c r="EP49" s="2227">
        <v>18300</v>
      </c>
      <c r="EQ49" s="2227">
        <v>22283.79</v>
      </c>
      <c r="ER49" s="2227">
        <v>23371.47</v>
      </c>
      <c r="ES49" s="2227">
        <v>20382.759999999998</v>
      </c>
      <c r="ET49" s="2227">
        <v>15249.61</v>
      </c>
      <c r="EU49" s="2227">
        <v>23128.53</v>
      </c>
      <c r="EV49" s="2227">
        <v>25212.13</v>
      </c>
      <c r="EW49" s="2227">
        <v>22741.98</v>
      </c>
      <c r="EX49" s="2227">
        <v>22284.13</v>
      </c>
      <c r="EY49" s="2227">
        <v>23350</v>
      </c>
      <c r="EZ49" s="2227">
        <v>33887.15</v>
      </c>
      <c r="FA49" s="2227">
        <v>18273.66</v>
      </c>
      <c r="FB49" s="2227">
        <v>16076.06</v>
      </c>
      <c r="FC49" s="2227">
        <v>36200</v>
      </c>
      <c r="FD49" s="2227">
        <v>34000</v>
      </c>
      <c r="FE49" s="2227">
        <v>42638.83</v>
      </c>
      <c r="FF49" s="2227">
        <v>15000</v>
      </c>
      <c r="FG49" s="2227">
        <v>30176.92</v>
      </c>
      <c r="FH49" s="2227">
        <v>21368.47</v>
      </c>
      <c r="FI49" s="2227">
        <v>17903.36</v>
      </c>
      <c r="FJ49" s="2227">
        <v>15480.42</v>
      </c>
      <c r="FK49" s="2227">
        <v>27886.87</v>
      </c>
      <c r="FL49" s="2227">
        <v>19682.88</v>
      </c>
      <c r="FM49" s="2227">
        <v>24408.44</v>
      </c>
      <c r="FN49" s="2227">
        <v>22800</v>
      </c>
      <c r="FO49" s="2227">
        <v>28817.74</v>
      </c>
      <c r="FP49" s="2227">
        <v>22459.200000000001</v>
      </c>
      <c r="FQ49" s="2227">
        <v>17925.2</v>
      </c>
      <c r="FR49" s="2227">
        <v>29300</v>
      </c>
      <c r="FS49" s="2227">
        <v>36200</v>
      </c>
      <c r="FT49" s="2227">
        <v>30292.59</v>
      </c>
      <c r="FU49" s="2227">
        <v>24789.42</v>
      </c>
      <c r="FV49" s="2227">
        <v>35250</v>
      </c>
      <c r="FW49" s="2227">
        <v>17905.48</v>
      </c>
      <c r="FX49" s="2227">
        <v>20228.240000000002</v>
      </c>
      <c r="FY49" s="2227">
        <v>16810.330000000002</v>
      </c>
      <c r="FZ49" s="2227">
        <v>22063.68</v>
      </c>
      <c r="GA49" s="2227">
        <v>28946.43</v>
      </c>
      <c r="GB49" s="2227">
        <v>32067.71</v>
      </c>
      <c r="GC49" s="2227">
        <v>17947.62</v>
      </c>
      <c r="GD49" s="2227">
        <v>14084.93</v>
      </c>
      <c r="GE49" s="2227">
        <v>28780.55</v>
      </c>
      <c r="GF49" s="2227">
        <v>29150</v>
      </c>
      <c r="GG49" s="2227">
        <v>45052.27</v>
      </c>
      <c r="GH49" s="2227">
        <v>19682.75</v>
      </c>
      <c r="GI49" s="2227">
        <v>22224.3</v>
      </c>
      <c r="GJ49" s="2227">
        <v>14898.45</v>
      </c>
      <c r="GK49" s="2227">
        <v>18273.39</v>
      </c>
      <c r="GL49" s="2227">
        <v>26904.17</v>
      </c>
      <c r="GM49" s="2227">
        <v>18662.46</v>
      </c>
      <c r="GN49" s="2227">
        <v>21355.98</v>
      </c>
      <c r="GO49" s="2227">
        <v>20414.61</v>
      </c>
      <c r="GP49" s="2227">
        <v>24724.41</v>
      </c>
      <c r="GQ49" s="2227">
        <v>16639.7</v>
      </c>
      <c r="GR49" s="2227">
        <v>15167.61</v>
      </c>
      <c r="GS49" s="2227">
        <v>15909.48</v>
      </c>
      <c r="GT49" s="2227">
        <v>18649.73</v>
      </c>
      <c r="GU49" s="2227">
        <v>22679.62</v>
      </c>
      <c r="GV49" s="2227">
        <v>21788.59</v>
      </c>
      <c r="GW49" s="2227">
        <v>38349.18</v>
      </c>
      <c r="GX49" s="2227">
        <v>40333.050000000003</v>
      </c>
      <c r="GY49" s="2227">
        <v>49443.29</v>
      </c>
      <c r="GZ49" s="2227">
        <v>14591.09</v>
      </c>
      <c r="HA49" s="2227">
        <v>14025.66</v>
      </c>
      <c r="HB49" s="2227">
        <v>19682.88</v>
      </c>
      <c r="HC49" s="2227">
        <v>17935.78</v>
      </c>
      <c r="HD49" s="2227">
        <v>18639.27</v>
      </c>
      <c r="HE49" s="2227">
        <v>25493.52</v>
      </c>
      <c r="HF49" s="2227">
        <v>26550</v>
      </c>
      <c r="HG49" s="2227">
        <v>23723.26</v>
      </c>
      <c r="HH49" s="2227">
        <v>24800</v>
      </c>
      <c r="HI49" s="2227">
        <v>23823</v>
      </c>
      <c r="HJ49" s="2227">
        <v>24408.44</v>
      </c>
      <c r="HK49" s="2227">
        <v>29298.21</v>
      </c>
      <c r="HL49" s="2227">
        <v>40100</v>
      </c>
      <c r="HM49" s="2227">
        <v>19682.87</v>
      </c>
      <c r="HN49" s="2227">
        <v>18740.89</v>
      </c>
      <c r="HO49" s="2227">
        <v>15666.92</v>
      </c>
      <c r="HP49" s="2227">
        <v>23731.39</v>
      </c>
      <c r="HQ49" s="2227">
        <v>28946.43</v>
      </c>
      <c r="HR49" s="2227">
        <v>32500</v>
      </c>
      <c r="HS49" s="2227">
        <v>22806.240000000002</v>
      </c>
      <c r="HT49" s="2227">
        <v>24863.78</v>
      </c>
      <c r="HU49" s="2227">
        <v>33522.1</v>
      </c>
      <c r="HV49" s="2227">
        <v>31744.65</v>
      </c>
      <c r="HW49" s="2227">
        <v>19682.73</v>
      </c>
      <c r="HX49" s="2227">
        <v>18273.66</v>
      </c>
      <c r="HY49" s="2227">
        <v>18448.45</v>
      </c>
      <c r="HZ49" s="2227">
        <v>19374.060000000001</v>
      </c>
      <c r="IA49" s="2227">
        <v>14025.66</v>
      </c>
      <c r="IB49" s="2227">
        <v>19991.37</v>
      </c>
      <c r="IC49" s="2227">
        <v>19792.05</v>
      </c>
      <c r="ID49" s="2227">
        <v>24958.05</v>
      </c>
      <c r="IE49" s="2227">
        <v>23150.880000000001</v>
      </c>
      <c r="IF49" s="2227">
        <v>22729.75</v>
      </c>
      <c r="IG49" s="2227">
        <v>28044.1</v>
      </c>
      <c r="IH49" s="2227">
        <v>22806.25</v>
      </c>
      <c r="II49" s="2227">
        <v>23096.959999999999</v>
      </c>
      <c r="IJ49" s="2227">
        <v>31879.23</v>
      </c>
      <c r="IK49" s="2227">
        <v>23785.54</v>
      </c>
      <c r="IL49" s="2227">
        <v>28698.63</v>
      </c>
      <c r="IM49" s="2227">
        <v>25016.95</v>
      </c>
      <c r="IN49" s="2227">
        <v>35548.06</v>
      </c>
      <c r="IO49" s="2227">
        <v>37060.19</v>
      </c>
      <c r="IP49" s="2227">
        <v>34000</v>
      </c>
      <c r="IQ49" s="2227">
        <v>33522.1</v>
      </c>
      <c r="IR49" s="2227">
        <v>51436.27</v>
      </c>
      <c r="IS49" s="2227">
        <v>33502.629999999997</v>
      </c>
      <c r="IT49" s="2227">
        <v>45116.66</v>
      </c>
      <c r="IU49" s="2227">
        <v>33667.51</v>
      </c>
      <c r="IV49" s="2227">
        <v>23050.69</v>
      </c>
    </row>
    <row r="50" spans="1:256">
      <c r="A50" s="2214">
        <v>41</v>
      </c>
      <c r="B50" s="2925">
        <v>16672.52</v>
      </c>
      <c r="C50" s="2227">
        <v>16522.64</v>
      </c>
      <c r="D50" s="2925">
        <v>15672.52</v>
      </c>
      <c r="E50" s="2227">
        <v>15249.61</v>
      </c>
      <c r="F50" s="2925">
        <v>14672.52</v>
      </c>
      <c r="G50" s="2227">
        <v>14325.66</v>
      </c>
      <c r="H50" s="2926">
        <v>13732</v>
      </c>
      <c r="I50" s="2925">
        <v>23724.12</v>
      </c>
      <c r="J50" s="2925">
        <v>23724.12</v>
      </c>
      <c r="K50" s="2227">
        <v>19800.13</v>
      </c>
      <c r="L50" s="2925">
        <v>20582</v>
      </c>
      <c r="M50" s="2227">
        <v>19800.13</v>
      </c>
      <c r="N50" s="2925">
        <v>20469.07</v>
      </c>
      <c r="O50" s="2925">
        <v>20469.07</v>
      </c>
      <c r="P50" s="2227">
        <v>18362.45</v>
      </c>
      <c r="Q50" s="2925">
        <v>19505.18</v>
      </c>
      <c r="R50" s="2227">
        <v>17903.36</v>
      </c>
      <c r="S50" s="2925">
        <v>18362.45</v>
      </c>
      <c r="T50" s="2925">
        <v>18515.2</v>
      </c>
      <c r="U50" s="2227">
        <v>17903.36</v>
      </c>
      <c r="V50" s="2925">
        <v>18098.810000000001</v>
      </c>
      <c r="W50" s="2227">
        <v>17190.91</v>
      </c>
      <c r="X50" s="2925">
        <v>17509.86</v>
      </c>
      <c r="Y50" s="2925">
        <v>17509.86</v>
      </c>
      <c r="Z50" s="2925">
        <v>16860.759999999998</v>
      </c>
      <c r="AA50" s="2925">
        <v>27167</v>
      </c>
      <c r="AB50" s="2227">
        <v>24457.38</v>
      </c>
      <c r="AC50" s="2925">
        <v>25648.02</v>
      </c>
      <c r="AD50" s="2227">
        <v>23585.82</v>
      </c>
      <c r="AE50" s="2925">
        <v>24148.02</v>
      </c>
      <c r="AF50" s="2227">
        <v>22932.33</v>
      </c>
      <c r="AG50" s="2925">
        <v>22648.02</v>
      </c>
      <c r="AH50" s="2925">
        <v>28044.1</v>
      </c>
      <c r="AI50" s="2925">
        <v>28055.94</v>
      </c>
      <c r="AJ50" s="2227">
        <v>27166.44</v>
      </c>
      <c r="AK50" s="2925">
        <v>27166.44</v>
      </c>
      <c r="AL50" s="2925">
        <v>25932.33</v>
      </c>
      <c r="AM50" s="2227">
        <v>24457.38</v>
      </c>
      <c r="AN50" s="2925">
        <v>24457.38</v>
      </c>
      <c r="AO50" s="2925">
        <v>24432.33</v>
      </c>
      <c r="AP50" s="2227">
        <v>23585.82</v>
      </c>
      <c r="AQ50" s="2925">
        <v>23585.82</v>
      </c>
      <c r="AR50" s="2925">
        <v>22932.33</v>
      </c>
      <c r="AS50" s="2923">
        <v>33124</v>
      </c>
      <c r="AT50" s="2227">
        <v>27576.47</v>
      </c>
      <c r="AU50" s="2923">
        <v>30884</v>
      </c>
      <c r="AV50" s="2227">
        <v>26904.17</v>
      </c>
      <c r="AW50" s="2923">
        <v>27718</v>
      </c>
      <c r="AX50" s="2227">
        <v>24394.45</v>
      </c>
      <c r="AY50" s="2923">
        <v>25218</v>
      </c>
      <c r="AZ50" s="2925">
        <v>33994</v>
      </c>
      <c r="BA50" s="2227">
        <v>29298.21</v>
      </c>
      <c r="BB50" s="2923">
        <v>33124</v>
      </c>
      <c r="BC50" s="2227">
        <v>28698.63</v>
      </c>
      <c r="BD50" s="2925">
        <v>35888.620000000003</v>
      </c>
      <c r="BE50" s="2227">
        <v>32067.71</v>
      </c>
      <c r="BF50" s="2923">
        <v>33124</v>
      </c>
      <c r="BG50" s="2227">
        <v>30592.47</v>
      </c>
      <c r="BH50" s="2925">
        <v>31754</v>
      </c>
      <c r="BI50" s="2227">
        <v>28584.78</v>
      </c>
      <c r="BJ50" s="2923">
        <v>30884</v>
      </c>
      <c r="BK50" s="2227">
        <v>27886.87</v>
      </c>
      <c r="BL50" s="2925">
        <v>32558</v>
      </c>
      <c r="BM50" s="2227">
        <v>31482.54</v>
      </c>
      <c r="BN50" s="2923">
        <v>31046.92</v>
      </c>
      <c r="BO50" s="2227">
        <v>30176.92</v>
      </c>
      <c r="BP50" s="2925">
        <v>28588</v>
      </c>
      <c r="BQ50" s="2227">
        <v>25747.26</v>
      </c>
      <c r="BR50" s="2923">
        <v>27718</v>
      </c>
      <c r="BS50" s="2227">
        <v>26802.639999999999</v>
      </c>
      <c r="BT50" s="2925">
        <v>29558</v>
      </c>
      <c r="BU50" s="2227">
        <v>27517.21</v>
      </c>
      <c r="BV50" s="2923">
        <v>27999.93</v>
      </c>
      <c r="BW50" s="2227">
        <v>26979.93</v>
      </c>
      <c r="BX50" s="2925">
        <v>26088</v>
      </c>
      <c r="BY50" s="2923">
        <v>25218</v>
      </c>
      <c r="BZ50" s="2924">
        <v>26558</v>
      </c>
      <c r="CA50" s="2923">
        <v>25218</v>
      </c>
      <c r="CB50" s="2227">
        <v>66780</v>
      </c>
      <c r="CC50" s="2227">
        <v>63780</v>
      </c>
      <c r="CD50" s="2227">
        <v>60780</v>
      </c>
      <c r="CE50" s="2227">
        <v>58990</v>
      </c>
      <c r="CF50" s="2227">
        <v>55990</v>
      </c>
      <c r="CG50" s="2227">
        <v>52990</v>
      </c>
      <c r="CH50" s="2227">
        <v>51360</v>
      </c>
      <c r="CI50" s="2227">
        <v>48360</v>
      </c>
      <c r="CJ50" s="2227">
        <v>44860</v>
      </c>
      <c r="CK50" s="2227">
        <v>43951.59</v>
      </c>
      <c r="CL50" s="2227">
        <v>41360</v>
      </c>
      <c r="CM50" s="2227">
        <v>38360</v>
      </c>
      <c r="CN50" s="2227">
        <v>35895</v>
      </c>
      <c r="CO50" s="2227">
        <v>33895</v>
      </c>
      <c r="CP50" s="2227">
        <v>22006.560000000001</v>
      </c>
      <c r="CQ50" s="2227">
        <v>13404.34</v>
      </c>
      <c r="CR50" s="2227">
        <v>16763.02</v>
      </c>
      <c r="CS50" s="2227">
        <v>32165.25</v>
      </c>
      <c r="CT50" s="2227">
        <v>20469.07</v>
      </c>
      <c r="CU50" s="2227">
        <v>22902.959999999999</v>
      </c>
      <c r="CV50" s="2227">
        <v>22902.959999999999</v>
      </c>
      <c r="CW50" s="2227">
        <v>22902.959999999999</v>
      </c>
      <c r="CX50" s="2227">
        <v>22902.959999999999</v>
      </c>
      <c r="CY50" s="2227">
        <v>22800</v>
      </c>
      <c r="CZ50" s="2227">
        <v>27166.44</v>
      </c>
      <c r="DA50" s="2227">
        <v>23724.12</v>
      </c>
      <c r="DB50" s="2227">
        <v>23050.69</v>
      </c>
      <c r="DC50" s="2227">
        <v>24457.38</v>
      </c>
      <c r="DD50" s="2227">
        <v>19010.2</v>
      </c>
      <c r="DE50" s="2227">
        <v>22648.02</v>
      </c>
      <c r="DF50" s="2227">
        <v>22498.34</v>
      </c>
      <c r="DG50" s="2227">
        <v>21950</v>
      </c>
      <c r="DH50" s="2227">
        <v>19600</v>
      </c>
      <c r="DI50" s="2227">
        <v>16476.650000000001</v>
      </c>
      <c r="DJ50" s="2227">
        <v>16476.650000000001</v>
      </c>
      <c r="DK50" s="2227">
        <v>20700</v>
      </c>
      <c r="DL50" s="2227">
        <v>24859.06</v>
      </c>
      <c r="DM50" s="2227">
        <v>24800</v>
      </c>
      <c r="DN50" s="2227">
        <v>14129.98</v>
      </c>
      <c r="DO50" s="2227">
        <v>26802.639999999999</v>
      </c>
      <c r="DP50" s="2227">
        <v>17947.62</v>
      </c>
      <c r="DQ50" s="2227">
        <v>34916.480000000003</v>
      </c>
      <c r="DR50" s="2227">
        <v>22932.33</v>
      </c>
      <c r="DS50" s="2227">
        <v>15650</v>
      </c>
      <c r="DT50" s="2227">
        <v>15645.76</v>
      </c>
      <c r="DU50" s="2227">
        <v>15666.92</v>
      </c>
      <c r="DV50" s="2227">
        <v>23585.82</v>
      </c>
      <c r="DW50" s="2227">
        <v>17190.91</v>
      </c>
      <c r="DX50" s="2227">
        <v>26450</v>
      </c>
      <c r="DY50" s="2227">
        <v>18649.73</v>
      </c>
      <c r="DZ50" s="2227">
        <v>26979.93</v>
      </c>
      <c r="EA50" s="2227">
        <v>23878.78</v>
      </c>
      <c r="EB50" s="2227">
        <v>37925.769999999997</v>
      </c>
      <c r="EC50" s="2227">
        <v>24606.06</v>
      </c>
      <c r="ED50" s="2227">
        <v>20451.259999999998</v>
      </c>
      <c r="EE50" s="2227">
        <v>16550</v>
      </c>
      <c r="EF50" s="2227">
        <v>18362.45</v>
      </c>
      <c r="EG50" s="2227">
        <v>19800.13</v>
      </c>
      <c r="EH50" s="2227">
        <v>18691.3</v>
      </c>
      <c r="EI50" s="2227">
        <v>24764.720000000001</v>
      </c>
      <c r="EJ50" s="2227">
        <v>31482.54</v>
      </c>
      <c r="EK50" s="2227">
        <v>22475.61</v>
      </c>
      <c r="EL50" s="2227">
        <v>18691.310000000001</v>
      </c>
      <c r="EM50" s="2227">
        <v>38304.26</v>
      </c>
      <c r="EN50" s="2227">
        <v>27517.21</v>
      </c>
      <c r="EO50" s="2227">
        <v>14888.48</v>
      </c>
      <c r="EP50" s="2227">
        <v>18300</v>
      </c>
      <c r="EQ50" s="2227">
        <v>22283.79</v>
      </c>
      <c r="ER50" s="2227">
        <v>23371.47</v>
      </c>
      <c r="ES50" s="2227">
        <v>20382.759999999998</v>
      </c>
      <c r="ET50" s="2227">
        <v>15249.61</v>
      </c>
      <c r="EU50" s="2227">
        <v>23128.53</v>
      </c>
      <c r="EV50" s="2227">
        <v>25212.13</v>
      </c>
      <c r="EW50" s="2227">
        <v>22741.98</v>
      </c>
      <c r="EX50" s="2227">
        <v>22284.13</v>
      </c>
      <c r="EY50" s="2227">
        <v>23350</v>
      </c>
      <c r="EZ50" s="2227">
        <v>33887.15</v>
      </c>
      <c r="FA50" s="2227">
        <v>18273.66</v>
      </c>
      <c r="FB50" s="2227">
        <v>16076.06</v>
      </c>
      <c r="FC50" s="2227">
        <v>36200</v>
      </c>
      <c r="FD50" s="2227">
        <v>34000</v>
      </c>
      <c r="FE50" s="2227">
        <v>42638.83</v>
      </c>
      <c r="FF50" s="2227">
        <v>15000</v>
      </c>
      <c r="FG50" s="2227">
        <v>30176.92</v>
      </c>
      <c r="FH50" s="2227">
        <v>21368.47</v>
      </c>
      <c r="FI50" s="2227">
        <v>17903.36</v>
      </c>
      <c r="FJ50" s="2227">
        <v>15480.42</v>
      </c>
      <c r="FK50" s="2227">
        <v>27886.87</v>
      </c>
      <c r="FL50" s="2227">
        <v>19682.88</v>
      </c>
      <c r="FM50" s="2227">
        <v>24408.44</v>
      </c>
      <c r="FN50" s="2227">
        <v>22800</v>
      </c>
      <c r="FO50" s="2227">
        <v>28817.74</v>
      </c>
      <c r="FP50" s="2227">
        <v>22459.200000000001</v>
      </c>
      <c r="FQ50" s="2227">
        <v>17925.2</v>
      </c>
      <c r="FR50" s="2227">
        <v>29300</v>
      </c>
      <c r="FS50" s="2227">
        <v>36200</v>
      </c>
      <c r="FT50" s="2227">
        <v>30292.59</v>
      </c>
      <c r="FU50" s="2227">
        <v>24789.42</v>
      </c>
      <c r="FV50" s="2227">
        <v>35250</v>
      </c>
      <c r="FW50" s="2227">
        <v>17905.48</v>
      </c>
      <c r="FX50" s="2227">
        <v>20228.240000000002</v>
      </c>
      <c r="FY50" s="2227">
        <v>16810.330000000002</v>
      </c>
      <c r="FZ50" s="2227">
        <v>22063.68</v>
      </c>
      <c r="GA50" s="2227">
        <v>28946.43</v>
      </c>
      <c r="GB50" s="2227">
        <v>32067.71</v>
      </c>
      <c r="GC50" s="2227">
        <v>17947.62</v>
      </c>
      <c r="GD50" s="2227">
        <v>14084.93</v>
      </c>
      <c r="GE50" s="2227">
        <v>28780.55</v>
      </c>
      <c r="GF50" s="2227">
        <v>29150</v>
      </c>
      <c r="GG50" s="2227">
        <v>45052.27</v>
      </c>
      <c r="GH50" s="2227">
        <v>19682.75</v>
      </c>
      <c r="GI50" s="2227">
        <v>22224.3</v>
      </c>
      <c r="GJ50" s="2227">
        <v>14898.45</v>
      </c>
      <c r="GK50" s="2227">
        <v>18273.39</v>
      </c>
      <c r="GL50" s="2227">
        <v>26904.17</v>
      </c>
      <c r="GM50" s="2227">
        <v>18662.46</v>
      </c>
      <c r="GN50" s="2227">
        <v>21355.98</v>
      </c>
      <c r="GO50" s="2227">
        <v>20414.61</v>
      </c>
      <c r="GP50" s="2227">
        <v>24724.41</v>
      </c>
      <c r="GQ50" s="2227">
        <v>16639.7</v>
      </c>
      <c r="GR50" s="2227">
        <v>15167.61</v>
      </c>
      <c r="GS50" s="2227">
        <v>15909.48</v>
      </c>
      <c r="GT50" s="2227">
        <v>18649.73</v>
      </c>
      <c r="GU50" s="2227">
        <v>22679.62</v>
      </c>
      <c r="GV50" s="2227">
        <v>21788.59</v>
      </c>
      <c r="GW50" s="2227">
        <v>38349.18</v>
      </c>
      <c r="GX50" s="2227">
        <v>40333.050000000003</v>
      </c>
      <c r="GY50" s="2227">
        <v>49443.29</v>
      </c>
      <c r="GZ50" s="2227">
        <v>14591.09</v>
      </c>
      <c r="HA50" s="2227">
        <v>14025.66</v>
      </c>
      <c r="HB50" s="2227">
        <v>19682.88</v>
      </c>
      <c r="HC50" s="2227">
        <v>17935.78</v>
      </c>
      <c r="HD50" s="2227">
        <v>18639.27</v>
      </c>
      <c r="HE50" s="2227">
        <v>25493.52</v>
      </c>
      <c r="HF50" s="2227">
        <v>26550</v>
      </c>
      <c r="HG50" s="2227">
        <v>23723.26</v>
      </c>
      <c r="HH50" s="2227">
        <v>24800</v>
      </c>
      <c r="HI50" s="2227">
        <v>23823</v>
      </c>
      <c r="HJ50" s="2227">
        <v>24408.44</v>
      </c>
      <c r="HK50" s="2227">
        <v>29298.21</v>
      </c>
      <c r="HL50" s="2227">
        <v>40100</v>
      </c>
      <c r="HM50" s="2227">
        <v>19682.87</v>
      </c>
      <c r="HN50" s="2227">
        <v>18740.89</v>
      </c>
      <c r="HO50" s="2227">
        <v>15666.92</v>
      </c>
      <c r="HP50" s="2227">
        <v>23731.39</v>
      </c>
      <c r="HQ50" s="2227">
        <v>28946.43</v>
      </c>
      <c r="HR50" s="2227">
        <v>32500</v>
      </c>
      <c r="HS50" s="2227">
        <v>22806.240000000002</v>
      </c>
      <c r="HT50" s="2227">
        <v>24863.78</v>
      </c>
      <c r="HU50" s="2227">
        <v>33522.1</v>
      </c>
      <c r="HV50" s="2227">
        <v>31744.65</v>
      </c>
      <c r="HW50" s="2227">
        <v>19682.73</v>
      </c>
      <c r="HX50" s="2227">
        <v>18273.66</v>
      </c>
      <c r="HY50" s="2227">
        <v>18448.45</v>
      </c>
      <c r="HZ50" s="2227">
        <v>19374.060000000001</v>
      </c>
      <c r="IA50" s="2227">
        <v>14025.66</v>
      </c>
      <c r="IB50" s="2227">
        <v>19991.37</v>
      </c>
      <c r="IC50" s="2227">
        <v>19792.05</v>
      </c>
      <c r="ID50" s="2227">
        <v>24958.05</v>
      </c>
      <c r="IE50" s="2227">
        <v>23150.880000000001</v>
      </c>
      <c r="IF50" s="2227">
        <v>22729.75</v>
      </c>
      <c r="IG50" s="2227">
        <v>28044.1</v>
      </c>
      <c r="IH50" s="2227">
        <v>22806.25</v>
      </c>
      <c r="II50" s="2227">
        <v>23096.959999999999</v>
      </c>
      <c r="IJ50" s="2227">
        <v>31879.23</v>
      </c>
      <c r="IK50" s="2227">
        <v>23785.54</v>
      </c>
      <c r="IL50" s="2227">
        <v>28698.63</v>
      </c>
      <c r="IM50" s="2227">
        <v>25016.95</v>
      </c>
      <c r="IN50" s="2227">
        <v>35548.06</v>
      </c>
      <c r="IO50" s="2227">
        <v>37060.19</v>
      </c>
      <c r="IP50" s="2227">
        <v>34000</v>
      </c>
      <c r="IQ50" s="2227">
        <v>33522.1</v>
      </c>
      <c r="IR50" s="2227">
        <v>51436.27</v>
      </c>
      <c r="IS50" s="2227">
        <v>33502.629999999997</v>
      </c>
      <c r="IT50" s="2227">
        <v>45116.66</v>
      </c>
      <c r="IU50" s="2227">
        <v>33667.51</v>
      </c>
      <c r="IV50" s="2227">
        <v>23050.69</v>
      </c>
    </row>
    <row r="51" spans="1:256">
      <c r="A51" s="2214">
        <v>42</v>
      </c>
      <c r="B51" s="2925">
        <v>16672.52</v>
      </c>
      <c r="C51" s="2227">
        <v>16522.64</v>
      </c>
      <c r="D51" s="2925">
        <v>15672.52</v>
      </c>
      <c r="E51" s="2227">
        <v>15249.61</v>
      </c>
      <c r="F51" s="2925">
        <v>14672.52</v>
      </c>
      <c r="G51" s="2227">
        <v>14325.66</v>
      </c>
      <c r="H51" s="2926">
        <v>13732</v>
      </c>
      <c r="I51" s="2925">
        <v>23724.12</v>
      </c>
      <c r="J51" s="2925">
        <v>23724.12</v>
      </c>
      <c r="K51" s="2227">
        <v>19800.13</v>
      </c>
      <c r="L51" s="2925">
        <v>20582</v>
      </c>
      <c r="M51" s="2227">
        <v>19800.13</v>
      </c>
      <c r="N51" s="2925">
        <v>20469.07</v>
      </c>
      <c r="O51" s="2925">
        <v>20469.07</v>
      </c>
      <c r="P51" s="2227">
        <v>18362.45</v>
      </c>
      <c r="Q51" s="2925">
        <v>19505.18</v>
      </c>
      <c r="R51" s="2227">
        <v>17903.36</v>
      </c>
      <c r="S51" s="2925">
        <v>18362.45</v>
      </c>
      <c r="T51" s="2925">
        <v>18515.2</v>
      </c>
      <c r="U51" s="2227">
        <v>17903.36</v>
      </c>
      <c r="V51" s="2925">
        <v>18098.810000000001</v>
      </c>
      <c r="W51" s="2227">
        <v>17190.91</v>
      </c>
      <c r="X51" s="2925">
        <v>17509.86</v>
      </c>
      <c r="Y51" s="2925">
        <v>17509.86</v>
      </c>
      <c r="Z51" s="2925">
        <v>16860.759999999998</v>
      </c>
      <c r="AA51" s="2925">
        <v>27167</v>
      </c>
      <c r="AB51" s="2227">
        <v>24457.38</v>
      </c>
      <c r="AC51" s="2925">
        <v>25648.02</v>
      </c>
      <c r="AD51" s="2227">
        <v>23585.82</v>
      </c>
      <c r="AE51" s="2925">
        <v>24148.02</v>
      </c>
      <c r="AF51" s="2227">
        <v>22932.33</v>
      </c>
      <c r="AG51" s="2925">
        <v>22648.02</v>
      </c>
      <c r="AH51" s="2925">
        <v>28044.1</v>
      </c>
      <c r="AI51" s="2925">
        <v>28055.94</v>
      </c>
      <c r="AJ51" s="2227">
        <v>27166.44</v>
      </c>
      <c r="AK51" s="2925">
        <v>27166.44</v>
      </c>
      <c r="AL51" s="2925">
        <v>25932.33</v>
      </c>
      <c r="AM51" s="2227">
        <v>24457.38</v>
      </c>
      <c r="AN51" s="2925">
        <v>24457.38</v>
      </c>
      <c r="AO51" s="2925">
        <v>24432.33</v>
      </c>
      <c r="AP51" s="2227">
        <v>23585.82</v>
      </c>
      <c r="AQ51" s="2925">
        <v>23585.82</v>
      </c>
      <c r="AR51" s="2925">
        <v>22932.33</v>
      </c>
      <c r="AS51" s="2923">
        <v>33124</v>
      </c>
      <c r="AT51" s="2227">
        <v>27576.47</v>
      </c>
      <c r="AU51" s="2923">
        <v>30884</v>
      </c>
      <c r="AV51" s="2227">
        <v>26904.17</v>
      </c>
      <c r="AW51" s="2923">
        <v>27718</v>
      </c>
      <c r="AX51" s="2227">
        <v>24394.45</v>
      </c>
      <c r="AY51" s="2923">
        <v>25218</v>
      </c>
      <c r="AZ51" s="2925">
        <v>33994</v>
      </c>
      <c r="BA51" s="2227">
        <v>29298.21</v>
      </c>
      <c r="BB51" s="2923">
        <v>33124</v>
      </c>
      <c r="BC51" s="2227">
        <v>28698.63</v>
      </c>
      <c r="BD51" s="2925">
        <v>35888.620000000003</v>
      </c>
      <c r="BE51" s="2227">
        <v>32067.71</v>
      </c>
      <c r="BF51" s="2923">
        <v>33124</v>
      </c>
      <c r="BG51" s="2227">
        <v>30592.47</v>
      </c>
      <c r="BH51" s="2925">
        <v>31754</v>
      </c>
      <c r="BI51" s="2227">
        <v>28584.78</v>
      </c>
      <c r="BJ51" s="2923">
        <v>30884</v>
      </c>
      <c r="BK51" s="2227">
        <v>27886.87</v>
      </c>
      <c r="BL51" s="2925">
        <v>32558</v>
      </c>
      <c r="BM51" s="2227">
        <v>31482.54</v>
      </c>
      <c r="BN51" s="2923">
        <v>31046.92</v>
      </c>
      <c r="BO51" s="2227">
        <v>30176.92</v>
      </c>
      <c r="BP51" s="2925">
        <v>28588</v>
      </c>
      <c r="BQ51" s="2227">
        <v>25747.26</v>
      </c>
      <c r="BR51" s="2923">
        <v>27718</v>
      </c>
      <c r="BS51" s="2227">
        <v>26802.639999999999</v>
      </c>
      <c r="BT51" s="2925">
        <v>29558</v>
      </c>
      <c r="BU51" s="2227">
        <v>27517.21</v>
      </c>
      <c r="BV51" s="2923">
        <v>27999.93</v>
      </c>
      <c r="BW51" s="2227">
        <v>26979.93</v>
      </c>
      <c r="BX51" s="2925">
        <v>26088</v>
      </c>
      <c r="BY51" s="2923">
        <v>25218</v>
      </c>
      <c r="BZ51" s="2924">
        <v>26558</v>
      </c>
      <c r="CA51" s="2923">
        <v>25218</v>
      </c>
      <c r="CB51" s="2227">
        <v>66780</v>
      </c>
      <c r="CC51" s="2227">
        <v>63780</v>
      </c>
      <c r="CD51" s="2227">
        <v>60780</v>
      </c>
      <c r="CE51" s="2227">
        <v>58990</v>
      </c>
      <c r="CF51" s="2227">
        <v>55990</v>
      </c>
      <c r="CG51" s="2227">
        <v>52990</v>
      </c>
      <c r="CH51" s="2227">
        <v>51360</v>
      </c>
      <c r="CI51" s="2227">
        <v>48360</v>
      </c>
      <c r="CJ51" s="2227">
        <v>44860</v>
      </c>
      <c r="CK51" s="2227">
        <v>43951.59</v>
      </c>
      <c r="CL51" s="2227">
        <v>41360</v>
      </c>
      <c r="CM51" s="2227">
        <v>38360</v>
      </c>
      <c r="CN51" s="2227">
        <v>35895</v>
      </c>
      <c r="CO51" s="2227">
        <v>33895</v>
      </c>
      <c r="CP51" s="2227">
        <v>22006.560000000001</v>
      </c>
      <c r="CQ51" s="2227">
        <v>13404.34</v>
      </c>
      <c r="CR51" s="2227">
        <v>16763.02</v>
      </c>
      <c r="CS51" s="2227">
        <v>32165.25</v>
      </c>
      <c r="CT51" s="2227">
        <v>20469.07</v>
      </c>
      <c r="CU51" s="2227">
        <v>22902.959999999999</v>
      </c>
      <c r="CV51" s="2227">
        <v>22902.959999999999</v>
      </c>
      <c r="CW51" s="2227">
        <v>22902.959999999999</v>
      </c>
      <c r="CX51" s="2227">
        <v>22902.959999999999</v>
      </c>
      <c r="CY51" s="2227">
        <v>22800</v>
      </c>
      <c r="CZ51" s="2227">
        <v>27166.44</v>
      </c>
      <c r="DA51" s="2227">
        <v>23724.12</v>
      </c>
      <c r="DB51" s="2227">
        <v>23050.69</v>
      </c>
      <c r="DC51" s="2227">
        <v>24457.38</v>
      </c>
      <c r="DD51" s="2227">
        <v>19010.2</v>
      </c>
      <c r="DE51" s="2227">
        <v>22648.02</v>
      </c>
      <c r="DF51" s="2227">
        <v>22498.34</v>
      </c>
      <c r="DG51" s="2227">
        <v>21950</v>
      </c>
      <c r="DH51" s="2227">
        <v>19600</v>
      </c>
      <c r="DI51" s="2227">
        <v>16476.650000000001</v>
      </c>
      <c r="DJ51" s="2227">
        <v>16476.650000000001</v>
      </c>
      <c r="DK51" s="2227">
        <v>20700</v>
      </c>
      <c r="DL51" s="2227">
        <v>24859.06</v>
      </c>
      <c r="DM51" s="2227">
        <v>24800</v>
      </c>
      <c r="DN51" s="2227">
        <v>14129.98</v>
      </c>
      <c r="DO51" s="2227">
        <v>26802.639999999999</v>
      </c>
      <c r="DP51" s="2227">
        <v>17947.62</v>
      </c>
      <c r="DQ51" s="2227">
        <v>34916.480000000003</v>
      </c>
      <c r="DR51" s="2227">
        <v>22932.33</v>
      </c>
      <c r="DS51" s="2227">
        <v>15650</v>
      </c>
      <c r="DT51" s="2227">
        <v>15645.76</v>
      </c>
      <c r="DU51" s="2227">
        <v>15666.92</v>
      </c>
      <c r="DV51" s="2227">
        <v>23585.82</v>
      </c>
      <c r="DW51" s="2227">
        <v>17190.91</v>
      </c>
      <c r="DX51" s="2227">
        <v>26450</v>
      </c>
      <c r="DY51" s="2227">
        <v>18649.73</v>
      </c>
      <c r="DZ51" s="2227">
        <v>26979.93</v>
      </c>
      <c r="EA51" s="2227">
        <v>23878.78</v>
      </c>
      <c r="EB51" s="2227">
        <v>37925.769999999997</v>
      </c>
      <c r="EC51" s="2227">
        <v>24606.06</v>
      </c>
      <c r="ED51" s="2227">
        <v>20451.259999999998</v>
      </c>
      <c r="EE51" s="2227">
        <v>16550</v>
      </c>
      <c r="EF51" s="2227">
        <v>18362.45</v>
      </c>
      <c r="EG51" s="2227">
        <v>19800.13</v>
      </c>
      <c r="EH51" s="2227">
        <v>18691.3</v>
      </c>
      <c r="EI51" s="2227">
        <v>24764.720000000001</v>
      </c>
      <c r="EJ51" s="2227">
        <v>31482.54</v>
      </c>
      <c r="EK51" s="2227">
        <v>22475.61</v>
      </c>
      <c r="EL51" s="2227">
        <v>18691.310000000001</v>
      </c>
      <c r="EM51" s="2227">
        <v>38304.26</v>
      </c>
      <c r="EN51" s="2227">
        <v>27517.21</v>
      </c>
      <c r="EO51" s="2227">
        <v>14888.48</v>
      </c>
      <c r="EP51" s="2227">
        <v>18300</v>
      </c>
      <c r="EQ51" s="2227">
        <v>22283.79</v>
      </c>
      <c r="ER51" s="2227">
        <v>23371.47</v>
      </c>
      <c r="ES51" s="2227">
        <v>20382.759999999998</v>
      </c>
      <c r="ET51" s="2227">
        <v>15249.61</v>
      </c>
      <c r="EU51" s="2227">
        <v>23128.53</v>
      </c>
      <c r="EV51" s="2227">
        <v>25212.13</v>
      </c>
      <c r="EW51" s="2227">
        <v>22741.98</v>
      </c>
      <c r="EX51" s="2227">
        <v>22284.13</v>
      </c>
      <c r="EY51" s="2227">
        <v>23350</v>
      </c>
      <c r="EZ51" s="2227">
        <v>33887.15</v>
      </c>
      <c r="FA51" s="2227">
        <v>18273.66</v>
      </c>
      <c r="FB51" s="2227">
        <v>16076.06</v>
      </c>
      <c r="FC51" s="2227">
        <v>36200</v>
      </c>
      <c r="FD51" s="2227">
        <v>34000</v>
      </c>
      <c r="FE51" s="2227">
        <v>42638.83</v>
      </c>
      <c r="FF51" s="2227">
        <v>15000</v>
      </c>
      <c r="FG51" s="2227">
        <v>30176.92</v>
      </c>
      <c r="FH51" s="2227">
        <v>21368.47</v>
      </c>
      <c r="FI51" s="2227">
        <v>17903.36</v>
      </c>
      <c r="FJ51" s="2227">
        <v>15480.42</v>
      </c>
      <c r="FK51" s="2227">
        <v>27886.87</v>
      </c>
      <c r="FL51" s="2227">
        <v>19682.88</v>
      </c>
      <c r="FM51" s="2227">
        <v>24408.44</v>
      </c>
      <c r="FN51" s="2227">
        <v>22800</v>
      </c>
      <c r="FO51" s="2227">
        <v>28817.74</v>
      </c>
      <c r="FP51" s="2227">
        <v>22459.200000000001</v>
      </c>
      <c r="FQ51" s="2227">
        <v>17925.2</v>
      </c>
      <c r="FR51" s="2227">
        <v>29300</v>
      </c>
      <c r="FS51" s="2227">
        <v>36200</v>
      </c>
      <c r="FT51" s="2227">
        <v>30292.59</v>
      </c>
      <c r="FU51" s="2227">
        <v>24789.42</v>
      </c>
      <c r="FV51" s="2227">
        <v>35250</v>
      </c>
      <c r="FW51" s="2227">
        <v>17905.48</v>
      </c>
      <c r="FX51" s="2227">
        <v>20228.240000000002</v>
      </c>
      <c r="FY51" s="2227">
        <v>16810.330000000002</v>
      </c>
      <c r="FZ51" s="2227">
        <v>22063.68</v>
      </c>
      <c r="GA51" s="2227">
        <v>28946.43</v>
      </c>
      <c r="GB51" s="2227">
        <v>32067.71</v>
      </c>
      <c r="GC51" s="2227">
        <v>17947.62</v>
      </c>
      <c r="GD51" s="2227">
        <v>14084.93</v>
      </c>
      <c r="GE51" s="2227">
        <v>28780.55</v>
      </c>
      <c r="GF51" s="2227">
        <v>29150</v>
      </c>
      <c r="GG51" s="2227">
        <v>45052.27</v>
      </c>
      <c r="GH51" s="2227">
        <v>19682.75</v>
      </c>
      <c r="GI51" s="2227">
        <v>22224.3</v>
      </c>
      <c r="GJ51" s="2227">
        <v>14898.45</v>
      </c>
      <c r="GK51" s="2227">
        <v>18273.39</v>
      </c>
      <c r="GL51" s="2227">
        <v>26904.17</v>
      </c>
      <c r="GM51" s="2227">
        <v>18662.46</v>
      </c>
      <c r="GN51" s="2227">
        <v>21355.98</v>
      </c>
      <c r="GO51" s="2227">
        <v>20414.61</v>
      </c>
      <c r="GP51" s="2227">
        <v>24724.41</v>
      </c>
      <c r="GQ51" s="2227">
        <v>16639.7</v>
      </c>
      <c r="GR51" s="2227">
        <v>15167.61</v>
      </c>
      <c r="GS51" s="2227">
        <v>15909.48</v>
      </c>
      <c r="GT51" s="2227">
        <v>18649.73</v>
      </c>
      <c r="GU51" s="2227">
        <v>22679.62</v>
      </c>
      <c r="GV51" s="2227">
        <v>21788.59</v>
      </c>
      <c r="GW51" s="2227">
        <v>38349.18</v>
      </c>
      <c r="GX51" s="2227">
        <v>40333.050000000003</v>
      </c>
      <c r="GY51" s="2227">
        <v>49443.29</v>
      </c>
      <c r="GZ51" s="2227">
        <v>14591.09</v>
      </c>
      <c r="HA51" s="2227">
        <v>14025.66</v>
      </c>
      <c r="HB51" s="2227">
        <v>19682.88</v>
      </c>
      <c r="HC51" s="2227">
        <v>17935.78</v>
      </c>
      <c r="HD51" s="2227">
        <v>18639.27</v>
      </c>
      <c r="HE51" s="2227">
        <v>25493.52</v>
      </c>
      <c r="HF51" s="2227">
        <v>26550</v>
      </c>
      <c r="HG51" s="2227">
        <v>23723.26</v>
      </c>
      <c r="HH51" s="2227">
        <v>24800</v>
      </c>
      <c r="HI51" s="2227">
        <v>23823</v>
      </c>
      <c r="HJ51" s="2227">
        <v>24408.44</v>
      </c>
      <c r="HK51" s="2227">
        <v>29298.21</v>
      </c>
      <c r="HL51" s="2227">
        <v>40100</v>
      </c>
      <c r="HM51" s="2227">
        <v>19682.87</v>
      </c>
      <c r="HN51" s="2227">
        <v>18740.89</v>
      </c>
      <c r="HO51" s="2227">
        <v>15666.92</v>
      </c>
      <c r="HP51" s="2227">
        <v>23731.39</v>
      </c>
      <c r="HQ51" s="2227">
        <v>28946.43</v>
      </c>
      <c r="HR51" s="2227">
        <v>32500</v>
      </c>
      <c r="HS51" s="2227">
        <v>22806.240000000002</v>
      </c>
      <c r="HT51" s="2227">
        <v>24863.78</v>
      </c>
      <c r="HU51" s="2227">
        <v>33522.1</v>
      </c>
      <c r="HV51" s="2227">
        <v>31744.65</v>
      </c>
      <c r="HW51" s="2227">
        <v>19682.73</v>
      </c>
      <c r="HX51" s="2227">
        <v>18273.66</v>
      </c>
      <c r="HY51" s="2227">
        <v>18448.45</v>
      </c>
      <c r="HZ51" s="2227">
        <v>19374.060000000001</v>
      </c>
      <c r="IA51" s="2227">
        <v>14025.66</v>
      </c>
      <c r="IB51" s="2227">
        <v>19991.37</v>
      </c>
      <c r="IC51" s="2227">
        <v>19792.05</v>
      </c>
      <c r="ID51" s="2227">
        <v>24958.05</v>
      </c>
      <c r="IE51" s="2227">
        <v>23150.880000000001</v>
      </c>
      <c r="IF51" s="2227">
        <v>22729.75</v>
      </c>
      <c r="IG51" s="2227">
        <v>28044.1</v>
      </c>
      <c r="IH51" s="2227">
        <v>22806.25</v>
      </c>
      <c r="II51" s="2227">
        <v>23096.959999999999</v>
      </c>
      <c r="IJ51" s="2227">
        <v>31879.23</v>
      </c>
      <c r="IK51" s="2227">
        <v>23785.54</v>
      </c>
      <c r="IL51" s="2227">
        <v>28698.63</v>
      </c>
      <c r="IM51" s="2227">
        <v>25016.95</v>
      </c>
      <c r="IN51" s="2227">
        <v>35548.06</v>
      </c>
      <c r="IO51" s="2227">
        <v>37060.19</v>
      </c>
      <c r="IP51" s="2227">
        <v>34000</v>
      </c>
      <c r="IQ51" s="2227">
        <v>33522.1</v>
      </c>
      <c r="IR51" s="2227">
        <v>51436.27</v>
      </c>
      <c r="IS51" s="2227">
        <v>33502.629999999997</v>
      </c>
      <c r="IT51" s="2227">
        <v>45116.66</v>
      </c>
      <c r="IU51" s="2227">
        <v>33667.51</v>
      </c>
      <c r="IV51" s="2227">
        <v>23050.69</v>
      </c>
    </row>
    <row r="52" spans="1:256">
      <c r="A52" s="2214">
        <v>43</v>
      </c>
      <c r="B52" s="2925">
        <v>16672.52</v>
      </c>
      <c r="C52" s="2227">
        <v>16522.64</v>
      </c>
      <c r="D52" s="2925">
        <v>15672.52</v>
      </c>
      <c r="E52" s="2227">
        <v>15249.61</v>
      </c>
      <c r="F52" s="2925">
        <v>14672.52</v>
      </c>
      <c r="G52" s="2227">
        <v>14325.66</v>
      </c>
      <c r="H52" s="2926">
        <v>13732</v>
      </c>
      <c r="I52" s="2925">
        <v>23724.12</v>
      </c>
      <c r="J52" s="2925">
        <v>23724.12</v>
      </c>
      <c r="K52" s="2227">
        <v>19800.13</v>
      </c>
      <c r="L52" s="2925">
        <v>20582</v>
      </c>
      <c r="M52" s="2227">
        <v>19800.13</v>
      </c>
      <c r="N52" s="2925">
        <v>20469.07</v>
      </c>
      <c r="O52" s="2925">
        <v>20469.07</v>
      </c>
      <c r="P52" s="2227">
        <v>18362.45</v>
      </c>
      <c r="Q52" s="2925">
        <v>19505.18</v>
      </c>
      <c r="R52" s="2227">
        <v>17903.36</v>
      </c>
      <c r="S52" s="2925">
        <v>18362.45</v>
      </c>
      <c r="T52" s="2925">
        <v>18515.2</v>
      </c>
      <c r="U52" s="2227">
        <v>17903.36</v>
      </c>
      <c r="V52" s="2925">
        <v>18098.810000000001</v>
      </c>
      <c r="W52" s="2227">
        <v>17190.91</v>
      </c>
      <c r="X52" s="2925">
        <v>17509.86</v>
      </c>
      <c r="Y52" s="2925">
        <v>17509.86</v>
      </c>
      <c r="Z52" s="2925">
        <v>16860.759999999998</v>
      </c>
      <c r="AA52" s="2925">
        <v>27167</v>
      </c>
      <c r="AB52" s="2227">
        <v>24457.38</v>
      </c>
      <c r="AC52" s="2925">
        <v>25648.02</v>
      </c>
      <c r="AD52" s="2227">
        <v>23585.82</v>
      </c>
      <c r="AE52" s="2925">
        <v>24148.02</v>
      </c>
      <c r="AF52" s="2227">
        <v>22932.33</v>
      </c>
      <c r="AG52" s="2925">
        <v>22648.02</v>
      </c>
      <c r="AH52" s="2925">
        <v>28044.1</v>
      </c>
      <c r="AI52" s="2925">
        <v>28055.94</v>
      </c>
      <c r="AJ52" s="2227">
        <v>27166.44</v>
      </c>
      <c r="AK52" s="2925">
        <v>27166.44</v>
      </c>
      <c r="AL52" s="2925">
        <v>25932.33</v>
      </c>
      <c r="AM52" s="2227">
        <v>24457.38</v>
      </c>
      <c r="AN52" s="2925">
        <v>24457.38</v>
      </c>
      <c r="AO52" s="2925">
        <v>24432.33</v>
      </c>
      <c r="AP52" s="2227">
        <v>23585.82</v>
      </c>
      <c r="AQ52" s="2925">
        <v>23585.82</v>
      </c>
      <c r="AR52" s="2925">
        <v>22932.33</v>
      </c>
      <c r="AS52" s="2923">
        <v>33124</v>
      </c>
      <c r="AT52" s="2227">
        <v>27576.47</v>
      </c>
      <c r="AU52" s="2923">
        <v>30884</v>
      </c>
      <c r="AV52" s="2227">
        <v>26904.17</v>
      </c>
      <c r="AW52" s="2923">
        <v>27718</v>
      </c>
      <c r="AX52" s="2227">
        <v>24394.45</v>
      </c>
      <c r="AY52" s="2923">
        <v>25218</v>
      </c>
      <c r="AZ52" s="2925">
        <v>33994</v>
      </c>
      <c r="BA52" s="2227">
        <v>29298.21</v>
      </c>
      <c r="BB52" s="2923">
        <v>33124</v>
      </c>
      <c r="BC52" s="2227">
        <v>28698.63</v>
      </c>
      <c r="BD52" s="2925">
        <v>35888.620000000003</v>
      </c>
      <c r="BE52" s="2227">
        <v>32067.71</v>
      </c>
      <c r="BF52" s="2923">
        <v>33124</v>
      </c>
      <c r="BG52" s="2227">
        <v>30592.47</v>
      </c>
      <c r="BH52" s="2925">
        <v>31754</v>
      </c>
      <c r="BI52" s="2227">
        <v>28584.78</v>
      </c>
      <c r="BJ52" s="2923">
        <v>30884</v>
      </c>
      <c r="BK52" s="2227">
        <v>27886.87</v>
      </c>
      <c r="BL52" s="2925">
        <v>32558</v>
      </c>
      <c r="BM52" s="2227">
        <v>31482.54</v>
      </c>
      <c r="BN52" s="2923">
        <v>31046.92</v>
      </c>
      <c r="BO52" s="2227">
        <v>30176.92</v>
      </c>
      <c r="BP52" s="2925">
        <v>28588</v>
      </c>
      <c r="BQ52" s="2227">
        <v>25747.26</v>
      </c>
      <c r="BR52" s="2923">
        <v>27718</v>
      </c>
      <c r="BS52" s="2227">
        <v>26802.639999999999</v>
      </c>
      <c r="BT52" s="2925">
        <v>29558</v>
      </c>
      <c r="BU52" s="2227">
        <v>27517.21</v>
      </c>
      <c r="BV52" s="2923">
        <v>27999.93</v>
      </c>
      <c r="BW52" s="2227">
        <v>26979.93</v>
      </c>
      <c r="BX52" s="2925">
        <v>26088</v>
      </c>
      <c r="BY52" s="2923">
        <v>25218</v>
      </c>
      <c r="BZ52" s="2924">
        <v>26558</v>
      </c>
      <c r="CA52" s="2923">
        <v>25218</v>
      </c>
      <c r="CB52" s="2227">
        <v>66780</v>
      </c>
      <c r="CC52" s="2227">
        <v>63780</v>
      </c>
      <c r="CD52" s="2227">
        <v>60780</v>
      </c>
      <c r="CE52" s="2227">
        <v>58990</v>
      </c>
      <c r="CF52" s="2227">
        <v>55990</v>
      </c>
      <c r="CG52" s="2227">
        <v>52990</v>
      </c>
      <c r="CH52" s="2227">
        <v>51360</v>
      </c>
      <c r="CI52" s="2227">
        <v>48360</v>
      </c>
      <c r="CJ52" s="2227">
        <v>44860</v>
      </c>
      <c r="CK52" s="2227">
        <v>43951.59</v>
      </c>
      <c r="CL52" s="2227">
        <v>41360</v>
      </c>
      <c r="CM52" s="2227">
        <v>38360</v>
      </c>
      <c r="CN52" s="2227">
        <v>35895</v>
      </c>
      <c r="CO52" s="2227">
        <v>33895</v>
      </c>
      <c r="CP52" s="2227">
        <v>22006.560000000001</v>
      </c>
      <c r="CQ52" s="2227">
        <v>13404.34</v>
      </c>
      <c r="CR52" s="2227">
        <v>16763.02</v>
      </c>
      <c r="CS52" s="2227">
        <v>32165.25</v>
      </c>
      <c r="CT52" s="2227">
        <v>20469.07</v>
      </c>
      <c r="CU52" s="2227">
        <v>22902.959999999999</v>
      </c>
      <c r="CV52" s="2227">
        <v>22902.959999999999</v>
      </c>
      <c r="CW52" s="2227">
        <v>22902.959999999999</v>
      </c>
      <c r="CX52" s="2227">
        <v>22902.959999999999</v>
      </c>
      <c r="CY52" s="2227">
        <v>22800</v>
      </c>
      <c r="CZ52" s="2227">
        <v>27166.44</v>
      </c>
      <c r="DA52" s="2227">
        <v>23724.12</v>
      </c>
      <c r="DB52" s="2227">
        <v>23050.69</v>
      </c>
      <c r="DC52" s="2227">
        <v>24457.38</v>
      </c>
      <c r="DD52" s="2227">
        <v>19010.2</v>
      </c>
      <c r="DE52" s="2227">
        <v>22648.02</v>
      </c>
      <c r="DF52" s="2227">
        <v>22498.34</v>
      </c>
      <c r="DG52" s="2227">
        <v>21950</v>
      </c>
      <c r="DH52" s="2227">
        <v>19600</v>
      </c>
      <c r="DI52" s="2227">
        <v>16476.650000000001</v>
      </c>
      <c r="DJ52" s="2227">
        <v>16476.650000000001</v>
      </c>
      <c r="DK52" s="2227">
        <v>20700</v>
      </c>
      <c r="DL52" s="2227">
        <v>24859.06</v>
      </c>
      <c r="DM52" s="2227">
        <v>24800</v>
      </c>
      <c r="DN52" s="2227">
        <v>14129.98</v>
      </c>
      <c r="DO52" s="2227">
        <v>26802.639999999999</v>
      </c>
      <c r="DP52" s="2227">
        <v>17947.62</v>
      </c>
      <c r="DQ52" s="2227">
        <v>34916.480000000003</v>
      </c>
      <c r="DR52" s="2227">
        <v>22932.33</v>
      </c>
      <c r="DS52" s="2227">
        <v>15650</v>
      </c>
      <c r="DT52" s="2227">
        <v>15645.76</v>
      </c>
      <c r="DU52" s="2227">
        <v>15666.92</v>
      </c>
      <c r="DV52" s="2227">
        <v>23585.82</v>
      </c>
      <c r="DW52" s="2227">
        <v>17190.91</v>
      </c>
      <c r="DX52" s="2227">
        <v>26450</v>
      </c>
      <c r="DY52" s="2227">
        <v>18649.73</v>
      </c>
      <c r="DZ52" s="2227">
        <v>26979.93</v>
      </c>
      <c r="EA52" s="2227">
        <v>23878.78</v>
      </c>
      <c r="EB52" s="2227">
        <v>37925.769999999997</v>
      </c>
      <c r="EC52" s="2227">
        <v>24606.06</v>
      </c>
      <c r="ED52" s="2227">
        <v>20451.259999999998</v>
      </c>
      <c r="EE52" s="2227">
        <v>16550</v>
      </c>
      <c r="EF52" s="2227">
        <v>18362.45</v>
      </c>
      <c r="EG52" s="2227">
        <v>19800.13</v>
      </c>
      <c r="EH52" s="2227">
        <v>18691.3</v>
      </c>
      <c r="EI52" s="2227">
        <v>24764.720000000001</v>
      </c>
      <c r="EJ52" s="2227">
        <v>31482.54</v>
      </c>
      <c r="EK52" s="2227">
        <v>22475.61</v>
      </c>
      <c r="EL52" s="2227">
        <v>18691.310000000001</v>
      </c>
      <c r="EM52" s="2227">
        <v>38304.26</v>
      </c>
      <c r="EN52" s="2227">
        <v>27517.21</v>
      </c>
      <c r="EO52" s="2227">
        <v>14888.48</v>
      </c>
      <c r="EP52" s="2227">
        <v>18300</v>
      </c>
      <c r="EQ52" s="2227">
        <v>22283.79</v>
      </c>
      <c r="ER52" s="2227">
        <v>23371.47</v>
      </c>
      <c r="ES52" s="2227">
        <v>20382.759999999998</v>
      </c>
      <c r="ET52" s="2227">
        <v>15249.61</v>
      </c>
      <c r="EU52" s="2227">
        <v>23128.53</v>
      </c>
      <c r="EV52" s="2227">
        <v>25212.13</v>
      </c>
      <c r="EW52" s="2227">
        <v>22741.98</v>
      </c>
      <c r="EX52" s="2227">
        <v>22284.13</v>
      </c>
      <c r="EY52" s="2227">
        <v>23350</v>
      </c>
      <c r="EZ52" s="2227">
        <v>33887.15</v>
      </c>
      <c r="FA52" s="2227">
        <v>18273.66</v>
      </c>
      <c r="FB52" s="2227">
        <v>16076.06</v>
      </c>
      <c r="FC52" s="2227">
        <v>36200</v>
      </c>
      <c r="FD52" s="2227">
        <v>34000</v>
      </c>
      <c r="FE52" s="2227">
        <v>42638.83</v>
      </c>
      <c r="FF52" s="2227">
        <v>15000</v>
      </c>
      <c r="FG52" s="2227">
        <v>30176.92</v>
      </c>
      <c r="FH52" s="2227">
        <v>21368.47</v>
      </c>
      <c r="FI52" s="2227">
        <v>17903.36</v>
      </c>
      <c r="FJ52" s="2227">
        <v>15480.42</v>
      </c>
      <c r="FK52" s="2227">
        <v>27886.87</v>
      </c>
      <c r="FL52" s="2227">
        <v>19682.88</v>
      </c>
      <c r="FM52" s="2227">
        <v>24408.44</v>
      </c>
      <c r="FN52" s="2227">
        <v>22800</v>
      </c>
      <c r="FO52" s="2227">
        <v>28817.74</v>
      </c>
      <c r="FP52" s="2227">
        <v>22459.200000000001</v>
      </c>
      <c r="FQ52" s="2227">
        <v>17925.2</v>
      </c>
      <c r="FR52" s="2227">
        <v>29300</v>
      </c>
      <c r="FS52" s="2227">
        <v>36200</v>
      </c>
      <c r="FT52" s="2227">
        <v>30292.59</v>
      </c>
      <c r="FU52" s="2227">
        <v>24789.42</v>
      </c>
      <c r="FV52" s="2227">
        <v>35250</v>
      </c>
      <c r="FW52" s="2227">
        <v>17905.48</v>
      </c>
      <c r="FX52" s="2227">
        <v>20228.240000000002</v>
      </c>
      <c r="FY52" s="2227">
        <v>16810.330000000002</v>
      </c>
      <c r="FZ52" s="2227">
        <v>22063.68</v>
      </c>
      <c r="GA52" s="2227">
        <v>28946.43</v>
      </c>
      <c r="GB52" s="2227">
        <v>32067.71</v>
      </c>
      <c r="GC52" s="2227">
        <v>17947.62</v>
      </c>
      <c r="GD52" s="2227">
        <v>14084.93</v>
      </c>
      <c r="GE52" s="2227">
        <v>28780.55</v>
      </c>
      <c r="GF52" s="2227">
        <v>29150</v>
      </c>
      <c r="GG52" s="2227">
        <v>45052.27</v>
      </c>
      <c r="GH52" s="2227">
        <v>19682.75</v>
      </c>
      <c r="GI52" s="2227">
        <v>22224.3</v>
      </c>
      <c r="GJ52" s="2227">
        <v>14898.45</v>
      </c>
      <c r="GK52" s="2227">
        <v>18273.39</v>
      </c>
      <c r="GL52" s="2227">
        <v>26904.17</v>
      </c>
      <c r="GM52" s="2227">
        <v>18662.46</v>
      </c>
      <c r="GN52" s="2227">
        <v>21355.98</v>
      </c>
      <c r="GO52" s="2227">
        <v>20414.61</v>
      </c>
      <c r="GP52" s="2227">
        <v>24724.41</v>
      </c>
      <c r="GQ52" s="2227">
        <v>16639.7</v>
      </c>
      <c r="GR52" s="2227">
        <v>15167.61</v>
      </c>
      <c r="GS52" s="2227">
        <v>15909.48</v>
      </c>
      <c r="GT52" s="2227">
        <v>18649.73</v>
      </c>
      <c r="GU52" s="2227">
        <v>22679.62</v>
      </c>
      <c r="GV52" s="2227">
        <v>21788.59</v>
      </c>
      <c r="GW52" s="2227">
        <v>38349.18</v>
      </c>
      <c r="GX52" s="2227">
        <v>40333.050000000003</v>
      </c>
      <c r="GY52" s="2227">
        <v>49443.29</v>
      </c>
      <c r="GZ52" s="2227">
        <v>14591.09</v>
      </c>
      <c r="HA52" s="2227">
        <v>14025.66</v>
      </c>
      <c r="HB52" s="2227">
        <v>19682.88</v>
      </c>
      <c r="HC52" s="2227">
        <v>17935.78</v>
      </c>
      <c r="HD52" s="2227">
        <v>18639.27</v>
      </c>
      <c r="HE52" s="2227">
        <v>25493.52</v>
      </c>
      <c r="HF52" s="2227">
        <v>26550</v>
      </c>
      <c r="HG52" s="2227">
        <v>23723.26</v>
      </c>
      <c r="HH52" s="2227">
        <v>24800</v>
      </c>
      <c r="HI52" s="2227">
        <v>23823</v>
      </c>
      <c r="HJ52" s="2227">
        <v>24408.44</v>
      </c>
      <c r="HK52" s="2227">
        <v>29298.21</v>
      </c>
      <c r="HL52" s="2227">
        <v>40100</v>
      </c>
      <c r="HM52" s="2227">
        <v>19682.87</v>
      </c>
      <c r="HN52" s="2227">
        <v>18740.89</v>
      </c>
      <c r="HO52" s="2227">
        <v>15666.92</v>
      </c>
      <c r="HP52" s="2227">
        <v>23731.39</v>
      </c>
      <c r="HQ52" s="2227">
        <v>28946.43</v>
      </c>
      <c r="HR52" s="2227">
        <v>32500</v>
      </c>
      <c r="HS52" s="2227">
        <v>22806.240000000002</v>
      </c>
      <c r="HT52" s="2227">
        <v>24863.78</v>
      </c>
      <c r="HU52" s="2227">
        <v>33522.1</v>
      </c>
      <c r="HV52" s="2227">
        <v>31744.65</v>
      </c>
      <c r="HW52" s="2227">
        <v>19682.73</v>
      </c>
      <c r="HX52" s="2227">
        <v>18273.66</v>
      </c>
      <c r="HY52" s="2227">
        <v>18448.45</v>
      </c>
      <c r="HZ52" s="2227">
        <v>19374.060000000001</v>
      </c>
      <c r="IA52" s="2227">
        <v>14025.66</v>
      </c>
      <c r="IB52" s="2227">
        <v>19991.37</v>
      </c>
      <c r="IC52" s="2227">
        <v>19792.05</v>
      </c>
      <c r="ID52" s="2227">
        <v>24958.05</v>
      </c>
      <c r="IE52" s="2227">
        <v>23150.880000000001</v>
      </c>
      <c r="IF52" s="2227">
        <v>22729.75</v>
      </c>
      <c r="IG52" s="2227">
        <v>28044.1</v>
      </c>
      <c r="IH52" s="2227">
        <v>22806.25</v>
      </c>
      <c r="II52" s="2227">
        <v>23096.959999999999</v>
      </c>
      <c r="IJ52" s="2227">
        <v>31879.23</v>
      </c>
      <c r="IK52" s="2227">
        <v>23785.54</v>
      </c>
      <c r="IL52" s="2227">
        <v>28698.63</v>
      </c>
      <c r="IM52" s="2227">
        <v>25016.95</v>
      </c>
      <c r="IN52" s="2227">
        <v>35548.06</v>
      </c>
      <c r="IO52" s="2227">
        <v>37060.19</v>
      </c>
      <c r="IP52" s="2227">
        <v>34000</v>
      </c>
      <c r="IQ52" s="2227">
        <v>33522.1</v>
      </c>
      <c r="IR52" s="2227">
        <v>51436.27</v>
      </c>
      <c r="IS52" s="2227">
        <v>33502.629999999997</v>
      </c>
      <c r="IT52" s="2227">
        <v>45116.66</v>
      </c>
      <c r="IU52" s="2227">
        <v>33667.51</v>
      </c>
      <c r="IV52" s="2227">
        <v>23050.69</v>
      </c>
    </row>
    <row r="53" spans="1:256">
      <c r="A53" s="2214">
        <v>44</v>
      </c>
      <c r="B53" s="2925">
        <v>16672.52</v>
      </c>
      <c r="C53" s="2227">
        <v>16522.64</v>
      </c>
      <c r="D53" s="2925">
        <v>15672.52</v>
      </c>
      <c r="E53" s="2227">
        <v>15249.61</v>
      </c>
      <c r="F53" s="2925">
        <v>14672.52</v>
      </c>
      <c r="G53" s="2227">
        <v>14325.66</v>
      </c>
      <c r="H53" s="2926">
        <v>13732</v>
      </c>
      <c r="I53" s="2925">
        <v>23724.12</v>
      </c>
      <c r="J53" s="2925">
        <v>23724.12</v>
      </c>
      <c r="K53" s="2227">
        <v>19800.13</v>
      </c>
      <c r="L53" s="2925">
        <v>20582</v>
      </c>
      <c r="M53" s="2227">
        <v>19800.13</v>
      </c>
      <c r="N53" s="2925">
        <v>20469.07</v>
      </c>
      <c r="O53" s="2925">
        <v>20469.07</v>
      </c>
      <c r="P53" s="2227">
        <v>18362.45</v>
      </c>
      <c r="Q53" s="2925">
        <v>19505.18</v>
      </c>
      <c r="R53" s="2227">
        <v>17903.36</v>
      </c>
      <c r="S53" s="2925">
        <v>18362.45</v>
      </c>
      <c r="T53" s="2925">
        <v>18515.2</v>
      </c>
      <c r="U53" s="2227">
        <v>17903.36</v>
      </c>
      <c r="V53" s="2925">
        <v>18098.810000000001</v>
      </c>
      <c r="W53" s="2227">
        <v>17190.91</v>
      </c>
      <c r="X53" s="2925">
        <v>17509.86</v>
      </c>
      <c r="Y53" s="2925">
        <v>17509.86</v>
      </c>
      <c r="Z53" s="2925">
        <v>16860.759999999998</v>
      </c>
      <c r="AA53" s="2925">
        <v>27167</v>
      </c>
      <c r="AB53" s="2227">
        <v>24457.38</v>
      </c>
      <c r="AC53" s="2925">
        <v>25648.02</v>
      </c>
      <c r="AD53" s="2227">
        <v>23585.82</v>
      </c>
      <c r="AE53" s="2925">
        <v>24148.02</v>
      </c>
      <c r="AF53" s="2227">
        <v>22932.33</v>
      </c>
      <c r="AG53" s="2925">
        <v>22648.02</v>
      </c>
      <c r="AH53" s="2925">
        <v>28044.1</v>
      </c>
      <c r="AI53" s="2925">
        <v>28055.94</v>
      </c>
      <c r="AJ53" s="2227">
        <v>27166.44</v>
      </c>
      <c r="AK53" s="2925">
        <v>27166.44</v>
      </c>
      <c r="AL53" s="2925">
        <v>25932.33</v>
      </c>
      <c r="AM53" s="2227">
        <v>24457.38</v>
      </c>
      <c r="AN53" s="2925">
        <v>24457.38</v>
      </c>
      <c r="AO53" s="2925">
        <v>24432.33</v>
      </c>
      <c r="AP53" s="2227">
        <v>23585.82</v>
      </c>
      <c r="AQ53" s="2925">
        <v>23585.82</v>
      </c>
      <c r="AR53" s="2925">
        <v>22932.33</v>
      </c>
      <c r="AS53" s="2923">
        <v>33124</v>
      </c>
      <c r="AT53" s="2227">
        <v>27576.47</v>
      </c>
      <c r="AU53" s="2923">
        <v>30884</v>
      </c>
      <c r="AV53" s="2227">
        <v>26904.17</v>
      </c>
      <c r="AW53" s="2923">
        <v>27718</v>
      </c>
      <c r="AX53" s="2227">
        <v>24394.45</v>
      </c>
      <c r="AY53" s="2923">
        <v>25218</v>
      </c>
      <c r="AZ53" s="2925">
        <v>33994</v>
      </c>
      <c r="BA53" s="2227">
        <v>29298.21</v>
      </c>
      <c r="BB53" s="2923">
        <v>33124</v>
      </c>
      <c r="BC53" s="2227">
        <v>28698.63</v>
      </c>
      <c r="BD53" s="2925">
        <v>35888.620000000003</v>
      </c>
      <c r="BE53" s="2227">
        <v>32067.71</v>
      </c>
      <c r="BF53" s="2923">
        <v>33124</v>
      </c>
      <c r="BG53" s="2227">
        <v>30592.47</v>
      </c>
      <c r="BH53" s="2925">
        <v>31754</v>
      </c>
      <c r="BI53" s="2227">
        <v>28584.78</v>
      </c>
      <c r="BJ53" s="2923">
        <v>30884</v>
      </c>
      <c r="BK53" s="2227">
        <v>27886.87</v>
      </c>
      <c r="BL53" s="2925">
        <v>32558</v>
      </c>
      <c r="BM53" s="2227">
        <v>31482.54</v>
      </c>
      <c r="BN53" s="2923">
        <v>31046.92</v>
      </c>
      <c r="BO53" s="2227">
        <v>30176.92</v>
      </c>
      <c r="BP53" s="2925">
        <v>28588</v>
      </c>
      <c r="BQ53" s="2227">
        <v>25747.26</v>
      </c>
      <c r="BR53" s="2923">
        <v>27718</v>
      </c>
      <c r="BS53" s="2227">
        <v>26802.639999999999</v>
      </c>
      <c r="BT53" s="2925">
        <v>29558</v>
      </c>
      <c r="BU53" s="2227">
        <v>27517.21</v>
      </c>
      <c r="BV53" s="2923">
        <v>27999.93</v>
      </c>
      <c r="BW53" s="2227">
        <v>26979.93</v>
      </c>
      <c r="BX53" s="2925">
        <v>26088</v>
      </c>
      <c r="BY53" s="2923">
        <v>25218</v>
      </c>
      <c r="BZ53" s="2924">
        <v>26558</v>
      </c>
      <c r="CA53" s="2923">
        <v>25218</v>
      </c>
      <c r="CB53" s="2227">
        <v>66780</v>
      </c>
      <c r="CC53" s="2227">
        <v>63780</v>
      </c>
      <c r="CD53" s="2227">
        <v>60780</v>
      </c>
      <c r="CE53" s="2227">
        <v>58990</v>
      </c>
      <c r="CF53" s="2227">
        <v>55990</v>
      </c>
      <c r="CG53" s="2227">
        <v>52990</v>
      </c>
      <c r="CH53" s="2227">
        <v>51360</v>
      </c>
      <c r="CI53" s="2227">
        <v>48360</v>
      </c>
      <c r="CJ53" s="2227">
        <v>44860</v>
      </c>
      <c r="CK53" s="2227">
        <v>43951.59</v>
      </c>
      <c r="CL53" s="2227">
        <v>41360</v>
      </c>
      <c r="CM53" s="2227">
        <v>38360</v>
      </c>
      <c r="CN53" s="2227">
        <v>35895</v>
      </c>
      <c r="CO53" s="2227">
        <v>33895</v>
      </c>
      <c r="CP53" s="2227">
        <v>22006.560000000001</v>
      </c>
      <c r="CQ53" s="2227">
        <v>13404.34</v>
      </c>
      <c r="CR53" s="2227">
        <v>16763.02</v>
      </c>
      <c r="CS53" s="2227">
        <v>32165.25</v>
      </c>
      <c r="CT53" s="2227">
        <v>20469.07</v>
      </c>
      <c r="CU53" s="2227">
        <v>22902.959999999999</v>
      </c>
      <c r="CV53" s="2227">
        <v>22902.959999999999</v>
      </c>
      <c r="CW53" s="2227">
        <v>22902.959999999999</v>
      </c>
      <c r="CX53" s="2227">
        <v>22902.959999999999</v>
      </c>
      <c r="CY53" s="2227">
        <v>22800</v>
      </c>
      <c r="CZ53" s="2227">
        <v>27166.44</v>
      </c>
      <c r="DA53" s="2227">
        <v>23724.12</v>
      </c>
      <c r="DB53" s="2227">
        <v>23050.69</v>
      </c>
      <c r="DC53" s="2227">
        <v>24457.38</v>
      </c>
      <c r="DD53" s="2227">
        <v>19010.2</v>
      </c>
      <c r="DE53" s="2227">
        <v>22648.02</v>
      </c>
      <c r="DF53" s="2227">
        <v>22498.34</v>
      </c>
      <c r="DG53" s="2227">
        <v>21950</v>
      </c>
      <c r="DH53" s="2227">
        <v>19600</v>
      </c>
      <c r="DI53" s="2227">
        <v>16476.650000000001</v>
      </c>
      <c r="DJ53" s="2227">
        <v>16476.650000000001</v>
      </c>
      <c r="DK53" s="2227">
        <v>20700</v>
      </c>
      <c r="DL53" s="2227">
        <v>24859.06</v>
      </c>
      <c r="DM53" s="2227">
        <v>24800</v>
      </c>
      <c r="DN53" s="2227">
        <v>14129.98</v>
      </c>
      <c r="DO53" s="2227">
        <v>26802.639999999999</v>
      </c>
      <c r="DP53" s="2227">
        <v>17947.62</v>
      </c>
      <c r="DQ53" s="2227">
        <v>34916.480000000003</v>
      </c>
      <c r="DR53" s="2227">
        <v>22932.33</v>
      </c>
      <c r="DS53" s="2227">
        <v>15650</v>
      </c>
      <c r="DT53" s="2227">
        <v>15645.76</v>
      </c>
      <c r="DU53" s="2227">
        <v>15666.92</v>
      </c>
      <c r="DV53" s="2227">
        <v>23585.82</v>
      </c>
      <c r="DW53" s="2227">
        <v>17190.91</v>
      </c>
      <c r="DX53" s="2227">
        <v>26450</v>
      </c>
      <c r="DY53" s="2227">
        <v>18649.73</v>
      </c>
      <c r="DZ53" s="2227">
        <v>26979.93</v>
      </c>
      <c r="EA53" s="2227">
        <v>23878.78</v>
      </c>
      <c r="EB53" s="2227">
        <v>37925.769999999997</v>
      </c>
      <c r="EC53" s="2227">
        <v>24606.06</v>
      </c>
      <c r="ED53" s="2227">
        <v>20451.259999999998</v>
      </c>
      <c r="EE53" s="2227">
        <v>16550</v>
      </c>
      <c r="EF53" s="2227">
        <v>18362.45</v>
      </c>
      <c r="EG53" s="2227">
        <v>19800.13</v>
      </c>
      <c r="EH53" s="2227">
        <v>18691.3</v>
      </c>
      <c r="EI53" s="2227">
        <v>24764.720000000001</v>
      </c>
      <c r="EJ53" s="2227">
        <v>31482.54</v>
      </c>
      <c r="EK53" s="2227">
        <v>22475.61</v>
      </c>
      <c r="EL53" s="2227">
        <v>18691.310000000001</v>
      </c>
      <c r="EM53" s="2227">
        <v>38304.26</v>
      </c>
      <c r="EN53" s="2227">
        <v>27517.21</v>
      </c>
      <c r="EO53" s="2227">
        <v>14888.48</v>
      </c>
      <c r="EP53" s="2227">
        <v>18300</v>
      </c>
      <c r="EQ53" s="2227">
        <v>22283.79</v>
      </c>
      <c r="ER53" s="2227">
        <v>23371.47</v>
      </c>
      <c r="ES53" s="2227">
        <v>20382.759999999998</v>
      </c>
      <c r="ET53" s="2227">
        <v>15249.61</v>
      </c>
      <c r="EU53" s="2227">
        <v>23128.53</v>
      </c>
      <c r="EV53" s="2227">
        <v>25212.13</v>
      </c>
      <c r="EW53" s="2227">
        <v>22741.98</v>
      </c>
      <c r="EX53" s="2227">
        <v>22284.13</v>
      </c>
      <c r="EY53" s="2227">
        <v>23350</v>
      </c>
      <c r="EZ53" s="2227">
        <v>33887.15</v>
      </c>
      <c r="FA53" s="2227">
        <v>18273.66</v>
      </c>
      <c r="FB53" s="2227">
        <v>16076.06</v>
      </c>
      <c r="FC53" s="2227">
        <v>36200</v>
      </c>
      <c r="FD53" s="2227">
        <v>34000</v>
      </c>
      <c r="FE53" s="2227">
        <v>42638.83</v>
      </c>
      <c r="FF53" s="2227">
        <v>15000</v>
      </c>
      <c r="FG53" s="2227">
        <v>30176.92</v>
      </c>
      <c r="FH53" s="2227">
        <v>21368.47</v>
      </c>
      <c r="FI53" s="2227">
        <v>17903.36</v>
      </c>
      <c r="FJ53" s="2227">
        <v>15480.42</v>
      </c>
      <c r="FK53" s="2227">
        <v>27886.87</v>
      </c>
      <c r="FL53" s="2227">
        <v>19682.88</v>
      </c>
      <c r="FM53" s="2227">
        <v>24408.44</v>
      </c>
      <c r="FN53" s="2227">
        <v>22800</v>
      </c>
      <c r="FO53" s="2227">
        <v>28817.74</v>
      </c>
      <c r="FP53" s="2227">
        <v>22459.200000000001</v>
      </c>
      <c r="FQ53" s="2227">
        <v>17925.2</v>
      </c>
      <c r="FR53" s="2227">
        <v>29300</v>
      </c>
      <c r="FS53" s="2227">
        <v>36200</v>
      </c>
      <c r="FT53" s="2227">
        <v>30292.59</v>
      </c>
      <c r="FU53" s="2227">
        <v>24789.42</v>
      </c>
      <c r="FV53" s="2227">
        <v>35250</v>
      </c>
      <c r="FW53" s="2227">
        <v>17905.48</v>
      </c>
      <c r="FX53" s="2227">
        <v>20228.240000000002</v>
      </c>
      <c r="FY53" s="2227">
        <v>16810.330000000002</v>
      </c>
      <c r="FZ53" s="2227">
        <v>22063.68</v>
      </c>
      <c r="GA53" s="2227">
        <v>28946.43</v>
      </c>
      <c r="GB53" s="2227">
        <v>32067.71</v>
      </c>
      <c r="GC53" s="2227">
        <v>17947.62</v>
      </c>
      <c r="GD53" s="2227">
        <v>14084.93</v>
      </c>
      <c r="GE53" s="2227">
        <v>28780.55</v>
      </c>
      <c r="GF53" s="2227">
        <v>29150</v>
      </c>
      <c r="GG53" s="2227">
        <v>45052.27</v>
      </c>
      <c r="GH53" s="2227">
        <v>19682.75</v>
      </c>
      <c r="GI53" s="2227">
        <v>22224.3</v>
      </c>
      <c r="GJ53" s="2227">
        <v>14898.45</v>
      </c>
      <c r="GK53" s="2227">
        <v>18273.39</v>
      </c>
      <c r="GL53" s="2227">
        <v>26904.17</v>
      </c>
      <c r="GM53" s="2227">
        <v>18662.46</v>
      </c>
      <c r="GN53" s="2227">
        <v>21355.98</v>
      </c>
      <c r="GO53" s="2227">
        <v>20414.61</v>
      </c>
      <c r="GP53" s="2227">
        <v>24724.41</v>
      </c>
      <c r="GQ53" s="2227">
        <v>16639.7</v>
      </c>
      <c r="GR53" s="2227">
        <v>15167.61</v>
      </c>
      <c r="GS53" s="2227">
        <v>15909.48</v>
      </c>
      <c r="GT53" s="2227">
        <v>18649.73</v>
      </c>
      <c r="GU53" s="2227">
        <v>22679.62</v>
      </c>
      <c r="GV53" s="2227">
        <v>21788.59</v>
      </c>
      <c r="GW53" s="2227">
        <v>38349.18</v>
      </c>
      <c r="GX53" s="2227">
        <v>40333.050000000003</v>
      </c>
      <c r="GY53" s="2227">
        <v>49443.29</v>
      </c>
      <c r="GZ53" s="2227">
        <v>14591.09</v>
      </c>
      <c r="HA53" s="2227">
        <v>14025.66</v>
      </c>
      <c r="HB53" s="2227">
        <v>19682.88</v>
      </c>
      <c r="HC53" s="2227">
        <v>17935.78</v>
      </c>
      <c r="HD53" s="2227">
        <v>18639.27</v>
      </c>
      <c r="HE53" s="2227">
        <v>25493.52</v>
      </c>
      <c r="HF53" s="2227">
        <v>26550</v>
      </c>
      <c r="HG53" s="2227">
        <v>23723.26</v>
      </c>
      <c r="HH53" s="2227">
        <v>24800</v>
      </c>
      <c r="HI53" s="2227">
        <v>23823</v>
      </c>
      <c r="HJ53" s="2227">
        <v>24408.44</v>
      </c>
      <c r="HK53" s="2227">
        <v>29298.21</v>
      </c>
      <c r="HL53" s="2227">
        <v>40100</v>
      </c>
      <c r="HM53" s="2227">
        <v>19682.87</v>
      </c>
      <c r="HN53" s="2227">
        <v>18740.89</v>
      </c>
      <c r="HO53" s="2227">
        <v>15666.92</v>
      </c>
      <c r="HP53" s="2227">
        <v>23731.39</v>
      </c>
      <c r="HQ53" s="2227">
        <v>28946.43</v>
      </c>
      <c r="HR53" s="2227">
        <v>32500</v>
      </c>
      <c r="HS53" s="2227">
        <v>22806.240000000002</v>
      </c>
      <c r="HT53" s="2227">
        <v>24863.78</v>
      </c>
      <c r="HU53" s="2227">
        <v>33522.1</v>
      </c>
      <c r="HV53" s="2227">
        <v>31744.65</v>
      </c>
      <c r="HW53" s="2227">
        <v>19682.73</v>
      </c>
      <c r="HX53" s="2227">
        <v>18273.66</v>
      </c>
      <c r="HY53" s="2227">
        <v>18448.45</v>
      </c>
      <c r="HZ53" s="2227">
        <v>19374.060000000001</v>
      </c>
      <c r="IA53" s="2227">
        <v>14025.66</v>
      </c>
      <c r="IB53" s="2227">
        <v>19991.37</v>
      </c>
      <c r="IC53" s="2227">
        <v>19792.05</v>
      </c>
      <c r="ID53" s="2227">
        <v>24958.05</v>
      </c>
      <c r="IE53" s="2227">
        <v>23150.880000000001</v>
      </c>
      <c r="IF53" s="2227">
        <v>22729.75</v>
      </c>
      <c r="IG53" s="2227">
        <v>28044.1</v>
      </c>
      <c r="IH53" s="2227">
        <v>22806.25</v>
      </c>
      <c r="II53" s="2227">
        <v>23096.959999999999</v>
      </c>
      <c r="IJ53" s="2227">
        <v>31879.23</v>
      </c>
      <c r="IK53" s="2227">
        <v>23785.54</v>
      </c>
      <c r="IL53" s="2227">
        <v>28698.63</v>
      </c>
      <c r="IM53" s="2227">
        <v>25016.95</v>
      </c>
      <c r="IN53" s="2227">
        <v>35548.06</v>
      </c>
      <c r="IO53" s="2227">
        <v>37060.19</v>
      </c>
      <c r="IP53" s="2227">
        <v>34000</v>
      </c>
      <c r="IQ53" s="2227">
        <v>33522.1</v>
      </c>
      <c r="IR53" s="2227">
        <v>51436.27</v>
      </c>
      <c r="IS53" s="2227">
        <v>33502.629999999997</v>
      </c>
      <c r="IT53" s="2227">
        <v>45116.66</v>
      </c>
      <c r="IU53" s="2227">
        <v>33667.51</v>
      </c>
      <c r="IV53" s="2227">
        <v>23050.69</v>
      </c>
    </row>
    <row r="54" spans="1:256">
      <c r="A54" s="2214">
        <v>45</v>
      </c>
      <c r="B54" s="2925">
        <v>16672.52</v>
      </c>
      <c r="C54" s="2227">
        <v>16522.64</v>
      </c>
      <c r="D54" s="2925">
        <v>15672.52</v>
      </c>
      <c r="E54" s="2227">
        <v>15249.61</v>
      </c>
      <c r="F54" s="2925">
        <v>14672.52</v>
      </c>
      <c r="G54" s="2227">
        <v>14325.66</v>
      </c>
      <c r="H54" s="2926">
        <v>13732</v>
      </c>
      <c r="I54" s="2925">
        <v>23724.12</v>
      </c>
      <c r="J54" s="2925">
        <v>23724.12</v>
      </c>
      <c r="K54" s="2227">
        <v>19800.13</v>
      </c>
      <c r="L54" s="2925">
        <v>20582</v>
      </c>
      <c r="M54" s="2227">
        <v>19800.13</v>
      </c>
      <c r="N54" s="2925">
        <v>20469.07</v>
      </c>
      <c r="O54" s="2925">
        <v>20469.07</v>
      </c>
      <c r="P54" s="2227">
        <v>18362.45</v>
      </c>
      <c r="Q54" s="2925">
        <v>19505.18</v>
      </c>
      <c r="R54" s="2227">
        <v>17903.36</v>
      </c>
      <c r="S54" s="2925">
        <v>18362.45</v>
      </c>
      <c r="T54" s="2925">
        <v>18515.2</v>
      </c>
      <c r="U54" s="2227">
        <v>17903.36</v>
      </c>
      <c r="V54" s="2925">
        <v>18098.810000000001</v>
      </c>
      <c r="W54" s="2227">
        <v>17190.91</v>
      </c>
      <c r="X54" s="2925">
        <v>17509.86</v>
      </c>
      <c r="Y54" s="2925">
        <v>17509.86</v>
      </c>
      <c r="Z54" s="2925">
        <v>16860.759999999998</v>
      </c>
      <c r="AA54" s="2925">
        <v>27167</v>
      </c>
      <c r="AB54" s="2227">
        <v>24457.38</v>
      </c>
      <c r="AC54" s="2925">
        <v>25648.02</v>
      </c>
      <c r="AD54" s="2227">
        <v>23585.82</v>
      </c>
      <c r="AE54" s="2925">
        <v>24148.02</v>
      </c>
      <c r="AF54" s="2227">
        <v>22932.33</v>
      </c>
      <c r="AG54" s="2925">
        <v>22648.02</v>
      </c>
      <c r="AH54" s="2925">
        <v>28044.1</v>
      </c>
      <c r="AI54" s="2925">
        <v>28055.94</v>
      </c>
      <c r="AJ54" s="2227">
        <v>27166.44</v>
      </c>
      <c r="AK54" s="2925">
        <v>27166.44</v>
      </c>
      <c r="AL54" s="2925">
        <v>25932.33</v>
      </c>
      <c r="AM54" s="2227">
        <v>24457.38</v>
      </c>
      <c r="AN54" s="2925">
        <v>24457.38</v>
      </c>
      <c r="AO54" s="2925">
        <v>24432.33</v>
      </c>
      <c r="AP54" s="2227">
        <v>23585.82</v>
      </c>
      <c r="AQ54" s="2925">
        <v>23585.82</v>
      </c>
      <c r="AR54" s="2925">
        <v>22932.33</v>
      </c>
      <c r="AS54" s="2923">
        <v>33124</v>
      </c>
      <c r="AT54" s="2227">
        <v>27576.47</v>
      </c>
      <c r="AU54" s="2923">
        <v>30884</v>
      </c>
      <c r="AV54" s="2227">
        <v>26904.17</v>
      </c>
      <c r="AW54" s="2923">
        <v>27718</v>
      </c>
      <c r="AX54" s="2227">
        <v>24394.45</v>
      </c>
      <c r="AY54" s="2923">
        <v>25218</v>
      </c>
      <c r="AZ54" s="2925">
        <v>33994</v>
      </c>
      <c r="BA54" s="2227">
        <v>29298.21</v>
      </c>
      <c r="BB54" s="2923">
        <v>33124</v>
      </c>
      <c r="BC54" s="2227">
        <v>28698.63</v>
      </c>
      <c r="BD54" s="2925">
        <v>35888.620000000003</v>
      </c>
      <c r="BE54" s="2227">
        <v>32067.71</v>
      </c>
      <c r="BF54" s="2923">
        <v>33124</v>
      </c>
      <c r="BG54" s="2227">
        <v>30592.47</v>
      </c>
      <c r="BH54" s="2925">
        <v>31754</v>
      </c>
      <c r="BI54" s="2227">
        <v>28584.78</v>
      </c>
      <c r="BJ54" s="2923">
        <v>30884</v>
      </c>
      <c r="BK54" s="2227">
        <v>27886.87</v>
      </c>
      <c r="BL54" s="2925">
        <v>32558</v>
      </c>
      <c r="BM54" s="2227">
        <v>31482.54</v>
      </c>
      <c r="BN54" s="2923">
        <v>31046.92</v>
      </c>
      <c r="BO54" s="2227">
        <v>30176.92</v>
      </c>
      <c r="BP54" s="2925">
        <v>28588</v>
      </c>
      <c r="BQ54" s="2227">
        <v>25747.26</v>
      </c>
      <c r="BR54" s="2923">
        <v>27718</v>
      </c>
      <c r="BS54" s="2227">
        <v>26802.639999999999</v>
      </c>
      <c r="BT54" s="2925">
        <v>29558</v>
      </c>
      <c r="BU54" s="2227">
        <v>27517.21</v>
      </c>
      <c r="BV54" s="2923">
        <v>27999.93</v>
      </c>
      <c r="BW54" s="2227">
        <v>26979.93</v>
      </c>
      <c r="BX54" s="2925">
        <v>26088</v>
      </c>
      <c r="BY54" s="2923">
        <v>25218</v>
      </c>
      <c r="BZ54" s="2924">
        <v>26558</v>
      </c>
      <c r="CA54" s="2923">
        <v>25218</v>
      </c>
      <c r="CB54" s="2227">
        <v>66780</v>
      </c>
      <c r="CC54" s="2227">
        <v>63780</v>
      </c>
      <c r="CD54" s="2227">
        <v>60780</v>
      </c>
      <c r="CE54" s="2227">
        <v>58990</v>
      </c>
      <c r="CF54" s="2227">
        <v>55990</v>
      </c>
      <c r="CG54" s="2227">
        <v>52990</v>
      </c>
      <c r="CH54" s="2227">
        <v>51360</v>
      </c>
      <c r="CI54" s="2227">
        <v>48360</v>
      </c>
      <c r="CJ54" s="2227">
        <v>44860</v>
      </c>
      <c r="CK54" s="2227">
        <v>43951.59</v>
      </c>
      <c r="CL54" s="2227">
        <v>41360</v>
      </c>
      <c r="CM54" s="2227">
        <v>38360</v>
      </c>
      <c r="CN54" s="2227">
        <v>35895</v>
      </c>
      <c r="CO54" s="2227">
        <v>33895</v>
      </c>
      <c r="CP54" s="2227">
        <v>22006.560000000001</v>
      </c>
      <c r="CQ54" s="2227">
        <v>13404.34</v>
      </c>
      <c r="CR54" s="2227">
        <v>16763.02</v>
      </c>
      <c r="CS54" s="2227">
        <v>32165.25</v>
      </c>
      <c r="CT54" s="2227">
        <v>20469.07</v>
      </c>
      <c r="CU54" s="2227">
        <v>22902.959999999999</v>
      </c>
      <c r="CV54" s="2227">
        <v>22902.959999999999</v>
      </c>
      <c r="CW54" s="2227">
        <v>22902.959999999999</v>
      </c>
      <c r="CX54" s="2227">
        <v>22902.959999999999</v>
      </c>
      <c r="CY54" s="2227">
        <v>22800</v>
      </c>
      <c r="CZ54" s="2227">
        <v>27166.44</v>
      </c>
      <c r="DA54" s="2227">
        <v>23724.12</v>
      </c>
      <c r="DB54" s="2227">
        <v>23050.69</v>
      </c>
      <c r="DC54" s="2227">
        <v>24457.38</v>
      </c>
      <c r="DD54" s="2227">
        <v>19010.2</v>
      </c>
      <c r="DE54" s="2227">
        <v>22648.02</v>
      </c>
      <c r="DF54" s="2227">
        <v>22498.34</v>
      </c>
      <c r="DG54" s="2227">
        <v>21950</v>
      </c>
      <c r="DH54" s="2227">
        <v>19600</v>
      </c>
      <c r="DI54" s="2227">
        <v>16476.650000000001</v>
      </c>
      <c r="DJ54" s="2227">
        <v>16476.650000000001</v>
      </c>
      <c r="DK54" s="2227">
        <v>20700</v>
      </c>
      <c r="DL54" s="2227">
        <v>24859.06</v>
      </c>
      <c r="DM54" s="2227">
        <v>24800</v>
      </c>
      <c r="DN54" s="2227">
        <v>14129.98</v>
      </c>
      <c r="DO54" s="2227">
        <v>26802.639999999999</v>
      </c>
      <c r="DP54" s="2227">
        <v>17947.62</v>
      </c>
      <c r="DQ54" s="2227">
        <v>34916.480000000003</v>
      </c>
      <c r="DR54" s="2227">
        <v>22932.33</v>
      </c>
      <c r="DS54" s="2227">
        <v>15650</v>
      </c>
      <c r="DT54" s="2227">
        <v>15645.76</v>
      </c>
      <c r="DU54" s="2227">
        <v>15666.92</v>
      </c>
      <c r="DV54" s="2227">
        <v>23585.82</v>
      </c>
      <c r="DW54" s="2227">
        <v>17190.91</v>
      </c>
      <c r="DX54" s="2227">
        <v>26450</v>
      </c>
      <c r="DY54" s="2227">
        <v>18649.73</v>
      </c>
      <c r="DZ54" s="2227">
        <v>26979.93</v>
      </c>
      <c r="EA54" s="2227">
        <v>23878.78</v>
      </c>
      <c r="EB54" s="2227">
        <v>37925.769999999997</v>
      </c>
      <c r="EC54" s="2227">
        <v>24606.06</v>
      </c>
      <c r="ED54" s="2227">
        <v>20451.259999999998</v>
      </c>
      <c r="EE54" s="2227">
        <v>16550</v>
      </c>
      <c r="EF54" s="2227">
        <v>18362.45</v>
      </c>
      <c r="EG54" s="2227">
        <v>19800.13</v>
      </c>
      <c r="EH54" s="2227">
        <v>18691.3</v>
      </c>
      <c r="EI54" s="2227">
        <v>24764.720000000001</v>
      </c>
      <c r="EJ54" s="2227">
        <v>31482.54</v>
      </c>
      <c r="EK54" s="2227">
        <v>22475.61</v>
      </c>
      <c r="EL54" s="2227">
        <v>18691.310000000001</v>
      </c>
      <c r="EM54" s="2227">
        <v>38304.26</v>
      </c>
      <c r="EN54" s="2227">
        <v>27517.21</v>
      </c>
      <c r="EO54" s="2227">
        <v>14888.48</v>
      </c>
      <c r="EP54" s="2227">
        <v>18300</v>
      </c>
      <c r="EQ54" s="2227">
        <v>22283.79</v>
      </c>
      <c r="ER54" s="2227">
        <v>23371.47</v>
      </c>
      <c r="ES54" s="2227">
        <v>20382.759999999998</v>
      </c>
      <c r="ET54" s="2227">
        <v>15249.61</v>
      </c>
      <c r="EU54" s="2227">
        <v>23128.53</v>
      </c>
      <c r="EV54" s="2227">
        <v>25212.13</v>
      </c>
      <c r="EW54" s="2227">
        <v>22741.98</v>
      </c>
      <c r="EX54" s="2227">
        <v>22284.13</v>
      </c>
      <c r="EY54" s="2227">
        <v>23350</v>
      </c>
      <c r="EZ54" s="2227">
        <v>33887.15</v>
      </c>
      <c r="FA54" s="2227">
        <v>18273.66</v>
      </c>
      <c r="FB54" s="2227">
        <v>16076.06</v>
      </c>
      <c r="FC54" s="2227">
        <v>36200</v>
      </c>
      <c r="FD54" s="2227">
        <v>34000</v>
      </c>
      <c r="FE54" s="2227">
        <v>42638.83</v>
      </c>
      <c r="FF54" s="2227">
        <v>15000</v>
      </c>
      <c r="FG54" s="2227">
        <v>30176.92</v>
      </c>
      <c r="FH54" s="2227">
        <v>21368.47</v>
      </c>
      <c r="FI54" s="2227">
        <v>17903.36</v>
      </c>
      <c r="FJ54" s="2227">
        <v>15480.42</v>
      </c>
      <c r="FK54" s="2227">
        <v>27886.87</v>
      </c>
      <c r="FL54" s="2227">
        <v>19682.88</v>
      </c>
      <c r="FM54" s="2227">
        <v>24408.44</v>
      </c>
      <c r="FN54" s="2227">
        <v>22800</v>
      </c>
      <c r="FO54" s="2227">
        <v>28817.74</v>
      </c>
      <c r="FP54" s="2227">
        <v>22459.200000000001</v>
      </c>
      <c r="FQ54" s="2227">
        <v>17925.2</v>
      </c>
      <c r="FR54" s="2227">
        <v>29300</v>
      </c>
      <c r="FS54" s="2227">
        <v>36200</v>
      </c>
      <c r="FT54" s="2227">
        <v>30292.59</v>
      </c>
      <c r="FU54" s="2227">
        <v>24789.42</v>
      </c>
      <c r="FV54" s="2227">
        <v>35250</v>
      </c>
      <c r="FW54" s="2227">
        <v>17905.48</v>
      </c>
      <c r="FX54" s="2227">
        <v>20228.240000000002</v>
      </c>
      <c r="FY54" s="2227">
        <v>16810.330000000002</v>
      </c>
      <c r="FZ54" s="2227">
        <v>22063.68</v>
      </c>
      <c r="GA54" s="2227">
        <v>28946.43</v>
      </c>
      <c r="GB54" s="2227">
        <v>32067.71</v>
      </c>
      <c r="GC54" s="2227">
        <v>17947.62</v>
      </c>
      <c r="GD54" s="2227">
        <v>14084.93</v>
      </c>
      <c r="GE54" s="2227">
        <v>28780.55</v>
      </c>
      <c r="GF54" s="2227">
        <v>29150</v>
      </c>
      <c r="GG54" s="2227">
        <v>45052.27</v>
      </c>
      <c r="GH54" s="2227">
        <v>19682.75</v>
      </c>
      <c r="GI54" s="2227">
        <v>22224.3</v>
      </c>
      <c r="GJ54" s="2227">
        <v>14898.45</v>
      </c>
      <c r="GK54" s="2227">
        <v>18273.39</v>
      </c>
      <c r="GL54" s="2227">
        <v>26904.17</v>
      </c>
      <c r="GM54" s="2227">
        <v>18662.46</v>
      </c>
      <c r="GN54" s="2227">
        <v>21355.98</v>
      </c>
      <c r="GO54" s="2227">
        <v>20414.61</v>
      </c>
      <c r="GP54" s="2227">
        <v>24724.41</v>
      </c>
      <c r="GQ54" s="2227">
        <v>16639.7</v>
      </c>
      <c r="GR54" s="2227">
        <v>15167.61</v>
      </c>
      <c r="GS54" s="2227">
        <v>15909.48</v>
      </c>
      <c r="GT54" s="2227">
        <v>18649.73</v>
      </c>
      <c r="GU54" s="2227">
        <v>22679.62</v>
      </c>
      <c r="GV54" s="2227">
        <v>21788.59</v>
      </c>
      <c r="GW54" s="2227">
        <v>38349.18</v>
      </c>
      <c r="GX54" s="2227">
        <v>40333.050000000003</v>
      </c>
      <c r="GY54" s="2227">
        <v>49443.29</v>
      </c>
      <c r="GZ54" s="2227">
        <v>14591.09</v>
      </c>
      <c r="HA54" s="2227">
        <v>14025.66</v>
      </c>
      <c r="HB54" s="2227">
        <v>19682.88</v>
      </c>
      <c r="HC54" s="2227">
        <v>17935.78</v>
      </c>
      <c r="HD54" s="2227">
        <v>18639.27</v>
      </c>
      <c r="HE54" s="2227">
        <v>25493.52</v>
      </c>
      <c r="HF54" s="2227">
        <v>26550</v>
      </c>
      <c r="HG54" s="2227">
        <v>23723.26</v>
      </c>
      <c r="HH54" s="2227">
        <v>24800</v>
      </c>
      <c r="HI54" s="2227">
        <v>23823</v>
      </c>
      <c r="HJ54" s="2227">
        <v>24408.44</v>
      </c>
      <c r="HK54" s="2227">
        <v>29298.21</v>
      </c>
      <c r="HL54" s="2227">
        <v>40100</v>
      </c>
      <c r="HM54" s="2227">
        <v>19682.87</v>
      </c>
      <c r="HN54" s="2227">
        <v>18740.89</v>
      </c>
      <c r="HO54" s="2227">
        <v>15666.92</v>
      </c>
      <c r="HP54" s="2227">
        <v>23731.39</v>
      </c>
      <c r="HQ54" s="2227">
        <v>28946.43</v>
      </c>
      <c r="HR54" s="2227">
        <v>32500</v>
      </c>
      <c r="HS54" s="2227">
        <v>22806.240000000002</v>
      </c>
      <c r="HT54" s="2227">
        <v>24863.78</v>
      </c>
      <c r="HU54" s="2227">
        <v>33522.1</v>
      </c>
      <c r="HV54" s="2227">
        <v>31744.65</v>
      </c>
      <c r="HW54" s="2227">
        <v>19682.73</v>
      </c>
      <c r="HX54" s="2227">
        <v>18273.66</v>
      </c>
      <c r="HY54" s="2227">
        <v>18448.45</v>
      </c>
      <c r="HZ54" s="2227">
        <v>19374.060000000001</v>
      </c>
      <c r="IA54" s="2227">
        <v>14025.66</v>
      </c>
      <c r="IB54" s="2227">
        <v>19991.37</v>
      </c>
      <c r="IC54" s="2227">
        <v>19792.05</v>
      </c>
      <c r="ID54" s="2227">
        <v>24958.05</v>
      </c>
      <c r="IE54" s="2227">
        <v>23150.880000000001</v>
      </c>
      <c r="IF54" s="2227">
        <v>22729.75</v>
      </c>
      <c r="IG54" s="2227">
        <v>28044.1</v>
      </c>
      <c r="IH54" s="2227">
        <v>22806.25</v>
      </c>
      <c r="II54" s="2227">
        <v>23096.959999999999</v>
      </c>
      <c r="IJ54" s="2227">
        <v>31879.23</v>
      </c>
      <c r="IK54" s="2227">
        <v>23785.54</v>
      </c>
      <c r="IL54" s="2227">
        <v>28698.63</v>
      </c>
      <c r="IM54" s="2227">
        <v>25016.95</v>
      </c>
      <c r="IN54" s="2227">
        <v>35548.06</v>
      </c>
      <c r="IO54" s="2227">
        <v>37060.19</v>
      </c>
      <c r="IP54" s="2227">
        <v>34000</v>
      </c>
      <c r="IQ54" s="2227">
        <v>33522.1</v>
      </c>
      <c r="IR54" s="2227">
        <v>51436.27</v>
      </c>
      <c r="IS54" s="2227">
        <v>33502.629999999997</v>
      </c>
      <c r="IT54" s="2227">
        <v>45116.66</v>
      </c>
      <c r="IU54" s="2227">
        <v>33667.51</v>
      </c>
      <c r="IV54" s="2227">
        <v>23050.69</v>
      </c>
    </row>
    <row r="55" spans="1:256">
      <c r="A55" s="2214">
        <v>46</v>
      </c>
      <c r="B55" s="2925">
        <v>16672.52</v>
      </c>
      <c r="C55" s="2227">
        <v>16522.64</v>
      </c>
      <c r="D55" s="2925">
        <v>15672.52</v>
      </c>
      <c r="E55" s="2227">
        <v>15249.61</v>
      </c>
      <c r="F55" s="2925">
        <v>14672.52</v>
      </c>
      <c r="G55" s="2227">
        <v>14325.66</v>
      </c>
      <c r="H55" s="2926">
        <v>13732</v>
      </c>
      <c r="I55" s="2925">
        <v>23724.12</v>
      </c>
      <c r="J55" s="2925">
        <v>23724.12</v>
      </c>
      <c r="K55" s="2227">
        <v>19800.13</v>
      </c>
      <c r="L55" s="2925">
        <v>20582</v>
      </c>
      <c r="M55" s="2227">
        <v>19800.13</v>
      </c>
      <c r="N55" s="2925">
        <v>20469.07</v>
      </c>
      <c r="O55" s="2925">
        <v>20469.07</v>
      </c>
      <c r="P55" s="2227">
        <v>18362.45</v>
      </c>
      <c r="Q55" s="2925">
        <v>19505.18</v>
      </c>
      <c r="R55" s="2227">
        <v>17903.36</v>
      </c>
      <c r="S55" s="2925">
        <v>18362.45</v>
      </c>
      <c r="T55" s="2925">
        <v>18515.2</v>
      </c>
      <c r="U55" s="2227">
        <v>17903.36</v>
      </c>
      <c r="V55" s="2925">
        <v>18098.810000000001</v>
      </c>
      <c r="W55" s="2227">
        <v>17190.91</v>
      </c>
      <c r="X55" s="2925">
        <v>17509.86</v>
      </c>
      <c r="Y55" s="2925">
        <v>17509.86</v>
      </c>
      <c r="Z55" s="2925">
        <v>16860.759999999998</v>
      </c>
      <c r="AA55" s="2925">
        <v>27167</v>
      </c>
      <c r="AB55" s="2227">
        <v>24457.38</v>
      </c>
      <c r="AC55" s="2925">
        <v>25648.02</v>
      </c>
      <c r="AD55" s="2227">
        <v>23585.82</v>
      </c>
      <c r="AE55" s="2925">
        <v>24148.02</v>
      </c>
      <c r="AF55" s="2227">
        <v>22932.33</v>
      </c>
      <c r="AG55" s="2925">
        <v>22648.02</v>
      </c>
      <c r="AH55" s="2925">
        <v>28044.1</v>
      </c>
      <c r="AI55" s="2925">
        <v>28055.94</v>
      </c>
      <c r="AJ55" s="2227">
        <v>27166.44</v>
      </c>
      <c r="AK55" s="2925">
        <v>27166.44</v>
      </c>
      <c r="AL55" s="2925">
        <v>25932.33</v>
      </c>
      <c r="AM55" s="2227">
        <v>24457.38</v>
      </c>
      <c r="AN55" s="2925">
        <v>24457.38</v>
      </c>
      <c r="AO55" s="2925">
        <v>24432.33</v>
      </c>
      <c r="AP55" s="2227">
        <v>23585.82</v>
      </c>
      <c r="AQ55" s="2925">
        <v>23585.82</v>
      </c>
      <c r="AR55" s="2925">
        <v>22932.33</v>
      </c>
      <c r="AS55" s="2923">
        <v>33124</v>
      </c>
      <c r="AT55" s="2227">
        <v>27576.47</v>
      </c>
      <c r="AU55" s="2923">
        <v>30884</v>
      </c>
      <c r="AV55" s="2227">
        <v>26904.17</v>
      </c>
      <c r="AW55" s="2923">
        <v>27718</v>
      </c>
      <c r="AX55" s="2227">
        <v>24394.45</v>
      </c>
      <c r="AY55" s="2923">
        <v>25218</v>
      </c>
      <c r="AZ55" s="2925">
        <v>33994</v>
      </c>
      <c r="BA55" s="2227">
        <v>29298.21</v>
      </c>
      <c r="BB55" s="2923">
        <v>33124</v>
      </c>
      <c r="BC55" s="2227">
        <v>28698.63</v>
      </c>
      <c r="BD55" s="2925">
        <v>35888.620000000003</v>
      </c>
      <c r="BE55" s="2227">
        <v>32067.71</v>
      </c>
      <c r="BF55" s="2923">
        <v>33124</v>
      </c>
      <c r="BG55" s="2227">
        <v>30592.47</v>
      </c>
      <c r="BH55" s="2925">
        <v>31754</v>
      </c>
      <c r="BI55" s="2227">
        <v>28584.78</v>
      </c>
      <c r="BJ55" s="2923">
        <v>30884</v>
      </c>
      <c r="BK55" s="2227">
        <v>27886.87</v>
      </c>
      <c r="BL55" s="2925">
        <v>32558</v>
      </c>
      <c r="BM55" s="2227">
        <v>31482.54</v>
      </c>
      <c r="BN55" s="2923">
        <v>31046.92</v>
      </c>
      <c r="BO55" s="2227">
        <v>30176.92</v>
      </c>
      <c r="BP55" s="2925">
        <v>28588</v>
      </c>
      <c r="BQ55" s="2227">
        <v>25747.26</v>
      </c>
      <c r="BR55" s="2923">
        <v>27718</v>
      </c>
      <c r="BS55" s="2227">
        <v>26802.639999999999</v>
      </c>
      <c r="BT55" s="2925">
        <v>29558</v>
      </c>
      <c r="BU55" s="2227">
        <v>27517.21</v>
      </c>
      <c r="BV55" s="2923">
        <v>27999.93</v>
      </c>
      <c r="BW55" s="2227">
        <v>26979.93</v>
      </c>
      <c r="BX55" s="2925">
        <v>26088</v>
      </c>
      <c r="BY55" s="2923">
        <v>25218</v>
      </c>
      <c r="BZ55" s="2924">
        <v>26558</v>
      </c>
      <c r="CA55" s="2923">
        <v>25218</v>
      </c>
      <c r="CB55" s="2227">
        <v>66780</v>
      </c>
      <c r="CC55" s="2227">
        <v>63780</v>
      </c>
      <c r="CD55" s="2227">
        <v>60780</v>
      </c>
      <c r="CE55" s="2227">
        <v>58990</v>
      </c>
      <c r="CF55" s="2227">
        <v>55990</v>
      </c>
      <c r="CG55" s="2227">
        <v>52990</v>
      </c>
      <c r="CH55" s="2227">
        <v>51360</v>
      </c>
      <c r="CI55" s="2227">
        <v>48360</v>
      </c>
      <c r="CJ55" s="2227">
        <v>44860</v>
      </c>
      <c r="CK55" s="2227">
        <v>43951.59</v>
      </c>
      <c r="CL55" s="2227">
        <v>41360</v>
      </c>
      <c r="CM55" s="2227">
        <v>38360</v>
      </c>
      <c r="CN55" s="2227">
        <v>35895</v>
      </c>
      <c r="CO55" s="2227">
        <v>33895</v>
      </c>
      <c r="CP55" s="2227">
        <v>22006.560000000001</v>
      </c>
      <c r="CQ55" s="2227">
        <v>13404.34</v>
      </c>
      <c r="CR55" s="2227">
        <v>16763.02</v>
      </c>
      <c r="CS55" s="2227">
        <v>32165.25</v>
      </c>
      <c r="CT55" s="2227">
        <v>20469.07</v>
      </c>
      <c r="CU55" s="2227">
        <v>22902.959999999999</v>
      </c>
      <c r="CV55" s="2227">
        <v>22902.959999999999</v>
      </c>
      <c r="CW55" s="2227">
        <v>22902.959999999999</v>
      </c>
      <c r="CX55" s="2227">
        <v>22902.959999999999</v>
      </c>
      <c r="CY55" s="2227">
        <v>22800</v>
      </c>
      <c r="CZ55" s="2227">
        <v>27166.44</v>
      </c>
      <c r="DA55" s="2227">
        <v>23724.12</v>
      </c>
      <c r="DB55" s="2227">
        <v>23050.69</v>
      </c>
      <c r="DC55" s="2227">
        <v>24457.38</v>
      </c>
      <c r="DD55" s="2227">
        <v>19010.2</v>
      </c>
      <c r="DE55" s="2227">
        <v>22648.02</v>
      </c>
      <c r="DF55" s="2227">
        <v>22498.34</v>
      </c>
      <c r="DG55" s="2227">
        <v>21950</v>
      </c>
      <c r="DH55" s="2227">
        <v>19600</v>
      </c>
      <c r="DI55" s="2227">
        <v>16476.650000000001</v>
      </c>
      <c r="DJ55" s="2227">
        <v>16476.650000000001</v>
      </c>
      <c r="DK55" s="2227">
        <v>20700</v>
      </c>
      <c r="DL55" s="2227">
        <v>24859.06</v>
      </c>
      <c r="DM55" s="2227">
        <v>24800</v>
      </c>
      <c r="DN55" s="2227">
        <v>14129.98</v>
      </c>
      <c r="DO55" s="2227">
        <v>26802.639999999999</v>
      </c>
      <c r="DP55" s="2227">
        <v>17947.62</v>
      </c>
      <c r="DQ55" s="2227">
        <v>34916.480000000003</v>
      </c>
      <c r="DR55" s="2227">
        <v>22932.33</v>
      </c>
      <c r="DS55" s="2227">
        <v>15650</v>
      </c>
      <c r="DT55" s="2227">
        <v>15645.76</v>
      </c>
      <c r="DU55" s="2227">
        <v>15666.92</v>
      </c>
      <c r="DV55" s="2227">
        <v>23585.82</v>
      </c>
      <c r="DW55" s="2227">
        <v>17190.91</v>
      </c>
      <c r="DX55" s="2227">
        <v>26450</v>
      </c>
      <c r="DY55" s="2227">
        <v>18649.73</v>
      </c>
      <c r="DZ55" s="2227">
        <v>26979.93</v>
      </c>
      <c r="EA55" s="2227">
        <v>23878.78</v>
      </c>
      <c r="EB55" s="2227">
        <v>37925.769999999997</v>
      </c>
      <c r="EC55" s="2227">
        <v>24606.06</v>
      </c>
      <c r="ED55" s="2227">
        <v>20451.259999999998</v>
      </c>
      <c r="EE55" s="2227">
        <v>16550</v>
      </c>
      <c r="EF55" s="2227">
        <v>18362.45</v>
      </c>
      <c r="EG55" s="2227">
        <v>19800.13</v>
      </c>
      <c r="EH55" s="2227">
        <v>18691.3</v>
      </c>
      <c r="EI55" s="2227">
        <v>24764.720000000001</v>
      </c>
      <c r="EJ55" s="2227">
        <v>31482.54</v>
      </c>
      <c r="EK55" s="2227">
        <v>22475.61</v>
      </c>
      <c r="EL55" s="2227">
        <v>18691.310000000001</v>
      </c>
      <c r="EM55" s="2227">
        <v>38304.26</v>
      </c>
      <c r="EN55" s="2227">
        <v>27517.21</v>
      </c>
      <c r="EO55" s="2227">
        <v>14888.48</v>
      </c>
      <c r="EP55" s="2227">
        <v>18300</v>
      </c>
      <c r="EQ55" s="2227">
        <v>22283.79</v>
      </c>
      <c r="ER55" s="2227">
        <v>23371.47</v>
      </c>
      <c r="ES55" s="2227">
        <v>20382.759999999998</v>
      </c>
      <c r="ET55" s="2227">
        <v>15249.61</v>
      </c>
      <c r="EU55" s="2227">
        <v>23128.53</v>
      </c>
      <c r="EV55" s="2227">
        <v>25212.13</v>
      </c>
      <c r="EW55" s="2227">
        <v>22741.98</v>
      </c>
      <c r="EX55" s="2227">
        <v>22284.13</v>
      </c>
      <c r="EY55" s="2227">
        <v>23350</v>
      </c>
      <c r="EZ55" s="2227">
        <v>33887.15</v>
      </c>
      <c r="FA55" s="2227">
        <v>18273.66</v>
      </c>
      <c r="FB55" s="2227">
        <v>16076.06</v>
      </c>
      <c r="FC55" s="2227">
        <v>36200</v>
      </c>
      <c r="FD55" s="2227">
        <v>34000</v>
      </c>
      <c r="FE55" s="2227">
        <v>42638.83</v>
      </c>
      <c r="FF55" s="2227">
        <v>15000</v>
      </c>
      <c r="FG55" s="2227">
        <v>30176.92</v>
      </c>
      <c r="FH55" s="2227">
        <v>21368.47</v>
      </c>
      <c r="FI55" s="2227">
        <v>17903.36</v>
      </c>
      <c r="FJ55" s="2227">
        <v>15480.42</v>
      </c>
      <c r="FK55" s="2227">
        <v>27886.87</v>
      </c>
      <c r="FL55" s="2227">
        <v>19682.88</v>
      </c>
      <c r="FM55" s="2227">
        <v>24408.44</v>
      </c>
      <c r="FN55" s="2227">
        <v>22800</v>
      </c>
      <c r="FO55" s="2227">
        <v>28817.74</v>
      </c>
      <c r="FP55" s="2227">
        <v>22459.200000000001</v>
      </c>
      <c r="FQ55" s="2227">
        <v>17925.2</v>
      </c>
      <c r="FR55" s="2227">
        <v>29300</v>
      </c>
      <c r="FS55" s="2227">
        <v>36200</v>
      </c>
      <c r="FT55" s="2227">
        <v>30292.59</v>
      </c>
      <c r="FU55" s="2227">
        <v>24789.42</v>
      </c>
      <c r="FV55" s="2227">
        <v>35250</v>
      </c>
      <c r="FW55" s="2227">
        <v>17905.48</v>
      </c>
      <c r="FX55" s="2227">
        <v>20228.240000000002</v>
      </c>
      <c r="FY55" s="2227">
        <v>16810.330000000002</v>
      </c>
      <c r="FZ55" s="2227">
        <v>22063.68</v>
      </c>
      <c r="GA55" s="2227">
        <v>28946.43</v>
      </c>
      <c r="GB55" s="2227">
        <v>32067.71</v>
      </c>
      <c r="GC55" s="2227">
        <v>17947.62</v>
      </c>
      <c r="GD55" s="2227">
        <v>14084.93</v>
      </c>
      <c r="GE55" s="2227">
        <v>28780.55</v>
      </c>
      <c r="GF55" s="2227">
        <v>29150</v>
      </c>
      <c r="GG55" s="2227">
        <v>45052.27</v>
      </c>
      <c r="GH55" s="2227">
        <v>19682.75</v>
      </c>
      <c r="GI55" s="2227">
        <v>22224.3</v>
      </c>
      <c r="GJ55" s="2227">
        <v>14898.45</v>
      </c>
      <c r="GK55" s="2227">
        <v>18273.39</v>
      </c>
      <c r="GL55" s="2227">
        <v>26904.17</v>
      </c>
      <c r="GM55" s="2227">
        <v>18662.46</v>
      </c>
      <c r="GN55" s="2227">
        <v>21355.98</v>
      </c>
      <c r="GO55" s="2227">
        <v>20414.61</v>
      </c>
      <c r="GP55" s="2227">
        <v>24724.41</v>
      </c>
      <c r="GQ55" s="2227">
        <v>16639.7</v>
      </c>
      <c r="GR55" s="2227">
        <v>15167.61</v>
      </c>
      <c r="GS55" s="2227">
        <v>15909.48</v>
      </c>
      <c r="GT55" s="2227">
        <v>18649.73</v>
      </c>
      <c r="GU55" s="2227">
        <v>22679.62</v>
      </c>
      <c r="GV55" s="2227">
        <v>21788.59</v>
      </c>
      <c r="GW55" s="2227">
        <v>38349.18</v>
      </c>
      <c r="GX55" s="2227">
        <v>40333.050000000003</v>
      </c>
      <c r="GY55" s="2227">
        <v>49443.29</v>
      </c>
      <c r="GZ55" s="2227">
        <v>14591.09</v>
      </c>
      <c r="HA55" s="2227">
        <v>14025.66</v>
      </c>
      <c r="HB55" s="2227">
        <v>19682.88</v>
      </c>
      <c r="HC55" s="2227">
        <v>17935.78</v>
      </c>
      <c r="HD55" s="2227">
        <v>18639.27</v>
      </c>
      <c r="HE55" s="2227">
        <v>25493.52</v>
      </c>
      <c r="HF55" s="2227">
        <v>26550</v>
      </c>
      <c r="HG55" s="2227">
        <v>23723.26</v>
      </c>
      <c r="HH55" s="2227">
        <v>24800</v>
      </c>
      <c r="HI55" s="2227">
        <v>23823</v>
      </c>
      <c r="HJ55" s="2227">
        <v>24408.44</v>
      </c>
      <c r="HK55" s="2227">
        <v>29298.21</v>
      </c>
      <c r="HL55" s="2227">
        <v>40100</v>
      </c>
      <c r="HM55" s="2227">
        <v>19682.87</v>
      </c>
      <c r="HN55" s="2227">
        <v>18740.89</v>
      </c>
      <c r="HO55" s="2227">
        <v>15666.92</v>
      </c>
      <c r="HP55" s="2227">
        <v>23731.39</v>
      </c>
      <c r="HQ55" s="2227">
        <v>28946.43</v>
      </c>
      <c r="HR55" s="2227">
        <v>32500</v>
      </c>
      <c r="HS55" s="2227">
        <v>22806.240000000002</v>
      </c>
      <c r="HT55" s="2227">
        <v>24863.78</v>
      </c>
      <c r="HU55" s="2227">
        <v>33522.1</v>
      </c>
      <c r="HV55" s="2227">
        <v>31744.65</v>
      </c>
      <c r="HW55" s="2227">
        <v>19682.73</v>
      </c>
      <c r="HX55" s="2227">
        <v>18273.66</v>
      </c>
      <c r="HY55" s="2227">
        <v>18448.45</v>
      </c>
      <c r="HZ55" s="2227">
        <v>19374.060000000001</v>
      </c>
      <c r="IA55" s="2227">
        <v>14025.66</v>
      </c>
      <c r="IB55" s="2227">
        <v>19991.37</v>
      </c>
      <c r="IC55" s="2227">
        <v>19792.05</v>
      </c>
      <c r="ID55" s="2227">
        <v>24958.05</v>
      </c>
      <c r="IE55" s="2227">
        <v>23150.880000000001</v>
      </c>
      <c r="IF55" s="2227">
        <v>22729.75</v>
      </c>
      <c r="IG55" s="2227">
        <v>28044.1</v>
      </c>
      <c r="IH55" s="2227">
        <v>22806.25</v>
      </c>
      <c r="II55" s="2227">
        <v>23096.959999999999</v>
      </c>
      <c r="IJ55" s="2227">
        <v>31879.23</v>
      </c>
      <c r="IK55" s="2227">
        <v>23785.54</v>
      </c>
      <c r="IL55" s="2227">
        <v>28698.63</v>
      </c>
      <c r="IM55" s="2227">
        <v>25016.95</v>
      </c>
      <c r="IN55" s="2227">
        <v>35548.06</v>
      </c>
      <c r="IO55" s="2227">
        <v>37060.19</v>
      </c>
      <c r="IP55" s="2227">
        <v>34000</v>
      </c>
      <c r="IQ55" s="2227">
        <v>33522.1</v>
      </c>
      <c r="IR55" s="2227">
        <v>51436.27</v>
      </c>
      <c r="IS55" s="2227">
        <v>33502.629999999997</v>
      </c>
      <c r="IT55" s="2227">
        <v>45116.66</v>
      </c>
      <c r="IU55" s="2227">
        <v>33667.51</v>
      </c>
      <c r="IV55" s="2227">
        <v>23050.69</v>
      </c>
    </row>
    <row r="56" spans="1:256">
      <c r="A56" s="2214">
        <v>47</v>
      </c>
      <c r="B56" s="2925">
        <v>16672.52</v>
      </c>
      <c r="C56" s="2227">
        <v>16522.64</v>
      </c>
      <c r="D56" s="2925">
        <v>15672.52</v>
      </c>
      <c r="E56" s="2227">
        <v>15249.61</v>
      </c>
      <c r="F56" s="2925">
        <v>14672.52</v>
      </c>
      <c r="G56" s="2227">
        <v>14325.66</v>
      </c>
      <c r="H56" s="2926">
        <v>13732</v>
      </c>
      <c r="I56" s="2925">
        <v>23724.12</v>
      </c>
      <c r="J56" s="2925">
        <v>23724.12</v>
      </c>
      <c r="K56" s="2227">
        <v>19800.13</v>
      </c>
      <c r="L56" s="2925">
        <v>20582</v>
      </c>
      <c r="M56" s="2227">
        <v>19800.13</v>
      </c>
      <c r="N56" s="2925">
        <v>20469.07</v>
      </c>
      <c r="O56" s="2925">
        <v>20469.07</v>
      </c>
      <c r="P56" s="2227">
        <v>18362.45</v>
      </c>
      <c r="Q56" s="2925">
        <v>19505.18</v>
      </c>
      <c r="R56" s="2227">
        <v>17903.36</v>
      </c>
      <c r="S56" s="2925">
        <v>18362.45</v>
      </c>
      <c r="T56" s="2925">
        <v>18515.2</v>
      </c>
      <c r="U56" s="2227">
        <v>17903.36</v>
      </c>
      <c r="V56" s="2925">
        <v>18098.810000000001</v>
      </c>
      <c r="W56" s="2227">
        <v>17190.91</v>
      </c>
      <c r="X56" s="2925">
        <v>17509.86</v>
      </c>
      <c r="Y56" s="2925">
        <v>17509.86</v>
      </c>
      <c r="Z56" s="2925">
        <v>16860.759999999998</v>
      </c>
      <c r="AA56" s="2925">
        <v>27167</v>
      </c>
      <c r="AB56" s="2227">
        <v>24457.38</v>
      </c>
      <c r="AC56" s="2925">
        <v>25648.02</v>
      </c>
      <c r="AD56" s="2227">
        <v>23585.82</v>
      </c>
      <c r="AE56" s="2925">
        <v>24148.02</v>
      </c>
      <c r="AF56" s="2227">
        <v>22932.33</v>
      </c>
      <c r="AG56" s="2925">
        <v>22648.02</v>
      </c>
      <c r="AH56" s="2925">
        <v>28044.1</v>
      </c>
      <c r="AI56" s="2925">
        <v>28055.94</v>
      </c>
      <c r="AJ56" s="2227">
        <v>27166.44</v>
      </c>
      <c r="AK56" s="2925">
        <v>27166.44</v>
      </c>
      <c r="AL56" s="2925">
        <v>25932.33</v>
      </c>
      <c r="AM56" s="2227">
        <v>24457.38</v>
      </c>
      <c r="AN56" s="2925">
        <v>24457.38</v>
      </c>
      <c r="AO56" s="2925">
        <v>24432.33</v>
      </c>
      <c r="AP56" s="2227">
        <v>23585.82</v>
      </c>
      <c r="AQ56" s="2925">
        <v>23585.82</v>
      </c>
      <c r="AR56" s="2925">
        <v>22932.33</v>
      </c>
      <c r="AS56" s="2923">
        <v>33124</v>
      </c>
      <c r="AT56" s="2227">
        <v>27576.47</v>
      </c>
      <c r="AU56" s="2923">
        <v>30884</v>
      </c>
      <c r="AV56" s="2227">
        <v>26904.17</v>
      </c>
      <c r="AW56" s="2923">
        <v>27718</v>
      </c>
      <c r="AX56" s="2227">
        <v>24394.45</v>
      </c>
      <c r="AY56" s="2923">
        <v>25218</v>
      </c>
      <c r="AZ56" s="2925">
        <v>33994</v>
      </c>
      <c r="BA56" s="2227">
        <v>29298.21</v>
      </c>
      <c r="BB56" s="2923">
        <v>33124</v>
      </c>
      <c r="BC56" s="2227">
        <v>28698.63</v>
      </c>
      <c r="BD56" s="2925">
        <v>35888.620000000003</v>
      </c>
      <c r="BE56" s="2227">
        <v>32067.71</v>
      </c>
      <c r="BF56" s="2923">
        <v>33124</v>
      </c>
      <c r="BG56" s="2227">
        <v>30592.47</v>
      </c>
      <c r="BH56" s="2925">
        <v>31754</v>
      </c>
      <c r="BI56" s="2227">
        <v>28584.78</v>
      </c>
      <c r="BJ56" s="2923">
        <v>30884</v>
      </c>
      <c r="BK56" s="2227">
        <v>27886.87</v>
      </c>
      <c r="BL56" s="2925">
        <v>32558</v>
      </c>
      <c r="BM56" s="2227">
        <v>31482.54</v>
      </c>
      <c r="BN56" s="2923">
        <v>31046.92</v>
      </c>
      <c r="BO56" s="2227">
        <v>30176.92</v>
      </c>
      <c r="BP56" s="2925">
        <v>28588</v>
      </c>
      <c r="BQ56" s="2227">
        <v>25747.26</v>
      </c>
      <c r="BR56" s="2923">
        <v>27718</v>
      </c>
      <c r="BS56" s="2227">
        <v>26802.639999999999</v>
      </c>
      <c r="BT56" s="2925">
        <v>29558</v>
      </c>
      <c r="BU56" s="2227">
        <v>27517.21</v>
      </c>
      <c r="BV56" s="2923">
        <v>27999.93</v>
      </c>
      <c r="BW56" s="2227">
        <v>26979.93</v>
      </c>
      <c r="BX56" s="2925">
        <v>26088</v>
      </c>
      <c r="BY56" s="2923">
        <v>25218</v>
      </c>
      <c r="BZ56" s="2924">
        <v>26558</v>
      </c>
      <c r="CA56" s="2923">
        <v>25218</v>
      </c>
      <c r="CB56" s="2227">
        <v>66780</v>
      </c>
      <c r="CC56" s="2227">
        <v>63780</v>
      </c>
      <c r="CD56" s="2227">
        <v>60780</v>
      </c>
      <c r="CE56" s="2227">
        <v>58990</v>
      </c>
      <c r="CF56" s="2227">
        <v>55990</v>
      </c>
      <c r="CG56" s="2227">
        <v>52990</v>
      </c>
      <c r="CH56" s="2227">
        <v>51360</v>
      </c>
      <c r="CI56" s="2227">
        <v>48360</v>
      </c>
      <c r="CJ56" s="2227">
        <v>44860</v>
      </c>
      <c r="CK56" s="2227">
        <v>43951.59</v>
      </c>
      <c r="CL56" s="2227">
        <v>41360</v>
      </c>
      <c r="CM56" s="2227">
        <v>38360</v>
      </c>
      <c r="CN56" s="2227">
        <v>35895</v>
      </c>
      <c r="CO56" s="2227">
        <v>33895</v>
      </c>
      <c r="CP56" s="2227">
        <v>22006.560000000001</v>
      </c>
      <c r="CQ56" s="2227">
        <v>13404.34</v>
      </c>
      <c r="CR56" s="2227">
        <v>16763.02</v>
      </c>
      <c r="CS56" s="2227">
        <v>32165.25</v>
      </c>
      <c r="CT56" s="2227">
        <v>20469.07</v>
      </c>
      <c r="CU56" s="2227">
        <v>22902.959999999999</v>
      </c>
      <c r="CV56" s="2227">
        <v>22902.959999999999</v>
      </c>
      <c r="CW56" s="2227">
        <v>22902.959999999999</v>
      </c>
      <c r="CX56" s="2227">
        <v>22902.959999999999</v>
      </c>
      <c r="CY56" s="2227">
        <v>22800</v>
      </c>
      <c r="CZ56" s="2227">
        <v>27166.44</v>
      </c>
      <c r="DA56" s="2227">
        <v>23724.12</v>
      </c>
      <c r="DB56" s="2227">
        <v>23050.69</v>
      </c>
      <c r="DC56" s="2227">
        <v>24457.38</v>
      </c>
      <c r="DD56" s="2227">
        <v>19010.2</v>
      </c>
      <c r="DE56" s="2227">
        <v>22648.02</v>
      </c>
      <c r="DF56" s="2227">
        <v>22498.34</v>
      </c>
      <c r="DG56" s="2227">
        <v>21950</v>
      </c>
      <c r="DH56" s="2227">
        <v>19600</v>
      </c>
      <c r="DI56" s="2227">
        <v>16476.650000000001</v>
      </c>
      <c r="DJ56" s="2227">
        <v>16476.650000000001</v>
      </c>
      <c r="DK56" s="2227">
        <v>20700</v>
      </c>
      <c r="DL56" s="2227">
        <v>24859.06</v>
      </c>
      <c r="DM56" s="2227">
        <v>24800</v>
      </c>
      <c r="DN56" s="2227">
        <v>14129.98</v>
      </c>
      <c r="DO56" s="2227">
        <v>26802.639999999999</v>
      </c>
      <c r="DP56" s="2227">
        <v>17947.62</v>
      </c>
      <c r="DQ56" s="2227">
        <v>34916.480000000003</v>
      </c>
      <c r="DR56" s="2227">
        <v>22932.33</v>
      </c>
      <c r="DS56" s="2227">
        <v>15650</v>
      </c>
      <c r="DT56" s="2227">
        <v>15645.76</v>
      </c>
      <c r="DU56" s="2227">
        <v>15666.92</v>
      </c>
      <c r="DV56" s="2227">
        <v>23585.82</v>
      </c>
      <c r="DW56" s="2227">
        <v>17190.91</v>
      </c>
      <c r="DX56" s="2227">
        <v>26450</v>
      </c>
      <c r="DY56" s="2227">
        <v>18649.73</v>
      </c>
      <c r="DZ56" s="2227">
        <v>26979.93</v>
      </c>
      <c r="EA56" s="2227">
        <v>23878.78</v>
      </c>
      <c r="EB56" s="2227">
        <v>37925.769999999997</v>
      </c>
      <c r="EC56" s="2227">
        <v>24606.06</v>
      </c>
      <c r="ED56" s="2227">
        <v>20451.259999999998</v>
      </c>
      <c r="EE56" s="2227">
        <v>16550</v>
      </c>
      <c r="EF56" s="2227">
        <v>18362.45</v>
      </c>
      <c r="EG56" s="2227">
        <v>19800.13</v>
      </c>
      <c r="EH56" s="2227">
        <v>18691.3</v>
      </c>
      <c r="EI56" s="2227">
        <v>24764.720000000001</v>
      </c>
      <c r="EJ56" s="2227">
        <v>31482.54</v>
      </c>
      <c r="EK56" s="2227">
        <v>22475.61</v>
      </c>
      <c r="EL56" s="2227">
        <v>18691.310000000001</v>
      </c>
      <c r="EM56" s="2227">
        <v>38304.26</v>
      </c>
      <c r="EN56" s="2227">
        <v>27517.21</v>
      </c>
      <c r="EO56" s="2227">
        <v>14888.48</v>
      </c>
      <c r="EP56" s="2227">
        <v>18300</v>
      </c>
      <c r="EQ56" s="2227">
        <v>22283.79</v>
      </c>
      <c r="ER56" s="2227">
        <v>23371.47</v>
      </c>
      <c r="ES56" s="2227">
        <v>20382.759999999998</v>
      </c>
      <c r="ET56" s="2227">
        <v>15249.61</v>
      </c>
      <c r="EU56" s="2227">
        <v>23128.53</v>
      </c>
      <c r="EV56" s="2227">
        <v>25212.13</v>
      </c>
      <c r="EW56" s="2227">
        <v>22741.98</v>
      </c>
      <c r="EX56" s="2227">
        <v>22284.13</v>
      </c>
      <c r="EY56" s="2227">
        <v>23350</v>
      </c>
      <c r="EZ56" s="2227">
        <v>33887.15</v>
      </c>
      <c r="FA56" s="2227">
        <v>18273.66</v>
      </c>
      <c r="FB56" s="2227">
        <v>16076.06</v>
      </c>
      <c r="FC56" s="2227">
        <v>36200</v>
      </c>
      <c r="FD56" s="2227">
        <v>34000</v>
      </c>
      <c r="FE56" s="2227">
        <v>42638.83</v>
      </c>
      <c r="FF56" s="2227">
        <v>15000</v>
      </c>
      <c r="FG56" s="2227">
        <v>30176.92</v>
      </c>
      <c r="FH56" s="2227">
        <v>21368.47</v>
      </c>
      <c r="FI56" s="2227">
        <v>17903.36</v>
      </c>
      <c r="FJ56" s="2227">
        <v>15480.42</v>
      </c>
      <c r="FK56" s="2227">
        <v>27886.87</v>
      </c>
      <c r="FL56" s="2227">
        <v>19682.88</v>
      </c>
      <c r="FM56" s="2227">
        <v>24408.44</v>
      </c>
      <c r="FN56" s="2227">
        <v>22800</v>
      </c>
      <c r="FO56" s="2227">
        <v>28817.74</v>
      </c>
      <c r="FP56" s="2227">
        <v>22459.200000000001</v>
      </c>
      <c r="FQ56" s="2227">
        <v>17925.2</v>
      </c>
      <c r="FR56" s="2227">
        <v>29300</v>
      </c>
      <c r="FS56" s="2227">
        <v>36200</v>
      </c>
      <c r="FT56" s="2227">
        <v>30292.59</v>
      </c>
      <c r="FU56" s="2227">
        <v>24789.42</v>
      </c>
      <c r="FV56" s="2227">
        <v>35250</v>
      </c>
      <c r="FW56" s="2227">
        <v>17905.48</v>
      </c>
      <c r="FX56" s="2227">
        <v>20228.240000000002</v>
      </c>
      <c r="FY56" s="2227">
        <v>16810.330000000002</v>
      </c>
      <c r="FZ56" s="2227">
        <v>22063.68</v>
      </c>
      <c r="GA56" s="2227">
        <v>28946.43</v>
      </c>
      <c r="GB56" s="2227">
        <v>32067.71</v>
      </c>
      <c r="GC56" s="2227">
        <v>17947.62</v>
      </c>
      <c r="GD56" s="2227">
        <v>14084.93</v>
      </c>
      <c r="GE56" s="2227">
        <v>28780.55</v>
      </c>
      <c r="GF56" s="2227">
        <v>29150</v>
      </c>
      <c r="GG56" s="2227">
        <v>45052.27</v>
      </c>
      <c r="GH56" s="2227">
        <v>19682.75</v>
      </c>
      <c r="GI56" s="2227">
        <v>22224.3</v>
      </c>
      <c r="GJ56" s="2227">
        <v>14898.45</v>
      </c>
      <c r="GK56" s="2227">
        <v>18273.39</v>
      </c>
      <c r="GL56" s="2227">
        <v>26904.17</v>
      </c>
      <c r="GM56" s="2227">
        <v>18662.46</v>
      </c>
      <c r="GN56" s="2227">
        <v>21355.98</v>
      </c>
      <c r="GO56" s="2227">
        <v>20414.61</v>
      </c>
      <c r="GP56" s="2227">
        <v>24724.41</v>
      </c>
      <c r="GQ56" s="2227">
        <v>16639.7</v>
      </c>
      <c r="GR56" s="2227">
        <v>15167.61</v>
      </c>
      <c r="GS56" s="2227">
        <v>15909.48</v>
      </c>
      <c r="GT56" s="2227">
        <v>18649.73</v>
      </c>
      <c r="GU56" s="2227">
        <v>22679.62</v>
      </c>
      <c r="GV56" s="2227">
        <v>21788.59</v>
      </c>
      <c r="GW56" s="2227">
        <v>38349.18</v>
      </c>
      <c r="GX56" s="2227">
        <v>40333.050000000003</v>
      </c>
      <c r="GY56" s="2227">
        <v>49443.29</v>
      </c>
      <c r="GZ56" s="2227">
        <v>14591.09</v>
      </c>
      <c r="HA56" s="2227">
        <v>14025.66</v>
      </c>
      <c r="HB56" s="2227">
        <v>19682.88</v>
      </c>
      <c r="HC56" s="2227">
        <v>17935.78</v>
      </c>
      <c r="HD56" s="2227">
        <v>18639.27</v>
      </c>
      <c r="HE56" s="2227">
        <v>25493.52</v>
      </c>
      <c r="HF56" s="2227">
        <v>26550</v>
      </c>
      <c r="HG56" s="2227">
        <v>23723.26</v>
      </c>
      <c r="HH56" s="2227">
        <v>24800</v>
      </c>
      <c r="HI56" s="2227">
        <v>23823</v>
      </c>
      <c r="HJ56" s="2227">
        <v>24408.44</v>
      </c>
      <c r="HK56" s="2227">
        <v>29298.21</v>
      </c>
      <c r="HL56" s="2227">
        <v>40100</v>
      </c>
      <c r="HM56" s="2227">
        <v>19682.87</v>
      </c>
      <c r="HN56" s="2227">
        <v>18740.89</v>
      </c>
      <c r="HO56" s="2227">
        <v>15666.92</v>
      </c>
      <c r="HP56" s="2227">
        <v>23731.39</v>
      </c>
      <c r="HQ56" s="2227">
        <v>28946.43</v>
      </c>
      <c r="HR56" s="2227">
        <v>32500</v>
      </c>
      <c r="HS56" s="2227">
        <v>22806.240000000002</v>
      </c>
      <c r="HT56" s="2227">
        <v>24863.78</v>
      </c>
      <c r="HU56" s="2227">
        <v>33522.1</v>
      </c>
      <c r="HV56" s="2227">
        <v>31744.65</v>
      </c>
      <c r="HW56" s="2227">
        <v>19682.73</v>
      </c>
      <c r="HX56" s="2227">
        <v>18273.66</v>
      </c>
      <c r="HY56" s="2227">
        <v>18448.45</v>
      </c>
      <c r="HZ56" s="2227">
        <v>19374.060000000001</v>
      </c>
      <c r="IA56" s="2227">
        <v>14025.66</v>
      </c>
      <c r="IB56" s="2227">
        <v>19991.37</v>
      </c>
      <c r="IC56" s="2227">
        <v>19792.05</v>
      </c>
      <c r="ID56" s="2227">
        <v>24958.05</v>
      </c>
      <c r="IE56" s="2227">
        <v>23150.880000000001</v>
      </c>
      <c r="IF56" s="2227">
        <v>22729.75</v>
      </c>
      <c r="IG56" s="2227">
        <v>28044.1</v>
      </c>
      <c r="IH56" s="2227">
        <v>22806.25</v>
      </c>
      <c r="II56" s="2227">
        <v>23096.959999999999</v>
      </c>
      <c r="IJ56" s="2227">
        <v>31879.23</v>
      </c>
      <c r="IK56" s="2227">
        <v>23785.54</v>
      </c>
      <c r="IL56" s="2227">
        <v>28698.63</v>
      </c>
      <c r="IM56" s="2227">
        <v>25016.95</v>
      </c>
      <c r="IN56" s="2227">
        <v>35548.06</v>
      </c>
      <c r="IO56" s="2227">
        <v>37060.19</v>
      </c>
      <c r="IP56" s="2227">
        <v>34000</v>
      </c>
      <c r="IQ56" s="2227">
        <v>33522.1</v>
      </c>
      <c r="IR56" s="2227">
        <v>51436.27</v>
      </c>
      <c r="IS56" s="2227">
        <v>33502.629999999997</v>
      </c>
      <c r="IT56" s="2227">
        <v>45116.66</v>
      </c>
      <c r="IU56" s="2227">
        <v>33667.51</v>
      </c>
      <c r="IV56" s="2227">
        <v>23050.69</v>
      </c>
    </row>
    <row r="57" spans="1:256">
      <c r="A57" s="2214">
        <v>48</v>
      </c>
      <c r="B57" s="2925">
        <v>16672.52</v>
      </c>
      <c r="C57" s="2227">
        <v>16522.64</v>
      </c>
      <c r="D57" s="2925">
        <v>15672.52</v>
      </c>
      <c r="E57" s="2227">
        <v>15249.61</v>
      </c>
      <c r="F57" s="2925">
        <v>14672.52</v>
      </c>
      <c r="G57" s="2227">
        <v>14325.66</v>
      </c>
      <c r="H57" s="2926">
        <v>13732</v>
      </c>
      <c r="I57" s="2925">
        <v>23724.12</v>
      </c>
      <c r="J57" s="2925">
        <v>23724.12</v>
      </c>
      <c r="K57" s="2227">
        <v>19800.13</v>
      </c>
      <c r="L57" s="2925">
        <v>20582</v>
      </c>
      <c r="M57" s="2227">
        <v>19800.13</v>
      </c>
      <c r="N57" s="2925">
        <v>20469.07</v>
      </c>
      <c r="O57" s="2925">
        <v>20469.07</v>
      </c>
      <c r="P57" s="2227">
        <v>18362.45</v>
      </c>
      <c r="Q57" s="2925">
        <v>19505.18</v>
      </c>
      <c r="R57" s="2227">
        <v>17903.36</v>
      </c>
      <c r="S57" s="2925">
        <v>18362.45</v>
      </c>
      <c r="T57" s="2925">
        <v>18515.2</v>
      </c>
      <c r="U57" s="2227">
        <v>17903.36</v>
      </c>
      <c r="V57" s="2925">
        <v>18098.810000000001</v>
      </c>
      <c r="W57" s="2227">
        <v>17190.91</v>
      </c>
      <c r="X57" s="2925">
        <v>17509.86</v>
      </c>
      <c r="Y57" s="2925">
        <v>17509.86</v>
      </c>
      <c r="Z57" s="2925">
        <v>16860.759999999998</v>
      </c>
      <c r="AA57" s="2925">
        <v>27167</v>
      </c>
      <c r="AB57" s="2227">
        <v>24457.38</v>
      </c>
      <c r="AC57" s="2925">
        <v>25648.02</v>
      </c>
      <c r="AD57" s="2227">
        <v>23585.82</v>
      </c>
      <c r="AE57" s="2925">
        <v>24148.02</v>
      </c>
      <c r="AF57" s="2227">
        <v>22932.33</v>
      </c>
      <c r="AG57" s="2925">
        <v>22648.02</v>
      </c>
      <c r="AH57" s="2925">
        <v>28044.1</v>
      </c>
      <c r="AI57" s="2925">
        <v>28055.94</v>
      </c>
      <c r="AJ57" s="2227">
        <v>27166.44</v>
      </c>
      <c r="AK57" s="2925">
        <v>27166.44</v>
      </c>
      <c r="AL57" s="2925">
        <v>25932.33</v>
      </c>
      <c r="AM57" s="2227">
        <v>24457.38</v>
      </c>
      <c r="AN57" s="2925">
        <v>24457.38</v>
      </c>
      <c r="AO57" s="2925">
        <v>24432.33</v>
      </c>
      <c r="AP57" s="2227">
        <v>23585.82</v>
      </c>
      <c r="AQ57" s="2925">
        <v>23585.82</v>
      </c>
      <c r="AR57" s="2925">
        <v>22932.33</v>
      </c>
      <c r="AS57" s="2923">
        <v>33124</v>
      </c>
      <c r="AT57" s="2227">
        <v>27576.47</v>
      </c>
      <c r="AU57" s="2923">
        <v>30884</v>
      </c>
      <c r="AV57" s="2227">
        <v>26904.17</v>
      </c>
      <c r="AW57" s="2923">
        <v>27718</v>
      </c>
      <c r="AX57" s="2227">
        <v>24394.45</v>
      </c>
      <c r="AY57" s="2923">
        <v>25218</v>
      </c>
      <c r="AZ57" s="2925">
        <v>33994</v>
      </c>
      <c r="BA57" s="2227">
        <v>29298.21</v>
      </c>
      <c r="BB57" s="2923">
        <v>33124</v>
      </c>
      <c r="BC57" s="2227">
        <v>28698.63</v>
      </c>
      <c r="BD57" s="2925">
        <v>35888.620000000003</v>
      </c>
      <c r="BE57" s="2227">
        <v>32067.71</v>
      </c>
      <c r="BF57" s="2923">
        <v>33124</v>
      </c>
      <c r="BG57" s="2227">
        <v>30592.47</v>
      </c>
      <c r="BH57" s="2925">
        <v>31754</v>
      </c>
      <c r="BI57" s="2227">
        <v>28584.78</v>
      </c>
      <c r="BJ57" s="2923">
        <v>30884</v>
      </c>
      <c r="BK57" s="2227">
        <v>27886.87</v>
      </c>
      <c r="BL57" s="2925">
        <v>32558</v>
      </c>
      <c r="BM57" s="2227">
        <v>31482.54</v>
      </c>
      <c r="BN57" s="2923">
        <v>31046.92</v>
      </c>
      <c r="BO57" s="2227">
        <v>30176.92</v>
      </c>
      <c r="BP57" s="2925">
        <v>28588</v>
      </c>
      <c r="BQ57" s="2227">
        <v>25747.26</v>
      </c>
      <c r="BR57" s="2923">
        <v>27718</v>
      </c>
      <c r="BS57" s="2227">
        <v>26802.639999999999</v>
      </c>
      <c r="BT57" s="2925">
        <v>29558</v>
      </c>
      <c r="BU57" s="2227">
        <v>27517.21</v>
      </c>
      <c r="BV57" s="2923">
        <v>27999.93</v>
      </c>
      <c r="BW57" s="2227">
        <v>26979.93</v>
      </c>
      <c r="BX57" s="2925">
        <v>26088</v>
      </c>
      <c r="BY57" s="2923">
        <v>25218</v>
      </c>
      <c r="BZ57" s="2924">
        <v>26558</v>
      </c>
      <c r="CA57" s="2923">
        <v>25218</v>
      </c>
      <c r="CB57" s="2227">
        <v>66780</v>
      </c>
      <c r="CC57" s="2227">
        <v>63780</v>
      </c>
      <c r="CD57" s="2227">
        <v>60780</v>
      </c>
      <c r="CE57" s="2227">
        <v>58990</v>
      </c>
      <c r="CF57" s="2227">
        <v>55990</v>
      </c>
      <c r="CG57" s="2227">
        <v>52990</v>
      </c>
      <c r="CH57" s="2227">
        <v>51360</v>
      </c>
      <c r="CI57" s="2227">
        <v>48360</v>
      </c>
      <c r="CJ57" s="2227">
        <v>44860</v>
      </c>
      <c r="CK57" s="2227">
        <v>43951.59</v>
      </c>
      <c r="CL57" s="2227">
        <v>41360</v>
      </c>
      <c r="CM57" s="2227">
        <v>38360</v>
      </c>
      <c r="CN57" s="2227">
        <v>35895</v>
      </c>
      <c r="CO57" s="2227">
        <v>33895</v>
      </c>
      <c r="CP57" s="2227">
        <v>22006.560000000001</v>
      </c>
      <c r="CQ57" s="2227">
        <v>13404.34</v>
      </c>
      <c r="CR57" s="2227">
        <v>16763.02</v>
      </c>
      <c r="CS57" s="2227">
        <v>32165.25</v>
      </c>
      <c r="CT57" s="2227">
        <v>20469.07</v>
      </c>
      <c r="CU57" s="2227">
        <v>22902.959999999999</v>
      </c>
      <c r="CV57" s="2227">
        <v>22902.959999999999</v>
      </c>
      <c r="CW57" s="2227">
        <v>22902.959999999999</v>
      </c>
      <c r="CX57" s="2227">
        <v>22902.959999999999</v>
      </c>
      <c r="CY57" s="2227">
        <v>22800</v>
      </c>
      <c r="CZ57" s="2227">
        <v>27166.44</v>
      </c>
      <c r="DA57" s="2227">
        <v>23724.12</v>
      </c>
      <c r="DB57" s="2227">
        <v>23050.69</v>
      </c>
      <c r="DC57" s="2227">
        <v>24457.38</v>
      </c>
      <c r="DD57" s="2227">
        <v>19010.2</v>
      </c>
      <c r="DE57" s="2227">
        <v>22648.02</v>
      </c>
      <c r="DF57" s="2227">
        <v>22498.34</v>
      </c>
      <c r="DG57" s="2227">
        <v>21950</v>
      </c>
      <c r="DH57" s="2227">
        <v>19600</v>
      </c>
      <c r="DI57" s="2227">
        <v>16476.650000000001</v>
      </c>
      <c r="DJ57" s="2227">
        <v>16476.650000000001</v>
      </c>
      <c r="DK57" s="2227">
        <v>20700</v>
      </c>
      <c r="DL57" s="2227">
        <v>24859.06</v>
      </c>
      <c r="DM57" s="2227">
        <v>24800</v>
      </c>
      <c r="DN57" s="2227">
        <v>14129.98</v>
      </c>
      <c r="DO57" s="2227">
        <v>26802.639999999999</v>
      </c>
      <c r="DP57" s="2227">
        <v>17947.62</v>
      </c>
      <c r="DQ57" s="2227">
        <v>34916.480000000003</v>
      </c>
      <c r="DR57" s="2227">
        <v>22932.33</v>
      </c>
      <c r="DS57" s="2227">
        <v>15650</v>
      </c>
      <c r="DT57" s="2227">
        <v>15645.76</v>
      </c>
      <c r="DU57" s="2227">
        <v>15666.92</v>
      </c>
      <c r="DV57" s="2227">
        <v>23585.82</v>
      </c>
      <c r="DW57" s="2227">
        <v>17190.91</v>
      </c>
      <c r="DX57" s="2227">
        <v>26450</v>
      </c>
      <c r="DY57" s="2227">
        <v>18649.73</v>
      </c>
      <c r="DZ57" s="2227">
        <v>26979.93</v>
      </c>
      <c r="EA57" s="2227">
        <v>23878.78</v>
      </c>
      <c r="EB57" s="2227">
        <v>37925.769999999997</v>
      </c>
      <c r="EC57" s="2227">
        <v>24606.06</v>
      </c>
      <c r="ED57" s="2227">
        <v>20451.259999999998</v>
      </c>
      <c r="EE57" s="2227">
        <v>16550</v>
      </c>
      <c r="EF57" s="2227">
        <v>18362.45</v>
      </c>
      <c r="EG57" s="2227">
        <v>19800.13</v>
      </c>
      <c r="EH57" s="2227">
        <v>18691.3</v>
      </c>
      <c r="EI57" s="2227">
        <v>24764.720000000001</v>
      </c>
      <c r="EJ57" s="2227">
        <v>31482.54</v>
      </c>
      <c r="EK57" s="2227">
        <v>22475.61</v>
      </c>
      <c r="EL57" s="2227">
        <v>18691.310000000001</v>
      </c>
      <c r="EM57" s="2227">
        <v>38304.26</v>
      </c>
      <c r="EN57" s="2227">
        <v>27517.21</v>
      </c>
      <c r="EO57" s="2227">
        <v>14888.48</v>
      </c>
      <c r="EP57" s="2227">
        <v>18300</v>
      </c>
      <c r="EQ57" s="2227">
        <v>22283.79</v>
      </c>
      <c r="ER57" s="2227">
        <v>23371.47</v>
      </c>
      <c r="ES57" s="2227">
        <v>20382.759999999998</v>
      </c>
      <c r="ET57" s="2227">
        <v>15249.61</v>
      </c>
      <c r="EU57" s="2227">
        <v>23128.53</v>
      </c>
      <c r="EV57" s="2227">
        <v>25212.13</v>
      </c>
      <c r="EW57" s="2227">
        <v>22741.98</v>
      </c>
      <c r="EX57" s="2227">
        <v>22284.13</v>
      </c>
      <c r="EY57" s="2227">
        <v>23350</v>
      </c>
      <c r="EZ57" s="2227">
        <v>33887.15</v>
      </c>
      <c r="FA57" s="2227">
        <v>18273.66</v>
      </c>
      <c r="FB57" s="2227">
        <v>16076.06</v>
      </c>
      <c r="FC57" s="2227">
        <v>36200</v>
      </c>
      <c r="FD57" s="2227">
        <v>34000</v>
      </c>
      <c r="FE57" s="2227">
        <v>42638.83</v>
      </c>
      <c r="FF57" s="2227">
        <v>15000</v>
      </c>
      <c r="FG57" s="2227">
        <v>30176.92</v>
      </c>
      <c r="FH57" s="2227">
        <v>21368.47</v>
      </c>
      <c r="FI57" s="2227">
        <v>17903.36</v>
      </c>
      <c r="FJ57" s="2227">
        <v>15480.42</v>
      </c>
      <c r="FK57" s="2227">
        <v>27886.87</v>
      </c>
      <c r="FL57" s="2227">
        <v>19682.88</v>
      </c>
      <c r="FM57" s="2227">
        <v>24408.44</v>
      </c>
      <c r="FN57" s="2227">
        <v>22800</v>
      </c>
      <c r="FO57" s="2227">
        <v>28817.74</v>
      </c>
      <c r="FP57" s="2227">
        <v>22459.200000000001</v>
      </c>
      <c r="FQ57" s="2227">
        <v>17925.2</v>
      </c>
      <c r="FR57" s="2227">
        <v>29300</v>
      </c>
      <c r="FS57" s="2227">
        <v>36200</v>
      </c>
      <c r="FT57" s="2227">
        <v>30292.59</v>
      </c>
      <c r="FU57" s="2227">
        <v>24789.42</v>
      </c>
      <c r="FV57" s="2227">
        <v>35250</v>
      </c>
      <c r="FW57" s="2227">
        <v>17905.48</v>
      </c>
      <c r="FX57" s="2227">
        <v>20228.240000000002</v>
      </c>
      <c r="FY57" s="2227">
        <v>16810.330000000002</v>
      </c>
      <c r="FZ57" s="2227">
        <v>22063.68</v>
      </c>
      <c r="GA57" s="2227">
        <v>28946.43</v>
      </c>
      <c r="GB57" s="2227">
        <v>32067.71</v>
      </c>
      <c r="GC57" s="2227">
        <v>17947.62</v>
      </c>
      <c r="GD57" s="2227">
        <v>14084.93</v>
      </c>
      <c r="GE57" s="2227">
        <v>28780.55</v>
      </c>
      <c r="GF57" s="2227">
        <v>29150</v>
      </c>
      <c r="GG57" s="2227">
        <v>45052.27</v>
      </c>
      <c r="GH57" s="2227">
        <v>19682.75</v>
      </c>
      <c r="GI57" s="2227">
        <v>22224.3</v>
      </c>
      <c r="GJ57" s="2227">
        <v>14898.45</v>
      </c>
      <c r="GK57" s="2227">
        <v>18273.39</v>
      </c>
      <c r="GL57" s="2227">
        <v>26904.17</v>
      </c>
      <c r="GM57" s="2227">
        <v>18662.46</v>
      </c>
      <c r="GN57" s="2227">
        <v>21355.98</v>
      </c>
      <c r="GO57" s="2227">
        <v>20414.61</v>
      </c>
      <c r="GP57" s="2227">
        <v>24724.41</v>
      </c>
      <c r="GQ57" s="2227">
        <v>16639.7</v>
      </c>
      <c r="GR57" s="2227">
        <v>15167.61</v>
      </c>
      <c r="GS57" s="2227">
        <v>15909.48</v>
      </c>
      <c r="GT57" s="2227">
        <v>18649.73</v>
      </c>
      <c r="GU57" s="2227">
        <v>22679.62</v>
      </c>
      <c r="GV57" s="2227">
        <v>21788.59</v>
      </c>
      <c r="GW57" s="2227">
        <v>38349.18</v>
      </c>
      <c r="GX57" s="2227">
        <v>40333.050000000003</v>
      </c>
      <c r="GY57" s="2227">
        <v>49443.29</v>
      </c>
      <c r="GZ57" s="2227">
        <v>14591.09</v>
      </c>
      <c r="HA57" s="2227">
        <v>14025.66</v>
      </c>
      <c r="HB57" s="2227">
        <v>19682.88</v>
      </c>
      <c r="HC57" s="2227">
        <v>17935.78</v>
      </c>
      <c r="HD57" s="2227">
        <v>18639.27</v>
      </c>
      <c r="HE57" s="2227">
        <v>25493.52</v>
      </c>
      <c r="HF57" s="2227">
        <v>26550</v>
      </c>
      <c r="HG57" s="2227">
        <v>23723.26</v>
      </c>
      <c r="HH57" s="2227">
        <v>24800</v>
      </c>
      <c r="HI57" s="2227">
        <v>23823</v>
      </c>
      <c r="HJ57" s="2227">
        <v>24408.44</v>
      </c>
      <c r="HK57" s="2227">
        <v>29298.21</v>
      </c>
      <c r="HL57" s="2227">
        <v>40100</v>
      </c>
      <c r="HM57" s="2227">
        <v>19682.87</v>
      </c>
      <c r="HN57" s="2227">
        <v>18740.89</v>
      </c>
      <c r="HO57" s="2227">
        <v>15666.92</v>
      </c>
      <c r="HP57" s="2227">
        <v>23731.39</v>
      </c>
      <c r="HQ57" s="2227">
        <v>28946.43</v>
      </c>
      <c r="HR57" s="2227">
        <v>32500</v>
      </c>
      <c r="HS57" s="2227">
        <v>22806.240000000002</v>
      </c>
      <c r="HT57" s="2227">
        <v>24863.78</v>
      </c>
      <c r="HU57" s="2227">
        <v>33522.1</v>
      </c>
      <c r="HV57" s="2227">
        <v>31744.65</v>
      </c>
      <c r="HW57" s="2227">
        <v>19682.73</v>
      </c>
      <c r="HX57" s="2227">
        <v>18273.66</v>
      </c>
      <c r="HY57" s="2227">
        <v>18448.45</v>
      </c>
      <c r="HZ57" s="2227">
        <v>19374.060000000001</v>
      </c>
      <c r="IA57" s="2227">
        <v>14025.66</v>
      </c>
      <c r="IB57" s="2227">
        <v>19991.37</v>
      </c>
      <c r="IC57" s="2227">
        <v>19792.05</v>
      </c>
      <c r="ID57" s="2227">
        <v>24958.05</v>
      </c>
      <c r="IE57" s="2227">
        <v>23150.880000000001</v>
      </c>
      <c r="IF57" s="2227">
        <v>22729.75</v>
      </c>
      <c r="IG57" s="2227">
        <v>28044.1</v>
      </c>
      <c r="IH57" s="2227">
        <v>22806.25</v>
      </c>
      <c r="II57" s="2227">
        <v>23096.959999999999</v>
      </c>
      <c r="IJ57" s="2227">
        <v>31879.23</v>
      </c>
      <c r="IK57" s="2227">
        <v>23785.54</v>
      </c>
      <c r="IL57" s="2227">
        <v>28698.63</v>
      </c>
      <c r="IM57" s="2227">
        <v>25016.95</v>
      </c>
      <c r="IN57" s="2227">
        <v>35548.06</v>
      </c>
      <c r="IO57" s="2227">
        <v>37060.19</v>
      </c>
      <c r="IP57" s="2227">
        <v>34000</v>
      </c>
      <c r="IQ57" s="2227">
        <v>33522.1</v>
      </c>
      <c r="IR57" s="2227">
        <v>51436.27</v>
      </c>
      <c r="IS57" s="2227">
        <v>33502.629999999997</v>
      </c>
      <c r="IT57" s="2227">
        <v>45116.66</v>
      </c>
      <c r="IU57" s="2227">
        <v>33667.51</v>
      </c>
    </row>
    <row r="58" spans="1:256">
      <c r="A58" s="2214">
        <v>49</v>
      </c>
      <c r="B58" s="2925">
        <v>16672.52</v>
      </c>
      <c r="C58" s="2227">
        <v>16522.64</v>
      </c>
      <c r="D58" s="2925">
        <v>15672.52</v>
      </c>
      <c r="E58" s="2227">
        <v>15249.61</v>
      </c>
      <c r="F58" s="2925">
        <v>14672.52</v>
      </c>
      <c r="G58" s="2227">
        <v>14325.66</v>
      </c>
      <c r="H58" s="2926">
        <v>13732</v>
      </c>
      <c r="I58" s="2925">
        <v>23724.12</v>
      </c>
      <c r="J58" s="2925">
        <v>23724.12</v>
      </c>
      <c r="K58" s="2227">
        <v>19800.13</v>
      </c>
      <c r="L58" s="2925">
        <v>20582</v>
      </c>
      <c r="M58" s="2227">
        <v>19800.13</v>
      </c>
      <c r="N58" s="2925">
        <v>20469.07</v>
      </c>
      <c r="O58" s="2925">
        <v>20469.07</v>
      </c>
      <c r="P58" s="2227">
        <v>18362.45</v>
      </c>
      <c r="Q58" s="2925">
        <v>19505.18</v>
      </c>
      <c r="R58" s="2227">
        <v>17903.36</v>
      </c>
      <c r="S58" s="2925">
        <v>18362.45</v>
      </c>
      <c r="T58" s="2925">
        <v>18515.2</v>
      </c>
      <c r="U58" s="2227">
        <v>17903.36</v>
      </c>
      <c r="V58" s="2925">
        <v>18098.810000000001</v>
      </c>
      <c r="W58" s="2227">
        <v>17190.91</v>
      </c>
      <c r="X58" s="2925">
        <v>17509.86</v>
      </c>
      <c r="Y58" s="2925">
        <v>17509.86</v>
      </c>
      <c r="Z58" s="2925">
        <v>16860.759999999998</v>
      </c>
      <c r="AA58" s="2925">
        <v>27167</v>
      </c>
      <c r="AB58" s="2227">
        <v>24457.38</v>
      </c>
      <c r="AC58" s="2925">
        <v>25648.02</v>
      </c>
      <c r="AD58" s="2227">
        <v>23585.82</v>
      </c>
      <c r="AE58" s="2925">
        <v>24148.02</v>
      </c>
      <c r="AF58" s="2227">
        <v>22932.33</v>
      </c>
      <c r="AG58" s="2925">
        <v>22648.02</v>
      </c>
      <c r="AH58" s="2925">
        <v>28044.1</v>
      </c>
      <c r="AI58" s="2925">
        <v>28055.94</v>
      </c>
      <c r="AJ58" s="2227">
        <v>27166.44</v>
      </c>
      <c r="AK58" s="2925">
        <v>27166.44</v>
      </c>
      <c r="AL58" s="2925">
        <v>25932.33</v>
      </c>
      <c r="AM58" s="2227">
        <v>24457.38</v>
      </c>
      <c r="AN58" s="2925">
        <v>24457.38</v>
      </c>
      <c r="AO58" s="2925">
        <v>24432.33</v>
      </c>
      <c r="AP58" s="2227">
        <v>23585.82</v>
      </c>
      <c r="AQ58" s="2925">
        <v>23585.82</v>
      </c>
      <c r="AR58" s="2925">
        <v>22932.33</v>
      </c>
      <c r="AS58" s="2923">
        <v>33124</v>
      </c>
      <c r="AT58" s="2227">
        <v>27576.47</v>
      </c>
      <c r="AU58" s="2923">
        <v>30884</v>
      </c>
      <c r="AV58" s="2227">
        <v>26904.17</v>
      </c>
      <c r="AW58" s="2923">
        <v>27718</v>
      </c>
      <c r="AX58" s="2227">
        <v>24394.45</v>
      </c>
      <c r="AY58" s="2923">
        <v>25218</v>
      </c>
      <c r="AZ58" s="2925">
        <v>33994</v>
      </c>
      <c r="BA58" s="2227">
        <v>29298.21</v>
      </c>
      <c r="BB58" s="2923">
        <v>33124</v>
      </c>
      <c r="BC58" s="2227">
        <v>28698.63</v>
      </c>
      <c r="BD58" s="2925">
        <v>35888.620000000003</v>
      </c>
      <c r="BE58" s="2227">
        <v>32067.71</v>
      </c>
      <c r="BF58" s="2923">
        <v>33124</v>
      </c>
      <c r="BG58" s="2227">
        <v>30592.47</v>
      </c>
      <c r="BH58" s="2925">
        <v>31754</v>
      </c>
      <c r="BI58" s="2227">
        <v>28584.78</v>
      </c>
      <c r="BJ58" s="2923">
        <v>30884</v>
      </c>
      <c r="BK58" s="2227">
        <v>27886.87</v>
      </c>
      <c r="BL58" s="2925">
        <v>32558</v>
      </c>
      <c r="BM58" s="2227">
        <v>31482.54</v>
      </c>
      <c r="BN58" s="2923">
        <v>31046.92</v>
      </c>
      <c r="BO58" s="2227">
        <v>30176.92</v>
      </c>
      <c r="BP58" s="2925">
        <v>28588</v>
      </c>
      <c r="BQ58" s="2227">
        <v>25747.26</v>
      </c>
      <c r="BR58" s="2923">
        <v>27718</v>
      </c>
      <c r="BS58" s="2227">
        <v>26802.639999999999</v>
      </c>
      <c r="BT58" s="2925">
        <v>29558</v>
      </c>
      <c r="BU58" s="2227">
        <v>27517.21</v>
      </c>
      <c r="BV58" s="2923">
        <v>27999.93</v>
      </c>
      <c r="BW58" s="2227">
        <v>26979.93</v>
      </c>
      <c r="BX58" s="2925">
        <v>26088</v>
      </c>
      <c r="BY58" s="2923">
        <v>25218</v>
      </c>
      <c r="BZ58" s="2924">
        <v>26558</v>
      </c>
      <c r="CA58" s="2923">
        <v>25218</v>
      </c>
      <c r="CB58" s="2227">
        <v>66780</v>
      </c>
      <c r="CC58" s="2227">
        <v>63780</v>
      </c>
      <c r="CD58" s="2227">
        <v>60780</v>
      </c>
      <c r="CE58" s="2227">
        <v>58990</v>
      </c>
      <c r="CF58" s="2227">
        <v>55990</v>
      </c>
      <c r="CG58" s="2227">
        <v>52990</v>
      </c>
      <c r="CH58" s="2227">
        <v>51360</v>
      </c>
      <c r="CI58" s="2227">
        <v>48360</v>
      </c>
      <c r="CJ58" s="2227">
        <v>44860</v>
      </c>
      <c r="CK58" s="2227">
        <v>43951.59</v>
      </c>
      <c r="CL58" s="2227">
        <v>41360</v>
      </c>
      <c r="CM58" s="2227">
        <v>38360</v>
      </c>
      <c r="CN58" s="2227">
        <v>35895</v>
      </c>
      <c r="CO58" s="2227">
        <v>33895</v>
      </c>
      <c r="CP58" s="2227">
        <v>22006.560000000001</v>
      </c>
      <c r="CQ58" s="2227">
        <v>13404.34</v>
      </c>
      <c r="CR58" s="2227">
        <v>16763.02</v>
      </c>
      <c r="CS58" s="2227">
        <v>32165.25</v>
      </c>
      <c r="CT58" s="2227">
        <v>20469.07</v>
      </c>
      <c r="CU58" s="2227">
        <v>22902.959999999999</v>
      </c>
      <c r="CV58" s="2227">
        <v>22902.959999999999</v>
      </c>
      <c r="CW58" s="2227">
        <v>22902.959999999999</v>
      </c>
      <c r="CX58" s="2227">
        <v>22902.959999999999</v>
      </c>
      <c r="CY58" s="2227">
        <v>22800</v>
      </c>
      <c r="CZ58" s="2227">
        <v>27166.44</v>
      </c>
      <c r="DA58" s="2227">
        <v>23724.12</v>
      </c>
      <c r="DB58" s="2227">
        <v>23050.69</v>
      </c>
      <c r="DC58" s="2227">
        <v>24457.38</v>
      </c>
      <c r="DD58" s="2227">
        <v>19010.2</v>
      </c>
      <c r="DE58" s="2227">
        <v>22648.02</v>
      </c>
      <c r="DF58" s="2227">
        <v>22498.34</v>
      </c>
      <c r="DG58" s="2227">
        <v>21950</v>
      </c>
      <c r="DH58" s="2227">
        <v>19600</v>
      </c>
      <c r="DI58" s="2227">
        <v>16476.650000000001</v>
      </c>
      <c r="DJ58" s="2227">
        <v>16476.650000000001</v>
      </c>
      <c r="DK58" s="2227">
        <v>20700</v>
      </c>
      <c r="DL58" s="2227">
        <v>24859.06</v>
      </c>
      <c r="DM58" s="2227">
        <v>24800</v>
      </c>
      <c r="DN58" s="2227">
        <v>14129.98</v>
      </c>
      <c r="DO58" s="2227">
        <v>26802.639999999999</v>
      </c>
      <c r="DP58" s="2227">
        <v>17947.62</v>
      </c>
      <c r="DQ58" s="2227">
        <v>34916.480000000003</v>
      </c>
      <c r="DR58" s="2227">
        <v>22932.33</v>
      </c>
      <c r="DS58" s="2227">
        <v>15650</v>
      </c>
      <c r="DT58" s="2227">
        <v>15645.76</v>
      </c>
      <c r="DU58" s="2227">
        <v>15666.92</v>
      </c>
      <c r="DV58" s="2227">
        <v>23585.82</v>
      </c>
      <c r="DW58" s="2227">
        <v>17190.91</v>
      </c>
      <c r="DX58" s="2227">
        <v>26450</v>
      </c>
      <c r="DY58" s="2227">
        <v>18649.73</v>
      </c>
      <c r="DZ58" s="2227">
        <v>26979.93</v>
      </c>
      <c r="EA58" s="2227">
        <v>23878.78</v>
      </c>
      <c r="EB58" s="2227">
        <v>37925.769999999997</v>
      </c>
      <c r="EC58" s="2227">
        <v>24606.06</v>
      </c>
      <c r="ED58" s="2227">
        <v>20451.259999999998</v>
      </c>
      <c r="EE58" s="2227">
        <v>16550</v>
      </c>
      <c r="EF58" s="2227">
        <v>18362.45</v>
      </c>
      <c r="EG58" s="2227">
        <v>19800.13</v>
      </c>
      <c r="EH58" s="2227">
        <v>18691.3</v>
      </c>
      <c r="EI58" s="2227">
        <v>24764.720000000001</v>
      </c>
      <c r="EJ58" s="2227">
        <v>31482.54</v>
      </c>
      <c r="EK58" s="2227">
        <v>22475.61</v>
      </c>
      <c r="EL58" s="2227">
        <v>18691.310000000001</v>
      </c>
      <c r="EM58" s="2227">
        <v>38304.26</v>
      </c>
      <c r="EN58" s="2227">
        <v>27517.21</v>
      </c>
      <c r="EO58" s="2227">
        <v>14888.48</v>
      </c>
      <c r="EP58" s="2227">
        <v>18300</v>
      </c>
      <c r="EQ58" s="2227">
        <v>22283.79</v>
      </c>
      <c r="ER58" s="2227">
        <v>23371.47</v>
      </c>
      <c r="ES58" s="2227">
        <v>20382.759999999998</v>
      </c>
      <c r="ET58" s="2227">
        <v>15249.61</v>
      </c>
      <c r="EU58" s="2227">
        <v>23128.53</v>
      </c>
      <c r="EV58" s="2227">
        <v>25212.13</v>
      </c>
      <c r="EW58" s="2227">
        <v>22741.98</v>
      </c>
      <c r="EX58" s="2227">
        <v>22284.13</v>
      </c>
      <c r="EY58" s="2227">
        <v>23350</v>
      </c>
      <c r="EZ58" s="2227">
        <v>33887.15</v>
      </c>
      <c r="FA58" s="2227">
        <v>18273.66</v>
      </c>
      <c r="FB58" s="2227">
        <v>16076.06</v>
      </c>
      <c r="FC58" s="2227">
        <v>36200</v>
      </c>
      <c r="FD58" s="2227">
        <v>34000</v>
      </c>
      <c r="FE58" s="2227">
        <v>42638.83</v>
      </c>
      <c r="FF58" s="2227">
        <v>15000</v>
      </c>
      <c r="FG58" s="2227">
        <v>30176.92</v>
      </c>
      <c r="FH58" s="2227">
        <v>21368.47</v>
      </c>
      <c r="FI58" s="2227">
        <v>17903.36</v>
      </c>
      <c r="FJ58" s="2227">
        <v>15480.42</v>
      </c>
      <c r="FK58" s="2227">
        <v>27886.87</v>
      </c>
      <c r="FL58" s="2227">
        <v>19682.88</v>
      </c>
      <c r="FM58" s="2227">
        <v>24408.44</v>
      </c>
      <c r="FN58" s="2227">
        <v>22800</v>
      </c>
      <c r="FO58" s="2227">
        <v>28817.74</v>
      </c>
      <c r="FP58" s="2227">
        <v>22459.200000000001</v>
      </c>
      <c r="FQ58" s="2227">
        <v>17925.2</v>
      </c>
      <c r="FR58" s="2227">
        <v>29300</v>
      </c>
      <c r="FS58" s="2227">
        <v>36200</v>
      </c>
      <c r="FT58" s="2227">
        <v>30292.59</v>
      </c>
      <c r="FU58" s="2227">
        <v>24789.42</v>
      </c>
      <c r="FV58" s="2227">
        <v>35250</v>
      </c>
      <c r="FW58" s="2227">
        <v>17905.48</v>
      </c>
      <c r="FX58" s="2227">
        <v>20228.240000000002</v>
      </c>
      <c r="FY58" s="2227">
        <v>16810.330000000002</v>
      </c>
      <c r="FZ58" s="2227">
        <v>22063.68</v>
      </c>
      <c r="GA58" s="2227">
        <v>28946.43</v>
      </c>
      <c r="GB58" s="2227">
        <v>32067.71</v>
      </c>
      <c r="GC58" s="2227">
        <v>17947.62</v>
      </c>
      <c r="GD58" s="2227">
        <v>14084.93</v>
      </c>
      <c r="GE58" s="2227">
        <v>28780.55</v>
      </c>
      <c r="GF58" s="2227">
        <v>29150</v>
      </c>
      <c r="GG58" s="2227">
        <v>45052.27</v>
      </c>
      <c r="GH58" s="2227">
        <v>19682.75</v>
      </c>
      <c r="GI58" s="2227">
        <v>22224.3</v>
      </c>
      <c r="GJ58" s="2227">
        <v>14898.45</v>
      </c>
      <c r="GK58" s="2227">
        <v>18273.39</v>
      </c>
      <c r="GL58" s="2227">
        <v>26904.17</v>
      </c>
      <c r="GM58" s="2227">
        <v>18662.46</v>
      </c>
      <c r="GN58" s="2227">
        <v>21355.98</v>
      </c>
      <c r="GO58" s="2227">
        <v>20414.61</v>
      </c>
      <c r="GP58" s="2227">
        <v>24724.41</v>
      </c>
      <c r="GQ58" s="2227">
        <v>16639.7</v>
      </c>
      <c r="GR58" s="2227">
        <v>15167.61</v>
      </c>
      <c r="GS58" s="2227">
        <v>15909.48</v>
      </c>
      <c r="GT58" s="2227">
        <v>18649.73</v>
      </c>
      <c r="GU58" s="2227">
        <v>22679.62</v>
      </c>
      <c r="GV58" s="2227">
        <v>21788.59</v>
      </c>
      <c r="GW58" s="2227">
        <v>38349.18</v>
      </c>
      <c r="GX58" s="2227">
        <v>40333.050000000003</v>
      </c>
      <c r="GY58" s="2227">
        <v>49443.29</v>
      </c>
      <c r="GZ58" s="2227">
        <v>14591.09</v>
      </c>
      <c r="HA58" s="2227">
        <v>14025.66</v>
      </c>
      <c r="HB58" s="2227">
        <v>19682.88</v>
      </c>
      <c r="HC58" s="2227">
        <v>17935.78</v>
      </c>
      <c r="HD58" s="2227">
        <v>18639.27</v>
      </c>
      <c r="HE58" s="2227">
        <v>25493.52</v>
      </c>
      <c r="HF58" s="2227">
        <v>26550</v>
      </c>
      <c r="HG58" s="2227">
        <v>23723.26</v>
      </c>
      <c r="HH58" s="2227">
        <v>24800</v>
      </c>
      <c r="HI58" s="2227">
        <v>23823</v>
      </c>
      <c r="HJ58" s="2227">
        <v>24408.44</v>
      </c>
      <c r="HK58" s="2227">
        <v>29298.21</v>
      </c>
      <c r="HL58" s="2227">
        <v>40100</v>
      </c>
      <c r="HM58" s="2227">
        <v>19682.87</v>
      </c>
      <c r="HN58" s="2227">
        <v>18740.89</v>
      </c>
      <c r="HO58" s="2227">
        <v>15666.92</v>
      </c>
      <c r="HP58" s="2227">
        <v>23731.39</v>
      </c>
      <c r="HQ58" s="2227">
        <v>28946.43</v>
      </c>
      <c r="HR58" s="2227">
        <v>32500</v>
      </c>
      <c r="HS58" s="2227">
        <v>22806.240000000002</v>
      </c>
      <c r="HT58" s="2227">
        <v>24863.78</v>
      </c>
      <c r="HU58" s="2227">
        <v>33522.1</v>
      </c>
      <c r="HV58" s="2227">
        <v>31744.65</v>
      </c>
      <c r="HW58" s="2227">
        <v>19682.73</v>
      </c>
      <c r="HX58" s="2227">
        <v>18273.66</v>
      </c>
      <c r="HY58" s="2227">
        <v>18448.45</v>
      </c>
      <c r="HZ58" s="2227">
        <v>19374.060000000001</v>
      </c>
      <c r="IA58" s="2227">
        <v>14025.66</v>
      </c>
      <c r="IB58" s="2227">
        <v>19991.37</v>
      </c>
      <c r="IC58" s="2227">
        <v>19792.05</v>
      </c>
      <c r="ID58" s="2227">
        <v>24958.05</v>
      </c>
      <c r="IE58" s="2227">
        <v>23150.880000000001</v>
      </c>
      <c r="IF58" s="2227">
        <v>22729.75</v>
      </c>
      <c r="IG58" s="2227">
        <v>28044.1</v>
      </c>
      <c r="IH58" s="2227">
        <v>22806.25</v>
      </c>
      <c r="II58" s="2227">
        <v>23096.959999999999</v>
      </c>
      <c r="IJ58" s="2227">
        <v>31879.23</v>
      </c>
      <c r="IK58" s="2227">
        <v>23785.54</v>
      </c>
      <c r="IL58" s="2227">
        <v>28698.63</v>
      </c>
      <c r="IM58" s="2227">
        <v>25016.95</v>
      </c>
      <c r="IN58" s="2227">
        <v>35548.06</v>
      </c>
      <c r="IO58" s="2227">
        <v>37060.19</v>
      </c>
      <c r="IP58" s="2227">
        <v>34000</v>
      </c>
      <c r="IQ58" s="2227">
        <v>33522.1</v>
      </c>
      <c r="IR58" s="2227">
        <v>51436.27</v>
      </c>
      <c r="IS58" s="2227">
        <v>33502.629999999997</v>
      </c>
      <c r="IT58" s="2227">
        <v>45116.66</v>
      </c>
      <c r="IU58" s="2227">
        <v>33667.51</v>
      </c>
    </row>
    <row r="59" spans="1:256" ht="33.75">
      <c r="A59" s="2228" t="s">
        <v>814</v>
      </c>
      <c r="B59" s="2209" t="s">
        <v>813</v>
      </c>
      <c r="C59" s="2209" t="s">
        <v>813</v>
      </c>
      <c r="I59" s="2209" t="s">
        <v>813</v>
      </c>
      <c r="J59" s="2209" t="s">
        <v>813</v>
      </c>
      <c r="K59" s="2209" t="s">
        <v>813</v>
      </c>
      <c r="L59" s="2209" t="s">
        <v>813</v>
      </c>
      <c r="M59" s="2209" t="s">
        <v>813</v>
      </c>
      <c r="AA59" s="2209" t="s">
        <v>813</v>
      </c>
      <c r="AB59" s="2209" t="s">
        <v>813</v>
      </c>
      <c r="AH59" s="2209" t="s">
        <v>813</v>
      </c>
      <c r="AI59" s="2209" t="s">
        <v>813</v>
      </c>
      <c r="AJ59" s="2209" t="s">
        <v>813</v>
      </c>
      <c r="AS59" s="445" t="s">
        <v>813</v>
      </c>
      <c r="AT59" s="2209" t="s">
        <v>813</v>
      </c>
      <c r="CB59" s="2209" t="s">
        <v>813</v>
      </c>
      <c r="CC59" s="2209" t="s">
        <v>813</v>
      </c>
      <c r="CD59" s="2209" t="s">
        <v>813</v>
      </c>
      <c r="CE59" s="2209" t="s">
        <v>813</v>
      </c>
      <c r="CF59" s="2209" t="s">
        <v>813</v>
      </c>
      <c r="CG59" s="2209" t="s">
        <v>813</v>
      </c>
      <c r="CH59" s="2209" t="s">
        <v>813</v>
      </c>
      <c r="CK59" s="2209" t="s">
        <v>813</v>
      </c>
      <c r="CP59" s="2209" t="s">
        <v>813</v>
      </c>
      <c r="CQ59" s="2209" t="s">
        <v>813</v>
      </c>
      <c r="CR59" s="2209" t="s">
        <v>813</v>
      </c>
      <c r="CS59" s="2209" t="s">
        <v>813</v>
      </c>
      <c r="CT59" s="2209" t="s">
        <v>813</v>
      </c>
      <c r="CU59" s="2209" t="s">
        <v>813</v>
      </c>
      <c r="CV59" s="2209" t="s">
        <v>813</v>
      </c>
      <c r="CW59" s="2209" t="s">
        <v>813</v>
      </c>
      <c r="CX59" s="2209" t="s">
        <v>813</v>
      </c>
      <c r="CY59" s="2209" t="s">
        <v>813</v>
      </c>
      <c r="CZ59" s="2209" t="s">
        <v>813</v>
      </c>
      <c r="DA59" s="2209" t="s">
        <v>813</v>
      </c>
      <c r="DB59" s="2209" t="s">
        <v>813</v>
      </c>
      <c r="DC59" s="2209" t="s">
        <v>813</v>
      </c>
      <c r="DD59" s="2209" t="s">
        <v>813</v>
      </c>
      <c r="DE59" s="2209" t="s">
        <v>813</v>
      </c>
      <c r="DF59" s="2209" t="s">
        <v>813</v>
      </c>
      <c r="DG59" s="2209" t="s">
        <v>813</v>
      </c>
      <c r="DH59" s="2209" t="s">
        <v>813</v>
      </c>
      <c r="DI59" s="2209" t="s">
        <v>813</v>
      </c>
      <c r="DJ59" s="2209" t="s">
        <v>813</v>
      </c>
      <c r="DK59" s="2209" t="s">
        <v>813</v>
      </c>
      <c r="DL59" s="2209" t="s">
        <v>813</v>
      </c>
      <c r="DM59" s="2209" t="s">
        <v>813</v>
      </c>
      <c r="DN59" s="2209" t="s">
        <v>813</v>
      </c>
      <c r="DO59" s="2209" t="s">
        <v>813</v>
      </c>
      <c r="DP59" s="2209" t="s">
        <v>813</v>
      </c>
      <c r="DQ59" s="2209" t="s">
        <v>813</v>
      </c>
      <c r="DR59" s="2209" t="s">
        <v>813</v>
      </c>
      <c r="DS59" s="2209" t="s">
        <v>813</v>
      </c>
      <c r="DT59" s="2209" t="s">
        <v>813</v>
      </c>
      <c r="DU59" s="2209" t="s">
        <v>813</v>
      </c>
      <c r="DV59" s="2209" t="s">
        <v>813</v>
      </c>
      <c r="DW59" s="2209" t="s">
        <v>813</v>
      </c>
      <c r="DX59" s="2209" t="s">
        <v>813</v>
      </c>
      <c r="DY59" s="2209" t="s">
        <v>813</v>
      </c>
      <c r="DZ59" s="2209" t="s">
        <v>813</v>
      </c>
      <c r="EA59" s="2209" t="s">
        <v>813</v>
      </c>
      <c r="EB59" s="2209" t="s">
        <v>813</v>
      </c>
      <c r="EC59" s="2209" t="s">
        <v>813</v>
      </c>
      <c r="ED59" s="2209" t="s">
        <v>813</v>
      </c>
      <c r="EE59" s="2209" t="s">
        <v>813</v>
      </c>
      <c r="EF59" s="2209" t="s">
        <v>813</v>
      </c>
      <c r="EG59" s="2209" t="s">
        <v>813</v>
      </c>
      <c r="EH59" s="2209" t="s">
        <v>813</v>
      </c>
      <c r="EI59" s="2209" t="s">
        <v>813</v>
      </c>
      <c r="EJ59" s="2209" t="s">
        <v>813</v>
      </c>
      <c r="EK59" s="2209" t="s">
        <v>813</v>
      </c>
      <c r="EL59" s="2209" t="s">
        <v>813</v>
      </c>
      <c r="EM59" s="2209" t="s">
        <v>813</v>
      </c>
      <c r="EN59" s="2209" t="s">
        <v>813</v>
      </c>
      <c r="EO59" s="2209" t="s">
        <v>813</v>
      </c>
      <c r="EP59" s="2209" t="s">
        <v>813</v>
      </c>
      <c r="EQ59" s="2209" t="s">
        <v>813</v>
      </c>
      <c r="ER59" s="2209" t="s">
        <v>813</v>
      </c>
      <c r="ES59" s="2209" t="s">
        <v>813</v>
      </c>
      <c r="ET59" s="2209" t="s">
        <v>813</v>
      </c>
      <c r="EU59" s="2209" t="s">
        <v>813</v>
      </c>
      <c r="EV59" s="2209" t="s">
        <v>813</v>
      </c>
      <c r="EW59" s="2209" t="s">
        <v>813</v>
      </c>
      <c r="EX59" s="2209" t="s">
        <v>813</v>
      </c>
      <c r="EY59" s="2209" t="s">
        <v>813</v>
      </c>
      <c r="EZ59" s="2209" t="s">
        <v>813</v>
      </c>
      <c r="FA59" s="2209" t="s">
        <v>813</v>
      </c>
      <c r="FB59" s="2209" t="s">
        <v>813</v>
      </c>
      <c r="FC59" s="2209" t="s">
        <v>813</v>
      </c>
      <c r="FD59" s="2209" t="s">
        <v>813</v>
      </c>
      <c r="FE59" s="2209" t="s">
        <v>813</v>
      </c>
      <c r="FF59" s="2209" t="s">
        <v>813</v>
      </c>
      <c r="FG59" s="2209" t="s">
        <v>813</v>
      </c>
      <c r="FH59" s="2209" t="s">
        <v>813</v>
      </c>
      <c r="FI59" s="2209" t="s">
        <v>813</v>
      </c>
      <c r="FJ59" s="2209" t="s">
        <v>813</v>
      </c>
      <c r="FK59" s="2209" t="s">
        <v>813</v>
      </c>
      <c r="FL59" s="2209" t="s">
        <v>813</v>
      </c>
      <c r="FM59" s="2209" t="s">
        <v>813</v>
      </c>
      <c r="FN59" s="2209" t="s">
        <v>813</v>
      </c>
      <c r="FO59" s="2209" t="s">
        <v>813</v>
      </c>
      <c r="FP59" s="2209" t="s">
        <v>813</v>
      </c>
      <c r="FQ59" s="2209" t="s">
        <v>813</v>
      </c>
      <c r="FR59" s="2209" t="s">
        <v>813</v>
      </c>
      <c r="FS59" s="2209" t="s">
        <v>813</v>
      </c>
      <c r="FT59" s="2209" t="s">
        <v>813</v>
      </c>
      <c r="FU59" s="2209" t="s">
        <v>813</v>
      </c>
      <c r="FV59" s="2209" t="s">
        <v>813</v>
      </c>
      <c r="FW59" s="2209" t="s">
        <v>813</v>
      </c>
      <c r="FX59" s="2209" t="s">
        <v>813</v>
      </c>
      <c r="FY59" s="2209" t="s">
        <v>813</v>
      </c>
      <c r="FZ59" s="2209" t="s">
        <v>813</v>
      </c>
      <c r="GA59" s="2209" t="s">
        <v>813</v>
      </c>
      <c r="GB59" s="2209" t="s">
        <v>813</v>
      </c>
      <c r="GC59" s="2209" t="s">
        <v>813</v>
      </c>
      <c r="GD59" s="2209" t="s">
        <v>813</v>
      </c>
      <c r="GE59" s="2209" t="s">
        <v>813</v>
      </c>
      <c r="GF59" s="2209" t="s">
        <v>813</v>
      </c>
      <c r="GG59" s="2209" t="s">
        <v>813</v>
      </c>
      <c r="GH59" s="2209" t="s">
        <v>813</v>
      </c>
      <c r="GI59" s="2209" t="s">
        <v>813</v>
      </c>
      <c r="GJ59" s="2209" t="s">
        <v>813</v>
      </c>
      <c r="GK59" s="2209" t="s">
        <v>813</v>
      </c>
      <c r="GL59" s="2209" t="s">
        <v>813</v>
      </c>
      <c r="GM59" s="2209" t="s">
        <v>813</v>
      </c>
      <c r="GN59" s="2209" t="s">
        <v>813</v>
      </c>
      <c r="GO59" s="2209" t="s">
        <v>813</v>
      </c>
      <c r="GP59" s="2209" t="s">
        <v>813</v>
      </c>
      <c r="GQ59" s="2209" t="s">
        <v>813</v>
      </c>
      <c r="GR59" s="2209" t="s">
        <v>813</v>
      </c>
      <c r="GS59" s="2209" t="s">
        <v>813</v>
      </c>
      <c r="GT59" s="2209" t="s">
        <v>813</v>
      </c>
      <c r="GU59" s="2209" t="s">
        <v>813</v>
      </c>
      <c r="GV59" s="2209" t="s">
        <v>813</v>
      </c>
      <c r="GW59" s="2209" t="s">
        <v>813</v>
      </c>
      <c r="GX59" s="2209" t="s">
        <v>813</v>
      </c>
      <c r="GY59" s="2209" t="s">
        <v>813</v>
      </c>
      <c r="GZ59" s="2209" t="s">
        <v>813</v>
      </c>
      <c r="HA59" s="2209" t="s">
        <v>813</v>
      </c>
      <c r="HB59" s="2209" t="s">
        <v>813</v>
      </c>
      <c r="HC59" s="2209" t="s">
        <v>813</v>
      </c>
      <c r="HD59" s="2209" t="s">
        <v>813</v>
      </c>
      <c r="HE59" s="2209" t="s">
        <v>813</v>
      </c>
      <c r="HF59" s="2209" t="s">
        <v>813</v>
      </c>
      <c r="HG59" s="2209" t="s">
        <v>813</v>
      </c>
      <c r="HH59" s="2209" t="s">
        <v>813</v>
      </c>
      <c r="HI59" s="2209" t="s">
        <v>813</v>
      </c>
      <c r="HJ59" s="2209" t="s">
        <v>813</v>
      </c>
      <c r="HK59" s="2209" t="s">
        <v>813</v>
      </c>
      <c r="HL59" s="2209" t="s">
        <v>813</v>
      </c>
      <c r="HM59" s="2209" t="s">
        <v>813</v>
      </c>
      <c r="HN59" s="2209" t="s">
        <v>813</v>
      </c>
      <c r="HO59" s="2209" t="s">
        <v>813</v>
      </c>
      <c r="HP59" s="2209" t="s">
        <v>813</v>
      </c>
      <c r="HQ59" s="2209" t="s">
        <v>813</v>
      </c>
      <c r="HR59" s="2209" t="s">
        <v>813</v>
      </c>
      <c r="HS59" s="2209" t="s">
        <v>813</v>
      </c>
      <c r="HT59" s="2209" t="s">
        <v>813</v>
      </c>
      <c r="HU59" s="2209" t="s">
        <v>813</v>
      </c>
      <c r="HV59" s="2209" t="s">
        <v>813</v>
      </c>
      <c r="HW59" s="2209" t="s">
        <v>813</v>
      </c>
      <c r="HX59" s="2209" t="s">
        <v>813</v>
      </c>
      <c r="HY59" s="2209" t="s">
        <v>813</v>
      </c>
      <c r="HZ59" s="2209" t="s">
        <v>813</v>
      </c>
      <c r="IA59" s="2209" t="s">
        <v>813</v>
      </c>
      <c r="IB59" s="2209" t="s">
        <v>813</v>
      </c>
      <c r="IC59" s="2209" t="s">
        <v>813</v>
      </c>
      <c r="ID59" s="2209" t="s">
        <v>813</v>
      </c>
      <c r="IE59" s="2209" t="s">
        <v>813</v>
      </c>
      <c r="IF59" s="2209" t="s">
        <v>813</v>
      </c>
      <c r="IG59" s="2209" t="s">
        <v>813</v>
      </c>
      <c r="IH59" s="2209" t="s">
        <v>813</v>
      </c>
      <c r="II59" s="2209" t="s">
        <v>813</v>
      </c>
      <c r="IJ59" s="2209" t="s">
        <v>813</v>
      </c>
      <c r="IK59" s="2209" t="s">
        <v>813</v>
      </c>
      <c r="IL59" s="2209" t="s">
        <v>813</v>
      </c>
      <c r="IM59" s="2209" t="s">
        <v>813</v>
      </c>
      <c r="IN59" s="2209" t="s">
        <v>813</v>
      </c>
      <c r="IO59" s="2209" t="s">
        <v>813</v>
      </c>
      <c r="IP59" s="2209" t="s">
        <v>813</v>
      </c>
      <c r="IQ59" s="2209" t="s">
        <v>813</v>
      </c>
      <c r="IR59" s="2209" t="s">
        <v>813</v>
      </c>
      <c r="IS59" s="2209" t="s">
        <v>813</v>
      </c>
      <c r="IT59" s="2209" t="s">
        <v>813</v>
      </c>
      <c r="IU59" s="2209" t="s">
        <v>813</v>
      </c>
      <c r="IV59" s="2209" t="s">
        <v>813</v>
      </c>
    </row>
  </sheetData>
  <phoneticPr fontId="38" type="noConversion"/>
  <pageMargins left="0.75" right="0.75" top="1" bottom="1" header="0.5" footer="0.5"/>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BarO"/>
  <dimension ref="A1:IZ184"/>
  <sheetViews>
    <sheetView topLeftCell="IK1" workbookViewId="0">
      <selection activeCell="IO16" sqref="IO16"/>
    </sheetView>
  </sheetViews>
  <sheetFormatPr defaultColWidth="11.42578125" defaultRowHeight="12.75"/>
  <cols>
    <col min="1" max="1" width="14.140625" style="2209" bestFit="1" customWidth="1"/>
    <col min="2" max="25" width="11.42578125" style="2209" customWidth="1"/>
    <col min="26" max="26" width="11" style="15" customWidth="1"/>
    <col min="27" max="27" width="14.5703125" style="49" customWidth="1"/>
    <col min="28" max="29" width="11.42578125" style="2209" customWidth="1"/>
    <col min="30" max="30" width="11" style="15" customWidth="1"/>
    <col min="31" max="39" width="11.42578125" style="2209" customWidth="1"/>
    <col min="40" max="42" width="11.42578125" style="2207" customWidth="1"/>
    <col min="43" max="44" width="10.5703125" style="15" bestFit="1" customWidth="1"/>
    <col min="45" max="46" width="11.42578125" style="2209" customWidth="1"/>
    <col min="47" max="47" width="11.42578125" style="49" customWidth="1"/>
    <col min="48" max="246" width="11.42578125" style="2209" customWidth="1"/>
    <col min="247" max="249" width="11.42578125" style="2207" customWidth="1"/>
    <col min="250" max="250" width="9" style="2207" customWidth="1"/>
    <col min="251" max="254" width="11.42578125" style="2209" customWidth="1"/>
    <col min="255" max="255" width="11.42578125" style="2207" customWidth="1"/>
    <col min="256" max="16384" width="11.42578125" style="2209"/>
  </cols>
  <sheetData>
    <row r="1" spans="1:260">
      <c r="A1" s="2205" t="s">
        <v>1189</v>
      </c>
      <c r="B1" s="2206" t="s">
        <v>3731</v>
      </c>
      <c r="C1" s="2206" t="s">
        <v>2548</v>
      </c>
      <c r="D1" s="2206" t="s">
        <v>2549</v>
      </c>
      <c r="E1" s="2206" t="s">
        <v>2550</v>
      </c>
      <c r="F1" s="2206" t="s">
        <v>2551</v>
      </c>
      <c r="G1" s="2206" t="s">
        <v>2552</v>
      </c>
      <c r="H1" s="2206" t="s">
        <v>2553</v>
      </c>
      <c r="I1" s="2206" t="s">
        <v>2554</v>
      </c>
      <c r="J1" s="2206" t="s">
        <v>2555</v>
      </c>
      <c r="K1" s="2206" t="s">
        <v>2255</v>
      </c>
      <c r="L1" s="2206" t="s">
        <v>2256</v>
      </c>
      <c r="M1" s="2206" t="s">
        <v>3818</v>
      </c>
      <c r="N1" s="2206" t="s">
        <v>3819</v>
      </c>
      <c r="O1" s="2206" t="s">
        <v>3820</v>
      </c>
      <c r="P1" s="2206" t="s">
        <v>3821</v>
      </c>
      <c r="Q1" s="2206" t="s">
        <v>3822</v>
      </c>
      <c r="R1" s="2206" t="s">
        <v>3823</v>
      </c>
      <c r="S1" s="2206" t="s">
        <v>3823</v>
      </c>
      <c r="T1" s="2206" t="s">
        <v>3824</v>
      </c>
      <c r="U1" s="2206" t="s">
        <v>3824</v>
      </c>
      <c r="V1" s="2206" t="s">
        <v>3824</v>
      </c>
      <c r="W1" s="2206" t="s">
        <v>3824</v>
      </c>
      <c r="X1" s="2206" t="s">
        <v>3825</v>
      </c>
      <c r="Y1" s="2206" t="s">
        <v>2152</v>
      </c>
      <c r="Z1" s="2222" t="s">
        <v>2153</v>
      </c>
      <c r="AA1" s="2832" t="s">
        <v>5163</v>
      </c>
      <c r="AB1" s="2206" t="s">
        <v>2154</v>
      </c>
      <c r="AC1" s="2206" t="s">
        <v>5221</v>
      </c>
      <c r="AD1" s="2222" t="s">
        <v>2155</v>
      </c>
      <c r="AE1" s="2206" t="s">
        <v>2156</v>
      </c>
      <c r="AF1" s="2206" t="s">
        <v>2157</v>
      </c>
      <c r="AG1" s="2206" t="s">
        <v>2157</v>
      </c>
      <c r="AH1" s="2206" t="s">
        <v>2158</v>
      </c>
      <c r="AI1" s="2206" t="s">
        <v>2159</v>
      </c>
      <c r="AJ1" s="2206" t="s">
        <v>2160</v>
      </c>
      <c r="AK1" s="2206" t="s">
        <v>2161</v>
      </c>
      <c r="AL1" s="2206" t="s">
        <v>2162</v>
      </c>
      <c r="AM1" s="2206" t="s">
        <v>654</v>
      </c>
      <c r="AN1" s="2206" t="s">
        <v>584</v>
      </c>
      <c r="AO1" s="2206" t="s">
        <v>585</v>
      </c>
      <c r="AP1" s="2206" t="s">
        <v>586</v>
      </c>
      <c r="AQ1" s="2222" t="s">
        <v>655</v>
      </c>
      <c r="AR1" s="2222" t="s">
        <v>656</v>
      </c>
      <c r="AS1" s="2206" t="s">
        <v>657</v>
      </c>
      <c r="AT1" s="2206" t="s">
        <v>658</v>
      </c>
      <c r="AU1" s="2832" t="s">
        <v>1385</v>
      </c>
      <c r="AV1" s="2206" t="s">
        <v>659</v>
      </c>
      <c r="AW1" s="2206" t="s">
        <v>660</v>
      </c>
      <c r="AX1" s="2206" t="s">
        <v>661</v>
      </c>
      <c r="AY1" s="2206" t="s">
        <v>662</v>
      </c>
      <c r="AZ1" s="2206" t="s">
        <v>2711</v>
      </c>
      <c r="BA1" s="2206" t="s">
        <v>2712</v>
      </c>
      <c r="BB1" s="2206" t="s">
        <v>2713</v>
      </c>
      <c r="BC1" s="2206" t="s">
        <v>2714</v>
      </c>
      <c r="BD1" s="2206" t="s">
        <v>2452</v>
      </c>
      <c r="BE1" s="2206" t="s">
        <v>2453</v>
      </c>
      <c r="BF1" s="2206" t="s">
        <v>2454</v>
      </c>
      <c r="BG1" s="2206" t="s">
        <v>2455</v>
      </c>
      <c r="BH1" s="2206" t="s">
        <v>3782</v>
      </c>
      <c r="BI1" s="2206" t="s">
        <v>3783</v>
      </c>
      <c r="BJ1" s="2206" t="s">
        <v>3784</v>
      </c>
      <c r="BK1" s="2206" t="s">
        <v>3784</v>
      </c>
      <c r="BL1" s="2206" t="s">
        <v>3785</v>
      </c>
      <c r="BM1" s="2206" t="s">
        <v>3786</v>
      </c>
      <c r="BN1" s="2206" t="s">
        <v>3787</v>
      </c>
      <c r="BO1" s="2206" t="s">
        <v>3788</v>
      </c>
      <c r="BP1" s="2206" t="s">
        <v>3789</v>
      </c>
      <c r="BQ1" s="2206" t="s">
        <v>3790</v>
      </c>
      <c r="BR1" s="2206" t="s">
        <v>3791</v>
      </c>
      <c r="BS1" s="2206" t="s">
        <v>3792</v>
      </c>
      <c r="BT1" s="2206" t="s">
        <v>3793</v>
      </c>
      <c r="BU1" s="2206" t="s">
        <v>3794</v>
      </c>
      <c r="BV1" s="2206" t="s">
        <v>3795</v>
      </c>
      <c r="BW1" s="2206" t="s">
        <v>3796</v>
      </c>
      <c r="BX1" s="2206" t="s">
        <v>3797</v>
      </c>
      <c r="BY1" s="2206" t="s">
        <v>3798</v>
      </c>
      <c r="BZ1" s="2206" t="s">
        <v>3799</v>
      </c>
      <c r="CA1" s="2206" t="s">
        <v>3800</v>
      </c>
      <c r="CB1" s="2206" t="s">
        <v>3801</v>
      </c>
      <c r="CC1" s="2206" t="s">
        <v>3802</v>
      </c>
      <c r="CD1" s="2206" t="s">
        <v>3803</v>
      </c>
      <c r="CE1" s="2206" t="s">
        <v>3804</v>
      </c>
      <c r="CF1" s="2206" t="s">
        <v>3805</v>
      </c>
      <c r="CG1" s="2206" t="s">
        <v>3806</v>
      </c>
      <c r="CH1" s="2206" t="s">
        <v>3807</v>
      </c>
      <c r="CI1" s="2832" t="s">
        <v>5417</v>
      </c>
      <c r="CJ1" s="2832" t="s">
        <v>5416</v>
      </c>
      <c r="CK1" s="2206" t="s">
        <v>3346</v>
      </c>
      <c r="CL1" s="2206" t="s">
        <v>3347</v>
      </c>
      <c r="CM1" s="2206" t="s">
        <v>3348</v>
      </c>
      <c r="CN1" s="2206" t="s">
        <v>3349</v>
      </c>
      <c r="CO1" s="2206" t="s">
        <v>3350</v>
      </c>
      <c r="CP1" s="2206" t="s">
        <v>3351</v>
      </c>
      <c r="CQ1" s="2206" t="s">
        <v>3352</v>
      </c>
      <c r="CR1" s="2206" t="s">
        <v>3353</v>
      </c>
      <c r="CS1" s="2206" t="s">
        <v>3354</v>
      </c>
      <c r="CT1" s="2206" t="s">
        <v>3355</v>
      </c>
      <c r="CU1" s="2206" t="s">
        <v>3356</v>
      </c>
      <c r="CV1" s="2206" t="s">
        <v>3357</v>
      </c>
      <c r="CW1" s="2206" t="s">
        <v>4139</v>
      </c>
      <c r="CX1" s="2206" t="s">
        <v>4140</v>
      </c>
      <c r="CY1" s="2206" t="s">
        <v>4141</v>
      </c>
      <c r="CZ1" s="2206" t="s">
        <v>4142</v>
      </c>
      <c r="DA1" s="2206" t="s">
        <v>4143</v>
      </c>
      <c r="DB1" s="2206" t="s">
        <v>4144</v>
      </c>
      <c r="DC1" s="2206" t="s">
        <v>2103</v>
      </c>
      <c r="DD1" s="2206" t="s">
        <v>2104</v>
      </c>
      <c r="DE1" s="2206" t="s">
        <v>2105</v>
      </c>
      <c r="DF1" s="2832" t="s">
        <v>5314</v>
      </c>
      <c r="DG1" s="2206" t="s">
        <v>2106</v>
      </c>
      <c r="DH1" s="2206" t="s">
        <v>2107</v>
      </c>
      <c r="DI1" s="2206" t="s">
        <v>2108</v>
      </c>
      <c r="DJ1" s="2206" t="s">
        <v>2109</v>
      </c>
      <c r="DK1" s="2206" t="s">
        <v>2110</v>
      </c>
      <c r="DL1" s="2206" t="s">
        <v>2111</v>
      </c>
      <c r="DM1" s="2206" t="s">
        <v>4084</v>
      </c>
      <c r="DN1" s="2206" t="s">
        <v>4085</v>
      </c>
      <c r="DO1" s="2206" t="s">
        <v>4086</v>
      </c>
      <c r="DP1" s="2206" t="s">
        <v>4087</v>
      </c>
      <c r="DQ1" s="2206" t="s">
        <v>4088</v>
      </c>
      <c r="DR1" s="2206" t="s">
        <v>1184</v>
      </c>
      <c r="DS1" s="2206" t="s">
        <v>1185</v>
      </c>
      <c r="DT1" s="2206" t="s">
        <v>1186</v>
      </c>
      <c r="DU1" s="2206" t="s">
        <v>1187</v>
      </c>
      <c r="DV1" s="2206" t="s">
        <v>1188</v>
      </c>
      <c r="DW1" s="2206" t="s">
        <v>1190</v>
      </c>
      <c r="DX1" s="2206" t="s">
        <v>1191</v>
      </c>
      <c r="DY1" s="2206" t="s">
        <v>1192</v>
      </c>
      <c r="DZ1" s="2206" t="s">
        <v>1193</v>
      </c>
      <c r="EA1" s="2206" t="s">
        <v>1194</v>
      </c>
      <c r="EB1" s="2206" t="s">
        <v>1195</v>
      </c>
      <c r="EC1" s="2206" t="s">
        <v>703</v>
      </c>
      <c r="ED1" s="2206" t="s">
        <v>1187</v>
      </c>
      <c r="EE1" s="2206" t="s">
        <v>704</v>
      </c>
      <c r="EF1" s="2206" t="s">
        <v>705</v>
      </c>
      <c r="EG1" s="2206" t="s">
        <v>3830</v>
      </c>
      <c r="EH1" s="2206" t="s">
        <v>3831</v>
      </c>
      <c r="EI1" s="2206" t="s">
        <v>3832</v>
      </c>
      <c r="EJ1" s="2206" t="s">
        <v>3833</v>
      </c>
      <c r="EK1" s="2206" t="s">
        <v>3834</v>
      </c>
      <c r="EL1" s="2206" t="s">
        <v>3835</v>
      </c>
      <c r="EM1" s="2206" t="s">
        <v>3836</v>
      </c>
      <c r="EN1" s="2206" t="s">
        <v>3837</v>
      </c>
      <c r="EO1" s="2206" t="s">
        <v>3838</v>
      </c>
      <c r="EP1" s="2206" t="s">
        <v>3839</v>
      </c>
      <c r="EQ1" s="2206" t="s">
        <v>3840</v>
      </c>
      <c r="ER1" s="2206" t="s">
        <v>3841</v>
      </c>
      <c r="ES1" s="2206" t="s">
        <v>3842</v>
      </c>
      <c r="ET1" s="2206" t="s">
        <v>3843</v>
      </c>
      <c r="EU1" s="2206" t="s">
        <v>3844</v>
      </c>
      <c r="EV1" s="2206" t="s">
        <v>3845</v>
      </c>
      <c r="EW1" s="2206" t="s">
        <v>3846</v>
      </c>
      <c r="EX1" s="2206" t="s">
        <v>3847</v>
      </c>
      <c r="EY1" s="2206" t="s">
        <v>763</v>
      </c>
      <c r="EZ1" s="2206" t="s">
        <v>764</v>
      </c>
      <c r="FA1" s="2206" t="s">
        <v>765</v>
      </c>
      <c r="FB1" s="2206" t="s">
        <v>766</v>
      </c>
      <c r="FC1" s="2206" t="s">
        <v>767</v>
      </c>
      <c r="FD1" s="2206" t="s">
        <v>768</v>
      </c>
      <c r="FE1" s="2206" t="s">
        <v>769</v>
      </c>
      <c r="FF1" s="2206" t="s">
        <v>770</v>
      </c>
      <c r="FG1" s="2206" t="s">
        <v>771</v>
      </c>
      <c r="FH1" s="2206" t="s">
        <v>772</v>
      </c>
      <c r="FI1" s="2206" t="s">
        <v>773</v>
      </c>
      <c r="FJ1" s="2206" t="s">
        <v>774</v>
      </c>
      <c r="FK1" s="2206" t="s">
        <v>775</v>
      </c>
      <c r="FL1" s="2206" t="s">
        <v>776</v>
      </c>
      <c r="FM1" s="2206" t="s">
        <v>777</v>
      </c>
      <c r="FN1" s="2206" t="s">
        <v>778</v>
      </c>
      <c r="FO1" s="2206" t="s">
        <v>779</v>
      </c>
      <c r="FP1" s="2206" t="s">
        <v>780</v>
      </c>
      <c r="FQ1" s="2206" t="s">
        <v>781</v>
      </c>
      <c r="FR1" s="2206" t="s">
        <v>782</v>
      </c>
      <c r="FS1" s="2206" t="s">
        <v>158</v>
      </c>
      <c r="FT1" s="2206" t="s">
        <v>159</v>
      </c>
      <c r="FU1" s="2206" t="s">
        <v>160</v>
      </c>
      <c r="FV1" s="2206" t="s">
        <v>161</v>
      </c>
      <c r="FW1" s="2206" t="s">
        <v>162</v>
      </c>
      <c r="FX1" s="2206" t="s">
        <v>163</v>
      </c>
      <c r="FY1" s="2206" t="s">
        <v>164</v>
      </c>
      <c r="FZ1" s="2206" t="s">
        <v>165</v>
      </c>
      <c r="GA1" s="2206" t="s">
        <v>166</v>
      </c>
      <c r="GB1" s="2206" t="s">
        <v>167</v>
      </c>
      <c r="GC1" s="2206" t="s">
        <v>168</v>
      </c>
      <c r="GD1" s="2206" t="s">
        <v>1533</v>
      </c>
      <c r="GE1" s="2206" t="s">
        <v>1534</v>
      </c>
      <c r="GF1" s="2206" t="s">
        <v>1535</v>
      </c>
      <c r="GG1" s="2206" t="s">
        <v>1536</v>
      </c>
      <c r="GH1" s="2206" t="s">
        <v>1537</v>
      </c>
      <c r="GI1" s="2206" t="s">
        <v>1538</v>
      </c>
      <c r="GJ1" s="2206" t="s">
        <v>1539</v>
      </c>
      <c r="GK1" s="2206" t="s">
        <v>1540</v>
      </c>
      <c r="GL1" s="2206" t="s">
        <v>1541</v>
      </c>
      <c r="GM1" s="2206" t="s">
        <v>1542</v>
      </c>
      <c r="GN1" s="2206" t="s">
        <v>1543</v>
      </c>
      <c r="GO1" s="2206" t="s">
        <v>1544</v>
      </c>
      <c r="GP1" s="2206" t="s">
        <v>1545</v>
      </c>
      <c r="GQ1" s="2206" t="s">
        <v>1546</v>
      </c>
      <c r="GR1" s="2206" t="s">
        <v>1547</v>
      </c>
      <c r="GS1" s="2206" t="s">
        <v>1548</v>
      </c>
      <c r="GT1" s="2206" t="s">
        <v>1225</v>
      </c>
      <c r="GU1" s="2206" t="s">
        <v>1226</v>
      </c>
      <c r="GV1" s="2206" t="s">
        <v>1227</v>
      </c>
      <c r="GW1" s="2206" t="s">
        <v>1228</v>
      </c>
      <c r="GX1" s="2206" t="s">
        <v>1229</v>
      </c>
      <c r="GY1" s="2206" t="s">
        <v>1230</v>
      </c>
      <c r="GZ1" s="2206" t="s">
        <v>1231</v>
      </c>
      <c r="HA1" s="2206" t="s">
        <v>1518</v>
      </c>
      <c r="HB1" s="2206" t="s">
        <v>1519</v>
      </c>
      <c r="HC1" s="2206" t="s">
        <v>1520</v>
      </c>
      <c r="HD1" s="2206" t="s">
        <v>1521</v>
      </c>
      <c r="HE1" s="2206" t="s">
        <v>1522</v>
      </c>
      <c r="HF1" s="2206" t="s">
        <v>1523</v>
      </c>
      <c r="HG1" s="2206" t="s">
        <v>1524</v>
      </c>
      <c r="HH1" s="2206" t="s">
        <v>1525</v>
      </c>
      <c r="HI1" s="2206" t="s">
        <v>1894</v>
      </c>
      <c r="HJ1" s="2206" t="s">
        <v>1895</v>
      </c>
      <c r="HK1" s="2206" t="s">
        <v>1896</v>
      </c>
      <c r="HL1" s="2206" t="s">
        <v>1897</v>
      </c>
      <c r="HM1" s="2206" t="s">
        <v>2791</v>
      </c>
      <c r="HN1" s="2206" t="s">
        <v>970</v>
      </c>
      <c r="HO1" s="2206" t="s">
        <v>4000</v>
      </c>
      <c r="HP1" s="2206" t="s">
        <v>1525</v>
      </c>
      <c r="HQ1" s="2206" t="s">
        <v>4001</v>
      </c>
      <c r="HR1" s="2206" t="s">
        <v>4002</v>
      </c>
      <c r="HS1" s="2206" t="s">
        <v>4003</v>
      </c>
      <c r="HT1" s="2206" t="s">
        <v>4004</v>
      </c>
      <c r="HU1" s="2206" t="s">
        <v>4005</v>
      </c>
      <c r="HV1" s="2206" t="s">
        <v>4006</v>
      </c>
      <c r="HW1" s="2206" t="s">
        <v>4007</v>
      </c>
      <c r="HX1" s="2206" t="s">
        <v>4008</v>
      </c>
      <c r="HY1" s="2206" t="s">
        <v>4009</v>
      </c>
      <c r="HZ1" s="2206" t="s">
        <v>4010</v>
      </c>
      <c r="IA1" s="2206" t="s">
        <v>4011</v>
      </c>
      <c r="IB1" s="2206" t="s">
        <v>4012</v>
      </c>
      <c r="IC1" s="2206" t="s">
        <v>1965</v>
      </c>
      <c r="ID1" s="2206" t="s">
        <v>1263</v>
      </c>
      <c r="IE1" s="2206" t="s">
        <v>1264</v>
      </c>
      <c r="IF1" s="2206" t="s">
        <v>1265</v>
      </c>
      <c r="IG1" s="2206" t="s">
        <v>3831</v>
      </c>
      <c r="IH1" s="2206" t="s">
        <v>1272</v>
      </c>
      <c r="II1" s="2206" t="s">
        <v>1273</v>
      </c>
      <c r="IJ1" s="2206" t="s">
        <v>1274</v>
      </c>
      <c r="IK1" s="2206" t="s">
        <v>1275</v>
      </c>
      <c r="IL1" s="2206" t="s">
        <v>1276</v>
      </c>
      <c r="IM1" s="2206" t="s">
        <v>29</v>
      </c>
      <c r="IN1" s="2206" t="s">
        <v>30</v>
      </c>
      <c r="IO1" s="2206" t="s">
        <v>31</v>
      </c>
      <c r="IP1" s="2206" t="s">
        <v>3798</v>
      </c>
      <c r="IQ1" s="2206" t="s">
        <v>587</v>
      </c>
      <c r="IR1" s="2206" t="s">
        <v>26</v>
      </c>
      <c r="IS1" s="2206" t="s">
        <v>27</v>
      </c>
      <c r="IT1" s="2206" t="s">
        <v>28</v>
      </c>
      <c r="IU1" s="2832" t="s">
        <v>5439</v>
      </c>
      <c r="IV1" s="2937" t="s">
        <v>5440</v>
      </c>
      <c r="IW1" s="49" t="s">
        <v>5441</v>
      </c>
      <c r="IX1" s="49" t="s">
        <v>5442</v>
      </c>
      <c r="IY1" s="2207"/>
      <c r="IZ1" s="2208"/>
    </row>
    <row r="2" spans="1:260">
      <c r="A2" s="2205" t="s">
        <v>2034</v>
      </c>
      <c r="B2" s="2206" t="s">
        <v>2022</v>
      </c>
      <c r="C2" s="2206" t="s">
        <v>2021</v>
      </c>
      <c r="D2" s="2206" t="s">
        <v>2020</v>
      </c>
      <c r="E2" s="2206" t="s">
        <v>2019</v>
      </c>
      <c r="F2" s="2206" t="s">
        <v>2018</v>
      </c>
      <c r="G2" s="2206" t="s">
        <v>2017</v>
      </c>
      <c r="H2" s="2206" t="s">
        <v>2016</v>
      </c>
      <c r="I2" s="2206" t="s">
        <v>1159</v>
      </c>
      <c r="J2" s="2206" t="s">
        <v>1161</v>
      </c>
      <c r="K2" s="2206" t="s">
        <v>1160</v>
      </c>
      <c r="L2" s="2206" t="s">
        <v>649</v>
      </c>
      <c r="M2" s="2206" t="s">
        <v>1158</v>
      </c>
      <c r="N2" s="2206" t="s">
        <v>1362</v>
      </c>
      <c r="O2" s="2206" t="s">
        <v>1361</v>
      </c>
      <c r="P2" s="2206" t="s">
        <v>2235</v>
      </c>
      <c r="Q2" s="2206" t="s">
        <v>1360</v>
      </c>
      <c r="R2" s="2206" t="s">
        <v>1359</v>
      </c>
      <c r="S2" s="2206" t="s">
        <v>32</v>
      </c>
      <c r="T2" s="2206" t="s">
        <v>33</v>
      </c>
      <c r="U2" s="2206" t="s">
        <v>34</v>
      </c>
      <c r="V2" s="2206" t="s">
        <v>647</v>
      </c>
      <c r="W2" s="2206" t="s">
        <v>35</v>
      </c>
      <c r="X2" s="2206" t="s">
        <v>644</v>
      </c>
      <c r="Y2" s="2206" t="s">
        <v>1358</v>
      </c>
      <c r="Z2" s="2222" t="s">
        <v>1357</v>
      </c>
      <c r="AA2" s="2832" t="s">
        <v>5228</v>
      </c>
      <c r="AB2" s="2206" t="s">
        <v>1356</v>
      </c>
      <c r="AC2" s="2206" t="s">
        <v>4270</v>
      </c>
      <c r="AD2" s="2222" t="s">
        <v>648</v>
      </c>
      <c r="AE2" s="2206" t="s">
        <v>1355</v>
      </c>
      <c r="AF2" s="2206" t="s">
        <v>4271</v>
      </c>
      <c r="AG2" s="2206" t="s">
        <v>2238</v>
      </c>
      <c r="AH2" s="2206" t="s">
        <v>2767</v>
      </c>
      <c r="AI2" s="2206" t="s">
        <v>2295</v>
      </c>
      <c r="AJ2" s="2206" t="s">
        <v>2237</v>
      </c>
      <c r="AK2" s="2206" t="s">
        <v>2292</v>
      </c>
      <c r="AL2" s="2206" t="s">
        <v>2291</v>
      </c>
      <c r="AM2" s="2206" t="s">
        <v>2236</v>
      </c>
      <c r="AN2" s="2206" t="s">
        <v>2292</v>
      </c>
      <c r="AO2" s="2206" t="s">
        <v>2291</v>
      </c>
      <c r="AP2" s="2206" t="s">
        <v>2236</v>
      </c>
      <c r="AQ2" s="2222" t="s">
        <v>2234</v>
      </c>
      <c r="AR2" s="2222" t="s">
        <v>2233</v>
      </c>
      <c r="AS2" s="2206" t="s">
        <v>2232</v>
      </c>
      <c r="AT2" s="2206" t="s">
        <v>2231</v>
      </c>
      <c r="AU2" s="2832" t="s">
        <v>2293</v>
      </c>
      <c r="AV2" s="2206" t="s">
        <v>4519</v>
      </c>
      <c r="AW2" s="2206" t="s">
        <v>4520</v>
      </c>
      <c r="AX2" s="2206" t="s">
        <v>4272</v>
      </c>
      <c r="AY2" s="2206" t="s">
        <v>4514</v>
      </c>
      <c r="AZ2" s="2206" t="s">
        <v>4273</v>
      </c>
      <c r="BA2" s="2206" t="s">
        <v>4274</v>
      </c>
      <c r="BB2" s="2206" t="s">
        <v>4515</v>
      </c>
      <c r="BC2" s="2206" t="s">
        <v>4275</v>
      </c>
      <c r="BD2" s="2206" t="s">
        <v>4228</v>
      </c>
      <c r="BE2" s="2206" t="s">
        <v>4276</v>
      </c>
      <c r="BF2" s="2206" t="s">
        <v>4277</v>
      </c>
      <c r="BG2" s="2206" t="s">
        <v>4278</v>
      </c>
      <c r="BH2" s="2206" t="s">
        <v>2657</v>
      </c>
      <c r="BI2" s="2206" t="s">
        <v>2664</v>
      </c>
      <c r="BJ2" s="2206" t="s">
        <v>550</v>
      </c>
      <c r="BK2" s="2206" t="s">
        <v>550</v>
      </c>
      <c r="BL2" s="2206" t="s">
        <v>3141</v>
      </c>
      <c r="BM2" s="2206" t="s">
        <v>2662</v>
      </c>
      <c r="BN2" s="2206" t="s">
        <v>2272</v>
      </c>
      <c r="BO2" s="2206" t="s">
        <v>4398</v>
      </c>
      <c r="BP2" s="2206" t="s">
        <v>4226</v>
      </c>
      <c r="BQ2" s="2206" t="s">
        <v>4399</v>
      </c>
      <c r="BR2" s="2206" t="s">
        <v>2658</v>
      </c>
      <c r="BS2" s="2206" t="s">
        <v>4400</v>
      </c>
      <c r="BT2" s="2206" t="s">
        <v>4401</v>
      </c>
      <c r="BU2" s="2206" t="s">
        <v>4227</v>
      </c>
      <c r="BV2" s="2206" t="s">
        <v>3142</v>
      </c>
      <c r="BW2" s="2206" t="s">
        <v>3138</v>
      </c>
      <c r="BX2" s="2206" t="s">
        <v>4225</v>
      </c>
      <c r="BY2" s="2206" t="s">
        <v>3973</v>
      </c>
      <c r="BZ2" s="2206" t="s">
        <v>4402</v>
      </c>
      <c r="CA2" s="2206" t="s">
        <v>3971</v>
      </c>
      <c r="CB2" s="2206" t="s">
        <v>4403</v>
      </c>
      <c r="CC2" s="2206" t="s">
        <v>4404</v>
      </c>
      <c r="CD2" s="2206" t="s">
        <v>2426</v>
      </c>
      <c r="CE2" s="2206" t="s">
        <v>4405</v>
      </c>
      <c r="CF2" s="2206" t="s">
        <v>3140</v>
      </c>
      <c r="CG2" s="2206" t="s">
        <v>4406</v>
      </c>
      <c r="CH2" s="2206" t="s">
        <v>2294</v>
      </c>
      <c r="CI2" s="2832" t="s">
        <v>5418</v>
      </c>
      <c r="CJ2" s="2206" t="s">
        <v>4513</v>
      </c>
      <c r="CK2" s="2206" t="s">
        <v>4407</v>
      </c>
      <c r="CL2" s="2206" t="s">
        <v>4408</v>
      </c>
      <c r="CM2" s="2206" t="s">
        <v>4409</v>
      </c>
      <c r="CN2" s="2206" t="s">
        <v>4410</v>
      </c>
      <c r="CO2" s="2206" t="s">
        <v>3969</v>
      </c>
      <c r="CP2" s="2206" t="s">
        <v>4411</v>
      </c>
      <c r="CQ2" s="2206" t="s">
        <v>4412</v>
      </c>
      <c r="CR2" s="2206" t="s">
        <v>2661</v>
      </c>
      <c r="CS2" s="2206" t="s">
        <v>4413</v>
      </c>
      <c r="CT2" s="2206" t="s">
        <v>4414</v>
      </c>
      <c r="CU2" s="2206" t="s">
        <v>4415</v>
      </c>
      <c r="CV2" s="2206" t="s">
        <v>4416</v>
      </c>
      <c r="CW2" s="2206" t="s">
        <v>4417</v>
      </c>
      <c r="CX2" s="2206" t="s">
        <v>2024</v>
      </c>
      <c r="CY2" s="2206" t="s">
        <v>4418</v>
      </c>
      <c r="CZ2" s="2206" t="s">
        <v>4419</v>
      </c>
      <c r="DA2" s="2206" t="s">
        <v>440</v>
      </c>
      <c r="DB2" s="2206" t="s">
        <v>4420</v>
      </c>
      <c r="DC2" s="2206" t="s">
        <v>4421</v>
      </c>
      <c r="DD2" s="2206" t="s">
        <v>1471</v>
      </c>
      <c r="DE2" s="2206" t="s">
        <v>1472</v>
      </c>
      <c r="DF2" s="2206" t="s">
        <v>1473</v>
      </c>
      <c r="DG2" s="2206" t="s">
        <v>927</v>
      </c>
      <c r="DH2" s="2206" t="s">
        <v>2815</v>
      </c>
      <c r="DI2" s="2206" t="s">
        <v>2273</v>
      </c>
      <c r="DJ2" s="2206" t="s">
        <v>2816</v>
      </c>
      <c r="DK2" s="2206" t="s">
        <v>2683</v>
      </c>
      <c r="DL2" s="2206" t="s">
        <v>3135</v>
      </c>
      <c r="DM2" s="2206" t="s">
        <v>2817</v>
      </c>
      <c r="DN2" s="2206" t="s">
        <v>3970</v>
      </c>
      <c r="DO2" s="2206" t="s">
        <v>2818</v>
      </c>
      <c r="DP2" s="2206" t="s">
        <v>3928</v>
      </c>
      <c r="DQ2" s="2206" t="s">
        <v>1706</v>
      </c>
      <c r="DR2" s="2206" t="s">
        <v>1707</v>
      </c>
      <c r="DS2" s="2206" t="s">
        <v>1708</v>
      </c>
      <c r="DT2" s="2206" t="s">
        <v>1709</v>
      </c>
      <c r="DU2" s="2206" t="s">
        <v>1710</v>
      </c>
      <c r="DV2" s="2206" t="s">
        <v>1711</v>
      </c>
      <c r="DW2" s="2206" t="s">
        <v>1712</v>
      </c>
      <c r="DX2" s="2206" t="s">
        <v>1713</v>
      </c>
      <c r="DY2" s="2206" t="s">
        <v>3314</v>
      </c>
      <c r="DZ2" s="2206" t="s">
        <v>3315</v>
      </c>
      <c r="EA2" s="2206" t="s">
        <v>3316</v>
      </c>
      <c r="EB2" s="2206" t="s">
        <v>3317</v>
      </c>
      <c r="EC2" s="2206" t="s">
        <v>1642</v>
      </c>
      <c r="ED2" s="2206" t="s">
        <v>1643</v>
      </c>
      <c r="EE2" s="2206" t="s">
        <v>1644</v>
      </c>
      <c r="EF2" s="2206" t="s">
        <v>2660</v>
      </c>
      <c r="EG2" s="2206" t="s">
        <v>1645</v>
      </c>
      <c r="EH2" s="2206" t="s">
        <v>1646</v>
      </c>
      <c r="EI2" s="2206" t="s">
        <v>389</v>
      </c>
      <c r="EJ2" s="2206" t="s">
        <v>390</v>
      </c>
      <c r="EK2" s="2206" t="s">
        <v>391</v>
      </c>
      <c r="EL2" s="2206" t="s">
        <v>392</v>
      </c>
      <c r="EM2" s="2206" t="s">
        <v>393</v>
      </c>
      <c r="EN2" s="2206" t="s">
        <v>394</v>
      </c>
      <c r="EO2" s="2206" t="s">
        <v>395</v>
      </c>
      <c r="EP2" s="2206" t="s">
        <v>396</v>
      </c>
      <c r="EQ2" s="2206" t="s">
        <v>2274</v>
      </c>
      <c r="ER2" s="2206" t="s">
        <v>4476</v>
      </c>
      <c r="ES2" s="2206" t="s">
        <v>4477</v>
      </c>
      <c r="ET2" s="2206" t="s">
        <v>4478</v>
      </c>
      <c r="EU2" s="2206" t="s">
        <v>4479</v>
      </c>
      <c r="EV2" s="2206" t="s">
        <v>4480</v>
      </c>
      <c r="EW2" s="2206" t="s">
        <v>4481</v>
      </c>
      <c r="EX2" s="2206" t="s">
        <v>4482</v>
      </c>
      <c r="EY2" s="2206" t="s">
        <v>4521</v>
      </c>
      <c r="EZ2" s="2206" t="s">
        <v>4522</v>
      </c>
      <c r="FA2" s="2206" t="s">
        <v>4523</v>
      </c>
      <c r="FB2" s="2206" t="s">
        <v>4102</v>
      </c>
      <c r="FC2" s="2206" t="s">
        <v>4103</v>
      </c>
      <c r="FD2" s="2206" t="s">
        <v>3134</v>
      </c>
      <c r="FE2" s="2206" t="s">
        <v>4104</v>
      </c>
      <c r="FF2" s="2206" t="s">
        <v>4105</v>
      </c>
      <c r="FG2" s="2206" t="s">
        <v>4107</v>
      </c>
      <c r="FH2" s="2206" t="s">
        <v>4108</v>
      </c>
      <c r="FI2" s="2206" t="s">
        <v>4109</v>
      </c>
      <c r="FJ2" s="2206" t="s">
        <v>4110</v>
      </c>
      <c r="FK2" s="2206" t="s">
        <v>4111</v>
      </c>
      <c r="FL2" s="2206" t="s">
        <v>4112</v>
      </c>
      <c r="FM2" s="2206" t="s">
        <v>4113</v>
      </c>
      <c r="FN2" s="2206" t="s">
        <v>4114</v>
      </c>
      <c r="FO2" s="2206" t="s">
        <v>4115</v>
      </c>
      <c r="FP2" s="2206" t="s">
        <v>4116</v>
      </c>
      <c r="FQ2" s="2206" t="s">
        <v>4117</v>
      </c>
      <c r="FR2" s="2206" t="s">
        <v>4118</v>
      </c>
      <c r="FS2" s="2206" t="s">
        <v>3133</v>
      </c>
      <c r="FT2" s="2206" t="s">
        <v>4119</v>
      </c>
      <c r="FU2" s="2206" t="s">
        <v>4120</v>
      </c>
      <c r="FV2" s="2206" t="s">
        <v>4121</v>
      </c>
      <c r="FW2" s="2206" t="s">
        <v>4122</v>
      </c>
      <c r="FX2" s="2206" t="s">
        <v>2659</v>
      </c>
      <c r="FY2" s="2206" t="s">
        <v>4123</v>
      </c>
      <c r="FZ2" s="2206" t="s">
        <v>4124</v>
      </c>
      <c r="GA2" s="2206" t="s">
        <v>4125</v>
      </c>
      <c r="GB2" s="2206" t="s">
        <v>4126</v>
      </c>
      <c r="GC2" s="2206" t="s">
        <v>450</v>
      </c>
      <c r="GD2" s="2206" t="s">
        <v>4127</v>
      </c>
      <c r="GE2" s="2206" t="s">
        <v>4128</v>
      </c>
      <c r="GF2" s="2206" t="s">
        <v>4129</v>
      </c>
      <c r="GG2" s="2206" t="s">
        <v>2743</v>
      </c>
      <c r="GH2" s="2206" t="s">
        <v>2744</v>
      </c>
      <c r="GI2" s="2206" t="s">
        <v>2745</v>
      </c>
      <c r="GJ2" s="2206" t="s">
        <v>2746</v>
      </c>
      <c r="GK2" s="2206" t="s">
        <v>2747</v>
      </c>
      <c r="GL2" s="2206" t="s">
        <v>2748</v>
      </c>
      <c r="GM2" s="2206" t="s">
        <v>2749</v>
      </c>
      <c r="GN2" s="2206" t="s">
        <v>2750</v>
      </c>
      <c r="GO2" s="2206" t="s">
        <v>2751</v>
      </c>
      <c r="GP2" s="2206" t="s">
        <v>2752</v>
      </c>
      <c r="GQ2" s="2206" t="s">
        <v>2663</v>
      </c>
      <c r="GR2" s="2206" t="s">
        <v>2753</v>
      </c>
      <c r="GS2" s="2206" t="s">
        <v>2754</v>
      </c>
      <c r="GT2" s="2206" t="s">
        <v>2656</v>
      </c>
      <c r="GU2" s="2206" t="s">
        <v>292</v>
      </c>
      <c r="GV2" s="2206" t="s">
        <v>293</v>
      </c>
      <c r="GW2" s="2206" t="s">
        <v>294</v>
      </c>
      <c r="GX2" s="2206" t="s">
        <v>295</v>
      </c>
      <c r="GY2" s="2206" t="s">
        <v>296</v>
      </c>
      <c r="GZ2" s="2206" t="s">
        <v>297</v>
      </c>
      <c r="HA2" s="2206" t="s">
        <v>298</v>
      </c>
      <c r="HB2" s="2206" t="s">
        <v>299</v>
      </c>
      <c r="HC2" s="2206" t="s">
        <v>300</v>
      </c>
      <c r="HD2" s="2206" t="s">
        <v>301</v>
      </c>
      <c r="HE2" s="2206" t="s">
        <v>302</v>
      </c>
      <c r="HF2" s="2206" t="s">
        <v>303</v>
      </c>
      <c r="HG2" s="2206" t="s">
        <v>304</v>
      </c>
      <c r="HH2" s="2206" t="s">
        <v>530</v>
      </c>
      <c r="HI2" s="2206" t="s">
        <v>531</v>
      </c>
      <c r="HJ2" s="2206" t="s">
        <v>532</v>
      </c>
      <c r="HK2" s="2206" t="s">
        <v>533</v>
      </c>
      <c r="HL2" s="2206" t="s">
        <v>534</v>
      </c>
      <c r="HM2" s="2206" t="s">
        <v>1211</v>
      </c>
      <c r="HN2" s="2206" t="s">
        <v>2096</v>
      </c>
      <c r="HO2" s="2206" t="s">
        <v>2097</v>
      </c>
      <c r="HP2" s="2206" t="s">
        <v>2098</v>
      </c>
      <c r="HQ2" s="2206" t="s">
        <v>2099</v>
      </c>
      <c r="HR2" s="2206" t="s">
        <v>2100</v>
      </c>
      <c r="HS2" s="2206" t="s">
        <v>2101</v>
      </c>
      <c r="HT2" s="2206" t="s">
        <v>2102</v>
      </c>
      <c r="HU2" s="2206" t="s">
        <v>3139</v>
      </c>
      <c r="HV2" s="2206" t="s">
        <v>2533</v>
      </c>
      <c r="HW2" s="2206" t="s">
        <v>718</v>
      </c>
      <c r="HX2" s="2206" t="s">
        <v>719</v>
      </c>
      <c r="HY2" s="2206" t="s">
        <v>720</v>
      </c>
      <c r="HZ2" s="2206" t="s">
        <v>721</v>
      </c>
      <c r="IA2" s="2206" t="s">
        <v>722</v>
      </c>
      <c r="IB2" s="2206" t="s">
        <v>723</v>
      </c>
      <c r="IC2" s="2206" t="s">
        <v>724</v>
      </c>
      <c r="ID2" s="2206" t="s">
        <v>725</v>
      </c>
      <c r="IE2" s="2206" t="s">
        <v>726</v>
      </c>
      <c r="IF2" s="2206" t="s">
        <v>727</v>
      </c>
      <c r="IG2" s="2206" t="s">
        <v>728</v>
      </c>
      <c r="IH2" s="2206" t="s">
        <v>1247</v>
      </c>
      <c r="II2" s="2206" t="s">
        <v>1248</v>
      </c>
      <c r="IJ2" s="2206" t="s">
        <v>1249</v>
      </c>
      <c r="IK2" s="2206" t="s">
        <v>1250</v>
      </c>
      <c r="IL2" s="2206" t="s">
        <v>1251</v>
      </c>
      <c r="IM2" s="2206" t="s">
        <v>1255</v>
      </c>
      <c r="IN2" s="2206" t="s">
        <v>1256</v>
      </c>
      <c r="IO2" s="2206" t="s">
        <v>1257</v>
      </c>
      <c r="IP2" s="2210" t="s">
        <v>3973</v>
      </c>
      <c r="IQ2" s="2206" t="s">
        <v>2272</v>
      </c>
      <c r="IR2" s="2206" t="s">
        <v>1252</v>
      </c>
      <c r="IS2" s="2206" t="s">
        <v>1253</v>
      </c>
      <c r="IT2" s="2206" t="s">
        <v>1254</v>
      </c>
      <c r="IV2" s="2937"/>
      <c r="IW2" s="49"/>
      <c r="IX2" s="49"/>
      <c r="IY2" s="2207"/>
      <c r="IZ2" s="2208"/>
    </row>
    <row r="3" spans="1:260">
      <c r="A3" s="2205" t="s">
        <v>581</v>
      </c>
      <c r="B3" s="2206" t="s">
        <v>2985</v>
      </c>
      <c r="C3" s="2206" t="s">
        <v>2985</v>
      </c>
      <c r="D3" s="2206" t="s">
        <v>2985</v>
      </c>
      <c r="E3" s="2206" t="s">
        <v>2985</v>
      </c>
      <c r="F3" s="2206" t="s">
        <v>2985</v>
      </c>
      <c r="G3" s="2206" t="s">
        <v>2985</v>
      </c>
      <c r="H3" s="2206" t="s">
        <v>2985</v>
      </c>
      <c r="I3" s="2206" t="s">
        <v>2985</v>
      </c>
      <c r="J3" s="2206" t="s">
        <v>2985</v>
      </c>
      <c r="K3" s="2206" t="s">
        <v>2985</v>
      </c>
      <c r="L3" s="2206" t="s">
        <v>2985</v>
      </c>
      <c r="M3" s="2206" t="s">
        <v>2985</v>
      </c>
      <c r="N3" s="2206" t="s">
        <v>2985</v>
      </c>
      <c r="O3" s="2206" t="s">
        <v>2985</v>
      </c>
      <c r="P3" s="2206" t="s">
        <v>2985</v>
      </c>
      <c r="Q3" s="2206" t="s">
        <v>2985</v>
      </c>
      <c r="R3" s="2206" t="s">
        <v>2985</v>
      </c>
      <c r="S3" s="2206" t="s">
        <v>2985</v>
      </c>
      <c r="T3" s="2206" t="s">
        <v>2985</v>
      </c>
      <c r="U3" s="2206" t="s">
        <v>2985</v>
      </c>
      <c r="V3" s="2206" t="s">
        <v>2985</v>
      </c>
      <c r="W3" s="2206" t="s">
        <v>2985</v>
      </c>
      <c r="X3" s="2206" t="s">
        <v>2985</v>
      </c>
      <c r="Y3" s="2206" t="s">
        <v>2985</v>
      </c>
      <c r="Z3" s="2222" t="s">
        <v>2985</v>
      </c>
      <c r="AA3" s="2832" t="s">
        <v>2985</v>
      </c>
      <c r="AB3" s="2206" t="s">
        <v>2985</v>
      </c>
      <c r="AC3" s="2206" t="s">
        <v>2985</v>
      </c>
      <c r="AD3" s="2222" t="s">
        <v>2985</v>
      </c>
      <c r="AE3" s="2206" t="s">
        <v>2985</v>
      </c>
      <c r="AF3" s="2206" t="s">
        <v>2985</v>
      </c>
      <c r="AG3" s="2206" t="s">
        <v>2985</v>
      </c>
      <c r="AH3" s="2206" t="s">
        <v>2985</v>
      </c>
      <c r="AI3" s="2206" t="s">
        <v>2985</v>
      </c>
      <c r="AJ3" s="2206" t="s">
        <v>2985</v>
      </c>
      <c r="AK3" s="2206" t="s">
        <v>2985</v>
      </c>
      <c r="AL3" s="2206" t="s">
        <v>2985</v>
      </c>
      <c r="AM3" s="2206" t="s">
        <v>2985</v>
      </c>
      <c r="AN3" s="2206" t="s">
        <v>2985</v>
      </c>
      <c r="AO3" s="2206" t="s">
        <v>2985</v>
      </c>
      <c r="AP3" s="2206" t="s">
        <v>2985</v>
      </c>
      <c r="AQ3" s="2222" t="s">
        <v>2985</v>
      </c>
      <c r="AR3" s="2222" t="s">
        <v>2985</v>
      </c>
      <c r="AS3" s="2206" t="s">
        <v>2985</v>
      </c>
      <c r="AT3" s="2206" t="s">
        <v>2985</v>
      </c>
      <c r="AU3" s="2832" t="s">
        <v>2985</v>
      </c>
      <c r="AV3" s="2206" t="s">
        <v>2490</v>
      </c>
      <c r="AW3" s="2206" t="s">
        <v>2490</v>
      </c>
      <c r="AX3" s="2206" t="s">
        <v>2490</v>
      </c>
      <c r="AY3" s="2206" t="s">
        <v>2490</v>
      </c>
      <c r="AZ3" s="2206" t="s">
        <v>2490</v>
      </c>
      <c r="BA3" s="2206" t="s">
        <v>2490</v>
      </c>
      <c r="BB3" s="2206" t="s">
        <v>2490</v>
      </c>
      <c r="BC3" s="2206" t="s">
        <v>2490</v>
      </c>
      <c r="BD3" s="2206" t="s">
        <v>2490</v>
      </c>
      <c r="BE3" s="2206" t="s">
        <v>2490</v>
      </c>
      <c r="BF3" s="2206" t="s">
        <v>2490</v>
      </c>
      <c r="BG3" s="2206" t="s">
        <v>2490</v>
      </c>
      <c r="BH3" s="2206" t="s">
        <v>2490</v>
      </c>
      <c r="BI3" s="2206" t="s">
        <v>2490</v>
      </c>
      <c r="BJ3" s="2206" t="s">
        <v>2490</v>
      </c>
      <c r="BK3" s="2206" t="s">
        <v>2490</v>
      </c>
      <c r="BL3" s="2206" t="s">
        <v>2490</v>
      </c>
      <c r="BM3" s="2206" t="s">
        <v>2490</v>
      </c>
      <c r="BN3" s="2206" t="s">
        <v>2490</v>
      </c>
      <c r="BO3" s="2206" t="s">
        <v>2490</v>
      </c>
      <c r="BP3" s="2206" t="s">
        <v>2490</v>
      </c>
      <c r="BQ3" s="2206" t="s">
        <v>2490</v>
      </c>
      <c r="BR3" s="2206" t="s">
        <v>2490</v>
      </c>
      <c r="BS3" s="2206" t="s">
        <v>2490</v>
      </c>
      <c r="BT3" s="2206" t="s">
        <v>2490</v>
      </c>
      <c r="BU3" s="2206" t="s">
        <v>2490</v>
      </c>
      <c r="BV3" s="2206" t="s">
        <v>2490</v>
      </c>
      <c r="BW3" s="2206" t="s">
        <v>2490</v>
      </c>
      <c r="BX3" s="2206" t="s">
        <v>2490</v>
      </c>
      <c r="BY3" s="2206" t="s">
        <v>2490</v>
      </c>
      <c r="BZ3" s="2206" t="s">
        <v>2490</v>
      </c>
      <c r="CA3" s="2206" t="s">
        <v>2490</v>
      </c>
      <c r="CB3" s="2206" t="s">
        <v>2490</v>
      </c>
      <c r="CC3" s="2206" t="s">
        <v>2490</v>
      </c>
      <c r="CD3" s="2206" t="s">
        <v>2490</v>
      </c>
      <c r="CE3" s="2206" t="s">
        <v>2490</v>
      </c>
      <c r="CF3" s="2206" t="s">
        <v>2490</v>
      </c>
      <c r="CG3" s="2206" t="s">
        <v>2490</v>
      </c>
      <c r="CH3" s="2206" t="s">
        <v>2985</v>
      </c>
      <c r="CI3" s="2206" t="s">
        <v>2985</v>
      </c>
      <c r="CJ3" s="2206" t="s">
        <v>2490</v>
      </c>
      <c r="CK3" s="2206" t="s">
        <v>2490</v>
      </c>
      <c r="CL3" s="2206" t="s">
        <v>2490</v>
      </c>
      <c r="CM3" s="2206" t="s">
        <v>2490</v>
      </c>
      <c r="CN3" s="2206" t="s">
        <v>2490</v>
      </c>
      <c r="CO3" s="2206" t="s">
        <v>2490</v>
      </c>
      <c r="CP3" s="2206" t="s">
        <v>2490</v>
      </c>
      <c r="CQ3" s="2206" t="s">
        <v>2490</v>
      </c>
      <c r="CR3" s="2206" t="s">
        <v>2490</v>
      </c>
      <c r="CS3" s="2206" t="s">
        <v>2490</v>
      </c>
      <c r="CT3" s="2206" t="s">
        <v>2490</v>
      </c>
      <c r="CU3" s="2206" t="s">
        <v>2490</v>
      </c>
      <c r="CV3" s="2206" t="s">
        <v>2490</v>
      </c>
      <c r="CW3" s="2206" t="s">
        <v>2490</v>
      </c>
      <c r="CX3" s="2206" t="s">
        <v>2490</v>
      </c>
      <c r="CY3" s="2206" t="s">
        <v>2490</v>
      </c>
      <c r="CZ3" s="2206" t="s">
        <v>2490</v>
      </c>
      <c r="DA3" s="2206" t="s">
        <v>2490</v>
      </c>
      <c r="DB3" s="2206" t="s">
        <v>2490</v>
      </c>
      <c r="DC3" s="2206" t="s">
        <v>2490</v>
      </c>
      <c r="DD3" s="2206" t="s">
        <v>2490</v>
      </c>
      <c r="DE3" s="2206" t="s">
        <v>2490</v>
      </c>
      <c r="DF3" s="2206" t="s">
        <v>2490</v>
      </c>
      <c r="DG3" s="2206" t="s">
        <v>2490</v>
      </c>
      <c r="DH3" s="2206" t="s">
        <v>2490</v>
      </c>
      <c r="DI3" s="2206" t="s">
        <v>2490</v>
      </c>
      <c r="DJ3" s="2206" t="s">
        <v>2490</v>
      </c>
      <c r="DK3" s="2206" t="s">
        <v>2490</v>
      </c>
      <c r="DL3" s="2206" t="s">
        <v>2490</v>
      </c>
      <c r="DM3" s="2206" t="s">
        <v>2490</v>
      </c>
      <c r="DN3" s="2206" t="s">
        <v>2490</v>
      </c>
      <c r="DO3" s="2206" t="s">
        <v>2490</v>
      </c>
      <c r="DP3" s="2206" t="s">
        <v>2490</v>
      </c>
      <c r="DQ3" s="2206" t="s">
        <v>2490</v>
      </c>
      <c r="DR3" s="2206" t="s">
        <v>2490</v>
      </c>
      <c r="DS3" s="2206" t="s">
        <v>2490</v>
      </c>
      <c r="DT3" s="2206" t="s">
        <v>2490</v>
      </c>
      <c r="DU3" s="2206" t="s">
        <v>2490</v>
      </c>
      <c r="DV3" s="2206" t="s">
        <v>2490</v>
      </c>
      <c r="DW3" s="2206" t="s">
        <v>2490</v>
      </c>
      <c r="DX3" s="2206" t="s">
        <v>2490</v>
      </c>
      <c r="DY3" s="2206" t="s">
        <v>2490</v>
      </c>
      <c r="DZ3" s="2206" t="s">
        <v>2490</v>
      </c>
      <c r="EA3" s="2206" t="s">
        <v>2490</v>
      </c>
      <c r="EB3" s="2206" t="s">
        <v>2490</v>
      </c>
      <c r="EC3" s="2206" t="s">
        <v>2490</v>
      </c>
      <c r="ED3" s="2206" t="s">
        <v>2490</v>
      </c>
      <c r="EE3" s="2206" t="s">
        <v>2490</v>
      </c>
      <c r="EF3" s="2206" t="s">
        <v>2490</v>
      </c>
      <c r="EG3" s="2206" t="s">
        <v>2490</v>
      </c>
      <c r="EH3" s="2206" t="s">
        <v>2490</v>
      </c>
      <c r="EI3" s="2206" t="s">
        <v>2490</v>
      </c>
      <c r="EJ3" s="2206" t="s">
        <v>2490</v>
      </c>
      <c r="EK3" s="2206" t="s">
        <v>2490</v>
      </c>
      <c r="EL3" s="2206" t="s">
        <v>2490</v>
      </c>
      <c r="EM3" s="2206" t="s">
        <v>2490</v>
      </c>
      <c r="EN3" s="2206" t="s">
        <v>2490</v>
      </c>
      <c r="EO3" s="2206" t="s">
        <v>2490</v>
      </c>
      <c r="EP3" s="2206" t="s">
        <v>2490</v>
      </c>
      <c r="EQ3" s="2206" t="s">
        <v>2490</v>
      </c>
      <c r="ER3" s="2206" t="s">
        <v>2490</v>
      </c>
      <c r="ES3" s="2206" t="s">
        <v>2490</v>
      </c>
      <c r="ET3" s="2206" t="s">
        <v>2490</v>
      </c>
      <c r="EU3" s="2206" t="s">
        <v>2490</v>
      </c>
      <c r="EV3" s="2206" t="s">
        <v>2490</v>
      </c>
      <c r="EW3" s="2206" t="s">
        <v>2490</v>
      </c>
      <c r="EX3" s="2206" t="s">
        <v>2490</v>
      </c>
      <c r="EY3" s="2206" t="s">
        <v>2490</v>
      </c>
      <c r="EZ3" s="2206" t="s">
        <v>2490</v>
      </c>
      <c r="FA3" s="2206" t="s">
        <v>2490</v>
      </c>
      <c r="FB3" s="2206" t="s">
        <v>2490</v>
      </c>
      <c r="FC3" s="2206" t="s">
        <v>2490</v>
      </c>
      <c r="FD3" s="2206" t="s">
        <v>2490</v>
      </c>
      <c r="FE3" s="2206" t="s">
        <v>2490</v>
      </c>
      <c r="FF3" s="2206" t="s">
        <v>2490</v>
      </c>
      <c r="FG3" s="2206" t="s">
        <v>2490</v>
      </c>
      <c r="FH3" s="2206" t="s">
        <v>2490</v>
      </c>
      <c r="FI3" s="2206" t="s">
        <v>2490</v>
      </c>
      <c r="FJ3" s="2206" t="s">
        <v>2490</v>
      </c>
      <c r="FK3" s="2206" t="s">
        <v>2490</v>
      </c>
      <c r="FL3" s="2206" t="s">
        <v>2490</v>
      </c>
      <c r="FM3" s="2206" t="s">
        <v>2490</v>
      </c>
      <c r="FN3" s="2206" t="s">
        <v>2490</v>
      </c>
      <c r="FO3" s="2206" t="s">
        <v>2490</v>
      </c>
      <c r="FP3" s="2206" t="s">
        <v>2490</v>
      </c>
      <c r="FQ3" s="2206" t="s">
        <v>2490</v>
      </c>
      <c r="FR3" s="2206" t="s">
        <v>2490</v>
      </c>
      <c r="FS3" s="2206" t="s">
        <v>2490</v>
      </c>
      <c r="FT3" s="2206" t="s">
        <v>2490</v>
      </c>
      <c r="FU3" s="2206" t="s">
        <v>2490</v>
      </c>
      <c r="FV3" s="2206" t="s">
        <v>2490</v>
      </c>
      <c r="FW3" s="2206" t="s">
        <v>2490</v>
      </c>
      <c r="FX3" s="2206" t="s">
        <v>2490</v>
      </c>
      <c r="FY3" s="2206" t="s">
        <v>2490</v>
      </c>
      <c r="FZ3" s="2206" t="s">
        <v>2490</v>
      </c>
      <c r="GA3" s="2206" t="s">
        <v>2490</v>
      </c>
      <c r="GB3" s="2206" t="s">
        <v>2490</v>
      </c>
      <c r="GC3" s="2206" t="s">
        <v>2490</v>
      </c>
      <c r="GD3" s="2206" t="s">
        <v>2490</v>
      </c>
      <c r="GE3" s="2206" t="s">
        <v>2490</v>
      </c>
      <c r="GF3" s="2206" t="s">
        <v>2490</v>
      </c>
      <c r="GG3" s="2206" t="s">
        <v>2490</v>
      </c>
      <c r="GH3" s="2206" t="s">
        <v>2490</v>
      </c>
      <c r="GI3" s="2206" t="s">
        <v>2490</v>
      </c>
      <c r="GJ3" s="2206" t="s">
        <v>2490</v>
      </c>
      <c r="GK3" s="2206" t="s">
        <v>2490</v>
      </c>
      <c r="GL3" s="2206" t="s">
        <v>2490</v>
      </c>
      <c r="GM3" s="2206" t="s">
        <v>2490</v>
      </c>
      <c r="GN3" s="2206" t="s">
        <v>2490</v>
      </c>
      <c r="GO3" s="2206" t="s">
        <v>2490</v>
      </c>
      <c r="GP3" s="2206" t="s">
        <v>2490</v>
      </c>
      <c r="GQ3" s="2206" t="s">
        <v>2490</v>
      </c>
      <c r="GR3" s="2206" t="s">
        <v>2490</v>
      </c>
      <c r="GS3" s="2206" t="s">
        <v>2490</v>
      </c>
      <c r="GT3" s="2206" t="s">
        <v>2490</v>
      </c>
      <c r="GU3" s="2206" t="s">
        <v>2490</v>
      </c>
      <c r="GV3" s="2206" t="s">
        <v>2490</v>
      </c>
      <c r="GW3" s="2206" t="s">
        <v>2490</v>
      </c>
      <c r="GX3" s="2206" t="s">
        <v>2490</v>
      </c>
      <c r="GY3" s="2206" t="s">
        <v>2490</v>
      </c>
      <c r="GZ3" s="2206" t="s">
        <v>2490</v>
      </c>
      <c r="HA3" s="2206" t="s">
        <v>2490</v>
      </c>
      <c r="HB3" s="2206" t="s">
        <v>2490</v>
      </c>
      <c r="HC3" s="2206" t="s">
        <v>2490</v>
      </c>
      <c r="HD3" s="2206" t="s">
        <v>2490</v>
      </c>
      <c r="HE3" s="2206" t="s">
        <v>2490</v>
      </c>
      <c r="HF3" s="2206" t="s">
        <v>2490</v>
      </c>
      <c r="HG3" s="2206" t="s">
        <v>2490</v>
      </c>
      <c r="HH3" s="2206" t="s">
        <v>2490</v>
      </c>
      <c r="HI3" s="2206" t="s">
        <v>2490</v>
      </c>
      <c r="HJ3" s="2206" t="s">
        <v>2490</v>
      </c>
      <c r="HK3" s="2206" t="s">
        <v>2490</v>
      </c>
      <c r="HL3" s="2206" t="s">
        <v>2490</v>
      </c>
      <c r="HM3" s="2206" t="s">
        <v>2490</v>
      </c>
      <c r="HN3" s="2206" t="s">
        <v>2490</v>
      </c>
      <c r="HO3" s="2206" t="s">
        <v>2490</v>
      </c>
      <c r="HP3" s="2206" t="s">
        <v>2490</v>
      </c>
      <c r="HQ3" s="2206" t="s">
        <v>2490</v>
      </c>
      <c r="HR3" s="2206" t="s">
        <v>2490</v>
      </c>
      <c r="HS3" s="2206" t="s">
        <v>2490</v>
      </c>
      <c r="HT3" s="2206" t="s">
        <v>2490</v>
      </c>
      <c r="HU3" s="2206" t="s">
        <v>2490</v>
      </c>
      <c r="HV3" s="2206" t="s">
        <v>2490</v>
      </c>
      <c r="HW3" s="2206" t="s">
        <v>2490</v>
      </c>
      <c r="HX3" s="2206" t="s">
        <v>2490</v>
      </c>
      <c r="HY3" s="2206" t="s">
        <v>2490</v>
      </c>
      <c r="HZ3" s="2206" t="s">
        <v>2490</v>
      </c>
      <c r="IA3" s="2206" t="s">
        <v>2490</v>
      </c>
      <c r="IB3" s="2206" t="s">
        <v>2490</v>
      </c>
      <c r="IC3" s="2206" t="s">
        <v>2490</v>
      </c>
      <c r="ID3" s="2206" t="s">
        <v>2490</v>
      </c>
      <c r="IE3" s="2206" t="s">
        <v>2490</v>
      </c>
      <c r="IF3" s="2206" t="s">
        <v>2490</v>
      </c>
      <c r="IG3" s="2206" t="s">
        <v>2490</v>
      </c>
      <c r="IH3" s="2206" t="s">
        <v>2490</v>
      </c>
      <c r="II3" s="2206" t="s">
        <v>2490</v>
      </c>
      <c r="IJ3" s="2206" t="s">
        <v>2490</v>
      </c>
      <c r="IK3" s="2206" t="s">
        <v>2490</v>
      </c>
      <c r="IL3" s="2206" t="s">
        <v>2490</v>
      </c>
      <c r="IM3" s="2206" t="s">
        <v>2490</v>
      </c>
      <c r="IN3" s="2206" t="s">
        <v>2490</v>
      </c>
      <c r="IO3" s="2206" t="s">
        <v>2490</v>
      </c>
      <c r="IP3" s="2206" t="s">
        <v>2490</v>
      </c>
      <c r="IQ3" s="2206" t="s">
        <v>2490</v>
      </c>
      <c r="IR3" s="2206" t="s">
        <v>2490</v>
      </c>
      <c r="IS3" s="2206" t="s">
        <v>2490</v>
      </c>
      <c r="IT3" s="2206" t="s">
        <v>2490</v>
      </c>
      <c r="IU3" s="2832" t="s">
        <v>2490</v>
      </c>
      <c r="IV3" s="2832" t="s">
        <v>2490</v>
      </c>
      <c r="IW3" s="2832" t="s">
        <v>2490</v>
      </c>
      <c r="IX3" s="2832" t="s">
        <v>2490</v>
      </c>
      <c r="IY3" s="2207"/>
    </row>
    <row r="4" spans="1:260">
      <c r="A4" s="2205" t="s">
        <v>3493</v>
      </c>
      <c r="B4" s="2206" t="s">
        <v>646</v>
      </c>
      <c r="C4" s="2206" t="s">
        <v>646</v>
      </c>
      <c r="D4" s="2206" t="s">
        <v>646</v>
      </c>
      <c r="E4" s="2206" t="s">
        <v>646</v>
      </c>
      <c r="F4" s="2206" t="s">
        <v>646</v>
      </c>
      <c r="G4" s="2206" t="s">
        <v>646</v>
      </c>
      <c r="H4" s="2206" t="s">
        <v>646</v>
      </c>
      <c r="I4" s="2206" t="s">
        <v>646</v>
      </c>
      <c r="J4" s="2206" t="s">
        <v>646</v>
      </c>
      <c r="K4" s="2206" t="s">
        <v>646</v>
      </c>
      <c r="L4" s="2206" t="s">
        <v>646</v>
      </c>
      <c r="M4" s="2206" t="s">
        <v>646</v>
      </c>
      <c r="N4" s="2206" t="s">
        <v>646</v>
      </c>
      <c r="O4" s="2206" t="s">
        <v>646</v>
      </c>
      <c r="P4" s="2206" t="s">
        <v>646</v>
      </c>
      <c r="Q4" s="2206" t="s">
        <v>646</v>
      </c>
      <c r="R4" s="2206" t="s">
        <v>646</v>
      </c>
      <c r="S4" s="2206" t="s">
        <v>646</v>
      </c>
      <c r="T4" s="2206" t="s">
        <v>646</v>
      </c>
      <c r="U4" s="2206" t="s">
        <v>646</v>
      </c>
      <c r="V4" s="2206" t="s">
        <v>646</v>
      </c>
      <c r="W4" s="2206" t="s">
        <v>646</v>
      </c>
      <c r="X4" s="2206" t="s">
        <v>646</v>
      </c>
      <c r="Y4" s="2206" t="s">
        <v>646</v>
      </c>
      <c r="Z4" s="2222" t="s">
        <v>646</v>
      </c>
      <c r="AA4" s="2832" t="s">
        <v>646</v>
      </c>
      <c r="AB4" s="2206" t="s">
        <v>646</v>
      </c>
      <c r="AC4" s="2206" t="s">
        <v>646</v>
      </c>
      <c r="AD4" s="2222" t="s">
        <v>646</v>
      </c>
      <c r="AE4" s="2206" t="s">
        <v>646</v>
      </c>
      <c r="AF4" s="2206" t="s">
        <v>646</v>
      </c>
      <c r="AG4" s="2206" t="s">
        <v>646</v>
      </c>
      <c r="AH4" s="2206" t="s">
        <v>646</v>
      </c>
      <c r="AI4" s="2206" t="s">
        <v>646</v>
      </c>
      <c r="AJ4" s="2206" t="s">
        <v>646</v>
      </c>
      <c r="AK4" s="2206" t="s">
        <v>646</v>
      </c>
      <c r="AL4" s="2206" t="s">
        <v>646</v>
      </c>
      <c r="AM4" s="2206" t="s">
        <v>646</v>
      </c>
      <c r="AN4" s="2206" t="s">
        <v>646</v>
      </c>
      <c r="AO4" s="2206" t="s">
        <v>646</v>
      </c>
      <c r="AP4" s="2206" t="s">
        <v>646</v>
      </c>
      <c r="AQ4" s="2222" t="s">
        <v>646</v>
      </c>
      <c r="AR4" s="2222" t="s">
        <v>646</v>
      </c>
      <c r="AS4" s="2206" t="s">
        <v>646</v>
      </c>
      <c r="AT4" s="2206" t="s">
        <v>646</v>
      </c>
      <c r="AU4" s="2832" t="s">
        <v>646</v>
      </c>
      <c r="AV4" s="2206" t="s">
        <v>646</v>
      </c>
      <c r="AW4" s="2206" t="s">
        <v>646</v>
      </c>
      <c r="AX4" s="2206" t="s">
        <v>646</v>
      </c>
      <c r="AY4" s="2206" t="s">
        <v>646</v>
      </c>
      <c r="AZ4" s="2206" t="s">
        <v>646</v>
      </c>
      <c r="BA4" s="2206" t="s">
        <v>646</v>
      </c>
      <c r="BB4" s="2206" t="s">
        <v>646</v>
      </c>
      <c r="BC4" s="2206" t="s">
        <v>646</v>
      </c>
      <c r="BD4" s="2206" t="s">
        <v>646</v>
      </c>
      <c r="BE4" s="2206" t="s">
        <v>646</v>
      </c>
      <c r="BF4" s="2206" t="s">
        <v>646</v>
      </c>
      <c r="BG4" s="2206" t="s">
        <v>646</v>
      </c>
      <c r="BH4" s="2206" t="s">
        <v>646</v>
      </c>
      <c r="BI4" s="2206" t="s">
        <v>646</v>
      </c>
      <c r="BJ4" s="2206" t="s">
        <v>646</v>
      </c>
      <c r="BK4" s="2206" t="s">
        <v>646</v>
      </c>
      <c r="BL4" s="2206" t="s">
        <v>646</v>
      </c>
      <c r="BM4" s="2206" t="s">
        <v>646</v>
      </c>
      <c r="BN4" s="2206" t="s">
        <v>646</v>
      </c>
      <c r="BO4" s="2206" t="s">
        <v>646</v>
      </c>
      <c r="BP4" s="2206" t="s">
        <v>646</v>
      </c>
      <c r="BQ4" s="2206" t="s">
        <v>646</v>
      </c>
      <c r="BR4" s="2206" t="s">
        <v>646</v>
      </c>
      <c r="BS4" s="2206" t="s">
        <v>646</v>
      </c>
      <c r="BT4" s="2206" t="s">
        <v>646</v>
      </c>
      <c r="BU4" s="2206" t="s">
        <v>646</v>
      </c>
      <c r="BV4" s="2206" t="s">
        <v>646</v>
      </c>
      <c r="BW4" s="2206" t="s">
        <v>646</v>
      </c>
      <c r="BX4" s="2206" t="s">
        <v>646</v>
      </c>
      <c r="BY4" s="2206" t="s">
        <v>646</v>
      </c>
      <c r="BZ4" s="2206" t="s">
        <v>646</v>
      </c>
      <c r="CA4" s="2206" t="s">
        <v>646</v>
      </c>
      <c r="CB4" s="2206" t="s">
        <v>646</v>
      </c>
      <c r="CC4" s="2206" t="s">
        <v>646</v>
      </c>
      <c r="CD4" s="2206" t="s">
        <v>646</v>
      </c>
      <c r="CE4" s="2206" t="s">
        <v>646</v>
      </c>
      <c r="CF4" s="2206" t="s">
        <v>646</v>
      </c>
      <c r="CG4" s="2206" t="s">
        <v>646</v>
      </c>
      <c r="CH4" s="2206" t="s">
        <v>646</v>
      </c>
      <c r="CI4" s="2206" t="s">
        <v>646</v>
      </c>
      <c r="CJ4" s="2206" t="s">
        <v>646</v>
      </c>
      <c r="CK4" s="2206" t="s">
        <v>646</v>
      </c>
      <c r="CL4" s="2206" t="s">
        <v>646</v>
      </c>
      <c r="CM4" s="2206" t="s">
        <v>646</v>
      </c>
      <c r="CN4" s="2206" t="s">
        <v>646</v>
      </c>
      <c r="CO4" s="2206" t="s">
        <v>646</v>
      </c>
      <c r="CP4" s="2206" t="s">
        <v>646</v>
      </c>
      <c r="CQ4" s="2206" t="s">
        <v>646</v>
      </c>
      <c r="CR4" s="2206" t="s">
        <v>646</v>
      </c>
      <c r="CS4" s="2206" t="s">
        <v>646</v>
      </c>
      <c r="CT4" s="2206" t="s">
        <v>646</v>
      </c>
      <c r="CU4" s="2206" t="s">
        <v>646</v>
      </c>
      <c r="CV4" s="2206" t="s">
        <v>646</v>
      </c>
      <c r="CW4" s="2206" t="s">
        <v>646</v>
      </c>
      <c r="CX4" s="2206" t="s">
        <v>646</v>
      </c>
      <c r="CY4" s="2206" t="s">
        <v>646</v>
      </c>
      <c r="CZ4" s="2206" t="s">
        <v>646</v>
      </c>
      <c r="DA4" s="2206" t="s">
        <v>646</v>
      </c>
      <c r="DB4" s="2206" t="s">
        <v>646</v>
      </c>
      <c r="DC4" s="2206" t="s">
        <v>646</v>
      </c>
      <c r="DD4" s="2206" t="s">
        <v>646</v>
      </c>
      <c r="DE4" s="2206" t="s">
        <v>646</v>
      </c>
      <c r="DF4" s="2206" t="s">
        <v>646</v>
      </c>
      <c r="DG4" s="2206" t="s">
        <v>646</v>
      </c>
      <c r="DH4" s="2206" t="s">
        <v>646</v>
      </c>
      <c r="DI4" s="2206" t="s">
        <v>646</v>
      </c>
      <c r="DJ4" s="2206" t="s">
        <v>646</v>
      </c>
      <c r="DK4" s="2206" t="s">
        <v>646</v>
      </c>
      <c r="DL4" s="2206" t="s">
        <v>646</v>
      </c>
      <c r="DM4" s="2206" t="s">
        <v>646</v>
      </c>
      <c r="DN4" s="2206" t="s">
        <v>646</v>
      </c>
      <c r="DO4" s="2206" t="s">
        <v>646</v>
      </c>
      <c r="DP4" s="2206" t="s">
        <v>646</v>
      </c>
      <c r="DQ4" s="2206" t="s">
        <v>646</v>
      </c>
      <c r="DR4" s="2206" t="s">
        <v>646</v>
      </c>
      <c r="DS4" s="2206" t="s">
        <v>646</v>
      </c>
      <c r="DT4" s="2206" t="s">
        <v>646</v>
      </c>
      <c r="DU4" s="2206" t="s">
        <v>646</v>
      </c>
      <c r="DV4" s="2206" t="s">
        <v>646</v>
      </c>
      <c r="DW4" s="2206" t="s">
        <v>646</v>
      </c>
      <c r="DX4" s="2206" t="s">
        <v>646</v>
      </c>
      <c r="DY4" s="2206" t="s">
        <v>646</v>
      </c>
      <c r="DZ4" s="2206" t="s">
        <v>646</v>
      </c>
      <c r="EA4" s="2206" t="s">
        <v>646</v>
      </c>
      <c r="EB4" s="2206" t="s">
        <v>646</v>
      </c>
      <c r="EC4" s="2206" t="s">
        <v>646</v>
      </c>
      <c r="ED4" s="2206" t="s">
        <v>646</v>
      </c>
      <c r="EE4" s="2206" t="s">
        <v>646</v>
      </c>
      <c r="EF4" s="2206" t="s">
        <v>646</v>
      </c>
      <c r="EG4" s="2206" t="s">
        <v>646</v>
      </c>
      <c r="EH4" s="2206" t="s">
        <v>646</v>
      </c>
      <c r="EI4" s="2206" t="s">
        <v>646</v>
      </c>
      <c r="EJ4" s="2206" t="s">
        <v>646</v>
      </c>
      <c r="EK4" s="2206" t="s">
        <v>646</v>
      </c>
      <c r="EL4" s="2206" t="s">
        <v>646</v>
      </c>
      <c r="EM4" s="2206" t="s">
        <v>646</v>
      </c>
      <c r="EN4" s="2206" t="s">
        <v>646</v>
      </c>
      <c r="EO4" s="2206" t="s">
        <v>646</v>
      </c>
      <c r="EP4" s="2206" t="s">
        <v>646</v>
      </c>
      <c r="EQ4" s="2206" t="s">
        <v>646</v>
      </c>
      <c r="ER4" s="2206" t="s">
        <v>646</v>
      </c>
      <c r="ES4" s="2206" t="s">
        <v>646</v>
      </c>
      <c r="ET4" s="2206" t="s">
        <v>646</v>
      </c>
      <c r="EU4" s="2206" t="s">
        <v>646</v>
      </c>
      <c r="EV4" s="2206" t="s">
        <v>646</v>
      </c>
      <c r="EW4" s="2206" t="s">
        <v>646</v>
      </c>
      <c r="EX4" s="2206" t="s">
        <v>646</v>
      </c>
      <c r="EY4" s="2206" t="s">
        <v>646</v>
      </c>
      <c r="EZ4" s="2206" t="s">
        <v>646</v>
      </c>
      <c r="FA4" s="2206" t="s">
        <v>646</v>
      </c>
      <c r="FB4" s="2206" t="s">
        <v>646</v>
      </c>
      <c r="FC4" s="2206" t="s">
        <v>646</v>
      </c>
      <c r="FD4" s="2206" t="s">
        <v>646</v>
      </c>
      <c r="FE4" s="2206" t="s">
        <v>646</v>
      </c>
      <c r="FF4" s="2206" t="s">
        <v>646</v>
      </c>
      <c r="FG4" s="2206" t="s">
        <v>646</v>
      </c>
      <c r="FH4" s="2206" t="s">
        <v>646</v>
      </c>
      <c r="FI4" s="2206" t="s">
        <v>646</v>
      </c>
      <c r="FJ4" s="2206" t="s">
        <v>646</v>
      </c>
      <c r="FK4" s="2206" t="s">
        <v>646</v>
      </c>
      <c r="FL4" s="2206" t="s">
        <v>646</v>
      </c>
      <c r="FM4" s="2206" t="s">
        <v>646</v>
      </c>
      <c r="FN4" s="2206" t="s">
        <v>646</v>
      </c>
      <c r="FO4" s="2206" t="s">
        <v>646</v>
      </c>
      <c r="FP4" s="2206" t="s">
        <v>646</v>
      </c>
      <c r="FQ4" s="2206" t="s">
        <v>646</v>
      </c>
      <c r="FR4" s="2206" t="s">
        <v>646</v>
      </c>
      <c r="FS4" s="2206" t="s">
        <v>646</v>
      </c>
      <c r="FT4" s="2206" t="s">
        <v>646</v>
      </c>
      <c r="FU4" s="2206" t="s">
        <v>646</v>
      </c>
      <c r="FV4" s="2206" t="s">
        <v>646</v>
      </c>
      <c r="FW4" s="2206" t="s">
        <v>646</v>
      </c>
      <c r="FX4" s="2206" t="s">
        <v>646</v>
      </c>
      <c r="FY4" s="2206" t="s">
        <v>646</v>
      </c>
      <c r="FZ4" s="2206" t="s">
        <v>646</v>
      </c>
      <c r="GA4" s="2206" t="s">
        <v>646</v>
      </c>
      <c r="GB4" s="2206" t="s">
        <v>646</v>
      </c>
      <c r="GC4" s="2206" t="s">
        <v>646</v>
      </c>
      <c r="GD4" s="2206" t="s">
        <v>646</v>
      </c>
      <c r="GE4" s="2206" t="s">
        <v>646</v>
      </c>
      <c r="GF4" s="2206" t="s">
        <v>646</v>
      </c>
      <c r="GG4" s="2206" t="s">
        <v>646</v>
      </c>
      <c r="GH4" s="2206" t="s">
        <v>646</v>
      </c>
      <c r="GI4" s="2206" t="s">
        <v>646</v>
      </c>
      <c r="GJ4" s="2206" t="s">
        <v>646</v>
      </c>
      <c r="GK4" s="2206" t="s">
        <v>646</v>
      </c>
      <c r="GL4" s="2206" t="s">
        <v>646</v>
      </c>
      <c r="GM4" s="2206" t="s">
        <v>646</v>
      </c>
      <c r="GN4" s="2206" t="s">
        <v>646</v>
      </c>
      <c r="GO4" s="2206" t="s">
        <v>646</v>
      </c>
      <c r="GP4" s="2206" t="s">
        <v>646</v>
      </c>
      <c r="GQ4" s="2206" t="s">
        <v>646</v>
      </c>
      <c r="GR4" s="2206" t="s">
        <v>646</v>
      </c>
      <c r="GS4" s="2206" t="s">
        <v>646</v>
      </c>
      <c r="GT4" s="2206" t="s">
        <v>646</v>
      </c>
      <c r="GU4" s="2206" t="s">
        <v>646</v>
      </c>
      <c r="GV4" s="2206" t="s">
        <v>646</v>
      </c>
      <c r="GW4" s="2206" t="s">
        <v>646</v>
      </c>
      <c r="GX4" s="2206" t="s">
        <v>646</v>
      </c>
      <c r="GY4" s="2206" t="s">
        <v>646</v>
      </c>
      <c r="GZ4" s="2206" t="s">
        <v>646</v>
      </c>
      <c r="HA4" s="2206" t="s">
        <v>646</v>
      </c>
      <c r="HB4" s="2206" t="s">
        <v>646</v>
      </c>
      <c r="HC4" s="2206" t="s">
        <v>646</v>
      </c>
      <c r="HD4" s="2206" t="s">
        <v>646</v>
      </c>
      <c r="HE4" s="2206" t="s">
        <v>646</v>
      </c>
      <c r="HF4" s="2206" t="s">
        <v>646</v>
      </c>
      <c r="HG4" s="2206" t="s">
        <v>646</v>
      </c>
      <c r="HH4" s="2206" t="s">
        <v>646</v>
      </c>
      <c r="HI4" s="2206" t="s">
        <v>646</v>
      </c>
      <c r="HJ4" s="2206" t="s">
        <v>646</v>
      </c>
      <c r="HK4" s="2206" t="s">
        <v>646</v>
      </c>
      <c r="HL4" s="2206" t="s">
        <v>646</v>
      </c>
      <c r="HM4" s="2206" t="s">
        <v>646</v>
      </c>
      <c r="HN4" s="2206" t="s">
        <v>646</v>
      </c>
      <c r="HO4" s="2206" t="s">
        <v>646</v>
      </c>
      <c r="HP4" s="2206" t="s">
        <v>646</v>
      </c>
      <c r="HQ4" s="2206" t="s">
        <v>646</v>
      </c>
      <c r="HR4" s="2206" t="s">
        <v>646</v>
      </c>
      <c r="HS4" s="2206" t="s">
        <v>646</v>
      </c>
      <c r="HT4" s="2206" t="s">
        <v>646</v>
      </c>
      <c r="HU4" s="2206" t="s">
        <v>646</v>
      </c>
      <c r="HV4" s="2206" t="s">
        <v>646</v>
      </c>
      <c r="HW4" s="2206" t="s">
        <v>646</v>
      </c>
      <c r="HX4" s="2206" t="s">
        <v>646</v>
      </c>
      <c r="HY4" s="2206" t="s">
        <v>646</v>
      </c>
      <c r="HZ4" s="2206" t="s">
        <v>646</v>
      </c>
      <c r="IA4" s="2206" t="s">
        <v>646</v>
      </c>
      <c r="IB4" s="2206" t="s">
        <v>646</v>
      </c>
      <c r="IC4" s="2206" t="s">
        <v>646</v>
      </c>
      <c r="ID4" s="2206" t="s">
        <v>646</v>
      </c>
      <c r="IE4" s="2206" t="s">
        <v>646</v>
      </c>
      <c r="IF4" s="2206" t="s">
        <v>646</v>
      </c>
      <c r="IG4" s="2206" t="s">
        <v>646</v>
      </c>
      <c r="IH4" s="2206" t="s">
        <v>646</v>
      </c>
      <c r="II4" s="2206" t="s">
        <v>646</v>
      </c>
      <c r="IJ4" s="2206" t="s">
        <v>646</v>
      </c>
      <c r="IK4" s="2206" t="s">
        <v>646</v>
      </c>
      <c r="IL4" s="2206" t="s">
        <v>646</v>
      </c>
      <c r="IM4" s="2206" t="s">
        <v>646</v>
      </c>
      <c r="IN4" s="2206" t="s">
        <v>646</v>
      </c>
      <c r="IO4" s="2206" t="s">
        <v>646</v>
      </c>
      <c r="IP4" s="2206" t="s">
        <v>750</v>
      </c>
      <c r="IQ4" s="2206" t="s">
        <v>646</v>
      </c>
      <c r="IR4" s="2206" t="s">
        <v>646</v>
      </c>
      <c r="IS4" s="2206" t="s">
        <v>646</v>
      </c>
      <c r="IT4" s="2206" t="s">
        <v>646</v>
      </c>
      <c r="IU4" s="2938" t="s">
        <v>646</v>
      </c>
      <c r="IV4" s="2938" t="s">
        <v>646</v>
      </c>
      <c r="IW4" s="2938" t="s">
        <v>646</v>
      </c>
      <c r="IX4" s="2938" t="s">
        <v>646</v>
      </c>
      <c r="IY4" s="2207"/>
    </row>
    <row r="5" spans="1:260">
      <c r="A5" s="2205" t="s">
        <v>582</v>
      </c>
      <c r="B5" s="2206" t="s">
        <v>2490</v>
      </c>
      <c r="C5" s="2206" t="s">
        <v>2490</v>
      </c>
      <c r="D5" s="2206" t="s">
        <v>2490</v>
      </c>
      <c r="E5" s="2206" t="s">
        <v>2490</v>
      </c>
      <c r="F5" s="2206" t="s">
        <v>2490</v>
      </c>
      <c r="G5" s="2206" t="s">
        <v>2490</v>
      </c>
      <c r="H5" s="2206" t="s">
        <v>2490</v>
      </c>
      <c r="I5" s="2206" t="s">
        <v>2490</v>
      </c>
      <c r="J5" s="2206" t="s">
        <v>2490</v>
      </c>
      <c r="K5" s="2206" t="s">
        <v>2490</v>
      </c>
      <c r="L5" s="2206" t="s">
        <v>2490</v>
      </c>
      <c r="M5" s="2206" t="s">
        <v>2490</v>
      </c>
      <c r="N5" s="2206" t="s">
        <v>2490</v>
      </c>
      <c r="O5" s="2206" t="s">
        <v>2490</v>
      </c>
      <c r="P5" s="2206" t="s">
        <v>2490</v>
      </c>
      <c r="Q5" s="2206" t="s">
        <v>2490</v>
      </c>
      <c r="R5" s="2206" t="s">
        <v>2052</v>
      </c>
      <c r="S5" s="2206" t="s">
        <v>2052</v>
      </c>
      <c r="T5" s="2206" t="s">
        <v>2052</v>
      </c>
      <c r="U5" s="2206" t="s">
        <v>2052</v>
      </c>
      <c r="V5" s="2206" t="s">
        <v>2052</v>
      </c>
      <c r="W5" s="2206" t="s">
        <v>2052</v>
      </c>
      <c r="X5" s="2206" t="s">
        <v>2052</v>
      </c>
      <c r="Y5" s="2206" t="s">
        <v>2052</v>
      </c>
      <c r="Z5" s="2222" t="s">
        <v>2052</v>
      </c>
      <c r="AA5" s="2832" t="s">
        <v>2052</v>
      </c>
      <c r="AB5" s="2206" t="s">
        <v>2052</v>
      </c>
      <c r="AC5" s="2206" t="s">
        <v>2052</v>
      </c>
      <c r="AD5" s="2222" t="s">
        <v>2052</v>
      </c>
      <c r="AE5" s="2206" t="s">
        <v>2052</v>
      </c>
      <c r="AF5" s="2206" t="s">
        <v>2052</v>
      </c>
      <c r="AG5" s="2206" t="s">
        <v>2052</v>
      </c>
      <c r="AH5" s="2206" t="s">
        <v>2052</v>
      </c>
      <c r="AI5" s="2206" t="s">
        <v>2052</v>
      </c>
      <c r="AJ5" s="2206" t="s">
        <v>2052</v>
      </c>
      <c r="AK5" s="2206" t="s">
        <v>4237</v>
      </c>
      <c r="AL5" s="2206" t="s">
        <v>4237</v>
      </c>
      <c r="AM5" s="2206" t="s">
        <v>4237</v>
      </c>
      <c r="AN5" s="2206" t="s">
        <v>4237</v>
      </c>
      <c r="AO5" s="2206" t="s">
        <v>4237</v>
      </c>
      <c r="AP5" s="2206" t="s">
        <v>4237</v>
      </c>
      <c r="AQ5" s="2222" t="s">
        <v>4230</v>
      </c>
      <c r="AR5" s="2222" t="s">
        <v>4230</v>
      </c>
      <c r="AS5" s="2206" t="s">
        <v>4230</v>
      </c>
      <c r="AT5" s="2206" t="s">
        <v>4230</v>
      </c>
      <c r="AU5" s="2832" t="s">
        <v>4230</v>
      </c>
      <c r="AV5" s="2206" t="s">
        <v>4230</v>
      </c>
      <c r="AW5" s="2206" t="s">
        <v>4230</v>
      </c>
      <c r="AX5" s="2206" t="s">
        <v>4230</v>
      </c>
      <c r="AY5" s="2206" t="s">
        <v>4230</v>
      </c>
      <c r="AZ5" s="2206" t="s">
        <v>4230</v>
      </c>
      <c r="BA5" s="2206" t="s">
        <v>4230</v>
      </c>
      <c r="BB5" s="2206" t="s">
        <v>4230</v>
      </c>
      <c r="BC5" s="2206" t="s">
        <v>2052</v>
      </c>
      <c r="BD5" s="2206" t="s">
        <v>2052</v>
      </c>
      <c r="BE5" s="2206" t="s">
        <v>4230</v>
      </c>
      <c r="BF5" s="2206" t="s">
        <v>2490</v>
      </c>
      <c r="BG5" s="2206" t="s">
        <v>4237</v>
      </c>
      <c r="BH5" s="2206" t="s">
        <v>2052</v>
      </c>
      <c r="BI5" s="2206" t="s">
        <v>2052</v>
      </c>
      <c r="BJ5" s="2206" t="s">
        <v>4237</v>
      </c>
      <c r="BK5" s="2206" t="s">
        <v>4237</v>
      </c>
      <c r="BL5" s="2206" t="s">
        <v>2490</v>
      </c>
      <c r="BM5" s="2206" t="s">
        <v>2490</v>
      </c>
      <c r="BN5" s="2206" t="s">
        <v>4230</v>
      </c>
      <c r="BO5" s="2206" t="s">
        <v>2490</v>
      </c>
      <c r="BP5" s="2206" t="s">
        <v>2490</v>
      </c>
      <c r="BQ5" s="2206" t="s">
        <v>2052</v>
      </c>
      <c r="BR5" s="2206" t="s">
        <v>2490</v>
      </c>
      <c r="BS5" s="2206" t="s">
        <v>2490</v>
      </c>
      <c r="BT5" s="2206" t="s">
        <v>2490</v>
      </c>
      <c r="BU5" s="2206" t="s">
        <v>2490</v>
      </c>
      <c r="BV5" s="2206" t="s">
        <v>2490</v>
      </c>
      <c r="BW5" s="2206" t="s">
        <v>2490</v>
      </c>
      <c r="BX5" s="2206" t="s">
        <v>2490</v>
      </c>
      <c r="BY5" s="2206" t="s">
        <v>4237</v>
      </c>
      <c r="BZ5" s="2206" t="s">
        <v>2490</v>
      </c>
      <c r="CA5" s="2206" t="s">
        <v>4230</v>
      </c>
      <c r="CB5" s="2206" t="s">
        <v>4230</v>
      </c>
      <c r="CC5" s="2206" t="s">
        <v>4230</v>
      </c>
      <c r="CD5" s="2206" t="s">
        <v>4230</v>
      </c>
      <c r="CE5" s="2206" t="s">
        <v>2490</v>
      </c>
      <c r="CF5" s="2206" t="s">
        <v>2490</v>
      </c>
      <c r="CG5" s="2206" t="s">
        <v>2490</v>
      </c>
      <c r="CH5" s="2206" t="s">
        <v>2052</v>
      </c>
      <c r="CI5" s="2206" t="s">
        <v>4237</v>
      </c>
      <c r="CJ5" s="2206" t="s">
        <v>4230</v>
      </c>
      <c r="CK5" s="2206" t="s">
        <v>4230</v>
      </c>
      <c r="CL5" s="2206" t="s">
        <v>2052</v>
      </c>
      <c r="CM5" s="2206" t="s">
        <v>4230</v>
      </c>
      <c r="CN5" s="2206" t="s">
        <v>2052</v>
      </c>
      <c r="CO5" s="2206" t="s">
        <v>4237</v>
      </c>
      <c r="CP5" s="2206" t="s">
        <v>4237</v>
      </c>
      <c r="CQ5" s="2206" t="s">
        <v>4230</v>
      </c>
      <c r="CR5" s="2206" t="s">
        <v>4230</v>
      </c>
      <c r="CS5" s="2206" t="s">
        <v>4230</v>
      </c>
      <c r="CT5" s="2206" t="s">
        <v>4230</v>
      </c>
      <c r="CU5" s="2206" t="s">
        <v>4230</v>
      </c>
      <c r="CV5" s="2206" t="s">
        <v>4237</v>
      </c>
      <c r="CW5" s="2206" t="s">
        <v>4230</v>
      </c>
      <c r="CX5" s="2206" t="s">
        <v>2052</v>
      </c>
      <c r="CY5" s="2206" t="s">
        <v>4230</v>
      </c>
      <c r="CZ5" s="2206" t="s">
        <v>4237</v>
      </c>
      <c r="DA5" s="2206" t="s">
        <v>2052</v>
      </c>
      <c r="DB5" s="2206" t="s">
        <v>2052</v>
      </c>
      <c r="DC5" s="2206" t="s">
        <v>4230</v>
      </c>
      <c r="DD5" s="2206" t="s">
        <v>4237</v>
      </c>
      <c r="DE5" s="2206" t="s">
        <v>2052</v>
      </c>
      <c r="DF5" s="2206" t="s">
        <v>4230</v>
      </c>
      <c r="DG5" s="2206" t="s">
        <v>2052</v>
      </c>
      <c r="DH5" s="2206" t="s">
        <v>4237</v>
      </c>
      <c r="DI5" s="2206" t="s">
        <v>2490</v>
      </c>
      <c r="DJ5" s="2206" t="s">
        <v>4237</v>
      </c>
      <c r="DK5" s="2206" t="s">
        <v>2052</v>
      </c>
      <c r="DL5" s="2206" t="s">
        <v>2490</v>
      </c>
      <c r="DM5" s="2206" t="s">
        <v>2490</v>
      </c>
      <c r="DN5" s="2206" t="s">
        <v>4230</v>
      </c>
      <c r="DO5" s="2206" t="s">
        <v>4230</v>
      </c>
      <c r="DP5" s="2206" t="s">
        <v>4237</v>
      </c>
      <c r="DQ5" s="2206" t="s">
        <v>2490</v>
      </c>
      <c r="DR5" s="2206" t="s">
        <v>4230</v>
      </c>
      <c r="DS5" s="2206" t="s">
        <v>4230</v>
      </c>
      <c r="DT5" s="2206" t="s">
        <v>2052</v>
      </c>
      <c r="DU5" s="2206" t="s">
        <v>2052</v>
      </c>
      <c r="DV5" s="2206" t="s">
        <v>2490</v>
      </c>
      <c r="DW5" s="2206" t="s">
        <v>4237</v>
      </c>
      <c r="DX5" s="2206" t="s">
        <v>4230</v>
      </c>
      <c r="DY5" s="2206" t="s">
        <v>2490</v>
      </c>
      <c r="DZ5" s="2206" t="s">
        <v>2490</v>
      </c>
      <c r="EA5" s="2206" t="s">
        <v>2052</v>
      </c>
      <c r="EB5" s="2206" t="s">
        <v>4230</v>
      </c>
      <c r="EC5" s="2206" t="s">
        <v>4230</v>
      </c>
      <c r="ED5" s="2206" t="s">
        <v>2052</v>
      </c>
      <c r="EE5" s="2206" t="s">
        <v>2490</v>
      </c>
      <c r="EF5" s="2206" t="s">
        <v>2490</v>
      </c>
      <c r="EG5" s="2206" t="s">
        <v>2490</v>
      </c>
      <c r="EH5" s="2206" t="s">
        <v>2490</v>
      </c>
      <c r="EI5" s="2206" t="s">
        <v>2052</v>
      </c>
      <c r="EJ5" s="2206" t="s">
        <v>2490</v>
      </c>
      <c r="EK5" s="2206" t="s">
        <v>2052</v>
      </c>
      <c r="EL5" s="2206" t="s">
        <v>2490</v>
      </c>
      <c r="EM5" s="2206" t="s">
        <v>2490</v>
      </c>
      <c r="EN5" s="2206" t="s">
        <v>4237</v>
      </c>
      <c r="EO5" s="2206" t="s">
        <v>4230</v>
      </c>
      <c r="EP5" s="2206" t="s">
        <v>2490</v>
      </c>
      <c r="EQ5" s="2206" t="s">
        <v>2490</v>
      </c>
      <c r="ER5" s="2206" t="s">
        <v>2052</v>
      </c>
      <c r="ES5" s="2206" t="s">
        <v>4230</v>
      </c>
      <c r="ET5" s="2206" t="s">
        <v>2490</v>
      </c>
      <c r="EU5" s="2206" t="s">
        <v>2490</v>
      </c>
      <c r="EV5" s="2206" t="s">
        <v>2052</v>
      </c>
      <c r="EW5" s="2206" t="s">
        <v>2490</v>
      </c>
      <c r="EX5" s="2206" t="s">
        <v>2052</v>
      </c>
      <c r="EY5" s="2206" t="s">
        <v>4230</v>
      </c>
      <c r="EZ5" s="2206" t="s">
        <v>2052</v>
      </c>
      <c r="FA5" s="2206" t="s">
        <v>4237</v>
      </c>
      <c r="FB5" s="2206" t="s">
        <v>2490</v>
      </c>
      <c r="FC5" s="2206" t="s">
        <v>2490</v>
      </c>
      <c r="FD5" s="2206" t="s">
        <v>2490</v>
      </c>
      <c r="FE5" s="2206" t="s">
        <v>2490</v>
      </c>
      <c r="FF5" s="2206" t="s">
        <v>2490</v>
      </c>
      <c r="FG5" s="2206" t="s">
        <v>2490</v>
      </c>
      <c r="FH5" s="2206" t="s">
        <v>4237</v>
      </c>
      <c r="FI5" s="2206" t="s">
        <v>2052</v>
      </c>
      <c r="FJ5" s="2206" t="s">
        <v>2490</v>
      </c>
      <c r="FK5" s="2206" t="s">
        <v>2490</v>
      </c>
      <c r="FL5" s="2206" t="s">
        <v>4230</v>
      </c>
      <c r="FM5" s="2206" t="s">
        <v>4230</v>
      </c>
      <c r="FN5" s="2206" t="s">
        <v>4230</v>
      </c>
      <c r="FO5" s="2206" t="s">
        <v>2052</v>
      </c>
      <c r="FP5" s="2206" t="s">
        <v>2490</v>
      </c>
      <c r="FQ5" s="2206" t="s">
        <v>2052</v>
      </c>
      <c r="FR5" s="2206" t="s">
        <v>3303</v>
      </c>
      <c r="FS5" s="2206" t="s">
        <v>2490</v>
      </c>
      <c r="FT5" s="2206" t="s">
        <v>4230</v>
      </c>
      <c r="FU5" s="2206" t="s">
        <v>4230</v>
      </c>
      <c r="FV5" s="2206" t="s">
        <v>2490</v>
      </c>
      <c r="FW5" s="2206" t="s">
        <v>2490</v>
      </c>
      <c r="FX5" s="2206" t="s">
        <v>4230</v>
      </c>
      <c r="FY5" s="2206" t="s">
        <v>2052</v>
      </c>
      <c r="FZ5" s="2206" t="s">
        <v>2490</v>
      </c>
      <c r="GA5" s="2206" t="s">
        <v>4230</v>
      </c>
      <c r="GB5" s="2206" t="s">
        <v>4237</v>
      </c>
      <c r="GC5" s="2206" t="s">
        <v>4230</v>
      </c>
      <c r="GD5" s="2206" t="s">
        <v>2490</v>
      </c>
      <c r="GE5" s="2206" t="s">
        <v>4237</v>
      </c>
      <c r="GF5" s="2206" t="s">
        <v>2490</v>
      </c>
      <c r="GG5" s="2206" t="s">
        <v>2490</v>
      </c>
      <c r="GH5" s="2206" t="s">
        <v>2490</v>
      </c>
      <c r="GI5" s="2206" t="s">
        <v>2490</v>
      </c>
      <c r="GJ5" s="2206" t="s">
        <v>2052</v>
      </c>
      <c r="GK5" s="2206" t="s">
        <v>2490</v>
      </c>
      <c r="GL5" s="2206" t="s">
        <v>2490</v>
      </c>
      <c r="GM5" s="2206" t="s">
        <v>2490</v>
      </c>
      <c r="GN5" s="2206" t="s">
        <v>4230</v>
      </c>
      <c r="GO5" s="2206" t="s">
        <v>4237</v>
      </c>
      <c r="GP5" s="2206" t="s">
        <v>3303</v>
      </c>
      <c r="GQ5" s="2206" t="s">
        <v>2490</v>
      </c>
      <c r="GR5" s="2206" t="s">
        <v>4230</v>
      </c>
      <c r="GS5" s="2206" t="s">
        <v>4230</v>
      </c>
      <c r="GT5" s="2206" t="s">
        <v>2490</v>
      </c>
      <c r="GU5" s="2206" t="s">
        <v>2490</v>
      </c>
      <c r="GV5" s="2206" t="s">
        <v>2490</v>
      </c>
      <c r="GW5" s="2206" t="s">
        <v>4237</v>
      </c>
      <c r="GX5" s="2206" t="s">
        <v>4230</v>
      </c>
      <c r="GY5" s="2206" t="s">
        <v>2490</v>
      </c>
      <c r="GZ5" s="2206" t="s">
        <v>4230</v>
      </c>
      <c r="HA5" s="2206" t="s">
        <v>2490</v>
      </c>
      <c r="HB5" s="2206" t="s">
        <v>4230</v>
      </c>
      <c r="HC5" s="2206" t="s">
        <v>2490</v>
      </c>
      <c r="HD5" s="2206" t="s">
        <v>2490</v>
      </c>
      <c r="HE5" s="2206" t="s">
        <v>2490</v>
      </c>
      <c r="HF5" s="2206" t="s">
        <v>4237</v>
      </c>
      <c r="HG5" s="2206" t="s">
        <v>4237</v>
      </c>
      <c r="HH5" s="2206" t="s">
        <v>2052</v>
      </c>
      <c r="HI5" s="2206" t="s">
        <v>2052</v>
      </c>
      <c r="HJ5" s="2206" t="s">
        <v>4230</v>
      </c>
      <c r="HK5" s="2206" t="s">
        <v>4230</v>
      </c>
      <c r="HL5" s="2206" t="s">
        <v>2490</v>
      </c>
      <c r="HM5" s="2206" t="s">
        <v>2490</v>
      </c>
      <c r="HN5" s="2206" t="s">
        <v>4230</v>
      </c>
      <c r="HO5" s="2206" t="s">
        <v>2490</v>
      </c>
      <c r="HP5" s="2206" t="s">
        <v>2052</v>
      </c>
      <c r="HQ5" s="2206" t="s">
        <v>2490</v>
      </c>
      <c r="HR5" s="2206" t="s">
        <v>2490</v>
      </c>
      <c r="HS5" s="2206" t="s">
        <v>4230</v>
      </c>
      <c r="HT5" s="2206" t="s">
        <v>2490</v>
      </c>
      <c r="HU5" s="2206" t="s">
        <v>2490</v>
      </c>
      <c r="HV5" s="2206" t="s">
        <v>2052</v>
      </c>
      <c r="HW5" s="2206" t="s">
        <v>4230</v>
      </c>
      <c r="HX5" s="2206" t="s">
        <v>2052</v>
      </c>
      <c r="HY5" s="2206" t="s">
        <v>2490</v>
      </c>
      <c r="HZ5" s="2206" t="s">
        <v>2490</v>
      </c>
      <c r="IA5" s="2206" t="s">
        <v>4230</v>
      </c>
      <c r="IB5" s="2206" t="s">
        <v>2052</v>
      </c>
      <c r="IC5" s="2206" t="s">
        <v>2490</v>
      </c>
      <c r="ID5" s="2206" t="s">
        <v>4237</v>
      </c>
      <c r="IE5" s="2206" t="s">
        <v>2490</v>
      </c>
      <c r="IF5" s="2206" t="s">
        <v>2490</v>
      </c>
      <c r="IG5" s="2206" t="s">
        <v>2490</v>
      </c>
      <c r="IH5" s="2206" t="s">
        <v>2490</v>
      </c>
      <c r="II5" s="2206" t="s">
        <v>4230</v>
      </c>
      <c r="IJ5" s="2206" t="s">
        <v>2052</v>
      </c>
      <c r="IK5" s="2206" t="s">
        <v>2052</v>
      </c>
      <c r="IL5" s="2206" t="s">
        <v>2052</v>
      </c>
      <c r="IM5" s="2206" t="s">
        <v>2052</v>
      </c>
      <c r="IN5" s="2206" t="s">
        <v>2490</v>
      </c>
      <c r="IO5" s="2206" t="s">
        <v>2490</v>
      </c>
      <c r="IP5" s="2206" t="s">
        <v>4237</v>
      </c>
      <c r="IQ5" s="2206" t="s">
        <v>2490</v>
      </c>
      <c r="IR5" s="2206" t="s">
        <v>2052</v>
      </c>
      <c r="IS5" s="2206" t="s">
        <v>4230</v>
      </c>
      <c r="IT5" s="2206" t="s">
        <v>4230</v>
      </c>
      <c r="IU5" s="2832" t="s">
        <v>4237</v>
      </c>
      <c r="IV5" s="2832" t="s">
        <v>4237</v>
      </c>
      <c r="IW5" s="2832" t="s">
        <v>4237</v>
      </c>
      <c r="IX5" s="49" t="s">
        <v>4237</v>
      </c>
      <c r="IY5" s="2207"/>
    </row>
    <row r="6" spans="1:260">
      <c r="A6" s="2205" t="s">
        <v>583</v>
      </c>
      <c r="B6" s="2211"/>
      <c r="C6" s="2212">
        <v>157</v>
      </c>
      <c r="D6" s="2212">
        <v>191</v>
      </c>
      <c r="E6" s="2212">
        <v>4</v>
      </c>
      <c r="F6" s="2212">
        <v>370</v>
      </c>
      <c r="G6" s="2211"/>
      <c r="H6" s="2212">
        <v>499</v>
      </c>
      <c r="I6" s="2211"/>
      <c r="J6" s="2211"/>
      <c r="K6" s="2212">
        <v>1008</v>
      </c>
      <c r="L6" s="2212">
        <v>1817</v>
      </c>
      <c r="M6" s="2211"/>
      <c r="N6" s="2212">
        <v>3244</v>
      </c>
      <c r="O6" s="2211"/>
      <c r="P6" s="2212">
        <v>2775</v>
      </c>
      <c r="Q6" s="2211"/>
      <c r="R6" s="2212">
        <v>4</v>
      </c>
      <c r="S6" s="2212">
        <v>4</v>
      </c>
      <c r="T6" s="2211"/>
      <c r="U6" s="2212">
        <v>961</v>
      </c>
      <c r="V6" s="2212">
        <v>6405</v>
      </c>
      <c r="W6" s="2211"/>
      <c r="X6" s="2212">
        <v>109</v>
      </c>
      <c r="Y6" s="2212">
        <v>20</v>
      </c>
      <c r="Z6" s="2223">
        <v>267</v>
      </c>
      <c r="AA6" s="2913"/>
      <c r="AB6" s="2212">
        <v>376</v>
      </c>
      <c r="AC6" s="2211"/>
      <c r="AD6" s="2223">
        <v>3481</v>
      </c>
      <c r="AE6" s="2212">
        <v>227</v>
      </c>
      <c r="AF6" s="2212">
        <v>8</v>
      </c>
      <c r="AG6" s="2212">
        <v>5058</v>
      </c>
      <c r="AH6" s="2212">
        <v>22</v>
      </c>
      <c r="AI6" s="2212">
        <v>228</v>
      </c>
      <c r="AJ6" s="2212">
        <v>7453</v>
      </c>
      <c r="AK6" s="2212">
        <v>3344</v>
      </c>
      <c r="AL6" s="2212">
        <v>1705</v>
      </c>
      <c r="AM6" s="2212">
        <v>3176</v>
      </c>
      <c r="AN6" s="2212"/>
      <c r="AO6" s="2212"/>
      <c r="AP6" s="2212"/>
      <c r="AQ6" s="2223">
        <v>23495</v>
      </c>
      <c r="AR6" s="2223">
        <v>8230</v>
      </c>
      <c r="AS6" s="2212">
        <v>14448</v>
      </c>
      <c r="AT6" s="2212">
        <v>20296</v>
      </c>
      <c r="AU6" s="2911">
        <v>19431</v>
      </c>
      <c r="AV6" s="2212">
        <v>13348</v>
      </c>
      <c r="AW6" s="2212">
        <v>6282</v>
      </c>
      <c r="AX6" s="2212">
        <v>5415</v>
      </c>
      <c r="AY6" s="2212">
        <v>4830</v>
      </c>
      <c r="AZ6" s="2212">
        <v>3010</v>
      </c>
      <c r="BA6" s="2212">
        <v>2407</v>
      </c>
      <c r="BB6" s="2212">
        <v>2165</v>
      </c>
      <c r="BC6" s="2212">
        <v>1848</v>
      </c>
      <c r="BD6" s="2212">
        <v>1313</v>
      </c>
      <c r="BE6" s="2212">
        <v>1282</v>
      </c>
      <c r="BF6" s="2212">
        <v>1051</v>
      </c>
      <c r="BG6" s="2212">
        <v>970</v>
      </c>
      <c r="BH6" s="2212">
        <v>555</v>
      </c>
      <c r="BI6" s="2212">
        <v>508</v>
      </c>
      <c r="BJ6" s="2212">
        <v>309</v>
      </c>
      <c r="BK6" s="2212">
        <v>309</v>
      </c>
      <c r="BL6" s="2212">
        <v>302</v>
      </c>
      <c r="BM6" s="2212">
        <v>289</v>
      </c>
      <c r="BN6" s="2212">
        <v>270</v>
      </c>
      <c r="BO6" s="2212">
        <v>235</v>
      </c>
      <c r="BP6" s="2212">
        <v>175</v>
      </c>
      <c r="BQ6" s="2212">
        <v>166</v>
      </c>
      <c r="BR6" s="2212">
        <v>121</v>
      </c>
      <c r="BS6" s="2212">
        <v>120</v>
      </c>
      <c r="BT6" s="2212">
        <v>118</v>
      </c>
      <c r="BU6" s="2212">
        <v>113</v>
      </c>
      <c r="BV6" s="2212">
        <v>102</v>
      </c>
      <c r="BW6" s="2212">
        <v>68</v>
      </c>
      <c r="BX6" s="2212">
        <v>48</v>
      </c>
      <c r="BY6" s="2212">
        <v>32</v>
      </c>
      <c r="BZ6" s="2212">
        <v>29</v>
      </c>
      <c r="CA6" s="2212">
        <v>28</v>
      </c>
      <c r="CB6" s="2212">
        <v>20</v>
      </c>
      <c r="CC6" s="2212">
        <v>20</v>
      </c>
      <c r="CD6" s="2212">
        <v>12</v>
      </c>
      <c r="CE6" s="2212">
        <v>10</v>
      </c>
      <c r="CF6" s="2212">
        <v>9</v>
      </c>
      <c r="CG6" s="2212">
        <v>8</v>
      </c>
      <c r="CH6" s="2212">
        <v>238</v>
      </c>
      <c r="CI6" s="2212">
        <v>3</v>
      </c>
      <c r="CJ6" s="2212">
        <v>8350</v>
      </c>
      <c r="CK6" s="2212">
        <v>3068</v>
      </c>
      <c r="CL6" s="2212">
        <v>1762</v>
      </c>
      <c r="CM6" s="2212">
        <v>1394</v>
      </c>
      <c r="CN6" s="2212">
        <v>1312</v>
      </c>
      <c r="CO6" s="2212">
        <v>1077</v>
      </c>
      <c r="CP6" s="2212">
        <v>988</v>
      </c>
      <c r="CQ6" s="2212">
        <v>950</v>
      </c>
      <c r="CR6" s="2212">
        <v>785</v>
      </c>
      <c r="CS6" s="2212">
        <v>780</v>
      </c>
      <c r="CT6" s="2212">
        <v>770</v>
      </c>
      <c r="CU6" s="2212">
        <v>770</v>
      </c>
      <c r="CV6" s="2212">
        <v>732</v>
      </c>
      <c r="CW6" s="2212">
        <v>574</v>
      </c>
      <c r="CX6" s="2212">
        <v>527</v>
      </c>
      <c r="CY6" s="2212">
        <v>446</v>
      </c>
      <c r="CZ6" s="2212">
        <v>423</v>
      </c>
      <c r="DA6" s="2212">
        <v>423</v>
      </c>
      <c r="DB6" s="2212">
        <v>422</v>
      </c>
      <c r="DC6" s="2212">
        <v>309</v>
      </c>
      <c r="DD6" s="2212">
        <v>309</v>
      </c>
      <c r="DE6" s="2212">
        <v>270</v>
      </c>
      <c r="DF6" s="2212">
        <v>246</v>
      </c>
      <c r="DG6" s="2212">
        <v>236</v>
      </c>
      <c r="DH6" s="2212">
        <v>217</v>
      </c>
      <c r="DI6" s="2212">
        <v>160</v>
      </c>
      <c r="DJ6" s="2212">
        <v>157</v>
      </c>
      <c r="DK6" s="2212">
        <v>148</v>
      </c>
      <c r="DL6" s="2212">
        <v>144</v>
      </c>
      <c r="DM6" s="2212">
        <v>138</v>
      </c>
      <c r="DN6" s="2212">
        <v>131</v>
      </c>
      <c r="DO6" s="2212">
        <v>127</v>
      </c>
      <c r="DP6" s="2212">
        <v>119</v>
      </c>
      <c r="DQ6" s="2212">
        <v>110</v>
      </c>
      <c r="DR6" s="2212">
        <v>102</v>
      </c>
      <c r="DS6" s="2212">
        <v>100</v>
      </c>
      <c r="DT6" s="2212">
        <v>100</v>
      </c>
      <c r="DU6" s="2212">
        <v>98</v>
      </c>
      <c r="DV6" s="2212">
        <v>94</v>
      </c>
      <c r="DW6" s="2212">
        <v>85</v>
      </c>
      <c r="DX6" s="2212">
        <v>83</v>
      </c>
      <c r="DY6" s="2212">
        <v>83</v>
      </c>
      <c r="DZ6" s="2212">
        <v>80</v>
      </c>
      <c r="EA6" s="2212">
        <v>76</v>
      </c>
      <c r="EB6" s="2212">
        <v>74</v>
      </c>
      <c r="EC6" s="2212">
        <v>73</v>
      </c>
      <c r="ED6" s="2212">
        <v>72</v>
      </c>
      <c r="EE6" s="2212">
        <v>66</v>
      </c>
      <c r="EF6" s="2212">
        <v>65</v>
      </c>
      <c r="EG6" s="2212">
        <v>56</v>
      </c>
      <c r="EH6" s="2212">
        <v>54</v>
      </c>
      <c r="EI6" s="2212">
        <v>53</v>
      </c>
      <c r="EJ6" s="2212">
        <v>53</v>
      </c>
      <c r="EK6" s="2212">
        <v>52</v>
      </c>
      <c r="EL6" s="2212">
        <v>51</v>
      </c>
      <c r="EM6" s="2212">
        <v>47</v>
      </c>
      <c r="EN6" s="2212">
        <v>46</v>
      </c>
      <c r="EO6" s="2212">
        <v>45</v>
      </c>
      <c r="EP6" s="2212">
        <v>44</v>
      </c>
      <c r="EQ6" s="2212">
        <v>44</v>
      </c>
      <c r="ER6" s="2212">
        <v>44</v>
      </c>
      <c r="ES6" s="2212">
        <v>43</v>
      </c>
      <c r="ET6" s="2212">
        <v>41</v>
      </c>
      <c r="EU6" s="2212">
        <v>40</v>
      </c>
      <c r="EV6" s="2212">
        <v>40</v>
      </c>
      <c r="EW6" s="2212">
        <v>38</v>
      </c>
      <c r="EX6" s="2212">
        <v>38</v>
      </c>
      <c r="EY6" s="2212">
        <v>37</v>
      </c>
      <c r="EZ6" s="2212">
        <v>37</v>
      </c>
      <c r="FA6" s="2212">
        <v>37</v>
      </c>
      <c r="FB6" s="2212">
        <v>36</v>
      </c>
      <c r="FC6" s="2212">
        <v>36</v>
      </c>
      <c r="FD6" s="2212">
        <v>36</v>
      </c>
      <c r="FE6" s="2212">
        <v>35</v>
      </c>
      <c r="FF6" s="2212">
        <v>34</v>
      </c>
      <c r="FG6" s="2212">
        <v>33</v>
      </c>
      <c r="FH6" s="2212">
        <v>32</v>
      </c>
      <c r="FI6" s="2212">
        <v>32</v>
      </c>
      <c r="FJ6" s="2212">
        <v>32</v>
      </c>
      <c r="FK6" s="2212">
        <v>30</v>
      </c>
      <c r="FL6" s="2212">
        <v>29</v>
      </c>
      <c r="FM6" s="2212">
        <v>29</v>
      </c>
      <c r="FN6" s="2212">
        <v>29</v>
      </c>
      <c r="FO6" s="2212">
        <v>28</v>
      </c>
      <c r="FP6" s="2212">
        <v>26</v>
      </c>
      <c r="FQ6" s="2212">
        <v>26</v>
      </c>
      <c r="FR6" s="2212">
        <v>25</v>
      </c>
      <c r="FS6" s="2212">
        <v>24</v>
      </c>
      <c r="FT6" s="2212">
        <v>24</v>
      </c>
      <c r="FU6" s="2212">
        <v>24</v>
      </c>
      <c r="FV6" s="2212">
        <v>24</v>
      </c>
      <c r="FW6" s="2212">
        <v>22</v>
      </c>
      <c r="FX6" s="2212">
        <v>20</v>
      </c>
      <c r="FY6" s="2212">
        <v>20</v>
      </c>
      <c r="FZ6" s="2212">
        <v>20</v>
      </c>
      <c r="GA6" s="2212">
        <v>20</v>
      </c>
      <c r="GB6" s="2212">
        <v>20</v>
      </c>
      <c r="GC6" s="2212">
        <v>20</v>
      </c>
      <c r="GD6" s="2212">
        <v>20</v>
      </c>
      <c r="GE6" s="2212">
        <v>20</v>
      </c>
      <c r="GF6" s="2212">
        <v>18</v>
      </c>
      <c r="GG6" s="2212">
        <v>16</v>
      </c>
      <c r="GH6" s="2212">
        <v>16</v>
      </c>
      <c r="GI6" s="2212">
        <v>16</v>
      </c>
      <c r="GJ6" s="2212">
        <v>16</v>
      </c>
      <c r="GK6" s="2212">
        <v>16</v>
      </c>
      <c r="GL6" s="2212">
        <v>16</v>
      </c>
      <c r="GM6" s="2212">
        <v>14</v>
      </c>
      <c r="GN6" s="2212">
        <v>14</v>
      </c>
      <c r="GO6" s="2212">
        <v>13</v>
      </c>
      <c r="GP6" s="2212">
        <v>12</v>
      </c>
      <c r="GQ6" s="2212">
        <v>12</v>
      </c>
      <c r="GR6" s="2212">
        <v>12</v>
      </c>
      <c r="GS6" s="2212">
        <v>12</v>
      </c>
      <c r="GT6" s="2212">
        <v>12</v>
      </c>
      <c r="GU6" s="2212">
        <v>12</v>
      </c>
      <c r="GV6" s="2212">
        <v>10</v>
      </c>
      <c r="GW6" s="2212">
        <v>10</v>
      </c>
      <c r="GX6" s="2212">
        <v>9</v>
      </c>
      <c r="GY6" s="2212">
        <v>8</v>
      </c>
      <c r="GZ6" s="2212">
        <v>8</v>
      </c>
      <c r="HA6" s="2212">
        <v>8</v>
      </c>
      <c r="HB6" s="2212">
        <v>8</v>
      </c>
      <c r="HC6" s="2212">
        <v>8</v>
      </c>
      <c r="HD6" s="2212">
        <v>8</v>
      </c>
      <c r="HE6" s="2212">
        <v>8</v>
      </c>
      <c r="HF6" s="2212">
        <v>8</v>
      </c>
      <c r="HG6" s="2212">
        <v>8</v>
      </c>
      <c r="HH6" s="2212">
        <v>8</v>
      </c>
      <c r="HI6" s="2212">
        <v>8</v>
      </c>
      <c r="HJ6" s="2212">
        <v>8</v>
      </c>
      <c r="HK6" s="2212">
        <v>8</v>
      </c>
      <c r="HL6" s="2212">
        <v>8</v>
      </c>
      <c r="HM6" s="2212">
        <v>8</v>
      </c>
      <c r="HN6" s="2212">
        <v>8</v>
      </c>
      <c r="HO6" s="2212">
        <v>8</v>
      </c>
      <c r="HP6" s="2212">
        <v>6</v>
      </c>
      <c r="HQ6" s="2212">
        <v>6</v>
      </c>
      <c r="HR6" s="2212">
        <v>5</v>
      </c>
      <c r="HS6" s="2212">
        <v>5</v>
      </c>
      <c r="HT6" s="2212">
        <v>5</v>
      </c>
      <c r="HU6" s="2212">
        <v>5</v>
      </c>
      <c r="HV6" s="2212">
        <v>4</v>
      </c>
      <c r="HW6" s="2212">
        <v>4</v>
      </c>
      <c r="HX6" s="2212">
        <v>4</v>
      </c>
      <c r="HY6" s="2212">
        <v>4</v>
      </c>
      <c r="HZ6" s="2212">
        <v>4</v>
      </c>
      <c r="IA6" s="2212">
        <v>4</v>
      </c>
      <c r="IB6" s="2212">
        <v>4</v>
      </c>
      <c r="IC6" s="2212">
        <v>4</v>
      </c>
      <c r="ID6" s="2212">
        <v>4</v>
      </c>
      <c r="IE6" s="2212">
        <v>4</v>
      </c>
      <c r="IF6" s="2212">
        <v>4</v>
      </c>
      <c r="IG6" s="2212">
        <v>4</v>
      </c>
      <c r="IH6" s="2212">
        <v>4</v>
      </c>
      <c r="II6" s="2212">
        <v>4</v>
      </c>
      <c r="IJ6" s="2212">
        <v>4</v>
      </c>
      <c r="IK6" s="2212">
        <v>4</v>
      </c>
      <c r="IL6" s="2212">
        <v>4</v>
      </c>
      <c r="IM6" s="2212">
        <v>4</v>
      </c>
      <c r="IN6" s="2212">
        <v>4</v>
      </c>
      <c r="IO6" s="2212">
        <v>4</v>
      </c>
      <c r="IP6" s="2212"/>
      <c r="IQ6" s="2212">
        <v>5364</v>
      </c>
      <c r="IR6" s="2212">
        <v>4</v>
      </c>
      <c r="IS6" s="2212">
        <v>4</v>
      </c>
      <c r="IT6" s="2212">
        <v>4</v>
      </c>
      <c r="IV6" s="49"/>
      <c r="IW6" s="49"/>
      <c r="IX6" s="49"/>
      <c r="IY6" s="2207"/>
    </row>
    <row r="7" spans="1:260" ht="18">
      <c r="A7" s="2205" t="s">
        <v>2492</v>
      </c>
      <c r="B7" s="2206" t="s">
        <v>998</v>
      </c>
      <c r="C7" s="2206" t="s">
        <v>2493</v>
      </c>
      <c r="D7" s="2206" t="s">
        <v>2494</v>
      </c>
      <c r="E7" s="2206" t="s">
        <v>2493</v>
      </c>
      <c r="F7" s="2206" t="s">
        <v>2493</v>
      </c>
      <c r="G7" s="2206" t="s">
        <v>998</v>
      </c>
      <c r="H7" s="2206" t="s">
        <v>2494</v>
      </c>
      <c r="I7" s="2206" t="s">
        <v>998</v>
      </c>
      <c r="J7" s="2206" t="s">
        <v>998</v>
      </c>
      <c r="K7" s="2206" t="s">
        <v>2494</v>
      </c>
      <c r="L7" s="2206" t="s">
        <v>2493</v>
      </c>
      <c r="M7" s="2206" t="s">
        <v>998</v>
      </c>
      <c r="N7" s="2206" t="s">
        <v>2494</v>
      </c>
      <c r="O7" s="2206" t="s">
        <v>998</v>
      </c>
      <c r="P7" s="2206" t="s">
        <v>2494</v>
      </c>
      <c r="Q7" s="2206" t="s">
        <v>998</v>
      </c>
      <c r="R7" s="2206" t="s">
        <v>2495</v>
      </c>
      <c r="S7" s="2206" t="s">
        <v>2495</v>
      </c>
      <c r="T7" s="2206" t="s">
        <v>998</v>
      </c>
      <c r="U7" s="2206" t="s">
        <v>2495</v>
      </c>
      <c r="V7" s="2206" t="s">
        <v>2494</v>
      </c>
      <c r="W7" s="2206" t="s">
        <v>998</v>
      </c>
      <c r="X7" s="2206" t="s">
        <v>2494</v>
      </c>
      <c r="Y7" s="2206" t="s">
        <v>2493</v>
      </c>
      <c r="Z7" s="2912">
        <f>BarNego19!E70</f>
        <v>19</v>
      </c>
      <c r="AA7" s="2914" t="s">
        <v>5375</v>
      </c>
      <c r="AB7" s="2206" t="s">
        <v>2493</v>
      </c>
      <c r="AC7" s="2206" t="s">
        <v>998</v>
      </c>
      <c r="AD7" s="2912">
        <f>BarNego19!D70</f>
        <v>12</v>
      </c>
      <c r="AE7" s="2206" t="s">
        <v>2494</v>
      </c>
      <c r="AF7" s="2206" t="s">
        <v>2495</v>
      </c>
      <c r="AG7" s="2206" t="s">
        <v>2494</v>
      </c>
      <c r="AH7" s="2206" t="s">
        <v>2493</v>
      </c>
      <c r="AI7" s="2206" t="s">
        <v>2493</v>
      </c>
      <c r="AJ7" s="2206" t="s">
        <v>2494</v>
      </c>
      <c r="AK7" s="2206" t="s">
        <v>2494</v>
      </c>
      <c r="AL7" s="2206" t="s">
        <v>2494</v>
      </c>
      <c r="AM7" s="2206" t="s">
        <v>2494</v>
      </c>
      <c r="AN7" s="2206" t="s">
        <v>2494</v>
      </c>
      <c r="AO7" s="2206" t="s">
        <v>2494</v>
      </c>
      <c r="AP7" s="2206" t="s">
        <v>2494</v>
      </c>
      <c r="AQ7" s="2912">
        <f>BarNego19!C70</f>
        <v>8</v>
      </c>
      <c r="AR7" s="2912">
        <f>BarNego19!B70</f>
        <v>4</v>
      </c>
      <c r="AS7" s="2206" t="s">
        <v>2494</v>
      </c>
      <c r="AT7" s="2206" t="s">
        <v>2494</v>
      </c>
      <c r="AU7" s="2832" t="s">
        <v>2494</v>
      </c>
      <c r="AV7" s="2206" t="s">
        <v>2494</v>
      </c>
      <c r="AW7" s="2206" t="s">
        <v>2494</v>
      </c>
      <c r="AX7" s="2206" t="s">
        <v>2494</v>
      </c>
      <c r="AY7" s="2206" t="s">
        <v>2494</v>
      </c>
      <c r="AZ7" s="2206" t="s">
        <v>2494</v>
      </c>
      <c r="BA7" s="2206" t="s">
        <v>2494</v>
      </c>
      <c r="BB7" s="2206" t="s">
        <v>2494</v>
      </c>
      <c r="BC7" s="2206" t="s">
        <v>2494</v>
      </c>
      <c r="BD7" s="2206" t="s">
        <v>2494</v>
      </c>
      <c r="BE7" s="2206" t="s">
        <v>2494</v>
      </c>
      <c r="BF7" s="2206" t="s">
        <v>2494</v>
      </c>
      <c r="BG7" s="2206" t="s">
        <v>2494</v>
      </c>
      <c r="BH7" s="2206" t="s">
        <v>2494</v>
      </c>
      <c r="BI7" s="2206" t="s">
        <v>2494</v>
      </c>
      <c r="BJ7" s="2206" t="s">
        <v>2494</v>
      </c>
      <c r="BK7" s="2206" t="s">
        <v>2494</v>
      </c>
      <c r="BL7" s="2206" t="s">
        <v>2494</v>
      </c>
      <c r="BM7" s="2206" t="s">
        <v>2494</v>
      </c>
      <c r="BN7" s="2206" t="s">
        <v>2494</v>
      </c>
      <c r="BO7" s="2206" t="s">
        <v>2494</v>
      </c>
      <c r="BP7" s="2206" t="s">
        <v>2494</v>
      </c>
      <c r="BQ7" s="2206" t="s">
        <v>2494</v>
      </c>
      <c r="BR7" s="2206" t="s">
        <v>2494</v>
      </c>
      <c r="BS7" s="2206" t="s">
        <v>2494</v>
      </c>
      <c r="BT7" s="2206" t="s">
        <v>2494</v>
      </c>
      <c r="BU7" s="2206" t="s">
        <v>2494</v>
      </c>
      <c r="BV7" s="2206" t="s">
        <v>2494</v>
      </c>
      <c r="BW7" s="2206" t="s">
        <v>2494</v>
      </c>
      <c r="BX7" s="2206" t="s">
        <v>2494</v>
      </c>
      <c r="BY7" s="2206" t="s">
        <v>2494</v>
      </c>
      <c r="BZ7" s="2206" t="s">
        <v>2494</v>
      </c>
      <c r="CA7" s="2206" t="s">
        <v>2494</v>
      </c>
      <c r="CB7" s="2206" t="s">
        <v>2494</v>
      </c>
      <c r="CC7" s="2206" t="s">
        <v>2494</v>
      </c>
      <c r="CD7" s="2206" t="s">
        <v>2494</v>
      </c>
      <c r="CE7" s="2206" t="s">
        <v>2494</v>
      </c>
      <c r="CF7" s="2206" t="s">
        <v>2494</v>
      </c>
      <c r="CG7" s="2206" t="s">
        <v>2494</v>
      </c>
      <c r="CH7" s="2206" t="s">
        <v>2493</v>
      </c>
      <c r="CI7" s="2206" t="s">
        <v>2493</v>
      </c>
      <c r="CJ7" s="2206" t="s">
        <v>2495</v>
      </c>
      <c r="CK7" s="2206" t="s">
        <v>2495</v>
      </c>
      <c r="CL7" s="2206" t="s">
        <v>2495</v>
      </c>
      <c r="CM7" s="2206" t="s">
        <v>2495</v>
      </c>
      <c r="CN7" s="2206" t="s">
        <v>2495</v>
      </c>
      <c r="CO7" s="2206" t="s">
        <v>2495</v>
      </c>
      <c r="CP7" s="2206" t="s">
        <v>2495</v>
      </c>
      <c r="CQ7" s="2206" t="s">
        <v>2495</v>
      </c>
      <c r="CR7" s="2206" t="s">
        <v>2495</v>
      </c>
      <c r="CS7" s="2206" t="s">
        <v>2495</v>
      </c>
      <c r="CT7" s="2206" t="s">
        <v>2495</v>
      </c>
      <c r="CU7" s="2206" t="s">
        <v>2495</v>
      </c>
      <c r="CV7" s="2206" t="s">
        <v>2495</v>
      </c>
      <c r="CW7" s="2206" t="s">
        <v>2495</v>
      </c>
      <c r="CX7" s="2206" t="s">
        <v>2495</v>
      </c>
      <c r="CY7" s="2206" t="s">
        <v>2495</v>
      </c>
      <c r="CZ7" s="2206" t="s">
        <v>2495</v>
      </c>
      <c r="DA7" s="2206" t="s">
        <v>2495</v>
      </c>
      <c r="DB7" s="2206" t="s">
        <v>2495</v>
      </c>
      <c r="DC7" s="2206" t="s">
        <v>2495</v>
      </c>
      <c r="DD7" s="2206" t="s">
        <v>2495</v>
      </c>
      <c r="DE7" s="2206" t="s">
        <v>2495</v>
      </c>
      <c r="DF7" s="2206" t="s">
        <v>2495</v>
      </c>
      <c r="DG7" s="2206" t="s">
        <v>2495</v>
      </c>
      <c r="DH7" s="2206" t="s">
        <v>2495</v>
      </c>
      <c r="DI7" s="2206" t="s">
        <v>2495</v>
      </c>
      <c r="DJ7" s="2206" t="s">
        <v>2495</v>
      </c>
      <c r="DK7" s="2206" t="s">
        <v>2495</v>
      </c>
      <c r="DL7" s="2206" t="s">
        <v>2495</v>
      </c>
      <c r="DM7" s="2206" t="s">
        <v>2495</v>
      </c>
      <c r="DN7" s="2206" t="s">
        <v>2495</v>
      </c>
      <c r="DO7" s="2206" t="s">
        <v>2495</v>
      </c>
      <c r="DP7" s="2206" t="s">
        <v>2495</v>
      </c>
      <c r="DQ7" s="2206" t="s">
        <v>2495</v>
      </c>
      <c r="DR7" s="2206" t="s">
        <v>2495</v>
      </c>
      <c r="DS7" s="2206" t="s">
        <v>2495</v>
      </c>
      <c r="DT7" s="2206" t="s">
        <v>2495</v>
      </c>
      <c r="DU7" s="2206" t="s">
        <v>2495</v>
      </c>
      <c r="DV7" s="2206" t="s">
        <v>2495</v>
      </c>
      <c r="DW7" s="2206" t="s">
        <v>2495</v>
      </c>
      <c r="DX7" s="2206" t="s">
        <v>2495</v>
      </c>
      <c r="DY7" s="2206" t="s">
        <v>2495</v>
      </c>
      <c r="DZ7" s="2206" t="s">
        <v>2495</v>
      </c>
      <c r="EA7" s="2206" t="s">
        <v>2495</v>
      </c>
      <c r="EB7" s="2206" t="s">
        <v>2495</v>
      </c>
      <c r="EC7" s="2206" t="s">
        <v>2495</v>
      </c>
      <c r="ED7" s="2206" t="s">
        <v>2495</v>
      </c>
      <c r="EE7" s="2206" t="s">
        <v>2495</v>
      </c>
      <c r="EF7" s="2206" t="s">
        <v>2495</v>
      </c>
      <c r="EG7" s="2206" t="s">
        <v>2495</v>
      </c>
      <c r="EH7" s="2206" t="s">
        <v>2495</v>
      </c>
      <c r="EI7" s="2206" t="s">
        <v>2495</v>
      </c>
      <c r="EJ7" s="2206" t="s">
        <v>2495</v>
      </c>
      <c r="EK7" s="2206" t="s">
        <v>2495</v>
      </c>
      <c r="EL7" s="2206" t="s">
        <v>2495</v>
      </c>
      <c r="EM7" s="2206" t="s">
        <v>2495</v>
      </c>
      <c r="EN7" s="2206" t="s">
        <v>2495</v>
      </c>
      <c r="EO7" s="2206" t="s">
        <v>2495</v>
      </c>
      <c r="EP7" s="2206" t="s">
        <v>2495</v>
      </c>
      <c r="EQ7" s="2206" t="s">
        <v>2495</v>
      </c>
      <c r="ER7" s="2206" t="s">
        <v>2495</v>
      </c>
      <c r="ES7" s="2206" t="s">
        <v>2495</v>
      </c>
      <c r="ET7" s="2206" t="s">
        <v>2495</v>
      </c>
      <c r="EU7" s="2206" t="s">
        <v>2495</v>
      </c>
      <c r="EV7" s="2206" t="s">
        <v>2495</v>
      </c>
      <c r="EW7" s="2206" t="s">
        <v>2495</v>
      </c>
      <c r="EX7" s="2206" t="s">
        <v>2495</v>
      </c>
      <c r="EY7" s="2206" t="s">
        <v>2495</v>
      </c>
      <c r="EZ7" s="2206" t="s">
        <v>2495</v>
      </c>
      <c r="FA7" s="2206" t="s">
        <v>2495</v>
      </c>
      <c r="FB7" s="2206" t="s">
        <v>2495</v>
      </c>
      <c r="FC7" s="2206" t="s">
        <v>2495</v>
      </c>
      <c r="FD7" s="2206" t="s">
        <v>2495</v>
      </c>
      <c r="FE7" s="2206" t="s">
        <v>2495</v>
      </c>
      <c r="FF7" s="2206" t="s">
        <v>2495</v>
      </c>
      <c r="FG7" s="2206" t="s">
        <v>2495</v>
      </c>
      <c r="FH7" s="2206" t="s">
        <v>2495</v>
      </c>
      <c r="FI7" s="2206" t="s">
        <v>2495</v>
      </c>
      <c r="FJ7" s="2206" t="s">
        <v>2495</v>
      </c>
      <c r="FK7" s="2206" t="s">
        <v>2495</v>
      </c>
      <c r="FL7" s="2206" t="s">
        <v>2495</v>
      </c>
      <c r="FM7" s="2206" t="s">
        <v>2495</v>
      </c>
      <c r="FN7" s="2206" t="s">
        <v>2495</v>
      </c>
      <c r="FO7" s="2206" t="s">
        <v>2495</v>
      </c>
      <c r="FP7" s="2206" t="s">
        <v>2495</v>
      </c>
      <c r="FQ7" s="2206" t="s">
        <v>2495</v>
      </c>
      <c r="FR7" s="2206" t="s">
        <v>2495</v>
      </c>
      <c r="FS7" s="2206" t="s">
        <v>2495</v>
      </c>
      <c r="FT7" s="2206" t="s">
        <v>2495</v>
      </c>
      <c r="FU7" s="2206" t="s">
        <v>2495</v>
      </c>
      <c r="FV7" s="2206" t="s">
        <v>2495</v>
      </c>
      <c r="FW7" s="2206" t="s">
        <v>2495</v>
      </c>
      <c r="FX7" s="2206" t="s">
        <v>2495</v>
      </c>
      <c r="FY7" s="2206" t="s">
        <v>2495</v>
      </c>
      <c r="FZ7" s="2206" t="s">
        <v>2495</v>
      </c>
      <c r="GA7" s="2206" t="s">
        <v>2495</v>
      </c>
      <c r="GB7" s="2206" t="s">
        <v>2495</v>
      </c>
      <c r="GC7" s="2206" t="s">
        <v>2495</v>
      </c>
      <c r="GD7" s="2206" t="s">
        <v>2495</v>
      </c>
      <c r="GE7" s="2206" t="s">
        <v>2495</v>
      </c>
      <c r="GF7" s="2206" t="s">
        <v>2495</v>
      </c>
      <c r="GG7" s="2206" t="s">
        <v>2495</v>
      </c>
      <c r="GH7" s="2206" t="s">
        <v>2495</v>
      </c>
      <c r="GI7" s="2206" t="s">
        <v>2495</v>
      </c>
      <c r="GJ7" s="2206" t="s">
        <v>2495</v>
      </c>
      <c r="GK7" s="2206" t="s">
        <v>2495</v>
      </c>
      <c r="GL7" s="2206" t="s">
        <v>2495</v>
      </c>
      <c r="GM7" s="2206" t="s">
        <v>2495</v>
      </c>
      <c r="GN7" s="2206" t="s">
        <v>2495</v>
      </c>
      <c r="GO7" s="2206" t="s">
        <v>2495</v>
      </c>
      <c r="GP7" s="2206" t="s">
        <v>2495</v>
      </c>
      <c r="GQ7" s="2206" t="s">
        <v>2495</v>
      </c>
      <c r="GR7" s="2206" t="s">
        <v>2495</v>
      </c>
      <c r="GS7" s="2206" t="s">
        <v>2495</v>
      </c>
      <c r="GT7" s="2206" t="s">
        <v>2495</v>
      </c>
      <c r="GU7" s="2206" t="s">
        <v>2495</v>
      </c>
      <c r="GV7" s="2206" t="s">
        <v>2495</v>
      </c>
      <c r="GW7" s="2206" t="s">
        <v>2495</v>
      </c>
      <c r="GX7" s="2206" t="s">
        <v>2495</v>
      </c>
      <c r="GY7" s="2206" t="s">
        <v>2495</v>
      </c>
      <c r="GZ7" s="2206" t="s">
        <v>2495</v>
      </c>
      <c r="HA7" s="2206" t="s">
        <v>2495</v>
      </c>
      <c r="HB7" s="2206" t="s">
        <v>2495</v>
      </c>
      <c r="HC7" s="2206" t="s">
        <v>2495</v>
      </c>
      <c r="HD7" s="2206" t="s">
        <v>2495</v>
      </c>
      <c r="HE7" s="2206" t="s">
        <v>2495</v>
      </c>
      <c r="HF7" s="2206" t="s">
        <v>2495</v>
      </c>
      <c r="HG7" s="2206" t="s">
        <v>2495</v>
      </c>
      <c r="HH7" s="2206" t="s">
        <v>2495</v>
      </c>
      <c r="HI7" s="2206" t="s">
        <v>2495</v>
      </c>
      <c r="HJ7" s="2206" t="s">
        <v>2495</v>
      </c>
      <c r="HK7" s="2206" t="s">
        <v>2495</v>
      </c>
      <c r="HL7" s="2206" t="s">
        <v>2495</v>
      </c>
      <c r="HM7" s="2206" t="s">
        <v>2495</v>
      </c>
      <c r="HN7" s="2206" t="s">
        <v>2495</v>
      </c>
      <c r="HO7" s="2206" t="s">
        <v>2495</v>
      </c>
      <c r="HP7" s="2206" t="s">
        <v>2495</v>
      </c>
      <c r="HQ7" s="2206" t="s">
        <v>2495</v>
      </c>
      <c r="HR7" s="2206" t="s">
        <v>2495</v>
      </c>
      <c r="HS7" s="2206" t="s">
        <v>2495</v>
      </c>
      <c r="HT7" s="2206" t="s">
        <v>2495</v>
      </c>
      <c r="HU7" s="2206" t="s">
        <v>2495</v>
      </c>
      <c r="HV7" s="2206" t="s">
        <v>2495</v>
      </c>
      <c r="HW7" s="2206" t="s">
        <v>2495</v>
      </c>
      <c r="HX7" s="2206" t="s">
        <v>2495</v>
      </c>
      <c r="HY7" s="2206" t="s">
        <v>2495</v>
      </c>
      <c r="HZ7" s="2206" t="s">
        <v>2495</v>
      </c>
      <c r="IA7" s="2206" t="s">
        <v>2495</v>
      </c>
      <c r="IB7" s="2206" t="s">
        <v>2495</v>
      </c>
      <c r="IC7" s="2206" t="s">
        <v>2495</v>
      </c>
      <c r="ID7" s="2206" t="s">
        <v>2495</v>
      </c>
      <c r="IE7" s="2206" t="s">
        <v>2495</v>
      </c>
      <c r="IF7" s="2206" t="s">
        <v>2495</v>
      </c>
      <c r="IG7" s="2206" t="s">
        <v>2495</v>
      </c>
      <c r="IH7" s="2206" t="s">
        <v>2495</v>
      </c>
      <c r="II7" s="2206" t="s">
        <v>2495</v>
      </c>
      <c r="IJ7" s="2206" t="s">
        <v>2495</v>
      </c>
      <c r="IK7" s="2206" t="s">
        <v>2495</v>
      </c>
      <c r="IL7" s="2206" t="s">
        <v>2495</v>
      </c>
      <c r="IM7" s="2206" t="s">
        <v>2495</v>
      </c>
      <c r="IN7" s="2206" t="s">
        <v>2495</v>
      </c>
      <c r="IO7" s="2206" t="s">
        <v>2495</v>
      </c>
      <c r="IP7" s="2206" t="s">
        <v>2495</v>
      </c>
      <c r="IQ7" s="2206" t="s">
        <v>2494</v>
      </c>
      <c r="IR7" s="2206" t="s">
        <v>2495</v>
      </c>
      <c r="IS7" s="2206" t="s">
        <v>2495</v>
      </c>
      <c r="IT7" s="2206" t="s">
        <v>2495</v>
      </c>
      <c r="IU7" s="2832" t="s">
        <v>2495</v>
      </c>
      <c r="IV7" s="2832" t="s">
        <v>2495</v>
      </c>
      <c r="IW7" s="2832" t="s">
        <v>2495</v>
      </c>
      <c r="IX7" s="2832" t="s">
        <v>2495</v>
      </c>
      <c r="IY7" s="2207"/>
    </row>
    <row r="8" spans="1:260" ht="11.25">
      <c r="A8" s="2205" t="s">
        <v>588</v>
      </c>
      <c r="B8" s="2211">
        <v>2</v>
      </c>
      <c r="C8" s="2213">
        <f t="shared" ref="C8:BN8" si="0">B8+1</f>
        <v>3</v>
      </c>
      <c r="D8" s="2213">
        <f t="shared" si="0"/>
        <v>4</v>
      </c>
      <c r="E8" s="2213">
        <f t="shared" si="0"/>
        <v>5</v>
      </c>
      <c r="F8" s="2213">
        <f t="shared" si="0"/>
        <v>6</v>
      </c>
      <c r="G8" s="2213">
        <f t="shared" si="0"/>
        <v>7</v>
      </c>
      <c r="H8" s="2213">
        <f t="shared" si="0"/>
        <v>8</v>
      </c>
      <c r="I8" s="2213">
        <f t="shared" si="0"/>
        <v>9</v>
      </c>
      <c r="J8" s="2213">
        <f t="shared" si="0"/>
        <v>10</v>
      </c>
      <c r="K8" s="2213">
        <f t="shared" si="0"/>
        <v>11</v>
      </c>
      <c r="L8" s="2213">
        <f t="shared" si="0"/>
        <v>12</v>
      </c>
      <c r="M8" s="2213">
        <f t="shared" si="0"/>
        <v>13</v>
      </c>
      <c r="N8" s="2213">
        <f t="shared" si="0"/>
        <v>14</v>
      </c>
      <c r="O8" s="2213">
        <f t="shared" si="0"/>
        <v>15</v>
      </c>
      <c r="P8" s="2213">
        <f t="shared" si="0"/>
        <v>16</v>
      </c>
      <c r="Q8" s="2213">
        <f t="shared" si="0"/>
        <v>17</v>
      </c>
      <c r="R8" s="2213">
        <f t="shared" si="0"/>
        <v>18</v>
      </c>
      <c r="S8" s="2213">
        <f t="shared" si="0"/>
        <v>19</v>
      </c>
      <c r="T8" s="2213">
        <f t="shared" si="0"/>
        <v>20</v>
      </c>
      <c r="U8" s="2213">
        <f t="shared" si="0"/>
        <v>21</v>
      </c>
      <c r="V8" s="2213">
        <f t="shared" si="0"/>
        <v>22</v>
      </c>
      <c r="W8" s="2213">
        <f t="shared" si="0"/>
        <v>23</v>
      </c>
      <c r="X8" s="2213">
        <f t="shared" si="0"/>
        <v>24</v>
      </c>
      <c r="Y8" s="2213">
        <f t="shared" si="0"/>
        <v>25</v>
      </c>
      <c r="Z8" s="2224">
        <f t="shared" si="0"/>
        <v>26</v>
      </c>
      <c r="AA8" s="2896">
        <f t="shared" si="0"/>
        <v>27</v>
      </c>
      <c r="AB8" s="2213">
        <f t="shared" si="0"/>
        <v>28</v>
      </c>
      <c r="AC8" s="2213">
        <v>29</v>
      </c>
      <c r="AD8" s="2224">
        <f t="shared" si="0"/>
        <v>30</v>
      </c>
      <c r="AE8" s="2213">
        <f t="shared" si="0"/>
        <v>31</v>
      </c>
      <c r="AF8" s="2213">
        <f t="shared" si="0"/>
        <v>32</v>
      </c>
      <c r="AG8" s="2213">
        <f t="shared" si="0"/>
        <v>33</v>
      </c>
      <c r="AH8" s="2213">
        <f t="shared" si="0"/>
        <v>34</v>
      </c>
      <c r="AI8" s="2213">
        <f t="shared" si="0"/>
        <v>35</v>
      </c>
      <c r="AJ8" s="2213">
        <f t="shared" si="0"/>
        <v>36</v>
      </c>
      <c r="AK8" s="2213">
        <f t="shared" si="0"/>
        <v>37</v>
      </c>
      <c r="AL8" s="2213">
        <f t="shared" si="0"/>
        <v>38</v>
      </c>
      <c r="AM8" s="2213">
        <f t="shared" si="0"/>
        <v>39</v>
      </c>
      <c r="AN8" s="2213">
        <f t="shared" si="0"/>
        <v>40</v>
      </c>
      <c r="AO8" s="2213">
        <f t="shared" si="0"/>
        <v>41</v>
      </c>
      <c r="AP8" s="2213">
        <f t="shared" si="0"/>
        <v>42</v>
      </c>
      <c r="AQ8" s="2224">
        <f t="shared" si="0"/>
        <v>43</v>
      </c>
      <c r="AR8" s="2224">
        <f t="shared" si="0"/>
        <v>44</v>
      </c>
      <c r="AS8" s="2213">
        <f t="shared" si="0"/>
        <v>45</v>
      </c>
      <c r="AT8" s="2213">
        <f t="shared" si="0"/>
        <v>46</v>
      </c>
      <c r="AU8" s="2896">
        <f t="shared" si="0"/>
        <v>47</v>
      </c>
      <c r="AV8" s="2213">
        <f t="shared" si="0"/>
        <v>48</v>
      </c>
      <c r="AW8" s="2213">
        <f t="shared" si="0"/>
        <v>49</v>
      </c>
      <c r="AX8" s="2213">
        <f t="shared" si="0"/>
        <v>50</v>
      </c>
      <c r="AY8" s="2213">
        <f t="shared" si="0"/>
        <v>51</v>
      </c>
      <c r="AZ8" s="2213">
        <f t="shared" si="0"/>
        <v>52</v>
      </c>
      <c r="BA8" s="2213">
        <f t="shared" si="0"/>
        <v>53</v>
      </c>
      <c r="BB8" s="2213">
        <f t="shared" si="0"/>
        <v>54</v>
      </c>
      <c r="BC8" s="2213">
        <f t="shared" si="0"/>
        <v>55</v>
      </c>
      <c r="BD8" s="2213">
        <f t="shared" si="0"/>
        <v>56</v>
      </c>
      <c r="BE8" s="2213">
        <f t="shared" si="0"/>
        <v>57</v>
      </c>
      <c r="BF8" s="2213">
        <f t="shared" si="0"/>
        <v>58</v>
      </c>
      <c r="BG8" s="2213">
        <f t="shared" si="0"/>
        <v>59</v>
      </c>
      <c r="BH8" s="2213">
        <f t="shared" si="0"/>
        <v>60</v>
      </c>
      <c r="BI8" s="2213">
        <f t="shared" si="0"/>
        <v>61</v>
      </c>
      <c r="BJ8" s="2213">
        <f t="shared" si="0"/>
        <v>62</v>
      </c>
      <c r="BK8" s="2213">
        <f t="shared" si="0"/>
        <v>63</v>
      </c>
      <c r="BL8" s="2213">
        <f t="shared" si="0"/>
        <v>64</v>
      </c>
      <c r="BM8" s="2213">
        <f t="shared" si="0"/>
        <v>65</v>
      </c>
      <c r="BN8" s="2213">
        <f t="shared" si="0"/>
        <v>66</v>
      </c>
      <c r="BO8" s="2213">
        <f t="shared" ref="BO8:DZ8" si="1">BN8+1</f>
        <v>67</v>
      </c>
      <c r="BP8" s="2213">
        <f t="shared" si="1"/>
        <v>68</v>
      </c>
      <c r="BQ8" s="2213">
        <f t="shared" si="1"/>
        <v>69</v>
      </c>
      <c r="BR8" s="2213">
        <f t="shared" si="1"/>
        <v>70</v>
      </c>
      <c r="BS8" s="2213">
        <f t="shared" si="1"/>
        <v>71</v>
      </c>
      <c r="BT8" s="2213">
        <f t="shared" si="1"/>
        <v>72</v>
      </c>
      <c r="BU8" s="2213">
        <f t="shared" si="1"/>
        <v>73</v>
      </c>
      <c r="BV8" s="2213">
        <f t="shared" si="1"/>
        <v>74</v>
      </c>
      <c r="BW8" s="2213">
        <f t="shared" si="1"/>
        <v>75</v>
      </c>
      <c r="BX8" s="2213">
        <f t="shared" si="1"/>
        <v>76</v>
      </c>
      <c r="BY8" s="2213">
        <f t="shared" si="1"/>
        <v>77</v>
      </c>
      <c r="BZ8" s="2213">
        <f t="shared" si="1"/>
        <v>78</v>
      </c>
      <c r="CA8" s="2213">
        <f t="shared" si="1"/>
        <v>79</v>
      </c>
      <c r="CB8" s="2213">
        <f t="shared" si="1"/>
        <v>80</v>
      </c>
      <c r="CC8" s="2213">
        <f t="shared" si="1"/>
        <v>81</v>
      </c>
      <c r="CD8" s="2213">
        <f t="shared" si="1"/>
        <v>82</v>
      </c>
      <c r="CE8" s="2213">
        <f t="shared" si="1"/>
        <v>83</v>
      </c>
      <c r="CF8" s="2213">
        <f t="shared" si="1"/>
        <v>84</v>
      </c>
      <c r="CG8" s="2213">
        <f t="shared" si="1"/>
        <v>85</v>
      </c>
      <c r="CH8" s="2213">
        <f t="shared" si="1"/>
        <v>86</v>
      </c>
      <c r="CI8" s="2213">
        <f t="shared" si="1"/>
        <v>87</v>
      </c>
      <c r="CJ8" s="2213">
        <f t="shared" si="1"/>
        <v>88</v>
      </c>
      <c r="CK8" s="2213">
        <f t="shared" si="1"/>
        <v>89</v>
      </c>
      <c r="CL8" s="2213">
        <f t="shared" si="1"/>
        <v>90</v>
      </c>
      <c r="CM8" s="2213">
        <f t="shared" si="1"/>
        <v>91</v>
      </c>
      <c r="CN8" s="2213">
        <f t="shared" si="1"/>
        <v>92</v>
      </c>
      <c r="CO8" s="2213">
        <f t="shared" si="1"/>
        <v>93</v>
      </c>
      <c r="CP8" s="2213">
        <f t="shared" si="1"/>
        <v>94</v>
      </c>
      <c r="CQ8" s="2213">
        <f t="shared" si="1"/>
        <v>95</v>
      </c>
      <c r="CR8" s="2213">
        <f t="shared" si="1"/>
        <v>96</v>
      </c>
      <c r="CS8" s="2213">
        <f t="shared" si="1"/>
        <v>97</v>
      </c>
      <c r="CT8" s="2213">
        <f t="shared" si="1"/>
        <v>98</v>
      </c>
      <c r="CU8" s="2213">
        <f t="shared" si="1"/>
        <v>99</v>
      </c>
      <c r="CV8" s="2213">
        <f t="shared" si="1"/>
        <v>100</v>
      </c>
      <c r="CW8" s="2213">
        <f t="shared" si="1"/>
        <v>101</v>
      </c>
      <c r="CX8" s="2213">
        <f t="shared" si="1"/>
        <v>102</v>
      </c>
      <c r="CY8" s="2213">
        <f t="shared" si="1"/>
        <v>103</v>
      </c>
      <c r="CZ8" s="2213">
        <f t="shared" si="1"/>
        <v>104</v>
      </c>
      <c r="DA8" s="2213">
        <f t="shared" si="1"/>
        <v>105</v>
      </c>
      <c r="DB8" s="2213">
        <f t="shared" si="1"/>
        <v>106</v>
      </c>
      <c r="DC8" s="2213">
        <f t="shared" si="1"/>
        <v>107</v>
      </c>
      <c r="DD8" s="2213">
        <f t="shared" si="1"/>
        <v>108</v>
      </c>
      <c r="DE8" s="2213">
        <f t="shared" si="1"/>
        <v>109</v>
      </c>
      <c r="DF8" s="2213">
        <f t="shared" si="1"/>
        <v>110</v>
      </c>
      <c r="DG8" s="2213">
        <f t="shared" si="1"/>
        <v>111</v>
      </c>
      <c r="DH8" s="2213">
        <f t="shared" si="1"/>
        <v>112</v>
      </c>
      <c r="DI8" s="2213">
        <f t="shared" si="1"/>
        <v>113</v>
      </c>
      <c r="DJ8" s="2213">
        <f t="shared" si="1"/>
        <v>114</v>
      </c>
      <c r="DK8" s="2213">
        <f t="shared" si="1"/>
        <v>115</v>
      </c>
      <c r="DL8" s="2213">
        <f t="shared" si="1"/>
        <v>116</v>
      </c>
      <c r="DM8" s="2213">
        <f t="shared" si="1"/>
        <v>117</v>
      </c>
      <c r="DN8" s="2213">
        <f t="shared" si="1"/>
        <v>118</v>
      </c>
      <c r="DO8" s="2213">
        <f t="shared" si="1"/>
        <v>119</v>
      </c>
      <c r="DP8" s="2213">
        <f t="shared" si="1"/>
        <v>120</v>
      </c>
      <c r="DQ8" s="2213">
        <f t="shared" si="1"/>
        <v>121</v>
      </c>
      <c r="DR8" s="2213">
        <f t="shared" si="1"/>
        <v>122</v>
      </c>
      <c r="DS8" s="2213">
        <f t="shared" si="1"/>
        <v>123</v>
      </c>
      <c r="DT8" s="2213">
        <f t="shared" si="1"/>
        <v>124</v>
      </c>
      <c r="DU8" s="2213">
        <f t="shared" si="1"/>
        <v>125</v>
      </c>
      <c r="DV8" s="2213">
        <f t="shared" si="1"/>
        <v>126</v>
      </c>
      <c r="DW8" s="2213">
        <f t="shared" si="1"/>
        <v>127</v>
      </c>
      <c r="DX8" s="2213">
        <f t="shared" si="1"/>
        <v>128</v>
      </c>
      <c r="DY8" s="2213">
        <f t="shared" si="1"/>
        <v>129</v>
      </c>
      <c r="DZ8" s="2213">
        <f t="shared" si="1"/>
        <v>130</v>
      </c>
      <c r="EA8" s="2213">
        <f t="shared" ref="EA8:GL8" si="2">DZ8+1</f>
        <v>131</v>
      </c>
      <c r="EB8" s="2213">
        <f t="shared" si="2"/>
        <v>132</v>
      </c>
      <c r="EC8" s="2213">
        <f t="shared" si="2"/>
        <v>133</v>
      </c>
      <c r="ED8" s="2213">
        <f t="shared" si="2"/>
        <v>134</v>
      </c>
      <c r="EE8" s="2213">
        <f t="shared" si="2"/>
        <v>135</v>
      </c>
      <c r="EF8" s="2213">
        <f t="shared" si="2"/>
        <v>136</v>
      </c>
      <c r="EG8" s="2213">
        <f t="shared" si="2"/>
        <v>137</v>
      </c>
      <c r="EH8" s="2213">
        <f t="shared" si="2"/>
        <v>138</v>
      </c>
      <c r="EI8" s="2213">
        <f t="shared" si="2"/>
        <v>139</v>
      </c>
      <c r="EJ8" s="2213">
        <f t="shared" si="2"/>
        <v>140</v>
      </c>
      <c r="EK8" s="2213">
        <f t="shared" si="2"/>
        <v>141</v>
      </c>
      <c r="EL8" s="2213">
        <f t="shared" si="2"/>
        <v>142</v>
      </c>
      <c r="EM8" s="2213">
        <f t="shared" si="2"/>
        <v>143</v>
      </c>
      <c r="EN8" s="2213">
        <f t="shared" si="2"/>
        <v>144</v>
      </c>
      <c r="EO8" s="2213">
        <f t="shared" si="2"/>
        <v>145</v>
      </c>
      <c r="EP8" s="2213">
        <f t="shared" si="2"/>
        <v>146</v>
      </c>
      <c r="EQ8" s="2213">
        <f t="shared" si="2"/>
        <v>147</v>
      </c>
      <c r="ER8" s="2213">
        <f t="shared" si="2"/>
        <v>148</v>
      </c>
      <c r="ES8" s="2213">
        <f t="shared" si="2"/>
        <v>149</v>
      </c>
      <c r="ET8" s="2213">
        <f t="shared" si="2"/>
        <v>150</v>
      </c>
      <c r="EU8" s="2213">
        <f t="shared" si="2"/>
        <v>151</v>
      </c>
      <c r="EV8" s="2213">
        <f t="shared" si="2"/>
        <v>152</v>
      </c>
      <c r="EW8" s="2213">
        <f t="shared" si="2"/>
        <v>153</v>
      </c>
      <c r="EX8" s="2213">
        <f t="shared" si="2"/>
        <v>154</v>
      </c>
      <c r="EY8" s="2213">
        <f t="shared" si="2"/>
        <v>155</v>
      </c>
      <c r="EZ8" s="2213">
        <f t="shared" si="2"/>
        <v>156</v>
      </c>
      <c r="FA8" s="2213">
        <f t="shared" si="2"/>
        <v>157</v>
      </c>
      <c r="FB8" s="2213">
        <f t="shared" si="2"/>
        <v>158</v>
      </c>
      <c r="FC8" s="2213">
        <f t="shared" si="2"/>
        <v>159</v>
      </c>
      <c r="FD8" s="2213">
        <f t="shared" si="2"/>
        <v>160</v>
      </c>
      <c r="FE8" s="2213">
        <f t="shared" si="2"/>
        <v>161</v>
      </c>
      <c r="FF8" s="2213">
        <f t="shared" si="2"/>
        <v>162</v>
      </c>
      <c r="FG8" s="2213">
        <f t="shared" si="2"/>
        <v>163</v>
      </c>
      <c r="FH8" s="2213">
        <f t="shared" si="2"/>
        <v>164</v>
      </c>
      <c r="FI8" s="2213">
        <f t="shared" si="2"/>
        <v>165</v>
      </c>
      <c r="FJ8" s="2213">
        <f t="shared" si="2"/>
        <v>166</v>
      </c>
      <c r="FK8" s="2213">
        <f t="shared" si="2"/>
        <v>167</v>
      </c>
      <c r="FL8" s="2213">
        <f t="shared" si="2"/>
        <v>168</v>
      </c>
      <c r="FM8" s="2213">
        <f t="shared" si="2"/>
        <v>169</v>
      </c>
      <c r="FN8" s="2213">
        <f t="shared" si="2"/>
        <v>170</v>
      </c>
      <c r="FO8" s="2213">
        <f t="shared" si="2"/>
        <v>171</v>
      </c>
      <c r="FP8" s="2213">
        <f t="shared" si="2"/>
        <v>172</v>
      </c>
      <c r="FQ8" s="2213">
        <f t="shared" si="2"/>
        <v>173</v>
      </c>
      <c r="FR8" s="2213">
        <f t="shared" si="2"/>
        <v>174</v>
      </c>
      <c r="FS8" s="2213">
        <f t="shared" si="2"/>
        <v>175</v>
      </c>
      <c r="FT8" s="2213">
        <f t="shared" si="2"/>
        <v>176</v>
      </c>
      <c r="FU8" s="2213">
        <f t="shared" si="2"/>
        <v>177</v>
      </c>
      <c r="FV8" s="2213">
        <f t="shared" si="2"/>
        <v>178</v>
      </c>
      <c r="FW8" s="2213">
        <f t="shared" si="2"/>
        <v>179</v>
      </c>
      <c r="FX8" s="2213">
        <f t="shared" si="2"/>
        <v>180</v>
      </c>
      <c r="FY8" s="2213">
        <f t="shared" si="2"/>
        <v>181</v>
      </c>
      <c r="FZ8" s="2213">
        <f t="shared" si="2"/>
        <v>182</v>
      </c>
      <c r="GA8" s="2213">
        <f t="shared" si="2"/>
        <v>183</v>
      </c>
      <c r="GB8" s="2213">
        <f t="shared" si="2"/>
        <v>184</v>
      </c>
      <c r="GC8" s="2213">
        <f t="shared" si="2"/>
        <v>185</v>
      </c>
      <c r="GD8" s="2213">
        <f t="shared" si="2"/>
        <v>186</v>
      </c>
      <c r="GE8" s="2213">
        <f t="shared" si="2"/>
        <v>187</v>
      </c>
      <c r="GF8" s="2213">
        <f t="shared" si="2"/>
        <v>188</v>
      </c>
      <c r="GG8" s="2213">
        <f t="shared" si="2"/>
        <v>189</v>
      </c>
      <c r="GH8" s="2213">
        <f t="shared" si="2"/>
        <v>190</v>
      </c>
      <c r="GI8" s="2213">
        <f t="shared" si="2"/>
        <v>191</v>
      </c>
      <c r="GJ8" s="2213">
        <f t="shared" si="2"/>
        <v>192</v>
      </c>
      <c r="GK8" s="2213">
        <f t="shared" si="2"/>
        <v>193</v>
      </c>
      <c r="GL8" s="2213">
        <f t="shared" si="2"/>
        <v>194</v>
      </c>
      <c r="GM8" s="2213">
        <f t="shared" ref="GM8:IX8" si="3">GL8+1</f>
        <v>195</v>
      </c>
      <c r="GN8" s="2213">
        <f t="shared" si="3"/>
        <v>196</v>
      </c>
      <c r="GO8" s="2213">
        <f t="shared" si="3"/>
        <v>197</v>
      </c>
      <c r="GP8" s="2213">
        <f t="shared" si="3"/>
        <v>198</v>
      </c>
      <c r="GQ8" s="2213">
        <f t="shared" si="3"/>
        <v>199</v>
      </c>
      <c r="GR8" s="2213">
        <f t="shared" si="3"/>
        <v>200</v>
      </c>
      <c r="GS8" s="2213">
        <f t="shared" si="3"/>
        <v>201</v>
      </c>
      <c r="GT8" s="2213">
        <f t="shared" si="3"/>
        <v>202</v>
      </c>
      <c r="GU8" s="2213">
        <f t="shared" si="3"/>
        <v>203</v>
      </c>
      <c r="GV8" s="2213">
        <f t="shared" si="3"/>
        <v>204</v>
      </c>
      <c r="GW8" s="2213">
        <f t="shared" si="3"/>
        <v>205</v>
      </c>
      <c r="GX8" s="2213">
        <f t="shared" si="3"/>
        <v>206</v>
      </c>
      <c r="GY8" s="2213">
        <f t="shared" si="3"/>
        <v>207</v>
      </c>
      <c r="GZ8" s="2213">
        <f t="shared" si="3"/>
        <v>208</v>
      </c>
      <c r="HA8" s="2213">
        <f t="shared" si="3"/>
        <v>209</v>
      </c>
      <c r="HB8" s="2213">
        <f t="shared" si="3"/>
        <v>210</v>
      </c>
      <c r="HC8" s="2213">
        <f t="shared" si="3"/>
        <v>211</v>
      </c>
      <c r="HD8" s="2213">
        <f t="shared" si="3"/>
        <v>212</v>
      </c>
      <c r="HE8" s="2213">
        <f t="shared" si="3"/>
        <v>213</v>
      </c>
      <c r="HF8" s="2213">
        <f t="shared" si="3"/>
        <v>214</v>
      </c>
      <c r="HG8" s="2213">
        <f t="shared" si="3"/>
        <v>215</v>
      </c>
      <c r="HH8" s="2213">
        <f t="shared" si="3"/>
        <v>216</v>
      </c>
      <c r="HI8" s="2213">
        <f t="shared" si="3"/>
        <v>217</v>
      </c>
      <c r="HJ8" s="2213">
        <f t="shared" si="3"/>
        <v>218</v>
      </c>
      <c r="HK8" s="2213">
        <f t="shared" si="3"/>
        <v>219</v>
      </c>
      <c r="HL8" s="2213">
        <f t="shared" si="3"/>
        <v>220</v>
      </c>
      <c r="HM8" s="2213">
        <f t="shared" si="3"/>
        <v>221</v>
      </c>
      <c r="HN8" s="2213">
        <f t="shared" si="3"/>
        <v>222</v>
      </c>
      <c r="HO8" s="2213">
        <f t="shared" si="3"/>
        <v>223</v>
      </c>
      <c r="HP8" s="2213">
        <f t="shared" si="3"/>
        <v>224</v>
      </c>
      <c r="HQ8" s="2213">
        <f t="shared" si="3"/>
        <v>225</v>
      </c>
      <c r="HR8" s="2213">
        <f t="shared" si="3"/>
        <v>226</v>
      </c>
      <c r="HS8" s="2213">
        <f t="shared" si="3"/>
        <v>227</v>
      </c>
      <c r="HT8" s="2213">
        <f t="shared" si="3"/>
        <v>228</v>
      </c>
      <c r="HU8" s="2213">
        <f t="shared" si="3"/>
        <v>229</v>
      </c>
      <c r="HV8" s="2213">
        <f t="shared" si="3"/>
        <v>230</v>
      </c>
      <c r="HW8" s="2213">
        <f t="shared" si="3"/>
        <v>231</v>
      </c>
      <c r="HX8" s="2213">
        <f t="shared" si="3"/>
        <v>232</v>
      </c>
      <c r="HY8" s="2213">
        <f t="shared" si="3"/>
        <v>233</v>
      </c>
      <c r="HZ8" s="2213">
        <f t="shared" si="3"/>
        <v>234</v>
      </c>
      <c r="IA8" s="2213">
        <f t="shared" si="3"/>
        <v>235</v>
      </c>
      <c r="IB8" s="2213">
        <f t="shared" si="3"/>
        <v>236</v>
      </c>
      <c r="IC8" s="2213">
        <f t="shared" si="3"/>
        <v>237</v>
      </c>
      <c r="ID8" s="2213">
        <f t="shared" si="3"/>
        <v>238</v>
      </c>
      <c r="IE8" s="2213">
        <f t="shared" si="3"/>
        <v>239</v>
      </c>
      <c r="IF8" s="2213">
        <f t="shared" si="3"/>
        <v>240</v>
      </c>
      <c r="IG8" s="2213">
        <f t="shared" si="3"/>
        <v>241</v>
      </c>
      <c r="IH8" s="2213">
        <f t="shared" si="3"/>
        <v>242</v>
      </c>
      <c r="II8" s="2213">
        <f t="shared" si="3"/>
        <v>243</v>
      </c>
      <c r="IJ8" s="2213">
        <f t="shared" si="3"/>
        <v>244</v>
      </c>
      <c r="IK8" s="2213">
        <f t="shared" si="3"/>
        <v>245</v>
      </c>
      <c r="IL8" s="2213">
        <f t="shared" si="3"/>
        <v>246</v>
      </c>
      <c r="IM8" s="2213">
        <f t="shared" si="3"/>
        <v>247</v>
      </c>
      <c r="IN8" s="2213">
        <f t="shared" si="3"/>
        <v>248</v>
      </c>
      <c r="IO8" s="2213">
        <f t="shared" si="3"/>
        <v>249</v>
      </c>
      <c r="IP8" s="2213">
        <f t="shared" si="3"/>
        <v>250</v>
      </c>
      <c r="IQ8" s="2213">
        <f t="shared" si="3"/>
        <v>251</v>
      </c>
      <c r="IR8" s="2213">
        <f t="shared" si="3"/>
        <v>252</v>
      </c>
      <c r="IS8" s="2213">
        <f t="shared" si="3"/>
        <v>253</v>
      </c>
      <c r="IT8" s="2213">
        <f t="shared" si="3"/>
        <v>254</v>
      </c>
      <c r="IU8" s="2896">
        <f t="shared" si="3"/>
        <v>255</v>
      </c>
      <c r="IV8" s="2896">
        <f t="shared" si="3"/>
        <v>256</v>
      </c>
      <c r="IW8" s="2896">
        <f t="shared" si="3"/>
        <v>257</v>
      </c>
      <c r="IX8" s="2896">
        <f t="shared" si="3"/>
        <v>258</v>
      </c>
      <c r="IY8" s="2896">
        <f t="shared" ref="IY8" si="4">IX8+1</f>
        <v>259</v>
      </c>
      <c r="IZ8" s="2896">
        <f t="shared" ref="IZ8" si="5">IY8+1</f>
        <v>260</v>
      </c>
    </row>
    <row r="9" spans="1:260">
      <c r="A9" s="2214">
        <v>0</v>
      </c>
      <c r="B9" s="2212">
        <v>50322.39</v>
      </c>
      <c r="C9" s="2927">
        <v>42398.22</v>
      </c>
      <c r="D9" s="2927">
        <v>38431.93</v>
      </c>
      <c r="E9" s="2212">
        <v>36031.33</v>
      </c>
      <c r="F9" s="2927">
        <v>36324.83</v>
      </c>
      <c r="G9" s="2212">
        <v>35999.1</v>
      </c>
      <c r="H9" s="2927">
        <v>34961.42</v>
      </c>
      <c r="I9" s="2212">
        <v>29167.16</v>
      </c>
      <c r="J9" s="2212">
        <v>32583.13</v>
      </c>
      <c r="K9" s="2212">
        <v>30738.799999999999</v>
      </c>
      <c r="L9" s="2927">
        <v>28516.19</v>
      </c>
      <c r="M9" s="2212">
        <v>27764.080000000002</v>
      </c>
      <c r="N9" s="2927">
        <v>25789.360000000001</v>
      </c>
      <c r="O9" s="2212">
        <v>26653.52</v>
      </c>
      <c r="P9" s="2927">
        <v>24797.78</v>
      </c>
      <c r="Q9" s="2927">
        <v>22070.95</v>
      </c>
      <c r="R9" s="2212">
        <v>23797.78</v>
      </c>
      <c r="S9" s="2212">
        <v>23797.78</v>
      </c>
      <c r="T9" s="2212">
        <v>23054.1</v>
      </c>
      <c r="U9" s="2212">
        <v>23054.1</v>
      </c>
      <c r="V9" s="2212">
        <v>23054.1</v>
      </c>
      <c r="W9" s="2212">
        <v>23054.1</v>
      </c>
      <c r="X9" s="2212">
        <v>20327.27</v>
      </c>
      <c r="Y9" s="2927">
        <v>23346.12</v>
      </c>
      <c r="Z9" s="2923">
        <v>27296</v>
      </c>
      <c r="AA9" s="2930">
        <v>27296</v>
      </c>
      <c r="AB9" s="2927">
        <v>22346.12</v>
      </c>
      <c r="AC9" s="2212">
        <v>19583.59</v>
      </c>
      <c r="AD9" s="2923">
        <v>20583.59</v>
      </c>
      <c r="AE9" s="2927">
        <v>22075.91</v>
      </c>
      <c r="AF9" s="2927">
        <v>20335.7</v>
      </c>
      <c r="AG9" s="2927">
        <v>20335.7</v>
      </c>
      <c r="AH9" s="2927">
        <v>21805.71</v>
      </c>
      <c r="AI9" s="2927">
        <v>20087.810000000001</v>
      </c>
      <c r="AJ9" s="2927">
        <v>18532.55</v>
      </c>
      <c r="AK9" s="2927">
        <v>16673.349999999999</v>
      </c>
      <c r="AL9" s="2927">
        <v>15873.62</v>
      </c>
      <c r="AM9" s="2927">
        <v>15253.88</v>
      </c>
      <c r="AN9" s="2212">
        <v>15493.35</v>
      </c>
      <c r="AO9" s="2212">
        <v>14873.62</v>
      </c>
      <c r="AP9" s="2212">
        <v>14253.88</v>
      </c>
      <c r="AQ9" s="2923">
        <v>23366</v>
      </c>
      <c r="AR9" s="2923">
        <v>21666</v>
      </c>
      <c r="AS9" s="2927">
        <v>17311.400000000001</v>
      </c>
      <c r="AT9" s="2927">
        <v>17292.132249999999</v>
      </c>
      <c r="AU9" s="2928">
        <v>16698.14</v>
      </c>
      <c r="AV9" s="2212">
        <v>13409.11</v>
      </c>
      <c r="AW9" s="2212">
        <v>13409.11</v>
      </c>
      <c r="AX9" s="2212">
        <v>15518.14</v>
      </c>
      <c r="AY9" s="2212">
        <v>15889.98</v>
      </c>
      <c r="AZ9" s="2212">
        <v>15756.12</v>
      </c>
      <c r="BA9" s="2212">
        <v>13510.2</v>
      </c>
      <c r="BB9" s="2212">
        <v>15889.98</v>
      </c>
      <c r="BC9" s="2212">
        <v>16048.38</v>
      </c>
      <c r="BD9" s="2212">
        <v>16633.66</v>
      </c>
      <c r="BE9" s="2212">
        <v>16013.93</v>
      </c>
      <c r="BF9" s="2212">
        <v>15964.35</v>
      </c>
      <c r="BG9" s="2212">
        <v>14278.67</v>
      </c>
      <c r="BH9" s="2212">
        <v>20400</v>
      </c>
      <c r="BI9" s="2212">
        <v>18740.759999999998</v>
      </c>
      <c r="BJ9" s="2212">
        <v>12643.57</v>
      </c>
      <c r="BK9" s="2212">
        <v>12643.57</v>
      </c>
      <c r="BL9" s="2212">
        <v>23250</v>
      </c>
      <c r="BM9" s="2212">
        <v>21814.639999999999</v>
      </c>
      <c r="BN9" s="2212">
        <v>23202.84</v>
      </c>
      <c r="BO9" s="2212">
        <v>21017.46</v>
      </c>
      <c r="BP9" s="2212">
        <v>28473.97</v>
      </c>
      <c r="BQ9" s="2212">
        <v>17352.55</v>
      </c>
      <c r="BR9" s="2212">
        <v>30871.55</v>
      </c>
      <c r="BS9" s="2212">
        <v>26439.16</v>
      </c>
      <c r="BT9" s="2212">
        <v>20800</v>
      </c>
      <c r="BU9" s="2212">
        <v>24913.3</v>
      </c>
      <c r="BV9" s="2212">
        <v>32638.19</v>
      </c>
      <c r="BW9" s="2212">
        <v>34673.050000000003</v>
      </c>
      <c r="BX9" s="2212">
        <v>24751.38</v>
      </c>
      <c r="BY9" s="2212">
        <v>13361.02</v>
      </c>
      <c r="BZ9" s="2212">
        <v>37056.370000000003</v>
      </c>
      <c r="CA9" s="2212">
        <v>13826.54</v>
      </c>
      <c r="CB9" s="2212">
        <v>13969.75</v>
      </c>
      <c r="CC9" s="2212">
        <v>13603.71</v>
      </c>
      <c r="CD9" s="2212">
        <v>20327.27</v>
      </c>
      <c r="CE9" s="2212">
        <v>20593.59</v>
      </c>
      <c r="CF9" s="2212">
        <v>30490.91</v>
      </c>
      <c r="CG9" s="2212">
        <v>20079.38</v>
      </c>
      <c r="CH9" s="2927">
        <v>19914.28</v>
      </c>
      <c r="CI9" s="2927">
        <v>17673.349999999999</v>
      </c>
      <c r="CJ9" s="2212">
        <v>14204.3</v>
      </c>
      <c r="CK9" s="2212">
        <v>13510.2</v>
      </c>
      <c r="CL9" s="2212">
        <v>14965.16</v>
      </c>
      <c r="CM9" s="2212">
        <v>13550</v>
      </c>
      <c r="CN9" s="2212">
        <v>17005.5</v>
      </c>
      <c r="CO9" s="2212">
        <v>13138.36</v>
      </c>
      <c r="CP9" s="2212">
        <v>13300</v>
      </c>
      <c r="CQ9" s="2212">
        <v>15022.35</v>
      </c>
      <c r="CR9" s="2212">
        <v>12855.71</v>
      </c>
      <c r="CS9" s="2212">
        <v>14005.66</v>
      </c>
      <c r="CT9" s="2212">
        <v>13409.11</v>
      </c>
      <c r="CU9" s="2212">
        <v>13510.2</v>
      </c>
      <c r="CV9" s="2212">
        <v>13138.36</v>
      </c>
      <c r="CW9" s="2212">
        <v>12855.71</v>
      </c>
      <c r="CX9" s="2212">
        <v>18550</v>
      </c>
      <c r="CY9" s="2212">
        <v>13409.11</v>
      </c>
      <c r="CZ9" s="2212">
        <v>14300</v>
      </c>
      <c r="DA9" s="2212">
        <v>18839.91</v>
      </c>
      <c r="DB9" s="2212">
        <v>17924.689999999999</v>
      </c>
      <c r="DC9" s="2212">
        <v>13120.29</v>
      </c>
      <c r="DD9" s="2212">
        <v>12763.57</v>
      </c>
      <c r="DE9" s="2212">
        <v>17377.34</v>
      </c>
      <c r="DF9" s="2212">
        <v>13120.29</v>
      </c>
      <c r="DG9" s="2212">
        <v>18121.02</v>
      </c>
      <c r="DH9" s="2212">
        <v>13138.36</v>
      </c>
      <c r="DI9" s="2212">
        <v>21690.69</v>
      </c>
      <c r="DJ9" s="2212">
        <v>12772.4</v>
      </c>
      <c r="DK9" s="2212">
        <v>17848.34</v>
      </c>
      <c r="DL9" s="2212">
        <v>23170.36</v>
      </c>
      <c r="DM9" s="2212">
        <v>23549.89</v>
      </c>
      <c r="DN9" s="2212">
        <v>12855.71</v>
      </c>
      <c r="DO9" s="2212">
        <v>13112.8</v>
      </c>
      <c r="DP9" s="2212">
        <v>13361.01</v>
      </c>
      <c r="DQ9" s="2212">
        <v>28473.97</v>
      </c>
      <c r="DR9" s="2212">
        <v>15865.19</v>
      </c>
      <c r="DS9" s="2212">
        <v>12855.66</v>
      </c>
      <c r="DT9" s="2212">
        <v>19710.59</v>
      </c>
      <c r="DU9" s="2212">
        <v>18492.86</v>
      </c>
      <c r="DV9" s="2212">
        <v>23748.2</v>
      </c>
      <c r="DW9" s="2212">
        <v>13361.02</v>
      </c>
      <c r="DX9" s="2212">
        <v>12855.71</v>
      </c>
      <c r="DY9" s="2212">
        <v>26941.17</v>
      </c>
      <c r="DZ9" s="2212">
        <v>27590.55</v>
      </c>
      <c r="EA9" s="2212">
        <v>19550</v>
      </c>
      <c r="EB9" s="2212">
        <v>13240.56</v>
      </c>
      <c r="EC9" s="2212">
        <v>13240.56</v>
      </c>
      <c r="ED9" s="2212">
        <v>18492.86</v>
      </c>
      <c r="EE9" s="2212">
        <v>20500.330000000002</v>
      </c>
      <c r="EF9" s="2212">
        <v>36786.660000000003</v>
      </c>
      <c r="EG9" s="2212">
        <v>30871.55</v>
      </c>
      <c r="EH9" s="2212">
        <v>37056.370000000003</v>
      </c>
      <c r="EI9" s="2212">
        <v>19335.7</v>
      </c>
      <c r="EJ9" s="2212">
        <v>21017.46</v>
      </c>
      <c r="EK9" s="2212">
        <v>17300</v>
      </c>
      <c r="EL9" s="2212">
        <v>21494.13</v>
      </c>
      <c r="EM9" s="2212">
        <v>21814.639999999999</v>
      </c>
      <c r="EN9" s="2212">
        <v>12890.79</v>
      </c>
      <c r="EO9" s="2212">
        <v>12728.42</v>
      </c>
      <c r="EP9" s="2212">
        <v>24751.38</v>
      </c>
      <c r="EQ9" s="2212">
        <v>32267.66</v>
      </c>
      <c r="ER9" s="2212">
        <v>18850</v>
      </c>
      <c r="ES9" s="2212">
        <v>12728.37</v>
      </c>
      <c r="ET9" s="2212">
        <v>20220.98</v>
      </c>
      <c r="EU9" s="2212">
        <v>30614.86</v>
      </c>
      <c r="EV9" s="2212">
        <v>19831.93</v>
      </c>
      <c r="EW9" s="2212">
        <v>39326.230000000003</v>
      </c>
      <c r="EX9" s="2212">
        <v>22830.43</v>
      </c>
      <c r="EY9" s="2212">
        <v>13603.71</v>
      </c>
      <c r="EZ9" s="2212">
        <v>13603.73</v>
      </c>
      <c r="FA9" s="2212">
        <v>12756.28</v>
      </c>
      <c r="FB9" s="2212">
        <v>26439.16</v>
      </c>
      <c r="FC9" s="2212">
        <v>32638.19</v>
      </c>
      <c r="FD9" s="2212">
        <v>28170.5</v>
      </c>
      <c r="FE9" s="2212">
        <v>21070.95</v>
      </c>
      <c r="FF9" s="2212">
        <v>30490.91</v>
      </c>
      <c r="FG9" s="2212">
        <v>21494.13</v>
      </c>
      <c r="FH9" s="2212">
        <v>12331</v>
      </c>
      <c r="FI9" s="2212">
        <v>16633.66</v>
      </c>
      <c r="FJ9" s="2212">
        <v>22310.42</v>
      </c>
      <c r="FK9" s="2212">
        <v>19794.349999999999</v>
      </c>
      <c r="FL9" s="2212">
        <v>13969.75</v>
      </c>
      <c r="FM9" s="2212">
        <v>12855.71</v>
      </c>
      <c r="FN9" s="2212">
        <v>13120.29</v>
      </c>
      <c r="FO9" s="2212">
        <v>20005.009999999998</v>
      </c>
      <c r="FP9" s="2212">
        <v>20109.43</v>
      </c>
      <c r="FQ9" s="2212">
        <v>15860.01</v>
      </c>
      <c r="FR9" s="2212">
        <v>14005.64</v>
      </c>
      <c r="FS9" s="2212">
        <v>30869.05</v>
      </c>
      <c r="FT9" s="2212">
        <v>13112.8</v>
      </c>
      <c r="FU9" s="2212">
        <v>15865.19</v>
      </c>
      <c r="FV9" s="2212">
        <v>22830.35</v>
      </c>
      <c r="FW9" s="2212">
        <v>22842.799999999999</v>
      </c>
      <c r="FX9" s="2212">
        <v>14165.6</v>
      </c>
      <c r="FY9" s="2212">
        <v>21070.95</v>
      </c>
      <c r="FZ9" s="2212">
        <v>34170.19</v>
      </c>
      <c r="GA9" s="2212">
        <v>13603.65</v>
      </c>
      <c r="GB9" s="2212">
        <v>12506.15</v>
      </c>
      <c r="GC9" s="2212">
        <v>13603.73</v>
      </c>
      <c r="GD9" s="2212">
        <v>37084.879999999997</v>
      </c>
      <c r="GE9" s="2212">
        <v>12990.99</v>
      </c>
      <c r="GF9" s="2212">
        <v>30183.94</v>
      </c>
      <c r="GG9" s="2212">
        <v>34673.050000000003</v>
      </c>
      <c r="GH9" s="2212">
        <v>26276.720000000001</v>
      </c>
      <c r="GI9" s="2212">
        <v>20228.11</v>
      </c>
      <c r="GJ9" s="2212">
        <v>14209.66</v>
      </c>
      <c r="GK9" s="2212">
        <v>26654.23</v>
      </c>
      <c r="GL9" s="2212">
        <v>21005.46</v>
      </c>
      <c r="GM9" s="2212">
        <v>39326.230000000003</v>
      </c>
      <c r="GN9" s="2212">
        <v>15865.19</v>
      </c>
      <c r="GO9" s="2212">
        <v>14873.62</v>
      </c>
      <c r="GP9" s="2212">
        <v>17005.5</v>
      </c>
      <c r="GQ9" s="2212">
        <v>32267.66</v>
      </c>
      <c r="GR9" s="2212">
        <v>13826.53</v>
      </c>
      <c r="GS9" s="2212">
        <v>12855.71</v>
      </c>
      <c r="GT9" s="2212">
        <v>22369.97</v>
      </c>
      <c r="GU9" s="2212">
        <v>26556.79</v>
      </c>
      <c r="GV9" s="2212">
        <v>41644.93</v>
      </c>
      <c r="GW9" s="2212">
        <v>12584.82</v>
      </c>
      <c r="GX9" s="2212">
        <v>13969.8</v>
      </c>
      <c r="GY9" s="2212">
        <v>27283.17</v>
      </c>
      <c r="GZ9" s="2212">
        <v>14590.49</v>
      </c>
      <c r="HA9" s="2212">
        <v>45162.46</v>
      </c>
      <c r="HB9" s="2212">
        <v>12863.05</v>
      </c>
      <c r="HC9" s="2212">
        <v>22842.799999999999</v>
      </c>
      <c r="HD9" s="2212">
        <v>18468.07</v>
      </c>
      <c r="HE9" s="2212">
        <v>25904.880000000001</v>
      </c>
      <c r="HF9" s="2212">
        <v>15500</v>
      </c>
      <c r="HG9" s="2212">
        <v>12625.3</v>
      </c>
      <c r="HH9" s="2212">
        <v>14351.75</v>
      </c>
      <c r="HI9" s="2212">
        <v>17694</v>
      </c>
      <c r="HJ9" s="2212">
        <v>12855.76</v>
      </c>
      <c r="HK9" s="2212">
        <v>12728.42</v>
      </c>
      <c r="HL9" s="2212">
        <v>34209.31</v>
      </c>
      <c r="HM9" s="2212">
        <v>32325.32</v>
      </c>
      <c r="HN9" s="2212">
        <v>13747.01</v>
      </c>
      <c r="HO9" s="2212">
        <v>23300.36</v>
      </c>
      <c r="HP9" s="2212">
        <v>14351.75</v>
      </c>
      <c r="HQ9" s="2212">
        <v>39326.230000000003</v>
      </c>
      <c r="HR9" s="2212">
        <v>34170.19</v>
      </c>
      <c r="HS9" s="2212">
        <v>13603.71</v>
      </c>
      <c r="HT9" s="2212">
        <v>19794.349999999999</v>
      </c>
      <c r="HU9" s="2212">
        <v>41644.93</v>
      </c>
      <c r="HV9" s="2212">
        <v>15570.07</v>
      </c>
      <c r="HW9" s="2212">
        <v>13601.11</v>
      </c>
      <c r="HX9" s="2212">
        <v>21814.639999999999</v>
      </c>
      <c r="HY9" s="2212">
        <v>41644.93</v>
      </c>
      <c r="HZ9" s="2212">
        <v>36786.660000000003</v>
      </c>
      <c r="IA9" s="2212">
        <v>12855.71</v>
      </c>
      <c r="IB9" s="2212">
        <v>14797.39</v>
      </c>
      <c r="IC9" s="2212">
        <v>22707.97</v>
      </c>
      <c r="ID9" s="2212">
        <v>12331</v>
      </c>
      <c r="IE9" s="2212">
        <v>45162.46</v>
      </c>
      <c r="IF9" s="2212">
        <v>36787.43</v>
      </c>
      <c r="IG9" s="2212">
        <v>37056.370000000003</v>
      </c>
      <c r="IH9" s="2212">
        <v>22815.599999999999</v>
      </c>
      <c r="II9" s="2212">
        <v>13836.13</v>
      </c>
      <c r="IJ9" s="2212">
        <v>17590.060000000001</v>
      </c>
      <c r="IK9" s="2212">
        <v>15540.13</v>
      </c>
      <c r="IL9" s="2212">
        <v>14797.39</v>
      </c>
      <c r="IM9" s="2212">
        <v>15845.48</v>
      </c>
      <c r="IN9" s="2212">
        <v>37154.51</v>
      </c>
      <c r="IO9" s="2212">
        <v>32267.66</v>
      </c>
      <c r="IP9" s="2212">
        <v>13361.02</v>
      </c>
      <c r="IQ9" s="2212">
        <v>23202.84</v>
      </c>
      <c r="IR9" s="2212">
        <v>22817.33</v>
      </c>
      <c r="IS9" s="2212">
        <v>13746.94</v>
      </c>
      <c r="IT9" s="2212">
        <v>12855.71</v>
      </c>
      <c r="IU9" s="2911">
        <v>15558.01</v>
      </c>
      <c r="IV9" s="2911">
        <v>16872.86</v>
      </c>
      <c r="IW9" s="2911">
        <v>18273.7</v>
      </c>
      <c r="IX9" s="2911">
        <v>19773.7</v>
      </c>
      <c r="IY9" s="2207"/>
      <c r="IZ9" s="2215">
        <f>VALUE(A9)</f>
        <v>0</v>
      </c>
    </row>
    <row r="10" spans="1:260">
      <c r="A10" s="2214">
        <v>1</v>
      </c>
      <c r="B10" s="2212">
        <v>50322.39</v>
      </c>
      <c r="C10" s="2927">
        <v>42398.22</v>
      </c>
      <c r="D10" s="2927">
        <v>38431.93</v>
      </c>
      <c r="E10" s="2212">
        <v>37068.03</v>
      </c>
      <c r="F10" s="2927">
        <v>37341.199999999997</v>
      </c>
      <c r="G10" s="2212">
        <v>37050.17</v>
      </c>
      <c r="H10" s="2927">
        <v>35953</v>
      </c>
      <c r="I10" s="2212">
        <v>30139.4</v>
      </c>
      <c r="J10" s="2212">
        <v>33607.93</v>
      </c>
      <c r="K10" s="2212">
        <v>31705.59</v>
      </c>
      <c r="L10" s="2927">
        <v>29433.4</v>
      </c>
      <c r="M10" s="2212">
        <v>28708.06</v>
      </c>
      <c r="N10" s="2927">
        <v>26632.2</v>
      </c>
      <c r="O10" s="2212">
        <v>27319.86</v>
      </c>
      <c r="P10" s="2927">
        <v>25392.73</v>
      </c>
      <c r="Q10" s="2927">
        <v>22507.25</v>
      </c>
      <c r="R10" s="2212">
        <v>24392.73</v>
      </c>
      <c r="S10" s="2212">
        <v>24392.73</v>
      </c>
      <c r="T10" s="2212">
        <v>23636.65</v>
      </c>
      <c r="U10" s="2212">
        <v>23636.65</v>
      </c>
      <c r="V10" s="2212">
        <v>23636.65</v>
      </c>
      <c r="W10" s="2212">
        <v>23636.65</v>
      </c>
      <c r="X10" s="2212">
        <v>20959.400000000001</v>
      </c>
      <c r="Y10" s="2927">
        <v>24048.66</v>
      </c>
      <c r="Z10" s="2923">
        <v>27566</v>
      </c>
      <c r="AA10" s="2930">
        <v>27566</v>
      </c>
      <c r="AB10" s="2927">
        <v>23048.66</v>
      </c>
      <c r="AC10" s="2212">
        <v>20228.12</v>
      </c>
      <c r="AD10" s="2923">
        <v>21228.12</v>
      </c>
      <c r="AE10" s="2927">
        <v>22721.7</v>
      </c>
      <c r="AF10" s="2927">
        <v>20928.169999999998</v>
      </c>
      <c r="AG10" s="2927">
        <v>20928.169999999998</v>
      </c>
      <c r="AH10" s="2927">
        <v>22421.78</v>
      </c>
      <c r="AI10" s="2927">
        <v>20653.009999999998</v>
      </c>
      <c r="AJ10" s="2927">
        <v>19068.009999999998</v>
      </c>
      <c r="AK10" s="2927">
        <v>17020.41</v>
      </c>
      <c r="AL10" s="2927">
        <v>16326.31</v>
      </c>
      <c r="AM10" s="2927">
        <v>15501.78</v>
      </c>
      <c r="AN10" s="2212">
        <v>15840.41</v>
      </c>
      <c r="AO10" s="2212">
        <v>15146.31</v>
      </c>
      <c r="AP10" s="2212">
        <v>14501.78</v>
      </c>
      <c r="AQ10" s="2923">
        <v>23566</v>
      </c>
      <c r="AR10" s="2923">
        <v>21866</v>
      </c>
      <c r="AS10" s="2927">
        <v>17732.82</v>
      </c>
      <c r="AT10" s="2927">
        <v>17646.060000000001</v>
      </c>
      <c r="AU10" s="2928">
        <v>17045.2</v>
      </c>
      <c r="AV10" s="2212">
        <v>13802.89</v>
      </c>
      <c r="AW10" s="2212">
        <v>13802.89</v>
      </c>
      <c r="AX10" s="2212">
        <v>15741.25</v>
      </c>
      <c r="AY10" s="2212">
        <v>16509.72</v>
      </c>
      <c r="AZ10" s="2212">
        <v>15979.23</v>
      </c>
      <c r="BA10" s="2212">
        <v>14055.57</v>
      </c>
      <c r="BB10" s="2212">
        <v>16509.72</v>
      </c>
      <c r="BC10" s="2212">
        <v>16481.259999999998</v>
      </c>
      <c r="BD10" s="2212">
        <v>17253.400000000001</v>
      </c>
      <c r="BE10" s="2212">
        <v>16683.25</v>
      </c>
      <c r="BF10" s="2212">
        <v>16683.25</v>
      </c>
      <c r="BG10" s="2212">
        <v>14532.77</v>
      </c>
      <c r="BH10" s="2212">
        <v>21000</v>
      </c>
      <c r="BI10" s="2212">
        <v>19534.02</v>
      </c>
      <c r="BJ10" s="2212">
        <v>12783.66</v>
      </c>
      <c r="BK10" s="2212">
        <v>12783.66</v>
      </c>
      <c r="BL10" s="2212">
        <v>24200</v>
      </c>
      <c r="BM10" s="2212">
        <v>22930.17</v>
      </c>
      <c r="BN10" s="2212">
        <v>24194.42</v>
      </c>
      <c r="BO10" s="2212">
        <v>22190.89</v>
      </c>
      <c r="BP10" s="2212">
        <v>29605.93</v>
      </c>
      <c r="BQ10" s="2212">
        <v>18096.240000000002</v>
      </c>
      <c r="BR10" s="2212">
        <v>32053.19</v>
      </c>
      <c r="BS10" s="2212">
        <v>27484.11</v>
      </c>
      <c r="BT10" s="2212">
        <v>21800</v>
      </c>
      <c r="BU10" s="2212">
        <v>25954.46</v>
      </c>
      <c r="BV10" s="2212">
        <v>33922.28</v>
      </c>
      <c r="BW10" s="2212">
        <v>36050.699999999997</v>
      </c>
      <c r="BX10" s="2212">
        <v>25726.67</v>
      </c>
      <c r="BY10" s="2212">
        <v>13592.93</v>
      </c>
      <c r="BZ10" s="2212">
        <v>38568.400000000001</v>
      </c>
      <c r="CA10" s="2212">
        <v>14093.97</v>
      </c>
      <c r="CB10" s="2212">
        <v>14237.18</v>
      </c>
      <c r="CC10" s="2212">
        <v>13871.14</v>
      </c>
      <c r="CD10" s="2212">
        <v>21405.61</v>
      </c>
      <c r="CE10" s="2212">
        <v>21743.35</v>
      </c>
      <c r="CF10" s="2212">
        <v>31234.6</v>
      </c>
      <c r="CG10" s="2212">
        <v>20847.849999999999</v>
      </c>
      <c r="CH10" s="2927">
        <v>20497.93</v>
      </c>
      <c r="CI10" s="2927">
        <v>18020.41</v>
      </c>
      <c r="CJ10" s="2212">
        <v>14799.25</v>
      </c>
      <c r="CK10" s="2212">
        <v>14055.57</v>
      </c>
      <c r="CL10" s="2212">
        <v>15326.72</v>
      </c>
      <c r="CM10" s="2212">
        <v>14150</v>
      </c>
      <c r="CN10" s="2212">
        <v>17550.87</v>
      </c>
      <c r="CO10" s="2212">
        <v>13485.42</v>
      </c>
      <c r="CP10" s="2212">
        <v>13650</v>
      </c>
      <c r="CQ10" s="2212">
        <v>15282.64</v>
      </c>
      <c r="CR10" s="2212">
        <v>13200.09</v>
      </c>
      <c r="CS10" s="2212">
        <v>14263.52</v>
      </c>
      <c r="CT10" s="2212">
        <v>13566.6</v>
      </c>
      <c r="CU10" s="2212">
        <v>14055.57</v>
      </c>
      <c r="CV10" s="2212">
        <v>13485.42</v>
      </c>
      <c r="CW10" s="2212">
        <v>13123.14</v>
      </c>
      <c r="CX10" s="2212">
        <v>19100</v>
      </c>
      <c r="CY10" s="2212">
        <v>13487.87</v>
      </c>
      <c r="CZ10" s="2212">
        <v>14650</v>
      </c>
      <c r="DA10" s="2212">
        <v>19583.599999999999</v>
      </c>
      <c r="DB10" s="2212">
        <v>18361.88</v>
      </c>
      <c r="DC10" s="2212">
        <v>13393.23</v>
      </c>
      <c r="DD10" s="2212">
        <v>12942.33</v>
      </c>
      <c r="DE10" s="2212">
        <v>17997.080000000002</v>
      </c>
      <c r="DF10" s="2212">
        <v>13393.2</v>
      </c>
      <c r="DG10" s="2212">
        <v>18740.759999999998</v>
      </c>
      <c r="DH10" s="2212">
        <v>13485.42</v>
      </c>
      <c r="DI10" s="2212">
        <v>22682.27</v>
      </c>
      <c r="DJ10" s="2212">
        <v>13068.64</v>
      </c>
      <c r="DK10" s="2212">
        <v>18244.97</v>
      </c>
      <c r="DL10" s="2212">
        <v>23170.36</v>
      </c>
      <c r="DM10" s="2212">
        <v>24789.360000000001</v>
      </c>
      <c r="DN10" s="2212">
        <v>13123.14</v>
      </c>
      <c r="DO10" s="2212">
        <v>13385.58</v>
      </c>
      <c r="DP10" s="2212">
        <v>13361.01</v>
      </c>
      <c r="DQ10" s="2212">
        <v>29790.69</v>
      </c>
      <c r="DR10" s="2212">
        <v>16460.14</v>
      </c>
      <c r="DS10" s="2212">
        <v>13200.01</v>
      </c>
      <c r="DT10" s="2212">
        <v>20156.48</v>
      </c>
      <c r="DU10" s="2212">
        <v>19038.23</v>
      </c>
      <c r="DV10" s="2212">
        <v>24888.52</v>
      </c>
      <c r="DW10" s="2212">
        <v>13592.92</v>
      </c>
      <c r="DX10" s="2212">
        <v>13200.08</v>
      </c>
      <c r="DY10" s="2212">
        <v>26941.17</v>
      </c>
      <c r="DZ10" s="2212">
        <v>28482.97</v>
      </c>
      <c r="EA10" s="2212">
        <v>20350</v>
      </c>
      <c r="EB10" s="2212">
        <v>13508.16</v>
      </c>
      <c r="EC10" s="2212">
        <v>13508.16</v>
      </c>
      <c r="ED10" s="2212">
        <v>19038.23</v>
      </c>
      <c r="EE10" s="2212">
        <v>21168.83</v>
      </c>
      <c r="EF10" s="2212">
        <v>38237.83</v>
      </c>
      <c r="EG10" s="2212">
        <v>32286.09</v>
      </c>
      <c r="EH10" s="2212">
        <v>38440.239999999998</v>
      </c>
      <c r="EI10" s="2212">
        <v>19608.39</v>
      </c>
      <c r="EJ10" s="2212">
        <v>22190.82</v>
      </c>
      <c r="EK10" s="2212">
        <v>17800</v>
      </c>
      <c r="EL10" s="2212">
        <v>21494.13</v>
      </c>
      <c r="EM10" s="2212">
        <v>22930.17</v>
      </c>
      <c r="EN10" s="2212">
        <v>13066.08</v>
      </c>
      <c r="EO10" s="2212">
        <v>12993.2</v>
      </c>
      <c r="EP10" s="2212">
        <v>25915.89</v>
      </c>
      <c r="EQ10" s="2212">
        <v>33511.1</v>
      </c>
      <c r="ER10" s="2212">
        <v>19450</v>
      </c>
      <c r="ES10" s="2212">
        <v>13143.72</v>
      </c>
      <c r="ET10" s="2212">
        <v>20220.98</v>
      </c>
      <c r="EU10" s="2212">
        <v>31358.55</v>
      </c>
      <c r="EV10" s="2212">
        <v>20150.23</v>
      </c>
      <c r="EW10" s="2212">
        <v>40841.879999999997</v>
      </c>
      <c r="EX10" s="2212">
        <v>24112.94</v>
      </c>
      <c r="EY10" s="2212">
        <v>13948.09</v>
      </c>
      <c r="EZ10" s="2212">
        <v>13948.1</v>
      </c>
      <c r="FA10" s="2212">
        <v>12934.94</v>
      </c>
      <c r="FB10" s="2212">
        <v>27656.52</v>
      </c>
      <c r="FC10" s="2212">
        <v>34089.51</v>
      </c>
      <c r="FD10" s="2212">
        <v>28170.5</v>
      </c>
      <c r="FE10" s="2212">
        <v>21839.42</v>
      </c>
      <c r="FF10" s="2212">
        <v>32102.22</v>
      </c>
      <c r="FG10" s="2212">
        <v>21494.13</v>
      </c>
      <c r="FH10" s="2212">
        <v>12520.2</v>
      </c>
      <c r="FI10" s="2212">
        <v>17253.400000000001</v>
      </c>
      <c r="FJ10" s="2212">
        <v>23351.58</v>
      </c>
      <c r="FK10" s="2212">
        <v>19794.349999999999</v>
      </c>
      <c r="FL10" s="2212">
        <v>14314.12</v>
      </c>
      <c r="FM10" s="2212">
        <v>13123.14</v>
      </c>
      <c r="FN10" s="2212">
        <v>13393.23</v>
      </c>
      <c r="FO10" s="2212">
        <v>20575.169999999998</v>
      </c>
      <c r="FP10" s="2212">
        <v>21233.86</v>
      </c>
      <c r="FQ10" s="2212">
        <v>16178.31</v>
      </c>
      <c r="FR10" s="2212">
        <v>14315.33</v>
      </c>
      <c r="FS10" s="2212">
        <v>30869.05</v>
      </c>
      <c r="FT10" s="2212">
        <v>13385.59</v>
      </c>
      <c r="FU10" s="2212">
        <v>16460.14</v>
      </c>
      <c r="FV10" s="2212">
        <v>24112.880000000001</v>
      </c>
      <c r="FW10" s="2212">
        <v>23928.26</v>
      </c>
      <c r="FX10" s="2212">
        <v>14476.09</v>
      </c>
      <c r="FY10" s="2212">
        <v>21393.22</v>
      </c>
      <c r="FZ10" s="2212">
        <v>35470.74</v>
      </c>
      <c r="GA10" s="2212">
        <v>13948</v>
      </c>
      <c r="GB10" s="2212">
        <v>12681.31</v>
      </c>
      <c r="GC10" s="2212">
        <v>13871.16</v>
      </c>
      <c r="GD10" s="2212">
        <v>38311.96</v>
      </c>
      <c r="GE10" s="2212">
        <v>13169.75</v>
      </c>
      <c r="GF10" s="2212">
        <v>31574.75</v>
      </c>
      <c r="GG10" s="2212">
        <v>36150.379999999997</v>
      </c>
      <c r="GH10" s="2212">
        <v>27888.03</v>
      </c>
      <c r="GI10" s="2212">
        <v>21120.53</v>
      </c>
      <c r="GJ10" s="2212">
        <v>14717.75</v>
      </c>
      <c r="GK10" s="2212">
        <v>28166.48</v>
      </c>
      <c r="GL10" s="2212">
        <v>22178.2</v>
      </c>
      <c r="GM10" s="2212">
        <v>40910.269999999997</v>
      </c>
      <c r="GN10" s="2212">
        <v>16460.14</v>
      </c>
      <c r="GO10" s="2212">
        <v>15121.52</v>
      </c>
      <c r="GP10" s="2212">
        <v>17617.8</v>
      </c>
      <c r="GQ10" s="2212">
        <v>33716.699999999997</v>
      </c>
      <c r="GR10" s="2212">
        <v>14093.96</v>
      </c>
      <c r="GS10" s="2212">
        <v>13123.09</v>
      </c>
      <c r="GT10" s="2212">
        <v>23626.62</v>
      </c>
      <c r="GU10" s="2212">
        <v>28022.81</v>
      </c>
      <c r="GV10" s="2212">
        <v>43229.89</v>
      </c>
      <c r="GW10" s="2212">
        <v>12777.93</v>
      </c>
      <c r="GX10" s="2212">
        <v>14237.23</v>
      </c>
      <c r="GY10" s="2212">
        <v>28833.25</v>
      </c>
      <c r="GZ10" s="2212">
        <v>14913.51</v>
      </c>
      <c r="HA10" s="2212">
        <v>46851.44</v>
      </c>
      <c r="HB10" s="2212">
        <v>13130.63</v>
      </c>
      <c r="HC10" s="2212">
        <v>23793.08</v>
      </c>
      <c r="HD10" s="2212">
        <v>19087.810000000001</v>
      </c>
      <c r="HE10" s="2212">
        <v>26648.57</v>
      </c>
      <c r="HF10" s="2212">
        <v>15850</v>
      </c>
      <c r="HG10" s="2212">
        <v>12800.47</v>
      </c>
      <c r="HH10" s="2212">
        <v>14708.23</v>
      </c>
      <c r="HI10" s="2212">
        <v>17961.43</v>
      </c>
      <c r="HJ10" s="2212">
        <v>13167.68</v>
      </c>
      <c r="HK10" s="2212">
        <v>12993.2</v>
      </c>
      <c r="HL10" s="2212">
        <v>35423.99</v>
      </c>
      <c r="HM10" s="2212">
        <v>33490.42</v>
      </c>
      <c r="HN10" s="2212">
        <v>14014.44</v>
      </c>
      <c r="HO10" s="2212">
        <v>24583.01</v>
      </c>
      <c r="HP10" s="2212">
        <v>14708.23</v>
      </c>
      <c r="HQ10" s="2212">
        <v>41597.68</v>
      </c>
      <c r="HR10" s="2212">
        <v>35640.720000000001</v>
      </c>
      <c r="HS10" s="2212">
        <v>13871.14</v>
      </c>
      <c r="HT10" s="2212">
        <v>19794.349999999999</v>
      </c>
      <c r="HU10" s="2212">
        <v>44056.67</v>
      </c>
      <c r="HV10" s="2212">
        <v>15917.67</v>
      </c>
      <c r="HW10" s="2212">
        <v>13924.13</v>
      </c>
      <c r="HX10" s="2212">
        <v>22112.12</v>
      </c>
      <c r="HY10" s="2212">
        <v>43275.8</v>
      </c>
      <c r="HZ10" s="2212">
        <v>38322.22</v>
      </c>
      <c r="IA10" s="2212">
        <v>13167.61</v>
      </c>
      <c r="IB10" s="2212">
        <v>15064.82</v>
      </c>
      <c r="IC10" s="2212">
        <v>23857.73</v>
      </c>
      <c r="ID10" s="2212">
        <v>12520.45</v>
      </c>
      <c r="IE10" s="2212">
        <v>46848.66</v>
      </c>
      <c r="IF10" s="2212">
        <v>38165.08</v>
      </c>
      <c r="IG10" s="2212">
        <v>38440.239999999998</v>
      </c>
      <c r="IH10" s="2212">
        <v>24072.25</v>
      </c>
      <c r="II10" s="2212">
        <v>14103.56</v>
      </c>
      <c r="IJ10" s="2212">
        <v>17946.54</v>
      </c>
      <c r="IK10" s="2212">
        <v>15852.03</v>
      </c>
      <c r="IL10" s="2212">
        <v>15153.87</v>
      </c>
      <c r="IM10" s="2212">
        <v>16140.75</v>
      </c>
      <c r="IN10" s="2212">
        <v>38327.08</v>
      </c>
      <c r="IO10" s="2212">
        <v>32267.66</v>
      </c>
      <c r="IP10" s="2212">
        <v>13592.93</v>
      </c>
      <c r="IQ10" s="2212">
        <v>24194.42</v>
      </c>
      <c r="IR10" s="2212">
        <v>24099.11</v>
      </c>
      <c r="IS10" s="2212">
        <v>14014.37</v>
      </c>
      <c r="IT10" s="2212">
        <v>13200.08</v>
      </c>
      <c r="IU10" s="2911">
        <v>15825.32</v>
      </c>
      <c r="IV10" s="2911">
        <v>17184.95</v>
      </c>
      <c r="IW10" s="2911">
        <v>18721.009999999998</v>
      </c>
      <c r="IX10" s="2911">
        <v>20041.009999999998</v>
      </c>
      <c r="IY10" s="2207"/>
      <c r="IZ10" s="2215">
        <f t="shared" ref="IZ10:IZ59" si="6">VALUE(A10)</f>
        <v>1</v>
      </c>
    </row>
    <row r="11" spans="1:260">
      <c r="A11" s="2214">
        <v>2</v>
      </c>
      <c r="B11" s="2212">
        <v>51760.18</v>
      </c>
      <c r="C11" s="2927">
        <v>44009.53</v>
      </c>
      <c r="D11" s="2927">
        <v>39919.300000000003</v>
      </c>
      <c r="E11" s="2212">
        <v>38054.160000000003</v>
      </c>
      <c r="F11" s="2927">
        <v>38307.99</v>
      </c>
      <c r="G11" s="2212">
        <v>38048.69</v>
      </c>
      <c r="H11" s="2927">
        <v>36895</v>
      </c>
      <c r="I11" s="2212">
        <v>31111.64</v>
      </c>
      <c r="J11" s="2212">
        <v>34632.730000000003</v>
      </c>
      <c r="K11" s="2212">
        <v>32672.38</v>
      </c>
      <c r="L11" s="2927">
        <v>30350.61</v>
      </c>
      <c r="M11" s="2212">
        <v>29652.04</v>
      </c>
      <c r="N11" s="2927">
        <v>27475.040000000001</v>
      </c>
      <c r="O11" s="2212">
        <v>27986.2</v>
      </c>
      <c r="P11" s="2927">
        <v>25987.68</v>
      </c>
      <c r="Q11" s="2927">
        <v>22943.55</v>
      </c>
      <c r="R11" s="2212">
        <v>24987.68</v>
      </c>
      <c r="S11" s="2212">
        <v>24987.68</v>
      </c>
      <c r="T11" s="2212">
        <v>24219.200000000001</v>
      </c>
      <c r="U11" s="2212">
        <v>24219.200000000001</v>
      </c>
      <c r="V11" s="2212">
        <v>24219.200000000001</v>
      </c>
      <c r="W11" s="2212">
        <v>24219.200000000001</v>
      </c>
      <c r="X11" s="2212">
        <v>21591.53</v>
      </c>
      <c r="Y11" s="2927">
        <v>24751.200000000001</v>
      </c>
      <c r="Z11" s="2923">
        <v>27835</v>
      </c>
      <c r="AA11" s="2930">
        <v>27835</v>
      </c>
      <c r="AB11" s="2927">
        <v>23751.200000000001</v>
      </c>
      <c r="AC11" s="2212">
        <v>20872.650000000001</v>
      </c>
      <c r="AD11" s="2923">
        <v>21872.65</v>
      </c>
      <c r="AE11" s="2927">
        <v>23367.49</v>
      </c>
      <c r="AF11" s="2927">
        <v>21520.639999999999</v>
      </c>
      <c r="AG11" s="2927">
        <v>21520.639999999999</v>
      </c>
      <c r="AH11" s="2927">
        <v>23037.85</v>
      </c>
      <c r="AI11" s="2927">
        <v>21218.21</v>
      </c>
      <c r="AJ11" s="2927">
        <v>19517.006000000001</v>
      </c>
      <c r="AK11" s="2927">
        <v>17286.556</v>
      </c>
      <c r="AL11" s="2927">
        <v>16599</v>
      </c>
      <c r="AM11" s="2927">
        <v>15749.68</v>
      </c>
      <c r="AN11" s="2212">
        <v>16187.47</v>
      </c>
      <c r="AO11" s="2212">
        <v>15419</v>
      </c>
      <c r="AP11" s="2212">
        <v>14749.68</v>
      </c>
      <c r="AQ11" s="2923">
        <v>23766</v>
      </c>
      <c r="AR11" s="2923">
        <v>22066</v>
      </c>
      <c r="AS11" s="2927">
        <v>18154.240000000002</v>
      </c>
      <c r="AT11" s="2927">
        <v>18030.3</v>
      </c>
      <c r="AU11" s="2928">
        <v>17288.415250000002</v>
      </c>
      <c r="AV11" s="2212">
        <v>14196.67</v>
      </c>
      <c r="AW11" s="2212">
        <v>14196.67</v>
      </c>
      <c r="AX11" s="2212">
        <v>15964.36</v>
      </c>
      <c r="AY11" s="2212">
        <v>16509.72</v>
      </c>
      <c r="AZ11" s="2212">
        <v>16202.34</v>
      </c>
      <c r="BA11" s="2212">
        <v>14055.57</v>
      </c>
      <c r="BB11" s="2212">
        <v>16509.72</v>
      </c>
      <c r="BC11" s="2212">
        <v>16914.14</v>
      </c>
      <c r="BD11" s="2212">
        <v>17253.400000000001</v>
      </c>
      <c r="BE11" s="2212">
        <v>17352.57</v>
      </c>
      <c r="BF11" s="2212">
        <v>16683.25</v>
      </c>
      <c r="BG11" s="2212">
        <v>14786.87</v>
      </c>
      <c r="BH11" s="2212">
        <v>21000</v>
      </c>
      <c r="BI11" s="2212">
        <v>20327.28</v>
      </c>
      <c r="BJ11" s="2212">
        <v>12923.75</v>
      </c>
      <c r="BK11" s="2212">
        <v>12923.75</v>
      </c>
      <c r="BL11" s="2212">
        <v>24200</v>
      </c>
      <c r="BM11" s="2212">
        <v>24045.7</v>
      </c>
      <c r="BN11" s="2212">
        <v>24194.42</v>
      </c>
      <c r="BO11" s="2212">
        <v>23364.32</v>
      </c>
      <c r="BP11" s="2212">
        <v>29605.93</v>
      </c>
      <c r="BQ11" s="2212">
        <v>18096.240000000002</v>
      </c>
      <c r="BR11" s="2212">
        <v>32053.19</v>
      </c>
      <c r="BS11" s="2212">
        <v>27484.11</v>
      </c>
      <c r="BT11" s="2212">
        <v>21800</v>
      </c>
      <c r="BU11" s="2212">
        <v>25954.46</v>
      </c>
      <c r="BV11" s="2212">
        <v>33922.28</v>
      </c>
      <c r="BW11" s="2212">
        <v>36050.699999999997</v>
      </c>
      <c r="BX11" s="2212">
        <v>25726.67</v>
      </c>
      <c r="BY11" s="2212">
        <v>14645.34</v>
      </c>
      <c r="BZ11" s="2212">
        <v>40080.43</v>
      </c>
      <c r="CA11" s="2212">
        <v>14806.99</v>
      </c>
      <c r="CB11" s="2212">
        <v>14950.2</v>
      </c>
      <c r="CC11" s="2212">
        <v>14584.16</v>
      </c>
      <c r="CD11" s="2212">
        <v>22483.95</v>
      </c>
      <c r="CE11" s="2212">
        <v>22893.11</v>
      </c>
      <c r="CF11" s="2212">
        <v>31234.6</v>
      </c>
      <c r="CG11" s="2212">
        <v>20847.849999999999</v>
      </c>
      <c r="CH11" s="2927">
        <v>21081.58</v>
      </c>
      <c r="CI11" s="2927">
        <v>18286.556</v>
      </c>
      <c r="CJ11" s="2212">
        <v>14799.25</v>
      </c>
      <c r="CK11" s="2212">
        <v>14055.57</v>
      </c>
      <c r="CL11" s="2212">
        <v>15688.28</v>
      </c>
      <c r="CM11" s="2212">
        <v>14150</v>
      </c>
      <c r="CN11" s="2212">
        <v>18096.240000000002</v>
      </c>
      <c r="CO11" s="2212">
        <v>13485.42</v>
      </c>
      <c r="CP11" s="2212">
        <v>13650</v>
      </c>
      <c r="CQ11" s="2212">
        <v>15542.93</v>
      </c>
      <c r="CR11" s="2212">
        <v>14435.7</v>
      </c>
      <c r="CS11" s="2212">
        <v>15379.04</v>
      </c>
      <c r="CT11" s="2212">
        <v>13724.09</v>
      </c>
      <c r="CU11" s="2212">
        <v>14055.57</v>
      </c>
      <c r="CV11" s="2212">
        <v>13485.42</v>
      </c>
      <c r="CW11" s="2212">
        <v>13836.16</v>
      </c>
      <c r="CX11" s="2212">
        <v>19100</v>
      </c>
      <c r="CY11" s="2212">
        <v>13566.63</v>
      </c>
      <c r="CZ11" s="2212">
        <v>14650</v>
      </c>
      <c r="DA11" s="2212">
        <v>19583.599999999999</v>
      </c>
      <c r="DB11" s="2212">
        <v>18799.07</v>
      </c>
      <c r="DC11" s="2212">
        <v>14120.95</v>
      </c>
      <c r="DD11" s="2212">
        <v>13121.09</v>
      </c>
      <c r="DE11" s="2212">
        <v>17997.080000000002</v>
      </c>
      <c r="DF11" s="2212">
        <v>14120.9</v>
      </c>
      <c r="DG11" s="2212">
        <v>18740.759999999998</v>
      </c>
      <c r="DH11" s="2212">
        <v>13485.42</v>
      </c>
      <c r="DI11" s="2212">
        <v>22682.27</v>
      </c>
      <c r="DJ11" s="2212">
        <v>14256.13</v>
      </c>
      <c r="DK11" s="2212">
        <v>18641.599999999999</v>
      </c>
      <c r="DL11" s="2212">
        <v>24304.78</v>
      </c>
      <c r="DM11" s="2212">
        <v>26028.83</v>
      </c>
      <c r="DN11" s="2212">
        <v>13390.57</v>
      </c>
      <c r="DO11" s="2212">
        <v>14112.85</v>
      </c>
      <c r="DP11" s="2212">
        <v>13592.91</v>
      </c>
      <c r="DQ11" s="2212">
        <v>31107.41</v>
      </c>
      <c r="DR11" s="2212">
        <v>16460.14</v>
      </c>
      <c r="DS11" s="2212">
        <v>14435.61</v>
      </c>
      <c r="DT11" s="2212">
        <v>20602.37</v>
      </c>
      <c r="DU11" s="2212">
        <v>19583.599999999999</v>
      </c>
      <c r="DV11" s="2212">
        <v>24888.52</v>
      </c>
      <c r="DW11" s="2212">
        <v>14645.33</v>
      </c>
      <c r="DX11" s="2212">
        <v>14435.68</v>
      </c>
      <c r="DY11" s="2212">
        <v>28198.44</v>
      </c>
      <c r="DZ11" s="2212">
        <v>28482.97</v>
      </c>
      <c r="EA11" s="2212">
        <v>20350</v>
      </c>
      <c r="EB11" s="2212">
        <v>13775.76</v>
      </c>
      <c r="EC11" s="2212">
        <v>14221.7</v>
      </c>
      <c r="ED11" s="2212">
        <v>19583.599999999999</v>
      </c>
      <c r="EE11" s="2212">
        <v>21168.83</v>
      </c>
      <c r="EF11" s="2212">
        <v>38237.83</v>
      </c>
      <c r="EG11" s="2212">
        <v>33700.629999999997</v>
      </c>
      <c r="EH11" s="2212">
        <v>38440.239999999998</v>
      </c>
      <c r="EI11" s="2212">
        <v>19881.080000000002</v>
      </c>
      <c r="EJ11" s="2212">
        <v>23364.18</v>
      </c>
      <c r="EK11" s="2212">
        <v>17800</v>
      </c>
      <c r="EL11" s="2212">
        <v>22608.86</v>
      </c>
      <c r="EM11" s="2212">
        <v>24045.7</v>
      </c>
      <c r="EN11" s="2212">
        <v>13241.37</v>
      </c>
      <c r="EO11" s="2212">
        <v>13699.16</v>
      </c>
      <c r="EP11" s="2212">
        <v>27080.400000000001</v>
      </c>
      <c r="EQ11" s="2212">
        <v>33511.1</v>
      </c>
      <c r="ER11" s="2212">
        <v>19450</v>
      </c>
      <c r="ES11" s="2212">
        <v>14441.5</v>
      </c>
      <c r="ET11" s="2212">
        <v>21168.83</v>
      </c>
      <c r="EU11" s="2212">
        <v>31358.55</v>
      </c>
      <c r="EV11" s="2212">
        <v>20468.53</v>
      </c>
      <c r="EW11" s="2212">
        <v>40841.879999999997</v>
      </c>
      <c r="EX11" s="2212">
        <v>25395.45</v>
      </c>
      <c r="EY11" s="2212">
        <v>15183.7</v>
      </c>
      <c r="EZ11" s="2212">
        <v>15183.7</v>
      </c>
      <c r="FA11" s="2212">
        <v>13113.6</v>
      </c>
      <c r="FB11" s="2212">
        <v>28873.88</v>
      </c>
      <c r="FC11" s="2212">
        <v>35540.83</v>
      </c>
      <c r="FD11" s="2212">
        <v>29561.71</v>
      </c>
      <c r="FE11" s="2212">
        <v>21839.42</v>
      </c>
      <c r="FF11" s="2212">
        <v>33713.53</v>
      </c>
      <c r="FG11" s="2212">
        <v>22608.86</v>
      </c>
      <c r="FH11" s="2212">
        <v>12709.4</v>
      </c>
      <c r="FI11" s="2212">
        <v>17253.400000000001</v>
      </c>
      <c r="FJ11" s="2212">
        <v>23351.58</v>
      </c>
      <c r="FK11" s="2212">
        <v>20174.150000000001</v>
      </c>
      <c r="FL11" s="2212">
        <v>15549.74</v>
      </c>
      <c r="FM11" s="2212">
        <v>13836.16</v>
      </c>
      <c r="FN11" s="2212">
        <v>13666.17</v>
      </c>
      <c r="FO11" s="2212">
        <v>20575.169999999998</v>
      </c>
      <c r="FP11" s="2212">
        <v>22358.29</v>
      </c>
      <c r="FQ11" s="2212">
        <v>16496.61</v>
      </c>
      <c r="FR11" s="2212">
        <v>15490.37</v>
      </c>
      <c r="FS11" s="2212">
        <v>31555.62</v>
      </c>
      <c r="FT11" s="2212">
        <v>13658.38</v>
      </c>
      <c r="FU11" s="2212">
        <v>16460.14</v>
      </c>
      <c r="FV11" s="2212">
        <v>25395.41</v>
      </c>
      <c r="FW11" s="2212">
        <v>25013.72</v>
      </c>
      <c r="FX11" s="2212">
        <v>15669.5</v>
      </c>
      <c r="FY11" s="2212">
        <v>21715.49</v>
      </c>
      <c r="FZ11" s="2212">
        <v>35470.74</v>
      </c>
      <c r="GA11" s="2212">
        <v>15183.6</v>
      </c>
      <c r="GB11" s="2212">
        <v>12856.47</v>
      </c>
      <c r="GC11" s="2212">
        <v>14584.18</v>
      </c>
      <c r="GD11" s="2212">
        <v>38311.96</v>
      </c>
      <c r="GE11" s="2212">
        <v>13348.51</v>
      </c>
      <c r="GF11" s="2212">
        <v>32965.56</v>
      </c>
      <c r="GG11" s="2212">
        <v>37627.71</v>
      </c>
      <c r="GH11" s="2212">
        <v>29499.34</v>
      </c>
      <c r="GI11" s="2212">
        <v>21120.53</v>
      </c>
      <c r="GJ11" s="2212">
        <v>16108.29</v>
      </c>
      <c r="GK11" s="2212">
        <v>29678.73</v>
      </c>
      <c r="GL11" s="2212">
        <v>23350.94</v>
      </c>
      <c r="GM11" s="2212">
        <v>42494.31</v>
      </c>
      <c r="GN11" s="2212">
        <v>16460.14</v>
      </c>
      <c r="GO11" s="2212">
        <v>15369.42</v>
      </c>
      <c r="GP11" s="2212">
        <v>18230.099999999999</v>
      </c>
      <c r="GQ11" s="2212">
        <v>35165.74</v>
      </c>
      <c r="GR11" s="2212">
        <v>14361.39</v>
      </c>
      <c r="GS11" s="2212">
        <v>13836.11</v>
      </c>
      <c r="GT11" s="2212">
        <v>24883.27</v>
      </c>
      <c r="GU11" s="2212">
        <v>29488.83</v>
      </c>
      <c r="GV11" s="2212">
        <v>43229.89</v>
      </c>
      <c r="GW11" s="2212">
        <v>12971.04</v>
      </c>
      <c r="GX11" s="2212">
        <v>14504.66</v>
      </c>
      <c r="GY11" s="2212">
        <v>30383.33</v>
      </c>
      <c r="GZ11" s="2212">
        <v>16155.14</v>
      </c>
      <c r="HA11" s="2212">
        <v>48540.42</v>
      </c>
      <c r="HB11" s="2212">
        <v>13844.07</v>
      </c>
      <c r="HC11" s="2212">
        <v>23793.08</v>
      </c>
      <c r="HD11" s="2212">
        <v>19087.810000000001</v>
      </c>
      <c r="HE11" s="2212">
        <v>26648.57</v>
      </c>
      <c r="HF11" s="2212">
        <v>15850</v>
      </c>
      <c r="HG11" s="2212">
        <v>13339.97</v>
      </c>
      <c r="HH11" s="2212">
        <v>15955.96</v>
      </c>
      <c r="HI11" s="2212">
        <v>18228.86</v>
      </c>
      <c r="HJ11" s="2212">
        <v>13479.6</v>
      </c>
      <c r="HK11" s="2212">
        <v>13257.98</v>
      </c>
      <c r="HL11" s="2212">
        <v>35423.99</v>
      </c>
      <c r="HM11" s="2212">
        <v>33490.42</v>
      </c>
      <c r="HN11" s="2212">
        <v>14727.46</v>
      </c>
      <c r="HO11" s="2212">
        <v>25865.66</v>
      </c>
      <c r="HP11" s="2212">
        <v>15955.96</v>
      </c>
      <c r="HQ11" s="2212">
        <v>41597.68</v>
      </c>
      <c r="HR11" s="2212">
        <v>37111.25</v>
      </c>
      <c r="HS11" s="2212">
        <v>14584.14</v>
      </c>
      <c r="HT11" s="2212">
        <v>20174.150000000001</v>
      </c>
      <c r="HU11" s="2212">
        <v>44056.67</v>
      </c>
      <c r="HV11" s="2212">
        <v>16265.27</v>
      </c>
      <c r="HW11" s="2212">
        <v>15165.75</v>
      </c>
      <c r="HX11" s="2212">
        <v>22409.599999999999</v>
      </c>
      <c r="HY11" s="2212">
        <v>44906.67</v>
      </c>
      <c r="HZ11" s="2212">
        <v>39857.78</v>
      </c>
      <c r="IA11" s="2212">
        <v>13479.51</v>
      </c>
      <c r="IB11" s="2212">
        <v>15332.25</v>
      </c>
      <c r="IC11" s="2212">
        <v>25007.49</v>
      </c>
      <c r="ID11" s="2212">
        <v>12709.9</v>
      </c>
      <c r="IE11" s="2212">
        <v>46848.66</v>
      </c>
      <c r="IF11" s="2212">
        <v>39542.65</v>
      </c>
      <c r="IG11" s="2212">
        <v>38440.239999999998</v>
      </c>
      <c r="IH11" s="2212">
        <v>25328.9</v>
      </c>
      <c r="II11" s="2212">
        <v>14370.99</v>
      </c>
      <c r="IJ11" s="2212">
        <v>19194.27</v>
      </c>
      <c r="IK11" s="2212">
        <v>17055.21</v>
      </c>
      <c r="IL11" s="2212">
        <v>16401.599999999999</v>
      </c>
      <c r="IM11" s="2212">
        <v>16436.02</v>
      </c>
      <c r="IN11" s="2212">
        <v>39499.620000000003</v>
      </c>
      <c r="IO11" s="2212">
        <v>33624.28</v>
      </c>
      <c r="IP11" s="2212">
        <v>14645.34</v>
      </c>
      <c r="IQ11" s="2212">
        <v>24194.42</v>
      </c>
      <c r="IR11" s="2212">
        <v>25380.89</v>
      </c>
      <c r="IS11" s="2212">
        <v>14727.39</v>
      </c>
      <c r="IT11" s="2212">
        <v>14435.68</v>
      </c>
      <c r="IU11" s="2911">
        <v>16092.63</v>
      </c>
      <c r="IV11" s="2911">
        <v>17317.04</v>
      </c>
      <c r="IW11" s="2911">
        <v>18988.32</v>
      </c>
      <c r="IX11" s="2911">
        <v>20308.32</v>
      </c>
      <c r="IY11" s="2207"/>
      <c r="IZ11" s="2215">
        <f t="shared" si="6"/>
        <v>2</v>
      </c>
    </row>
    <row r="12" spans="1:260">
      <c r="A12" s="2214">
        <v>3</v>
      </c>
      <c r="B12" s="2212">
        <v>51760.18</v>
      </c>
      <c r="C12" s="2927">
        <v>44009.53</v>
      </c>
      <c r="D12" s="2927">
        <v>39919.300000000003</v>
      </c>
      <c r="E12" s="2212">
        <v>39040.29</v>
      </c>
      <c r="F12" s="2927">
        <v>39274.78</v>
      </c>
      <c r="G12" s="2212">
        <v>39047.21</v>
      </c>
      <c r="H12" s="2927">
        <v>37837</v>
      </c>
      <c r="I12" s="2212">
        <v>32083.88</v>
      </c>
      <c r="J12" s="2212">
        <v>35657.53</v>
      </c>
      <c r="K12" s="2212">
        <v>33639.17</v>
      </c>
      <c r="L12" s="2927">
        <v>31267.82</v>
      </c>
      <c r="M12" s="2212">
        <v>30596.02</v>
      </c>
      <c r="N12" s="2927">
        <v>28317.88</v>
      </c>
      <c r="O12" s="2212">
        <v>28652.54</v>
      </c>
      <c r="P12" s="2927">
        <v>26582.63</v>
      </c>
      <c r="Q12" s="2927">
        <v>23379.85</v>
      </c>
      <c r="R12" s="2212">
        <v>25582.63</v>
      </c>
      <c r="S12" s="2212">
        <v>25582.63</v>
      </c>
      <c r="T12" s="2212">
        <v>24801.75</v>
      </c>
      <c r="U12" s="2212">
        <v>24801.75</v>
      </c>
      <c r="V12" s="2212">
        <v>24801.75</v>
      </c>
      <c r="W12" s="2212">
        <v>24801.75</v>
      </c>
      <c r="X12" s="2212">
        <v>22211.27</v>
      </c>
      <c r="Y12" s="2927">
        <v>25453.74</v>
      </c>
      <c r="Z12" s="2923">
        <v>28105</v>
      </c>
      <c r="AA12" s="2930">
        <v>28105</v>
      </c>
      <c r="AB12" s="2927">
        <v>24453.74</v>
      </c>
      <c r="AC12" s="2212">
        <v>21517.18</v>
      </c>
      <c r="AD12" s="2923">
        <v>22517.18</v>
      </c>
      <c r="AE12" s="2927">
        <v>24013.279999999999</v>
      </c>
      <c r="AF12" s="2927">
        <v>22113.11</v>
      </c>
      <c r="AG12" s="2927">
        <v>22113.11</v>
      </c>
      <c r="AH12" s="2927">
        <v>23653.919999999998</v>
      </c>
      <c r="AI12" s="2927">
        <v>21783.41</v>
      </c>
      <c r="AJ12" s="2927">
        <v>19958.93</v>
      </c>
      <c r="AK12" s="2927">
        <v>17534.53</v>
      </c>
      <c r="AL12" s="2927">
        <v>16871.690000000002</v>
      </c>
      <c r="AM12" s="2927">
        <v>15997.58</v>
      </c>
      <c r="AN12" s="2212">
        <v>16534.53</v>
      </c>
      <c r="AO12" s="2212">
        <v>15691.69</v>
      </c>
      <c r="AP12" s="2212">
        <v>14997.58</v>
      </c>
      <c r="AQ12" s="2923">
        <v>23965</v>
      </c>
      <c r="AR12" s="2923">
        <v>22265</v>
      </c>
      <c r="AS12" s="2927">
        <v>18755.66</v>
      </c>
      <c r="AT12" s="2927">
        <v>18594.54</v>
      </c>
      <c r="AU12" s="2928">
        <v>17559.32</v>
      </c>
      <c r="AV12" s="2212">
        <v>14590.45</v>
      </c>
      <c r="AW12" s="2212">
        <v>14590.45</v>
      </c>
      <c r="AX12" s="2212">
        <v>16187.47</v>
      </c>
      <c r="AY12" s="2212">
        <v>17129.46</v>
      </c>
      <c r="AZ12" s="2212">
        <v>16425.45</v>
      </c>
      <c r="BA12" s="2212">
        <v>14600.94</v>
      </c>
      <c r="BB12" s="2212">
        <v>17129.46</v>
      </c>
      <c r="BC12" s="2212">
        <v>17347.02</v>
      </c>
      <c r="BD12" s="2212">
        <v>17873.14</v>
      </c>
      <c r="BE12" s="2212">
        <v>18021.89</v>
      </c>
      <c r="BF12" s="2212">
        <v>17402.150000000001</v>
      </c>
      <c r="BG12" s="2212">
        <v>15040.97</v>
      </c>
      <c r="BH12" s="2212">
        <v>21600</v>
      </c>
      <c r="BI12" s="2212">
        <v>21120.54</v>
      </c>
      <c r="BJ12" s="2212">
        <v>13063.84</v>
      </c>
      <c r="BK12" s="2212">
        <v>13063.84</v>
      </c>
      <c r="BL12" s="2212">
        <v>25200</v>
      </c>
      <c r="BM12" s="2212">
        <v>25161.23</v>
      </c>
      <c r="BN12" s="2212">
        <v>25186</v>
      </c>
      <c r="BO12" s="2212">
        <v>23364.32</v>
      </c>
      <c r="BP12" s="2212">
        <v>30737.69</v>
      </c>
      <c r="BQ12" s="2212">
        <v>18839.93</v>
      </c>
      <c r="BR12" s="2212">
        <v>33234.93</v>
      </c>
      <c r="BS12" s="2212">
        <v>28529.11</v>
      </c>
      <c r="BT12" s="2212">
        <v>22800</v>
      </c>
      <c r="BU12" s="2212">
        <v>26995.62</v>
      </c>
      <c r="BV12" s="2212">
        <v>35206.57</v>
      </c>
      <c r="BW12" s="2212">
        <v>37428.269999999997</v>
      </c>
      <c r="BX12" s="2212">
        <v>26702.01</v>
      </c>
      <c r="BY12" s="2212">
        <v>14877.25</v>
      </c>
      <c r="BZ12" s="2212">
        <v>41592.46</v>
      </c>
      <c r="CA12" s="2212">
        <v>15965.62</v>
      </c>
      <c r="CB12" s="2212">
        <v>16108.83</v>
      </c>
      <c r="CC12" s="2212">
        <v>15742.79</v>
      </c>
      <c r="CD12" s="2212">
        <v>23562.29</v>
      </c>
      <c r="CE12" s="2212">
        <v>22893.11</v>
      </c>
      <c r="CF12" s="2212">
        <v>31978.29</v>
      </c>
      <c r="CG12" s="2212">
        <v>21616.32</v>
      </c>
      <c r="CH12" s="2927">
        <v>21665.23</v>
      </c>
      <c r="CI12" s="2927">
        <v>18714.53</v>
      </c>
      <c r="CJ12" s="2212">
        <v>15394.2</v>
      </c>
      <c r="CK12" s="2212">
        <v>14600.94</v>
      </c>
      <c r="CL12" s="2212">
        <v>16049.84</v>
      </c>
      <c r="CM12" s="2212">
        <v>14750</v>
      </c>
      <c r="CN12" s="2212">
        <v>18641.61</v>
      </c>
      <c r="CO12" s="2212">
        <v>13832.48</v>
      </c>
      <c r="CP12" s="2212">
        <v>14000</v>
      </c>
      <c r="CQ12" s="2212">
        <v>15803.22</v>
      </c>
      <c r="CR12" s="2212">
        <v>15270.21</v>
      </c>
      <c r="CS12" s="2212">
        <v>15636.9</v>
      </c>
      <c r="CT12" s="2212">
        <v>13881.58</v>
      </c>
      <c r="CU12" s="2212">
        <v>14600.94</v>
      </c>
      <c r="CV12" s="2212">
        <v>13832.48</v>
      </c>
      <c r="CW12" s="2212">
        <v>14994.79</v>
      </c>
      <c r="CX12" s="2212">
        <v>19700</v>
      </c>
      <c r="CY12" s="2212">
        <v>13645.39</v>
      </c>
      <c r="CZ12" s="2212">
        <v>15000</v>
      </c>
      <c r="DA12" s="2212">
        <v>20327.29</v>
      </c>
      <c r="DB12" s="2212">
        <v>19242.23</v>
      </c>
      <c r="DC12" s="2212">
        <v>15303.41</v>
      </c>
      <c r="DD12" s="2212">
        <v>14209.5</v>
      </c>
      <c r="DE12" s="2212">
        <v>18616.82</v>
      </c>
      <c r="DF12" s="2212">
        <v>15303.36</v>
      </c>
      <c r="DG12" s="2212">
        <v>19360.5</v>
      </c>
      <c r="DH12" s="2212">
        <v>13832.48</v>
      </c>
      <c r="DI12" s="2212">
        <v>23673.85</v>
      </c>
      <c r="DJ12" s="2212">
        <v>14552.37</v>
      </c>
      <c r="DK12" s="2212">
        <v>19038.23</v>
      </c>
      <c r="DL12" s="2212">
        <v>24304.78</v>
      </c>
      <c r="DM12" s="2212">
        <v>27268.3</v>
      </c>
      <c r="DN12" s="2212">
        <v>14549.2</v>
      </c>
      <c r="DO12" s="2212">
        <v>15294.66</v>
      </c>
      <c r="DP12" s="2212">
        <v>13592.91</v>
      </c>
      <c r="DQ12" s="2212">
        <v>32424.13</v>
      </c>
      <c r="DR12" s="2212">
        <v>17055.09</v>
      </c>
      <c r="DS12" s="2212">
        <v>14779.96</v>
      </c>
      <c r="DT12" s="2212">
        <v>21048.26</v>
      </c>
      <c r="DU12" s="2212">
        <v>20128.97</v>
      </c>
      <c r="DV12" s="2212">
        <v>26028.84</v>
      </c>
      <c r="DW12" s="2212">
        <v>14877.23</v>
      </c>
      <c r="DX12" s="2212">
        <v>15270.19</v>
      </c>
      <c r="DY12" s="2212">
        <v>28198.44</v>
      </c>
      <c r="DZ12" s="2212">
        <v>29375.39</v>
      </c>
      <c r="EA12" s="2212">
        <v>21100</v>
      </c>
      <c r="EB12" s="2212">
        <v>14935.28</v>
      </c>
      <c r="EC12" s="2212">
        <v>15381.2</v>
      </c>
      <c r="ED12" s="2212">
        <v>20128.97</v>
      </c>
      <c r="EE12" s="2212">
        <v>22116.68</v>
      </c>
      <c r="EF12" s="2212">
        <v>39689</v>
      </c>
      <c r="EG12" s="2212">
        <v>35115.17</v>
      </c>
      <c r="EH12" s="2212">
        <v>39823.99</v>
      </c>
      <c r="EI12" s="2212">
        <v>20153.77</v>
      </c>
      <c r="EJ12" s="2212">
        <v>23364.18</v>
      </c>
      <c r="EK12" s="2212">
        <v>18300</v>
      </c>
      <c r="EL12" s="2212">
        <v>22608.86</v>
      </c>
      <c r="EM12" s="2212">
        <v>25161.23</v>
      </c>
      <c r="EN12" s="2212">
        <v>14308.6</v>
      </c>
      <c r="EO12" s="2212">
        <v>14846.32</v>
      </c>
      <c r="EP12" s="2212">
        <v>28244.91</v>
      </c>
      <c r="EQ12" s="2212">
        <v>34754.69</v>
      </c>
      <c r="ER12" s="2212">
        <v>20100</v>
      </c>
      <c r="ES12" s="2212">
        <v>14856.85</v>
      </c>
      <c r="ET12" s="2212">
        <v>21168.83</v>
      </c>
      <c r="EU12" s="2212">
        <v>32102.240000000002</v>
      </c>
      <c r="EV12" s="2212">
        <v>21696.67</v>
      </c>
      <c r="EW12" s="2212">
        <v>42357.48</v>
      </c>
      <c r="EX12" s="2212">
        <v>25395.45</v>
      </c>
      <c r="EY12" s="2212">
        <v>16018.21</v>
      </c>
      <c r="EZ12" s="2212">
        <v>16018.21</v>
      </c>
      <c r="FA12" s="2212">
        <v>14201.36</v>
      </c>
      <c r="FB12" s="2212">
        <v>30091.24</v>
      </c>
      <c r="FC12" s="2212">
        <v>36992.15</v>
      </c>
      <c r="FD12" s="2212">
        <v>29561.71</v>
      </c>
      <c r="FE12" s="2212">
        <v>22607.89</v>
      </c>
      <c r="FF12" s="2212">
        <v>35324.839999999997</v>
      </c>
      <c r="FG12" s="2212">
        <v>22608.86</v>
      </c>
      <c r="FH12" s="2212">
        <v>13789.85</v>
      </c>
      <c r="FI12" s="2212">
        <v>17873.14</v>
      </c>
      <c r="FJ12" s="2212">
        <v>24392.74</v>
      </c>
      <c r="FK12" s="2212">
        <v>20174.150000000001</v>
      </c>
      <c r="FL12" s="2212">
        <v>16384.25</v>
      </c>
      <c r="FM12" s="2212">
        <v>14994.79</v>
      </c>
      <c r="FN12" s="2212">
        <v>14848.63</v>
      </c>
      <c r="FO12" s="2212">
        <v>21145.33</v>
      </c>
      <c r="FP12" s="2212">
        <v>22358.29</v>
      </c>
      <c r="FQ12" s="2212">
        <v>17724.75</v>
      </c>
      <c r="FR12" s="2212">
        <v>15800.06</v>
      </c>
      <c r="FS12" s="2212">
        <v>31555.62</v>
      </c>
      <c r="FT12" s="2212">
        <v>14840.19</v>
      </c>
      <c r="FU12" s="2212">
        <v>17055.09</v>
      </c>
      <c r="FV12" s="2212">
        <v>25395.41</v>
      </c>
      <c r="FW12" s="2212">
        <v>26099.18</v>
      </c>
      <c r="FX12" s="2212">
        <v>15979.99</v>
      </c>
      <c r="FY12" s="2212">
        <v>22037.759999999998</v>
      </c>
      <c r="FZ12" s="2212">
        <v>36771.32</v>
      </c>
      <c r="GA12" s="2212">
        <v>15527.95</v>
      </c>
      <c r="GB12" s="2212">
        <v>13922.91</v>
      </c>
      <c r="GC12" s="2212">
        <v>15742.81</v>
      </c>
      <c r="GD12" s="2212">
        <v>39539.040000000001</v>
      </c>
      <c r="GE12" s="2212">
        <v>14436.92</v>
      </c>
      <c r="GF12" s="2212">
        <v>34356.370000000003</v>
      </c>
      <c r="GG12" s="2212">
        <v>39105.040000000001</v>
      </c>
      <c r="GH12" s="2212">
        <v>31110.65</v>
      </c>
      <c r="GI12" s="2212">
        <v>22012.95</v>
      </c>
      <c r="GJ12" s="2212">
        <v>16616.38</v>
      </c>
      <c r="GK12" s="2212">
        <v>29678.73</v>
      </c>
      <c r="GL12" s="2212">
        <v>23350.94</v>
      </c>
      <c r="GM12" s="2212">
        <v>44078.35</v>
      </c>
      <c r="GN12" s="2212">
        <v>17055.09</v>
      </c>
      <c r="GO12" s="2212">
        <v>15617.32</v>
      </c>
      <c r="GP12" s="2212">
        <v>18842.400000000001</v>
      </c>
      <c r="GQ12" s="2212">
        <v>36614.78</v>
      </c>
      <c r="GR12" s="2212">
        <v>15520.02</v>
      </c>
      <c r="GS12" s="2212">
        <v>14994.74</v>
      </c>
      <c r="GT12" s="2212">
        <v>24883.27</v>
      </c>
      <c r="GU12" s="2212">
        <v>29488.83</v>
      </c>
      <c r="GV12" s="2212">
        <v>44814.98</v>
      </c>
      <c r="GW12" s="2212">
        <v>14073.75</v>
      </c>
      <c r="GX12" s="2212">
        <v>15663.29</v>
      </c>
      <c r="GY12" s="2212">
        <v>30383.33</v>
      </c>
      <c r="GZ12" s="2212">
        <v>16478.16</v>
      </c>
      <c r="HA12" s="2212">
        <v>50229.4</v>
      </c>
      <c r="HB12" s="2212">
        <v>15003.34</v>
      </c>
      <c r="HC12" s="2212">
        <v>24743.43</v>
      </c>
      <c r="HD12" s="2212">
        <v>19707.55</v>
      </c>
      <c r="HE12" s="2212">
        <v>27392.26</v>
      </c>
      <c r="HF12" s="2212">
        <v>16250</v>
      </c>
      <c r="HG12" s="2212">
        <v>13515.14</v>
      </c>
      <c r="HH12" s="2212">
        <v>16312.44</v>
      </c>
      <c r="HI12" s="2212">
        <v>19120.12</v>
      </c>
      <c r="HJ12" s="2212">
        <v>14682.8</v>
      </c>
      <c r="HK12" s="2212">
        <v>14405.14</v>
      </c>
      <c r="HL12" s="2212">
        <v>36638.67</v>
      </c>
      <c r="HM12" s="2212">
        <v>34655.519999999997</v>
      </c>
      <c r="HN12" s="2212">
        <v>15886.09</v>
      </c>
      <c r="HO12" s="2212">
        <v>25865.66</v>
      </c>
      <c r="HP12" s="2212">
        <v>16312.44</v>
      </c>
      <c r="HQ12" s="2212">
        <v>43869.13</v>
      </c>
      <c r="HR12" s="2212">
        <v>38581.78</v>
      </c>
      <c r="HS12" s="2212">
        <v>15742.77</v>
      </c>
      <c r="HT12" s="2212">
        <v>20174.150000000001</v>
      </c>
      <c r="HU12" s="2212">
        <v>45717.59</v>
      </c>
      <c r="HV12" s="2212">
        <v>17606.349999999999</v>
      </c>
      <c r="HW12" s="2212">
        <v>15488.77</v>
      </c>
      <c r="HX12" s="2212">
        <v>22707.08</v>
      </c>
      <c r="HY12" s="2212">
        <v>46537.54</v>
      </c>
      <c r="HZ12" s="2212">
        <v>41393.339999999997</v>
      </c>
      <c r="IA12" s="2212">
        <v>14682.69</v>
      </c>
      <c r="IB12" s="2212">
        <v>16490.88</v>
      </c>
      <c r="IC12" s="2212">
        <v>25007.49</v>
      </c>
      <c r="ID12" s="2212">
        <v>13790.35</v>
      </c>
      <c r="IE12" s="2212">
        <v>48535.13</v>
      </c>
      <c r="IF12" s="2212">
        <v>40920.22</v>
      </c>
      <c r="IG12" s="2212">
        <v>39823.99</v>
      </c>
      <c r="IH12" s="2212">
        <v>25328.9</v>
      </c>
      <c r="II12" s="2212">
        <v>15529.63</v>
      </c>
      <c r="IJ12" s="2212">
        <v>19550.75</v>
      </c>
      <c r="IK12" s="2212">
        <v>17367.11</v>
      </c>
      <c r="IL12" s="2212">
        <v>16758.080000000002</v>
      </c>
      <c r="IM12" s="2212">
        <v>17715.25</v>
      </c>
      <c r="IN12" s="2212">
        <v>40672.160000000003</v>
      </c>
      <c r="IO12" s="2212">
        <v>33624.28</v>
      </c>
      <c r="IP12" s="2212">
        <v>14877.25</v>
      </c>
      <c r="IQ12" s="2212">
        <v>25186</v>
      </c>
      <c r="IR12" s="2212">
        <v>25380.89</v>
      </c>
      <c r="IS12" s="2212">
        <v>15886.02</v>
      </c>
      <c r="IT12" s="2212">
        <v>14780.05</v>
      </c>
      <c r="IU12" s="2911">
        <v>16539.940000000002</v>
      </c>
      <c r="IV12" s="2911">
        <v>17629.13</v>
      </c>
      <c r="IW12" s="2911">
        <v>19255.63</v>
      </c>
      <c r="IX12" s="2911">
        <v>20575.63</v>
      </c>
      <c r="IY12" s="2207"/>
      <c r="IZ12" s="2215">
        <f t="shared" si="6"/>
        <v>3</v>
      </c>
    </row>
    <row r="13" spans="1:260">
      <c r="A13" s="2214">
        <v>4</v>
      </c>
      <c r="B13" s="2212">
        <v>53197.97</v>
      </c>
      <c r="C13" s="2927">
        <v>45620.84</v>
      </c>
      <c r="D13" s="2927">
        <v>41406.67</v>
      </c>
      <c r="E13" s="2212">
        <v>40026.42</v>
      </c>
      <c r="F13" s="2927">
        <v>40241.57</v>
      </c>
      <c r="G13" s="2212">
        <v>40045.730000000003</v>
      </c>
      <c r="H13" s="2927">
        <v>38779</v>
      </c>
      <c r="I13" s="2212">
        <v>33056.120000000003</v>
      </c>
      <c r="J13" s="2212">
        <v>36682.33</v>
      </c>
      <c r="K13" s="2212">
        <v>34605.96</v>
      </c>
      <c r="L13" s="2927">
        <v>32185.03</v>
      </c>
      <c r="M13" s="2212">
        <v>31540</v>
      </c>
      <c r="N13" s="2927">
        <v>29160.720000000001</v>
      </c>
      <c r="O13" s="2212">
        <v>29318.880000000001</v>
      </c>
      <c r="P13" s="2927">
        <v>27177.58</v>
      </c>
      <c r="Q13" s="2927">
        <v>23816.15</v>
      </c>
      <c r="R13" s="2212">
        <v>26177.58</v>
      </c>
      <c r="S13" s="2212">
        <v>26177.58</v>
      </c>
      <c r="T13" s="2212">
        <v>25384.3</v>
      </c>
      <c r="U13" s="2212">
        <v>25384.3</v>
      </c>
      <c r="V13" s="2212">
        <v>25384.3</v>
      </c>
      <c r="W13" s="2212">
        <v>25384.3</v>
      </c>
      <c r="X13" s="2212">
        <v>22831.01</v>
      </c>
      <c r="Y13" s="2927">
        <v>26156.28</v>
      </c>
      <c r="Z13" s="2923">
        <v>28375</v>
      </c>
      <c r="AA13" s="2930">
        <v>28375</v>
      </c>
      <c r="AB13" s="2927">
        <v>25156.28</v>
      </c>
      <c r="AC13" s="2212">
        <v>22161.71</v>
      </c>
      <c r="AD13" s="2923">
        <v>23161.71</v>
      </c>
      <c r="AE13" s="2927">
        <v>24659.07</v>
      </c>
      <c r="AF13" s="2927">
        <v>22705.58</v>
      </c>
      <c r="AG13" s="2927">
        <v>22705.58</v>
      </c>
      <c r="AH13" s="2927">
        <v>24269.99</v>
      </c>
      <c r="AI13" s="2927">
        <v>22348.61</v>
      </c>
      <c r="AJ13" s="2927">
        <v>20494.39</v>
      </c>
      <c r="AK13" s="2927">
        <v>17881.59</v>
      </c>
      <c r="AL13" s="2927">
        <v>17144.379999999997</v>
      </c>
      <c r="AM13" s="2927">
        <v>16425.48</v>
      </c>
      <c r="AN13" s="2212">
        <v>16881.59</v>
      </c>
      <c r="AO13" s="2212">
        <v>15964.38</v>
      </c>
      <c r="AP13" s="2212">
        <v>15245.48</v>
      </c>
      <c r="AQ13" s="2923">
        <v>24165</v>
      </c>
      <c r="AR13" s="2923">
        <v>22465</v>
      </c>
      <c r="AS13" s="2927">
        <v>19177.080000000002</v>
      </c>
      <c r="AT13" s="2927">
        <v>18978.78</v>
      </c>
      <c r="AU13" s="2928">
        <v>17906.38</v>
      </c>
      <c r="AV13" s="2212">
        <v>14590.45</v>
      </c>
      <c r="AW13" s="2212">
        <v>14590.45</v>
      </c>
      <c r="AX13" s="2212">
        <v>16608.89</v>
      </c>
      <c r="AY13" s="2212">
        <v>17129.46</v>
      </c>
      <c r="AZ13" s="2212">
        <v>16846.87</v>
      </c>
      <c r="BA13" s="2212">
        <v>14600.94</v>
      </c>
      <c r="BB13" s="2212">
        <v>17129.46</v>
      </c>
      <c r="BC13" s="2212">
        <v>17347.02</v>
      </c>
      <c r="BD13" s="2212">
        <v>17873.14</v>
      </c>
      <c r="BE13" s="2212">
        <v>18368.95</v>
      </c>
      <c r="BF13" s="2212">
        <v>17402.150000000001</v>
      </c>
      <c r="BG13" s="2212">
        <v>15295.07</v>
      </c>
      <c r="BH13" s="2212">
        <v>21600</v>
      </c>
      <c r="BI13" s="2212">
        <v>21517.17</v>
      </c>
      <c r="BJ13" s="2212">
        <v>13063.84</v>
      </c>
      <c r="BK13" s="2212">
        <v>13063.84</v>
      </c>
      <c r="BL13" s="2212">
        <v>25200</v>
      </c>
      <c r="BM13" s="2212">
        <v>25533.08</v>
      </c>
      <c r="BN13" s="2212">
        <v>25186</v>
      </c>
      <c r="BO13" s="2212">
        <v>24380.07</v>
      </c>
      <c r="BP13" s="2212">
        <v>30737.69</v>
      </c>
      <c r="BQ13" s="2212">
        <v>18839.93</v>
      </c>
      <c r="BR13" s="2212">
        <v>33234.93</v>
      </c>
      <c r="BS13" s="2212">
        <v>28529.11</v>
      </c>
      <c r="BT13" s="2212">
        <v>22800</v>
      </c>
      <c r="BU13" s="2212">
        <v>26995.62</v>
      </c>
      <c r="BV13" s="2212">
        <v>35206.57</v>
      </c>
      <c r="BW13" s="2212">
        <v>37428.269999999997</v>
      </c>
      <c r="BX13" s="2212">
        <v>26702.01</v>
      </c>
      <c r="BY13" s="2212">
        <v>15041.21</v>
      </c>
      <c r="BZ13" s="2212">
        <v>42141.05</v>
      </c>
      <c r="CA13" s="2212">
        <v>16094.68</v>
      </c>
      <c r="CB13" s="2212">
        <v>16237.89</v>
      </c>
      <c r="CC13" s="2212">
        <v>15871.85</v>
      </c>
      <c r="CD13" s="2212">
        <v>23934.14</v>
      </c>
      <c r="CE13" s="2212">
        <v>23888.38</v>
      </c>
      <c r="CF13" s="2212">
        <v>31978.29</v>
      </c>
      <c r="CG13" s="2212">
        <v>21616.32</v>
      </c>
      <c r="CH13" s="2927">
        <v>22248.880000000001</v>
      </c>
      <c r="CI13" s="2927">
        <v>19061.59</v>
      </c>
      <c r="CJ13" s="2212">
        <v>15394.2</v>
      </c>
      <c r="CK13" s="2212">
        <v>14600.94</v>
      </c>
      <c r="CL13" s="2212">
        <v>16049.84</v>
      </c>
      <c r="CM13" s="2212">
        <v>14750</v>
      </c>
      <c r="CN13" s="2212">
        <v>18939.09</v>
      </c>
      <c r="CO13" s="2212">
        <v>13832.48</v>
      </c>
      <c r="CP13" s="2212">
        <v>14000</v>
      </c>
      <c r="CQ13" s="2212">
        <v>16224.64</v>
      </c>
      <c r="CR13" s="2212">
        <v>15593.07</v>
      </c>
      <c r="CS13" s="2212">
        <v>15808.62</v>
      </c>
      <c r="CT13" s="2212">
        <v>13881.58</v>
      </c>
      <c r="CU13" s="2212">
        <v>14600.94</v>
      </c>
      <c r="CV13" s="2212">
        <v>13832.48</v>
      </c>
      <c r="CW13" s="2212">
        <v>15123.85</v>
      </c>
      <c r="CX13" s="2212">
        <v>19700</v>
      </c>
      <c r="CY13" s="2212">
        <v>13645.39</v>
      </c>
      <c r="CZ13" s="2212">
        <v>15000</v>
      </c>
      <c r="DA13" s="2212">
        <v>20327.29</v>
      </c>
      <c r="DB13" s="2212">
        <v>19242.23</v>
      </c>
      <c r="DC13" s="2212">
        <v>15621.71</v>
      </c>
      <c r="DD13" s="2212">
        <v>14345.33</v>
      </c>
      <c r="DE13" s="2212">
        <v>18616.82</v>
      </c>
      <c r="DF13" s="2212">
        <v>15435.07</v>
      </c>
      <c r="DG13" s="2212">
        <v>19360.5</v>
      </c>
      <c r="DH13" s="2212">
        <v>13832.48</v>
      </c>
      <c r="DI13" s="2212">
        <v>23673.85</v>
      </c>
      <c r="DJ13" s="2212">
        <v>14763.98</v>
      </c>
      <c r="DK13" s="2212">
        <v>19335.71</v>
      </c>
      <c r="DL13" s="2212">
        <v>25439.200000000001</v>
      </c>
      <c r="DM13" s="2212">
        <v>27937.62</v>
      </c>
      <c r="DN13" s="2212">
        <v>14678.26</v>
      </c>
      <c r="DO13" s="2212">
        <v>15426.29</v>
      </c>
      <c r="DP13" s="2212">
        <v>14564.33</v>
      </c>
      <c r="DQ13" s="2212">
        <v>32861.910000000003</v>
      </c>
      <c r="DR13" s="2212">
        <v>17055.09</v>
      </c>
      <c r="DS13" s="2212">
        <v>15102.79</v>
      </c>
      <c r="DT13" s="2212">
        <v>21048.26</v>
      </c>
      <c r="DU13" s="2212">
        <v>20426.45</v>
      </c>
      <c r="DV13" s="2212">
        <v>26028.84</v>
      </c>
      <c r="DW13" s="2212">
        <v>15041.19</v>
      </c>
      <c r="DX13" s="2212">
        <v>15593.05</v>
      </c>
      <c r="DY13" s="2212">
        <v>29455.71</v>
      </c>
      <c r="DZ13" s="2212">
        <v>29375.39</v>
      </c>
      <c r="EA13" s="2212">
        <v>21100</v>
      </c>
      <c r="EB13" s="2212">
        <v>15064.41</v>
      </c>
      <c r="EC13" s="2212">
        <v>15510.35</v>
      </c>
      <c r="ED13" s="2212">
        <v>20426.45</v>
      </c>
      <c r="EE13" s="2212">
        <v>22116.68</v>
      </c>
      <c r="EF13" s="2212">
        <v>39689</v>
      </c>
      <c r="EG13" s="2212">
        <v>35566.86</v>
      </c>
      <c r="EH13" s="2212">
        <v>39823.99</v>
      </c>
      <c r="EI13" s="2212">
        <v>20426.46</v>
      </c>
      <c r="EJ13" s="2212">
        <v>24379.93</v>
      </c>
      <c r="EK13" s="2212">
        <v>18300</v>
      </c>
      <c r="EL13" s="2212">
        <v>23723.59</v>
      </c>
      <c r="EM13" s="2212">
        <v>25533.08</v>
      </c>
      <c r="EN13" s="2212">
        <v>14441.79</v>
      </c>
      <c r="EO13" s="2212">
        <v>14974.09</v>
      </c>
      <c r="EP13" s="2212">
        <v>28618.12</v>
      </c>
      <c r="EQ13" s="2212">
        <v>34754.69</v>
      </c>
      <c r="ER13" s="2212">
        <v>20100</v>
      </c>
      <c r="ES13" s="2212">
        <v>15272.2</v>
      </c>
      <c r="ET13" s="2212">
        <v>22116.68</v>
      </c>
      <c r="EU13" s="2212">
        <v>32102.240000000002</v>
      </c>
      <c r="EV13" s="2212">
        <v>21696.67</v>
      </c>
      <c r="EW13" s="2212">
        <v>42357.48</v>
      </c>
      <c r="EX13" s="2212">
        <v>26646.97</v>
      </c>
      <c r="EY13" s="2212">
        <v>16312.49</v>
      </c>
      <c r="EZ13" s="2212">
        <v>16341.07</v>
      </c>
      <c r="FA13" s="2212">
        <v>14337.11</v>
      </c>
      <c r="FB13" s="2212">
        <v>30495.24</v>
      </c>
      <c r="FC13" s="2212">
        <v>37494.76</v>
      </c>
      <c r="FD13" s="2212">
        <v>30952.92</v>
      </c>
      <c r="FE13" s="2212">
        <v>22607.89</v>
      </c>
      <c r="FF13" s="2212">
        <v>35523.160000000003</v>
      </c>
      <c r="FG13" s="2212">
        <v>23723.59</v>
      </c>
      <c r="FH13" s="2212">
        <v>13859.93</v>
      </c>
      <c r="FI13" s="2212">
        <v>17873.14</v>
      </c>
      <c r="FJ13" s="2212">
        <v>24392.74</v>
      </c>
      <c r="FK13" s="2212">
        <v>20474.900000000001</v>
      </c>
      <c r="FL13" s="2212">
        <v>16707.11</v>
      </c>
      <c r="FM13" s="2212">
        <v>15123.85</v>
      </c>
      <c r="FN13" s="2212">
        <v>14980.34</v>
      </c>
      <c r="FO13" s="2212">
        <v>21145.33</v>
      </c>
      <c r="FP13" s="2212">
        <v>23101.03</v>
      </c>
      <c r="FQ13" s="2212">
        <v>17724.75</v>
      </c>
      <c r="FR13" s="2212">
        <v>16001.87</v>
      </c>
      <c r="FS13" s="2212">
        <v>32928.76</v>
      </c>
      <c r="FT13" s="2212">
        <v>14971.83</v>
      </c>
      <c r="FU13" s="2212">
        <v>17055.09</v>
      </c>
      <c r="FV13" s="2212">
        <v>26646.95</v>
      </c>
      <c r="FW13" s="2212">
        <v>26469.54</v>
      </c>
      <c r="FX13" s="2212">
        <v>16278.43</v>
      </c>
      <c r="FY13" s="2212">
        <v>22360.03</v>
      </c>
      <c r="FZ13" s="2212">
        <v>36771.32</v>
      </c>
      <c r="GA13" s="2212">
        <v>15850.78</v>
      </c>
      <c r="GB13" s="2212">
        <v>14056.03</v>
      </c>
      <c r="GC13" s="2212">
        <v>15871.87</v>
      </c>
      <c r="GD13" s="2212">
        <v>39539.040000000001</v>
      </c>
      <c r="GE13" s="2212">
        <v>14572.75</v>
      </c>
      <c r="GF13" s="2212">
        <v>34816.19</v>
      </c>
      <c r="GG13" s="2212">
        <v>39655</v>
      </c>
      <c r="GH13" s="2212">
        <v>31482.5</v>
      </c>
      <c r="GI13" s="2212">
        <v>22012.95</v>
      </c>
      <c r="GJ13" s="2212">
        <v>17124.47</v>
      </c>
      <c r="GK13" s="2212">
        <v>30617.87</v>
      </c>
      <c r="GL13" s="2212">
        <v>24366.09</v>
      </c>
      <c r="GM13" s="2212">
        <v>44689.04</v>
      </c>
      <c r="GN13" s="2212">
        <v>17055.09</v>
      </c>
      <c r="GO13" s="2212">
        <v>15865.22</v>
      </c>
      <c r="GP13" s="2212">
        <v>19159.7</v>
      </c>
      <c r="GQ13" s="2212">
        <v>37095.5</v>
      </c>
      <c r="GR13" s="2212">
        <v>15649.07</v>
      </c>
      <c r="GS13" s="2212">
        <v>15123.64</v>
      </c>
      <c r="GT13" s="2212">
        <v>26109.55</v>
      </c>
      <c r="GU13" s="2212">
        <v>30399.25</v>
      </c>
      <c r="GV13" s="2212">
        <v>44814.98</v>
      </c>
      <c r="GW13" s="2212">
        <v>14145.3</v>
      </c>
      <c r="GX13" s="2212">
        <v>15792.35</v>
      </c>
      <c r="GY13" s="2212">
        <v>31346.03</v>
      </c>
      <c r="GZ13" s="2212">
        <v>16788.68</v>
      </c>
      <c r="HA13" s="2212">
        <v>50918.97</v>
      </c>
      <c r="HB13" s="2212">
        <v>15132.47</v>
      </c>
      <c r="HC13" s="2212">
        <v>24743.43</v>
      </c>
      <c r="HD13" s="2212">
        <v>19707.55</v>
      </c>
      <c r="HE13" s="2212">
        <v>27392.26</v>
      </c>
      <c r="HF13" s="2212">
        <v>16250</v>
      </c>
      <c r="HG13" s="2212">
        <v>13606.2</v>
      </c>
      <c r="HH13" s="2212">
        <v>16312.44</v>
      </c>
      <c r="HI13" s="2212">
        <v>19120.12</v>
      </c>
      <c r="HJ13" s="2212">
        <v>14834.02</v>
      </c>
      <c r="HK13" s="2212">
        <v>14532.91</v>
      </c>
      <c r="HL13" s="2212">
        <v>36638.67</v>
      </c>
      <c r="HM13" s="2212">
        <v>34655.519999999997</v>
      </c>
      <c r="HN13" s="2212">
        <v>16015.15</v>
      </c>
      <c r="HO13" s="2212">
        <v>27117.15</v>
      </c>
      <c r="HP13" s="2212">
        <v>16312.44</v>
      </c>
      <c r="HQ13" s="2212">
        <v>45233.57</v>
      </c>
      <c r="HR13" s="2212">
        <v>39090.660000000003</v>
      </c>
      <c r="HS13" s="2212">
        <v>15871.83</v>
      </c>
      <c r="HT13" s="2212">
        <v>20474.900000000001</v>
      </c>
      <c r="HU13" s="2212">
        <v>45717.59</v>
      </c>
      <c r="HV13" s="2212">
        <v>17774.87</v>
      </c>
      <c r="HW13" s="2212">
        <v>15799.29</v>
      </c>
      <c r="HX13" s="2212">
        <v>23004.560000000001</v>
      </c>
      <c r="HY13" s="2212">
        <v>47179.74</v>
      </c>
      <c r="HZ13" s="2212">
        <v>41975.5</v>
      </c>
      <c r="IA13" s="2212">
        <v>14833.91</v>
      </c>
      <c r="IB13" s="2212">
        <v>16490.88</v>
      </c>
      <c r="IC13" s="2212">
        <v>26002.76</v>
      </c>
      <c r="ID13" s="2212">
        <v>13860.43</v>
      </c>
      <c r="IE13" s="2212">
        <v>48535.13</v>
      </c>
      <c r="IF13" s="2212">
        <v>42297.79</v>
      </c>
      <c r="IG13" s="2212">
        <v>39823.99</v>
      </c>
      <c r="IH13" s="2212">
        <v>26555.18</v>
      </c>
      <c r="II13" s="2212">
        <v>15658.68</v>
      </c>
      <c r="IJ13" s="2212">
        <v>19550.75</v>
      </c>
      <c r="IK13" s="2212">
        <v>17367.11</v>
      </c>
      <c r="IL13" s="2212">
        <v>16758.080000000002</v>
      </c>
      <c r="IM13" s="2212">
        <v>17715.25</v>
      </c>
      <c r="IN13" s="2212">
        <v>41844.699999999997</v>
      </c>
      <c r="IO13" s="2212">
        <v>34980.9</v>
      </c>
      <c r="IP13" s="2212">
        <v>15041.21</v>
      </c>
      <c r="IQ13" s="2212">
        <v>25186</v>
      </c>
      <c r="IR13" s="2212">
        <v>26631.71</v>
      </c>
      <c r="IS13" s="2212">
        <v>16015.08</v>
      </c>
      <c r="IT13" s="2212">
        <v>15102.91</v>
      </c>
      <c r="IU13" s="2911">
        <v>16539.940000000002</v>
      </c>
      <c r="IV13" s="2911">
        <v>17629.13</v>
      </c>
      <c r="IW13" s="2911">
        <v>19255.63</v>
      </c>
      <c r="IX13" s="2911">
        <v>20575.63</v>
      </c>
      <c r="IY13" s="2207"/>
      <c r="IZ13" s="2215">
        <f t="shared" si="6"/>
        <v>4</v>
      </c>
    </row>
    <row r="14" spans="1:260">
      <c r="A14" s="2214">
        <v>5</v>
      </c>
      <c r="B14" s="2212">
        <v>53197.97</v>
      </c>
      <c r="C14" s="2927">
        <v>45620.84</v>
      </c>
      <c r="D14" s="2927">
        <v>41406.67</v>
      </c>
      <c r="E14" s="2212">
        <v>41012.550000000003</v>
      </c>
      <c r="F14" s="2927">
        <v>41208.36</v>
      </c>
      <c r="G14" s="2212">
        <v>41044.25</v>
      </c>
      <c r="H14" s="2927">
        <v>39721</v>
      </c>
      <c r="I14" s="2212">
        <v>34028.36</v>
      </c>
      <c r="J14" s="2212">
        <v>37707.129999999997</v>
      </c>
      <c r="K14" s="2212">
        <v>35572.75</v>
      </c>
      <c r="L14" s="2927">
        <v>33102.240000000005</v>
      </c>
      <c r="M14" s="2212">
        <v>32483.98</v>
      </c>
      <c r="N14" s="2927">
        <v>30003.56</v>
      </c>
      <c r="O14" s="2212">
        <v>29985.22</v>
      </c>
      <c r="P14" s="2927">
        <v>27772.53</v>
      </c>
      <c r="Q14" s="2927">
        <v>24252.45</v>
      </c>
      <c r="R14" s="2212">
        <v>26772.53</v>
      </c>
      <c r="S14" s="2212">
        <v>26772.53</v>
      </c>
      <c r="T14" s="2212">
        <v>25966.85</v>
      </c>
      <c r="U14" s="2212">
        <v>25966.85</v>
      </c>
      <c r="V14" s="2212">
        <v>25966.85</v>
      </c>
      <c r="W14" s="2212">
        <v>25966.85</v>
      </c>
      <c r="X14" s="2212">
        <v>23450.75</v>
      </c>
      <c r="Y14" s="2927">
        <v>26858.82</v>
      </c>
      <c r="Z14" s="2923">
        <v>28644</v>
      </c>
      <c r="AA14" s="2930">
        <v>28644</v>
      </c>
      <c r="AB14" s="2927">
        <v>25858.82</v>
      </c>
      <c r="AC14" s="2212">
        <v>22806.240000000002</v>
      </c>
      <c r="AD14" s="2923">
        <v>23806.240000000002</v>
      </c>
      <c r="AE14" s="2927">
        <v>25304.86</v>
      </c>
      <c r="AF14" s="2927">
        <v>23298.05</v>
      </c>
      <c r="AG14" s="2927">
        <v>23298.05</v>
      </c>
      <c r="AH14" s="2927">
        <v>24886.06</v>
      </c>
      <c r="AI14" s="2927">
        <v>22913.81</v>
      </c>
      <c r="AJ14" s="2927">
        <v>21029.85</v>
      </c>
      <c r="AK14" s="2927">
        <v>18228.650000000001</v>
      </c>
      <c r="AL14" s="2927">
        <v>17290.276000000002</v>
      </c>
      <c r="AM14" s="2927">
        <v>16673.379999999997</v>
      </c>
      <c r="AN14" s="2212">
        <v>17228.650000000001</v>
      </c>
      <c r="AO14" s="2212">
        <v>16237.07</v>
      </c>
      <c r="AP14" s="2212">
        <v>15493.38</v>
      </c>
      <c r="AQ14" s="2923">
        <v>24365</v>
      </c>
      <c r="AR14" s="2923">
        <v>22665</v>
      </c>
      <c r="AS14" s="2927">
        <v>19516.633249999999</v>
      </c>
      <c r="AT14" s="2927">
        <v>19363.02</v>
      </c>
      <c r="AU14" s="2928">
        <v>18253.439999999999</v>
      </c>
      <c r="AV14" s="2212">
        <v>15345.24</v>
      </c>
      <c r="AW14" s="2212">
        <v>15167.43</v>
      </c>
      <c r="AX14" s="2212">
        <v>17030.310000000001</v>
      </c>
      <c r="AY14" s="2212">
        <v>17749.2</v>
      </c>
      <c r="AZ14" s="2212">
        <v>17268.29</v>
      </c>
      <c r="BA14" s="2212">
        <v>15146.31</v>
      </c>
      <c r="BB14" s="2212">
        <v>17749.2</v>
      </c>
      <c r="BC14" s="2212">
        <v>17912.79</v>
      </c>
      <c r="BD14" s="2212">
        <v>18492.88</v>
      </c>
      <c r="BE14" s="2212">
        <v>18716.009999999998</v>
      </c>
      <c r="BF14" s="2212">
        <v>18121.05</v>
      </c>
      <c r="BG14" s="2212">
        <v>15549.17</v>
      </c>
      <c r="BH14" s="2212">
        <v>22250</v>
      </c>
      <c r="BI14" s="2212">
        <v>21913.8</v>
      </c>
      <c r="BJ14" s="2212">
        <v>13258.51</v>
      </c>
      <c r="BK14" s="2212">
        <v>13258.51</v>
      </c>
      <c r="BL14" s="2212">
        <v>26200</v>
      </c>
      <c r="BM14" s="2212">
        <v>25904.93</v>
      </c>
      <c r="BN14" s="2212">
        <v>26177.58</v>
      </c>
      <c r="BO14" s="2212">
        <v>24380.07</v>
      </c>
      <c r="BP14" s="2212">
        <v>31869.45</v>
      </c>
      <c r="BQ14" s="2212">
        <v>19583.62</v>
      </c>
      <c r="BR14" s="2212">
        <v>34416.67</v>
      </c>
      <c r="BS14" s="2212">
        <v>29574.11</v>
      </c>
      <c r="BT14" s="2212">
        <v>23750</v>
      </c>
      <c r="BU14" s="2212">
        <v>28036.78</v>
      </c>
      <c r="BV14" s="2212">
        <v>36490.86</v>
      </c>
      <c r="BW14" s="2212">
        <v>38805.839999999997</v>
      </c>
      <c r="BX14" s="2212">
        <v>27677.35</v>
      </c>
      <c r="BY14" s="2212">
        <v>15205.17</v>
      </c>
      <c r="BZ14" s="2212">
        <v>42689.64</v>
      </c>
      <c r="CA14" s="2212">
        <v>16223.74</v>
      </c>
      <c r="CB14" s="2212">
        <v>16366.95</v>
      </c>
      <c r="CC14" s="2212">
        <v>16000.91</v>
      </c>
      <c r="CD14" s="2212">
        <v>24305.99</v>
      </c>
      <c r="CE14" s="2212">
        <v>23888.38</v>
      </c>
      <c r="CF14" s="2212">
        <v>32721.98</v>
      </c>
      <c r="CG14" s="2212">
        <v>22384.79</v>
      </c>
      <c r="CH14" s="2927">
        <v>22832.53</v>
      </c>
      <c r="CI14" s="2927">
        <v>19408.650000000001</v>
      </c>
      <c r="CJ14" s="2212">
        <v>15989.15</v>
      </c>
      <c r="CK14" s="2212">
        <v>15146.31</v>
      </c>
      <c r="CL14" s="2212">
        <v>16752.87</v>
      </c>
      <c r="CM14" s="2212">
        <v>15300</v>
      </c>
      <c r="CN14" s="2212">
        <v>19236.57</v>
      </c>
      <c r="CO14" s="2212">
        <v>14179.54</v>
      </c>
      <c r="CP14" s="2212">
        <v>14350</v>
      </c>
      <c r="CQ14" s="2212">
        <v>16646.060000000001</v>
      </c>
      <c r="CR14" s="2212">
        <v>15915.93</v>
      </c>
      <c r="CS14" s="2212">
        <v>15980.34</v>
      </c>
      <c r="CT14" s="2212">
        <v>13992.59</v>
      </c>
      <c r="CU14" s="2212">
        <v>15146.31</v>
      </c>
      <c r="CV14" s="2212">
        <v>14179.54</v>
      </c>
      <c r="CW14" s="2212">
        <v>15252.91</v>
      </c>
      <c r="CX14" s="2212">
        <v>20250</v>
      </c>
      <c r="CY14" s="2212">
        <v>13700.9</v>
      </c>
      <c r="CZ14" s="2212">
        <v>15400</v>
      </c>
      <c r="DA14" s="2212">
        <v>21070.98</v>
      </c>
      <c r="DB14" s="2212">
        <v>19985.919999999998</v>
      </c>
      <c r="DC14" s="2212">
        <v>15940.01</v>
      </c>
      <c r="DD14" s="2212">
        <v>14481.16</v>
      </c>
      <c r="DE14" s="2212">
        <v>19236.560000000001</v>
      </c>
      <c r="DF14" s="2212">
        <v>15566.78</v>
      </c>
      <c r="DG14" s="2212">
        <v>19980.240000000002</v>
      </c>
      <c r="DH14" s="2212">
        <v>14179.54</v>
      </c>
      <c r="DI14" s="2212">
        <v>24665.43</v>
      </c>
      <c r="DJ14" s="2212">
        <v>14975.59</v>
      </c>
      <c r="DK14" s="2212">
        <v>19633.189999999999</v>
      </c>
      <c r="DL14" s="2212">
        <v>25439.200000000001</v>
      </c>
      <c r="DM14" s="2212">
        <v>28606.94</v>
      </c>
      <c r="DN14" s="2212">
        <v>14807.32</v>
      </c>
      <c r="DO14" s="2212">
        <v>15557.92</v>
      </c>
      <c r="DP14" s="2212">
        <v>14645.34</v>
      </c>
      <c r="DQ14" s="2212">
        <v>33299.69</v>
      </c>
      <c r="DR14" s="2212">
        <v>17650.04</v>
      </c>
      <c r="DS14" s="2212">
        <v>15425.62</v>
      </c>
      <c r="DT14" s="2212">
        <v>21494.94</v>
      </c>
      <c r="DU14" s="2212">
        <v>20723.93</v>
      </c>
      <c r="DV14" s="2212">
        <v>27169.16</v>
      </c>
      <c r="DW14" s="2212">
        <v>15205.15</v>
      </c>
      <c r="DX14" s="2212">
        <v>15915.91</v>
      </c>
      <c r="DY14" s="2212">
        <v>29455.71</v>
      </c>
      <c r="DZ14" s="2212">
        <v>30267.81</v>
      </c>
      <c r="EA14" s="2212">
        <v>21900</v>
      </c>
      <c r="EB14" s="2212">
        <v>15193.54</v>
      </c>
      <c r="EC14" s="2212">
        <v>15639.5</v>
      </c>
      <c r="ED14" s="2212">
        <v>20723.93</v>
      </c>
      <c r="EE14" s="2212">
        <v>23064.53</v>
      </c>
      <c r="EF14" s="2212">
        <v>41140.17</v>
      </c>
      <c r="EG14" s="2212">
        <v>36018.550000000003</v>
      </c>
      <c r="EH14" s="2212">
        <v>41207.74</v>
      </c>
      <c r="EI14" s="2212">
        <v>20699.150000000001</v>
      </c>
      <c r="EJ14" s="2212">
        <v>24379.93</v>
      </c>
      <c r="EK14" s="2212">
        <v>18800</v>
      </c>
      <c r="EL14" s="2212">
        <v>23723.59</v>
      </c>
      <c r="EM14" s="2212">
        <v>25904.93</v>
      </c>
      <c r="EN14" s="2212">
        <v>14574.98</v>
      </c>
      <c r="EO14" s="2212">
        <v>15101.86</v>
      </c>
      <c r="EP14" s="2212">
        <v>28991.33</v>
      </c>
      <c r="EQ14" s="2212">
        <v>35998.28</v>
      </c>
      <c r="ER14" s="2212">
        <v>20700</v>
      </c>
      <c r="ES14" s="2212">
        <v>15687.55</v>
      </c>
      <c r="ET14" s="2212">
        <v>22116.68</v>
      </c>
      <c r="EU14" s="2212">
        <v>32845.93</v>
      </c>
      <c r="EV14" s="2212">
        <v>22242.41</v>
      </c>
      <c r="EW14" s="2212">
        <v>43873.08</v>
      </c>
      <c r="EX14" s="2212">
        <v>26646.97</v>
      </c>
      <c r="EY14" s="2212">
        <v>16663.91</v>
      </c>
      <c r="EZ14" s="2212">
        <v>16663.93</v>
      </c>
      <c r="FA14" s="2212">
        <v>14472.86</v>
      </c>
      <c r="FB14" s="2212">
        <v>30899.24</v>
      </c>
      <c r="FC14" s="2212">
        <v>37997.370000000003</v>
      </c>
      <c r="FD14" s="2212">
        <v>30952.92</v>
      </c>
      <c r="FE14" s="2212">
        <v>23376.36</v>
      </c>
      <c r="FF14" s="2212">
        <v>35721.480000000003</v>
      </c>
      <c r="FG14" s="2212">
        <v>23723.59</v>
      </c>
      <c r="FH14" s="2212">
        <v>13930.01</v>
      </c>
      <c r="FI14" s="2212">
        <v>18492.88</v>
      </c>
      <c r="FJ14" s="2212">
        <v>25433.9</v>
      </c>
      <c r="FK14" s="2212">
        <v>20474.900000000001</v>
      </c>
      <c r="FL14" s="2212">
        <v>17029.97</v>
      </c>
      <c r="FM14" s="2212">
        <v>15252.91</v>
      </c>
      <c r="FN14" s="2212">
        <v>15112.05</v>
      </c>
      <c r="FO14" s="2212">
        <v>21715.49</v>
      </c>
      <c r="FP14" s="2212">
        <v>23101.03</v>
      </c>
      <c r="FQ14" s="2212">
        <v>18270.490000000002</v>
      </c>
      <c r="FR14" s="2212">
        <v>16203.68</v>
      </c>
      <c r="FS14" s="2212">
        <v>32928.76</v>
      </c>
      <c r="FT14" s="2212">
        <v>15103.47</v>
      </c>
      <c r="FU14" s="2212">
        <v>17650.04</v>
      </c>
      <c r="FV14" s="2212">
        <v>26646.95</v>
      </c>
      <c r="FW14" s="2212">
        <v>26839.9</v>
      </c>
      <c r="FX14" s="2212">
        <v>16576.87</v>
      </c>
      <c r="FY14" s="2212">
        <v>22682.3</v>
      </c>
      <c r="FZ14" s="2212">
        <v>38071.9</v>
      </c>
      <c r="GA14" s="2212">
        <v>16173.61</v>
      </c>
      <c r="GB14" s="2212">
        <v>14189.15</v>
      </c>
      <c r="GC14" s="2212">
        <v>16000.93</v>
      </c>
      <c r="GD14" s="2212">
        <v>40766.120000000003</v>
      </c>
      <c r="GE14" s="2212">
        <v>14708.58</v>
      </c>
      <c r="GF14" s="2212">
        <v>35276.01</v>
      </c>
      <c r="GG14" s="2212">
        <v>40204.959999999999</v>
      </c>
      <c r="GH14" s="2212">
        <v>31854.35</v>
      </c>
      <c r="GI14" s="2212">
        <v>22905.37</v>
      </c>
      <c r="GJ14" s="2212">
        <v>17632.560000000001</v>
      </c>
      <c r="GK14" s="2212">
        <v>30617.87</v>
      </c>
      <c r="GL14" s="2212">
        <v>24366.09</v>
      </c>
      <c r="GM14" s="2212">
        <v>45299.73</v>
      </c>
      <c r="GN14" s="2212">
        <v>17650.04</v>
      </c>
      <c r="GO14" s="2212">
        <v>16113.12</v>
      </c>
      <c r="GP14" s="2212">
        <v>19477</v>
      </c>
      <c r="GQ14" s="2212">
        <v>37576.22</v>
      </c>
      <c r="GR14" s="2212">
        <v>15778.12</v>
      </c>
      <c r="GS14" s="2212">
        <v>15252.54</v>
      </c>
      <c r="GT14" s="2212">
        <v>26109.55</v>
      </c>
      <c r="GU14" s="2212">
        <v>30399.25</v>
      </c>
      <c r="GV14" s="2212">
        <v>46400.07</v>
      </c>
      <c r="GW14" s="2212">
        <v>14216.85</v>
      </c>
      <c r="GX14" s="2212">
        <v>15921.41</v>
      </c>
      <c r="GY14" s="2212">
        <v>31346.03</v>
      </c>
      <c r="GZ14" s="2212">
        <v>17099.2</v>
      </c>
      <c r="HA14" s="2212">
        <v>51608.54</v>
      </c>
      <c r="HB14" s="2212">
        <v>15261.6</v>
      </c>
      <c r="HC14" s="2212">
        <v>25693.78</v>
      </c>
      <c r="HD14" s="2212">
        <v>20327.29</v>
      </c>
      <c r="HE14" s="2212">
        <v>28135.95</v>
      </c>
      <c r="HF14" s="2212">
        <v>16600</v>
      </c>
      <c r="HG14" s="2212">
        <v>13697.26</v>
      </c>
      <c r="HH14" s="2212">
        <v>17047.72</v>
      </c>
      <c r="HI14" s="2212">
        <v>19476.599999999999</v>
      </c>
      <c r="HJ14" s="2212">
        <v>14985.24</v>
      </c>
      <c r="HK14" s="2212">
        <v>14660.68</v>
      </c>
      <c r="HL14" s="2212">
        <v>37853.35</v>
      </c>
      <c r="HM14" s="2212">
        <v>35820.620000000003</v>
      </c>
      <c r="HN14" s="2212">
        <v>16144.21</v>
      </c>
      <c r="HO14" s="2212">
        <v>27117.15</v>
      </c>
      <c r="HP14" s="2212">
        <v>17047.72</v>
      </c>
      <c r="HQ14" s="2212">
        <v>45233.57</v>
      </c>
      <c r="HR14" s="2212">
        <v>39599.54</v>
      </c>
      <c r="HS14" s="2212">
        <v>16000.89</v>
      </c>
      <c r="HT14" s="2212">
        <v>20474.900000000001</v>
      </c>
      <c r="HU14" s="2212">
        <v>47378.51</v>
      </c>
      <c r="HV14" s="2212">
        <v>17943.39</v>
      </c>
      <c r="HW14" s="2212">
        <v>16109.81</v>
      </c>
      <c r="HX14" s="2212">
        <v>23302.04</v>
      </c>
      <c r="HY14" s="2212">
        <v>47821.94</v>
      </c>
      <c r="HZ14" s="2212">
        <v>42557.66</v>
      </c>
      <c r="IA14" s="2212">
        <v>14985.13</v>
      </c>
      <c r="IB14" s="2212">
        <v>16758.310000000001</v>
      </c>
      <c r="IC14" s="2212">
        <v>26002.76</v>
      </c>
      <c r="ID14" s="2212">
        <v>13930.51</v>
      </c>
      <c r="IE14" s="2212">
        <v>50221.599999999999</v>
      </c>
      <c r="IF14" s="2212">
        <v>43675.360000000001</v>
      </c>
      <c r="IG14" s="2212">
        <v>41207.74</v>
      </c>
      <c r="IH14" s="2212">
        <v>26555.18</v>
      </c>
      <c r="II14" s="2212">
        <v>15787.73</v>
      </c>
      <c r="IJ14" s="2212">
        <v>20085.490000000002</v>
      </c>
      <c r="IK14" s="2212">
        <v>17990.990000000002</v>
      </c>
      <c r="IL14" s="2212">
        <v>17493.36</v>
      </c>
      <c r="IM14" s="2212">
        <v>18010.52</v>
      </c>
      <c r="IN14" s="2212">
        <v>43017.27</v>
      </c>
      <c r="IO14" s="2212">
        <v>34980.9</v>
      </c>
      <c r="IP14" s="2212">
        <v>15205.17</v>
      </c>
      <c r="IQ14" s="2212">
        <v>26177.58</v>
      </c>
      <c r="IR14" s="2212">
        <v>26631.71</v>
      </c>
      <c r="IS14" s="2212">
        <v>16144.14</v>
      </c>
      <c r="IT14" s="2212">
        <v>15425.77</v>
      </c>
      <c r="IU14" s="2911">
        <v>16896.28</v>
      </c>
      <c r="IV14" s="2911">
        <v>18164.259999999998</v>
      </c>
      <c r="IW14" s="2911">
        <v>19517.643500000002</v>
      </c>
      <c r="IX14" s="2911">
        <v>20931.97</v>
      </c>
      <c r="IY14" s="2207"/>
      <c r="IZ14" s="2215">
        <f t="shared" si="6"/>
        <v>5</v>
      </c>
    </row>
    <row r="15" spans="1:260">
      <c r="A15" s="2214">
        <v>6</v>
      </c>
      <c r="B15" s="2212">
        <v>54635.76</v>
      </c>
      <c r="C15" s="2927">
        <v>47232.15</v>
      </c>
      <c r="D15" s="2927">
        <v>42894.04</v>
      </c>
      <c r="E15" s="2212">
        <v>41998.68</v>
      </c>
      <c r="F15" s="2927">
        <v>42175.15</v>
      </c>
      <c r="G15" s="2212">
        <v>42042.77</v>
      </c>
      <c r="H15" s="2927">
        <v>40663</v>
      </c>
      <c r="I15" s="2212">
        <v>35000.6</v>
      </c>
      <c r="J15" s="2212">
        <v>38731.93</v>
      </c>
      <c r="K15" s="2212">
        <v>36539.54</v>
      </c>
      <c r="L15" s="2927">
        <v>34019.449999999997</v>
      </c>
      <c r="M15" s="2212">
        <v>33427.96</v>
      </c>
      <c r="N15" s="2927">
        <v>30846.400000000001</v>
      </c>
      <c r="O15" s="2212">
        <v>30651.56</v>
      </c>
      <c r="P15" s="2927">
        <v>28367.48</v>
      </c>
      <c r="Q15" s="2927">
        <v>24688.75</v>
      </c>
      <c r="R15" s="2212">
        <v>27367.48</v>
      </c>
      <c r="S15" s="2212">
        <v>27367.48</v>
      </c>
      <c r="T15" s="2212">
        <v>26549.4</v>
      </c>
      <c r="U15" s="2212">
        <v>26549.4</v>
      </c>
      <c r="V15" s="2212">
        <v>26549.4</v>
      </c>
      <c r="W15" s="2212">
        <v>26549.4</v>
      </c>
      <c r="X15" s="2212">
        <v>24070.49</v>
      </c>
      <c r="Y15" s="2927">
        <v>27561.360000000001</v>
      </c>
      <c r="Z15" s="2923">
        <v>28914</v>
      </c>
      <c r="AA15" s="2930">
        <v>28914</v>
      </c>
      <c r="AB15" s="2927">
        <v>26561.360000000001</v>
      </c>
      <c r="AC15" s="2212">
        <v>23450.77</v>
      </c>
      <c r="AD15" s="2923">
        <v>24450.77</v>
      </c>
      <c r="AE15" s="2927">
        <v>25950.65</v>
      </c>
      <c r="AF15" s="2927">
        <v>23890.52</v>
      </c>
      <c r="AG15" s="2927">
        <v>23890.52</v>
      </c>
      <c r="AH15" s="2927">
        <v>25502.13</v>
      </c>
      <c r="AI15" s="2927">
        <v>23479.01</v>
      </c>
      <c r="AJ15" s="2927">
        <v>21565.31</v>
      </c>
      <c r="AK15" s="2927">
        <v>18755.71</v>
      </c>
      <c r="AL15" s="2927">
        <v>17509.759999999998</v>
      </c>
      <c r="AM15" s="2927">
        <v>16921.28</v>
      </c>
      <c r="AN15" s="2212">
        <v>17575.71</v>
      </c>
      <c r="AO15" s="2212">
        <v>16509.759999999998</v>
      </c>
      <c r="AP15" s="2212">
        <v>15741.28</v>
      </c>
      <c r="AQ15" s="2923">
        <v>24565</v>
      </c>
      <c r="AR15" s="2923">
        <v>22865</v>
      </c>
      <c r="AS15" s="2927">
        <v>19839.919999999998</v>
      </c>
      <c r="AT15" s="2927">
        <v>19567.259999999998</v>
      </c>
      <c r="AU15" s="2928">
        <v>18780.5</v>
      </c>
      <c r="AV15" s="2212">
        <v>15345.24</v>
      </c>
      <c r="AW15" s="2212">
        <v>15167.43</v>
      </c>
      <c r="AX15" s="2212">
        <v>17451.73</v>
      </c>
      <c r="AY15" s="2212">
        <v>17749.2</v>
      </c>
      <c r="AZ15" s="2212">
        <v>17689.71</v>
      </c>
      <c r="BA15" s="2212">
        <v>16757.62</v>
      </c>
      <c r="BB15" s="2212">
        <v>17749.2</v>
      </c>
      <c r="BC15" s="2212">
        <v>17912.79</v>
      </c>
      <c r="BD15" s="2212">
        <v>18492.88</v>
      </c>
      <c r="BE15" s="2212">
        <v>19063.07</v>
      </c>
      <c r="BF15" s="2212">
        <v>18121.05</v>
      </c>
      <c r="BG15" s="2212">
        <v>15803.27</v>
      </c>
      <c r="BH15" s="2212">
        <v>22250</v>
      </c>
      <c r="BI15" s="2212">
        <v>22310.43</v>
      </c>
      <c r="BJ15" s="2212">
        <v>13258.51</v>
      </c>
      <c r="BK15" s="2212">
        <v>13258.51</v>
      </c>
      <c r="BL15" s="2212">
        <v>26200</v>
      </c>
      <c r="BM15" s="2212">
        <v>26276.78</v>
      </c>
      <c r="BN15" s="2212">
        <v>26177.58</v>
      </c>
      <c r="BO15" s="2212">
        <v>25395.82</v>
      </c>
      <c r="BP15" s="2212">
        <v>31869.45</v>
      </c>
      <c r="BQ15" s="2212">
        <v>19583.62</v>
      </c>
      <c r="BR15" s="2212">
        <v>34416.67</v>
      </c>
      <c r="BS15" s="2212">
        <v>29574.11</v>
      </c>
      <c r="BT15" s="2212">
        <v>23750</v>
      </c>
      <c r="BU15" s="2212">
        <v>28036.78</v>
      </c>
      <c r="BV15" s="2212">
        <v>36490.86</v>
      </c>
      <c r="BW15" s="2212">
        <v>38805.839999999997</v>
      </c>
      <c r="BX15" s="2212">
        <v>27677.35</v>
      </c>
      <c r="BY15" s="2212">
        <v>15369.13</v>
      </c>
      <c r="BZ15" s="2212">
        <v>43238.23</v>
      </c>
      <c r="CA15" s="2212">
        <v>16352.8</v>
      </c>
      <c r="CB15" s="2212">
        <v>16496.009999999998</v>
      </c>
      <c r="CC15" s="2212">
        <v>16129.97</v>
      </c>
      <c r="CD15" s="2212">
        <v>24677.84</v>
      </c>
      <c r="CE15" s="2212">
        <v>24883.65</v>
      </c>
      <c r="CF15" s="2212">
        <v>32721.98</v>
      </c>
      <c r="CG15" s="2212">
        <v>22384.79</v>
      </c>
      <c r="CH15" s="2927">
        <v>23416.18</v>
      </c>
      <c r="CI15" s="2927">
        <v>19755.71</v>
      </c>
      <c r="CJ15" s="2212">
        <v>15989.15</v>
      </c>
      <c r="CK15" s="2212">
        <v>15146.31</v>
      </c>
      <c r="CL15" s="2212">
        <v>16752.87</v>
      </c>
      <c r="CM15" s="2212">
        <v>15300</v>
      </c>
      <c r="CN15" s="2212">
        <v>19534.05</v>
      </c>
      <c r="CO15" s="2212">
        <v>14179.54</v>
      </c>
      <c r="CP15" s="2212">
        <v>14350</v>
      </c>
      <c r="CQ15" s="2212">
        <v>17067.48</v>
      </c>
      <c r="CR15" s="2212">
        <v>16238.79</v>
      </c>
      <c r="CS15" s="2212">
        <v>16152.06</v>
      </c>
      <c r="CT15" s="2212">
        <v>13992.59</v>
      </c>
      <c r="CU15" s="2212">
        <v>16757.62</v>
      </c>
      <c r="CV15" s="2212">
        <v>14923.23</v>
      </c>
      <c r="CW15" s="2212">
        <v>15381.97</v>
      </c>
      <c r="CX15" s="2212">
        <v>20250</v>
      </c>
      <c r="CY15" s="2212">
        <v>13700.9</v>
      </c>
      <c r="CZ15" s="2212">
        <v>15400</v>
      </c>
      <c r="DA15" s="2212">
        <v>21070.98</v>
      </c>
      <c r="DB15" s="2212">
        <v>19985.919999999998</v>
      </c>
      <c r="DC15" s="2212">
        <v>16258.31</v>
      </c>
      <c r="DD15" s="2212">
        <v>14616.99</v>
      </c>
      <c r="DE15" s="2212">
        <v>19236.560000000001</v>
      </c>
      <c r="DF15" s="2212">
        <v>15698.49</v>
      </c>
      <c r="DG15" s="2212">
        <v>19980.240000000002</v>
      </c>
      <c r="DH15" s="2212">
        <v>14923.23</v>
      </c>
      <c r="DI15" s="2212">
        <v>24665.43</v>
      </c>
      <c r="DJ15" s="2212">
        <v>15187.2</v>
      </c>
      <c r="DK15" s="2212">
        <v>19930.669999999998</v>
      </c>
      <c r="DL15" s="2212">
        <v>26573.62</v>
      </c>
      <c r="DM15" s="2212">
        <v>29276.26</v>
      </c>
      <c r="DN15" s="2212">
        <v>14936.38</v>
      </c>
      <c r="DO15" s="2212">
        <v>15689.55</v>
      </c>
      <c r="DP15" s="2212">
        <v>14877.24</v>
      </c>
      <c r="DQ15" s="2212">
        <v>33737.47</v>
      </c>
      <c r="DR15" s="2212">
        <v>17650.04</v>
      </c>
      <c r="DS15" s="2212">
        <v>15748.45</v>
      </c>
      <c r="DT15" s="2212">
        <v>21494.94</v>
      </c>
      <c r="DU15" s="2212">
        <v>21021.41</v>
      </c>
      <c r="DV15" s="2212">
        <v>27169.16</v>
      </c>
      <c r="DW15" s="2212">
        <v>15369.11</v>
      </c>
      <c r="DX15" s="2212">
        <v>16238.77</v>
      </c>
      <c r="DY15" s="2212">
        <v>30712.98</v>
      </c>
      <c r="DZ15" s="2212">
        <v>30267.81</v>
      </c>
      <c r="EA15" s="2212">
        <v>21900</v>
      </c>
      <c r="EB15" s="2212">
        <v>15322.67</v>
      </c>
      <c r="EC15" s="2212">
        <v>15768.65</v>
      </c>
      <c r="ED15" s="2212">
        <v>21021.41</v>
      </c>
      <c r="EE15" s="2212">
        <v>23064.53</v>
      </c>
      <c r="EF15" s="2212">
        <v>41140.17</v>
      </c>
      <c r="EG15" s="2212">
        <v>36470.239999999998</v>
      </c>
      <c r="EH15" s="2212">
        <v>41207.74</v>
      </c>
      <c r="EI15" s="2212">
        <v>20971.84</v>
      </c>
      <c r="EJ15" s="2212">
        <v>25395.68</v>
      </c>
      <c r="EK15" s="2212">
        <v>18800</v>
      </c>
      <c r="EL15" s="2212">
        <v>24838.32</v>
      </c>
      <c r="EM15" s="2212">
        <v>26276.78</v>
      </c>
      <c r="EN15" s="2212">
        <v>14708.17</v>
      </c>
      <c r="EO15" s="2212">
        <v>15229.63</v>
      </c>
      <c r="EP15" s="2212">
        <v>29364.54</v>
      </c>
      <c r="EQ15" s="2212">
        <v>35998.28</v>
      </c>
      <c r="ER15" s="2212">
        <v>20700</v>
      </c>
      <c r="ES15" s="2212">
        <v>16102.9</v>
      </c>
      <c r="ET15" s="2212">
        <v>23064.53</v>
      </c>
      <c r="EU15" s="2212">
        <v>32845.93</v>
      </c>
      <c r="EV15" s="2212">
        <v>22242.41</v>
      </c>
      <c r="EW15" s="2212">
        <v>43873.08</v>
      </c>
      <c r="EX15" s="2212">
        <v>27898.49</v>
      </c>
      <c r="EY15" s="2212">
        <v>16986.77</v>
      </c>
      <c r="EZ15" s="2212">
        <v>16986.79</v>
      </c>
      <c r="FA15" s="2212">
        <v>14608.61</v>
      </c>
      <c r="FB15" s="2212">
        <v>31303.24</v>
      </c>
      <c r="FC15" s="2212">
        <v>38499.980000000003</v>
      </c>
      <c r="FD15" s="2212">
        <v>32344.13</v>
      </c>
      <c r="FE15" s="2212">
        <v>23376.36</v>
      </c>
      <c r="FF15" s="2212">
        <v>35919.800000000003</v>
      </c>
      <c r="FG15" s="2212">
        <v>24838.32</v>
      </c>
      <c r="FH15" s="2212">
        <v>14000.09</v>
      </c>
      <c r="FI15" s="2212">
        <v>18492.88</v>
      </c>
      <c r="FJ15" s="2212">
        <v>25433.9</v>
      </c>
      <c r="FK15" s="2212">
        <v>20775.650000000001</v>
      </c>
      <c r="FL15" s="2212">
        <v>17352.830000000002</v>
      </c>
      <c r="FM15" s="2212">
        <v>15381.97</v>
      </c>
      <c r="FN15" s="2212">
        <v>15243.76</v>
      </c>
      <c r="FO15" s="2212">
        <v>21715.49</v>
      </c>
      <c r="FP15" s="2212">
        <v>23843.77</v>
      </c>
      <c r="FQ15" s="2212">
        <v>18270.490000000002</v>
      </c>
      <c r="FR15" s="2212">
        <v>16405.490000000002</v>
      </c>
      <c r="FS15" s="2212">
        <v>34266.449999999997</v>
      </c>
      <c r="FT15" s="2212">
        <v>15235.11</v>
      </c>
      <c r="FU15" s="2212">
        <v>19459.669999999998</v>
      </c>
      <c r="FV15" s="2212">
        <v>27898.49</v>
      </c>
      <c r="FW15" s="2212">
        <v>27210.26</v>
      </c>
      <c r="FX15" s="2212">
        <v>16875.310000000001</v>
      </c>
      <c r="FY15" s="2212">
        <v>23004.57</v>
      </c>
      <c r="FZ15" s="2212">
        <v>38071.9</v>
      </c>
      <c r="GA15" s="2212">
        <v>16496.439999999999</v>
      </c>
      <c r="GB15" s="2212">
        <v>14322.27</v>
      </c>
      <c r="GC15" s="2212">
        <v>16129.99</v>
      </c>
      <c r="GD15" s="2212">
        <v>40766.120000000003</v>
      </c>
      <c r="GE15" s="2212">
        <v>14844.41</v>
      </c>
      <c r="GF15" s="2212">
        <v>35735.83</v>
      </c>
      <c r="GG15" s="2212">
        <v>40754.92</v>
      </c>
      <c r="GH15" s="2212">
        <v>32226.2</v>
      </c>
      <c r="GI15" s="2212">
        <v>22905.37</v>
      </c>
      <c r="GJ15" s="2212">
        <v>18140.650000000001</v>
      </c>
      <c r="GK15" s="2212">
        <v>31557.01</v>
      </c>
      <c r="GL15" s="2212">
        <v>25381.24</v>
      </c>
      <c r="GM15" s="2212">
        <v>45910.42</v>
      </c>
      <c r="GN15" s="2212">
        <v>19459.669999999998</v>
      </c>
      <c r="GO15" s="2212">
        <v>16361.02</v>
      </c>
      <c r="GP15" s="2212">
        <v>19794.3</v>
      </c>
      <c r="GQ15" s="2212">
        <v>38056.94</v>
      </c>
      <c r="GR15" s="2212">
        <v>15907.17</v>
      </c>
      <c r="GS15" s="2212">
        <v>15381.44</v>
      </c>
      <c r="GT15" s="2212">
        <v>27335.83</v>
      </c>
      <c r="GU15" s="2212">
        <v>31309.67</v>
      </c>
      <c r="GV15" s="2212">
        <v>46400.07</v>
      </c>
      <c r="GW15" s="2212">
        <v>14288.4</v>
      </c>
      <c r="GX15" s="2212">
        <v>16050.47</v>
      </c>
      <c r="GY15" s="2212">
        <v>32308.73</v>
      </c>
      <c r="GZ15" s="2212">
        <v>17409.72</v>
      </c>
      <c r="HA15" s="2212">
        <v>52298.11</v>
      </c>
      <c r="HB15" s="2212">
        <v>15390.73</v>
      </c>
      <c r="HC15" s="2212">
        <v>25693.78</v>
      </c>
      <c r="HD15" s="2212">
        <v>20327.29</v>
      </c>
      <c r="HE15" s="2212">
        <v>28135.95</v>
      </c>
      <c r="HF15" s="2212">
        <v>16600</v>
      </c>
      <c r="HG15" s="2212">
        <v>13788.32</v>
      </c>
      <c r="HH15" s="2212">
        <v>17047.72</v>
      </c>
      <c r="HI15" s="2212">
        <v>19476.599999999999</v>
      </c>
      <c r="HJ15" s="2212">
        <v>15136.46</v>
      </c>
      <c r="HK15" s="2212">
        <v>14788.45</v>
      </c>
      <c r="HL15" s="2212">
        <v>37853.35</v>
      </c>
      <c r="HM15" s="2212">
        <v>35820.620000000003</v>
      </c>
      <c r="HN15" s="2212">
        <v>16273.27</v>
      </c>
      <c r="HO15" s="2212">
        <v>28368.639999999999</v>
      </c>
      <c r="HP15" s="2212">
        <v>17047.72</v>
      </c>
      <c r="HQ15" s="2212">
        <v>46598.01</v>
      </c>
      <c r="HR15" s="2212">
        <v>40108.42</v>
      </c>
      <c r="HS15" s="2212">
        <v>16129.95</v>
      </c>
      <c r="HT15" s="2212">
        <v>20775.650000000001</v>
      </c>
      <c r="HU15" s="2212">
        <v>47378.51</v>
      </c>
      <c r="HV15" s="2212">
        <v>18111.91</v>
      </c>
      <c r="HW15" s="2212">
        <v>16420.330000000002</v>
      </c>
      <c r="HX15" s="2212">
        <v>23599.52</v>
      </c>
      <c r="HY15" s="2212">
        <v>48464.14</v>
      </c>
      <c r="HZ15" s="2212">
        <v>43139.82</v>
      </c>
      <c r="IA15" s="2212">
        <v>15136.35</v>
      </c>
      <c r="IB15" s="2212">
        <v>16758.310000000001</v>
      </c>
      <c r="IC15" s="2212">
        <v>26998.03</v>
      </c>
      <c r="ID15" s="2212">
        <v>14000.59</v>
      </c>
      <c r="IE15" s="2212">
        <v>50221.599999999999</v>
      </c>
      <c r="IF15" s="2212">
        <v>45052.93</v>
      </c>
      <c r="IG15" s="2212">
        <v>41207.74</v>
      </c>
      <c r="IH15" s="2212">
        <v>27781.46</v>
      </c>
      <c r="II15" s="2212">
        <v>15916.78</v>
      </c>
      <c r="IJ15" s="2212">
        <v>20085.490000000002</v>
      </c>
      <c r="IK15" s="2212">
        <v>17990.990000000002</v>
      </c>
      <c r="IL15" s="2212">
        <v>17493.36</v>
      </c>
      <c r="IM15" s="2212">
        <v>18010.52</v>
      </c>
      <c r="IN15" s="2212">
        <v>44189.81</v>
      </c>
      <c r="IO15" s="2212">
        <v>36337.519999999997</v>
      </c>
      <c r="IP15" s="2212">
        <v>15369.13</v>
      </c>
      <c r="IQ15" s="2212">
        <v>26177.58</v>
      </c>
      <c r="IR15" s="2212">
        <v>27882.53</v>
      </c>
      <c r="IS15" s="2212">
        <v>16273.2</v>
      </c>
      <c r="IT15" s="2212">
        <v>15748.63</v>
      </c>
      <c r="IU15" s="2911">
        <v>16896.28</v>
      </c>
      <c r="IV15" s="2911">
        <v>18164.259999999998</v>
      </c>
      <c r="IW15" s="2911">
        <v>19517.643500000002</v>
      </c>
      <c r="IX15" s="2911">
        <v>20931.97</v>
      </c>
      <c r="IY15" s="2207"/>
      <c r="IZ15" s="2215">
        <f t="shared" si="6"/>
        <v>6</v>
      </c>
    </row>
    <row r="16" spans="1:260">
      <c r="A16" s="2214">
        <v>7</v>
      </c>
      <c r="B16" s="2212">
        <v>54635.76</v>
      </c>
      <c r="C16" s="2927">
        <v>47232.15</v>
      </c>
      <c r="D16" s="2927">
        <v>42894.04</v>
      </c>
      <c r="E16" s="2212">
        <v>42984.81</v>
      </c>
      <c r="F16" s="2927">
        <v>43141.94</v>
      </c>
      <c r="G16" s="2212">
        <v>43041.29</v>
      </c>
      <c r="H16" s="2927">
        <v>41605</v>
      </c>
      <c r="I16" s="2212">
        <v>35972.839999999997</v>
      </c>
      <c r="J16" s="2212">
        <v>39756.730000000003</v>
      </c>
      <c r="K16" s="2212">
        <v>37506.33</v>
      </c>
      <c r="L16" s="2927">
        <v>34936.660000000003</v>
      </c>
      <c r="M16" s="2212">
        <v>34371.94</v>
      </c>
      <c r="N16" s="2927">
        <v>31689.24</v>
      </c>
      <c r="O16" s="2212">
        <v>31317.9</v>
      </c>
      <c r="P16" s="2927">
        <v>28962.43</v>
      </c>
      <c r="Q16" s="2927">
        <v>25125.05</v>
      </c>
      <c r="R16" s="2212">
        <v>27962.43</v>
      </c>
      <c r="S16" s="2212">
        <v>27962.43</v>
      </c>
      <c r="T16" s="2212">
        <v>27131.95</v>
      </c>
      <c r="U16" s="2212">
        <v>27131.95</v>
      </c>
      <c r="V16" s="2212">
        <v>27131.95</v>
      </c>
      <c r="W16" s="2212">
        <v>27131.95</v>
      </c>
      <c r="X16" s="2212">
        <v>24690.23</v>
      </c>
      <c r="Y16" s="2927">
        <v>28263.9</v>
      </c>
      <c r="Z16" s="2923">
        <v>29184</v>
      </c>
      <c r="AA16" s="2930">
        <v>29184</v>
      </c>
      <c r="AB16" s="2927">
        <v>27263.9</v>
      </c>
      <c r="AC16" s="2212">
        <v>24095.3</v>
      </c>
      <c r="AD16" s="2923">
        <v>25095.3</v>
      </c>
      <c r="AE16" s="2927">
        <v>26596.44</v>
      </c>
      <c r="AF16" s="2927">
        <v>24482.99</v>
      </c>
      <c r="AG16" s="2927">
        <v>24482.99</v>
      </c>
      <c r="AH16" s="2927">
        <v>26118.2</v>
      </c>
      <c r="AI16" s="2927">
        <v>24044.21</v>
      </c>
      <c r="AJ16" s="2927">
        <v>22100.77</v>
      </c>
      <c r="AK16" s="2927">
        <v>19102.77</v>
      </c>
      <c r="AL16" s="2927">
        <v>17782.45</v>
      </c>
      <c r="AM16" s="2927">
        <v>17169.18</v>
      </c>
      <c r="AN16" s="2212">
        <v>17922.77</v>
      </c>
      <c r="AO16" s="2212">
        <v>16782.45</v>
      </c>
      <c r="AP16" s="2212">
        <v>15989.18</v>
      </c>
      <c r="AQ16" s="2923">
        <v>24764</v>
      </c>
      <c r="AR16" s="2923">
        <v>23064</v>
      </c>
      <c r="AS16" s="2927">
        <v>20261.34</v>
      </c>
      <c r="AT16" s="2927">
        <v>19951.5</v>
      </c>
      <c r="AU16" s="2928">
        <v>19127.560000000001</v>
      </c>
      <c r="AV16" s="2212">
        <v>16100.03</v>
      </c>
      <c r="AW16" s="2212">
        <v>15744.41</v>
      </c>
      <c r="AX16" s="2212">
        <v>17873.150000000001</v>
      </c>
      <c r="AY16" s="2212">
        <v>18368.939999999999</v>
      </c>
      <c r="AZ16" s="2212">
        <v>18111.13</v>
      </c>
      <c r="BA16" s="2212">
        <v>17302.990000000002</v>
      </c>
      <c r="BB16" s="2212">
        <v>18368.939999999999</v>
      </c>
      <c r="BC16" s="2212">
        <v>18478.560000000001</v>
      </c>
      <c r="BD16" s="2212">
        <v>19112.62</v>
      </c>
      <c r="BE16" s="2212">
        <v>19410.13</v>
      </c>
      <c r="BF16" s="2212">
        <v>18839.95</v>
      </c>
      <c r="BG16" s="2212">
        <v>16057.37</v>
      </c>
      <c r="BH16" s="2212">
        <v>22850</v>
      </c>
      <c r="BI16" s="2212">
        <v>22707.06</v>
      </c>
      <c r="BJ16" s="2212">
        <v>13453.18</v>
      </c>
      <c r="BK16" s="2212">
        <v>13453.18</v>
      </c>
      <c r="BL16" s="2212">
        <v>27200</v>
      </c>
      <c r="BM16" s="2212">
        <v>26648.63</v>
      </c>
      <c r="BN16" s="2212">
        <v>27169.16</v>
      </c>
      <c r="BO16" s="2212">
        <v>25395.82</v>
      </c>
      <c r="BP16" s="2212">
        <v>33001.21</v>
      </c>
      <c r="BQ16" s="2212">
        <v>20327.310000000001</v>
      </c>
      <c r="BR16" s="2212">
        <v>35598.410000000003</v>
      </c>
      <c r="BS16" s="2212">
        <v>30619.11</v>
      </c>
      <c r="BT16" s="2212">
        <v>24750</v>
      </c>
      <c r="BU16" s="2212">
        <v>29077.94</v>
      </c>
      <c r="BV16" s="2212">
        <v>37775.15</v>
      </c>
      <c r="BW16" s="2212">
        <v>40183.410000000003</v>
      </c>
      <c r="BX16" s="2212">
        <v>28652.69</v>
      </c>
      <c r="BY16" s="2212">
        <v>15533.09</v>
      </c>
      <c r="BZ16" s="2212">
        <v>43786.82</v>
      </c>
      <c r="CA16" s="2212">
        <v>16481.86</v>
      </c>
      <c r="CB16" s="2212">
        <v>16625.07</v>
      </c>
      <c r="CC16" s="2212">
        <v>16259.03</v>
      </c>
      <c r="CD16" s="2212">
        <v>25049.69</v>
      </c>
      <c r="CE16" s="2212">
        <v>24883.65</v>
      </c>
      <c r="CF16" s="2212">
        <v>33465.67</v>
      </c>
      <c r="CG16" s="2212">
        <v>23153.26</v>
      </c>
      <c r="CH16" s="2927">
        <v>23999.83</v>
      </c>
      <c r="CI16" s="2927">
        <v>20102.77</v>
      </c>
      <c r="CJ16" s="2212">
        <v>16584.099999999999</v>
      </c>
      <c r="CK16" s="2212">
        <v>15691.68</v>
      </c>
      <c r="CL16" s="2212">
        <v>17452.830000000002</v>
      </c>
      <c r="CM16" s="2212">
        <v>15900</v>
      </c>
      <c r="CN16" s="2212">
        <v>19831.53</v>
      </c>
      <c r="CO16" s="2212">
        <v>14526.6</v>
      </c>
      <c r="CP16" s="2212">
        <v>14700</v>
      </c>
      <c r="CQ16" s="2212">
        <v>17488.900000000001</v>
      </c>
      <c r="CR16" s="2212">
        <v>16561.650000000001</v>
      </c>
      <c r="CS16" s="2212">
        <v>16323.78</v>
      </c>
      <c r="CT16" s="2212">
        <v>14103.6</v>
      </c>
      <c r="CU16" s="2212">
        <v>17302.990000000002</v>
      </c>
      <c r="CV16" s="2212">
        <v>15270.29</v>
      </c>
      <c r="CW16" s="2212">
        <v>15511.03</v>
      </c>
      <c r="CX16" s="2212">
        <v>20800</v>
      </c>
      <c r="CY16" s="2212">
        <v>13756.41</v>
      </c>
      <c r="CZ16" s="2212">
        <v>15750</v>
      </c>
      <c r="DA16" s="2212">
        <v>21814.67</v>
      </c>
      <c r="DB16" s="2212">
        <v>20729.61</v>
      </c>
      <c r="DC16" s="2212">
        <v>16576.61</v>
      </c>
      <c r="DD16" s="2212">
        <v>14752.82</v>
      </c>
      <c r="DE16" s="2212">
        <v>19856.3</v>
      </c>
      <c r="DF16" s="2212">
        <v>15830.2</v>
      </c>
      <c r="DG16" s="2212">
        <v>20599.98</v>
      </c>
      <c r="DH16" s="2212">
        <v>15270.29</v>
      </c>
      <c r="DI16" s="2212">
        <v>25657.01</v>
      </c>
      <c r="DJ16" s="2212">
        <v>15398.81</v>
      </c>
      <c r="DK16" s="2212">
        <v>20228.150000000001</v>
      </c>
      <c r="DL16" s="2212">
        <v>26573.62</v>
      </c>
      <c r="DM16" s="2212">
        <v>29945.58</v>
      </c>
      <c r="DN16" s="2212">
        <v>15065.44</v>
      </c>
      <c r="DO16" s="2212">
        <v>15821.18</v>
      </c>
      <c r="DP16" s="2212">
        <v>14877.24</v>
      </c>
      <c r="DQ16" s="2212">
        <v>34175.25</v>
      </c>
      <c r="DR16" s="2212">
        <v>18244.990000000002</v>
      </c>
      <c r="DS16" s="2212">
        <v>16071.28</v>
      </c>
      <c r="DT16" s="2212">
        <v>21941.62</v>
      </c>
      <c r="DU16" s="2212">
        <v>21318.89</v>
      </c>
      <c r="DV16" s="2212">
        <v>28309.48</v>
      </c>
      <c r="DW16" s="2212">
        <v>15533.07</v>
      </c>
      <c r="DX16" s="2212">
        <v>16561.63</v>
      </c>
      <c r="DY16" s="2212">
        <v>30712.98</v>
      </c>
      <c r="DZ16" s="2212">
        <v>31160.23</v>
      </c>
      <c r="EA16" s="2212">
        <v>22700</v>
      </c>
      <c r="EB16" s="2212">
        <v>15451.8</v>
      </c>
      <c r="EC16" s="2212">
        <v>15897.8</v>
      </c>
      <c r="ED16" s="2212">
        <v>21318.89</v>
      </c>
      <c r="EE16" s="2212">
        <v>24169.89</v>
      </c>
      <c r="EF16" s="2212">
        <v>42591.34</v>
      </c>
      <c r="EG16" s="2212">
        <v>36921.93</v>
      </c>
      <c r="EH16" s="2212">
        <v>42591.49</v>
      </c>
      <c r="EI16" s="2212">
        <v>21244.53</v>
      </c>
      <c r="EJ16" s="2212">
        <v>25395.68</v>
      </c>
      <c r="EK16" s="2212">
        <v>19300</v>
      </c>
      <c r="EL16" s="2212">
        <v>24838.32</v>
      </c>
      <c r="EM16" s="2212">
        <v>26648.63</v>
      </c>
      <c r="EN16" s="2212">
        <v>14841.36</v>
      </c>
      <c r="EO16" s="2212">
        <v>15357.4</v>
      </c>
      <c r="EP16" s="2212">
        <v>29737.75</v>
      </c>
      <c r="EQ16" s="2212">
        <v>37241.870000000003</v>
      </c>
      <c r="ER16" s="2212">
        <v>21300</v>
      </c>
      <c r="ES16" s="2212">
        <v>16518.25</v>
      </c>
      <c r="ET16" s="2212">
        <v>23064.53</v>
      </c>
      <c r="EU16" s="2212">
        <v>33589.620000000003</v>
      </c>
      <c r="EV16" s="2212">
        <v>22788.15</v>
      </c>
      <c r="EW16" s="2212">
        <v>45388.68</v>
      </c>
      <c r="EX16" s="2212">
        <v>27898.49</v>
      </c>
      <c r="EY16" s="2212">
        <v>17309.63</v>
      </c>
      <c r="EZ16" s="2212">
        <v>17309.650000000001</v>
      </c>
      <c r="FA16" s="2212">
        <v>14744.36</v>
      </c>
      <c r="FB16" s="2212">
        <v>31707.24</v>
      </c>
      <c r="FC16" s="2212">
        <v>39002.589999999997</v>
      </c>
      <c r="FD16" s="2212">
        <v>32344.13</v>
      </c>
      <c r="FE16" s="2212">
        <v>24144.83</v>
      </c>
      <c r="FF16" s="2212">
        <v>36118.120000000003</v>
      </c>
      <c r="FG16" s="2212">
        <v>24838.32</v>
      </c>
      <c r="FH16" s="2212">
        <v>14070.17</v>
      </c>
      <c r="FI16" s="2212">
        <v>19112.62</v>
      </c>
      <c r="FJ16" s="2212">
        <v>26475.06</v>
      </c>
      <c r="FK16" s="2212">
        <v>20775.650000000001</v>
      </c>
      <c r="FL16" s="2212">
        <v>17675.689999999999</v>
      </c>
      <c r="FM16" s="2212">
        <v>15511.03</v>
      </c>
      <c r="FN16" s="2212">
        <v>15375.47</v>
      </c>
      <c r="FO16" s="2212">
        <v>22285.65</v>
      </c>
      <c r="FP16" s="2212">
        <v>23843.77</v>
      </c>
      <c r="FQ16" s="2212">
        <v>18816.23</v>
      </c>
      <c r="FR16" s="2212">
        <v>16607.3</v>
      </c>
      <c r="FS16" s="2212">
        <v>34266.449999999997</v>
      </c>
      <c r="FT16" s="2212">
        <v>15366.75</v>
      </c>
      <c r="FU16" s="2212">
        <v>20054.62</v>
      </c>
      <c r="FV16" s="2212">
        <v>27898.49</v>
      </c>
      <c r="FW16" s="2212">
        <v>27580.62</v>
      </c>
      <c r="FX16" s="2212">
        <v>17173.75</v>
      </c>
      <c r="FY16" s="2212">
        <v>23326.84</v>
      </c>
      <c r="FZ16" s="2212">
        <v>39372.480000000003</v>
      </c>
      <c r="GA16" s="2212">
        <v>16819.27</v>
      </c>
      <c r="GB16" s="2212">
        <v>14455.39</v>
      </c>
      <c r="GC16" s="2212">
        <v>16259.05</v>
      </c>
      <c r="GD16" s="2212">
        <v>41993.2</v>
      </c>
      <c r="GE16" s="2212">
        <v>14980.24</v>
      </c>
      <c r="GF16" s="2212">
        <v>36195.65</v>
      </c>
      <c r="GG16" s="2212">
        <v>41304.879999999997</v>
      </c>
      <c r="GH16" s="2212">
        <v>32598.05</v>
      </c>
      <c r="GI16" s="2212">
        <v>23797.79</v>
      </c>
      <c r="GJ16" s="2212">
        <v>18648.740000000002</v>
      </c>
      <c r="GK16" s="2212">
        <v>31557.01</v>
      </c>
      <c r="GL16" s="2212">
        <v>25381.24</v>
      </c>
      <c r="GM16" s="2212">
        <v>46521.11</v>
      </c>
      <c r="GN16" s="2212">
        <v>20054.62</v>
      </c>
      <c r="GO16" s="2212">
        <v>16608.919999999998</v>
      </c>
      <c r="GP16" s="2212">
        <v>20111.599999999999</v>
      </c>
      <c r="GQ16" s="2212">
        <v>38537.660000000003</v>
      </c>
      <c r="GR16" s="2212">
        <v>16036.22</v>
      </c>
      <c r="GS16" s="2212">
        <v>15510.34</v>
      </c>
      <c r="GT16" s="2212">
        <v>27335.83</v>
      </c>
      <c r="GU16" s="2212">
        <v>31309.67</v>
      </c>
      <c r="GV16" s="2212">
        <v>47985.16</v>
      </c>
      <c r="GW16" s="2212">
        <v>14359.95</v>
      </c>
      <c r="GX16" s="2212">
        <v>16179.53</v>
      </c>
      <c r="GY16" s="2212">
        <v>32308.73</v>
      </c>
      <c r="GZ16" s="2212">
        <v>17720.240000000002</v>
      </c>
      <c r="HA16" s="2212">
        <v>52987.68</v>
      </c>
      <c r="HB16" s="2212">
        <v>15519.86</v>
      </c>
      <c r="HC16" s="2212">
        <v>26644.13</v>
      </c>
      <c r="HD16" s="2212">
        <v>20947.03</v>
      </c>
      <c r="HE16" s="2212">
        <v>28879.64</v>
      </c>
      <c r="HF16" s="2212">
        <v>17000</v>
      </c>
      <c r="HG16" s="2212">
        <v>13879.38</v>
      </c>
      <c r="HH16" s="2212">
        <v>17783</v>
      </c>
      <c r="HI16" s="2212">
        <v>20189.62</v>
      </c>
      <c r="HJ16" s="2212">
        <v>15287.68</v>
      </c>
      <c r="HK16" s="2212">
        <v>14916.22</v>
      </c>
      <c r="HL16" s="2212">
        <v>39068.03</v>
      </c>
      <c r="HM16" s="2212">
        <v>36985.72</v>
      </c>
      <c r="HN16" s="2212">
        <v>16402.330000000002</v>
      </c>
      <c r="HO16" s="2212">
        <v>28368.639999999999</v>
      </c>
      <c r="HP16" s="2212">
        <v>17783</v>
      </c>
      <c r="HQ16" s="2212">
        <v>46598.01</v>
      </c>
      <c r="HR16" s="2212">
        <v>40617.300000000003</v>
      </c>
      <c r="HS16" s="2212">
        <v>16259.01</v>
      </c>
      <c r="HT16" s="2212">
        <v>20775.650000000001</v>
      </c>
      <c r="HU16" s="2212">
        <v>49039.43</v>
      </c>
      <c r="HV16" s="2212">
        <v>18280.43</v>
      </c>
      <c r="HW16" s="2212">
        <v>16730.849999999999</v>
      </c>
      <c r="HX16" s="2212">
        <v>23897</v>
      </c>
      <c r="HY16" s="2212">
        <v>49106.34</v>
      </c>
      <c r="HZ16" s="2212">
        <v>43721.98</v>
      </c>
      <c r="IA16" s="2212">
        <v>15287.57</v>
      </c>
      <c r="IB16" s="2212">
        <v>17114.79</v>
      </c>
      <c r="IC16" s="2212">
        <v>26998.03</v>
      </c>
      <c r="ID16" s="2212">
        <v>14070.67</v>
      </c>
      <c r="IE16" s="2212">
        <v>51908.07</v>
      </c>
      <c r="IF16" s="2212">
        <v>46430.5</v>
      </c>
      <c r="IG16" s="2212">
        <v>42591.49</v>
      </c>
      <c r="IH16" s="2212">
        <v>27781.46</v>
      </c>
      <c r="II16" s="2212">
        <v>16045.83</v>
      </c>
      <c r="IJ16" s="2212">
        <v>20620.23</v>
      </c>
      <c r="IK16" s="2212">
        <v>18614.87</v>
      </c>
      <c r="IL16" s="2212">
        <v>18228.64</v>
      </c>
      <c r="IM16" s="2212">
        <v>18404.11</v>
      </c>
      <c r="IN16" s="2212">
        <v>45362.35</v>
      </c>
      <c r="IO16" s="2212">
        <v>36337.519999999997</v>
      </c>
      <c r="IP16" s="2212">
        <v>15533.09</v>
      </c>
      <c r="IQ16" s="2212">
        <v>27169.16</v>
      </c>
      <c r="IR16" s="2212">
        <v>27882.53</v>
      </c>
      <c r="IS16" s="2212">
        <v>16402.259999999998</v>
      </c>
      <c r="IT16" s="2212">
        <v>16071.49</v>
      </c>
      <c r="IU16" s="2911">
        <v>17252.620000000003</v>
      </c>
      <c r="IV16" s="2911">
        <v>18879.39</v>
      </c>
      <c r="IW16" s="2911">
        <v>19788.310000000001</v>
      </c>
      <c r="IX16" s="2911">
        <v>21288.31</v>
      </c>
      <c r="IY16" s="2207"/>
      <c r="IZ16" s="2215">
        <f t="shared" si="6"/>
        <v>7</v>
      </c>
    </row>
    <row r="17" spans="1:260">
      <c r="A17" s="2214">
        <v>8</v>
      </c>
      <c r="B17" s="2212">
        <v>56073.55</v>
      </c>
      <c r="C17" s="2927">
        <v>48843.46</v>
      </c>
      <c r="D17" s="2927">
        <v>44381.41</v>
      </c>
      <c r="E17" s="2212">
        <v>43970.94</v>
      </c>
      <c r="F17" s="2927">
        <v>44108.73</v>
      </c>
      <c r="G17" s="2212">
        <v>44039.81</v>
      </c>
      <c r="H17" s="2927">
        <v>42547</v>
      </c>
      <c r="I17" s="2212">
        <v>36945.08</v>
      </c>
      <c r="J17" s="2212">
        <v>40781.53</v>
      </c>
      <c r="K17" s="2212">
        <v>38473.120000000003</v>
      </c>
      <c r="L17" s="2927">
        <v>35853.870000000003</v>
      </c>
      <c r="M17" s="2212">
        <v>35315.919999999998</v>
      </c>
      <c r="N17" s="2927">
        <v>32532.080000000002</v>
      </c>
      <c r="O17" s="2212">
        <v>31984.240000000002</v>
      </c>
      <c r="P17" s="2927">
        <v>29557.38</v>
      </c>
      <c r="Q17" s="2927">
        <v>25561.35</v>
      </c>
      <c r="R17" s="2212">
        <v>28557.38</v>
      </c>
      <c r="S17" s="2212">
        <v>28557.38</v>
      </c>
      <c r="T17" s="2212">
        <v>27714.5</v>
      </c>
      <c r="U17" s="2212">
        <v>27714.5</v>
      </c>
      <c r="V17" s="2212">
        <v>27714.5</v>
      </c>
      <c r="W17" s="2212">
        <v>27714.5</v>
      </c>
      <c r="X17" s="2212">
        <v>25309.97</v>
      </c>
      <c r="Y17" s="2927">
        <v>28966.44</v>
      </c>
      <c r="Z17" s="2923">
        <v>29453</v>
      </c>
      <c r="AA17" s="2930">
        <v>29453</v>
      </c>
      <c r="AB17" s="2927">
        <v>27966.44</v>
      </c>
      <c r="AC17" s="2212">
        <v>24739.83</v>
      </c>
      <c r="AD17" s="2923">
        <v>25739.83</v>
      </c>
      <c r="AE17" s="2927">
        <v>27242.23</v>
      </c>
      <c r="AF17" s="2927">
        <v>25075.46</v>
      </c>
      <c r="AG17" s="2927">
        <v>25075.46</v>
      </c>
      <c r="AH17" s="2927">
        <v>26734.27</v>
      </c>
      <c r="AI17" s="2927">
        <v>24609.41</v>
      </c>
      <c r="AJ17" s="2927">
        <v>22636.23</v>
      </c>
      <c r="AK17" s="2927">
        <v>19449.830000000002</v>
      </c>
      <c r="AL17" s="2927">
        <v>18055.14</v>
      </c>
      <c r="AM17" s="2927">
        <v>17290.276750000001</v>
      </c>
      <c r="AN17" s="2212">
        <v>18269.830000000002</v>
      </c>
      <c r="AO17" s="2212">
        <v>17055.14</v>
      </c>
      <c r="AP17" s="2212">
        <v>16237.08</v>
      </c>
      <c r="AQ17" s="2923">
        <v>24964</v>
      </c>
      <c r="AR17" s="2923">
        <v>23264</v>
      </c>
      <c r="AS17" s="2927">
        <v>20682.759999999998</v>
      </c>
      <c r="AT17" s="2927">
        <v>20335.740000000002</v>
      </c>
      <c r="AU17" s="2928">
        <v>19474.62</v>
      </c>
      <c r="AV17" s="2212">
        <v>16100.03</v>
      </c>
      <c r="AW17" s="2212">
        <v>15744.41</v>
      </c>
      <c r="AX17" s="2212">
        <v>18294.57</v>
      </c>
      <c r="AY17" s="2212">
        <v>18368.939999999999</v>
      </c>
      <c r="AZ17" s="2212">
        <v>18532.55</v>
      </c>
      <c r="BA17" s="2212">
        <v>17302.990000000002</v>
      </c>
      <c r="BB17" s="2212">
        <v>18368.939999999999</v>
      </c>
      <c r="BC17" s="2212">
        <v>18478.560000000001</v>
      </c>
      <c r="BD17" s="2212">
        <v>19112.62</v>
      </c>
      <c r="BE17" s="2212">
        <v>19757.189999999999</v>
      </c>
      <c r="BF17" s="2212">
        <v>18839.95</v>
      </c>
      <c r="BG17" s="2212">
        <v>16311.47</v>
      </c>
      <c r="BH17" s="2212">
        <v>22850</v>
      </c>
      <c r="BI17" s="2212">
        <v>23103.69</v>
      </c>
      <c r="BJ17" s="2212">
        <v>13453.18</v>
      </c>
      <c r="BK17" s="2212">
        <v>13453.18</v>
      </c>
      <c r="BL17" s="2212">
        <v>27200</v>
      </c>
      <c r="BM17" s="2212">
        <v>27020.48</v>
      </c>
      <c r="BN17" s="2212">
        <v>27169.16</v>
      </c>
      <c r="BO17" s="2212">
        <v>26411.57</v>
      </c>
      <c r="BP17" s="2212">
        <v>33001.21</v>
      </c>
      <c r="BQ17" s="2212">
        <v>20327.310000000001</v>
      </c>
      <c r="BR17" s="2212">
        <v>35598.410000000003</v>
      </c>
      <c r="BS17" s="2212">
        <v>30619.11</v>
      </c>
      <c r="BT17" s="2212">
        <v>24750</v>
      </c>
      <c r="BU17" s="2212">
        <v>29077.94</v>
      </c>
      <c r="BV17" s="2212">
        <v>37775.15</v>
      </c>
      <c r="BW17" s="2212">
        <v>40183.410000000003</v>
      </c>
      <c r="BX17" s="2212">
        <v>28652.69</v>
      </c>
      <c r="BY17" s="2212">
        <v>15697.05</v>
      </c>
      <c r="BZ17" s="2212">
        <v>44335.41</v>
      </c>
      <c r="CA17" s="2212">
        <v>16793.759999999998</v>
      </c>
      <c r="CB17" s="2212">
        <v>16936.97</v>
      </c>
      <c r="CC17" s="2212">
        <v>16570.93</v>
      </c>
      <c r="CD17" s="2212">
        <v>25421.54</v>
      </c>
      <c r="CE17" s="2212">
        <v>25878.92</v>
      </c>
      <c r="CF17" s="2212">
        <v>33465.67</v>
      </c>
      <c r="CG17" s="2212">
        <v>23153.26</v>
      </c>
      <c r="CH17" s="2927">
        <v>24583.48</v>
      </c>
      <c r="CI17" s="2927">
        <v>20449.830000000002</v>
      </c>
      <c r="CJ17" s="2212">
        <v>16584.099999999999</v>
      </c>
      <c r="CK17" s="2212">
        <v>15691.68</v>
      </c>
      <c r="CL17" s="2212">
        <v>17452.830000000002</v>
      </c>
      <c r="CM17" s="2212">
        <v>15900</v>
      </c>
      <c r="CN17" s="2212">
        <v>20129.009999999998</v>
      </c>
      <c r="CO17" s="2212">
        <v>14526.6</v>
      </c>
      <c r="CP17" s="2212">
        <v>14700</v>
      </c>
      <c r="CQ17" s="2212">
        <v>17910.32</v>
      </c>
      <c r="CR17" s="2212">
        <v>16927.599999999999</v>
      </c>
      <c r="CS17" s="2212">
        <v>16667.11</v>
      </c>
      <c r="CT17" s="2212">
        <v>14103.6</v>
      </c>
      <c r="CU17" s="2212">
        <v>17302.990000000002</v>
      </c>
      <c r="CV17" s="2212">
        <v>15270.29</v>
      </c>
      <c r="CW17" s="2212">
        <v>15822.93</v>
      </c>
      <c r="CX17" s="2212">
        <v>20800</v>
      </c>
      <c r="CY17" s="2212">
        <v>13756.41</v>
      </c>
      <c r="CZ17" s="2212">
        <v>15750</v>
      </c>
      <c r="DA17" s="2212">
        <v>21814.67</v>
      </c>
      <c r="DB17" s="2212">
        <v>20729.61</v>
      </c>
      <c r="DC17" s="2212">
        <v>16708.32</v>
      </c>
      <c r="DD17" s="2212">
        <v>14888.65</v>
      </c>
      <c r="DE17" s="2212">
        <v>19856.3</v>
      </c>
      <c r="DF17" s="2212">
        <v>16148.53</v>
      </c>
      <c r="DG17" s="2212">
        <v>20599.98</v>
      </c>
      <c r="DH17" s="2212">
        <v>15270.29</v>
      </c>
      <c r="DI17" s="2212">
        <v>25657.01</v>
      </c>
      <c r="DJ17" s="2212">
        <v>15610.42</v>
      </c>
      <c r="DK17" s="2212">
        <v>20376.89</v>
      </c>
      <c r="DL17" s="2212">
        <v>27708.04</v>
      </c>
      <c r="DM17" s="2212">
        <v>30614.9</v>
      </c>
      <c r="DN17" s="2212">
        <v>15377.34</v>
      </c>
      <c r="DO17" s="2212">
        <v>16139.3</v>
      </c>
      <c r="DP17" s="2212">
        <v>15041.2</v>
      </c>
      <c r="DQ17" s="2212">
        <v>34613.03</v>
      </c>
      <c r="DR17" s="2212">
        <v>18244.990000000002</v>
      </c>
      <c r="DS17" s="2212">
        <v>16437.2</v>
      </c>
      <c r="DT17" s="2212">
        <v>21941.62</v>
      </c>
      <c r="DU17" s="2212">
        <v>21616.37</v>
      </c>
      <c r="DV17" s="2212">
        <v>28309.48</v>
      </c>
      <c r="DW17" s="2212">
        <v>15697.03</v>
      </c>
      <c r="DX17" s="2212">
        <v>16927.57</v>
      </c>
      <c r="DY17" s="2212">
        <v>31970.25</v>
      </c>
      <c r="DZ17" s="2212">
        <v>31160.23</v>
      </c>
      <c r="EA17" s="2212">
        <v>22700</v>
      </c>
      <c r="EB17" s="2212">
        <v>15763.95</v>
      </c>
      <c r="EC17" s="2212">
        <v>16209.95</v>
      </c>
      <c r="ED17" s="2212">
        <v>21616.37</v>
      </c>
      <c r="EE17" s="2212">
        <v>24169.89</v>
      </c>
      <c r="EF17" s="2212">
        <v>42591.34</v>
      </c>
      <c r="EG17" s="2212">
        <v>37373.620000000003</v>
      </c>
      <c r="EH17" s="2212">
        <v>42591.49</v>
      </c>
      <c r="EI17" s="2212">
        <v>22484</v>
      </c>
      <c r="EJ17" s="2212">
        <v>26411.43</v>
      </c>
      <c r="EK17" s="2212">
        <v>19300</v>
      </c>
      <c r="EL17" s="2212">
        <v>25953.05</v>
      </c>
      <c r="EM17" s="2212">
        <v>27020.48</v>
      </c>
      <c r="EN17" s="2212">
        <v>14974.55</v>
      </c>
      <c r="EO17" s="2212">
        <v>15666.21</v>
      </c>
      <c r="EP17" s="2212">
        <v>30110.959999999999</v>
      </c>
      <c r="EQ17" s="2212">
        <v>37241.870000000003</v>
      </c>
      <c r="ER17" s="2212">
        <v>21300</v>
      </c>
      <c r="ES17" s="2212">
        <v>16933.599999999999</v>
      </c>
      <c r="ET17" s="2212">
        <v>24169.89</v>
      </c>
      <c r="EU17" s="2212">
        <v>33589.620000000003</v>
      </c>
      <c r="EV17" s="2212">
        <v>22788.15</v>
      </c>
      <c r="EW17" s="2212">
        <v>45388.68</v>
      </c>
      <c r="EX17" s="2212">
        <v>29150.01</v>
      </c>
      <c r="EY17" s="2212">
        <v>17675.580000000002</v>
      </c>
      <c r="EZ17" s="2212">
        <v>17675.59</v>
      </c>
      <c r="FA17" s="2212">
        <v>14880.11</v>
      </c>
      <c r="FB17" s="2212">
        <v>32111.24</v>
      </c>
      <c r="FC17" s="2212">
        <v>39505.199999999997</v>
      </c>
      <c r="FD17" s="2212">
        <v>33735.339999999997</v>
      </c>
      <c r="FE17" s="2212">
        <v>24144.83</v>
      </c>
      <c r="FF17" s="2212">
        <v>36316.44</v>
      </c>
      <c r="FG17" s="2212">
        <v>25953.05</v>
      </c>
      <c r="FH17" s="2212">
        <v>14140.25</v>
      </c>
      <c r="FI17" s="2212">
        <v>19112.62</v>
      </c>
      <c r="FJ17" s="2212">
        <v>26475.06</v>
      </c>
      <c r="FK17" s="2212">
        <v>21076.400000000001</v>
      </c>
      <c r="FL17" s="2212">
        <v>18041.64</v>
      </c>
      <c r="FM17" s="2212">
        <v>15822.93</v>
      </c>
      <c r="FN17" s="2212">
        <v>15693.77</v>
      </c>
      <c r="FO17" s="2212">
        <v>22285.65</v>
      </c>
      <c r="FP17" s="2212">
        <v>24586.51</v>
      </c>
      <c r="FQ17" s="2212">
        <v>18816.23</v>
      </c>
      <c r="FR17" s="2212">
        <v>17010.87</v>
      </c>
      <c r="FS17" s="2212">
        <v>35604.14</v>
      </c>
      <c r="FT17" s="2212">
        <v>15684.88</v>
      </c>
      <c r="FU17" s="2212">
        <v>20054.62</v>
      </c>
      <c r="FV17" s="2212">
        <v>29150.03</v>
      </c>
      <c r="FW17" s="2212">
        <v>27950.98</v>
      </c>
      <c r="FX17" s="2212">
        <v>17472.189999999999</v>
      </c>
      <c r="FY17" s="2212">
        <v>24566.31</v>
      </c>
      <c r="FZ17" s="2212">
        <v>39372.480000000003</v>
      </c>
      <c r="GA17" s="2212">
        <v>17185.189999999999</v>
      </c>
      <c r="GB17" s="2212">
        <v>14588.51</v>
      </c>
      <c r="GC17" s="2212">
        <v>16570.95</v>
      </c>
      <c r="GD17" s="2212">
        <v>41993.2</v>
      </c>
      <c r="GE17" s="2212">
        <v>15116.07</v>
      </c>
      <c r="GF17" s="2212">
        <v>36655.47</v>
      </c>
      <c r="GG17" s="2212">
        <v>41854.839999999997</v>
      </c>
      <c r="GH17" s="2212">
        <v>32969.9</v>
      </c>
      <c r="GI17" s="2212">
        <v>23797.79</v>
      </c>
      <c r="GJ17" s="2212">
        <v>19156.830000000002</v>
      </c>
      <c r="GK17" s="2212">
        <v>32496.15</v>
      </c>
      <c r="GL17" s="2212">
        <v>26396.39</v>
      </c>
      <c r="GM17" s="2212">
        <v>47131.8</v>
      </c>
      <c r="GN17" s="2212">
        <v>20054.62</v>
      </c>
      <c r="GO17" s="2212">
        <v>16856.82</v>
      </c>
      <c r="GP17" s="2212">
        <v>20428.900000000001</v>
      </c>
      <c r="GQ17" s="2212">
        <v>39018.379999999997</v>
      </c>
      <c r="GR17" s="2212">
        <v>16348.12</v>
      </c>
      <c r="GS17" s="2212">
        <v>15822.24</v>
      </c>
      <c r="GT17" s="2212">
        <v>28562.11</v>
      </c>
      <c r="GU17" s="2212">
        <v>32220.09</v>
      </c>
      <c r="GV17" s="2212">
        <v>47985.16</v>
      </c>
      <c r="GW17" s="2212">
        <v>14431.5</v>
      </c>
      <c r="GX17" s="2212">
        <v>16491.43</v>
      </c>
      <c r="GY17" s="2212">
        <v>33271.43</v>
      </c>
      <c r="GZ17" s="2212">
        <v>18030.759999999998</v>
      </c>
      <c r="HA17" s="2212">
        <v>53677.25</v>
      </c>
      <c r="HB17" s="2212">
        <v>15831.93</v>
      </c>
      <c r="HC17" s="2212">
        <v>26644.13</v>
      </c>
      <c r="HD17" s="2212">
        <v>20947.03</v>
      </c>
      <c r="HE17" s="2212">
        <v>28879.64</v>
      </c>
      <c r="HF17" s="2212">
        <v>17000</v>
      </c>
      <c r="HG17" s="2212">
        <v>13970.44</v>
      </c>
      <c r="HH17" s="2212">
        <v>17783</v>
      </c>
      <c r="HI17" s="2212">
        <v>20189.62</v>
      </c>
      <c r="HJ17" s="2212">
        <v>15644.55</v>
      </c>
      <c r="HK17" s="2212">
        <v>15225.03</v>
      </c>
      <c r="HL17" s="2212">
        <v>39068.03</v>
      </c>
      <c r="HM17" s="2212">
        <v>36985.72</v>
      </c>
      <c r="HN17" s="2212">
        <v>16714.23</v>
      </c>
      <c r="HO17" s="2212">
        <v>29620.13</v>
      </c>
      <c r="HP17" s="2212">
        <v>17783</v>
      </c>
      <c r="HQ17" s="2212">
        <v>47962.45</v>
      </c>
      <c r="HR17" s="2212">
        <v>41126.18</v>
      </c>
      <c r="HS17" s="2212">
        <v>16570.91</v>
      </c>
      <c r="HT17" s="2212">
        <v>21076.400000000001</v>
      </c>
      <c r="HU17" s="2212">
        <v>49039.43</v>
      </c>
      <c r="HV17" s="2212">
        <v>18678.150000000001</v>
      </c>
      <c r="HW17" s="2212">
        <v>17041.37</v>
      </c>
      <c r="HX17" s="2212">
        <v>25384.37</v>
      </c>
      <c r="HY17" s="2212">
        <v>49748.54</v>
      </c>
      <c r="HZ17" s="2212">
        <v>44304.14</v>
      </c>
      <c r="IA17" s="2212">
        <v>15644.42</v>
      </c>
      <c r="IB17" s="2212">
        <v>17114.79</v>
      </c>
      <c r="IC17" s="2212">
        <v>27993.3</v>
      </c>
      <c r="ID17" s="2212">
        <v>14140.75</v>
      </c>
      <c r="IE17" s="2212">
        <v>51908.07</v>
      </c>
      <c r="IF17" s="2212">
        <v>47808.07</v>
      </c>
      <c r="IG17" s="2212">
        <v>42591.49</v>
      </c>
      <c r="IH17" s="2212">
        <v>29007.74</v>
      </c>
      <c r="II17" s="2212">
        <v>16357.73</v>
      </c>
      <c r="IJ17" s="2212">
        <v>20620.23</v>
      </c>
      <c r="IK17" s="2212">
        <v>18614.87</v>
      </c>
      <c r="IL17" s="2212">
        <v>18228.64</v>
      </c>
      <c r="IM17" s="2212">
        <v>18404.11</v>
      </c>
      <c r="IN17" s="2212">
        <v>46534.92</v>
      </c>
      <c r="IO17" s="2212">
        <v>37694.14</v>
      </c>
      <c r="IP17" s="2212">
        <v>15697.05</v>
      </c>
      <c r="IQ17" s="2212">
        <v>27169.16</v>
      </c>
      <c r="IR17" s="2212">
        <v>29133.35</v>
      </c>
      <c r="IS17" s="2212">
        <v>16714.16</v>
      </c>
      <c r="IT17" s="2212">
        <v>16437.43</v>
      </c>
      <c r="IU17" s="2911">
        <v>17252.620000000003</v>
      </c>
      <c r="IV17" s="2911">
        <v>18879.39</v>
      </c>
      <c r="IW17" s="2911">
        <v>19788.310000000001</v>
      </c>
      <c r="IX17" s="2911">
        <v>21288.31</v>
      </c>
      <c r="IY17" s="2207"/>
      <c r="IZ17" s="2215">
        <f t="shared" si="6"/>
        <v>8</v>
      </c>
    </row>
    <row r="18" spans="1:260">
      <c r="A18" s="2214">
        <v>9</v>
      </c>
      <c r="B18" s="2212">
        <v>56073.55</v>
      </c>
      <c r="C18" s="2927">
        <v>48843.46</v>
      </c>
      <c r="D18" s="2927">
        <v>44381.41</v>
      </c>
      <c r="E18" s="2212">
        <v>44957.07</v>
      </c>
      <c r="F18" s="2927">
        <v>45075.519999999997</v>
      </c>
      <c r="G18" s="2212">
        <v>45038.33</v>
      </c>
      <c r="H18" s="2927">
        <v>43489</v>
      </c>
      <c r="I18" s="2212">
        <v>37917.32</v>
      </c>
      <c r="J18" s="2212">
        <v>41806.33</v>
      </c>
      <c r="K18" s="2212">
        <v>39439.910000000003</v>
      </c>
      <c r="L18" s="2927">
        <v>36771.08</v>
      </c>
      <c r="M18" s="2212">
        <v>36259.9</v>
      </c>
      <c r="N18" s="2927">
        <v>33374.92</v>
      </c>
      <c r="O18" s="2212">
        <v>32650.58</v>
      </c>
      <c r="P18" s="2927">
        <v>30152.33</v>
      </c>
      <c r="Q18" s="2927">
        <v>25997.65</v>
      </c>
      <c r="R18" s="2212">
        <v>29152.33</v>
      </c>
      <c r="S18" s="2212">
        <v>29152.33</v>
      </c>
      <c r="T18" s="2212">
        <v>28297.05</v>
      </c>
      <c r="U18" s="2212">
        <v>28297.05</v>
      </c>
      <c r="V18" s="2212">
        <v>28297.05</v>
      </c>
      <c r="W18" s="2212">
        <v>28297.05</v>
      </c>
      <c r="X18" s="2212">
        <v>25929.71</v>
      </c>
      <c r="Y18" s="2927">
        <v>29668.98</v>
      </c>
      <c r="Z18" s="2923">
        <v>29723</v>
      </c>
      <c r="AA18" s="2930">
        <v>29723</v>
      </c>
      <c r="AB18" s="2927">
        <v>28668.98</v>
      </c>
      <c r="AC18" s="2212">
        <v>25384.36</v>
      </c>
      <c r="AD18" s="2923">
        <v>26384.36</v>
      </c>
      <c r="AE18" s="2927">
        <v>27888.02</v>
      </c>
      <c r="AF18" s="2927">
        <v>25667.93</v>
      </c>
      <c r="AG18" s="2927">
        <v>25667.93</v>
      </c>
      <c r="AH18" s="2927">
        <v>27350.34</v>
      </c>
      <c r="AI18" s="2927">
        <v>25174.61</v>
      </c>
      <c r="AJ18" s="2927">
        <v>23171.69</v>
      </c>
      <c r="AK18" s="2927">
        <v>19616.89</v>
      </c>
      <c r="AL18" s="2927">
        <v>18327.830000000002</v>
      </c>
      <c r="AM18" s="2927">
        <v>17484.98</v>
      </c>
      <c r="AN18" s="2212">
        <v>18616.89</v>
      </c>
      <c r="AO18" s="2212">
        <v>17327.830000000002</v>
      </c>
      <c r="AP18" s="2212">
        <v>16484.98</v>
      </c>
      <c r="AQ18" s="2923">
        <v>25164</v>
      </c>
      <c r="AR18" s="2923">
        <v>23464</v>
      </c>
      <c r="AS18" s="2927">
        <v>21104.18</v>
      </c>
      <c r="AT18" s="2927">
        <v>20719.98</v>
      </c>
      <c r="AU18" s="2928">
        <v>19641.68</v>
      </c>
      <c r="AV18" s="2212">
        <v>16854.82</v>
      </c>
      <c r="AW18" s="2212">
        <v>16321.39</v>
      </c>
      <c r="AX18" s="2212">
        <v>18715.990000000002</v>
      </c>
      <c r="AY18" s="2212">
        <v>18988.68</v>
      </c>
      <c r="AZ18" s="2212">
        <v>18953.97</v>
      </c>
      <c r="BA18" s="2212">
        <v>17848.36</v>
      </c>
      <c r="BB18" s="2212">
        <v>18988.68</v>
      </c>
      <c r="BC18" s="2212">
        <v>19044.330000000002</v>
      </c>
      <c r="BD18" s="2212">
        <v>19732.36</v>
      </c>
      <c r="BE18" s="2212">
        <v>20104.25</v>
      </c>
      <c r="BF18" s="2212">
        <v>19558.849999999999</v>
      </c>
      <c r="BG18" s="2212">
        <v>16565.57</v>
      </c>
      <c r="BH18" s="2212">
        <v>23500</v>
      </c>
      <c r="BI18" s="2212">
        <v>23500.32</v>
      </c>
      <c r="BJ18" s="2212">
        <v>13647.85</v>
      </c>
      <c r="BK18" s="2212">
        <v>13647.85</v>
      </c>
      <c r="BL18" s="2212">
        <v>28200</v>
      </c>
      <c r="BM18" s="2212">
        <v>27392.33</v>
      </c>
      <c r="BN18" s="2212">
        <v>28160.74</v>
      </c>
      <c r="BO18" s="2212">
        <v>26411.57</v>
      </c>
      <c r="BP18" s="2212">
        <v>34132.97</v>
      </c>
      <c r="BQ18" s="2212">
        <v>21071</v>
      </c>
      <c r="BR18" s="2212">
        <v>36780.15</v>
      </c>
      <c r="BS18" s="2212">
        <v>31664.11</v>
      </c>
      <c r="BT18" s="2212">
        <v>25750</v>
      </c>
      <c r="BU18" s="2212">
        <v>30119.1</v>
      </c>
      <c r="BV18" s="2212">
        <v>39059.440000000002</v>
      </c>
      <c r="BW18" s="2212">
        <v>41560.980000000003</v>
      </c>
      <c r="BX18" s="2212">
        <v>29628.03</v>
      </c>
      <c r="BY18" s="2212">
        <v>16343.16</v>
      </c>
      <c r="BZ18" s="2212">
        <v>44884</v>
      </c>
      <c r="CA18" s="2212">
        <v>17105.66</v>
      </c>
      <c r="CB18" s="2212">
        <v>17248.87</v>
      </c>
      <c r="CC18" s="2212">
        <v>16882.830000000002</v>
      </c>
      <c r="CD18" s="2212">
        <v>25793.39</v>
      </c>
      <c r="CE18" s="2212">
        <v>25878.92</v>
      </c>
      <c r="CF18" s="2212">
        <v>34209.360000000001</v>
      </c>
      <c r="CG18" s="2212">
        <v>23921.73</v>
      </c>
      <c r="CH18" s="2927">
        <v>25167.13</v>
      </c>
      <c r="CI18" s="2927">
        <v>20616.89</v>
      </c>
      <c r="CJ18" s="2212">
        <v>17179.05</v>
      </c>
      <c r="CK18" s="2212">
        <v>16237.05</v>
      </c>
      <c r="CL18" s="2212">
        <v>18152.79</v>
      </c>
      <c r="CM18" s="2212">
        <v>16500</v>
      </c>
      <c r="CN18" s="2212">
        <v>20426.490000000002</v>
      </c>
      <c r="CO18" s="2212">
        <v>14873.66</v>
      </c>
      <c r="CP18" s="2212">
        <v>15000</v>
      </c>
      <c r="CQ18" s="2212">
        <v>18331.740000000002</v>
      </c>
      <c r="CR18" s="2212">
        <v>17293.55</v>
      </c>
      <c r="CS18" s="2212">
        <v>17010.439999999999</v>
      </c>
      <c r="CT18" s="2212">
        <v>14254.99</v>
      </c>
      <c r="CU18" s="2212">
        <v>17848.36</v>
      </c>
      <c r="CV18" s="2212">
        <v>15617.35</v>
      </c>
      <c r="CW18" s="2212">
        <v>16134.83</v>
      </c>
      <c r="CX18" s="2212">
        <v>21400</v>
      </c>
      <c r="CY18" s="2212">
        <v>13832.1</v>
      </c>
      <c r="CZ18" s="2212">
        <v>16150</v>
      </c>
      <c r="DA18" s="2212">
        <v>22558.36</v>
      </c>
      <c r="DB18" s="2212">
        <v>21473.3</v>
      </c>
      <c r="DC18" s="2212">
        <v>16840.03</v>
      </c>
      <c r="DD18" s="2212">
        <v>15024.48</v>
      </c>
      <c r="DE18" s="2212">
        <v>20476.04</v>
      </c>
      <c r="DF18" s="2212">
        <v>16466.86</v>
      </c>
      <c r="DG18" s="2212">
        <v>21219.72</v>
      </c>
      <c r="DH18" s="2212">
        <v>15617.35</v>
      </c>
      <c r="DI18" s="2212">
        <v>26648.59</v>
      </c>
      <c r="DJ18" s="2212">
        <v>15822.03</v>
      </c>
      <c r="DK18" s="2212">
        <v>20525.63</v>
      </c>
      <c r="DL18" s="2212">
        <v>27708.04</v>
      </c>
      <c r="DM18" s="2212">
        <v>31284.22</v>
      </c>
      <c r="DN18" s="2212">
        <v>15689.24</v>
      </c>
      <c r="DO18" s="2212">
        <v>16457.419999999998</v>
      </c>
      <c r="DP18" s="2212">
        <v>15041.2</v>
      </c>
      <c r="DQ18" s="2212">
        <v>35050.81</v>
      </c>
      <c r="DR18" s="2212">
        <v>18839.939999999999</v>
      </c>
      <c r="DS18" s="2212">
        <v>16803.12</v>
      </c>
      <c r="DT18" s="2212">
        <v>22388.3</v>
      </c>
      <c r="DU18" s="2212">
        <v>21913.85</v>
      </c>
      <c r="DV18" s="2212">
        <v>29449.8</v>
      </c>
      <c r="DW18" s="2212">
        <v>16343.15</v>
      </c>
      <c r="DX18" s="2212">
        <v>17293.509999999998</v>
      </c>
      <c r="DY18" s="2212">
        <v>31970.25</v>
      </c>
      <c r="DZ18" s="2212">
        <v>32052.65</v>
      </c>
      <c r="EA18" s="2212">
        <v>23500</v>
      </c>
      <c r="EB18" s="2212">
        <v>16076.1</v>
      </c>
      <c r="EC18" s="2212">
        <v>16522.099999999999</v>
      </c>
      <c r="ED18" s="2212">
        <v>21913.85</v>
      </c>
      <c r="EE18" s="2212">
        <v>25202.2</v>
      </c>
      <c r="EF18" s="2212">
        <v>44042.51</v>
      </c>
      <c r="EG18" s="2212">
        <v>37825.31</v>
      </c>
      <c r="EH18" s="2212">
        <v>43975.24</v>
      </c>
      <c r="EI18" s="2212">
        <v>22806.27</v>
      </c>
      <c r="EJ18" s="2212">
        <v>26411.43</v>
      </c>
      <c r="EK18" s="2212">
        <v>19800</v>
      </c>
      <c r="EL18" s="2212">
        <v>25953.05</v>
      </c>
      <c r="EM18" s="2212">
        <v>27392.33</v>
      </c>
      <c r="EN18" s="2212">
        <v>15107.74</v>
      </c>
      <c r="EO18" s="2212">
        <v>15975.02</v>
      </c>
      <c r="EP18" s="2212">
        <v>30484.17</v>
      </c>
      <c r="EQ18" s="2212">
        <v>38485.46</v>
      </c>
      <c r="ER18" s="2212">
        <v>21950</v>
      </c>
      <c r="ES18" s="2212">
        <v>17348.95</v>
      </c>
      <c r="ET18" s="2212">
        <v>24169.89</v>
      </c>
      <c r="EU18" s="2212">
        <v>34333.31</v>
      </c>
      <c r="EV18" s="2212">
        <v>23333.89</v>
      </c>
      <c r="EW18" s="2212">
        <v>46904.28</v>
      </c>
      <c r="EX18" s="2212">
        <v>29150.01</v>
      </c>
      <c r="EY18" s="2212">
        <v>18041.53</v>
      </c>
      <c r="EZ18" s="2212">
        <v>18041.53</v>
      </c>
      <c r="FA18" s="2212">
        <v>15015.86</v>
      </c>
      <c r="FB18" s="2212">
        <v>32515.24</v>
      </c>
      <c r="FC18" s="2212">
        <v>40007.81</v>
      </c>
      <c r="FD18" s="2212">
        <v>33735.339999999997</v>
      </c>
      <c r="FE18" s="2212">
        <v>24913.3</v>
      </c>
      <c r="FF18" s="2212">
        <v>36514.76</v>
      </c>
      <c r="FG18" s="2212">
        <v>25953.05</v>
      </c>
      <c r="FH18" s="2212">
        <v>14210.33</v>
      </c>
      <c r="FI18" s="2212">
        <v>19732.36</v>
      </c>
      <c r="FJ18" s="2212">
        <v>27516.22</v>
      </c>
      <c r="FK18" s="2212">
        <v>21076.400000000001</v>
      </c>
      <c r="FL18" s="2212">
        <v>18407.59</v>
      </c>
      <c r="FM18" s="2212">
        <v>16134.83</v>
      </c>
      <c r="FN18" s="2212">
        <v>16012.07</v>
      </c>
      <c r="FO18" s="2212">
        <v>22855.81</v>
      </c>
      <c r="FP18" s="2212">
        <v>24586.51</v>
      </c>
      <c r="FQ18" s="2212">
        <v>19361.97</v>
      </c>
      <c r="FR18" s="2212">
        <v>17414.439999999999</v>
      </c>
      <c r="FS18" s="2212">
        <v>35604.14</v>
      </c>
      <c r="FT18" s="2212">
        <v>16003.01</v>
      </c>
      <c r="FU18" s="2212">
        <v>20649.57</v>
      </c>
      <c r="FV18" s="2212">
        <v>29150.03</v>
      </c>
      <c r="FW18" s="2212">
        <v>28321.34</v>
      </c>
      <c r="FX18" s="2212">
        <v>17770.63</v>
      </c>
      <c r="FY18" s="2212">
        <v>24888.58</v>
      </c>
      <c r="FZ18" s="2212">
        <v>40673.06</v>
      </c>
      <c r="GA18" s="2212">
        <v>17551.11</v>
      </c>
      <c r="GB18" s="2212">
        <v>14721.63</v>
      </c>
      <c r="GC18" s="2212">
        <v>16882.849999999999</v>
      </c>
      <c r="GD18" s="2212">
        <v>43220.28</v>
      </c>
      <c r="GE18" s="2212">
        <v>15251.9</v>
      </c>
      <c r="GF18" s="2212">
        <v>37115.29</v>
      </c>
      <c r="GG18" s="2212">
        <v>42404.800000000003</v>
      </c>
      <c r="GH18" s="2212">
        <v>33341.75</v>
      </c>
      <c r="GI18" s="2212">
        <v>24690.21</v>
      </c>
      <c r="GJ18" s="2212">
        <v>19664.919999999998</v>
      </c>
      <c r="GK18" s="2212">
        <v>32496.15</v>
      </c>
      <c r="GL18" s="2212">
        <v>26396.39</v>
      </c>
      <c r="GM18" s="2212">
        <v>47742.49</v>
      </c>
      <c r="GN18" s="2212">
        <v>20649.57</v>
      </c>
      <c r="GO18" s="2212">
        <v>17104.72</v>
      </c>
      <c r="GP18" s="2212">
        <v>20746.2</v>
      </c>
      <c r="GQ18" s="2212">
        <v>39499.1</v>
      </c>
      <c r="GR18" s="2212">
        <v>16660.02</v>
      </c>
      <c r="GS18" s="2212">
        <v>16134.14</v>
      </c>
      <c r="GT18" s="2212">
        <v>28562.11</v>
      </c>
      <c r="GU18" s="2212">
        <v>32220.09</v>
      </c>
      <c r="GV18" s="2212">
        <v>49570.25</v>
      </c>
      <c r="GW18" s="2212">
        <v>14503.05</v>
      </c>
      <c r="GX18" s="2212">
        <v>16803.330000000002</v>
      </c>
      <c r="GY18" s="2212">
        <v>33271.43</v>
      </c>
      <c r="GZ18" s="2212">
        <v>18341.28</v>
      </c>
      <c r="HA18" s="2212">
        <v>54366.82</v>
      </c>
      <c r="HB18" s="2212">
        <v>16144</v>
      </c>
      <c r="HC18" s="2212">
        <v>27594.48</v>
      </c>
      <c r="HD18" s="2212">
        <v>21566.77</v>
      </c>
      <c r="HE18" s="2212">
        <v>29623.33</v>
      </c>
      <c r="HF18" s="2212">
        <v>17350</v>
      </c>
      <c r="HG18" s="2212">
        <v>14061.5</v>
      </c>
      <c r="HH18" s="2212">
        <v>18518.28</v>
      </c>
      <c r="HI18" s="2212">
        <v>20902.64</v>
      </c>
      <c r="HJ18" s="2212">
        <v>16001.42</v>
      </c>
      <c r="HK18" s="2212">
        <v>15533.84</v>
      </c>
      <c r="HL18" s="2212">
        <v>40282.71</v>
      </c>
      <c r="HM18" s="2212">
        <v>38150.82</v>
      </c>
      <c r="HN18" s="2212">
        <v>17026.13</v>
      </c>
      <c r="HO18" s="2212">
        <v>29620.13</v>
      </c>
      <c r="HP18" s="2212">
        <v>18518.28</v>
      </c>
      <c r="HQ18" s="2212">
        <v>47962.45</v>
      </c>
      <c r="HR18" s="2212">
        <v>41635.06</v>
      </c>
      <c r="HS18" s="2212">
        <v>16882.810000000001</v>
      </c>
      <c r="HT18" s="2212">
        <v>21076.400000000001</v>
      </c>
      <c r="HU18" s="2212">
        <v>50700.35</v>
      </c>
      <c r="HV18" s="2212">
        <v>19075.87</v>
      </c>
      <c r="HW18" s="2212">
        <v>17351.89</v>
      </c>
      <c r="HX18" s="2212">
        <v>25681.85</v>
      </c>
      <c r="HY18" s="2212">
        <v>50390.74</v>
      </c>
      <c r="HZ18" s="2212">
        <v>44886.3</v>
      </c>
      <c r="IA18" s="2212">
        <v>16001.27</v>
      </c>
      <c r="IB18" s="2212">
        <v>17827.810000000001</v>
      </c>
      <c r="IC18" s="2212">
        <v>27993.3</v>
      </c>
      <c r="ID18" s="2212">
        <v>14210.83</v>
      </c>
      <c r="IE18" s="2212">
        <v>53594.54</v>
      </c>
      <c r="IF18" s="2212">
        <v>49185.64</v>
      </c>
      <c r="IG18" s="2212">
        <v>43975.24</v>
      </c>
      <c r="IH18" s="2212">
        <v>29007.74</v>
      </c>
      <c r="II18" s="2212">
        <v>16669.63</v>
      </c>
      <c r="IJ18" s="2212">
        <v>21199.54</v>
      </c>
      <c r="IK18" s="2212">
        <v>19261.009999999998</v>
      </c>
      <c r="IL18" s="2212">
        <v>18963.919999999998</v>
      </c>
      <c r="IM18" s="2212">
        <v>19191.349999999999</v>
      </c>
      <c r="IN18" s="2212">
        <v>47707.46</v>
      </c>
      <c r="IO18" s="2212">
        <v>37694.14</v>
      </c>
      <c r="IP18" s="2212">
        <v>16343.16</v>
      </c>
      <c r="IQ18" s="2212">
        <v>28160.74</v>
      </c>
      <c r="IR18" s="2212">
        <v>29133.35</v>
      </c>
      <c r="IS18" s="2212">
        <v>17026.060000000001</v>
      </c>
      <c r="IT18" s="2212">
        <v>16803.37</v>
      </c>
      <c r="IU18" s="2911">
        <v>17696.23</v>
      </c>
      <c r="IV18" s="2911">
        <v>19414.52</v>
      </c>
      <c r="IW18" s="2911">
        <v>20411.919999999998</v>
      </c>
      <c r="IX18" s="2911">
        <v>21911.919999999998</v>
      </c>
      <c r="IY18" s="2207"/>
      <c r="IZ18" s="2215">
        <f t="shared" si="6"/>
        <v>9</v>
      </c>
    </row>
    <row r="19" spans="1:260">
      <c r="A19" s="2214">
        <v>10</v>
      </c>
      <c r="B19" s="2212">
        <v>57511.34</v>
      </c>
      <c r="C19" s="2927">
        <v>50454.77</v>
      </c>
      <c r="D19" s="2927">
        <v>45868.78</v>
      </c>
      <c r="E19" s="2212">
        <v>45943.199999999997</v>
      </c>
      <c r="F19" s="2927">
        <v>46042.31</v>
      </c>
      <c r="G19" s="2212">
        <v>46036.85</v>
      </c>
      <c r="H19" s="2927">
        <v>44431</v>
      </c>
      <c r="I19" s="2212">
        <v>38889.56</v>
      </c>
      <c r="J19" s="2212">
        <v>42831.13</v>
      </c>
      <c r="K19" s="2212">
        <v>40406.699999999997</v>
      </c>
      <c r="L19" s="2927">
        <v>37688.29</v>
      </c>
      <c r="M19" s="2212">
        <v>37203.879999999997</v>
      </c>
      <c r="N19" s="2927">
        <v>34217.760000000002</v>
      </c>
      <c r="O19" s="2212">
        <v>33316.92</v>
      </c>
      <c r="P19" s="2927">
        <v>30747.279999999999</v>
      </c>
      <c r="Q19" s="2927">
        <v>26433.95</v>
      </c>
      <c r="R19" s="2212">
        <v>29747.279999999999</v>
      </c>
      <c r="S19" s="2212">
        <v>29747.279999999999</v>
      </c>
      <c r="T19" s="2212">
        <v>28879.599999999999</v>
      </c>
      <c r="U19" s="2212">
        <v>28879.599999999999</v>
      </c>
      <c r="V19" s="2212">
        <v>28879.599999999999</v>
      </c>
      <c r="W19" s="2212">
        <v>28879.599999999999</v>
      </c>
      <c r="X19" s="2212">
        <v>26549.45</v>
      </c>
      <c r="Y19" s="2927">
        <v>30371.52</v>
      </c>
      <c r="Z19" s="2923">
        <v>29993</v>
      </c>
      <c r="AA19" s="2930">
        <v>29993</v>
      </c>
      <c r="AB19" s="2927">
        <v>29371.52</v>
      </c>
      <c r="AC19" s="2212">
        <v>26028.89</v>
      </c>
      <c r="AD19" s="2923">
        <v>27028.89</v>
      </c>
      <c r="AE19" s="2927">
        <v>28533.81</v>
      </c>
      <c r="AF19" s="2927">
        <v>26260.400000000001</v>
      </c>
      <c r="AG19" s="2927">
        <v>26260.400000000001</v>
      </c>
      <c r="AH19" s="2927">
        <v>27966.41</v>
      </c>
      <c r="AI19" s="2927">
        <v>25739.81</v>
      </c>
      <c r="AJ19" s="2927">
        <v>23707.15</v>
      </c>
      <c r="AK19" s="2927">
        <v>19963.95</v>
      </c>
      <c r="AL19" s="2927">
        <v>18780.52</v>
      </c>
      <c r="AM19" s="2927">
        <v>17732.88</v>
      </c>
      <c r="AN19" s="2212">
        <v>18963.95</v>
      </c>
      <c r="AO19" s="2212">
        <v>17600.52</v>
      </c>
      <c r="AP19" s="2212">
        <v>16732.88</v>
      </c>
      <c r="AQ19" s="2923">
        <v>25364</v>
      </c>
      <c r="AR19" s="2923">
        <v>23664</v>
      </c>
      <c r="AS19" s="2927">
        <v>21525.599999999999</v>
      </c>
      <c r="AT19" s="2927">
        <v>21104.22</v>
      </c>
      <c r="AU19" s="2928">
        <v>19988.740000000002</v>
      </c>
      <c r="AV19" s="2212">
        <v>16854.82</v>
      </c>
      <c r="AW19" s="2212">
        <v>16321.39</v>
      </c>
      <c r="AX19" s="2212">
        <v>19137.41</v>
      </c>
      <c r="AY19" s="2212">
        <v>18988.68</v>
      </c>
      <c r="AZ19" s="2212">
        <v>19375.39</v>
      </c>
      <c r="BA19" s="2212">
        <v>17848.36</v>
      </c>
      <c r="BB19" s="2212">
        <v>18988.68</v>
      </c>
      <c r="BC19" s="2212">
        <v>19044.330000000002</v>
      </c>
      <c r="BD19" s="2212">
        <v>19732.36</v>
      </c>
      <c r="BE19" s="2212">
        <v>20451.310000000001</v>
      </c>
      <c r="BF19" s="2212">
        <v>19558.849999999999</v>
      </c>
      <c r="BG19" s="2212">
        <v>16819.669999999998</v>
      </c>
      <c r="BH19" s="2212">
        <v>23500</v>
      </c>
      <c r="BI19" s="2212">
        <v>23896.95</v>
      </c>
      <c r="BJ19" s="2212">
        <v>13647.85</v>
      </c>
      <c r="BK19" s="2212">
        <v>13647.85</v>
      </c>
      <c r="BL19" s="2212">
        <v>28200</v>
      </c>
      <c r="BM19" s="2212">
        <v>27764.18</v>
      </c>
      <c r="BN19" s="2212">
        <v>28160.74</v>
      </c>
      <c r="BO19" s="2212">
        <v>27427.32</v>
      </c>
      <c r="BP19" s="2212">
        <v>34132.97</v>
      </c>
      <c r="BQ19" s="2212">
        <v>21071</v>
      </c>
      <c r="BR19" s="2212">
        <v>36780.15</v>
      </c>
      <c r="BS19" s="2212">
        <v>31664.11</v>
      </c>
      <c r="BT19" s="2212">
        <v>25750</v>
      </c>
      <c r="BU19" s="2212">
        <v>30119.1</v>
      </c>
      <c r="BV19" s="2212">
        <v>39059.440000000002</v>
      </c>
      <c r="BW19" s="2212">
        <v>41560.980000000003</v>
      </c>
      <c r="BX19" s="2212">
        <v>29628.03</v>
      </c>
      <c r="BY19" s="2212">
        <v>16628.34</v>
      </c>
      <c r="BZ19" s="2212">
        <v>45432.59</v>
      </c>
      <c r="CA19" s="2212">
        <v>17417.560000000001</v>
      </c>
      <c r="CB19" s="2212">
        <v>17560.77</v>
      </c>
      <c r="CC19" s="2212">
        <v>17194.73</v>
      </c>
      <c r="CD19" s="2212">
        <v>26165.24</v>
      </c>
      <c r="CE19" s="2212">
        <v>26874.19</v>
      </c>
      <c r="CF19" s="2212">
        <v>34209.360000000001</v>
      </c>
      <c r="CG19" s="2212">
        <v>23921.73</v>
      </c>
      <c r="CH19" s="2927">
        <v>25750.78</v>
      </c>
      <c r="CI19" s="2927">
        <v>20963.95</v>
      </c>
      <c r="CJ19" s="2212">
        <v>17179.05</v>
      </c>
      <c r="CK19" s="2212">
        <v>16237.05</v>
      </c>
      <c r="CL19" s="2212">
        <v>18152.79</v>
      </c>
      <c r="CM19" s="2212">
        <v>16500</v>
      </c>
      <c r="CN19" s="2212">
        <v>20723.97</v>
      </c>
      <c r="CO19" s="2212">
        <v>14873.66</v>
      </c>
      <c r="CP19" s="2212">
        <v>15000</v>
      </c>
      <c r="CQ19" s="2212">
        <v>18802.740000000002</v>
      </c>
      <c r="CR19" s="2212">
        <v>17659.5</v>
      </c>
      <c r="CS19" s="2212">
        <v>17353.77</v>
      </c>
      <c r="CT19" s="2212">
        <v>14254.99</v>
      </c>
      <c r="CU19" s="2212">
        <v>17848.36</v>
      </c>
      <c r="CV19" s="2212">
        <v>15617.35</v>
      </c>
      <c r="CW19" s="2212">
        <v>16446.73</v>
      </c>
      <c r="CX19" s="2212">
        <v>21400</v>
      </c>
      <c r="CY19" s="2212">
        <v>13832.1</v>
      </c>
      <c r="CZ19" s="2212">
        <v>16150</v>
      </c>
      <c r="DA19" s="2212">
        <v>22558.36</v>
      </c>
      <c r="DB19" s="2212">
        <v>21473.3</v>
      </c>
      <c r="DC19" s="2212">
        <v>16971.740000000002</v>
      </c>
      <c r="DD19" s="2212">
        <v>15160.31</v>
      </c>
      <c r="DE19" s="2212">
        <v>20476.04</v>
      </c>
      <c r="DF19" s="2212">
        <v>16785.189999999999</v>
      </c>
      <c r="DG19" s="2212">
        <v>21219.72</v>
      </c>
      <c r="DH19" s="2212">
        <v>15617.35</v>
      </c>
      <c r="DI19" s="2212">
        <v>26648.59</v>
      </c>
      <c r="DJ19" s="2212">
        <v>16033.64</v>
      </c>
      <c r="DK19" s="2212">
        <v>20674.37</v>
      </c>
      <c r="DL19" s="2212">
        <v>28842.46</v>
      </c>
      <c r="DM19" s="2212">
        <v>31953.54</v>
      </c>
      <c r="DN19" s="2212">
        <v>16001.14</v>
      </c>
      <c r="DO19" s="2212">
        <v>16775.54</v>
      </c>
      <c r="DP19" s="2212">
        <v>15205.16</v>
      </c>
      <c r="DQ19" s="2212">
        <v>35488.589999999997</v>
      </c>
      <c r="DR19" s="2212">
        <v>18839.939999999999</v>
      </c>
      <c r="DS19" s="2212">
        <v>17169.04</v>
      </c>
      <c r="DT19" s="2212">
        <v>22388.3</v>
      </c>
      <c r="DU19" s="2212">
        <v>22211.33</v>
      </c>
      <c r="DV19" s="2212">
        <v>29449.8</v>
      </c>
      <c r="DW19" s="2212">
        <v>16628.330000000002</v>
      </c>
      <c r="DX19" s="2212">
        <v>17659.45</v>
      </c>
      <c r="DY19" s="2212">
        <v>33227.519999999997</v>
      </c>
      <c r="DZ19" s="2212">
        <v>32052.65</v>
      </c>
      <c r="EA19" s="2212">
        <v>23500</v>
      </c>
      <c r="EB19" s="2212">
        <v>16388.25</v>
      </c>
      <c r="EC19" s="2212">
        <v>16834.25</v>
      </c>
      <c r="ED19" s="2212">
        <v>22211.33</v>
      </c>
      <c r="EE19" s="2212">
        <v>25202.2</v>
      </c>
      <c r="EF19" s="2212">
        <v>44042.51</v>
      </c>
      <c r="EG19" s="2212">
        <v>38277</v>
      </c>
      <c r="EH19" s="2212">
        <v>43975.24</v>
      </c>
      <c r="EI19" s="2212">
        <v>23128.54</v>
      </c>
      <c r="EJ19" s="2212">
        <v>27427.18</v>
      </c>
      <c r="EK19" s="2212">
        <v>19800</v>
      </c>
      <c r="EL19" s="2212">
        <v>27067.78</v>
      </c>
      <c r="EM19" s="2212">
        <v>27764.18</v>
      </c>
      <c r="EN19" s="2212">
        <v>15240.93</v>
      </c>
      <c r="EO19" s="2212">
        <v>16283.83</v>
      </c>
      <c r="EP19" s="2212">
        <v>30857.38</v>
      </c>
      <c r="EQ19" s="2212">
        <v>38485.46</v>
      </c>
      <c r="ER19" s="2212">
        <v>21950</v>
      </c>
      <c r="ES19" s="2212">
        <v>17764.3</v>
      </c>
      <c r="ET19" s="2212">
        <v>25275.25</v>
      </c>
      <c r="EU19" s="2212">
        <v>34333.31</v>
      </c>
      <c r="EV19" s="2212">
        <v>23333.89</v>
      </c>
      <c r="EW19" s="2212">
        <v>46904.28</v>
      </c>
      <c r="EX19" s="2212">
        <v>30401.53</v>
      </c>
      <c r="EY19" s="2212">
        <v>18407.48</v>
      </c>
      <c r="EZ19" s="2212">
        <v>18407.47</v>
      </c>
      <c r="FA19" s="2212">
        <v>15151.61</v>
      </c>
      <c r="FB19" s="2212">
        <v>32919.24</v>
      </c>
      <c r="FC19" s="2212">
        <v>40510.42</v>
      </c>
      <c r="FD19" s="2212">
        <v>35126.550000000003</v>
      </c>
      <c r="FE19" s="2212">
        <v>24913.3</v>
      </c>
      <c r="FF19" s="2212">
        <v>36713.08</v>
      </c>
      <c r="FG19" s="2212">
        <v>27067.78</v>
      </c>
      <c r="FH19" s="2212">
        <v>14280.41</v>
      </c>
      <c r="FI19" s="2212">
        <v>19732.36</v>
      </c>
      <c r="FJ19" s="2212">
        <v>27516.22</v>
      </c>
      <c r="FK19" s="2212">
        <v>21377.15</v>
      </c>
      <c r="FL19" s="2212">
        <v>18773.54</v>
      </c>
      <c r="FM19" s="2212">
        <v>16446.73</v>
      </c>
      <c r="FN19" s="2212">
        <v>16330.37</v>
      </c>
      <c r="FO19" s="2212">
        <v>22855.81</v>
      </c>
      <c r="FP19" s="2212">
        <v>25329.25</v>
      </c>
      <c r="FQ19" s="2212">
        <v>19361.97</v>
      </c>
      <c r="FR19" s="2212">
        <v>17818.009999999998</v>
      </c>
      <c r="FS19" s="2212">
        <v>36941.83</v>
      </c>
      <c r="FT19" s="2212">
        <v>16321.14</v>
      </c>
      <c r="FU19" s="2212">
        <v>20649.57</v>
      </c>
      <c r="FV19" s="2212">
        <v>30401.57</v>
      </c>
      <c r="FW19" s="2212">
        <v>28691.7</v>
      </c>
      <c r="FX19" s="2212">
        <v>18069.07</v>
      </c>
      <c r="FY19" s="2212">
        <v>25210.85</v>
      </c>
      <c r="FZ19" s="2212">
        <v>40673.06</v>
      </c>
      <c r="GA19" s="2212">
        <v>17917.03</v>
      </c>
      <c r="GB19" s="2212">
        <v>14854.75</v>
      </c>
      <c r="GC19" s="2212">
        <v>17194.75</v>
      </c>
      <c r="GD19" s="2212">
        <v>43220.28</v>
      </c>
      <c r="GE19" s="2212">
        <v>15387.73</v>
      </c>
      <c r="GF19" s="2212">
        <v>37575.11</v>
      </c>
      <c r="GG19" s="2212">
        <v>42954.76</v>
      </c>
      <c r="GH19" s="2212">
        <v>33713.599999999999</v>
      </c>
      <c r="GI19" s="2212">
        <v>24690.21</v>
      </c>
      <c r="GJ19" s="2212">
        <v>20173.009999999998</v>
      </c>
      <c r="GK19" s="2212">
        <v>33435.29</v>
      </c>
      <c r="GL19" s="2212">
        <v>27411.54</v>
      </c>
      <c r="GM19" s="2212">
        <v>48353.18</v>
      </c>
      <c r="GN19" s="2212">
        <v>20649.57</v>
      </c>
      <c r="GO19" s="2212">
        <v>17513.75</v>
      </c>
      <c r="GP19" s="2212">
        <v>21063.5</v>
      </c>
      <c r="GQ19" s="2212">
        <v>39979.82</v>
      </c>
      <c r="GR19" s="2212">
        <v>16971.919999999998</v>
      </c>
      <c r="GS19" s="2212">
        <v>16446.04</v>
      </c>
      <c r="GT19" s="2212">
        <v>29788.39</v>
      </c>
      <c r="GU19" s="2212">
        <v>33130.51</v>
      </c>
      <c r="GV19" s="2212">
        <v>49570.25</v>
      </c>
      <c r="GW19" s="2212">
        <v>14574.6</v>
      </c>
      <c r="GX19" s="2212">
        <v>17115.23</v>
      </c>
      <c r="GY19" s="2212">
        <v>34234.129999999997</v>
      </c>
      <c r="GZ19" s="2212">
        <v>18651.8</v>
      </c>
      <c r="HA19" s="2212">
        <v>55056.39</v>
      </c>
      <c r="HB19" s="2212">
        <v>16456.07</v>
      </c>
      <c r="HC19" s="2212">
        <v>27594.48</v>
      </c>
      <c r="HD19" s="2212">
        <v>21566.77</v>
      </c>
      <c r="HE19" s="2212">
        <v>29623.33</v>
      </c>
      <c r="HF19" s="2212">
        <v>17350</v>
      </c>
      <c r="HG19" s="2212">
        <v>14152.56</v>
      </c>
      <c r="HH19" s="2212">
        <v>18518.28</v>
      </c>
      <c r="HI19" s="2212">
        <v>20902.64</v>
      </c>
      <c r="HJ19" s="2212">
        <v>16358.29</v>
      </c>
      <c r="HK19" s="2212">
        <v>15842.65</v>
      </c>
      <c r="HL19" s="2212">
        <v>40282.71</v>
      </c>
      <c r="HM19" s="2212">
        <v>38150.82</v>
      </c>
      <c r="HN19" s="2212">
        <v>17338.03</v>
      </c>
      <c r="HO19" s="2212">
        <v>30871.62</v>
      </c>
      <c r="HP19" s="2212">
        <v>18518.28</v>
      </c>
      <c r="HQ19" s="2212">
        <v>49326.89</v>
      </c>
      <c r="HR19" s="2212">
        <v>42143.94</v>
      </c>
      <c r="HS19" s="2212">
        <v>17194.71</v>
      </c>
      <c r="HT19" s="2212">
        <v>21377.15</v>
      </c>
      <c r="HU19" s="2212">
        <v>50700.35</v>
      </c>
      <c r="HV19" s="2212">
        <v>19473.59</v>
      </c>
      <c r="HW19" s="2212">
        <v>17662.41</v>
      </c>
      <c r="HX19" s="2212">
        <v>25979.33</v>
      </c>
      <c r="HY19" s="2212">
        <v>51032.94</v>
      </c>
      <c r="HZ19" s="2212">
        <v>45468.46</v>
      </c>
      <c r="IA19" s="2212">
        <v>16358.12</v>
      </c>
      <c r="IB19" s="2212">
        <v>17827.810000000001</v>
      </c>
      <c r="IC19" s="2212">
        <v>28988.57</v>
      </c>
      <c r="ID19" s="2212">
        <v>14280.91</v>
      </c>
      <c r="IE19" s="2212">
        <v>53594.54</v>
      </c>
      <c r="IF19" s="2212">
        <v>50563.21</v>
      </c>
      <c r="IG19" s="2212">
        <v>43975.24</v>
      </c>
      <c r="IH19" s="2212">
        <v>30234.02</v>
      </c>
      <c r="II19" s="2212">
        <v>16981.53</v>
      </c>
      <c r="IJ19" s="2212">
        <v>21199.54</v>
      </c>
      <c r="IK19" s="2212">
        <v>19261.009999999998</v>
      </c>
      <c r="IL19" s="2212">
        <v>18963.919999999998</v>
      </c>
      <c r="IM19" s="2212">
        <v>19191.349999999999</v>
      </c>
      <c r="IN19" s="2212">
        <v>48880</v>
      </c>
      <c r="IO19" s="2212">
        <v>39050.76</v>
      </c>
      <c r="IP19" s="2212">
        <v>16628.34</v>
      </c>
      <c r="IQ19" s="2212">
        <v>28160.74</v>
      </c>
      <c r="IR19" s="2212">
        <v>30384.17</v>
      </c>
      <c r="IS19" s="2212">
        <v>17337.96</v>
      </c>
      <c r="IT19" s="2212">
        <v>17169.310000000001</v>
      </c>
      <c r="IU19" s="2911">
        <v>17696.23</v>
      </c>
      <c r="IV19" s="2911">
        <v>19414.52</v>
      </c>
      <c r="IW19" s="2911">
        <v>20411.919999999998</v>
      </c>
      <c r="IX19" s="2911">
        <v>21911.919999999998</v>
      </c>
      <c r="IY19" s="2207"/>
      <c r="IZ19" s="2215">
        <f t="shared" si="6"/>
        <v>10</v>
      </c>
    </row>
    <row r="20" spans="1:260">
      <c r="A20" s="2214">
        <v>11</v>
      </c>
      <c r="B20" s="2212">
        <v>57511.34</v>
      </c>
      <c r="C20" s="2927">
        <v>50454.77</v>
      </c>
      <c r="D20" s="2927">
        <v>45868.78</v>
      </c>
      <c r="E20" s="2212">
        <v>46929.33</v>
      </c>
      <c r="F20" s="2927">
        <v>47009.1</v>
      </c>
      <c r="G20" s="2212">
        <v>47035.37</v>
      </c>
      <c r="H20" s="2927">
        <v>45373</v>
      </c>
      <c r="I20" s="2212">
        <v>39835.53</v>
      </c>
      <c r="J20" s="2212">
        <v>43855.93</v>
      </c>
      <c r="K20" s="2212">
        <v>41373.49</v>
      </c>
      <c r="L20" s="2927">
        <v>38580.71</v>
      </c>
      <c r="M20" s="2212">
        <v>38036.81</v>
      </c>
      <c r="N20" s="2927">
        <v>34961.449999999997</v>
      </c>
      <c r="O20" s="2212">
        <v>33983.26</v>
      </c>
      <c r="P20" s="2927">
        <v>31342.23</v>
      </c>
      <c r="Q20" s="2927">
        <v>26870.25</v>
      </c>
      <c r="R20" s="2212">
        <v>30342.23</v>
      </c>
      <c r="S20" s="2212">
        <v>30342.23</v>
      </c>
      <c r="T20" s="2212">
        <v>29462.15</v>
      </c>
      <c r="U20" s="2212">
        <v>29462.15</v>
      </c>
      <c r="V20" s="2212">
        <v>29462.15</v>
      </c>
      <c r="W20" s="2212">
        <v>29462.15</v>
      </c>
      <c r="X20" s="2212">
        <v>27169.19</v>
      </c>
      <c r="Y20" s="2927">
        <v>31074.06</v>
      </c>
      <c r="Z20" s="2923">
        <v>30262</v>
      </c>
      <c r="AA20" s="2930">
        <v>30262</v>
      </c>
      <c r="AB20" s="2927">
        <v>30074.06</v>
      </c>
      <c r="AC20" s="2212">
        <v>26673.42</v>
      </c>
      <c r="AD20" s="2923">
        <v>27673.42</v>
      </c>
      <c r="AE20" s="2927">
        <v>29179.599999999999</v>
      </c>
      <c r="AF20" s="2927">
        <v>26852.87</v>
      </c>
      <c r="AG20" s="2927">
        <v>26852.87</v>
      </c>
      <c r="AH20" s="2927">
        <v>28582.48</v>
      </c>
      <c r="AI20" s="2927">
        <v>26305.01</v>
      </c>
      <c r="AJ20" s="2927">
        <v>24242.61</v>
      </c>
      <c r="AK20" s="2927">
        <v>20311.009999999998</v>
      </c>
      <c r="AL20" s="2927">
        <v>19053.21</v>
      </c>
      <c r="AM20" s="2927">
        <v>17980.78</v>
      </c>
      <c r="AN20" s="2212">
        <v>19311.009999999998</v>
      </c>
      <c r="AO20" s="2212">
        <v>17873.21</v>
      </c>
      <c r="AP20" s="2212">
        <v>16980.78</v>
      </c>
      <c r="AQ20" s="2923">
        <v>25563</v>
      </c>
      <c r="AR20" s="2923">
        <v>23863</v>
      </c>
      <c r="AS20" s="2927">
        <v>21947.02</v>
      </c>
      <c r="AT20" s="2927">
        <v>21488.46</v>
      </c>
      <c r="AU20" s="2928">
        <v>20335.8</v>
      </c>
      <c r="AV20" s="2212">
        <v>17609.61</v>
      </c>
      <c r="AW20" s="2212">
        <v>16898.37</v>
      </c>
      <c r="AX20" s="2212">
        <v>19707.57</v>
      </c>
      <c r="AY20" s="2212">
        <v>19608.419999999998</v>
      </c>
      <c r="AZ20" s="2212">
        <v>19945.55</v>
      </c>
      <c r="BA20" s="2212">
        <v>18393.73</v>
      </c>
      <c r="BB20" s="2212">
        <v>19608.419999999998</v>
      </c>
      <c r="BC20" s="2212">
        <v>19610.099999999999</v>
      </c>
      <c r="BD20" s="2212">
        <v>20352.099999999999</v>
      </c>
      <c r="BE20" s="2212">
        <v>20798.37</v>
      </c>
      <c r="BF20" s="2212">
        <v>20277.75</v>
      </c>
      <c r="BG20" s="2212">
        <v>17073.77</v>
      </c>
      <c r="BH20" s="2212">
        <v>24100</v>
      </c>
      <c r="BI20" s="2212">
        <v>24293.58</v>
      </c>
      <c r="BJ20" s="2212">
        <v>13842.52</v>
      </c>
      <c r="BK20" s="2212">
        <v>13842.52</v>
      </c>
      <c r="BL20" s="2212">
        <v>29200</v>
      </c>
      <c r="BM20" s="2212">
        <v>28136.03</v>
      </c>
      <c r="BN20" s="2212">
        <v>29152.32</v>
      </c>
      <c r="BO20" s="2212">
        <v>27427.32</v>
      </c>
      <c r="BP20" s="2212">
        <v>35264.730000000003</v>
      </c>
      <c r="BQ20" s="2212">
        <v>21814.69</v>
      </c>
      <c r="BR20" s="2212">
        <v>37961.89</v>
      </c>
      <c r="BS20" s="2212">
        <v>32709.11</v>
      </c>
      <c r="BT20" s="2212">
        <v>26750</v>
      </c>
      <c r="BU20" s="2212">
        <v>31160.26</v>
      </c>
      <c r="BV20" s="2212">
        <v>40343.730000000003</v>
      </c>
      <c r="BW20" s="2212">
        <v>42938.55</v>
      </c>
      <c r="BX20" s="2212">
        <v>30603.37</v>
      </c>
      <c r="BY20" s="2212">
        <v>16913.52</v>
      </c>
      <c r="BZ20" s="2212">
        <v>45981.18</v>
      </c>
      <c r="CA20" s="2212">
        <v>17729.46</v>
      </c>
      <c r="CB20" s="2212">
        <v>17872.669999999998</v>
      </c>
      <c r="CC20" s="2212">
        <v>17506.63</v>
      </c>
      <c r="CD20" s="2212">
        <v>26537.09</v>
      </c>
      <c r="CE20" s="2212">
        <v>26874.19</v>
      </c>
      <c r="CF20" s="2212">
        <v>34953.050000000003</v>
      </c>
      <c r="CG20" s="2212">
        <v>24690.2</v>
      </c>
      <c r="CH20" s="2927">
        <v>26334.43</v>
      </c>
      <c r="CI20" s="2927">
        <v>21311.01</v>
      </c>
      <c r="CJ20" s="2212">
        <v>17774</v>
      </c>
      <c r="CK20" s="2212">
        <v>16782.419999999998</v>
      </c>
      <c r="CL20" s="2212">
        <v>18852.75</v>
      </c>
      <c r="CM20" s="2212">
        <v>17100</v>
      </c>
      <c r="CN20" s="2212">
        <v>21021.45</v>
      </c>
      <c r="CO20" s="2212">
        <v>15220.72</v>
      </c>
      <c r="CP20" s="2212">
        <v>15350</v>
      </c>
      <c r="CQ20" s="2212">
        <v>19273.740000000002</v>
      </c>
      <c r="CR20" s="2212">
        <v>18025.45</v>
      </c>
      <c r="CS20" s="2212">
        <v>17697.099999999999</v>
      </c>
      <c r="CT20" s="2212">
        <v>14406.38</v>
      </c>
      <c r="CU20" s="2212">
        <v>18393.73</v>
      </c>
      <c r="CV20" s="2212">
        <v>15964.41</v>
      </c>
      <c r="CW20" s="2212">
        <v>16758.63</v>
      </c>
      <c r="CX20" s="2212">
        <v>21950</v>
      </c>
      <c r="CY20" s="2212">
        <v>13907.79</v>
      </c>
      <c r="CZ20" s="2212">
        <v>16500</v>
      </c>
      <c r="DA20" s="2212">
        <v>23302.05</v>
      </c>
      <c r="DB20" s="2212">
        <v>22216.99</v>
      </c>
      <c r="DC20" s="2212">
        <v>17103.45</v>
      </c>
      <c r="DD20" s="2212">
        <v>15296.14</v>
      </c>
      <c r="DE20" s="2212">
        <v>21095.78</v>
      </c>
      <c r="DF20" s="2212">
        <v>17103.52</v>
      </c>
      <c r="DG20" s="2212">
        <v>21839.46</v>
      </c>
      <c r="DH20" s="2212">
        <v>15964.41</v>
      </c>
      <c r="DI20" s="2212">
        <v>27640.17</v>
      </c>
      <c r="DJ20" s="2212">
        <v>16245.25</v>
      </c>
      <c r="DK20" s="2212">
        <v>20947.060000000001</v>
      </c>
      <c r="DL20" s="2212">
        <v>28842.46</v>
      </c>
      <c r="DM20" s="2212">
        <v>32622.86</v>
      </c>
      <c r="DN20" s="2212">
        <v>16313.04</v>
      </c>
      <c r="DO20" s="2212">
        <v>17093.66</v>
      </c>
      <c r="DP20" s="2212">
        <v>15205.16</v>
      </c>
      <c r="DQ20" s="2212">
        <v>35926.370000000003</v>
      </c>
      <c r="DR20" s="2212">
        <v>19434.89</v>
      </c>
      <c r="DS20" s="2212">
        <v>17534.96</v>
      </c>
      <c r="DT20" s="2212">
        <v>22834.98</v>
      </c>
      <c r="DU20" s="2212">
        <v>22508.81</v>
      </c>
      <c r="DV20" s="2212">
        <v>30590.12</v>
      </c>
      <c r="DW20" s="2212">
        <v>16913.509999999998</v>
      </c>
      <c r="DX20" s="2212">
        <v>18025.39</v>
      </c>
      <c r="DY20" s="2212">
        <v>33227.519999999997</v>
      </c>
      <c r="DZ20" s="2212">
        <v>32945.07</v>
      </c>
      <c r="EA20" s="2212">
        <v>24300</v>
      </c>
      <c r="EB20" s="2212">
        <v>16700.400000000001</v>
      </c>
      <c r="EC20" s="2212">
        <v>17146.400000000001</v>
      </c>
      <c r="ED20" s="2212">
        <v>22508.81</v>
      </c>
      <c r="EE20" s="2212">
        <v>26151.41</v>
      </c>
      <c r="EF20" s="2212">
        <v>45493.68</v>
      </c>
      <c r="EG20" s="2212">
        <v>38728.69</v>
      </c>
      <c r="EH20" s="2212">
        <v>45358.99</v>
      </c>
      <c r="EI20" s="2212">
        <v>23450.81</v>
      </c>
      <c r="EJ20" s="2212">
        <v>27427.18</v>
      </c>
      <c r="EK20" s="2212">
        <v>20300</v>
      </c>
      <c r="EL20" s="2212">
        <v>27067.78</v>
      </c>
      <c r="EM20" s="2212">
        <v>28136.03</v>
      </c>
      <c r="EN20" s="2212">
        <v>15374.12</v>
      </c>
      <c r="EO20" s="2212">
        <v>16592.64</v>
      </c>
      <c r="EP20" s="2212">
        <v>31230.59</v>
      </c>
      <c r="EQ20" s="2212">
        <v>39729.050000000003</v>
      </c>
      <c r="ER20" s="2212">
        <v>22550</v>
      </c>
      <c r="ES20" s="2212">
        <v>18179.650000000001</v>
      </c>
      <c r="ET20" s="2212">
        <v>25275.25</v>
      </c>
      <c r="EU20" s="2212">
        <v>35077</v>
      </c>
      <c r="EV20" s="2212">
        <v>23879.63</v>
      </c>
      <c r="EW20" s="2212">
        <v>48419.88</v>
      </c>
      <c r="EX20" s="2212">
        <v>30401.53</v>
      </c>
      <c r="EY20" s="2212">
        <v>18773.43</v>
      </c>
      <c r="EZ20" s="2212">
        <v>18773.41</v>
      </c>
      <c r="FA20" s="2212">
        <v>15287.36</v>
      </c>
      <c r="FB20" s="2212">
        <v>33323.24</v>
      </c>
      <c r="FC20" s="2212">
        <v>41013.03</v>
      </c>
      <c r="FD20" s="2212">
        <v>35126.550000000003</v>
      </c>
      <c r="FE20" s="2212">
        <v>25681.77</v>
      </c>
      <c r="FF20" s="2212">
        <v>36911.4</v>
      </c>
      <c r="FG20" s="2212">
        <v>27067.78</v>
      </c>
      <c r="FH20" s="2212">
        <v>14350.49</v>
      </c>
      <c r="FI20" s="2212">
        <v>20352.099999999999</v>
      </c>
      <c r="FJ20" s="2212">
        <v>28557.38</v>
      </c>
      <c r="FK20" s="2212">
        <v>21377.15</v>
      </c>
      <c r="FL20" s="2212">
        <v>19139.490000000002</v>
      </c>
      <c r="FM20" s="2212">
        <v>16758.63</v>
      </c>
      <c r="FN20" s="2212">
        <v>16648.669999999998</v>
      </c>
      <c r="FO20" s="2212">
        <v>23425.97</v>
      </c>
      <c r="FP20" s="2212">
        <v>25329.25</v>
      </c>
      <c r="FQ20" s="2212">
        <v>19907.71</v>
      </c>
      <c r="FR20" s="2212">
        <v>18221.580000000002</v>
      </c>
      <c r="FS20" s="2212">
        <v>36941.83</v>
      </c>
      <c r="FT20" s="2212">
        <v>16639.27</v>
      </c>
      <c r="FU20" s="2212">
        <v>21244.52</v>
      </c>
      <c r="FV20" s="2212">
        <v>30401.57</v>
      </c>
      <c r="FW20" s="2212">
        <v>29062.06</v>
      </c>
      <c r="FX20" s="2212">
        <v>18367.509999999998</v>
      </c>
      <c r="FY20" s="2212">
        <v>25533.119999999999</v>
      </c>
      <c r="FZ20" s="2212">
        <v>41973.64</v>
      </c>
      <c r="GA20" s="2212">
        <v>18282.95</v>
      </c>
      <c r="GB20" s="2212">
        <v>14987.87</v>
      </c>
      <c r="GC20" s="2212">
        <v>17506.650000000001</v>
      </c>
      <c r="GD20" s="2212">
        <v>44447.360000000001</v>
      </c>
      <c r="GE20" s="2212">
        <v>15523.56</v>
      </c>
      <c r="GF20" s="2212">
        <v>38034.93</v>
      </c>
      <c r="GG20" s="2212">
        <v>43504.72</v>
      </c>
      <c r="GH20" s="2212">
        <v>34085.449999999997</v>
      </c>
      <c r="GI20" s="2212">
        <v>25582.63</v>
      </c>
      <c r="GJ20" s="2212">
        <v>20681.099999999999</v>
      </c>
      <c r="GK20" s="2212">
        <v>33435.29</v>
      </c>
      <c r="GL20" s="2212">
        <v>27411.54</v>
      </c>
      <c r="GM20" s="2212">
        <v>48963.87</v>
      </c>
      <c r="GN20" s="2212">
        <v>21244.52</v>
      </c>
      <c r="GO20" s="2212">
        <v>17922.78</v>
      </c>
      <c r="GP20" s="2212">
        <v>21380.799999999999</v>
      </c>
      <c r="GQ20" s="2212">
        <v>40460.54</v>
      </c>
      <c r="GR20" s="2212">
        <v>17283.82</v>
      </c>
      <c r="GS20" s="2212">
        <v>16757.939999999999</v>
      </c>
      <c r="GT20" s="2212">
        <v>29788.39</v>
      </c>
      <c r="GU20" s="2212">
        <v>33130.51</v>
      </c>
      <c r="GV20" s="2212">
        <v>51155.34</v>
      </c>
      <c r="GW20" s="2212">
        <v>14646.15</v>
      </c>
      <c r="GX20" s="2212">
        <v>17427.13</v>
      </c>
      <c r="GY20" s="2212">
        <v>34234.129999999997</v>
      </c>
      <c r="GZ20" s="2212">
        <v>18962.32</v>
      </c>
      <c r="HA20" s="2212">
        <v>55745.96</v>
      </c>
      <c r="HB20" s="2212">
        <v>16768.14</v>
      </c>
      <c r="HC20" s="2212">
        <v>28544.83</v>
      </c>
      <c r="HD20" s="2212">
        <v>22186.51</v>
      </c>
      <c r="HE20" s="2212">
        <v>30367.02</v>
      </c>
      <c r="HF20" s="2212">
        <v>17700</v>
      </c>
      <c r="HG20" s="2212">
        <v>14243.62</v>
      </c>
      <c r="HH20" s="2212">
        <v>19253.560000000001</v>
      </c>
      <c r="HI20" s="2212">
        <v>21526.54</v>
      </c>
      <c r="HJ20" s="2212">
        <v>16715.16</v>
      </c>
      <c r="HK20" s="2212">
        <v>16151.46</v>
      </c>
      <c r="HL20" s="2212">
        <v>41497.39</v>
      </c>
      <c r="HM20" s="2212">
        <v>39315.919999999998</v>
      </c>
      <c r="HN20" s="2212">
        <v>17649.93</v>
      </c>
      <c r="HO20" s="2212">
        <v>30871.62</v>
      </c>
      <c r="HP20" s="2212">
        <v>19253.560000000001</v>
      </c>
      <c r="HQ20" s="2212">
        <v>49326.89</v>
      </c>
      <c r="HR20" s="2212">
        <v>42652.82</v>
      </c>
      <c r="HS20" s="2212">
        <v>17506.61</v>
      </c>
      <c r="HT20" s="2212">
        <v>21377.15</v>
      </c>
      <c r="HU20" s="2212">
        <v>52361.27</v>
      </c>
      <c r="HV20" s="2212">
        <v>19871.310000000001</v>
      </c>
      <c r="HW20" s="2212">
        <v>17972.93</v>
      </c>
      <c r="HX20" s="2212">
        <v>26276.81</v>
      </c>
      <c r="HY20" s="2212">
        <v>51675.14</v>
      </c>
      <c r="HZ20" s="2212">
        <v>46050.62</v>
      </c>
      <c r="IA20" s="2212">
        <v>16714.97</v>
      </c>
      <c r="IB20" s="2212">
        <v>18540.830000000002</v>
      </c>
      <c r="IC20" s="2212">
        <v>28988.57</v>
      </c>
      <c r="ID20" s="2212">
        <v>14350.99</v>
      </c>
      <c r="IE20" s="2212">
        <v>55281.01</v>
      </c>
      <c r="IF20" s="2212">
        <v>51940.78</v>
      </c>
      <c r="IG20" s="2212">
        <v>45358.99</v>
      </c>
      <c r="IH20" s="2212">
        <v>30234.02</v>
      </c>
      <c r="II20" s="2212">
        <v>17293.43</v>
      </c>
      <c r="IJ20" s="2212">
        <v>21778.85</v>
      </c>
      <c r="IK20" s="2212">
        <v>19907.150000000001</v>
      </c>
      <c r="IL20" s="2212">
        <v>19699.2</v>
      </c>
      <c r="IM20" s="2212">
        <v>19978.59</v>
      </c>
      <c r="IN20" s="2212">
        <v>50052.57</v>
      </c>
      <c r="IO20" s="2212">
        <v>39050.76</v>
      </c>
      <c r="IP20" s="2212">
        <v>16913.52</v>
      </c>
      <c r="IQ20" s="2212">
        <v>29152.32</v>
      </c>
      <c r="IR20" s="2212">
        <v>30384.17</v>
      </c>
      <c r="IS20" s="2212">
        <v>17649.86</v>
      </c>
      <c r="IT20" s="2212">
        <v>17535.25</v>
      </c>
      <c r="IU20" s="2911">
        <v>18319.84</v>
      </c>
      <c r="IV20" s="2911">
        <v>19769.650000000001</v>
      </c>
      <c r="IW20" s="2911">
        <v>21035.53</v>
      </c>
      <c r="IX20" s="2911">
        <v>22535.53</v>
      </c>
      <c r="IY20" s="2207"/>
      <c r="IZ20" s="2215">
        <f t="shared" si="6"/>
        <v>11</v>
      </c>
    </row>
    <row r="21" spans="1:260">
      <c r="A21" s="2214">
        <v>12</v>
      </c>
      <c r="B21" s="2212">
        <v>58949.13</v>
      </c>
      <c r="C21" s="2927">
        <v>52066.080000000002</v>
      </c>
      <c r="D21" s="2927">
        <v>47356.15</v>
      </c>
      <c r="E21" s="2212">
        <v>47915.46</v>
      </c>
      <c r="F21" s="2927">
        <v>47975.89</v>
      </c>
      <c r="G21" s="2212">
        <v>48033.89</v>
      </c>
      <c r="H21" s="2927">
        <v>46315</v>
      </c>
      <c r="I21" s="2212">
        <v>40781.5</v>
      </c>
      <c r="J21" s="2212">
        <v>44880.73</v>
      </c>
      <c r="K21" s="2212">
        <v>42340.28</v>
      </c>
      <c r="L21" s="2927">
        <v>39473.129999999997</v>
      </c>
      <c r="M21" s="2212">
        <v>38869.74</v>
      </c>
      <c r="N21" s="2927">
        <v>35705.14</v>
      </c>
      <c r="O21" s="2212">
        <v>34649.599999999999</v>
      </c>
      <c r="P21" s="2927">
        <v>31937.18</v>
      </c>
      <c r="Q21" s="2927">
        <v>27306.55</v>
      </c>
      <c r="R21" s="2212">
        <v>30937.18</v>
      </c>
      <c r="S21" s="2212">
        <v>30937.18</v>
      </c>
      <c r="T21" s="2212">
        <v>30044.7</v>
      </c>
      <c r="U21" s="2212">
        <v>30044.7</v>
      </c>
      <c r="V21" s="2212">
        <v>30044.7</v>
      </c>
      <c r="W21" s="2212">
        <v>30044.7</v>
      </c>
      <c r="X21" s="2212">
        <v>27788.93</v>
      </c>
      <c r="Y21" s="2927">
        <v>31776.6</v>
      </c>
      <c r="Z21" s="2923">
        <v>30532</v>
      </c>
      <c r="AA21" s="2930">
        <v>30532</v>
      </c>
      <c r="AB21" s="2927">
        <v>30776.6</v>
      </c>
      <c r="AC21" s="2212">
        <v>27317.95</v>
      </c>
      <c r="AD21" s="2923">
        <v>28317.95</v>
      </c>
      <c r="AE21" s="2927">
        <v>29825.39</v>
      </c>
      <c r="AF21" s="2927">
        <v>27445.34</v>
      </c>
      <c r="AG21" s="2927">
        <v>27445.34</v>
      </c>
      <c r="AH21" s="2927">
        <v>29198.55</v>
      </c>
      <c r="AI21" s="2927">
        <v>26870.21</v>
      </c>
      <c r="AJ21" s="2927">
        <v>24778.07</v>
      </c>
      <c r="AK21" s="2927">
        <v>20658.07</v>
      </c>
      <c r="AL21" s="2927">
        <v>19325.900000000001</v>
      </c>
      <c r="AM21" s="2927">
        <v>18228.68</v>
      </c>
      <c r="AN21" s="2212">
        <v>19658.07</v>
      </c>
      <c r="AO21" s="2212">
        <v>18145.900000000001</v>
      </c>
      <c r="AP21" s="2212">
        <v>17228.68</v>
      </c>
      <c r="AQ21" s="2923">
        <v>25763</v>
      </c>
      <c r="AR21" s="2923">
        <v>24063</v>
      </c>
      <c r="AS21" s="2927">
        <v>22368.44</v>
      </c>
      <c r="AT21" s="2927">
        <v>21872.7</v>
      </c>
      <c r="AU21" s="2928">
        <v>20682.86</v>
      </c>
      <c r="AV21" s="2212">
        <v>17609.61</v>
      </c>
      <c r="AW21" s="2212">
        <v>16898.37</v>
      </c>
      <c r="AX21" s="2212">
        <v>20277.73</v>
      </c>
      <c r="AY21" s="2212">
        <v>19608.419999999998</v>
      </c>
      <c r="AZ21" s="2212">
        <v>20515.71</v>
      </c>
      <c r="BA21" s="2212">
        <v>20426.46</v>
      </c>
      <c r="BB21" s="2212">
        <v>19608.419999999998</v>
      </c>
      <c r="BC21" s="2212">
        <v>19610.099999999999</v>
      </c>
      <c r="BD21" s="2212">
        <v>20352.099999999999</v>
      </c>
      <c r="BE21" s="2212">
        <v>21591.63</v>
      </c>
      <c r="BF21" s="2212">
        <v>20277.75</v>
      </c>
      <c r="BG21" s="2212">
        <v>17327.87</v>
      </c>
      <c r="BH21" s="2212">
        <v>24100</v>
      </c>
      <c r="BI21" s="2212">
        <v>25235.58</v>
      </c>
      <c r="BJ21" s="2212">
        <v>13842.52</v>
      </c>
      <c r="BK21" s="2212">
        <v>13842.52</v>
      </c>
      <c r="BL21" s="2212">
        <v>29200</v>
      </c>
      <c r="BM21" s="2212">
        <v>28507.88</v>
      </c>
      <c r="BN21" s="2212">
        <v>29152.32</v>
      </c>
      <c r="BO21" s="2212">
        <v>28443.07</v>
      </c>
      <c r="BP21" s="2212">
        <v>35264.730000000003</v>
      </c>
      <c r="BQ21" s="2212">
        <v>21814.69</v>
      </c>
      <c r="BR21" s="2212">
        <v>37961.89</v>
      </c>
      <c r="BS21" s="2212">
        <v>32709.11</v>
      </c>
      <c r="BT21" s="2212">
        <v>26750</v>
      </c>
      <c r="BU21" s="2212">
        <v>31160.26</v>
      </c>
      <c r="BV21" s="2212">
        <v>40343.730000000003</v>
      </c>
      <c r="BW21" s="2212">
        <v>42938.55</v>
      </c>
      <c r="BX21" s="2212">
        <v>30603.37</v>
      </c>
      <c r="BY21" s="2212">
        <v>17478.97</v>
      </c>
      <c r="BZ21" s="2212">
        <v>46529.77</v>
      </c>
      <c r="CA21" s="2212">
        <v>18620.72</v>
      </c>
      <c r="CB21" s="2212">
        <v>18763.93</v>
      </c>
      <c r="CC21" s="2212">
        <v>18397.89</v>
      </c>
      <c r="CD21" s="2212">
        <v>26908.94</v>
      </c>
      <c r="CE21" s="2212">
        <v>27869.46</v>
      </c>
      <c r="CF21" s="2212">
        <v>34953.050000000003</v>
      </c>
      <c r="CG21" s="2212">
        <v>24690.2</v>
      </c>
      <c r="CH21" s="2927">
        <v>26918.080000000002</v>
      </c>
      <c r="CI21" s="2927">
        <v>21658.07</v>
      </c>
      <c r="CJ21" s="2212">
        <v>17774</v>
      </c>
      <c r="CK21" s="2212">
        <v>16782.419999999998</v>
      </c>
      <c r="CL21" s="2212">
        <v>18852.75</v>
      </c>
      <c r="CM21" s="2212">
        <v>17100</v>
      </c>
      <c r="CN21" s="2212">
        <v>22013.03</v>
      </c>
      <c r="CO21" s="2212">
        <v>15220.72</v>
      </c>
      <c r="CP21" s="2212">
        <v>15350</v>
      </c>
      <c r="CQ21" s="2212">
        <v>19744.740000000002</v>
      </c>
      <c r="CR21" s="2212">
        <v>19238.599999999999</v>
      </c>
      <c r="CS21" s="2212">
        <v>18349.46</v>
      </c>
      <c r="CT21" s="2212">
        <v>14406.38</v>
      </c>
      <c r="CU21" s="2212">
        <v>18393.73</v>
      </c>
      <c r="CV21" s="2212">
        <v>15964.41</v>
      </c>
      <c r="CW21" s="2212">
        <v>17649.89</v>
      </c>
      <c r="CX21" s="2212">
        <v>21950</v>
      </c>
      <c r="CY21" s="2212">
        <v>13907.79</v>
      </c>
      <c r="CZ21" s="2212">
        <v>16500</v>
      </c>
      <c r="DA21" s="2212">
        <v>23302.05</v>
      </c>
      <c r="DB21" s="2212">
        <v>22216.99</v>
      </c>
      <c r="DC21" s="2212">
        <v>18013.03</v>
      </c>
      <c r="DD21" s="2212">
        <v>15853.06</v>
      </c>
      <c r="DE21" s="2212">
        <v>21095.78</v>
      </c>
      <c r="DF21" s="2212">
        <v>18013.12</v>
      </c>
      <c r="DG21" s="2212">
        <v>21839.46</v>
      </c>
      <c r="DH21" s="2212">
        <v>16955.990000000002</v>
      </c>
      <c r="DI21" s="2212">
        <v>27640.17</v>
      </c>
      <c r="DJ21" s="2212">
        <v>16814.439999999999</v>
      </c>
      <c r="DK21" s="2212">
        <v>21219.75</v>
      </c>
      <c r="DL21" s="2212">
        <v>29976.880000000001</v>
      </c>
      <c r="DM21" s="2212">
        <v>33292.18</v>
      </c>
      <c r="DN21" s="2212">
        <v>16981.490000000002</v>
      </c>
      <c r="DO21" s="2212">
        <v>18002.740000000002</v>
      </c>
      <c r="DP21" s="2212">
        <v>15369.12</v>
      </c>
      <c r="DQ21" s="2212">
        <v>36364.15</v>
      </c>
      <c r="DR21" s="2212">
        <v>19434.89</v>
      </c>
      <c r="DS21" s="2212">
        <v>18257.87</v>
      </c>
      <c r="DT21" s="2212">
        <v>22834.98</v>
      </c>
      <c r="DU21" s="2212">
        <v>23500.39</v>
      </c>
      <c r="DV21" s="2212">
        <v>30590.12</v>
      </c>
      <c r="DW21" s="2212">
        <v>17478.96</v>
      </c>
      <c r="DX21" s="2212">
        <v>19238.53</v>
      </c>
      <c r="DY21" s="2212">
        <v>34484.79</v>
      </c>
      <c r="DZ21" s="2212">
        <v>32945.07</v>
      </c>
      <c r="EA21" s="2212">
        <v>24300</v>
      </c>
      <c r="EB21" s="2212">
        <v>17369.37</v>
      </c>
      <c r="EC21" s="2212">
        <v>18038.32</v>
      </c>
      <c r="ED21" s="2212">
        <v>23500.39</v>
      </c>
      <c r="EE21" s="2212">
        <v>26151.41</v>
      </c>
      <c r="EF21" s="2212">
        <v>45493.68</v>
      </c>
      <c r="EG21" s="2212">
        <v>39180.379999999997</v>
      </c>
      <c r="EH21" s="2212">
        <v>45358.99</v>
      </c>
      <c r="EI21" s="2212">
        <v>23773.08</v>
      </c>
      <c r="EJ21" s="2212">
        <v>28442.93</v>
      </c>
      <c r="EK21" s="2212">
        <v>20300</v>
      </c>
      <c r="EL21" s="2212">
        <v>28182.51</v>
      </c>
      <c r="EM21" s="2212">
        <v>28507.88</v>
      </c>
      <c r="EN21" s="2212">
        <v>15920.2</v>
      </c>
      <c r="EO21" s="2212">
        <v>17475.07</v>
      </c>
      <c r="EP21" s="2212">
        <v>31603.8</v>
      </c>
      <c r="EQ21" s="2212">
        <v>39729.050000000003</v>
      </c>
      <c r="ER21" s="2212">
        <v>22550</v>
      </c>
      <c r="ES21" s="2212">
        <v>18947.98</v>
      </c>
      <c r="ET21" s="2212">
        <v>26380.61</v>
      </c>
      <c r="EU21" s="2212">
        <v>35077</v>
      </c>
      <c r="EV21" s="2212">
        <v>24243.439999999999</v>
      </c>
      <c r="EW21" s="2212">
        <v>48419.88</v>
      </c>
      <c r="EX21" s="2212">
        <v>31653.05</v>
      </c>
      <c r="EY21" s="2212">
        <v>19610.13</v>
      </c>
      <c r="EZ21" s="2212">
        <v>19986.55</v>
      </c>
      <c r="FA21" s="2212">
        <v>15843.96</v>
      </c>
      <c r="FB21" s="2212">
        <v>33727.24</v>
      </c>
      <c r="FC21" s="2212">
        <v>41515.64</v>
      </c>
      <c r="FD21" s="2212">
        <v>36517.760000000002</v>
      </c>
      <c r="FE21" s="2212">
        <v>25681.77</v>
      </c>
      <c r="FF21" s="2212">
        <v>37109.72</v>
      </c>
      <c r="FG21" s="2212">
        <v>28182.51</v>
      </c>
      <c r="FH21" s="2212">
        <v>14784.93</v>
      </c>
      <c r="FI21" s="2212">
        <v>20352.099999999999</v>
      </c>
      <c r="FJ21" s="2212">
        <v>28557.38</v>
      </c>
      <c r="FK21" s="2212">
        <v>21677.9</v>
      </c>
      <c r="FL21" s="2212">
        <v>20352.63</v>
      </c>
      <c r="FM21" s="2212">
        <v>16758.63</v>
      </c>
      <c r="FN21" s="2212">
        <v>17330.88</v>
      </c>
      <c r="FO21" s="2212">
        <v>23425.97</v>
      </c>
      <c r="FP21" s="2212">
        <v>26071.99</v>
      </c>
      <c r="FQ21" s="2212">
        <v>20271.52</v>
      </c>
      <c r="FR21" s="2212">
        <v>18985.240000000002</v>
      </c>
      <c r="FS21" s="2212">
        <v>38279.519999999997</v>
      </c>
      <c r="FT21" s="2212">
        <v>17321.080000000002</v>
      </c>
      <c r="FU21" s="2212">
        <v>23847.41</v>
      </c>
      <c r="FV21" s="2212">
        <v>31653.11</v>
      </c>
      <c r="FW21" s="2212">
        <v>29432.42</v>
      </c>
      <c r="FX21" s="2212">
        <v>19006.63</v>
      </c>
      <c r="FY21" s="2212">
        <v>25855.39</v>
      </c>
      <c r="FZ21" s="2212">
        <v>41973.64</v>
      </c>
      <c r="GA21" s="2212">
        <v>19005.86</v>
      </c>
      <c r="GB21" s="2212">
        <v>15533.56</v>
      </c>
      <c r="GC21" s="2212">
        <v>18397.91</v>
      </c>
      <c r="GD21" s="2212">
        <v>44447.360000000001</v>
      </c>
      <c r="GE21" s="2212">
        <v>16080.48</v>
      </c>
      <c r="GF21" s="2212">
        <v>38494.75</v>
      </c>
      <c r="GG21" s="2212">
        <v>44054.68</v>
      </c>
      <c r="GH21" s="2212">
        <v>34457.300000000003</v>
      </c>
      <c r="GI21" s="2212">
        <v>25582.63</v>
      </c>
      <c r="GJ21" s="2212">
        <v>21266.98</v>
      </c>
      <c r="GK21" s="2212">
        <v>34374.43</v>
      </c>
      <c r="GL21" s="2212">
        <v>28426.69</v>
      </c>
      <c r="GM21" s="2212">
        <v>49574.559999999998</v>
      </c>
      <c r="GN21" s="2212">
        <v>21244.52</v>
      </c>
      <c r="GO21" s="2212">
        <v>18331.810000000001</v>
      </c>
      <c r="GP21" s="2212">
        <v>22102.17</v>
      </c>
      <c r="GQ21" s="2212">
        <v>40941.26</v>
      </c>
      <c r="GR21" s="2212">
        <v>17952.259999999998</v>
      </c>
      <c r="GS21" s="2212">
        <v>17649.189999999999</v>
      </c>
      <c r="GT21" s="2212">
        <v>31014.67</v>
      </c>
      <c r="GU21" s="2212">
        <v>34040.93</v>
      </c>
      <c r="GV21" s="2212">
        <v>51155.34</v>
      </c>
      <c r="GW21" s="2212">
        <v>15089.51</v>
      </c>
      <c r="GX21" s="2212">
        <v>18095.580000000002</v>
      </c>
      <c r="GY21" s="2212">
        <v>35196.83</v>
      </c>
      <c r="GZ21" s="2212">
        <v>19627.349999999999</v>
      </c>
      <c r="HA21" s="2212">
        <v>56435.53</v>
      </c>
      <c r="HB21" s="2212">
        <v>17659.89</v>
      </c>
      <c r="HC21" s="2212">
        <v>28544.83</v>
      </c>
      <c r="HD21" s="2212">
        <v>22186.51</v>
      </c>
      <c r="HE21" s="2212">
        <v>30367.02</v>
      </c>
      <c r="HF21" s="2212">
        <v>17700</v>
      </c>
      <c r="HG21" s="2212">
        <v>14626.6</v>
      </c>
      <c r="HH21" s="2212">
        <v>19610.04</v>
      </c>
      <c r="HI21" s="2212">
        <v>21793.97</v>
      </c>
      <c r="HJ21" s="2212">
        <v>17398.45</v>
      </c>
      <c r="HK21" s="2212">
        <v>16813.29</v>
      </c>
      <c r="HL21" s="2212">
        <v>41497.39</v>
      </c>
      <c r="HM21" s="2212">
        <v>39315.919999999998</v>
      </c>
      <c r="HN21" s="2212">
        <v>18541.189999999999</v>
      </c>
      <c r="HO21" s="2212">
        <v>32123.11</v>
      </c>
      <c r="HP21" s="2212">
        <v>19610.04</v>
      </c>
      <c r="HQ21" s="2212">
        <v>50691.33</v>
      </c>
      <c r="HR21" s="2212">
        <v>43161.7</v>
      </c>
      <c r="HS21" s="2212">
        <v>18397.87</v>
      </c>
      <c r="HT21" s="2212">
        <v>21677.9</v>
      </c>
      <c r="HU21" s="2212">
        <v>52361.27</v>
      </c>
      <c r="HV21" s="2212">
        <v>20632.689999999999</v>
      </c>
      <c r="HW21" s="2212">
        <v>18637.96</v>
      </c>
      <c r="HX21" s="2212">
        <v>26574.29</v>
      </c>
      <c r="HY21" s="2212">
        <v>52317.34</v>
      </c>
      <c r="HZ21" s="2212">
        <v>46632.78</v>
      </c>
      <c r="IA21" s="2212">
        <v>17398.240000000002</v>
      </c>
      <c r="IB21" s="2212">
        <v>18897.310000000001</v>
      </c>
      <c r="IC21" s="2212">
        <v>29983.84</v>
      </c>
      <c r="ID21" s="2212">
        <v>14785.43</v>
      </c>
      <c r="IE21" s="2212">
        <v>55281.01</v>
      </c>
      <c r="IF21" s="2212">
        <v>53318.35</v>
      </c>
      <c r="IG21" s="2212">
        <v>45358.99</v>
      </c>
      <c r="IH21" s="2212">
        <v>31460.3</v>
      </c>
      <c r="II21" s="2212">
        <v>17961.87</v>
      </c>
      <c r="IJ21" s="2212">
        <v>22135.33</v>
      </c>
      <c r="IK21" s="2212">
        <v>20263.63</v>
      </c>
      <c r="IL21" s="2212">
        <v>20055.68</v>
      </c>
      <c r="IM21" s="2212">
        <v>20372.18</v>
      </c>
      <c r="IN21" s="2212">
        <v>51225.11</v>
      </c>
      <c r="IO21" s="2212">
        <v>40407.379999999997</v>
      </c>
      <c r="IP21" s="2212">
        <v>17478.97</v>
      </c>
      <c r="IQ21" s="2212">
        <v>29152.32</v>
      </c>
      <c r="IR21" s="2212">
        <v>31634.99</v>
      </c>
      <c r="IS21" s="2212">
        <v>18541.12</v>
      </c>
      <c r="IT21" s="2212">
        <v>18258.18</v>
      </c>
      <c r="IU21" s="2911">
        <v>18319.84</v>
      </c>
      <c r="IV21" s="2911">
        <v>19769.650000000001</v>
      </c>
      <c r="IW21" s="2911">
        <v>21035.53</v>
      </c>
      <c r="IX21" s="2911">
        <v>22535.53</v>
      </c>
      <c r="IY21" s="2207"/>
      <c r="IZ21" s="2215">
        <f t="shared" si="6"/>
        <v>12</v>
      </c>
    </row>
    <row r="22" spans="1:260">
      <c r="A22" s="2214">
        <v>13</v>
      </c>
      <c r="B22" s="2212">
        <v>58949.13</v>
      </c>
      <c r="C22" s="2927">
        <v>52066.080000000002</v>
      </c>
      <c r="D22" s="2927">
        <v>47356.15</v>
      </c>
      <c r="E22" s="2212">
        <v>48294.74</v>
      </c>
      <c r="F22" s="2927">
        <v>48347.74</v>
      </c>
      <c r="G22" s="2212">
        <v>48283.519999999997</v>
      </c>
      <c r="H22" s="2927">
        <v>46550.5</v>
      </c>
      <c r="I22" s="2212">
        <v>41228.21</v>
      </c>
      <c r="J22" s="2212">
        <v>45353.72</v>
      </c>
      <c r="K22" s="2212">
        <v>42786.49</v>
      </c>
      <c r="L22" s="2927">
        <v>39894.550000000003</v>
      </c>
      <c r="M22" s="2212">
        <v>39313.97</v>
      </c>
      <c r="N22" s="2927">
        <v>36101.769999999997</v>
      </c>
      <c r="O22" s="2212">
        <v>35315.94</v>
      </c>
      <c r="P22" s="2927">
        <v>32532.13</v>
      </c>
      <c r="Q22" s="2927">
        <v>27742.85</v>
      </c>
      <c r="R22" s="2212">
        <v>31532.13</v>
      </c>
      <c r="S22" s="2212">
        <v>31532.13</v>
      </c>
      <c r="T22" s="2212">
        <v>30627.25</v>
      </c>
      <c r="U22" s="2212">
        <v>30627.25</v>
      </c>
      <c r="V22" s="2212">
        <v>30627.25</v>
      </c>
      <c r="W22" s="2212">
        <v>30627.25</v>
      </c>
      <c r="X22" s="2212">
        <v>28408.67</v>
      </c>
      <c r="Y22" s="2927">
        <v>32479.14</v>
      </c>
      <c r="Z22" s="2923">
        <v>30802</v>
      </c>
      <c r="AA22" s="2930">
        <v>30802</v>
      </c>
      <c r="AB22" s="2927">
        <v>31479.14</v>
      </c>
      <c r="AC22" s="2212">
        <v>27962.48</v>
      </c>
      <c r="AD22" s="2923">
        <v>28962.48</v>
      </c>
      <c r="AE22" s="2927">
        <v>30471.18</v>
      </c>
      <c r="AF22" s="2927">
        <v>28037.81</v>
      </c>
      <c r="AG22" s="2927">
        <v>28037.81</v>
      </c>
      <c r="AH22" s="2927">
        <v>29814.62</v>
      </c>
      <c r="AI22" s="2927">
        <v>27435.41</v>
      </c>
      <c r="AJ22" s="2927">
        <v>25313.53</v>
      </c>
      <c r="AK22" s="2927">
        <v>21005.13</v>
      </c>
      <c r="AL22" s="2927">
        <v>19516.64</v>
      </c>
      <c r="AM22" s="2927">
        <v>18656.580000000002</v>
      </c>
      <c r="AN22" s="2212">
        <v>20005.13</v>
      </c>
      <c r="AO22" s="2212">
        <v>18418.59</v>
      </c>
      <c r="AP22" s="2212">
        <v>17476.580000000002</v>
      </c>
      <c r="AQ22" s="2923">
        <v>25963</v>
      </c>
      <c r="AR22" s="2923">
        <v>24263</v>
      </c>
      <c r="AS22" s="2927">
        <v>22789.86</v>
      </c>
      <c r="AT22" s="2927">
        <v>22256.94</v>
      </c>
      <c r="AU22" s="2928">
        <v>21029.919999999998</v>
      </c>
      <c r="AV22" s="2212">
        <v>18211.38</v>
      </c>
      <c r="AW22" s="2212">
        <v>17450.560000000001</v>
      </c>
      <c r="AX22" s="2212">
        <v>20515.71</v>
      </c>
      <c r="AY22" s="2212">
        <v>20228.16</v>
      </c>
      <c r="AZ22" s="2212">
        <v>20768.57</v>
      </c>
      <c r="BA22" s="2212">
        <v>20971.83</v>
      </c>
      <c r="BB22" s="2212">
        <v>20228.16</v>
      </c>
      <c r="BC22" s="2212">
        <v>20175.87</v>
      </c>
      <c r="BD22" s="2212">
        <v>20971.84</v>
      </c>
      <c r="BE22" s="2212">
        <v>21832.09</v>
      </c>
      <c r="BF22" s="2212">
        <v>20996.65</v>
      </c>
      <c r="BG22" s="2212">
        <v>17457.28</v>
      </c>
      <c r="BH22" s="2212">
        <v>24700</v>
      </c>
      <c r="BI22" s="2212">
        <v>25508.27</v>
      </c>
      <c r="BJ22" s="2212">
        <v>14037.19</v>
      </c>
      <c r="BK22" s="2212">
        <v>14037.19</v>
      </c>
      <c r="BL22" s="2212">
        <v>30150</v>
      </c>
      <c r="BM22" s="2212">
        <v>28879.73</v>
      </c>
      <c r="BN22" s="2212">
        <v>30143.9</v>
      </c>
      <c r="BO22" s="2212">
        <v>28443.07</v>
      </c>
      <c r="BP22" s="2212">
        <v>36396.49</v>
      </c>
      <c r="BQ22" s="2212">
        <v>22558.38</v>
      </c>
      <c r="BR22" s="2212">
        <v>39143.629999999997</v>
      </c>
      <c r="BS22" s="2212">
        <v>33754.11</v>
      </c>
      <c r="BT22" s="2212">
        <v>27750</v>
      </c>
      <c r="BU22" s="2212">
        <v>32201.42</v>
      </c>
      <c r="BV22" s="2212">
        <v>41628.019999999997</v>
      </c>
      <c r="BW22" s="2212">
        <v>44316.12</v>
      </c>
      <c r="BX22" s="2212">
        <v>31578.71</v>
      </c>
      <c r="BY22" s="2212">
        <v>17708.82</v>
      </c>
      <c r="BZ22" s="2212">
        <v>47078.36</v>
      </c>
      <c r="CA22" s="2212">
        <v>19244.62</v>
      </c>
      <c r="CB22" s="2212">
        <v>19387.830000000002</v>
      </c>
      <c r="CC22" s="2212">
        <v>19021.79</v>
      </c>
      <c r="CD22" s="2212">
        <v>27280.79</v>
      </c>
      <c r="CE22" s="2212">
        <v>27869.46</v>
      </c>
      <c r="CF22" s="2212">
        <v>35696.74</v>
      </c>
      <c r="CG22" s="2212">
        <v>25458.67</v>
      </c>
      <c r="CH22" s="2927">
        <v>27501.73</v>
      </c>
      <c r="CI22" s="2927">
        <v>22005.13</v>
      </c>
      <c r="CJ22" s="2212">
        <v>18368.95</v>
      </c>
      <c r="CK22" s="2212">
        <v>17327.79</v>
      </c>
      <c r="CL22" s="2212">
        <v>19552.71</v>
      </c>
      <c r="CM22" s="2212">
        <v>17700</v>
      </c>
      <c r="CN22" s="2212">
        <v>22280.76</v>
      </c>
      <c r="CO22" s="2212">
        <v>15567.78</v>
      </c>
      <c r="CP22" s="2212">
        <v>15700</v>
      </c>
      <c r="CQ22" s="2212">
        <v>19987.68</v>
      </c>
      <c r="CR22" s="2212">
        <v>19604.55</v>
      </c>
      <c r="CS22" s="2212">
        <v>18657.07</v>
      </c>
      <c r="CT22" s="2212">
        <v>14557.77</v>
      </c>
      <c r="CU22" s="2212">
        <v>18939.099999999999</v>
      </c>
      <c r="CV22" s="2212">
        <v>16311.47</v>
      </c>
      <c r="CW22" s="2212">
        <v>18273.79</v>
      </c>
      <c r="CX22" s="2212">
        <v>22550</v>
      </c>
      <c r="CY22" s="2212">
        <v>13983.48</v>
      </c>
      <c r="CZ22" s="2212">
        <v>16900</v>
      </c>
      <c r="DA22" s="2212">
        <v>24045.74</v>
      </c>
      <c r="DB22" s="2212">
        <v>22960.68</v>
      </c>
      <c r="DC22" s="2212">
        <v>18649.77</v>
      </c>
      <c r="DD22" s="2212">
        <v>16017.57</v>
      </c>
      <c r="DE22" s="2212">
        <v>21715.52</v>
      </c>
      <c r="DF22" s="2212">
        <v>18649.86</v>
      </c>
      <c r="DG22" s="2212">
        <v>22459.200000000001</v>
      </c>
      <c r="DH22" s="2212">
        <v>17303.05</v>
      </c>
      <c r="DI22" s="2212">
        <v>28631.75</v>
      </c>
      <c r="DJ22" s="2212">
        <v>17026.05</v>
      </c>
      <c r="DK22" s="2212">
        <v>21492.44</v>
      </c>
      <c r="DL22" s="2212">
        <v>29976.880000000001</v>
      </c>
      <c r="DM22" s="2212">
        <v>33961.5</v>
      </c>
      <c r="DN22" s="2212">
        <v>17293.39</v>
      </c>
      <c r="DO22" s="2212">
        <v>18639.11</v>
      </c>
      <c r="DP22" s="2212">
        <v>15369.12</v>
      </c>
      <c r="DQ22" s="2212">
        <v>36801.93</v>
      </c>
      <c r="DR22" s="2212">
        <v>20029.84</v>
      </c>
      <c r="DS22" s="2212">
        <v>18623.79</v>
      </c>
      <c r="DT22" s="2212">
        <v>23381.02</v>
      </c>
      <c r="DU22" s="2212">
        <v>23768.12</v>
      </c>
      <c r="DV22" s="2212">
        <v>31730.44</v>
      </c>
      <c r="DW22" s="2212">
        <v>17708.810000000001</v>
      </c>
      <c r="DX22" s="2212">
        <v>19604.47</v>
      </c>
      <c r="DY22" s="2212">
        <v>34484.79</v>
      </c>
      <c r="DZ22" s="2212">
        <v>33837.49</v>
      </c>
      <c r="EA22" s="2212">
        <v>25100</v>
      </c>
      <c r="EB22" s="2212">
        <v>17685.439999999999</v>
      </c>
      <c r="EC22" s="2212">
        <v>18038.32</v>
      </c>
      <c r="ED22" s="2212">
        <v>23768.12</v>
      </c>
      <c r="EE22" s="2212">
        <v>27100.62</v>
      </c>
      <c r="EF22" s="2212">
        <v>46944.85</v>
      </c>
      <c r="EG22" s="2212">
        <v>39632.07</v>
      </c>
      <c r="EH22" s="2212">
        <v>46742.74</v>
      </c>
      <c r="EI22" s="2212">
        <v>24095.35</v>
      </c>
      <c r="EJ22" s="2212">
        <v>28442.93</v>
      </c>
      <c r="EK22" s="2212">
        <v>20750</v>
      </c>
      <c r="EL22" s="2212">
        <v>28182.51</v>
      </c>
      <c r="EM22" s="2212">
        <v>28879.73</v>
      </c>
      <c r="EN22" s="2212">
        <v>16081.5</v>
      </c>
      <c r="EO22" s="2212">
        <v>18092.8</v>
      </c>
      <c r="EP22" s="2212">
        <v>31977.01</v>
      </c>
      <c r="EQ22" s="2212">
        <v>40972.639999999999</v>
      </c>
      <c r="ER22" s="2212">
        <v>23200</v>
      </c>
      <c r="ES22" s="2212">
        <v>19363.330000000002</v>
      </c>
      <c r="ET22" s="2212">
        <v>26380.61</v>
      </c>
      <c r="EU22" s="2212">
        <v>35820.69</v>
      </c>
      <c r="EV22" s="2212">
        <v>24789.18</v>
      </c>
      <c r="EW22" s="2212">
        <v>49935.48</v>
      </c>
      <c r="EX22" s="2212">
        <v>31653.05</v>
      </c>
      <c r="EY22" s="2212">
        <v>20345.41</v>
      </c>
      <c r="EZ22" s="2212">
        <v>20352.490000000002</v>
      </c>
      <c r="FA22" s="2212">
        <v>16008.39</v>
      </c>
      <c r="FB22" s="2212">
        <v>34131.24</v>
      </c>
      <c r="FC22" s="2212">
        <v>42018.25</v>
      </c>
      <c r="FD22" s="2212">
        <v>36517.760000000002</v>
      </c>
      <c r="FE22" s="2212">
        <v>29672.86</v>
      </c>
      <c r="FF22" s="2212">
        <v>37308.04</v>
      </c>
      <c r="FG22" s="2212">
        <v>28182.51</v>
      </c>
      <c r="FH22" s="2212">
        <v>14855.01</v>
      </c>
      <c r="FI22" s="2212">
        <v>20971.84</v>
      </c>
      <c r="FJ22" s="2212">
        <v>29598.54</v>
      </c>
      <c r="FK22" s="2212">
        <v>21677.9</v>
      </c>
      <c r="FL22" s="2212">
        <v>20718.580000000002</v>
      </c>
      <c r="FM22" s="2212">
        <v>17649.89</v>
      </c>
      <c r="FN22" s="2212">
        <v>17649.18</v>
      </c>
      <c r="FO22" s="2212">
        <v>23996.13</v>
      </c>
      <c r="FP22" s="2212">
        <v>26071.99</v>
      </c>
      <c r="FQ22" s="2212">
        <v>20817.259999999998</v>
      </c>
      <c r="FR22" s="2212">
        <v>19403.59</v>
      </c>
      <c r="FS22" s="2212">
        <v>38279.519999999997</v>
      </c>
      <c r="FT22" s="2212">
        <v>17639.21</v>
      </c>
      <c r="FU22" s="2212">
        <v>24442.36</v>
      </c>
      <c r="FV22" s="2212">
        <v>31653.11</v>
      </c>
      <c r="FW22" s="2212">
        <v>29802.78</v>
      </c>
      <c r="FX22" s="2212">
        <v>19305.09</v>
      </c>
      <c r="FY22" s="2212">
        <v>26177.66</v>
      </c>
      <c r="FZ22" s="2212">
        <v>43274.22</v>
      </c>
      <c r="GA22" s="2212">
        <v>19371.78</v>
      </c>
      <c r="GB22" s="2212">
        <v>15694.74</v>
      </c>
      <c r="GC22" s="2212">
        <v>19021.810000000001</v>
      </c>
      <c r="GD22" s="2212">
        <v>45674.44</v>
      </c>
      <c r="GE22" s="2212">
        <v>16244.99</v>
      </c>
      <c r="GF22" s="2212">
        <v>38954.57</v>
      </c>
      <c r="GG22" s="2212">
        <v>44604.639999999999</v>
      </c>
      <c r="GH22" s="2212">
        <v>34829.15</v>
      </c>
      <c r="GI22" s="2212">
        <v>26475.05</v>
      </c>
      <c r="GJ22" s="2212">
        <v>21499.88</v>
      </c>
      <c r="GK22" s="2212">
        <v>34374.43</v>
      </c>
      <c r="GL22" s="2212">
        <v>28426.69</v>
      </c>
      <c r="GM22" s="2212">
        <v>50185.25</v>
      </c>
      <c r="GN22" s="2212">
        <v>21839.47</v>
      </c>
      <c r="GO22" s="2212">
        <v>18740.84</v>
      </c>
      <c r="GP22" s="2212">
        <v>22322.799999999999</v>
      </c>
      <c r="GQ22" s="2212">
        <v>41421.980000000003</v>
      </c>
      <c r="GR22" s="2212">
        <v>18264.16</v>
      </c>
      <c r="GS22" s="2212">
        <v>18273.060000000001</v>
      </c>
      <c r="GT22" s="2212">
        <v>31014.67</v>
      </c>
      <c r="GU22" s="2212">
        <v>34040.93</v>
      </c>
      <c r="GV22" s="2212">
        <v>52740.43</v>
      </c>
      <c r="GW22" s="2212">
        <v>15161.06</v>
      </c>
      <c r="GX22" s="2212">
        <v>18407.48</v>
      </c>
      <c r="GY22" s="2212">
        <v>35196.83</v>
      </c>
      <c r="GZ22" s="2212">
        <v>19937.87</v>
      </c>
      <c r="HA22" s="2212">
        <v>57125.1</v>
      </c>
      <c r="HB22" s="2212">
        <v>18284.14</v>
      </c>
      <c r="HC22" s="2212">
        <v>29495.18</v>
      </c>
      <c r="HD22" s="2212">
        <v>22806.25</v>
      </c>
      <c r="HE22" s="2212">
        <v>31110.71</v>
      </c>
      <c r="HF22" s="2212">
        <v>18100</v>
      </c>
      <c r="HG22" s="2212">
        <v>14717.66</v>
      </c>
      <c r="HH22" s="2212">
        <v>20345.32</v>
      </c>
      <c r="HI22" s="2212">
        <v>22417.87</v>
      </c>
      <c r="HJ22" s="2212">
        <v>17725.25</v>
      </c>
      <c r="HK22" s="2212">
        <v>17122.099999999999</v>
      </c>
      <c r="HL22" s="2212">
        <v>42712.07</v>
      </c>
      <c r="HM22" s="2212">
        <v>40481.019999999997</v>
      </c>
      <c r="HN22" s="2212">
        <v>19165.09</v>
      </c>
      <c r="HO22" s="2212">
        <v>32123.11</v>
      </c>
      <c r="HP22" s="2212">
        <v>20345.32</v>
      </c>
      <c r="HQ22" s="2212">
        <v>50691.33</v>
      </c>
      <c r="HR22" s="2212">
        <v>43670.58</v>
      </c>
      <c r="HS22" s="2212">
        <v>19021.77</v>
      </c>
      <c r="HT22" s="2212">
        <v>21677.9</v>
      </c>
      <c r="HU22" s="2212">
        <v>54022.19</v>
      </c>
      <c r="HV22" s="2212">
        <v>20996.92</v>
      </c>
      <c r="HW22" s="2212">
        <v>18948.48</v>
      </c>
      <c r="HX22" s="2212">
        <v>26871.77</v>
      </c>
      <c r="HY22" s="2212">
        <v>52959.54</v>
      </c>
      <c r="HZ22" s="2212">
        <v>47214.94</v>
      </c>
      <c r="IA22" s="2212">
        <v>17725.04</v>
      </c>
      <c r="IB22" s="2212">
        <v>19521.21</v>
      </c>
      <c r="IC22" s="2212">
        <v>29983.84</v>
      </c>
      <c r="ID22" s="2212">
        <v>14855.51</v>
      </c>
      <c r="IE22" s="2212">
        <v>56967.48</v>
      </c>
      <c r="IF22" s="2212">
        <v>53318.35</v>
      </c>
      <c r="IG22" s="2212">
        <v>46742.74</v>
      </c>
      <c r="IH22" s="2212">
        <v>31460.3</v>
      </c>
      <c r="II22" s="2212">
        <v>18273.77</v>
      </c>
      <c r="IJ22" s="2212">
        <v>22714.639999999999</v>
      </c>
      <c r="IK22" s="2212">
        <v>20909.77</v>
      </c>
      <c r="IL22" s="2212">
        <v>20790.96</v>
      </c>
      <c r="IM22" s="2212">
        <v>21061.03</v>
      </c>
      <c r="IN22" s="2212">
        <v>52397.65</v>
      </c>
      <c r="IO22" s="2212">
        <v>40407.379999999997</v>
      </c>
      <c r="IP22" s="2212">
        <v>17708.82</v>
      </c>
      <c r="IQ22" s="2212">
        <v>30143.9</v>
      </c>
      <c r="IR22" s="2212">
        <v>31634.99</v>
      </c>
      <c r="IS22" s="2212">
        <v>19165.02</v>
      </c>
      <c r="IT22" s="2212">
        <v>18624.12</v>
      </c>
      <c r="IU22" s="2911">
        <v>19123.45</v>
      </c>
      <c r="IV22" s="2911">
        <v>20304.78</v>
      </c>
      <c r="IW22" s="2911">
        <v>21659.14</v>
      </c>
      <c r="IX22" s="2911">
        <v>23159.14</v>
      </c>
      <c r="IY22" s="2207"/>
      <c r="IZ22" s="2215">
        <f t="shared" si="6"/>
        <v>13</v>
      </c>
    </row>
    <row r="23" spans="1:260">
      <c r="A23" s="2214">
        <v>14</v>
      </c>
      <c r="B23" s="2212">
        <v>60386.92</v>
      </c>
      <c r="C23" s="2927">
        <v>53677.39</v>
      </c>
      <c r="D23" s="2927">
        <v>48843.519999999997</v>
      </c>
      <c r="E23" s="2212">
        <v>48674.02</v>
      </c>
      <c r="F23" s="2927">
        <v>48719.59</v>
      </c>
      <c r="G23" s="2212">
        <v>48533.15</v>
      </c>
      <c r="H23" s="2927">
        <v>46786</v>
      </c>
      <c r="I23" s="2212">
        <v>41674.92</v>
      </c>
      <c r="J23" s="2212">
        <v>45826.71</v>
      </c>
      <c r="K23" s="2212">
        <v>43232.7</v>
      </c>
      <c r="L23" s="2927">
        <v>40315.97</v>
      </c>
      <c r="M23" s="2212">
        <v>39758.199999999997</v>
      </c>
      <c r="N23" s="2927">
        <v>36498.400000000001</v>
      </c>
      <c r="O23" s="2212">
        <v>35704.639999999999</v>
      </c>
      <c r="P23" s="2927">
        <v>32879.19</v>
      </c>
      <c r="Q23" s="2927">
        <v>27993.23</v>
      </c>
      <c r="R23" s="2212">
        <v>31879.19</v>
      </c>
      <c r="S23" s="2212">
        <v>31879.19</v>
      </c>
      <c r="T23" s="2212">
        <v>30949.52</v>
      </c>
      <c r="U23" s="2212">
        <v>30949.52</v>
      </c>
      <c r="V23" s="2212">
        <v>30949.52</v>
      </c>
      <c r="W23" s="2212">
        <v>30949.52</v>
      </c>
      <c r="X23" s="2212">
        <v>28755.73</v>
      </c>
      <c r="Y23" s="2927">
        <v>32857.43</v>
      </c>
      <c r="Z23" s="2923">
        <v>31071</v>
      </c>
      <c r="AA23" s="2930">
        <v>31071</v>
      </c>
      <c r="AB23" s="2927">
        <v>31857.43</v>
      </c>
      <c r="AC23" s="2212">
        <v>28309.54</v>
      </c>
      <c r="AD23" s="2923">
        <v>29309.54</v>
      </c>
      <c r="AE23" s="2927">
        <v>30822.45</v>
      </c>
      <c r="AF23" s="2927">
        <v>28360.080000000002</v>
      </c>
      <c r="AG23" s="2927">
        <v>28360.080000000002</v>
      </c>
      <c r="AH23" s="2927">
        <v>30146.98</v>
      </c>
      <c r="AI23" s="2927">
        <v>27740.32</v>
      </c>
      <c r="AJ23" s="2927">
        <v>25601.09</v>
      </c>
      <c r="AK23" s="2927">
        <v>21203.45</v>
      </c>
      <c r="AL23" s="2927">
        <v>19567.330000000002</v>
      </c>
      <c r="AM23" s="2927">
        <v>18792.93</v>
      </c>
      <c r="AN23" s="2212">
        <v>20203.45</v>
      </c>
      <c r="AO23" s="2212">
        <v>18567.330000000002</v>
      </c>
      <c r="AP23" s="2212">
        <v>17612.93</v>
      </c>
      <c r="AQ23" s="2923">
        <v>26163</v>
      </c>
      <c r="AR23" s="2923">
        <v>24463</v>
      </c>
      <c r="AS23" s="2927">
        <v>23020.41</v>
      </c>
      <c r="AT23" s="2927">
        <v>22504.84</v>
      </c>
      <c r="AU23" s="2928">
        <v>21228.240000000002</v>
      </c>
      <c r="AV23" s="2212">
        <v>18211.38</v>
      </c>
      <c r="AW23" s="2212">
        <v>17450.560000000001</v>
      </c>
      <c r="AX23" s="2212">
        <v>20753.689999999999</v>
      </c>
      <c r="AY23" s="2212">
        <v>20228.16</v>
      </c>
      <c r="AZ23" s="2212">
        <v>21021.43</v>
      </c>
      <c r="BA23" s="2212">
        <v>20971.83</v>
      </c>
      <c r="BB23" s="2212">
        <v>20228.16</v>
      </c>
      <c r="BC23" s="2212">
        <v>20175.87</v>
      </c>
      <c r="BD23" s="2212">
        <v>20971.84</v>
      </c>
      <c r="BE23" s="2212">
        <v>22072.55</v>
      </c>
      <c r="BF23" s="2212">
        <v>20996.65</v>
      </c>
      <c r="BG23" s="2212">
        <v>17586.689999999999</v>
      </c>
      <c r="BH23" s="2212">
        <v>24700</v>
      </c>
      <c r="BI23" s="2212">
        <v>25780.959999999999</v>
      </c>
      <c r="BJ23" s="2212">
        <v>14037.19</v>
      </c>
      <c r="BK23" s="2212">
        <v>14037.19</v>
      </c>
      <c r="BL23" s="2212">
        <v>30150</v>
      </c>
      <c r="BM23" s="2212">
        <v>29251.58</v>
      </c>
      <c r="BN23" s="2212">
        <v>30143.9</v>
      </c>
      <c r="BO23" s="2212">
        <v>29458.82</v>
      </c>
      <c r="BP23" s="2212">
        <v>36396.49</v>
      </c>
      <c r="BQ23" s="2212">
        <v>22558.38</v>
      </c>
      <c r="BR23" s="2212">
        <v>39143.629999999997</v>
      </c>
      <c r="BS23" s="2212">
        <v>33754.11</v>
      </c>
      <c r="BT23" s="2212">
        <v>27750</v>
      </c>
      <c r="BU23" s="2212">
        <v>32201.42</v>
      </c>
      <c r="BV23" s="2212">
        <v>41628.019999999997</v>
      </c>
      <c r="BW23" s="2212">
        <v>44316.12</v>
      </c>
      <c r="BX23" s="2212">
        <v>31578.71</v>
      </c>
      <c r="BY23" s="2212">
        <v>17938.669999999998</v>
      </c>
      <c r="BZ23" s="2212">
        <v>47626.95</v>
      </c>
      <c r="CA23" s="2212">
        <v>19244.62</v>
      </c>
      <c r="CB23" s="2212">
        <v>19387.830000000002</v>
      </c>
      <c r="CC23" s="2212">
        <v>19021.79</v>
      </c>
      <c r="CD23" s="2212">
        <v>27652.639999999999</v>
      </c>
      <c r="CE23" s="2212">
        <v>28864.73</v>
      </c>
      <c r="CF23" s="2212">
        <v>35696.74</v>
      </c>
      <c r="CG23" s="2212">
        <v>25458.67</v>
      </c>
      <c r="CH23" s="2927">
        <v>27815.17</v>
      </c>
      <c r="CI23" s="2927">
        <v>22203.45</v>
      </c>
      <c r="CJ23" s="2212">
        <v>18368.95</v>
      </c>
      <c r="CK23" s="2212">
        <v>17327.79</v>
      </c>
      <c r="CL23" s="2212">
        <v>19552.71</v>
      </c>
      <c r="CM23" s="2212">
        <v>17700</v>
      </c>
      <c r="CN23" s="2212">
        <v>22548.49</v>
      </c>
      <c r="CO23" s="2212">
        <v>15567.78</v>
      </c>
      <c r="CP23" s="2212">
        <v>15700</v>
      </c>
      <c r="CQ23" s="2212">
        <v>20230.62</v>
      </c>
      <c r="CR23" s="2212">
        <v>19970.5</v>
      </c>
      <c r="CS23" s="2212">
        <v>18964.68</v>
      </c>
      <c r="CT23" s="2212">
        <v>14557.77</v>
      </c>
      <c r="CU23" s="2212">
        <v>18939.099999999999</v>
      </c>
      <c r="CV23" s="2212">
        <v>16311.47</v>
      </c>
      <c r="CW23" s="2212">
        <v>18273.79</v>
      </c>
      <c r="CX23" s="2212">
        <v>22550</v>
      </c>
      <c r="CY23" s="2212">
        <v>13983.48</v>
      </c>
      <c r="CZ23" s="2212">
        <v>16900</v>
      </c>
      <c r="DA23" s="2212">
        <v>24045.74</v>
      </c>
      <c r="DB23" s="2212">
        <v>22960.68</v>
      </c>
      <c r="DC23" s="2212">
        <v>18649.77</v>
      </c>
      <c r="DD23" s="2212">
        <v>16182.08</v>
      </c>
      <c r="DE23" s="2212">
        <v>21715.52</v>
      </c>
      <c r="DF23" s="2212">
        <v>18649.86</v>
      </c>
      <c r="DG23" s="2212">
        <v>22459.200000000001</v>
      </c>
      <c r="DH23" s="2212">
        <v>17303.05</v>
      </c>
      <c r="DI23" s="2212">
        <v>28631.75</v>
      </c>
      <c r="DJ23" s="2212">
        <v>17237.66</v>
      </c>
      <c r="DK23" s="2212">
        <v>21765.13</v>
      </c>
      <c r="DL23" s="2212">
        <v>31111.3</v>
      </c>
      <c r="DM23" s="2212">
        <v>34630.82</v>
      </c>
      <c r="DN23" s="2212">
        <v>17605.29</v>
      </c>
      <c r="DO23" s="2212">
        <v>18639.11</v>
      </c>
      <c r="DP23" s="2212">
        <v>15533.08</v>
      </c>
      <c r="DQ23" s="2212">
        <v>37239.71</v>
      </c>
      <c r="DR23" s="2212">
        <v>20029.84</v>
      </c>
      <c r="DS23" s="2212">
        <v>18989.71</v>
      </c>
      <c r="DT23" s="2212">
        <v>23381.02</v>
      </c>
      <c r="DU23" s="2212">
        <v>24035.85</v>
      </c>
      <c r="DV23" s="2212">
        <v>31730.44</v>
      </c>
      <c r="DW23" s="2212">
        <v>17938.66</v>
      </c>
      <c r="DX23" s="2212">
        <v>19970.41</v>
      </c>
      <c r="DY23" s="2212">
        <v>35742.06</v>
      </c>
      <c r="DZ23" s="2212">
        <v>33837.49</v>
      </c>
      <c r="EA23" s="2212">
        <v>25100</v>
      </c>
      <c r="EB23" s="2212">
        <v>18001.509999999998</v>
      </c>
      <c r="EC23" s="2212">
        <v>18672.23</v>
      </c>
      <c r="ED23" s="2212">
        <v>24035.85</v>
      </c>
      <c r="EE23" s="2212">
        <v>27100.62</v>
      </c>
      <c r="EF23" s="2212">
        <v>46944.85</v>
      </c>
      <c r="EG23" s="2212">
        <v>40083.760000000002</v>
      </c>
      <c r="EH23" s="2212">
        <v>46742.74</v>
      </c>
      <c r="EI23" s="2212">
        <v>24417.62</v>
      </c>
      <c r="EJ23" s="2212">
        <v>29458.68</v>
      </c>
      <c r="EK23" s="2212">
        <v>20750</v>
      </c>
      <c r="EL23" s="2212">
        <v>29297.24</v>
      </c>
      <c r="EM23" s="2212">
        <v>29251.58</v>
      </c>
      <c r="EN23" s="2212">
        <v>16242.8</v>
      </c>
      <c r="EO23" s="2212">
        <v>18092.8</v>
      </c>
      <c r="EP23" s="2212">
        <v>32350.22</v>
      </c>
      <c r="EQ23" s="2212">
        <v>40972.639999999999</v>
      </c>
      <c r="ER23" s="2212">
        <v>23200</v>
      </c>
      <c r="ES23" s="2212">
        <v>19556.22</v>
      </c>
      <c r="ET23" s="2212">
        <v>27485.97</v>
      </c>
      <c r="EU23" s="2212">
        <v>35820.69</v>
      </c>
      <c r="EV23" s="2212">
        <v>24789.18</v>
      </c>
      <c r="EW23" s="2212">
        <v>49935.48</v>
      </c>
      <c r="EX23" s="2212">
        <v>32904.57</v>
      </c>
      <c r="EY23" s="2212">
        <v>20345.41</v>
      </c>
      <c r="EZ23" s="2212">
        <v>20718.43</v>
      </c>
      <c r="FA23" s="2212">
        <v>16172.82</v>
      </c>
      <c r="FB23" s="2212">
        <v>34535.24</v>
      </c>
      <c r="FC23" s="2212">
        <v>42520.86</v>
      </c>
      <c r="FD23" s="2212">
        <v>37908.97</v>
      </c>
      <c r="FE23" s="2212">
        <v>29672.86</v>
      </c>
      <c r="FF23" s="2212">
        <v>37506.36</v>
      </c>
      <c r="FG23" s="2212">
        <v>29297.24</v>
      </c>
      <c r="FH23" s="2212">
        <v>14925.09</v>
      </c>
      <c r="FI23" s="2212">
        <v>20971.84</v>
      </c>
      <c r="FJ23" s="2212">
        <v>29598.54</v>
      </c>
      <c r="FK23" s="2212">
        <v>21677.9</v>
      </c>
      <c r="FL23" s="2212">
        <v>21084.53</v>
      </c>
      <c r="FM23" s="2212">
        <v>17917.32</v>
      </c>
      <c r="FN23" s="2212">
        <v>17967.48</v>
      </c>
      <c r="FO23" s="2212">
        <v>23996.13</v>
      </c>
      <c r="FP23" s="2212">
        <v>26814.73</v>
      </c>
      <c r="FQ23" s="2212">
        <v>20817.259999999998</v>
      </c>
      <c r="FR23" s="2212">
        <v>19821.939999999999</v>
      </c>
      <c r="FS23" s="2212">
        <v>39617.21</v>
      </c>
      <c r="FT23" s="2212">
        <v>17957.34</v>
      </c>
      <c r="FU23" s="2212">
        <v>24442.36</v>
      </c>
      <c r="FV23" s="2212">
        <v>32904.65</v>
      </c>
      <c r="FW23" s="2212">
        <v>30173.14</v>
      </c>
      <c r="FX23" s="2212">
        <v>19603.55</v>
      </c>
      <c r="FY23" s="2212">
        <v>26499.93</v>
      </c>
      <c r="FZ23" s="2212">
        <v>43274.22</v>
      </c>
      <c r="GA23" s="2212">
        <v>19737.7</v>
      </c>
      <c r="GB23" s="2212">
        <v>15855.92</v>
      </c>
      <c r="GC23" s="2212">
        <v>19021.810000000001</v>
      </c>
      <c r="GD23" s="2212">
        <v>45674.44</v>
      </c>
      <c r="GE23" s="2212">
        <v>16409.5</v>
      </c>
      <c r="GF23" s="2212">
        <v>39414.39</v>
      </c>
      <c r="GG23" s="2212">
        <v>45154.6</v>
      </c>
      <c r="GH23" s="2212">
        <v>35201</v>
      </c>
      <c r="GI23" s="2212">
        <v>26475.05</v>
      </c>
      <c r="GJ23" s="2212">
        <v>21732.78</v>
      </c>
      <c r="GK23" s="2212">
        <v>35313.57</v>
      </c>
      <c r="GL23" s="2212">
        <v>29441.84</v>
      </c>
      <c r="GM23" s="2212">
        <v>50795.94</v>
      </c>
      <c r="GN23" s="2212">
        <v>21839.47</v>
      </c>
      <c r="GO23" s="2212">
        <v>18864.79</v>
      </c>
      <c r="GP23" s="2212">
        <v>22543.43</v>
      </c>
      <c r="GQ23" s="2212">
        <v>41902.699999999997</v>
      </c>
      <c r="GR23" s="2212">
        <v>18576.060000000001</v>
      </c>
      <c r="GS23" s="2212">
        <v>18273.060000000001</v>
      </c>
      <c r="GT23" s="2212">
        <v>32240.95</v>
      </c>
      <c r="GU23" s="2212">
        <v>34951.35</v>
      </c>
      <c r="GV23" s="2212">
        <v>52740.43</v>
      </c>
      <c r="GW23" s="2212">
        <v>15232.61</v>
      </c>
      <c r="GX23" s="2212">
        <v>18719.38</v>
      </c>
      <c r="GY23" s="2212">
        <v>36159.53</v>
      </c>
      <c r="GZ23" s="2212">
        <v>20248.39</v>
      </c>
      <c r="HA23" s="2212">
        <v>57814.67</v>
      </c>
      <c r="HB23" s="2212">
        <v>18284.14</v>
      </c>
      <c r="HC23" s="2212">
        <v>29495.18</v>
      </c>
      <c r="HD23" s="2212">
        <v>22806.25</v>
      </c>
      <c r="HE23" s="2212">
        <v>31110.71</v>
      </c>
      <c r="HF23" s="2212">
        <v>18100</v>
      </c>
      <c r="HG23" s="2212">
        <v>14808.72</v>
      </c>
      <c r="HH23" s="2212">
        <v>20345.32</v>
      </c>
      <c r="HI23" s="2212">
        <v>22417.87</v>
      </c>
      <c r="HJ23" s="2212">
        <v>18052.05</v>
      </c>
      <c r="HK23" s="2212">
        <v>17430.91</v>
      </c>
      <c r="HL23" s="2212">
        <v>42712.07</v>
      </c>
      <c r="HM23" s="2212">
        <v>40481.019999999997</v>
      </c>
      <c r="HN23" s="2212">
        <v>19165.09</v>
      </c>
      <c r="HO23" s="2212">
        <v>33374.6</v>
      </c>
      <c r="HP23" s="2212">
        <v>20345.32</v>
      </c>
      <c r="HQ23" s="2212">
        <v>52055.77</v>
      </c>
      <c r="HR23" s="2212">
        <v>44179.46</v>
      </c>
      <c r="HS23" s="2212">
        <v>19021.77</v>
      </c>
      <c r="HT23" s="2212">
        <v>21677.9</v>
      </c>
      <c r="HU23" s="2212">
        <v>54022.19</v>
      </c>
      <c r="HV23" s="2212">
        <v>21361.15</v>
      </c>
      <c r="HW23" s="2212">
        <v>19259</v>
      </c>
      <c r="HX23" s="2212">
        <v>27169.25</v>
      </c>
      <c r="HY23" s="2212">
        <v>53601.74</v>
      </c>
      <c r="HZ23" s="2212">
        <v>47797.1</v>
      </c>
      <c r="IA23" s="2212">
        <v>18051.84</v>
      </c>
      <c r="IB23" s="2212">
        <v>19521.21</v>
      </c>
      <c r="IC23" s="2212">
        <v>30979.11</v>
      </c>
      <c r="ID23" s="2212">
        <v>14925.59</v>
      </c>
      <c r="IE23" s="2212">
        <v>56967.48</v>
      </c>
      <c r="IF23" s="2212">
        <v>53318.35</v>
      </c>
      <c r="IG23" s="2212">
        <v>46742.74</v>
      </c>
      <c r="IH23" s="2212">
        <v>32686.58</v>
      </c>
      <c r="II23" s="2212">
        <v>18585.669999999998</v>
      </c>
      <c r="IJ23" s="2212">
        <v>22714.639999999999</v>
      </c>
      <c r="IK23" s="2212">
        <v>20909.77</v>
      </c>
      <c r="IL23" s="2212">
        <v>20790.96</v>
      </c>
      <c r="IM23" s="2212">
        <v>21061.03</v>
      </c>
      <c r="IN23" s="2212">
        <v>53570.22</v>
      </c>
      <c r="IO23" s="2212">
        <v>41764</v>
      </c>
      <c r="IP23" s="2212">
        <v>17938.669999999998</v>
      </c>
      <c r="IQ23" s="2212">
        <v>30143.9</v>
      </c>
      <c r="IR23" s="2212">
        <v>32885.81</v>
      </c>
      <c r="IS23" s="2212">
        <v>19165.02</v>
      </c>
      <c r="IT23" s="2212">
        <v>18990.060000000001</v>
      </c>
      <c r="IU23" s="2911">
        <v>19123.45</v>
      </c>
      <c r="IV23" s="2911">
        <v>20304.78</v>
      </c>
      <c r="IW23" s="2911">
        <v>21659.14</v>
      </c>
      <c r="IX23" s="2911">
        <v>23159.14</v>
      </c>
      <c r="IY23" s="2207"/>
      <c r="IZ23" s="2215">
        <f t="shared" si="6"/>
        <v>14</v>
      </c>
    </row>
    <row r="24" spans="1:260">
      <c r="A24" s="2214">
        <v>15</v>
      </c>
      <c r="B24" s="2212">
        <v>60386.92</v>
      </c>
      <c r="C24" s="2927">
        <v>53677.39</v>
      </c>
      <c r="D24" s="2927">
        <v>48843.519999999997</v>
      </c>
      <c r="E24" s="2212">
        <v>49053.3</v>
      </c>
      <c r="F24" s="2927">
        <v>49091.44</v>
      </c>
      <c r="G24" s="2212">
        <v>48782.78</v>
      </c>
      <c r="H24" s="2927">
        <v>47021.5</v>
      </c>
      <c r="I24" s="2212">
        <v>42121.63</v>
      </c>
      <c r="J24" s="2212">
        <v>46299.7</v>
      </c>
      <c r="K24" s="2212">
        <v>43678.91</v>
      </c>
      <c r="L24" s="2927">
        <v>40737.39</v>
      </c>
      <c r="M24" s="2212">
        <v>40202.43</v>
      </c>
      <c r="N24" s="2927">
        <v>36895.03</v>
      </c>
      <c r="O24" s="2212">
        <v>36093.339999999997</v>
      </c>
      <c r="P24" s="2927">
        <v>33226.25</v>
      </c>
      <c r="Q24" s="2927">
        <v>28243.61</v>
      </c>
      <c r="R24" s="2212">
        <v>32226.25</v>
      </c>
      <c r="S24" s="2212">
        <v>32226.25</v>
      </c>
      <c r="T24" s="2212">
        <v>31271.79</v>
      </c>
      <c r="U24" s="2212">
        <v>31271.79</v>
      </c>
      <c r="V24" s="2212">
        <v>31271.79</v>
      </c>
      <c r="W24" s="2212">
        <v>31271.79</v>
      </c>
      <c r="X24" s="2212">
        <v>29102.79</v>
      </c>
      <c r="Y24" s="2927">
        <v>33235.72</v>
      </c>
      <c r="Z24" s="2923">
        <v>31341</v>
      </c>
      <c r="AA24" s="2930">
        <v>31341</v>
      </c>
      <c r="AB24" s="2927">
        <v>32235.72</v>
      </c>
      <c r="AC24" s="2212">
        <v>28656.6</v>
      </c>
      <c r="AD24" s="2923">
        <v>29656.6</v>
      </c>
      <c r="AE24" s="2927">
        <v>31173.72</v>
      </c>
      <c r="AF24" s="2927">
        <v>28682.35</v>
      </c>
      <c r="AG24" s="2927">
        <v>28682.35</v>
      </c>
      <c r="AH24" s="2927">
        <v>30479.34</v>
      </c>
      <c r="AI24" s="2927">
        <v>28045.23</v>
      </c>
      <c r="AJ24" s="2927">
        <v>25888.65</v>
      </c>
      <c r="AK24" s="2927">
        <v>21401.77</v>
      </c>
      <c r="AL24" s="2927">
        <v>19716.07</v>
      </c>
      <c r="AM24" s="2927">
        <v>18929.28</v>
      </c>
      <c r="AN24" s="2212">
        <v>20401.77</v>
      </c>
      <c r="AO24" s="2212">
        <v>18716.07</v>
      </c>
      <c r="AP24" s="2212">
        <v>17749.28</v>
      </c>
      <c r="AQ24" s="2923">
        <v>26362</v>
      </c>
      <c r="AR24" s="2923">
        <v>24662</v>
      </c>
      <c r="AS24" s="2927">
        <v>23250.959999999999</v>
      </c>
      <c r="AT24" s="2927">
        <v>22752.74</v>
      </c>
      <c r="AU24" s="2928">
        <v>21426.560000000001</v>
      </c>
      <c r="AV24" s="2212">
        <v>18813.150000000001</v>
      </c>
      <c r="AW24" s="2212">
        <v>18002.75</v>
      </c>
      <c r="AX24" s="2212">
        <v>20991.67</v>
      </c>
      <c r="AY24" s="2212">
        <v>20847.900000000001</v>
      </c>
      <c r="AZ24" s="2212">
        <v>21274.29</v>
      </c>
      <c r="BA24" s="2212">
        <v>21517.200000000001</v>
      </c>
      <c r="BB24" s="2212">
        <v>20847.900000000001</v>
      </c>
      <c r="BC24" s="2212">
        <v>20816.060000000001</v>
      </c>
      <c r="BD24" s="2212">
        <v>21591.58</v>
      </c>
      <c r="BE24" s="2212">
        <v>22313.01</v>
      </c>
      <c r="BF24" s="2212">
        <v>21715.55</v>
      </c>
      <c r="BG24" s="2212">
        <v>17716.099999999999</v>
      </c>
      <c r="BH24" s="2212">
        <v>25350</v>
      </c>
      <c r="BI24" s="2212">
        <v>26053.65</v>
      </c>
      <c r="BJ24" s="2212">
        <v>14303.98</v>
      </c>
      <c r="BK24" s="2212">
        <v>14303.98</v>
      </c>
      <c r="BL24" s="2212">
        <v>31150</v>
      </c>
      <c r="BM24" s="2212">
        <v>29623.43</v>
      </c>
      <c r="BN24" s="2212">
        <v>31135.48</v>
      </c>
      <c r="BO24" s="2212">
        <v>29458.82</v>
      </c>
      <c r="BP24" s="2212">
        <v>37528.25</v>
      </c>
      <c r="BQ24" s="2212">
        <v>23302.07</v>
      </c>
      <c r="BR24" s="2212">
        <v>40325.370000000003</v>
      </c>
      <c r="BS24" s="2212">
        <v>34799.11</v>
      </c>
      <c r="BT24" s="2212">
        <v>28750</v>
      </c>
      <c r="BU24" s="2212">
        <v>33242.58</v>
      </c>
      <c r="BV24" s="2212">
        <v>42912.31</v>
      </c>
      <c r="BW24" s="2212">
        <v>45693.69</v>
      </c>
      <c r="BX24" s="2212">
        <v>32554.05</v>
      </c>
      <c r="BY24" s="2212">
        <v>18168.52</v>
      </c>
      <c r="BZ24" s="2212">
        <v>48175.54</v>
      </c>
      <c r="CA24" s="2212">
        <v>19868.52</v>
      </c>
      <c r="CB24" s="2212">
        <v>20011.73</v>
      </c>
      <c r="CC24" s="2212">
        <v>19645.689999999999</v>
      </c>
      <c r="CD24" s="2212">
        <v>28024.49</v>
      </c>
      <c r="CE24" s="2212">
        <v>28864.73</v>
      </c>
      <c r="CF24" s="2212">
        <v>36440.43</v>
      </c>
      <c r="CG24" s="2212">
        <v>26227.14</v>
      </c>
      <c r="CH24" s="2927">
        <v>28128.61</v>
      </c>
      <c r="CI24" s="2927">
        <v>22401.77</v>
      </c>
      <c r="CJ24" s="2212">
        <v>18963.900000000001</v>
      </c>
      <c r="CK24" s="2212">
        <v>17873.16</v>
      </c>
      <c r="CL24" s="2212">
        <v>20252.669999999998</v>
      </c>
      <c r="CM24" s="2212">
        <v>18300</v>
      </c>
      <c r="CN24" s="2212">
        <v>22816.22</v>
      </c>
      <c r="CO24" s="2212">
        <v>15914.84</v>
      </c>
      <c r="CP24" s="2212">
        <v>16050</v>
      </c>
      <c r="CQ24" s="2212">
        <v>20473.560000000001</v>
      </c>
      <c r="CR24" s="2212">
        <v>20336.45</v>
      </c>
      <c r="CS24" s="2212">
        <v>19272.29</v>
      </c>
      <c r="CT24" s="2212">
        <v>14709.16</v>
      </c>
      <c r="CU24" s="2212">
        <v>19484.47</v>
      </c>
      <c r="CV24" s="2212">
        <v>16658.53</v>
      </c>
      <c r="CW24" s="2212">
        <v>18897.689999999999</v>
      </c>
      <c r="CX24" s="2212">
        <v>23100</v>
      </c>
      <c r="CY24" s="2212">
        <v>14059.17</v>
      </c>
      <c r="CZ24" s="2212">
        <v>17250</v>
      </c>
      <c r="DA24" s="2212">
        <v>24789.43</v>
      </c>
      <c r="DB24" s="2212">
        <v>23406.57</v>
      </c>
      <c r="DC24" s="2212">
        <v>19286.509999999998</v>
      </c>
      <c r="DD24" s="2212">
        <v>16346.59</v>
      </c>
      <c r="DE24" s="2212">
        <v>22335.26</v>
      </c>
      <c r="DF24" s="2212">
        <v>19286.599999999999</v>
      </c>
      <c r="DG24" s="2212">
        <v>23078.94</v>
      </c>
      <c r="DH24" s="2212">
        <v>17650.11</v>
      </c>
      <c r="DI24" s="2212">
        <v>29623.33</v>
      </c>
      <c r="DJ24" s="2212">
        <v>17449.27</v>
      </c>
      <c r="DK24" s="2212">
        <v>22037.82</v>
      </c>
      <c r="DL24" s="2212">
        <v>31111.3</v>
      </c>
      <c r="DM24" s="2212">
        <v>35300.14</v>
      </c>
      <c r="DN24" s="2212">
        <v>17917.189999999999</v>
      </c>
      <c r="DO24" s="2212">
        <v>19275.48</v>
      </c>
      <c r="DP24" s="2212">
        <v>15533.08</v>
      </c>
      <c r="DQ24" s="2212">
        <v>37677.49</v>
      </c>
      <c r="DR24" s="2212">
        <v>20624.79</v>
      </c>
      <c r="DS24" s="2212">
        <v>19355.63</v>
      </c>
      <c r="DT24" s="2212">
        <v>23927.06</v>
      </c>
      <c r="DU24" s="2212">
        <v>24303.58</v>
      </c>
      <c r="DV24" s="2212">
        <v>32870.76</v>
      </c>
      <c r="DW24" s="2212">
        <v>18168.509999999998</v>
      </c>
      <c r="DX24" s="2212">
        <v>20336.349999999999</v>
      </c>
      <c r="DY24" s="2212">
        <v>35742.06</v>
      </c>
      <c r="DZ24" s="2212">
        <v>34729.910000000003</v>
      </c>
      <c r="EA24" s="2212">
        <v>25900</v>
      </c>
      <c r="EB24" s="2212">
        <v>18317.580000000002</v>
      </c>
      <c r="EC24" s="2212">
        <v>18672.23</v>
      </c>
      <c r="ED24" s="2212">
        <v>24303.58</v>
      </c>
      <c r="EE24" s="2212">
        <v>28049.83</v>
      </c>
      <c r="EF24" s="2212">
        <v>48396.02</v>
      </c>
      <c r="EG24" s="2212">
        <v>40535.449999999997</v>
      </c>
      <c r="EH24" s="2212">
        <v>48126.49</v>
      </c>
      <c r="EI24" s="2212">
        <v>24591.15</v>
      </c>
      <c r="EJ24" s="2212">
        <v>29458.68</v>
      </c>
      <c r="EK24" s="2212">
        <v>21250</v>
      </c>
      <c r="EL24" s="2212">
        <v>29297.24</v>
      </c>
      <c r="EM24" s="2212">
        <v>29623.43</v>
      </c>
      <c r="EN24" s="2212">
        <v>16404.099999999999</v>
      </c>
      <c r="EO24" s="2212">
        <v>18710.53</v>
      </c>
      <c r="EP24" s="2212">
        <v>32723.43</v>
      </c>
      <c r="EQ24" s="2212">
        <v>42216.23</v>
      </c>
      <c r="ER24" s="2212">
        <v>23800</v>
      </c>
      <c r="ES24" s="2212">
        <v>19749.11</v>
      </c>
      <c r="ET24" s="2212">
        <v>27485.97</v>
      </c>
      <c r="EU24" s="2212">
        <v>36564.379999999997</v>
      </c>
      <c r="EV24" s="2212">
        <v>25334.92</v>
      </c>
      <c r="EW24" s="2212">
        <v>51451.08</v>
      </c>
      <c r="EX24" s="2212">
        <v>32904.57</v>
      </c>
      <c r="EY24" s="2212">
        <v>21080.69</v>
      </c>
      <c r="EZ24" s="2212">
        <v>21084.37</v>
      </c>
      <c r="FA24" s="2212">
        <v>16337.25</v>
      </c>
      <c r="FB24" s="2212">
        <v>34939.24</v>
      </c>
      <c r="FC24" s="2212">
        <v>43023.47</v>
      </c>
      <c r="FD24" s="2212">
        <v>37908.97</v>
      </c>
      <c r="FE24" s="2212">
        <v>30441.33</v>
      </c>
      <c r="FF24" s="2212">
        <v>37704.68</v>
      </c>
      <c r="FG24" s="2212">
        <v>29297.24</v>
      </c>
      <c r="FH24" s="2212">
        <v>14995.17</v>
      </c>
      <c r="FI24" s="2212">
        <v>21591.58</v>
      </c>
      <c r="FJ24" s="2212">
        <v>30639.7</v>
      </c>
      <c r="FK24" s="2212">
        <v>21677.9</v>
      </c>
      <c r="FL24" s="2212">
        <v>21450.48</v>
      </c>
      <c r="FM24" s="2212">
        <v>17917.32</v>
      </c>
      <c r="FN24" s="2212">
        <v>18285.78</v>
      </c>
      <c r="FO24" s="2212">
        <v>24566.29</v>
      </c>
      <c r="FP24" s="2212">
        <v>26814.73</v>
      </c>
      <c r="FQ24" s="2212">
        <v>21363</v>
      </c>
      <c r="FR24" s="2212">
        <v>20240.29</v>
      </c>
      <c r="FS24" s="2212">
        <v>39617.21</v>
      </c>
      <c r="FT24" s="2212">
        <v>18275.47</v>
      </c>
      <c r="FU24" s="2212">
        <v>25037.31</v>
      </c>
      <c r="FV24" s="2212">
        <v>32904.65</v>
      </c>
      <c r="FW24" s="2212">
        <v>30543.5</v>
      </c>
      <c r="FX24" s="2212">
        <v>19902.009999999998</v>
      </c>
      <c r="FY24" s="2212">
        <v>26710.639999999999</v>
      </c>
      <c r="FZ24" s="2212">
        <v>44574.8</v>
      </c>
      <c r="GA24" s="2212">
        <v>20103.62</v>
      </c>
      <c r="GB24" s="2212">
        <v>16017.1</v>
      </c>
      <c r="GC24" s="2212">
        <v>19645.71</v>
      </c>
      <c r="GD24" s="2212">
        <v>46901.52</v>
      </c>
      <c r="GE24" s="2212">
        <v>16574.009999999998</v>
      </c>
      <c r="GF24" s="2212">
        <v>39874.21</v>
      </c>
      <c r="GG24" s="2212">
        <v>45704.56</v>
      </c>
      <c r="GH24" s="2212">
        <v>35572.85</v>
      </c>
      <c r="GI24" s="2212">
        <v>27367.47</v>
      </c>
      <c r="GJ24" s="2212">
        <v>21965.68</v>
      </c>
      <c r="GK24" s="2212">
        <v>35313.57</v>
      </c>
      <c r="GL24" s="2212">
        <v>29441.84</v>
      </c>
      <c r="GM24" s="2212">
        <v>51406.63</v>
      </c>
      <c r="GN24" s="2212">
        <v>22434.42</v>
      </c>
      <c r="GO24" s="2212">
        <v>18988.740000000002</v>
      </c>
      <c r="GP24" s="2212">
        <v>22764.06</v>
      </c>
      <c r="GQ24" s="2212">
        <v>42383.42</v>
      </c>
      <c r="GR24" s="2212">
        <v>18887.96</v>
      </c>
      <c r="GS24" s="2212">
        <v>18896.93</v>
      </c>
      <c r="GT24" s="2212">
        <v>32240.95</v>
      </c>
      <c r="GU24" s="2212">
        <v>34951.35</v>
      </c>
      <c r="GV24" s="2212">
        <v>54325.52</v>
      </c>
      <c r="GW24" s="2212">
        <v>15304.16</v>
      </c>
      <c r="GX24" s="2212">
        <v>19031.28</v>
      </c>
      <c r="GY24" s="2212">
        <v>36159.53</v>
      </c>
      <c r="GZ24" s="2212">
        <v>20558.91</v>
      </c>
      <c r="HA24" s="2212">
        <v>58504.24</v>
      </c>
      <c r="HB24" s="2212">
        <v>18908.39</v>
      </c>
      <c r="HC24" s="2212">
        <v>30445.53</v>
      </c>
      <c r="HD24" s="2212">
        <v>23425.99</v>
      </c>
      <c r="HE24" s="2212">
        <v>31854.400000000001</v>
      </c>
      <c r="HF24" s="2212">
        <v>18450</v>
      </c>
      <c r="HG24" s="2212">
        <v>14899.78</v>
      </c>
      <c r="HH24" s="2212">
        <v>21080.6</v>
      </c>
      <c r="HI24" s="2212">
        <v>23041.77</v>
      </c>
      <c r="HJ24" s="2212">
        <v>18378.849999999999</v>
      </c>
      <c r="HK24" s="2212">
        <v>17739.72</v>
      </c>
      <c r="HL24" s="2212">
        <v>43926.75</v>
      </c>
      <c r="HM24" s="2212">
        <v>41646.120000000003</v>
      </c>
      <c r="HN24" s="2212">
        <v>19788.990000000002</v>
      </c>
      <c r="HO24" s="2212">
        <v>33374.6</v>
      </c>
      <c r="HP24" s="2212">
        <v>21080.6</v>
      </c>
      <c r="HQ24" s="2212">
        <v>52055.77</v>
      </c>
      <c r="HR24" s="2212">
        <v>44688.34</v>
      </c>
      <c r="HS24" s="2212">
        <v>19645.669999999998</v>
      </c>
      <c r="HT24" s="2212">
        <v>21677.9</v>
      </c>
      <c r="HU24" s="2212">
        <v>55683.11</v>
      </c>
      <c r="HV24" s="2212">
        <v>21725.38</v>
      </c>
      <c r="HW24" s="2212">
        <v>19569.52</v>
      </c>
      <c r="HX24" s="2212">
        <v>27417.15</v>
      </c>
      <c r="HY24" s="2212">
        <v>54243.94</v>
      </c>
      <c r="HZ24" s="2212">
        <v>48379.26</v>
      </c>
      <c r="IA24" s="2212">
        <v>18378.64</v>
      </c>
      <c r="IB24" s="2212">
        <v>20145.11</v>
      </c>
      <c r="IC24" s="2212">
        <v>30979.11</v>
      </c>
      <c r="ID24" s="2212">
        <v>14995.67</v>
      </c>
      <c r="IE24" s="2212">
        <v>58653.95</v>
      </c>
      <c r="IF24" s="2212">
        <v>53318.35</v>
      </c>
      <c r="IG24" s="2212">
        <v>48126.49</v>
      </c>
      <c r="IH24" s="2212">
        <v>32686.58</v>
      </c>
      <c r="II24" s="2212">
        <v>18897.57</v>
      </c>
      <c r="IJ24" s="2212">
        <v>23293.95</v>
      </c>
      <c r="IK24" s="2212">
        <v>21555.91</v>
      </c>
      <c r="IL24" s="2212">
        <v>21526.240000000002</v>
      </c>
      <c r="IM24" s="2212">
        <v>21746.14</v>
      </c>
      <c r="IN24" s="2212">
        <v>54742.76</v>
      </c>
      <c r="IO24" s="2212">
        <v>41764</v>
      </c>
      <c r="IP24" s="2212">
        <v>18168.52</v>
      </c>
      <c r="IQ24" s="2212">
        <v>31135.48</v>
      </c>
      <c r="IR24" s="2212">
        <v>32885.81</v>
      </c>
      <c r="IS24" s="2212">
        <v>19788.919999999998</v>
      </c>
      <c r="IT24" s="2212">
        <v>19356</v>
      </c>
      <c r="IU24" s="2911">
        <v>19567.060000000001</v>
      </c>
      <c r="IV24" s="2911">
        <v>20839.91</v>
      </c>
      <c r="IW24" s="2911">
        <v>22282.75</v>
      </c>
      <c r="IX24" s="2911">
        <v>23782.75</v>
      </c>
      <c r="IY24" s="2207"/>
      <c r="IZ24" s="2215">
        <f t="shared" si="6"/>
        <v>15</v>
      </c>
    </row>
    <row r="25" spans="1:260">
      <c r="A25" s="2214">
        <v>16</v>
      </c>
      <c r="B25" s="2212">
        <v>61824.71</v>
      </c>
      <c r="C25" s="2927">
        <v>55288.7</v>
      </c>
      <c r="D25" s="2927">
        <v>50330.89</v>
      </c>
      <c r="E25" s="2212">
        <v>49432.58</v>
      </c>
      <c r="F25" s="2927">
        <v>49463.29</v>
      </c>
      <c r="G25" s="2212">
        <v>49032.41</v>
      </c>
      <c r="H25" s="2927">
        <v>47257</v>
      </c>
      <c r="I25" s="2212">
        <v>42568.34</v>
      </c>
      <c r="J25" s="2212">
        <v>46772.69</v>
      </c>
      <c r="K25" s="2212">
        <v>44125.120000000003</v>
      </c>
      <c r="L25" s="2927">
        <v>41158.81</v>
      </c>
      <c r="M25" s="2212">
        <v>40646.660000000003</v>
      </c>
      <c r="N25" s="2927">
        <v>37291.660000000003</v>
      </c>
      <c r="O25" s="2212">
        <v>36454.28</v>
      </c>
      <c r="P25" s="2927">
        <v>33548.520000000004</v>
      </c>
      <c r="Q25" s="2927">
        <v>28493.99</v>
      </c>
      <c r="R25" s="2212">
        <v>32548.52</v>
      </c>
      <c r="S25" s="2212">
        <v>32548.52</v>
      </c>
      <c r="T25" s="2212">
        <v>31594.06</v>
      </c>
      <c r="U25" s="2212">
        <v>31594.06</v>
      </c>
      <c r="V25" s="2212">
        <v>31594.06</v>
      </c>
      <c r="W25" s="2212">
        <v>31594.06</v>
      </c>
      <c r="X25" s="2212">
        <v>29449.85</v>
      </c>
      <c r="Y25" s="2927">
        <v>33614.009999999995</v>
      </c>
      <c r="Z25" s="2923">
        <v>31610</v>
      </c>
      <c r="AA25" s="2930">
        <v>31610</v>
      </c>
      <c r="AB25" s="2927">
        <v>32614.01</v>
      </c>
      <c r="AC25" s="2212">
        <v>29003.66</v>
      </c>
      <c r="AD25" s="2923">
        <v>30003.66</v>
      </c>
      <c r="AE25" s="2927">
        <v>31524.99</v>
      </c>
      <c r="AF25" s="2927">
        <v>29004.62</v>
      </c>
      <c r="AG25" s="2927">
        <v>29004.62</v>
      </c>
      <c r="AH25" s="2927">
        <v>30811.7</v>
      </c>
      <c r="AI25" s="2927">
        <v>28350.14</v>
      </c>
      <c r="AJ25" s="2927">
        <v>26176.21</v>
      </c>
      <c r="AK25" s="2927">
        <v>21590.17</v>
      </c>
      <c r="AL25" s="2927">
        <v>19864.810000000001</v>
      </c>
      <c r="AM25" s="2927">
        <v>19065.63</v>
      </c>
      <c r="AN25" s="2212">
        <v>20590.169999999998</v>
      </c>
      <c r="AO25" s="2212">
        <v>18864.810000000001</v>
      </c>
      <c r="AP25" s="2212">
        <v>17885.63</v>
      </c>
      <c r="AQ25" s="2923">
        <v>26562</v>
      </c>
      <c r="AR25" s="2923">
        <v>24862</v>
      </c>
      <c r="AS25" s="2927">
        <v>23481.51</v>
      </c>
      <c r="AT25" s="2927">
        <v>23000.639999999999</v>
      </c>
      <c r="AU25" s="2928">
        <v>21624.880000000001</v>
      </c>
      <c r="AV25" s="2212">
        <v>18813.150000000001</v>
      </c>
      <c r="AW25" s="2212">
        <v>18002.75</v>
      </c>
      <c r="AX25" s="2212">
        <v>21229.65</v>
      </c>
      <c r="AY25" s="2212">
        <v>20847.900000000001</v>
      </c>
      <c r="AZ25" s="2212">
        <v>21527.15</v>
      </c>
      <c r="BA25" s="2212">
        <v>21517.200000000001</v>
      </c>
      <c r="BB25" s="2212">
        <v>20847.900000000001</v>
      </c>
      <c r="BC25" s="2212">
        <v>20816.060000000001</v>
      </c>
      <c r="BD25" s="2212">
        <v>21591.58</v>
      </c>
      <c r="BE25" s="2212">
        <v>22553.47</v>
      </c>
      <c r="BF25" s="2212">
        <v>21715.55</v>
      </c>
      <c r="BG25" s="2212">
        <v>17845.509999999998</v>
      </c>
      <c r="BH25" s="2212">
        <v>25350</v>
      </c>
      <c r="BI25" s="2212">
        <v>26326.34</v>
      </c>
      <c r="BJ25" s="2212">
        <v>14303.98</v>
      </c>
      <c r="BK25" s="2212">
        <v>14303.98</v>
      </c>
      <c r="BL25" s="2212">
        <v>31150</v>
      </c>
      <c r="BM25" s="2212">
        <v>30808.37</v>
      </c>
      <c r="BN25" s="2212">
        <v>31135.48</v>
      </c>
      <c r="BO25" s="2212">
        <v>30474.57</v>
      </c>
      <c r="BP25" s="2212">
        <v>37528.25</v>
      </c>
      <c r="BQ25" s="2212">
        <v>23302.07</v>
      </c>
      <c r="BR25" s="2212">
        <v>40325.370000000003</v>
      </c>
      <c r="BS25" s="2212">
        <v>34799.11</v>
      </c>
      <c r="BT25" s="2212">
        <v>28750</v>
      </c>
      <c r="BU25" s="2212">
        <v>33242.58</v>
      </c>
      <c r="BV25" s="2212">
        <v>42912.31</v>
      </c>
      <c r="BW25" s="2212">
        <v>45693.69</v>
      </c>
      <c r="BX25" s="2212">
        <v>32554.05</v>
      </c>
      <c r="BY25" s="2212">
        <v>18398.37</v>
      </c>
      <c r="BZ25" s="2212">
        <v>48724.13</v>
      </c>
      <c r="CA25" s="2212">
        <v>19868.52</v>
      </c>
      <c r="CB25" s="2212">
        <v>20011.73</v>
      </c>
      <c r="CC25" s="2212">
        <v>19645.689999999999</v>
      </c>
      <c r="CD25" s="2212">
        <v>29264.04</v>
      </c>
      <c r="CE25" s="2212">
        <v>29860</v>
      </c>
      <c r="CF25" s="2212">
        <v>36440.43</v>
      </c>
      <c r="CG25" s="2212">
        <v>26227.14</v>
      </c>
      <c r="CH25" s="2927">
        <v>28442.05</v>
      </c>
      <c r="CI25" s="2927">
        <v>22590.17</v>
      </c>
      <c r="CJ25" s="2212">
        <v>18963.900000000001</v>
      </c>
      <c r="CK25" s="2212">
        <v>17873.16</v>
      </c>
      <c r="CL25" s="2212">
        <v>20252.669999999998</v>
      </c>
      <c r="CM25" s="2212">
        <v>18300</v>
      </c>
      <c r="CN25" s="2212">
        <v>23083.95</v>
      </c>
      <c r="CO25" s="2212">
        <v>15914.84</v>
      </c>
      <c r="CP25" s="2212">
        <v>16050</v>
      </c>
      <c r="CQ25" s="2212">
        <v>20716.5</v>
      </c>
      <c r="CR25" s="2212">
        <v>20702.400000000001</v>
      </c>
      <c r="CS25" s="2212">
        <v>19579.900000000001</v>
      </c>
      <c r="CT25" s="2212">
        <v>14709.16</v>
      </c>
      <c r="CU25" s="2212">
        <v>19484.47</v>
      </c>
      <c r="CV25" s="2212">
        <v>16658.53</v>
      </c>
      <c r="CW25" s="2212">
        <v>18897.689999999999</v>
      </c>
      <c r="CX25" s="2212">
        <v>23100</v>
      </c>
      <c r="CY25" s="2212">
        <v>14059.17</v>
      </c>
      <c r="CZ25" s="2212">
        <v>17250</v>
      </c>
      <c r="DA25" s="2212">
        <v>24789.43</v>
      </c>
      <c r="DB25" s="2212">
        <v>23406.57</v>
      </c>
      <c r="DC25" s="2212">
        <v>19286.509999999998</v>
      </c>
      <c r="DD25" s="2212">
        <v>16511.099999999999</v>
      </c>
      <c r="DE25" s="2212">
        <v>22335.26</v>
      </c>
      <c r="DF25" s="2212">
        <v>19286.599999999999</v>
      </c>
      <c r="DG25" s="2212">
        <v>23078.94</v>
      </c>
      <c r="DH25" s="2212">
        <v>17650.11</v>
      </c>
      <c r="DI25" s="2212">
        <v>29623.33</v>
      </c>
      <c r="DJ25" s="2212">
        <v>17660.88</v>
      </c>
      <c r="DK25" s="2212">
        <v>22310.51</v>
      </c>
      <c r="DL25" s="2212">
        <v>32245.72</v>
      </c>
      <c r="DM25" s="2212">
        <v>36662.32</v>
      </c>
      <c r="DN25" s="2212">
        <v>18229.09</v>
      </c>
      <c r="DO25" s="2212">
        <v>19275.48</v>
      </c>
      <c r="DP25" s="2212">
        <v>15697.04</v>
      </c>
      <c r="DQ25" s="2212">
        <v>38115.269999999997</v>
      </c>
      <c r="DR25" s="2212">
        <v>20624.79</v>
      </c>
      <c r="DS25" s="2212">
        <v>19721.55</v>
      </c>
      <c r="DT25" s="2212">
        <v>23927.06</v>
      </c>
      <c r="DU25" s="2212">
        <v>24571.31</v>
      </c>
      <c r="DV25" s="2212">
        <v>32870.76</v>
      </c>
      <c r="DW25" s="2212">
        <v>18398.36</v>
      </c>
      <c r="DX25" s="2212">
        <v>20702.29</v>
      </c>
      <c r="DY25" s="2212">
        <v>36809.35</v>
      </c>
      <c r="DZ25" s="2212">
        <v>34729.910000000003</v>
      </c>
      <c r="EA25" s="2212">
        <v>25900</v>
      </c>
      <c r="EB25" s="2212">
        <v>18633.650000000001</v>
      </c>
      <c r="EC25" s="2212">
        <v>19306.14</v>
      </c>
      <c r="ED25" s="2212">
        <v>24571.31</v>
      </c>
      <c r="EE25" s="2212">
        <v>28049.83</v>
      </c>
      <c r="EF25" s="2212">
        <v>48396.02</v>
      </c>
      <c r="EG25" s="2212">
        <v>40987.14</v>
      </c>
      <c r="EH25" s="2212">
        <v>48126.49</v>
      </c>
      <c r="EI25" s="2212">
        <v>24764.68</v>
      </c>
      <c r="EJ25" s="2212">
        <v>30474.43</v>
      </c>
      <c r="EK25" s="2212">
        <v>21250</v>
      </c>
      <c r="EL25" s="2212">
        <v>30411.97</v>
      </c>
      <c r="EM25" s="2212">
        <v>30808.37</v>
      </c>
      <c r="EN25" s="2212">
        <v>16565.400000000001</v>
      </c>
      <c r="EO25" s="2212">
        <v>18710.53</v>
      </c>
      <c r="EP25" s="2212">
        <v>33096.639999999999</v>
      </c>
      <c r="EQ25" s="2212">
        <v>42216.23</v>
      </c>
      <c r="ER25" s="2212">
        <v>23800</v>
      </c>
      <c r="ES25" s="2212">
        <v>19942</v>
      </c>
      <c r="ET25" s="2212">
        <v>28591.33</v>
      </c>
      <c r="EU25" s="2212">
        <v>36564.379999999997</v>
      </c>
      <c r="EV25" s="2212">
        <v>25334.92</v>
      </c>
      <c r="EW25" s="2212">
        <v>51451.08</v>
      </c>
      <c r="EX25" s="2212">
        <v>34156.089999999997</v>
      </c>
      <c r="EY25" s="2212">
        <v>21080.69</v>
      </c>
      <c r="EZ25" s="2212">
        <v>21450.31</v>
      </c>
      <c r="FA25" s="2212">
        <v>16501.68</v>
      </c>
      <c r="FB25" s="2212">
        <v>35343.24</v>
      </c>
      <c r="FC25" s="2212">
        <v>43526.080000000002</v>
      </c>
      <c r="FD25" s="2212">
        <v>39300.18</v>
      </c>
      <c r="FE25" s="2212">
        <v>30441.33</v>
      </c>
      <c r="FF25" s="2212">
        <v>38401.269999999997</v>
      </c>
      <c r="FG25" s="2212">
        <v>30411.97</v>
      </c>
      <c r="FH25" s="2212">
        <v>15065.25</v>
      </c>
      <c r="FI25" s="2212">
        <v>21591.58</v>
      </c>
      <c r="FJ25" s="2212">
        <v>30639.7</v>
      </c>
      <c r="FK25" s="2212">
        <v>21677.9</v>
      </c>
      <c r="FL25" s="2212">
        <v>21816.43</v>
      </c>
      <c r="FM25" s="2212">
        <v>18541.22</v>
      </c>
      <c r="FN25" s="2212">
        <v>18604.080000000002</v>
      </c>
      <c r="FO25" s="2212">
        <v>24566.29</v>
      </c>
      <c r="FP25" s="2212">
        <v>27557.47</v>
      </c>
      <c r="FQ25" s="2212">
        <v>21363</v>
      </c>
      <c r="FR25" s="2212">
        <v>20658.64</v>
      </c>
      <c r="FS25" s="2212">
        <v>40954.9</v>
      </c>
      <c r="FT25" s="2212">
        <v>18593.599999999999</v>
      </c>
      <c r="FU25" s="2212">
        <v>25037.31</v>
      </c>
      <c r="FV25" s="2212">
        <v>34156.19</v>
      </c>
      <c r="FW25" s="2212">
        <v>30913.86</v>
      </c>
      <c r="FX25" s="2212">
        <v>20200.47</v>
      </c>
      <c r="FY25" s="2212">
        <v>26921.35</v>
      </c>
      <c r="FZ25" s="2212">
        <v>44574.8</v>
      </c>
      <c r="GA25" s="2212">
        <v>20469.54</v>
      </c>
      <c r="GB25" s="2212">
        <v>16178.28</v>
      </c>
      <c r="GC25" s="2212">
        <v>19645.71</v>
      </c>
      <c r="GD25" s="2212">
        <v>46901.52</v>
      </c>
      <c r="GE25" s="2212">
        <v>16738.52</v>
      </c>
      <c r="GF25" s="2212">
        <v>40334.03</v>
      </c>
      <c r="GG25" s="2212">
        <v>46254.52</v>
      </c>
      <c r="GH25" s="2212">
        <v>37184.160000000003</v>
      </c>
      <c r="GI25" s="2212">
        <v>27367.47</v>
      </c>
      <c r="GJ25" s="2212">
        <v>22198.58</v>
      </c>
      <c r="GK25" s="2212">
        <v>36252.71</v>
      </c>
      <c r="GL25" s="2212">
        <v>30456.99</v>
      </c>
      <c r="GM25" s="2212">
        <v>52017.32</v>
      </c>
      <c r="GN25" s="2212">
        <v>22434.42</v>
      </c>
      <c r="GO25" s="2212">
        <v>19112.689999999999</v>
      </c>
      <c r="GP25" s="2212">
        <v>22984.69</v>
      </c>
      <c r="GQ25" s="2212">
        <v>42864.14</v>
      </c>
      <c r="GR25" s="2212">
        <v>19199.86</v>
      </c>
      <c r="GS25" s="2212">
        <v>18896.93</v>
      </c>
      <c r="GT25" s="2212">
        <v>33467.230000000003</v>
      </c>
      <c r="GU25" s="2212">
        <v>35861.769999999997</v>
      </c>
      <c r="GV25" s="2212">
        <v>54325.52</v>
      </c>
      <c r="GW25" s="2212">
        <v>15375.71</v>
      </c>
      <c r="GX25" s="2212">
        <v>19343.18</v>
      </c>
      <c r="GY25" s="2212">
        <v>37122.230000000003</v>
      </c>
      <c r="GZ25" s="2212">
        <v>20869.43</v>
      </c>
      <c r="HA25" s="2212">
        <v>59193.81</v>
      </c>
      <c r="HB25" s="2212">
        <v>18908.39</v>
      </c>
      <c r="HC25" s="2212">
        <v>30445.53</v>
      </c>
      <c r="HD25" s="2212">
        <v>23425.99</v>
      </c>
      <c r="HE25" s="2212">
        <v>31854.400000000001</v>
      </c>
      <c r="HF25" s="2212">
        <v>18450</v>
      </c>
      <c r="HG25" s="2212">
        <v>14990.84</v>
      </c>
      <c r="HH25" s="2212">
        <v>21080.6</v>
      </c>
      <c r="HI25" s="2212">
        <v>23041.77</v>
      </c>
      <c r="HJ25" s="2212">
        <v>18705.650000000001</v>
      </c>
      <c r="HK25" s="2212">
        <v>18048.53</v>
      </c>
      <c r="HL25" s="2212">
        <v>43926.75</v>
      </c>
      <c r="HM25" s="2212">
        <v>41646.120000000003</v>
      </c>
      <c r="HN25" s="2212">
        <v>19788.990000000002</v>
      </c>
      <c r="HO25" s="2212">
        <v>34626.089999999997</v>
      </c>
      <c r="HP25" s="2212">
        <v>21080.6</v>
      </c>
      <c r="HQ25" s="2212">
        <v>53420.21</v>
      </c>
      <c r="HR25" s="2212">
        <v>45197.22</v>
      </c>
      <c r="HS25" s="2212">
        <v>19645.669999999998</v>
      </c>
      <c r="HT25" s="2212">
        <v>21677.9</v>
      </c>
      <c r="HU25" s="2212">
        <v>55683.11</v>
      </c>
      <c r="HV25" s="2212">
        <v>22089.61</v>
      </c>
      <c r="HW25" s="2212">
        <v>19880.04</v>
      </c>
      <c r="HX25" s="2212">
        <v>27665.05</v>
      </c>
      <c r="HY25" s="2212">
        <v>54886.14</v>
      </c>
      <c r="HZ25" s="2212">
        <v>48961.42</v>
      </c>
      <c r="IA25" s="2212">
        <v>18705.439999999999</v>
      </c>
      <c r="IB25" s="2212">
        <v>20145.11</v>
      </c>
      <c r="IC25" s="2212">
        <v>31974.38</v>
      </c>
      <c r="ID25" s="2212">
        <v>15065.75</v>
      </c>
      <c r="IE25" s="2212">
        <v>58653.95</v>
      </c>
      <c r="IF25" s="2212">
        <v>53318.35</v>
      </c>
      <c r="IG25" s="2212">
        <v>48126.49</v>
      </c>
      <c r="IH25" s="2212">
        <v>33912.86</v>
      </c>
      <c r="II25" s="2212">
        <v>19209.47</v>
      </c>
      <c r="IJ25" s="2212">
        <v>23293.95</v>
      </c>
      <c r="IK25" s="2212">
        <v>21555.91</v>
      </c>
      <c r="IL25" s="2212">
        <v>21526.240000000002</v>
      </c>
      <c r="IM25" s="2212">
        <v>21746.14</v>
      </c>
      <c r="IN25" s="2212">
        <v>54742.76</v>
      </c>
      <c r="IO25" s="2212">
        <v>43120.62</v>
      </c>
      <c r="IP25" s="2212">
        <v>18398.37</v>
      </c>
      <c r="IQ25" s="2212">
        <v>31135.48</v>
      </c>
      <c r="IR25" s="2212">
        <v>34136.629999999997</v>
      </c>
      <c r="IS25" s="2212">
        <v>19788.919999999998</v>
      </c>
      <c r="IT25" s="2212">
        <v>19721.939999999999</v>
      </c>
      <c r="IU25" s="2911">
        <v>19567.060000000001</v>
      </c>
      <c r="IV25" s="2911">
        <v>20839.91</v>
      </c>
      <c r="IW25" s="2911">
        <v>22282.75</v>
      </c>
      <c r="IX25" s="2911">
        <v>23782.75</v>
      </c>
      <c r="IY25" s="2207"/>
      <c r="IZ25" s="2215">
        <f t="shared" si="6"/>
        <v>16</v>
      </c>
    </row>
    <row r="26" spans="1:260">
      <c r="A26" s="2214">
        <v>17</v>
      </c>
      <c r="B26" s="2212">
        <v>61824.71</v>
      </c>
      <c r="C26" s="2927">
        <v>55288.7</v>
      </c>
      <c r="D26" s="2927">
        <v>50330.89</v>
      </c>
      <c r="E26" s="2212">
        <v>49811.86</v>
      </c>
      <c r="F26" s="2927">
        <v>49835.14</v>
      </c>
      <c r="G26" s="2212">
        <v>49282.04</v>
      </c>
      <c r="H26" s="2927">
        <v>47492.5</v>
      </c>
      <c r="I26" s="2212">
        <v>43015.05</v>
      </c>
      <c r="J26" s="2212">
        <v>47245.68</v>
      </c>
      <c r="K26" s="2212">
        <v>44571.33</v>
      </c>
      <c r="L26" s="2927">
        <v>41580.230000000003</v>
      </c>
      <c r="M26" s="2212">
        <v>41090.89</v>
      </c>
      <c r="N26" s="2927">
        <v>37688.29</v>
      </c>
      <c r="O26" s="2212">
        <v>36815.22</v>
      </c>
      <c r="P26" s="2927">
        <v>33870.79</v>
      </c>
      <c r="Q26" s="2927">
        <v>28744.37</v>
      </c>
      <c r="R26" s="2212">
        <v>32870.79</v>
      </c>
      <c r="S26" s="2212">
        <v>32870.79</v>
      </c>
      <c r="T26" s="2212">
        <v>31916.33</v>
      </c>
      <c r="U26" s="2212">
        <v>31916.33</v>
      </c>
      <c r="V26" s="2212">
        <v>31916.33</v>
      </c>
      <c r="W26" s="2212">
        <v>31916.33</v>
      </c>
      <c r="X26" s="2212">
        <v>29796.91</v>
      </c>
      <c r="Y26" s="2927">
        <v>33992.300000000003</v>
      </c>
      <c r="Z26" s="2923">
        <v>31880</v>
      </c>
      <c r="AA26" s="2930">
        <v>31880</v>
      </c>
      <c r="AB26" s="2927">
        <v>32992.300000000003</v>
      </c>
      <c r="AC26" s="2212">
        <v>29350.720000000001</v>
      </c>
      <c r="AD26" s="2923">
        <v>30350.720000000001</v>
      </c>
      <c r="AE26" s="2927">
        <v>31876.26</v>
      </c>
      <c r="AF26" s="2927">
        <v>29326.89</v>
      </c>
      <c r="AG26" s="2927">
        <v>29326.89</v>
      </c>
      <c r="AH26" s="2927">
        <v>31144.06</v>
      </c>
      <c r="AI26" s="2927">
        <v>28655.05</v>
      </c>
      <c r="AJ26" s="2927">
        <v>26463.77</v>
      </c>
      <c r="AK26" s="2927">
        <v>21778.57</v>
      </c>
      <c r="AL26" s="2927">
        <v>20013.55</v>
      </c>
      <c r="AM26" s="2927">
        <v>19201.98</v>
      </c>
      <c r="AN26" s="2212">
        <v>20778.57</v>
      </c>
      <c r="AO26" s="2212">
        <v>19013.55</v>
      </c>
      <c r="AP26" s="2212">
        <v>18021.98</v>
      </c>
      <c r="AQ26" s="2923">
        <v>26762</v>
      </c>
      <c r="AR26" s="2923">
        <v>25062</v>
      </c>
      <c r="AS26" s="2927">
        <v>23712.06</v>
      </c>
      <c r="AT26" s="2927">
        <v>23248.54</v>
      </c>
      <c r="AU26" s="2928">
        <v>21823.200000000001</v>
      </c>
      <c r="AV26" s="2212">
        <v>19414.919999999998</v>
      </c>
      <c r="AW26" s="2212">
        <v>18554.939999999999</v>
      </c>
      <c r="AX26" s="2212">
        <v>21467.63</v>
      </c>
      <c r="AY26" s="2212">
        <v>21467.64</v>
      </c>
      <c r="AZ26" s="2212">
        <v>21780.01</v>
      </c>
      <c r="BA26" s="2212">
        <v>22062.57</v>
      </c>
      <c r="BB26" s="2212">
        <v>21467.64</v>
      </c>
      <c r="BC26" s="2212">
        <v>21456.25</v>
      </c>
      <c r="BD26" s="2212">
        <v>22211.32</v>
      </c>
      <c r="BE26" s="2212">
        <v>22793.93</v>
      </c>
      <c r="BF26" s="2212">
        <v>22434.45</v>
      </c>
      <c r="BG26" s="2212">
        <v>17974.919999999998</v>
      </c>
      <c r="BH26" s="2212">
        <v>25950</v>
      </c>
      <c r="BI26" s="2212">
        <v>26599.03</v>
      </c>
      <c r="BJ26" s="2212">
        <v>14570.77</v>
      </c>
      <c r="BK26" s="2212">
        <v>14570.77</v>
      </c>
      <c r="BL26" s="2212">
        <v>32150</v>
      </c>
      <c r="BM26" s="2212">
        <v>31150.47</v>
      </c>
      <c r="BN26" s="2212">
        <v>32127.06</v>
      </c>
      <c r="BO26" s="2212">
        <v>30474.57</v>
      </c>
      <c r="BP26" s="2212">
        <v>38660.01</v>
      </c>
      <c r="BQ26" s="2212">
        <v>24045.759999999998</v>
      </c>
      <c r="BR26" s="2212">
        <v>41507.11</v>
      </c>
      <c r="BS26" s="2212">
        <v>35844.11</v>
      </c>
      <c r="BT26" s="2212">
        <v>29700</v>
      </c>
      <c r="BU26" s="2212">
        <v>34283.74</v>
      </c>
      <c r="BV26" s="2212">
        <v>44196.6</v>
      </c>
      <c r="BW26" s="2212">
        <v>47071.26</v>
      </c>
      <c r="BX26" s="2212">
        <v>33529.39</v>
      </c>
      <c r="BY26" s="2212">
        <v>18628.22</v>
      </c>
      <c r="BZ26" s="2212">
        <v>49272.72</v>
      </c>
      <c r="CA26" s="2212">
        <v>20492.419999999998</v>
      </c>
      <c r="CB26" s="2212">
        <v>20635.63</v>
      </c>
      <c r="CC26" s="2212">
        <v>20269.59</v>
      </c>
      <c r="CD26" s="2212">
        <v>29359.06</v>
      </c>
      <c r="CE26" s="2212">
        <v>29860</v>
      </c>
      <c r="CF26" s="2212">
        <v>37184.120000000003</v>
      </c>
      <c r="CG26" s="2212">
        <v>26995.61</v>
      </c>
      <c r="CH26" s="2927">
        <v>28755.49</v>
      </c>
      <c r="CI26" s="2927">
        <v>22778.57</v>
      </c>
      <c r="CJ26" s="2212">
        <v>19558.849999999999</v>
      </c>
      <c r="CK26" s="2212">
        <v>18418.53</v>
      </c>
      <c r="CL26" s="2212">
        <v>20952.63</v>
      </c>
      <c r="CM26" s="2212">
        <v>18900</v>
      </c>
      <c r="CN26" s="2212">
        <v>23351.68</v>
      </c>
      <c r="CO26" s="2212">
        <v>16261.9</v>
      </c>
      <c r="CP26" s="2212">
        <v>16400</v>
      </c>
      <c r="CQ26" s="2212">
        <v>20959.439999999999</v>
      </c>
      <c r="CR26" s="2212">
        <v>21068.35</v>
      </c>
      <c r="CS26" s="2212">
        <v>19887.509999999998</v>
      </c>
      <c r="CT26" s="2212">
        <v>14860.55</v>
      </c>
      <c r="CU26" s="2212">
        <v>20029.84</v>
      </c>
      <c r="CV26" s="2212">
        <v>17005.59</v>
      </c>
      <c r="CW26" s="2212">
        <v>19521.59</v>
      </c>
      <c r="CX26" s="2212">
        <v>23650</v>
      </c>
      <c r="CY26" s="2212">
        <v>14134.86</v>
      </c>
      <c r="CZ26" s="2212">
        <v>17650</v>
      </c>
      <c r="DA26" s="2212">
        <v>25533.119999999999</v>
      </c>
      <c r="DB26" s="2212">
        <v>23852.46</v>
      </c>
      <c r="DC26" s="2212">
        <v>19923.25</v>
      </c>
      <c r="DD26" s="2212">
        <v>16675.61</v>
      </c>
      <c r="DE26" s="2212">
        <v>22955</v>
      </c>
      <c r="DF26" s="2212">
        <v>19923.34</v>
      </c>
      <c r="DG26" s="2212">
        <v>23698.68</v>
      </c>
      <c r="DH26" s="2212">
        <v>17997.169999999998</v>
      </c>
      <c r="DI26" s="2212">
        <v>30614.91</v>
      </c>
      <c r="DJ26" s="2212">
        <v>17872.490000000002</v>
      </c>
      <c r="DK26" s="2212">
        <v>22583.200000000001</v>
      </c>
      <c r="DL26" s="2212">
        <v>32245.72</v>
      </c>
      <c r="DM26" s="2212">
        <v>36747.85</v>
      </c>
      <c r="DN26" s="2212">
        <v>18540.990000000002</v>
      </c>
      <c r="DO26" s="2212">
        <v>19911.849999999999</v>
      </c>
      <c r="DP26" s="2212">
        <v>15697.04</v>
      </c>
      <c r="DQ26" s="2212">
        <v>38553.050000000003</v>
      </c>
      <c r="DR26" s="2212">
        <v>21219.74</v>
      </c>
      <c r="DS26" s="2212">
        <v>20087.47</v>
      </c>
      <c r="DT26" s="2212">
        <v>24473.1</v>
      </c>
      <c r="DU26" s="2212">
        <v>24839.040000000001</v>
      </c>
      <c r="DV26" s="2212">
        <v>34011.08</v>
      </c>
      <c r="DW26" s="2212">
        <v>18628.21</v>
      </c>
      <c r="DX26" s="2212">
        <v>21068.23</v>
      </c>
      <c r="DY26" s="2212">
        <v>36809.35</v>
      </c>
      <c r="DZ26" s="2212">
        <v>35622.33</v>
      </c>
      <c r="EA26" s="2212">
        <v>26650</v>
      </c>
      <c r="EB26" s="2212">
        <v>18949.72</v>
      </c>
      <c r="EC26" s="2212">
        <v>19306.14</v>
      </c>
      <c r="ED26" s="2212">
        <v>24839.040000000001</v>
      </c>
      <c r="EE26" s="2212">
        <v>28999.040000000001</v>
      </c>
      <c r="EF26" s="2212">
        <v>49847.19</v>
      </c>
      <c r="EG26" s="2212">
        <v>41438.83</v>
      </c>
      <c r="EH26" s="2212">
        <v>49510.239999999998</v>
      </c>
      <c r="EI26" s="2212">
        <v>24938.21</v>
      </c>
      <c r="EJ26" s="2212">
        <v>30474.43</v>
      </c>
      <c r="EK26" s="2212">
        <v>21750</v>
      </c>
      <c r="EL26" s="2212">
        <v>30411.97</v>
      </c>
      <c r="EM26" s="2212">
        <v>31291.77</v>
      </c>
      <c r="EN26" s="2212">
        <v>16726.7</v>
      </c>
      <c r="EO26" s="2212">
        <v>19328.259999999998</v>
      </c>
      <c r="EP26" s="2212">
        <v>33469.85</v>
      </c>
      <c r="EQ26" s="2212">
        <v>43459.82</v>
      </c>
      <c r="ER26" s="2212">
        <v>24400</v>
      </c>
      <c r="ES26" s="2212">
        <v>20134.89</v>
      </c>
      <c r="ET26" s="2212">
        <v>28591.33</v>
      </c>
      <c r="EU26" s="2212">
        <v>37308.07</v>
      </c>
      <c r="EV26" s="2212">
        <v>25880.66</v>
      </c>
      <c r="EW26" s="2212">
        <v>52966.68</v>
      </c>
      <c r="EX26" s="2212">
        <v>34156.089999999997</v>
      </c>
      <c r="EY26" s="2212">
        <v>21815.97</v>
      </c>
      <c r="EZ26" s="2212">
        <v>21816.25</v>
      </c>
      <c r="FA26" s="2212">
        <v>16666.11</v>
      </c>
      <c r="FB26" s="2212">
        <v>35747.24</v>
      </c>
      <c r="FC26" s="2212">
        <v>44028.69</v>
      </c>
      <c r="FD26" s="2212">
        <v>39300.18</v>
      </c>
      <c r="FE26" s="2212">
        <v>31209.8</v>
      </c>
      <c r="FF26" s="2212">
        <v>38527.699999999997</v>
      </c>
      <c r="FG26" s="2212">
        <v>30411.97</v>
      </c>
      <c r="FH26" s="2212">
        <v>15135.33</v>
      </c>
      <c r="FI26" s="2212">
        <v>22211.32</v>
      </c>
      <c r="FJ26" s="2212">
        <v>31680.86</v>
      </c>
      <c r="FK26" s="2212">
        <v>21677.9</v>
      </c>
      <c r="FL26" s="2212">
        <v>22182.38</v>
      </c>
      <c r="FM26" s="2212">
        <v>18541.22</v>
      </c>
      <c r="FN26" s="2212">
        <v>18922.38</v>
      </c>
      <c r="FO26" s="2212">
        <v>25136.45</v>
      </c>
      <c r="FP26" s="2212">
        <v>27557.47</v>
      </c>
      <c r="FQ26" s="2212">
        <v>21908.74</v>
      </c>
      <c r="FR26" s="2212">
        <v>21076.99</v>
      </c>
      <c r="FS26" s="2212">
        <v>40954.9</v>
      </c>
      <c r="FT26" s="2212">
        <v>18911.73</v>
      </c>
      <c r="FU26" s="2212">
        <v>25632.26</v>
      </c>
      <c r="FV26" s="2212">
        <v>34156.19</v>
      </c>
      <c r="FW26" s="2212">
        <v>31284.22</v>
      </c>
      <c r="FX26" s="2212">
        <v>20498.93</v>
      </c>
      <c r="FY26" s="2212">
        <v>27132.06</v>
      </c>
      <c r="FZ26" s="2212">
        <v>45875.38</v>
      </c>
      <c r="GA26" s="2212">
        <v>20835.46</v>
      </c>
      <c r="GB26" s="2212">
        <v>16339.46</v>
      </c>
      <c r="GC26" s="2212">
        <v>20269.61</v>
      </c>
      <c r="GD26" s="2212">
        <v>48128.6</v>
      </c>
      <c r="GE26" s="2212">
        <v>16903.03</v>
      </c>
      <c r="GF26" s="2212">
        <v>40793.85</v>
      </c>
      <c r="GG26" s="2212">
        <v>46804.480000000003</v>
      </c>
      <c r="GH26" s="2212">
        <v>37361.410000000003</v>
      </c>
      <c r="GI26" s="2212">
        <v>28259.89</v>
      </c>
      <c r="GJ26" s="2212">
        <v>22431.48</v>
      </c>
      <c r="GK26" s="2212">
        <v>36252.71</v>
      </c>
      <c r="GL26" s="2212">
        <v>30456.99</v>
      </c>
      <c r="GM26" s="2212">
        <v>52628.01</v>
      </c>
      <c r="GN26" s="2212">
        <v>23029.37</v>
      </c>
      <c r="GO26" s="2212">
        <v>19236.64</v>
      </c>
      <c r="GP26" s="2212">
        <v>23205.32</v>
      </c>
      <c r="GQ26" s="2212">
        <v>43344.86</v>
      </c>
      <c r="GR26" s="2212">
        <v>19511.759999999998</v>
      </c>
      <c r="GS26" s="2212">
        <v>19520.8</v>
      </c>
      <c r="GT26" s="2212">
        <v>33467.230000000003</v>
      </c>
      <c r="GU26" s="2212">
        <v>35861.769999999997</v>
      </c>
      <c r="GV26" s="2212">
        <v>55910.61</v>
      </c>
      <c r="GW26" s="2212">
        <v>15447.26</v>
      </c>
      <c r="GX26" s="2212">
        <v>19655.080000000002</v>
      </c>
      <c r="GY26" s="2212">
        <v>37122.230000000003</v>
      </c>
      <c r="GZ26" s="2212">
        <v>21179.95</v>
      </c>
      <c r="HA26" s="2212">
        <v>59883.38</v>
      </c>
      <c r="HB26" s="2212">
        <v>19532.64</v>
      </c>
      <c r="HC26" s="2212">
        <v>31395.88</v>
      </c>
      <c r="HD26" s="2212">
        <v>24045.73</v>
      </c>
      <c r="HE26" s="2212">
        <v>32598.09</v>
      </c>
      <c r="HF26" s="2212">
        <v>18850</v>
      </c>
      <c r="HG26" s="2212">
        <v>15081.9</v>
      </c>
      <c r="HH26" s="2212">
        <v>21815.88</v>
      </c>
      <c r="HI26" s="2212">
        <v>23665.67</v>
      </c>
      <c r="HJ26" s="2212">
        <v>19032.45</v>
      </c>
      <c r="HK26" s="2212">
        <v>18357.34</v>
      </c>
      <c r="HL26" s="2212">
        <v>45141.43</v>
      </c>
      <c r="HM26" s="2212">
        <v>42811.22</v>
      </c>
      <c r="HN26" s="2212">
        <v>20412.89</v>
      </c>
      <c r="HO26" s="2212">
        <v>34626.089999999997</v>
      </c>
      <c r="HP26" s="2212">
        <v>21815.88</v>
      </c>
      <c r="HQ26" s="2212">
        <v>53420.21</v>
      </c>
      <c r="HR26" s="2212">
        <v>45706.1</v>
      </c>
      <c r="HS26" s="2212">
        <v>20269.57</v>
      </c>
      <c r="HT26" s="2212">
        <v>21677.9</v>
      </c>
      <c r="HU26" s="2212">
        <v>57344.03</v>
      </c>
      <c r="HV26" s="2212">
        <v>22453.84</v>
      </c>
      <c r="HW26" s="2212">
        <v>20190.560000000001</v>
      </c>
      <c r="HX26" s="2212">
        <v>27912.95</v>
      </c>
      <c r="HY26" s="2212">
        <v>55528.34</v>
      </c>
      <c r="HZ26" s="2212">
        <v>49543.58</v>
      </c>
      <c r="IA26" s="2212">
        <v>19032.240000000002</v>
      </c>
      <c r="IB26" s="2212">
        <v>20769.009999999998</v>
      </c>
      <c r="IC26" s="2212">
        <v>31974.38</v>
      </c>
      <c r="ID26" s="2212">
        <v>15135.83</v>
      </c>
      <c r="IE26" s="2212">
        <v>60340.42</v>
      </c>
      <c r="IF26" s="2212">
        <v>53318.35</v>
      </c>
      <c r="IG26" s="2212">
        <v>49510.239999999998</v>
      </c>
      <c r="IH26" s="2212">
        <v>33912.86</v>
      </c>
      <c r="II26" s="2212">
        <v>19521.37</v>
      </c>
      <c r="IJ26" s="2212">
        <v>23873.26</v>
      </c>
      <c r="IK26" s="2212">
        <v>22202.05</v>
      </c>
      <c r="IL26" s="2212">
        <v>22261.52</v>
      </c>
      <c r="IM26" s="2212">
        <v>22431.25</v>
      </c>
      <c r="IN26" s="2212">
        <v>54742.76</v>
      </c>
      <c r="IO26" s="2212">
        <v>43120.62</v>
      </c>
      <c r="IP26" s="2212">
        <v>18628.22</v>
      </c>
      <c r="IQ26" s="2212">
        <v>32127.06</v>
      </c>
      <c r="IR26" s="2212">
        <v>34136.629999999997</v>
      </c>
      <c r="IS26" s="2212">
        <v>20412.82</v>
      </c>
      <c r="IT26" s="2212">
        <v>20087.88</v>
      </c>
      <c r="IU26" s="2911">
        <v>20190.669999999998</v>
      </c>
      <c r="IV26" s="2911">
        <v>21375.040000000001</v>
      </c>
      <c r="IW26" s="2911">
        <v>22906.36</v>
      </c>
      <c r="IX26" s="2911">
        <v>24406.36</v>
      </c>
      <c r="IY26" s="2207"/>
      <c r="IZ26" s="2215">
        <f t="shared" si="6"/>
        <v>17</v>
      </c>
    </row>
    <row r="27" spans="1:260">
      <c r="A27" s="2214">
        <v>18</v>
      </c>
      <c r="B27" s="2212">
        <v>63262.5</v>
      </c>
      <c r="C27" s="2927">
        <v>56900.01</v>
      </c>
      <c r="D27" s="2927">
        <v>51818.26</v>
      </c>
      <c r="E27" s="2212">
        <v>50191.14</v>
      </c>
      <c r="F27" s="2927">
        <v>50206.99</v>
      </c>
      <c r="G27" s="2212">
        <v>49531.67</v>
      </c>
      <c r="H27" s="2927">
        <v>47728</v>
      </c>
      <c r="I27" s="2212">
        <v>43461.760000000002</v>
      </c>
      <c r="J27" s="2212">
        <v>47718.67</v>
      </c>
      <c r="K27" s="2212">
        <v>45017.54</v>
      </c>
      <c r="L27" s="2927">
        <v>42001.65</v>
      </c>
      <c r="M27" s="2212">
        <v>41535.120000000003</v>
      </c>
      <c r="N27" s="2927">
        <v>38084.92</v>
      </c>
      <c r="O27" s="2212">
        <v>37176.160000000003</v>
      </c>
      <c r="P27" s="2927">
        <v>34193.06</v>
      </c>
      <c r="Q27" s="2927">
        <v>28994.75</v>
      </c>
      <c r="R27" s="2212">
        <v>33193.06</v>
      </c>
      <c r="S27" s="2212">
        <v>33193.06</v>
      </c>
      <c r="T27" s="2212">
        <v>32238.6</v>
      </c>
      <c r="U27" s="2212">
        <v>32238.6</v>
      </c>
      <c r="V27" s="2212">
        <v>32238.6</v>
      </c>
      <c r="W27" s="2212">
        <v>32238.6</v>
      </c>
      <c r="X27" s="2212">
        <v>30143.97</v>
      </c>
      <c r="Y27" s="2927">
        <v>34370.589999999997</v>
      </c>
      <c r="Z27" s="2923">
        <v>32150</v>
      </c>
      <c r="AA27" s="2930">
        <v>32150</v>
      </c>
      <c r="AB27" s="2927">
        <v>33370.589999999997</v>
      </c>
      <c r="AC27" s="2212">
        <v>29697.78</v>
      </c>
      <c r="AD27" s="2923">
        <v>30697.78</v>
      </c>
      <c r="AE27" s="2927">
        <v>32227.53</v>
      </c>
      <c r="AF27" s="2927">
        <v>29649.16</v>
      </c>
      <c r="AG27" s="2927">
        <v>29649.16</v>
      </c>
      <c r="AH27" s="2927">
        <v>31476.42</v>
      </c>
      <c r="AI27" s="2927">
        <v>28959.96</v>
      </c>
      <c r="AJ27" s="2927">
        <v>26751.33</v>
      </c>
      <c r="AK27" s="2927">
        <v>21966.97</v>
      </c>
      <c r="AL27" s="2927">
        <v>20162.29</v>
      </c>
      <c r="AM27" s="2927">
        <v>19338.330000000002</v>
      </c>
      <c r="AN27" s="2212">
        <v>20966.97</v>
      </c>
      <c r="AO27" s="2212">
        <v>19162.29</v>
      </c>
      <c r="AP27" s="2212">
        <v>18158.330000000002</v>
      </c>
      <c r="AQ27" s="2923">
        <v>26962</v>
      </c>
      <c r="AR27" s="2923">
        <v>25262</v>
      </c>
      <c r="AS27" s="2927">
        <v>23942.61</v>
      </c>
      <c r="AT27" s="2927">
        <v>23496.44</v>
      </c>
      <c r="AU27" s="2928">
        <v>22021.52</v>
      </c>
      <c r="AV27" s="2212">
        <v>19414.919999999998</v>
      </c>
      <c r="AW27" s="2212">
        <v>18554.939999999999</v>
      </c>
      <c r="AX27" s="2212">
        <v>21705.61</v>
      </c>
      <c r="AY27" s="2212">
        <v>21467.64</v>
      </c>
      <c r="AZ27" s="2212">
        <v>22032.87</v>
      </c>
      <c r="BA27" s="2212">
        <v>22062.57</v>
      </c>
      <c r="BB27" s="2212">
        <v>21467.64</v>
      </c>
      <c r="BC27" s="2212">
        <v>21456.25</v>
      </c>
      <c r="BD27" s="2212">
        <v>22211.32</v>
      </c>
      <c r="BE27" s="2212">
        <v>23034.39</v>
      </c>
      <c r="BF27" s="2212">
        <v>22434.45</v>
      </c>
      <c r="BG27" s="2212">
        <v>18104.330000000002</v>
      </c>
      <c r="BH27" s="2212">
        <v>25950</v>
      </c>
      <c r="BI27" s="2212">
        <v>26871.72</v>
      </c>
      <c r="BJ27" s="2212">
        <v>14570.77</v>
      </c>
      <c r="BK27" s="2212">
        <v>14570.77</v>
      </c>
      <c r="BL27" s="2212">
        <v>32150</v>
      </c>
      <c r="BM27" s="2212">
        <v>31492.57</v>
      </c>
      <c r="BN27" s="2212">
        <v>32127.06</v>
      </c>
      <c r="BO27" s="2212">
        <v>31490.32</v>
      </c>
      <c r="BP27" s="2212">
        <v>38660.01</v>
      </c>
      <c r="BQ27" s="2212">
        <v>24045.759999999998</v>
      </c>
      <c r="BR27" s="2212">
        <v>41507.11</v>
      </c>
      <c r="BS27" s="2212">
        <v>35844.11</v>
      </c>
      <c r="BT27" s="2212">
        <v>29700</v>
      </c>
      <c r="BU27" s="2212">
        <v>34283.74</v>
      </c>
      <c r="BV27" s="2212">
        <v>44196.6</v>
      </c>
      <c r="BW27" s="2212">
        <v>47071.26</v>
      </c>
      <c r="BX27" s="2212">
        <v>33529.39</v>
      </c>
      <c r="BY27" s="2212">
        <v>18858.07</v>
      </c>
      <c r="BZ27" s="2212">
        <v>49821.31</v>
      </c>
      <c r="CA27" s="2212">
        <v>20492.419999999998</v>
      </c>
      <c r="CB27" s="2212">
        <v>20635.63</v>
      </c>
      <c r="CC27" s="2212">
        <v>20269.59</v>
      </c>
      <c r="CD27" s="2212">
        <v>29454.080000000002</v>
      </c>
      <c r="CE27" s="2212">
        <v>30855.27</v>
      </c>
      <c r="CF27" s="2212">
        <v>37184.120000000003</v>
      </c>
      <c r="CG27" s="2212">
        <v>26995.61</v>
      </c>
      <c r="CH27" s="2927">
        <v>29068.93</v>
      </c>
      <c r="CI27" s="2927">
        <v>22966.97</v>
      </c>
      <c r="CJ27" s="2212">
        <v>19558.849999999999</v>
      </c>
      <c r="CK27" s="2212">
        <v>18418.53</v>
      </c>
      <c r="CL27" s="2212">
        <v>20952.63</v>
      </c>
      <c r="CM27" s="2212">
        <v>18900</v>
      </c>
      <c r="CN27" s="2212">
        <v>23619.41</v>
      </c>
      <c r="CO27" s="2212">
        <v>16261.9</v>
      </c>
      <c r="CP27" s="2212">
        <v>16400</v>
      </c>
      <c r="CQ27" s="2212">
        <v>21202.38</v>
      </c>
      <c r="CR27" s="2212">
        <v>21434.3</v>
      </c>
      <c r="CS27" s="2212">
        <v>20195.12</v>
      </c>
      <c r="CT27" s="2212">
        <v>14860.55</v>
      </c>
      <c r="CU27" s="2212">
        <v>20029.84</v>
      </c>
      <c r="CV27" s="2212">
        <v>17005.59</v>
      </c>
      <c r="CW27" s="2212">
        <v>19521.59</v>
      </c>
      <c r="CX27" s="2212">
        <v>23650</v>
      </c>
      <c r="CY27" s="2212">
        <v>14134.86</v>
      </c>
      <c r="CZ27" s="2212">
        <v>17650</v>
      </c>
      <c r="DA27" s="2212">
        <v>25533.119999999999</v>
      </c>
      <c r="DB27" s="2212">
        <v>23852.46</v>
      </c>
      <c r="DC27" s="2212">
        <v>19923.25</v>
      </c>
      <c r="DD27" s="2212">
        <v>16840.12</v>
      </c>
      <c r="DE27" s="2212">
        <v>22955</v>
      </c>
      <c r="DF27" s="2212">
        <v>19923.34</v>
      </c>
      <c r="DG27" s="2212">
        <v>23698.68</v>
      </c>
      <c r="DH27" s="2212">
        <v>17997.169999999998</v>
      </c>
      <c r="DI27" s="2212">
        <v>30614.91</v>
      </c>
      <c r="DJ27" s="2212">
        <v>18084.099999999999</v>
      </c>
      <c r="DK27" s="2212">
        <v>22855.89</v>
      </c>
      <c r="DL27" s="2212">
        <v>33380.14</v>
      </c>
      <c r="DM27" s="2212">
        <v>36833.379999999997</v>
      </c>
      <c r="DN27" s="2212">
        <v>18852.89</v>
      </c>
      <c r="DO27" s="2212">
        <v>19911.849999999999</v>
      </c>
      <c r="DP27" s="2212">
        <v>15861</v>
      </c>
      <c r="DQ27" s="2212">
        <v>38990.83</v>
      </c>
      <c r="DR27" s="2212">
        <v>21219.74</v>
      </c>
      <c r="DS27" s="2212">
        <v>20453.39</v>
      </c>
      <c r="DT27" s="2212">
        <v>24473.1</v>
      </c>
      <c r="DU27" s="2212">
        <v>25106.77</v>
      </c>
      <c r="DV27" s="2212">
        <v>34011.08</v>
      </c>
      <c r="DW27" s="2212">
        <v>18858.060000000001</v>
      </c>
      <c r="DX27" s="2212">
        <v>21434.17</v>
      </c>
      <c r="DY27" s="2212">
        <v>37876.639999999999</v>
      </c>
      <c r="DZ27" s="2212">
        <v>35622.33</v>
      </c>
      <c r="EA27" s="2212">
        <v>26650</v>
      </c>
      <c r="EB27" s="2212">
        <v>19265.79</v>
      </c>
      <c r="EC27" s="2212">
        <v>19940.05</v>
      </c>
      <c r="ED27" s="2212">
        <v>25106.77</v>
      </c>
      <c r="EE27" s="2212">
        <v>28999.040000000001</v>
      </c>
      <c r="EF27" s="2212">
        <v>49847.19</v>
      </c>
      <c r="EG27" s="2212">
        <v>41890.519999999997</v>
      </c>
      <c r="EH27" s="2212">
        <v>49510.239999999998</v>
      </c>
      <c r="EI27" s="2212">
        <v>25111.74</v>
      </c>
      <c r="EJ27" s="2212">
        <v>31490.18</v>
      </c>
      <c r="EK27" s="2212">
        <v>21750</v>
      </c>
      <c r="EL27" s="2212">
        <v>31526.7</v>
      </c>
      <c r="EM27" s="2212">
        <v>31775.17</v>
      </c>
      <c r="EN27" s="2212">
        <v>16888</v>
      </c>
      <c r="EO27" s="2212">
        <v>19328.259999999998</v>
      </c>
      <c r="EP27" s="2212">
        <v>33843.06</v>
      </c>
      <c r="EQ27" s="2212">
        <v>43459.82</v>
      </c>
      <c r="ER27" s="2212">
        <v>24400</v>
      </c>
      <c r="ES27" s="2212">
        <v>20327.78</v>
      </c>
      <c r="ET27" s="2212">
        <v>29696.69</v>
      </c>
      <c r="EU27" s="2212">
        <v>37308.07</v>
      </c>
      <c r="EV27" s="2212">
        <v>25880.66</v>
      </c>
      <c r="EW27" s="2212">
        <v>52966.68</v>
      </c>
      <c r="EX27" s="2212">
        <v>35407.61</v>
      </c>
      <c r="EY27" s="2212">
        <v>21815.97</v>
      </c>
      <c r="EZ27" s="2212">
        <v>22182.19</v>
      </c>
      <c r="FA27" s="2212">
        <v>16830.54</v>
      </c>
      <c r="FB27" s="2212">
        <v>36151.24</v>
      </c>
      <c r="FC27" s="2212">
        <v>44531.3</v>
      </c>
      <c r="FD27" s="2212">
        <v>40691.39</v>
      </c>
      <c r="FE27" s="2212">
        <v>31209.8</v>
      </c>
      <c r="FF27" s="2212">
        <v>38654.129999999997</v>
      </c>
      <c r="FG27" s="2212">
        <v>31526.7</v>
      </c>
      <c r="FH27" s="2212">
        <v>15205.41</v>
      </c>
      <c r="FI27" s="2212">
        <v>22211.32</v>
      </c>
      <c r="FJ27" s="2212">
        <v>31680.86</v>
      </c>
      <c r="FK27" s="2212">
        <v>21677.9</v>
      </c>
      <c r="FL27" s="2212">
        <v>22548.33</v>
      </c>
      <c r="FM27" s="2212">
        <v>19165.12</v>
      </c>
      <c r="FN27" s="2212">
        <v>19240.68</v>
      </c>
      <c r="FO27" s="2212">
        <v>25136.45</v>
      </c>
      <c r="FP27" s="2212">
        <v>28300.21</v>
      </c>
      <c r="FQ27" s="2212">
        <v>21908.74</v>
      </c>
      <c r="FR27" s="2212">
        <v>21495.34</v>
      </c>
      <c r="FS27" s="2212">
        <v>42292.59</v>
      </c>
      <c r="FT27" s="2212">
        <v>19229.86</v>
      </c>
      <c r="FU27" s="2212">
        <v>25632.26</v>
      </c>
      <c r="FV27" s="2212">
        <v>35407.730000000003</v>
      </c>
      <c r="FW27" s="2212">
        <v>31654.58</v>
      </c>
      <c r="FX27" s="2212">
        <v>20797.39</v>
      </c>
      <c r="FY27" s="2212">
        <v>27342.77</v>
      </c>
      <c r="FZ27" s="2212">
        <v>45875.38</v>
      </c>
      <c r="GA27" s="2212">
        <v>21201.38</v>
      </c>
      <c r="GB27" s="2212">
        <v>16500.64</v>
      </c>
      <c r="GC27" s="2212">
        <v>20269.61</v>
      </c>
      <c r="GD27" s="2212">
        <v>48128.6</v>
      </c>
      <c r="GE27" s="2212">
        <v>17067.54</v>
      </c>
      <c r="GF27" s="2212">
        <v>41253.67</v>
      </c>
      <c r="GG27" s="2212">
        <v>47354.44</v>
      </c>
      <c r="GH27" s="2212">
        <v>37538.660000000003</v>
      </c>
      <c r="GI27" s="2212">
        <v>28259.89</v>
      </c>
      <c r="GJ27" s="2212">
        <v>22664.38</v>
      </c>
      <c r="GK27" s="2212">
        <v>37191.85</v>
      </c>
      <c r="GL27" s="2212">
        <v>31472.14</v>
      </c>
      <c r="GM27" s="2212">
        <v>53238.7</v>
      </c>
      <c r="GN27" s="2212">
        <v>23029.37</v>
      </c>
      <c r="GO27" s="2212">
        <v>19360.59</v>
      </c>
      <c r="GP27" s="2212">
        <v>23425.95</v>
      </c>
      <c r="GQ27" s="2212">
        <v>43825.58</v>
      </c>
      <c r="GR27" s="2212">
        <v>19823.66</v>
      </c>
      <c r="GS27" s="2212">
        <v>19520.8</v>
      </c>
      <c r="GT27" s="2212">
        <v>34693.51</v>
      </c>
      <c r="GU27" s="2212">
        <v>36772.19</v>
      </c>
      <c r="GV27" s="2212">
        <v>55910.61</v>
      </c>
      <c r="GW27" s="2212">
        <v>15518.81</v>
      </c>
      <c r="GX27" s="2212">
        <v>19966.98</v>
      </c>
      <c r="GY27" s="2212">
        <v>38084.93</v>
      </c>
      <c r="GZ27" s="2212">
        <v>21490.47</v>
      </c>
      <c r="HA27" s="2212">
        <v>60572.95</v>
      </c>
      <c r="HB27" s="2212">
        <v>19532.64</v>
      </c>
      <c r="HC27" s="2212">
        <v>31395.88</v>
      </c>
      <c r="HD27" s="2212">
        <v>24045.73</v>
      </c>
      <c r="HE27" s="2212">
        <v>32598.09</v>
      </c>
      <c r="HF27" s="2212">
        <v>18850</v>
      </c>
      <c r="HG27" s="2212">
        <v>15172.96</v>
      </c>
      <c r="HH27" s="2212">
        <v>21815.88</v>
      </c>
      <c r="HI27" s="2212">
        <v>23665.67</v>
      </c>
      <c r="HJ27" s="2212">
        <v>19359.25</v>
      </c>
      <c r="HK27" s="2212">
        <v>18666.150000000001</v>
      </c>
      <c r="HL27" s="2212">
        <v>45141.43</v>
      </c>
      <c r="HM27" s="2212">
        <v>42811.22</v>
      </c>
      <c r="HN27" s="2212">
        <v>20412.89</v>
      </c>
      <c r="HO27" s="2212">
        <v>35877.58</v>
      </c>
      <c r="HP27" s="2212">
        <v>21815.88</v>
      </c>
      <c r="HQ27" s="2212">
        <v>54784.65</v>
      </c>
      <c r="HR27" s="2212">
        <v>46214.98</v>
      </c>
      <c r="HS27" s="2212">
        <v>20269.57</v>
      </c>
      <c r="HT27" s="2212">
        <v>21677.9</v>
      </c>
      <c r="HU27" s="2212">
        <v>57344.03</v>
      </c>
      <c r="HV27" s="2212">
        <v>22818.07</v>
      </c>
      <c r="HW27" s="2212">
        <v>20501.080000000002</v>
      </c>
      <c r="HX27" s="2212">
        <v>28160.85</v>
      </c>
      <c r="HY27" s="2212">
        <v>56170.54</v>
      </c>
      <c r="HZ27" s="2212">
        <v>50125.74</v>
      </c>
      <c r="IA27" s="2212">
        <v>19359.04</v>
      </c>
      <c r="IB27" s="2212">
        <v>20769.009999999998</v>
      </c>
      <c r="IC27" s="2212">
        <v>32969.65</v>
      </c>
      <c r="ID27" s="2212">
        <v>15205.91</v>
      </c>
      <c r="IE27" s="2212">
        <v>60340.42</v>
      </c>
      <c r="IF27" s="2212">
        <v>53318.35</v>
      </c>
      <c r="IG27" s="2212">
        <v>49510.239999999998</v>
      </c>
      <c r="IH27" s="2212">
        <v>35139.14</v>
      </c>
      <c r="II27" s="2212">
        <v>19833.27</v>
      </c>
      <c r="IJ27" s="2212">
        <v>23873.26</v>
      </c>
      <c r="IK27" s="2212">
        <v>22202.05</v>
      </c>
      <c r="IL27" s="2212">
        <v>22261.52</v>
      </c>
      <c r="IM27" s="2212">
        <v>22431.25</v>
      </c>
      <c r="IN27" s="2212">
        <v>54742.76</v>
      </c>
      <c r="IO27" s="2212">
        <v>44477.24</v>
      </c>
      <c r="IP27" s="2212">
        <v>18858.07</v>
      </c>
      <c r="IQ27" s="2212">
        <v>32127.06</v>
      </c>
      <c r="IR27" s="2212">
        <v>35387.449999999997</v>
      </c>
      <c r="IS27" s="2212">
        <v>20412.82</v>
      </c>
      <c r="IT27" s="2212">
        <v>20453.82</v>
      </c>
      <c r="IU27" s="2911">
        <v>20190.669999999998</v>
      </c>
      <c r="IV27" s="2911">
        <v>21375.040000000001</v>
      </c>
      <c r="IW27" s="2911">
        <v>22906.36</v>
      </c>
      <c r="IX27" s="2911">
        <v>24406.36</v>
      </c>
      <c r="IY27" s="2207"/>
      <c r="IZ27" s="2215">
        <f t="shared" si="6"/>
        <v>18</v>
      </c>
    </row>
    <row r="28" spans="1:260">
      <c r="A28" s="2214">
        <v>19</v>
      </c>
      <c r="B28" s="2212">
        <v>63262.5</v>
      </c>
      <c r="C28" s="2927">
        <v>56900.01</v>
      </c>
      <c r="D28" s="2927">
        <v>51818.26</v>
      </c>
      <c r="E28" s="2212">
        <v>50570.42</v>
      </c>
      <c r="F28" s="2927">
        <v>50578.84</v>
      </c>
      <c r="G28" s="2212">
        <v>49781.3</v>
      </c>
      <c r="H28" s="2927">
        <v>47963.5</v>
      </c>
      <c r="I28" s="2212">
        <v>43908.47</v>
      </c>
      <c r="J28" s="2212">
        <v>48191.66</v>
      </c>
      <c r="K28" s="2212">
        <v>45463.75</v>
      </c>
      <c r="L28" s="2927">
        <v>42423.07</v>
      </c>
      <c r="M28" s="2212">
        <v>41979.35</v>
      </c>
      <c r="N28" s="2927">
        <v>38481.550000000003</v>
      </c>
      <c r="O28" s="2212">
        <v>37537.1</v>
      </c>
      <c r="P28" s="2927">
        <v>34515.33</v>
      </c>
      <c r="Q28" s="2927">
        <v>29245.13</v>
      </c>
      <c r="R28" s="2212">
        <v>33515.33</v>
      </c>
      <c r="S28" s="2212">
        <v>33515.33</v>
      </c>
      <c r="T28" s="2212">
        <v>32560.87</v>
      </c>
      <c r="U28" s="2212">
        <v>32560.87</v>
      </c>
      <c r="V28" s="2212">
        <v>32560.87</v>
      </c>
      <c r="W28" s="2212">
        <v>32560.87</v>
      </c>
      <c r="X28" s="2212">
        <v>30491.03</v>
      </c>
      <c r="Y28" s="2927">
        <v>34748.880000000005</v>
      </c>
      <c r="Z28" s="2923">
        <v>32419</v>
      </c>
      <c r="AA28" s="2930">
        <v>32419</v>
      </c>
      <c r="AB28" s="2927">
        <v>33748.880000000005</v>
      </c>
      <c r="AC28" s="2212">
        <v>30044.84</v>
      </c>
      <c r="AD28" s="2923">
        <v>31044.84</v>
      </c>
      <c r="AE28" s="2927">
        <v>32578.799999999999</v>
      </c>
      <c r="AF28" s="2927">
        <v>29971.43</v>
      </c>
      <c r="AG28" s="2927">
        <v>29971.43</v>
      </c>
      <c r="AH28" s="2927">
        <v>31808.78</v>
      </c>
      <c r="AI28" s="2927">
        <v>29264.87</v>
      </c>
      <c r="AJ28" s="2927">
        <v>27038.89</v>
      </c>
      <c r="AK28" s="2927">
        <v>22155.37</v>
      </c>
      <c r="AL28" s="2927">
        <v>20311.03</v>
      </c>
      <c r="AM28" s="2927">
        <v>19474.68</v>
      </c>
      <c r="AN28" s="2212">
        <v>21155.37</v>
      </c>
      <c r="AO28" s="2212">
        <v>19311.03</v>
      </c>
      <c r="AP28" s="2212">
        <v>18294.68</v>
      </c>
      <c r="AQ28" s="2923">
        <v>27161</v>
      </c>
      <c r="AR28" s="2923">
        <v>25461</v>
      </c>
      <c r="AS28" s="2927">
        <v>24173.16</v>
      </c>
      <c r="AT28" s="2927">
        <v>23744.34</v>
      </c>
      <c r="AU28" s="2928">
        <v>22219.84</v>
      </c>
      <c r="AV28" s="2212">
        <v>20016.689999999999</v>
      </c>
      <c r="AW28" s="2212">
        <v>19107.13</v>
      </c>
      <c r="AX28" s="2212">
        <v>21943.59</v>
      </c>
      <c r="AY28" s="2212">
        <v>22087.38</v>
      </c>
      <c r="AZ28" s="2212">
        <v>22285.73</v>
      </c>
      <c r="BA28" s="2212">
        <v>22607.94</v>
      </c>
      <c r="BB28" s="2212">
        <v>22087.38</v>
      </c>
      <c r="BC28" s="2212">
        <v>22096.44</v>
      </c>
      <c r="BD28" s="2212">
        <v>22831.06</v>
      </c>
      <c r="BE28" s="2212">
        <v>23274.85</v>
      </c>
      <c r="BF28" s="2212">
        <v>23153.35</v>
      </c>
      <c r="BG28" s="2212">
        <v>18233.740000000002</v>
      </c>
      <c r="BH28" s="2212">
        <v>26550</v>
      </c>
      <c r="BI28" s="2212">
        <v>27144.41</v>
      </c>
      <c r="BJ28" s="2212">
        <v>14837.56</v>
      </c>
      <c r="BK28" s="2212">
        <v>14837.56</v>
      </c>
      <c r="BL28" s="2212">
        <v>33150</v>
      </c>
      <c r="BM28" s="2212">
        <v>31834.67</v>
      </c>
      <c r="BN28" s="2212">
        <v>33118.639999999999</v>
      </c>
      <c r="BO28" s="2212">
        <v>31490.32</v>
      </c>
      <c r="BP28" s="2212">
        <v>39791.769999999997</v>
      </c>
      <c r="BQ28" s="2212">
        <v>24789.45</v>
      </c>
      <c r="BR28" s="2212">
        <v>42688.85</v>
      </c>
      <c r="BS28" s="2212">
        <v>36889.11</v>
      </c>
      <c r="BT28" s="2212">
        <v>30700</v>
      </c>
      <c r="BU28" s="2212">
        <v>35324.9</v>
      </c>
      <c r="BV28" s="2212">
        <v>45480.89</v>
      </c>
      <c r="BW28" s="2212">
        <v>48448.83</v>
      </c>
      <c r="BX28" s="2212">
        <v>34504.730000000003</v>
      </c>
      <c r="BY28" s="2212">
        <v>19087.919999999998</v>
      </c>
      <c r="BZ28" s="2212">
        <v>50369.9</v>
      </c>
      <c r="CA28" s="2212">
        <v>21116.32</v>
      </c>
      <c r="CB28" s="2212">
        <v>21259.53</v>
      </c>
      <c r="CC28" s="2212">
        <v>20893.490000000002</v>
      </c>
      <c r="CD28" s="2212">
        <v>29549.1</v>
      </c>
      <c r="CE28" s="2212">
        <v>30855.27</v>
      </c>
      <c r="CF28" s="2212">
        <v>37927.81</v>
      </c>
      <c r="CG28" s="2212">
        <v>27764.080000000002</v>
      </c>
      <c r="CH28" s="2927">
        <v>29382.37</v>
      </c>
      <c r="CI28" s="2927">
        <v>23155.37</v>
      </c>
      <c r="CJ28" s="2212">
        <v>20153.8</v>
      </c>
      <c r="CK28" s="2212">
        <v>18963.900000000001</v>
      </c>
      <c r="CL28" s="2212">
        <v>21457.64</v>
      </c>
      <c r="CM28" s="2212">
        <v>19500</v>
      </c>
      <c r="CN28" s="2212">
        <v>23887.14</v>
      </c>
      <c r="CO28" s="2212">
        <v>16608.96</v>
      </c>
      <c r="CP28" s="2212">
        <v>16750</v>
      </c>
      <c r="CQ28" s="2212">
        <v>21445.32</v>
      </c>
      <c r="CR28" s="2212">
        <v>21800.25</v>
      </c>
      <c r="CS28" s="2212">
        <v>20502.73</v>
      </c>
      <c r="CT28" s="2212">
        <v>15011.94</v>
      </c>
      <c r="CU28" s="2212">
        <v>20575.21</v>
      </c>
      <c r="CV28" s="2212">
        <v>17352.650000000001</v>
      </c>
      <c r="CW28" s="2212">
        <v>20145.490000000002</v>
      </c>
      <c r="CX28" s="2212">
        <v>24250</v>
      </c>
      <c r="CY28" s="2212">
        <v>14210.55</v>
      </c>
      <c r="CZ28" s="2212">
        <v>18000</v>
      </c>
      <c r="DA28" s="2212">
        <v>26276.81</v>
      </c>
      <c r="DB28" s="2212">
        <v>24298.35</v>
      </c>
      <c r="DC28" s="2212">
        <v>20559.990000000002</v>
      </c>
      <c r="DD28" s="2212">
        <v>17004.63</v>
      </c>
      <c r="DE28" s="2212">
        <v>23574.74</v>
      </c>
      <c r="DF28" s="2212">
        <v>20560.080000000002</v>
      </c>
      <c r="DG28" s="2212">
        <v>24318.42</v>
      </c>
      <c r="DH28" s="2212">
        <v>18344.23</v>
      </c>
      <c r="DI28" s="2212">
        <v>31606.49</v>
      </c>
      <c r="DJ28" s="2212">
        <v>18295.71</v>
      </c>
      <c r="DK28" s="2212">
        <v>23128.58</v>
      </c>
      <c r="DL28" s="2212">
        <v>33380.14</v>
      </c>
      <c r="DM28" s="2212">
        <v>36918.910000000003</v>
      </c>
      <c r="DN28" s="2212">
        <v>19164.79</v>
      </c>
      <c r="DO28" s="2212">
        <v>20548.22</v>
      </c>
      <c r="DP28" s="2212">
        <v>15861</v>
      </c>
      <c r="DQ28" s="2212">
        <v>39428.61</v>
      </c>
      <c r="DR28" s="2212">
        <v>21814.69</v>
      </c>
      <c r="DS28" s="2212">
        <v>20819.310000000001</v>
      </c>
      <c r="DT28" s="2212">
        <v>25019.14</v>
      </c>
      <c r="DU28" s="2212">
        <v>25374.5</v>
      </c>
      <c r="DV28" s="2212">
        <v>35151.4</v>
      </c>
      <c r="DW28" s="2212">
        <v>19087.91</v>
      </c>
      <c r="DX28" s="2212">
        <v>21800.11</v>
      </c>
      <c r="DY28" s="2212">
        <v>37876.639999999999</v>
      </c>
      <c r="DZ28" s="2212">
        <v>36514.75</v>
      </c>
      <c r="EA28" s="2212">
        <v>27450</v>
      </c>
      <c r="EB28" s="2212">
        <v>19581.86</v>
      </c>
      <c r="EC28" s="2212">
        <v>19940.05</v>
      </c>
      <c r="ED28" s="2212">
        <v>25374.5</v>
      </c>
      <c r="EE28" s="2212">
        <v>29948.25</v>
      </c>
      <c r="EF28" s="2212">
        <v>51298.36</v>
      </c>
      <c r="EG28" s="2212">
        <v>42342.21</v>
      </c>
      <c r="EH28" s="2212">
        <v>50893.99</v>
      </c>
      <c r="EI28" s="2212">
        <v>25285.27</v>
      </c>
      <c r="EJ28" s="2212">
        <v>31490.18</v>
      </c>
      <c r="EK28" s="2212">
        <v>22250</v>
      </c>
      <c r="EL28" s="2212">
        <v>31526.7</v>
      </c>
      <c r="EM28" s="2212">
        <v>32258.57</v>
      </c>
      <c r="EN28" s="2212">
        <v>17049.3</v>
      </c>
      <c r="EO28" s="2212">
        <v>19945.990000000002</v>
      </c>
      <c r="EP28" s="2212">
        <v>34216.269999999997</v>
      </c>
      <c r="EQ28" s="2212">
        <v>44703.41</v>
      </c>
      <c r="ER28" s="2212">
        <v>25050</v>
      </c>
      <c r="ES28" s="2212">
        <v>20520.669999999998</v>
      </c>
      <c r="ET28" s="2212">
        <v>29696.69</v>
      </c>
      <c r="EU28" s="2212">
        <v>38051.760000000002</v>
      </c>
      <c r="EV28" s="2212">
        <v>26426.400000000001</v>
      </c>
      <c r="EW28" s="2212">
        <v>54482.28</v>
      </c>
      <c r="EX28" s="2212">
        <v>35407.61</v>
      </c>
      <c r="EY28" s="2212">
        <v>22548.15</v>
      </c>
      <c r="EZ28" s="2212">
        <v>22548.13</v>
      </c>
      <c r="FA28" s="2212">
        <v>16994.97</v>
      </c>
      <c r="FB28" s="2212">
        <v>36555.24</v>
      </c>
      <c r="FC28" s="2212">
        <v>45033.91</v>
      </c>
      <c r="FD28" s="2212">
        <v>40691.39</v>
      </c>
      <c r="FE28" s="2212">
        <v>31978.27</v>
      </c>
      <c r="FF28" s="2212">
        <v>38780.559999999998</v>
      </c>
      <c r="FG28" s="2212">
        <v>31526.7</v>
      </c>
      <c r="FH28" s="2212">
        <v>15275.49</v>
      </c>
      <c r="FI28" s="2212">
        <v>22831.06</v>
      </c>
      <c r="FJ28" s="2212">
        <v>32722.02</v>
      </c>
      <c r="FK28" s="2212">
        <v>21677.9</v>
      </c>
      <c r="FL28" s="2212">
        <v>22914.28</v>
      </c>
      <c r="FM28" s="2212">
        <v>19165.12</v>
      </c>
      <c r="FN28" s="2212">
        <v>19558.98</v>
      </c>
      <c r="FO28" s="2212">
        <v>25706.61</v>
      </c>
      <c r="FP28" s="2212">
        <v>28300.21</v>
      </c>
      <c r="FQ28" s="2212">
        <v>22454.48</v>
      </c>
      <c r="FR28" s="2212">
        <v>21913.69</v>
      </c>
      <c r="FS28" s="2212">
        <v>42292.59</v>
      </c>
      <c r="FT28" s="2212">
        <v>19547.990000000002</v>
      </c>
      <c r="FU28" s="2212">
        <v>26227.21</v>
      </c>
      <c r="FV28" s="2212">
        <v>35407.730000000003</v>
      </c>
      <c r="FW28" s="2212">
        <v>32024.94</v>
      </c>
      <c r="FX28" s="2212">
        <v>21095.85</v>
      </c>
      <c r="FY28" s="2212">
        <v>27553.48</v>
      </c>
      <c r="FZ28" s="2212">
        <v>47175.96</v>
      </c>
      <c r="GA28" s="2212">
        <v>21567.3</v>
      </c>
      <c r="GB28" s="2212">
        <v>16661.82</v>
      </c>
      <c r="GC28" s="2212">
        <v>20893.509999999998</v>
      </c>
      <c r="GD28" s="2212">
        <v>49355.68</v>
      </c>
      <c r="GE28" s="2212">
        <v>17232.05</v>
      </c>
      <c r="GF28" s="2212">
        <v>41713.49</v>
      </c>
      <c r="GG28" s="2212">
        <v>47904.4</v>
      </c>
      <c r="GH28" s="2212">
        <v>37715.910000000003</v>
      </c>
      <c r="GI28" s="2212">
        <v>29152.31</v>
      </c>
      <c r="GJ28" s="2212">
        <v>22897.279999999999</v>
      </c>
      <c r="GK28" s="2212">
        <v>37191.85</v>
      </c>
      <c r="GL28" s="2212">
        <v>31472.14</v>
      </c>
      <c r="GM28" s="2212">
        <v>53849.39</v>
      </c>
      <c r="GN28" s="2212">
        <v>23624.32</v>
      </c>
      <c r="GO28" s="2212">
        <v>19484.54</v>
      </c>
      <c r="GP28" s="2212">
        <v>23646.58</v>
      </c>
      <c r="GQ28" s="2212">
        <v>44306.3</v>
      </c>
      <c r="GR28" s="2212">
        <v>20135.560000000001</v>
      </c>
      <c r="GS28" s="2212">
        <v>20144.669999999998</v>
      </c>
      <c r="GT28" s="2212">
        <v>34693.51</v>
      </c>
      <c r="GU28" s="2212">
        <v>36772.19</v>
      </c>
      <c r="GV28" s="2212">
        <v>57495.7</v>
      </c>
      <c r="GW28" s="2212">
        <v>15590.36</v>
      </c>
      <c r="GX28" s="2212">
        <v>20278.88</v>
      </c>
      <c r="GY28" s="2212">
        <v>38084.93</v>
      </c>
      <c r="GZ28" s="2212">
        <v>21800.99</v>
      </c>
      <c r="HA28" s="2212">
        <v>61262.52</v>
      </c>
      <c r="HB28" s="2212">
        <v>20156.89</v>
      </c>
      <c r="HC28" s="2212">
        <v>32346.23</v>
      </c>
      <c r="HD28" s="2212">
        <v>24665.47</v>
      </c>
      <c r="HE28" s="2212">
        <v>33341.78</v>
      </c>
      <c r="HF28" s="2212">
        <v>19200</v>
      </c>
      <c r="HG28" s="2212">
        <v>15264.02</v>
      </c>
      <c r="HH28" s="2212">
        <v>22551.16</v>
      </c>
      <c r="HI28" s="2212">
        <v>24289.57</v>
      </c>
      <c r="HJ28" s="2212">
        <v>19686.05</v>
      </c>
      <c r="HK28" s="2212">
        <v>18974.96</v>
      </c>
      <c r="HL28" s="2212">
        <v>46356.11</v>
      </c>
      <c r="HM28" s="2212">
        <v>43976.32</v>
      </c>
      <c r="HN28" s="2212">
        <v>21036.79</v>
      </c>
      <c r="HO28" s="2212">
        <v>35877.58</v>
      </c>
      <c r="HP28" s="2212">
        <v>22551.16</v>
      </c>
      <c r="HQ28" s="2212">
        <v>54784.65</v>
      </c>
      <c r="HR28" s="2212">
        <v>46723.86</v>
      </c>
      <c r="HS28" s="2212">
        <v>20893.47</v>
      </c>
      <c r="HT28" s="2212">
        <v>21677.9</v>
      </c>
      <c r="HU28" s="2212">
        <v>59004.95</v>
      </c>
      <c r="HV28" s="2212">
        <v>23182.3</v>
      </c>
      <c r="HW28" s="2212">
        <v>20811.599999999999</v>
      </c>
      <c r="HX28" s="2212">
        <v>28408.75</v>
      </c>
      <c r="HY28" s="2212">
        <v>56812.74</v>
      </c>
      <c r="HZ28" s="2212">
        <v>50707.9</v>
      </c>
      <c r="IA28" s="2212">
        <v>19685.84</v>
      </c>
      <c r="IB28" s="2212">
        <v>21392.91</v>
      </c>
      <c r="IC28" s="2212">
        <v>32969.65</v>
      </c>
      <c r="ID28" s="2212">
        <v>15275.99</v>
      </c>
      <c r="IE28" s="2212">
        <v>62026.89</v>
      </c>
      <c r="IF28" s="2212">
        <v>53318.35</v>
      </c>
      <c r="IG28" s="2212">
        <v>50893.99</v>
      </c>
      <c r="IH28" s="2212">
        <v>35139.14</v>
      </c>
      <c r="II28" s="2212">
        <v>20145.169999999998</v>
      </c>
      <c r="IJ28" s="2212">
        <v>24452.57</v>
      </c>
      <c r="IK28" s="2212">
        <v>22848.19</v>
      </c>
      <c r="IL28" s="2212">
        <v>22996.799999999999</v>
      </c>
      <c r="IM28" s="2212">
        <v>23116.36</v>
      </c>
      <c r="IN28" s="2212">
        <v>54742.76</v>
      </c>
      <c r="IO28" s="2212">
        <v>44477.24</v>
      </c>
      <c r="IP28" s="2212">
        <v>19087.919999999998</v>
      </c>
      <c r="IQ28" s="2212">
        <v>33118.639999999999</v>
      </c>
      <c r="IR28" s="2212">
        <v>35387.449999999997</v>
      </c>
      <c r="IS28" s="2212">
        <v>21036.720000000001</v>
      </c>
      <c r="IT28" s="2212">
        <v>20819.759999999998</v>
      </c>
      <c r="IU28" s="2911">
        <v>20814.28</v>
      </c>
      <c r="IV28" s="2911">
        <v>21910.17</v>
      </c>
      <c r="IW28" s="2911">
        <v>23529.97</v>
      </c>
      <c r="IX28" s="2911">
        <v>25029.97</v>
      </c>
      <c r="IY28" s="2207"/>
      <c r="IZ28" s="2215">
        <f t="shared" si="6"/>
        <v>19</v>
      </c>
    </row>
    <row r="29" spans="1:260">
      <c r="A29" s="2214">
        <v>20</v>
      </c>
      <c r="B29" s="2212">
        <v>64700.29</v>
      </c>
      <c r="C29" s="2927">
        <v>58511.32</v>
      </c>
      <c r="D29" s="2927">
        <v>53305.63</v>
      </c>
      <c r="E29" s="2212">
        <v>50949.7</v>
      </c>
      <c r="F29" s="2927">
        <v>50950.69</v>
      </c>
      <c r="G29" s="2212">
        <v>50030.93</v>
      </c>
      <c r="H29" s="2927">
        <v>48199</v>
      </c>
      <c r="I29" s="2212">
        <v>44355.18</v>
      </c>
      <c r="J29" s="2212">
        <v>48664.65</v>
      </c>
      <c r="K29" s="2212">
        <v>45909.96</v>
      </c>
      <c r="L29" s="2927">
        <v>42844.49</v>
      </c>
      <c r="M29" s="2212">
        <v>42423.58</v>
      </c>
      <c r="N29" s="2927">
        <v>38878.18</v>
      </c>
      <c r="O29" s="2212">
        <v>37898.04</v>
      </c>
      <c r="P29" s="2927">
        <v>34837.599999999999</v>
      </c>
      <c r="Q29" s="2927">
        <v>29495.51</v>
      </c>
      <c r="R29" s="2212">
        <v>33837.599999999999</v>
      </c>
      <c r="S29" s="2212">
        <v>33837.599999999999</v>
      </c>
      <c r="T29" s="2212">
        <v>32883.14</v>
      </c>
      <c r="U29" s="2212">
        <v>32883.14</v>
      </c>
      <c r="V29" s="2212">
        <v>32883.14</v>
      </c>
      <c r="W29" s="2212">
        <v>32882.14</v>
      </c>
      <c r="X29" s="2212">
        <v>30838.09</v>
      </c>
      <c r="Y29" s="2927">
        <v>35127.17</v>
      </c>
      <c r="Z29" s="2923">
        <v>32689</v>
      </c>
      <c r="AA29" s="2930">
        <v>32689</v>
      </c>
      <c r="AB29" s="2927">
        <v>34127.17</v>
      </c>
      <c r="AC29" s="2212">
        <v>30391.9</v>
      </c>
      <c r="AD29" s="2923">
        <v>31391.9</v>
      </c>
      <c r="AE29" s="2927">
        <v>32930.07</v>
      </c>
      <c r="AF29" s="2927">
        <v>30293.7</v>
      </c>
      <c r="AG29" s="2927">
        <v>30293.7</v>
      </c>
      <c r="AH29" s="2927">
        <v>32141.14</v>
      </c>
      <c r="AI29" s="2927">
        <v>29569.78</v>
      </c>
      <c r="AJ29" s="2927">
        <v>27326.45</v>
      </c>
      <c r="AK29" s="2927">
        <v>22343.77</v>
      </c>
      <c r="AL29" s="2927">
        <v>20459.77</v>
      </c>
      <c r="AM29" s="2927">
        <v>19517.573</v>
      </c>
      <c r="AN29" s="2212">
        <v>21343.77</v>
      </c>
      <c r="AO29" s="2212">
        <v>19459.77</v>
      </c>
      <c r="AP29" s="2212">
        <v>18431.03</v>
      </c>
      <c r="AQ29" s="2923">
        <v>27361</v>
      </c>
      <c r="AR29" s="2923">
        <v>25661</v>
      </c>
      <c r="AS29" s="2927">
        <v>24403.71</v>
      </c>
      <c r="AT29" s="2927">
        <v>23992.240000000002</v>
      </c>
      <c r="AU29" s="2928">
        <v>22418.16</v>
      </c>
      <c r="AV29" s="2212">
        <v>20016.689999999999</v>
      </c>
      <c r="AW29" s="2212">
        <v>19107.13</v>
      </c>
      <c r="AX29" s="2212">
        <v>22181.57</v>
      </c>
      <c r="AY29" s="2212">
        <v>22087.38</v>
      </c>
      <c r="AZ29" s="2212">
        <v>22538.59</v>
      </c>
      <c r="BA29" s="2212">
        <v>22607.94</v>
      </c>
      <c r="BB29" s="2212">
        <v>22087.38</v>
      </c>
      <c r="BC29" s="2212">
        <v>22096.44</v>
      </c>
      <c r="BD29" s="2212">
        <v>22831.06</v>
      </c>
      <c r="BE29" s="2212">
        <v>23515.31</v>
      </c>
      <c r="BF29" s="2212">
        <v>23153.35</v>
      </c>
      <c r="BG29" s="2212">
        <v>18363.150000000001</v>
      </c>
      <c r="BH29" s="2212">
        <v>26550</v>
      </c>
      <c r="BI29" s="2212">
        <v>27417.1</v>
      </c>
      <c r="BJ29" s="2212">
        <v>14837.56</v>
      </c>
      <c r="BK29" s="2212">
        <v>14837.56</v>
      </c>
      <c r="BL29" s="2212">
        <v>33150</v>
      </c>
      <c r="BM29" s="2212">
        <v>32176.77</v>
      </c>
      <c r="BN29" s="2212">
        <v>33118.639999999999</v>
      </c>
      <c r="BO29" s="2212">
        <v>32506.07</v>
      </c>
      <c r="BP29" s="2212">
        <v>39791.769999999997</v>
      </c>
      <c r="BQ29" s="2212">
        <v>24789.45</v>
      </c>
      <c r="BR29" s="2212">
        <v>42688.85</v>
      </c>
      <c r="BS29" s="2212">
        <v>36889.11</v>
      </c>
      <c r="BT29" s="2212">
        <v>30700</v>
      </c>
      <c r="BU29" s="2212">
        <v>35324.9</v>
      </c>
      <c r="BV29" s="2212">
        <v>45480.89</v>
      </c>
      <c r="BW29" s="2212">
        <v>48448.83</v>
      </c>
      <c r="BX29" s="2212">
        <v>34504.730000000003</v>
      </c>
      <c r="BY29" s="2212">
        <v>19317.77</v>
      </c>
      <c r="BZ29" s="2212">
        <v>50918.49</v>
      </c>
      <c r="CA29" s="2212">
        <v>21116.32</v>
      </c>
      <c r="CB29" s="2212">
        <v>21259.53</v>
      </c>
      <c r="CC29" s="2212">
        <v>20893.490000000002</v>
      </c>
      <c r="CD29" s="2212">
        <v>29644.12</v>
      </c>
      <c r="CE29" s="2212">
        <v>31850.54</v>
      </c>
      <c r="CF29" s="2212">
        <v>37927.81</v>
      </c>
      <c r="CG29" s="2212">
        <v>27764.080000000002</v>
      </c>
      <c r="CH29" s="2927">
        <v>29695.81</v>
      </c>
      <c r="CI29" s="2927">
        <v>23343.77</v>
      </c>
      <c r="CJ29" s="2212">
        <v>20153.8</v>
      </c>
      <c r="CK29" s="2212">
        <v>18963.900000000001</v>
      </c>
      <c r="CL29" s="2212">
        <v>21457.64</v>
      </c>
      <c r="CM29" s="2212">
        <v>19500</v>
      </c>
      <c r="CN29" s="2212">
        <v>24154.87</v>
      </c>
      <c r="CO29" s="2212">
        <v>16608.96</v>
      </c>
      <c r="CP29" s="2212">
        <v>16750</v>
      </c>
      <c r="CQ29" s="2212">
        <v>21688.26</v>
      </c>
      <c r="CR29" s="2212">
        <v>22166.2</v>
      </c>
      <c r="CS29" s="2212">
        <v>20810.34</v>
      </c>
      <c r="CT29" s="2212">
        <v>15011.94</v>
      </c>
      <c r="CU29" s="2212">
        <v>20575.21</v>
      </c>
      <c r="CV29" s="2212">
        <v>17352.650000000001</v>
      </c>
      <c r="CW29" s="2212">
        <v>20145.490000000002</v>
      </c>
      <c r="CX29" s="2212">
        <v>24250</v>
      </c>
      <c r="CY29" s="2212">
        <v>14210.55</v>
      </c>
      <c r="CZ29" s="2212">
        <v>18000</v>
      </c>
      <c r="DA29" s="2212">
        <v>26276.81</v>
      </c>
      <c r="DB29" s="2212">
        <v>24298.35</v>
      </c>
      <c r="DC29" s="2212">
        <v>20559.990000000002</v>
      </c>
      <c r="DD29" s="2212">
        <v>17169.14</v>
      </c>
      <c r="DE29" s="2212">
        <v>23574.74</v>
      </c>
      <c r="DF29" s="2212">
        <v>20560.080000000002</v>
      </c>
      <c r="DG29" s="2212">
        <v>24318.42</v>
      </c>
      <c r="DH29" s="2212">
        <v>18344.23</v>
      </c>
      <c r="DI29" s="2212">
        <v>31606.49</v>
      </c>
      <c r="DJ29" s="2212">
        <v>18507.32</v>
      </c>
      <c r="DK29" s="2212">
        <v>23401.27</v>
      </c>
      <c r="DL29" s="2212">
        <v>34514.559999999998</v>
      </c>
      <c r="DM29" s="2212">
        <v>37004.44</v>
      </c>
      <c r="DN29" s="2212">
        <v>19476.689999999999</v>
      </c>
      <c r="DO29" s="2212">
        <v>20548.22</v>
      </c>
      <c r="DP29" s="2212">
        <v>16024.96</v>
      </c>
      <c r="DQ29" s="2212">
        <v>39866.39</v>
      </c>
      <c r="DR29" s="2212">
        <v>21814.69</v>
      </c>
      <c r="DS29" s="2212">
        <v>21185.23</v>
      </c>
      <c r="DT29" s="2212">
        <v>25019.14</v>
      </c>
      <c r="DU29" s="2212">
        <v>25642.23</v>
      </c>
      <c r="DV29" s="2212">
        <v>35151.4</v>
      </c>
      <c r="DW29" s="2212">
        <v>19317.759999999998</v>
      </c>
      <c r="DX29" s="2212">
        <v>22166.05</v>
      </c>
      <c r="DY29" s="2212">
        <v>38943.93</v>
      </c>
      <c r="DZ29" s="2212">
        <v>36514.75</v>
      </c>
      <c r="EA29" s="2212">
        <v>27450</v>
      </c>
      <c r="EB29" s="2212">
        <v>19897.93</v>
      </c>
      <c r="EC29" s="2212">
        <v>20573.96</v>
      </c>
      <c r="ED29" s="2212">
        <v>25642.23</v>
      </c>
      <c r="EE29" s="2212">
        <v>29948.25</v>
      </c>
      <c r="EF29" s="2212">
        <v>51298.36</v>
      </c>
      <c r="EG29" s="2212">
        <v>42793.9</v>
      </c>
      <c r="EH29" s="2212">
        <v>50893.99</v>
      </c>
      <c r="EI29" s="2212">
        <v>25458.799999999999</v>
      </c>
      <c r="EJ29" s="2212">
        <v>32505.93</v>
      </c>
      <c r="EK29" s="2212">
        <v>22250</v>
      </c>
      <c r="EL29" s="2212">
        <v>32641.43</v>
      </c>
      <c r="EM29" s="2212">
        <v>32741.97</v>
      </c>
      <c r="EN29" s="2212">
        <v>17210.599999999999</v>
      </c>
      <c r="EO29" s="2212">
        <v>19945.990000000002</v>
      </c>
      <c r="EP29" s="2212">
        <v>34589.480000000003</v>
      </c>
      <c r="EQ29" s="2212">
        <v>44703.41</v>
      </c>
      <c r="ER29" s="2212">
        <v>25050</v>
      </c>
      <c r="ES29" s="2212">
        <v>20713.560000000001</v>
      </c>
      <c r="ET29" s="2212">
        <v>30802.05</v>
      </c>
      <c r="EU29" s="2212">
        <v>38051.760000000002</v>
      </c>
      <c r="EV29" s="2212">
        <v>26426.400000000001</v>
      </c>
      <c r="EW29" s="2212">
        <v>54482.28</v>
      </c>
      <c r="EX29" s="2212">
        <v>36659.129999999997</v>
      </c>
      <c r="EY29" s="2212">
        <v>22548.15</v>
      </c>
      <c r="EZ29" s="2212">
        <v>22914.07</v>
      </c>
      <c r="FA29" s="2212">
        <v>17159.400000000001</v>
      </c>
      <c r="FB29" s="2212">
        <v>36959.24</v>
      </c>
      <c r="FC29" s="2212">
        <v>45536.52</v>
      </c>
      <c r="FD29" s="2212">
        <v>42082.6</v>
      </c>
      <c r="FE29" s="2212">
        <v>31978.27</v>
      </c>
      <c r="FF29" s="2212">
        <v>38906.99</v>
      </c>
      <c r="FG29" s="2212">
        <v>32641.43</v>
      </c>
      <c r="FH29" s="2212">
        <v>15345.57</v>
      </c>
      <c r="FI29" s="2212">
        <v>22831.06</v>
      </c>
      <c r="FJ29" s="2212">
        <v>32722.02</v>
      </c>
      <c r="FK29" s="2212">
        <v>21677.9</v>
      </c>
      <c r="FL29" s="2212">
        <v>23280.23</v>
      </c>
      <c r="FM29" s="2212">
        <v>19789.02</v>
      </c>
      <c r="FN29" s="2212">
        <v>19877.28</v>
      </c>
      <c r="FO29" s="2212">
        <v>25706.61</v>
      </c>
      <c r="FP29" s="2212">
        <v>29042.95</v>
      </c>
      <c r="FQ29" s="2212">
        <v>22454.48</v>
      </c>
      <c r="FR29" s="2212">
        <v>22332.04</v>
      </c>
      <c r="FS29" s="2212">
        <v>43630.28</v>
      </c>
      <c r="FT29" s="2212">
        <v>19866.12</v>
      </c>
      <c r="FU29" s="2212">
        <v>26227.21</v>
      </c>
      <c r="FV29" s="2212">
        <v>36659.269999999997</v>
      </c>
      <c r="FW29" s="2212">
        <v>32395.3</v>
      </c>
      <c r="FX29" s="2212">
        <v>21394.31</v>
      </c>
      <c r="FY29" s="2212">
        <v>27764.19</v>
      </c>
      <c r="FZ29" s="2212">
        <v>47175.96</v>
      </c>
      <c r="GA29" s="2212">
        <v>21933.22</v>
      </c>
      <c r="GB29" s="2212">
        <v>16823</v>
      </c>
      <c r="GC29" s="2212">
        <v>20893.509999999998</v>
      </c>
      <c r="GD29" s="2212">
        <v>49355.68</v>
      </c>
      <c r="GE29" s="2212">
        <v>17396.560000000001</v>
      </c>
      <c r="GF29" s="2212">
        <v>42173.31</v>
      </c>
      <c r="GG29" s="2212">
        <v>48454.36</v>
      </c>
      <c r="GH29" s="2212">
        <v>37893.160000000003</v>
      </c>
      <c r="GI29" s="2212">
        <v>29152.31</v>
      </c>
      <c r="GJ29" s="2212">
        <v>23130.18</v>
      </c>
      <c r="GK29" s="2212">
        <v>38130.99</v>
      </c>
      <c r="GL29" s="2212">
        <v>32487.29</v>
      </c>
      <c r="GM29" s="2212">
        <v>54460.08</v>
      </c>
      <c r="GN29" s="2212">
        <v>23624.32</v>
      </c>
      <c r="GO29" s="2212">
        <v>19608.490000000002</v>
      </c>
      <c r="GP29" s="2212">
        <v>23867.21</v>
      </c>
      <c r="GQ29" s="2212">
        <v>44787.02</v>
      </c>
      <c r="GR29" s="2212">
        <v>20447.46</v>
      </c>
      <c r="GS29" s="2212">
        <v>20144.669999999998</v>
      </c>
      <c r="GT29" s="2212">
        <v>35919.79</v>
      </c>
      <c r="GU29" s="2212">
        <v>37682.61</v>
      </c>
      <c r="GV29" s="2212">
        <v>57495.7</v>
      </c>
      <c r="GW29" s="2212">
        <v>15661.91</v>
      </c>
      <c r="GX29" s="2212">
        <v>20590.78</v>
      </c>
      <c r="GY29" s="2212">
        <v>39047.629999999997</v>
      </c>
      <c r="GZ29" s="2212">
        <v>22111.51</v>
      </c>
      <c r="HA29" s="2212">
        <v>61952.09</v>
      </c>
      <c r="HB29" s="2212">
        <v>20156.89</v>
      </c>
      <c r="HC29" s="2212">
        <v>32346.23</v>
      </c>
      <c r="HD29" s="2212">
        <v>24665.47</v>
      </c>
      <c r="HE29" s="2212">
        <v>33341.78</v>
      </c>
      <c r="HF29" s="2212">
        <v>19200</v>
      </c>
      <c r="HG29" s="2212">
        <v>15360.7</v>
      </c>
      <c r="HH29" s="2212">
        <v>22551.16</v>
      </c>
      <c r="HI29" s="2212">
        <v>24289.57</v>
      </c>
      <c r="HJ29" s="2212">
        <v>20012.849999999999</v>
      </c>
      <c r="HK29" s="2212">
        <v>19283.77</v>
      </c>
      <c r="HL29" s="2212">
        <v>46356.11</v>
      </c>
      <c r="HM29" s="2212">
        <v>43976.32</v>
      </c>
      <c r="HN29" s="2212">
        <v>21036.79</v>
      </c>
      <c r="HO29" s="2212">
        <v>37129.07</v>
      </c>
      <c r="HP29" s="2212">
        <v>22551.16</v>
      </c>
      <c r="HQ29" s="2212">
        <v>56149.09</v>
      </c>
      <c r="HR29" s="2212">
        <v>47232.74</v>
      </c>
      <c r="HS29" s="2212">
        <v>20893.47</v>
      </c>
      <c r="HT29" s="2212">
        <v>21677.9</v>
      </c>
      <c r="HU29" s="2212">
        <v>59004.95</v>
      </c>
      <c r="HV29" s="2212">
        <v>23546.53</v>
      </c>
      <c r="HW29" s="2212">
        <v>21122.12</v>
      </c>
      <c r="HX29" s="2212">
        <v>28656.65</v>
      </c>
      <c r="HY29" s="2212">
        <v>57454.94</v>
      </c>
      <c r="HZ29" s="2212">
        <v>51290.06</v>
      </c>
      <c r="IA29" s="2212">
        <v>20012.64</v>
      </c>
      <c r="IB29" s="2212">
        <v>21392.91</v>
      </c>
      <c r="IC29" s="2212">
        <v>33964.92</v>
      </c>
      <c r="ID29" s="2212">
        <v>15346.07</v>
      </c>
      <c r="IE29" s="2212">
        <v>62026.89</v>
      </c>
      <c r="IF29" s="2212">
        <v>53318.35</v>
      </c>
      <c r="IG29" s="2212">
        <v>50893.99</v>
      </c>
      <c r="IH29" s="2212">
        <v>36365.42</v>
      </c>
      <c r="II29" s="2212">
        <v>20457.07</v>
      </c>
      <c r="IJ29" s="2212">
        <v>24452.57</v>
      </c>
      <c r="IK29" s="2212">
        <v>22848.19</v>
      </c>
      <c r="IL29" s="2212">
        <v>22996.799999999999</v>
      </c>
      <c r="IM29" s="2212">
        <v>23116.36</v>
      </c>
      <c r="IN29" s="2212">
        <v>54742.76</v>
      </c>
      <c r="IO29" s="2212">
        <v>45833.86</v>
      </c>
      <c r="IP29" s="2212">
        <v>19317.77</v>
      </c>
      <c r="IQ29" s="2212">
        <v>33118.639999999999</v>
      </c>
      <c r="IR29" s="2212">
        <v>36638.269999999997</v>
      </c>
      <c r="IS29" s="2212">
        <v>21036.720000000001</v>
      </c>
      <c r="IT29" s="2212">
        <v>21185.7</v>
      </c>
      <c r="IU29" s="2911">
        <v>20814.28</v>
      </c>
      <c r="IV29" s="2911">
        <v>21910.17</v>
      </c>
      <c r="IW29" s="2911">
        <v>23529.97</v>
      </c>
      <c r="IX29" s="2911">
        <v>25029.97</v>
      </c>
      <c r="IY29" s="2207"/>
      <c r="IZ29" s="2215">
        <f t="shared" si="6"/>
        <v>20</v>
      </c>
    </row>
    <row r="30" spans="1:260">
      <c r="A30" s="2214">
        <v>21</v>
      </c>
      <c r="B30" s="2212">
        <v>64700.29</v>
      </c>
      <c r="C30" s="2927">
        <v>58511.32</v>
      </c>
      <c r="D30" s="2927">
        <v>53305.63</v>
      </c>
      <c r="E30" s="2212">
        <v>51328.98</v>
      </c>
      <c r="F30" s="2927">
        <v>51322.54</v>
      </c>
      <c r="G30" s="2212">
        <v>50280.56</v>
      </c>
      <c r="H30" s="2927">
        <v>48434.5</v>
      </c>
      <c r="I30" s="2212">
        <v>44801.89</v>
      </c>
      <c r="J30" s="2212">
        <v>49137.64</v>
      </c>
      <c r="K30" s="2212">
        <v>46356.17</v>
      </c>
      <c r="L30" s="2927">
        <v>43265.91</v>
      </c>
      <c r="M30" s="2212">
        <v>42867.81</v>
      </c>
      <c r="N30" s="2927">
        <v>39274.81</v>
      </c>
      <c r="O30" s="2212">
        <v>38258.980000000003</v>
      </c>
      <c r="P30" s="2927">
        <v>35159.870000000003</v>
      </c>
      <c r="Q30" s="2927">
        <v>29745.89</v>
      </c>
      <c r="R30" s="2212">
        <v>34159.870000000003</v>
      </c>
      <c r="S30" s="2212">
        <v>34159.870000000003</v>
      </c>
      <c r="T30" s="2212">
        <v>33205.410000000003</v>
      </c>
      <c r="U30" s="2212">
        <v>33205.410000000003</v>
      </c>
      <c r="V30" s="2212">
        <v>33205.410000000003</v>
      </c>
      <c r="W30" s="2212">
        <v>33205.410000000003</v>
      </c>
      <c r="X30" s="2212">
        <v>31185.15</v>
      </c>
      <c r="Y30" s="2927">
        <v>35505.46</v>
      </c>
      <c r="Z30" s="2923">
        <v>32959</v>
      </c>
      <c r="AA30" s="2930">
        <v>32959</v>
      </c>
      <c r="AB30" s="2927">
        <v>34505.46</v>
      </c>
      <c r="AC30" s="2212">
        <v>30738.959999999999</v>
      </c>
      <c r="AD30" s="2923">
        <v>31738.959999999999</v>
      </c>
      <c r="AE30" s="2927">
        <v>33281.339999999997</v>
      </c>
      <c r="AF30" s="2927">
        <v>30615.97</v>
      </c>
      <c r="AG30" s="2927">
        <v>30615.97</v>
      </c>
      <c r="AH30" s="2927">
        <v>32473.5</v>
      </c>
      <c r="AI30" s="2927">
        <v>29874.69</v>
      </c>
      <c r="AJ30" s="2927">
        <v>27614.02</v>
      </c>
      <c r="AK30" s="2927">
        <v>22532.17</v>
      </c>
      <c r="AL30" s="2927">
        <v>20608.509999999998</v>
      </c>
      <c r="AM30" s="2927">
        <v>19567.38</v>
      </c>
      <c r="AN30" s="2212">
        <v>21532.17</v>
      </c>
      <c r="AO30" s="2212">
        <v>19608.509999999998</v>
      </c>
      <c r="AP30" s="2212">
        <v>18567.38</v>
      </c>
      <c r="AQ30" s="2923">
        <v>27561</v>
      </c>
      <c r="AR30" s="2923">
        <v>25861</v>
      </c>
      <c r="AS30" s="2927">
        <v>24634.26</v>
      </c>
      <c r="AT30" s="2927">
        <v>24153.38</v>
      </c>
      <c r="AU30" s="2928">
        <v>22616.48</v>
      </c>
      <c r="AV30" s="2212">
        <v>20618.46</v>
      </c>
      <c r="AW30" s="2212">
        <v>19659.32</v>
      </c>
      <c r="AX30" s="2212">
        <v>22419.55</v>
      </c>
      <c r="AY30" s="2212">
        <v>22707.119999999999</v>
      </c>
      <c r="AZ30" s="2212">
        <v>22791.45</v>
      </c>
      <c r="BA30" s="2212">
        <v>23153.31</v>
      </c>
      <c r="BB30" s="2212">
        <v>22707.119999999999</v>
      </c>
      <c r="BC30" s="2212">
        <v>22736.63</v>
      </c>
      <c r="BD30" s="2212">
        <v>23450.799999999999</v>
      </c>
      <c r="BE30" s="2212">
        <v>23733.46</v>
      </c>
      <c r="BF30" s="2212">
        <v>23872.25</v>
      </c>
      <c r="BG30" s="2212">
        <v>18492.560000000001</v>
      </c>
      <c r="BH30" s="2212">
        <v>27200</v>
      </c>
      <c r="BI30" s="2212">
        <v>27689.79</v>
      </c>
      <c r="BJ30" s="2212">
        <v>15104.35</v>
      </c>
      <c r="BK30" s="2212">
        <v>15104.35</v>
      </c>
      <c r="BL30" s="2212">
        <v>34150</v>
      </c>
      <c r="BM30" s="2212">
        <v>32518.87</v>
      </c>
      <c r="BN30" s="2212">
        <v>33961.480000000003</v>
      </c>
      <c r="BO30" s="2212">
        <v>32506.07</v>
      </c>
      <c r="BP30" s="2212">
        <v>40923.53</v>
      </c>
      <c r="BQ30" s="2212">
        <v>25533.14</v>
      </c>
      <c r="BR30" s="2212">
        <v>43870.59</v>
      </c>
      <c r="BS30" s="2212">
        <v>37934.11</v>
      </c>
      <c r="BT30" s="2212">
        <v>31700</v>
      </c>
      <c r="BU30" s="2212">
        <v>36366.06</v>
      </c>
      <c r="BV30" s="2212">
        <v>46765.18</v>
      </c>
      <c r="BW30" s="2212">
        <v>49826.400000000001</v>
      </c>
      <c r="BX30" s="2212">
        <v>35480.07</v>
      </c>
      <c r="BY30" s="2212">
        <v>19547.62</v>
      </c>
      <c r="BZ30" s="2212">
        <v>51467.08</v>
      </c>
      <c r="CA30" s="2212">
        <v>21740.22</v>
      </c>
      <c r="CB30" s="2212">
        <v>21883.43</v>
      </c>
      <c r="CC30" s="2212">
        <v>21517.39</v>
      </c>
      <c r="CD30" s="2212">
        <v>29739.14</v>
      </c>
      <c r="CE30" s="2212">
        <v>31850.54</v>
      </c>
      <c r="CF30" s="2212">
        <v>38671.5</v>
      </c>
      <c r="CG30" s="2212">
        <v>28532.55</v>
      </c>
      <c r="CH30" s="2927">
        <v>30009.25</v>
      </c>
      <c r="CI30" s="2927">
        <v>23532.17</v>
      </c>
      <c r="CJ30" s="2212">
        <v>20748.75</v>
      </c>
      <c r="CK30" s="2212">
        <v>19509.27</v>
      </c>
      <c r="CL30" s="2212">
        <v>21962.65</v>
      </c>
      <c r="CM30" s="2212">
        <v>20100</v>
      </c>
      <c r="CN30" s="2212">
        <v>24422.6</v>
      </c>
      <c r="CO30" s="2212">
        <v>16956.02</v>
      </c>
      <c r="CP30" s="2212">
        <v>17100</v>
      </c>
      <c r="CQ30" s="2212">
        <v>21931.200000000001</v>
      </c>
      <c r="CR30" s="2212">
        <v>22532.15</v>
      </c>
      <c r="CS30" s="2212">
        <v>21117.95</v>
      </c>
      <c r="CT30" s="2212">
        <v>15163.33</v>
      </c>
      <c r="CU30" s="2212">
        <v>21120.58</v>
      </c>
      <c r="CV30" s="2212">
        <v>17699.71</v>
      </c>
      <c r="CW30" s="2212">
        <v>20769.39</v>
      </c>
      <c r="CX30" s="2212">
        <v>24800</v>
      </c>
      <c r="CY30" s="2212">
        <v>14286.24</v>
      </c>
      <c r="CZ30" s="2212">
        <v>18350</v>
      </c>
      <c r="DA30" s="2212">
        <v>27020.5</v>
      </c>
      <c r="DB30" s="2212">
        <v>24744.240000000002</v>
      </c>
      <c r="DC30" s="2212">
        <v>21196.73</v>
      </c>
      <c r="DD30" s="2212">
        <v>17333.650000000001</v>
      </c>
      <c r="DE30" s="2212">
        <v>24194.48</v>
      </c>
      <c r="DF30" s="2212">
        <v>21196.82</v>
      </c>
      <c r="DG30" s="2212">
        <v>24938.16</v>
      </c>
      <c r="DH30" s="2212">
        <v>18691.29</v>
      </c>
      <c r="DI30" s="2212">
        <v>32598.07</v>
      </c>
      <c r="DJ30" s="2212">
        <v>18719.400000000001</v>
      </c>
      <c r="DK30" s="2212">
        <v>23673.96</v>
      </c>
      <c r="DL30" s="2212">
        <v>34514.559999999998</v>
      </c>
      <c r="DM30" s="2212">
        <v>37089.97</v>
      </c>
      <c r="DN30" s="2212">
        <v>19788.59</v>
      </c>
      <c r="DO30" s="2212">
        <v>21184.59</v>
      </c>
      <c r="DP30" s="2212">
        <v>16024.96</v>
      </c>
      <c r="DQ30" s="2212">
        <v>40304.17</v>
      </c>
      <c r="DR30" s="2212">
        <v>22409.64</v>
      </c>
      <c r="DS30" s="2212">
        <v>21551.15</v>
      </c>
      <c r="DT30" s="2212">
        <v>25741.58</v>
      </c>
      <c r="DU30" s="2212">
        <v>25909.96</v>
      </c>
      <c r="DV30" s="2212">
        <v>36291.72</v>
      </c>
      <c r="DW30" s="2212">
        <v>19547.61</v>
      </c>
      <c r="DX30" s="2212">
        <v>22531.99</v>
      </c>
      <c r="DY30" s="2212">
        <v>38943.93</v>
      </c>
      <c r="DZ30" s="2212">
        <v>37407.17</v>
      </c>
      <c r="EA30" s="2212">
        <v>28250</v>
      </c>
      <c r="EB30" s="2212">
        <v>20214</v>
      </c>
      <c r="EC30" s="2212">
        <v>20573.96</v>
      </c>
      <c r="ED30" s="2212">
        <v>25909.96</v>
      </c>
      <c r="EE30" s="2212">
        <v>30897.46</v>
      </c>
      <c r="EF30" s="2212">
        <v>52749.53</v>
      </c>
      <c r="EG30" s="2212">
        <v>43245.59</v>
      </c>
      <c r="EH30" s="2212">
        <v>52277.74</v>
      </c>
      <c r="EI30" s="2212">
        <v>25632.33</v>
      </c>
      <c r="EJ30" s="2212">
        <v>32505.93</v>
      </c>
      <c r="EK30" s="2212">
        <v>22750</v>
      </c>
      <c r="EL30" s="2212">
        <v>32641.43</v>
      </c>
      <c r="EM30" s="2212">
        <v>33225.370000000003</v>
      </c>
      <c r="EN30" s="2212">
        <v>17371.900000000001</v>
      </c>
      <c r="EO30" s="2212">
        <v>20563.72</v>
      </c>
      <c r="EP30" s="2212">
        <v>34962.69</v>
      </c>
      <c r="EQ30" s="2212">
        <v>45947</v>
      </c>
      <c r="ER30" s="2212">
        <v>25650</v>
      </c>
      <c r="ES30" s="2212">
        <v>20906.45</v>
      </c>
      <c r="ET30" s="2212">
        <v>30802.05</v>
      </c>
      <c r="EU30" s="2212">
        <v>38795.449999999997</v>
      </c>
      <c r="EV30" s="2212">
        <v>26972.14</v>
      </c>
      <c r="EW30" s="2212">
        <v>55997.88</v>
      </c>
      <c r="EX30" s="2212">
        <v>36659.129999999997</v>
      </c>
      <c r="EY30" s="2212">
        <v>23280.01</v>
      </c>
      <c r="EZ30" s="2212">
        <v>23280.01</v>
      </c>
      <c r="FA30" s="2212">
        <v>17323.830000000002</v>
      </c>
      <c r="FB30" s="2212">
        <v>37363.24</v>
      </c>
      <c r="FC30" s="2212">
        <v>46039.13</v>
      </c>
      <c r="FD30" s="2212">
        <v>42082.6</v>
      </c>
      <c r="FE30" s="2212">
        <v>32746.74</v>
      </c>
      <c r="FF30" s="2212">
        <v>39033.42</v>
      </c>
      <c r="FG30" s="2212">
        <v>32641.43</v>
      </c>
      <c r="FH30" s="2212">
        <v>15415.65</v>
      </c>
      <c r="FI30" s="2212">
        <v>23450.799999999999</v>
      </c>
      <c r="FJ30" s="2212">
        <v>33763.18</v>
      </c>
      <c r="FK30" s="2212">
        <v>21677.9</v>
      </c>
      <c r="FL30" s="2212">
        <v>23646.18</v>
      </c>
      <c r="FM30" s="2212">
        <v>19789.02</v>
      </c>
      <c r="FN30" s="2212">
        <v>20195.580000000002</v>
      </c>
      <c r="FO30" s="2212">
        <v>26276.77</v>
      </c>
      <c r="FP30" s="2212">
        <v>29042.95</v>
      </c>
      <c r="FQ30" s="2212">
        <v>23000.22</v>
      </c>
      <c r="FR30" s="2212">
        <v>22750.39</v>
      </c>
      <c r="FS30" s="2212">
        <v>43630.28</v>
      </c>
      <c r="FT30" s="2212">
        <v>20184.25</v>
      </c>
      <c r="FU30" s="2212">
        <v>26822.16</v>
      </c>
      <c r="FV30" s="2212">
        <v>36659.269999999997</v>
      </c>
      <c r="FW30" s="2212">
        <v>32765.66</v>
      </c>
      <c r="FX30" s="2212">
        <v>21692.77</v>
      </c>
      <c r="FY30" s="2212">
        <v>27974.9</v>
      </c>
      <c r="FZ30" s="2212">
        <v>48476.54</v>
      </c>
      <c r="GA30" s="2212">
        <v>22299.14</v>
      </c>
      <c r="GB30" s="2212">
        <v>16984.18</v>
      </c>
      <c r="GC30" s="2212">
        <v>21517.41</v>
      </c>
      <c r="GD30" s="2212">
        <v>50582.76</v>
      </c>
      <c r="GE30" s="2212">
        <v>17561.07</v>
      </c>
      <c r="GF30" s="2212">
        <v>42633.13</v>
      </c>
      <c r="GG30" s="2212">
        <v>49004.32</v>
      </c>
      <c r="GH30" s="2212">
        <v>38070.410000000003</v>
      </c>
      <c r="GI30" s="2212">
        <v>30044.73</v>
      </c>
      <c r="GJ30" s="2212">
        <v>23363.08</v>
      </c>
      <c r="GK30" s="2212">
        <v>38130.99</v>
      </c>
      <c r="GL30" s="2212">
        <v>32487.29</v>
      </c>
      <c r="GM30" s="2212">
        <v>55070.77</v>
      </c>
      <c r="GN30" s="2212">
        <v>24219.27</v>
      </c>
      <c r="GO30" s="2212">
        <v>19732.439999999999</v>
      </c>
      <c r="GP30" s="2212">
        <v>24065.52</v>
      </c>
      <c r="GQ30" s="2212">
        <v>45267.74</v>
      </c>
      <c r="GR30" s="2212">
        <v>20759.36</v>
      </c>
      <c r="GS30" s="2212">
        <v>20768.54</v>
      </c>
      <c r="GT30" s="2212">
        <v>35919.79</v>
      </c>
      <c r="GU30" s="2212">
        <v>37682.61</v>
      </c>
      <c r="GV30" s="2212">
        <v>59080.79</v>
      </c>
      <c r="GW30" s="2212">
        <v>15733.46</v>
      </c>
      <c r="GX30" s="2212">
        <v>20902.68</v>
      </c>
      <c r="GY30" s="2212">
        <v>39047.629999999997</v>
      </c>
      <c r="GZ30" s="2212">
        <v>22422.03</v>
      </c>
      <c r="HA30" s="2212">
        <v>62641.66</v>
      </c>
      <c r="HB30" s="2212">
        <v>20781.14</v>
      </c>
      <c r="HC30" s="2212">
        <v>33296.58</v>
      </c>
      <c r="HD30" s="2212">
        <v>25285.21</v>
      </c>
      <c r="HE30" s="2212">
        <v>34085.47</v>
      </c>
      <c r="HF30" s="2212">
        <v>19600</v>
      </c>
      <c r="HG30" s="2212">
        <v>15457.38</v>
      </c>
      <c r="HH30" s="2212">
        <v>23286.44</v>
      </c>
      <c r="HI30" s="2212">
        <v>24913.47</v>
      </c>
      <c r="HJ30" s="2212">
        <v>20339.650000000001</v>
      </c>
      <c r="HK30" s="2212">
        <v>19592.580000000002</v>
      </c>
      <c r="HL30" s="2212">
        <v>47570.79</v>
      </c>
      <c r="HM30" s="2212">
        <v>45141.42</v>
      </c>
      <c r="HN30" s="2212">
        <v>21660.69</v>
      </c>
      <c r="HO30" s="2212">
        <v>37129.07</v>
      </c>
      <c r="HP30" s="2212">
        <v>23286.44</v>
      </c>
      <c r="HQ30" s="2212">
        <v>56149.09</v>
      </c>
      <c r="HR30" s="2212">
        <v>47741.62</v>
      </c>
      <c r="HS30" s="2212">
        <v>21517.37</v>
      </c>
      <c r="HT30" s="2212">
        <v>21677.9</v>
      </c>
      <c r="HU30" s="2212">
        <v>60665.87</v>
      </c>
      <c r="HV30" s="2212">
        <v>23910.76</v>
      </c>
      <c r="HW30" s="2212">
        <v>21432.639999999999</v>
      </c>
      <c r="HX30" s="2212">
        <v>28904.55</v>
      </c>
      <c r="HY30" s="2212">
        <v>58097.14</v>
      </c>
      <c r="HZ30" s="2212">
        <v>51872.22</v>
      </c>
      <c r="IA30" s="2212">
        <v>20339.439999999999</v>
      </c>
      <c r="IB30" s="2212">
        <v>22016.81</v>
      </c>
      <c r="IC30" s="2212">
        <v>33964.92</v>
      </c>
      <c r="ID30" s="2212">
        <v>15416.15</v>
      </c>
      <c r="IE30" s="2212">
        <v>63713.36</v>
      </c>
      <c r="IF30" s="2212">
        <v>53318.35</v>
      </c>
      <c r="IG30" s="2212">
        <v>52277.74</v>
      </c>
      <c r="IH30" s="2212">
        <v>36365.42</v>
      </c>
      <c r="II30" s="2212">
        <v>20768.97</v>
      </c>
      <c r="IJ30" s="2212">
        <v>25031.88</v>
      </c>
      <c r="IK30" s="2212">
        <v>23494.33</v>
      </c>
      <c r="IL30" s="2212">
        <v>23732.080000000002</v>
      </c>
      <c r="IM30" s="2212">
        <v>23801.47</v>
      </c>
      <c r="IN30" s="2212">
        <v>54742.76</v>
      </c>
      <c r="IO30" s="2212">
        <v>45833.86</v>
      </c>
      <c r="IP30" s="2212">
        <v>19547.62</v>
      </c>
      <c r="IQ30" s="2212">
        <v>33961.480000000003</v>
      </c>
      <c r="IR30" s="2212">
        <v>36638.269999999997</v>
      </c>
      <c r="IS30" s="2212">
        <v>21660.62</v>
      </c>
      <c r="IT30" s="2212">
        <v>21551.64</v>
      </c>
      <c r="IU30" s="2911">
        <v>21437.89</v>
      </c>
      <c r="IV30" s="2911">
        <v>22445.3</v>
      </c>
      <c r="IW30" s="2911">
        <v>24153.58</v>
      </c>
      <c r="IX30" s="2911">
        <v>25653.58</v>
      </c>
      <c r="IY30" s="2207"/>
      <c r="IZ30" s="2215">
        <f t="shared" si="6"/>
        <v>21</v>
      </c>
    </row>
    <row r="31" spans="1:260">
      <c r="A31" s="2214">
        <v>22</v>
      </c>
      <c r="B31" s="2212">
        <v>66138.080000000002</v>
      </c>
      <c r="C31" s="2927">
        <v>60122.63</v>
      </c>
      <c r="D31" s="2927">
        <v>54793</v>
      </c>
      <c r="E31" s="2212">
        <v>51708.26</v>
      </c>
      <c r="F31" s="2927">
        <v>51694.39</v>
      </c>
      <c r="G31" s="2212">
        <v>50530.19</v>
      </c>
      <c r="H31" s="2927">
        <v>48670</v>
      </c>
      <c r="I31" s="2212">
        <v>45248.6</v>
      </c>
      <c r="J31" s="2212">
        <v>49610.63</v>
      </c>
      <c r="K31" s="2212">
        <v>46802.38</v>
      </c>
      <c r="L31" s="2927">
        <v>43687.33</v>
      </c>
      <c r="M31" s="2212">
        <v>43312.04</v>
      </c>
      <c r="N31" s="2927">
        <v>39671.440000000002</v>
      </c>
      <c r="O31" s="2212">
        <v>38619.919999999998</v>
      </c>
      <c r="P31" s="2927">
        <v>35482.14</v>
      </c>
      <c r="Q31" s="2927">
        <v>29996.27</v>
      </c>
      <c r="R31" s="2212">
        <v>34482.14</v>
      </c>
      <c r="S31" s="2212">
        <v>34482.14</v>
      </c>
      <c r="T31" s="2212">
        <v>33527.68</v>
      </c>
      <c r="U31" s="2212">
        <v>33527.68</v>
      </c>
      <c r="V31" s="2212">
        <v>33527.68</v>
      </c>
      <c r="W31" s="2212">
        <v>33527.68</v>
      </c>
      <c r="X31" s="2212">
        <v>31532.21</v>
      </c>
      <c r="Y31" s="2927">
        <v>35883.75</v>
      </c>
      <c r="Z31" s="2923">
        <v>33228</v>
      </c>
      <c r="AA31" s="2930">
        <v>33228</v>
      </c>
      <c r="AB31" s="2927">
        <v>34883.75</v>
      </c>
      <c r="AC31" s="2212">
        <v>31086.02</v>
      </c>
      <c r="AD31" s="2923">
        <v>32086.02</v>
      </c>
      <c r="AE31" s="2927">
        <v>33632.61</v>
      </c>
      <c r="AF31" s="2927">
        <v>30938.240000000002</v>
      </c>
      <c r="AG31" s="2927">
        <v>30938.240000000002</v>
      </c>
      <c r="AH31" s="2927">
        <v>32805.86</v>
      </c>
      <c r="AI31" s="2927">
        <v>30179.599999999999</v>
      </c>
      <c r="AJ31" s="2927">
        <v>27901.57</v>
      </c>
      <c r="AK31" s="2927">
        <v>22720.57</v>
      </c>
      <c r="AL31" s="2927">
        <v>20757.25</v>
      </c>
      <c r="AM31" s="2927">
        <v>19703.73</v>
      </c>
      <c r="AN31" s="2212">
        <v>21720.57</v>
      </c>
      <c r="AO31" s="2212">
        <v>19757.25</v>
      </c>
      <c r="AP31" s="2212">
        <v>18703.73</v>
      </c>
      <c r="AQ31" s="2923">
        <v>27761</v>
      </c>
      <c r="AR31" s="2923">
        <v>26087</v>
      </c>
      <c r="AS31" s="2927">
        <v>24864.81</v>
      </c>
      <c r="AT31" s="2927">
        <v>24314.52</v>
      </c>
      <c r="AU31" s="2928">
        <v>22814.799999999999</v>
      </c>
      <c r="AV31" s="2212">
        <v>20618.46</v>
      </c>
      <c r="AW31" s="2212">
        <v>19659.32</v>
      </c>
      <c r="AX31" s="2212">
        <v>22657.53</v>
      </c>
      <c r="AY31" s="2212">
        <v>22707.119999999999</v>
      </c>
      <c r="AZ31" s="2212">
        <v>23044.31</v>
      </c>
      <c r="BA31" s="2212">
        <v>23153.31</v>
      </c>
      <c r="BB31" s="2212">
        <v>22707.119999999999</v>
      </c>
      <c r="BC31" s="2212">
        <v>22736.63</v>
      </c>
      <c r="BD31" s="2212">
        <v>23450.799999999999</v>
      </c>
      <c r="BE31" s="2212">
        <v>23951.61</v>
      </c>
      <c r="BF31" s="2212">
        <v>23872.25</v>
      </c>
      <c r="BG31" s="2212">
        <v>18621.97</v>
      </c>
      <c r="BH31" s="2212">
        <v>27200</v>
      </c>
      <c r="BI31" s="2212">
        <v>27962.48</v>
      </c>
      <c r="BJ31" s="2212">
        <v>15104.35</v>
      </c>
      <c r="BK31" s="2212">
        <v>15104.35</v>
      </c>
      <c r="BL31" s="2212">
        <v>34150</v>
      </c>
      <c r="BM31" s="2212">
        <v>32860.97</v>
      </c>
      <c r="BN31" s="2212">
        <v>33961.480000000003</v>
      </c>
      <c r="BO31" s="2212">
        <v>33521.82</v>
      </c>
      <c r="BP31" s="2212">
        <v>40923.53</v>
      </c>
      <c r="BQ31" s="2212">
        <v>25533.14</v>
      </c>
      <c r="BR31" s="2212">
        <v>43870.59</v>
      </c>
      <c r="BS31" s="2212">
        <v>37934.11</v>
      </c>
      <c r="BT31" s="2212">
        <v>31700</v>
      </c>
      <c r="BU31" s="2212">
        <v>36366.06</v>
      </c>
      <c r="BV31" s="2212">
        <v>46765.18</v>
      </c>
      <c r="BW31" s="2212">
        <v>49826.400000000001</v>
      </c>
      <c r="BX31" s="2212">
        <v>35480.07</v>
      </c>
      <c r="BY31" s="2212">
        <v>19777.47</v>
      </c>
      <c r="BZ31" s="2212">
        <v>52015.67</v>
      </c>
      <c r="CA31" s="2212">
        <v>21740.22</v>
      </c>
      <c r="CB31" s="2212">
        <v>21883.43</v>
      </c>
      <c r="CC31" s="2212">
        <v>21517.39</v>
      </c>
      <c r="CD31" s="2212">
        <v>29834.16</v>
      </c>
      <c r="CE31" s="2212">
        <v>32845.81</v>
      </c>
      <c r="CF31" s="2212">
        <v>38671.5</v>
      </c>
      <c r="CG31" s="2212">
        <v>28532.55</v>
      </c>
      <c r="CH31" s="2927">
        <v>30322.69</v>
      </c>
      <c r="CI31" s="2927">
        <v>23720.57</v>
      </c>
      <c r="CJ31" s="2212">
        <v>20748.75</v>
      </c>
      <c r="CK31" s="2212">
        <v>19509.27</v>
      </c>
      <c r="CL31" s="2212">
        <v>21962.65</v>
      </c>
      <c r="CM31" s="2212">
        <v>20100</v>
      </c>
      <c r="CN31" s="2212">
        <v>24690.33</v>
      </c>
      <c r="CO31" s="2212">
        <v>16956.02</v>
      </c>
      <c r="CP31" s="2212">
        <v>17100</v>
      </c>
      <c r="CQ31" s="2212">
        <v>22174.14</v>
      </c>
      <c r="CR31" s="2212">
        <v>22898.1</v>
      </c>
      <c r="CS31" s="2212">
        <v>21425.56</v>
      </c>
      <c r="CT31" s="2212">
        <v>15163.33</v>
      </c>
      <c r="CU31" s="2212">
        <v>21120.58</v>
      </c>
      <c r="CV31" s="2212">
        <v>17699.71</v>
      </c>
      <c r="CW31" s="2212">
        <v>20769.39</v>
      </c>
      <c r="CX31" s="2212">
        <v>24800</v>
      </c>
      <c r="CY31" s="2212">
        <v>14286.24</v>
      </c>
      <c r="CZ31" s="2212">
        <v>18350</v>
      </c>
      <c r="DA31" s="2212">
        <v>27020.5</v>
      </c>
      <c r="DB31" s="2212">
        <v>24744.240000000002</v>
      </c>
      <c r="DC31" s="2212">
        <v>21196.73</v>
      </c>
      <c r="DD31" s="2212">
        <v>17498.16</v>
      </c>
      <c r="DE31" s="2212">
        <v>24194.48</v>
      </c>
      <c r="DF31" s="2212">
        <v>21196.82</v>
      </c>
      <c r="DG31" s="2212">
        <v>24938.16</v>
      </c>
      <c r="DH31" s="2212">
        <v>18691.29</v>
      </c>
      <c r="DI31" s="2212">
        <v>32598.07</v>
      </c>
      <c r="DJ31" s="2212">
        <v>18719.400000000001</v>
      </c>
      <c r="DK31" s="2212">
        <v>23946.65</v>
      </c>
      <c r="DL31" s="2212">
        <v>35648.980000000003</v>
      </c>
      <c r="DM31" s="2212">
        <v>37175.5</v>
      </c>
      <c r="DN31" s="2212">
        <v>20100.490000000002</v>
      </c>
      <c r="DO31" s="2212">
        <v>21184.59</v>
      </c>
      <c r="DP31" s="2212">
        <v>16188.92</v>
      </c>
      <c r="DQ31" s="2212">
        <v>40741.949999999997</v>
      </c>
      <c r="DR31" s="2212">
        <v>22409.64</v>
      </c>
      <c r="DS31" s="2212">
        <v>21917.07</v>
      </c>
      <c r="DT31" s="2212">
        <v>25741.58</v>
      </c>
      <c r="DU31" s="2212">
        <v>26177.69</v>
      </c>
      <c r="DV31" s="2212">
        <v>36291.72</v>
      </c>
      <c r="DW31" s="2212">
        <v>19777.46</v>
      </c>
      <c r="DX31" s="2212">
        <v>22897.93</v>
      </c>
      <c r="DY31" s="2212">
        <v>39762.06</v>
      </c>
      <c r="DZ31" s="2212">
        <v>37407.17</v>
      </c>
      <c r="EA31" s="2212">
        <v>28250</v>
      </c>
      <c r="EB31" s="2212">
        <v>20530.07</v>
      </c>
      <c r="EC31" s="2212">
        <v>21207.87</v>
      </c>
      <c r="ED31" s="2212">
        <v>26177.69</v>
      </c>
      <c r="EE31" s="2212">
        <v>30897.46</v>
      </c>
      <c r="EF31" s="2212">
        <v>52749.53</v>
      </c>
      <c r="EG31" s="2212">
        <v>43697.279999999999</v>
      </c>
      <c r="EH31" s="2212">
        <v>52277.74</v>
      </c>
      <c r="EI31" s="2212">
        <v>25805.86</v>
      </c>
      <c r="EJ31" s="2212">
        <v>33521.68</v>
      </c>
      <c r="EK31" s="2212">
        <v>22750</v>
      </c>
      <c r="EL31" s="2212">
        <v>33756.160000000003</v>
      </c>
      <c r="EM31" s="2212">
        <v>33708.769999999997</v>
      </c>
      <c r="EN31" s="2212">
        <v>17533.2</v>
      </c>
      <c r="EO31" s="2212">
        <v>20563.72</v>
      </c>
      <c r="EP31" s="2212">
        <v>35335.9</v>
      </c>
      <c r="EQ31" s="2212">
        <v>45947</v>
      </c>
      <c r="ER31" s="2212">
        <v>25650</v>
      </c>
      <c r="ES31" s="2212">
        <v>21099.34</v>
      </c>
      <c r="ET31" s="2212">
        <v>31907.41</v>
      </c>
      <c r="EU31" s="2212">
        <v>38795.449999999997</v>
      </c>
      <c r="EV31" s="2212">
        <v>26972.14</v>
      </c>
      <c r="EW31" s="2212">
        <v>55997.88</v>
      </c>
      <c r="EX31" s="2212">
        <v>37910.65</v>
      </c>
      <c r="EY31" s="2212">
        <v>23280.01</v>
      </c>
      <c r="EZ31" s="2212">
        <v>23645.95</v>
      </c>
      <c r="FA31" s="2212">
        <v>17488.259999999998</v>
      </c>
      <c r="FB31" s="2212">
        <v>37767.24</v>
      </c>
      <c r="FC31" s="2212">
        <v>46541.74</v>
      </c>
      <c r="FD31" s="2212">
        <v>43473.81</v>
      </c>
      <c r="FE31" s="2212">
        <v>32746.74</v>
      </c>
      <c r="FF31" s="2212">
        <v>39159.85</v>
      </c>
      <c r="FG31" s="2212">
        <v>33756.160000000003</v>
      </c>
      <c r="FH31" s="2212">
        <v>15485.73</v>
      </c>
      <c r="FI31" s="2212">
        <v>23450.799999999999</v>
      </c>
      <c r="FJ31" s="2212">
        <v>33763.18</v>
      </c>
      <c r="FK31" s="2212">
        <v>21677.9</v>
      </c>
      <c r="FL31" s="2212">
        <v>24012.13</v>
      </c>
      <c r="FM31" s="2212">
        <v>20412.919999999998</v>
      </c>
      <c r="FN31" s="2212">
        <v>20513.88</v>
      </c>
      <c r="FO31" s="2212">
        <v>26276.77</v>
      </c>
      <c r="FP31" s="2212">
        <v>29785.69</v>
      </c>
      <c r="FQ31" s="2212">
        <v>23000.22</v>
      </c>
      <c r="FR31" s="2212">
        <v>23168.74</v>
      </c>
      <c r="FS31" s="2212">
        <v>44967.97</v>
      </c>
      <c r="FT31" s="2212">
        <v>20502.38</v>
      </c>
      <c r="FU31" s="2212">
        <v>26822.16</v>
      </c>
      <c r="FV31" s="2212">
        <v>37910.81</v>
      </c>
      <c r="FW31" s="2212">
        <v>33136.019999999997</v>
      </c>
      <c r="FX31" s="2212">
        <v>21991.23</v>
      </c>
      <c r="FY31" s="2212">
        <v>28185.61</v>
      </c>
      <c r="FZ31" s="2212">
        <v>48476.54</v>
      </c>
      <c r="GA31" s="2212">
        <v>22665.06</v>
      </c>
      <c r="GB31" s="2212">
        <v>17145.36</v>
      </c>
      <c r="GC31" s="2212">
        <v>21517.41</v>
      </c>
      <c r="GD31" s="2212">
        <v>50582.76</v>
      </c>
      <c r="GE31" s="2212">
        <v>17725.580000000002</v>
      </c>
      <c r="GF31" s="2212">
        <v>43092.95</v>
      </c>
      <c r="GG31" s="2212">
        <v>49554.28</v>
      </c>
      <c r="GH31" s="2212">
        <v>38247.660000000003</v>
      </c>
      <c r="GI31" s="2212">
        <v>30044.73</v>
      </c>
      <c r="GJ31" s="2212">
        <v>23595.98</v>
      </c>
      <c r="GK31" s="2212">
        <v>39070.129999999997</v>
      </c>
      <c r="GL31" s="2212">
        <v>33502.44</v>
      </c>
      <c r="GM31" s="2212">
        <v>55681.46</v>
      </c>
      <c r="GN31" s="2212">
        <v>24219.27</v>
      </c>
      <c r="GO31" s="2212">
        <v>19856.39</v>
      </c>
      <c r="GP31" s="2212">
        <v>24263.83</v>
      </c>
      <c r="GQ31" s="2212">
        <v>45748.46</v>
      </c>
      <c r="GR31" s="2212">
        <v>21071.26</v>
      </c>
      <c r="GS31" s="2212">
        <v>20768.54</v>
      </c>
      <c r="GT31" s="2212">
        <v>37146.07</v>
      </c>
      <c r="GU31" s="2212">
        <v>38593.03</v>
      </c>
      <c r="GV31" s="2212">
        <v>59080.79</v>
      </c>
      <c r="GW31" s="2212">
        <v>15805.01</v>
      </c>
      <c r="GX31" s="2212">
        <v>21214.58</v>
      </c>
      <c r="GY31" s="2212">
        <v>40010.33</v>
      </c>
      <c r="GZ31" s="2212">
        <v>22732.55</v>
      </c>
      <c r="HA31" s="2212">
        <v>63331.23</v>
      </c>
      <c r="HB31" s="2212">
        <v>20781.14</v>
      </c>
      <c r="HC31" s="2212">
        <v>33296.58</v>
      </c>
      <c r="HD31" s="2212">
        <v>25285.21</v>
      </c>
      <c r="HE31" s="2212">
        <v>34085.47</v>
      </c>
      <c r="HF31" s="2212">
        <v>19600</v>
      </c>
      <c r="HG31" s="2212">
        <v>15554.06</v>
      </c>
      <c r="HH31" s="2212">
        <v>23286.44</v>
      </c>
      <c r="HI31" s="2212">
        <v>24913.47</v>
      </c>
      <c r="HJ31" s="2212">
        <v>20666.45</v>
      </c>
      <c r="HK31" s="2212">
        <v>19901.39</v>
      </c>
      <c r="HL31" s="2212">
        <v>47570.79</v>
      </c>
      <c r="HM31" s="2212">
        <v>45141.42</v>
      </c>
      <c r="HN31" s="2212">
        <v>21660.69</v>
      </c>
      <c r="HO31" s="2212">
        <v>38380.559999999998</v>
      </c>
      <c r="HP31" s="2212">
        <v>23286.44</v>
      </c>
      <c r="HQ31" s="2212">
        <v>57513.53</v>
      </c>
      <c r="HR31" s="2212">
        <v>48250.5</v>
      </c>
      <c r="HS31" s="2212">
        <v>21517.37</v>
      </c>
      <c r="HT31" s="2212">
        <v>21677.9</v>
      </c>
      <c r="HU31" s="2212">
        <v>60665.87</v>
      </c>
      <c r="HV31" s="2212">
        <v>24274.99</v>
      </c>
      <c r="HW31" s="2212">
        <v>21743.16</v>
      </c>
      <c r="HX31" s="2212">
        <v>29152.45</v>
      </c>
      <c r="HY31" s="2212">
        <v>58739.34</v>
      </c>
      <c r="HZ31" s="2212">
        <v>52454.38</v>
      </c>
      <c r="IA31" s="2212">
        <v>20666.240000000002</v>
      </c>
      <c r="IB31" s="2212">
        <v>22016.81</v>
      </c>
      <c r="IC31" s="2212">
        <v>34960.19</v>
      </c>
      <c r="ID31" s="2212">
        <v>15486.23</v>
      </c>
      <c r="IE31" s="2212">
        <v>63713.36</v>
      </c>
      <c r="IF31" s="2212">
        <v>53318.35</v>
      </c>
      <c r="IG31" s="2212">
        <v>52277.74</v>
      </c>
      <c r="IH31" s="2212">
        <v>37591.699999999997</v>
      </c>
      <c r="II31" s="2212">
        <v>21080.87</v>
      </c>
      <c r="IJ31" s="2212">
        <v>25031.88</v>
      </c>
      <c r="IK31" s="2212">
        <v>23494.33</v>
      </c>
      <c r="IL31" s="2212">
        <v>23732.080000000002</v>
      </c>
      <c r="IM31" s="2212">
        <v>23801.47</v>
      </c>
      <c r="IN31" s="2212">
        <v>54742.76</v>
      </c>
      <c r="IO31" s="2212">
        <v>47190.48</v>
      </c>
      <c r="IP31" s="2212">
        <v>19777.47</v>
      </c>
      <c r="IQ31" s="2212">
        <v>33961.480000000003</v>
      </c>
      <c r="IR31" s="2212">
        <v>37889.089999999997</v>
      </c>
      <c r="IS31" s="2212">
        <v>21660.62</v>
      </c>
      <c r="IT31" s="2212">
        <v>21917.58</v>
      </c>
      <c r="IU31" s="2911">
        <v>21437.89</v>
      </c>
      <c r="IV31" s="2911">
        <v>22445.3</v>
      </c>
      <c r="IW31" s="2911">
        <v>24153.58</v>
      </c>
      <c r="IX31" s="2911">
        <v>25653.58</v>
      </c>
      <c r="IY31" s="2207"/>
      <c r="IZ31" s="2215">
        <f t="shared" si="6"/>
        <v>22</v>
      </c>
    </row>
    <row r="32" spans="1:260">
      <c r="A32" s="2214">
        <v>23</v>
      </c>
      <c r="B32" s="2212">
        <v>66138.080000000002</v>
      </c>
      <c r="C32" s="2927">
        <v>60122.63</v>
      </c>
      <c r="D32" s="2927">
        <v>54793</v>
      </c>
      <c r="E32" s="2212">
        <v>52087.54</v>
      </c>
      <c r="F32" s="2927">
        <v>52066.239999999998</v>
      </c>
      <c r="G32" s="2212">
        <v>50779.82</v>
      </c>
      <c r="H32" s="2927">
        <v>48905.5</v>
      </c>
      <c r="I32" s="2212">
        <v>45695.31</v>
      </c>
      <c r="J32" s="2212">
        <v>50083.62</v>
      </c>
      <c r="K32" s="2212">
        <v>47248.59</v>
      </c>
      <c r="L32" s="2927">
        <v>44108.75</v>
      </c>
      <c r="M32" s="2212">
        <v>43756.27</v>
      </c>
      <c r="N32" s="2927">
        <v>40068.07</v>
      </c>
      <c r="O32" s="2212">
        <v>38980.86</v>
      </c>
      <c r="P32" s="2927">
        <v>35804.410000000003</v>
      </c>
      <c r="Q32" s="2927">
        <v>30246.65</v>
      </c>
      <c r="R32" s="2212">
        <v>34804.410000000003</v>
      </c>
      <c r="S32" s="2212">
        <v>34804.410000000003</v>
      </c>
      <c r="T32" s="2212">
        <v>33849.949999999997</v>
      </c>
      <c r="U32" s="2212">
        <v>33849.949999999997</v>
      </c>
      <c r="V32" s="2212">
        <v>33849.949999999997</v>
      </c>
      <c r="W32" s="2212">
        <v>33849.949999999997</v>
      </c>
      <c r="X32" s="2212">
        <v>31879.27</v>
      </c>
      <c r="Y32" s="2927">
        <v>36262.04</v>
      </c>
      <c r="Z32" s="2923">
        <v>33498</v>
      </c>
      <c r="AA32" s="2930">
        <v>33498</v>
      </c>
      <c r="AB32" s="2927">
        <v>35262.04</v>
      </c>
      <c r="AC32" s="2212">
        <v>31433.08</v>
      </c>
      <c r="AD32" s="2923">
        <v>32433.08</v>
      </c>
      <c r="AE32" s="2927">
        <v>33983.879999999997</v>
      </c>
      <c r="AF32" s="2927">
        <v>31260.51</v>
      </c>
      <c r="AG32" s="2927">
        <v>31260.51</v>
      </c>
      <c r="AH32" s="2927">
        <v>33138.22</v>
      </c>
      <c r="AI32" s="2927">
        <v>30484.51</v>
      </c>
      <c r="AJ32" s="2927">
        <v>28189.13</v>
      </c>
      <c r="AK32" s="2927">
        <v>22908.97</v>
      </c>
      <c r="AL32" s="2927">
        <v>20905.990000000002</v>
      </c>
      <c r="AM32" s="2927">
        <v>19840.080000000002</v>
      </c>
      <c r="AN32" s="2212">
        <v>21908.97</v>
      </c>
      <c r="AO32" s="2212">
        <v>19905.990000000002</v>
      </c>
      <c r="AP32" s="2212">
        <v>18840.080000000002</v>
      </c>
      <c r="AQ32" s="2923">
        <v>27960</v>
      </c>
      <c r="AR32" s="2923">
        <v>26335</v>
      </c>
      <c r="AS32" s="2927">
        <v>25095.360000000001</v>
      </c>
      <c r="AT32" s="2927">
        <v>24475.66</v>
      </c>
      <c r="AU32" s="2928">
        <v>23013.119999999999</v>
      </c>
      <c r="AV32" s="2212">
        <v>21220.23</v>
      </c>
      <c r="AW32" s="2212">
        <v>19659.32</v>
      </c>
      <c r="AX32" s="2212">
        <v>22895.51</v>
      </c>
      <c r="AY32" s="2212">
        <v>23326.86</v>
      </c>
      <c r="AZ32" s="2212">
        <v>23297.17</v>
      </c>
      <c r="BA32" s="2212">
        <v>23698.68</v>
      </c>
      <c r="BB32" s="2212">
        <v>23326.86</v>
      </c>
      <c r="BC32" s="2212">
        <v>23376.82</v>
      </c>
      <c r="BD32" s="2212">
        <v>24070.54</v>
      </c>
      <c r="BE32" s="2212">
        <v>24169.759999999998</v>
      </c>
      <c r="BF32" s="2212">
        <v>24591.15</v>
      </c>
      <c r="BG32" s="2212">
        <v>18751.38</v>
      </c>
      <c r="BH32" s="2212">
        <v>27800</v>
      </c>
      <c r="BI32" s="2212">
        <v>28235.17</v>
      </c>
      <c r="BJ32" s="2212">
        <v>15371.14</v>
      </c>
      <c r="BK32" s="2212">
        <v>15371.14</v>
      </c>
      <c r="BL32" s="2212">
        <v>35150</v>
      </c>
      <c r="BM32" s="2212">
        <v>33203.07</v>
      </c>
      <c r="BN32" s="2212">
        <v>33961.480000000003</v>
      </c>
      <c r="BO32" s="2212">
        <v>33521.82</v>
      </c>
      <c r="BP32" s="2212">
        <v>42055.29</v>
      </c>
      <c r="BQ32" s="2212">
        <v>26276.83</v>
      </c>
      <c r="BR32" s="2212">
        <v>45052.33</v>
      </c>
      <c r="BS32" s="2212">
        <v>38979.11</v>
      </c>
      <c r="BT32" s="2212">
        <v>32700</v>
      </c>
      <c r="BU32" s="2212">
        <v>37407.22</v>
      </c>
      <c r="BV32" s="2212">
        <v>48049.47</v>
      </c>
      <c r="BW32" s="2212">
        <v>51203.97</v>
      </c>
      <c r="BX32" s="2212">
        <v>36455.410000000003</v>
      </c>
      <c r="BY32" s="2212">
        <v>20007.32</v>
      </c>
      <c r="BZ32" s="2212">
        <v>52564.26</v>
      </c>
      <c r="CA32" s="2212">
        <v>22364.12</v>
      </c>
      <c r="CB32" s="2212">
        <v>22507.33</v>
      </c>
      <c r="CC32" s="2212">
        <v>22141.29</v>
      </c>
      <c r="CD32" s="2212">
        <v>29929.18</v>
      </c>
      <c r="CE32" s="2212">
        <v>32845.81</v>
      </c>
      <c r="CF32" s="2212">
        <v>39539.129999999997</v>
      </c>
      <c r="CG32" s="2212">
        <v>29747.23</v>
      </c>
      <c r="CH32" s="2927">
        <v>30636.13</v>
      </c>
      <c r="CI32" s="2927">
        <v>23908.97</v>
      </c>
      <c r="CJ32" s="2212">
        <v>21343.7</v>
      </c>
      <c r="CK32" s="2212">
        <v>20054.64</v>
      </c>
      <c r="CL32" s="2212">
        <v>22467.66</v>
      </c>
      <c r="CM32" s="2212">
        <v>20650</v>
      </c>
      <c r="CN32" s="2212">
        <v>24958.06</v>
      </c>
      <c r="CO32" s="2212">
        <v>17303.080000000002</v>
      </c>
      <c r="CP32" s="2212">
        <v>17450</v>
      </c>
      <c r="CQ32" s="2212">
        <v>22417.08</v>
      </c>
      <c r="CR32" s="2212">
        <v>23265.040000000001</v>
      </c>
      <c r="CS32" s="2212">
        <v>21733.17</v>
      </c>
      <c r="CT32" s="2212">
        <v>15314.72</v>
      </c>
      <c r="CU32" s="2212">
        <v>21665.95</v>
      </c>
      <c r="CV32" s="2212">
        <v>18046.77</v>
      </c>
      <c r="CW32" s="2212">
        <v>21393.29</v>
      </c>
      <c r="CX32" s="2212">
        <v>25400</v>
      </c>
      <c r="CY32" s="2212">
        <v>14361.93</v>
      </c>
      <c r="CZ32" s="2212">
        <v>18750</v>
      </c>
      <c r="DA32" s="2212">
        <v>27764.19</v>
      </c>
      <c r="DB32" s="2212">
        <v>25190.13</v>
      </c>
      <c r="DC32" s="2212">
        <v>21833.47</v>
      </c>
      <c r="DD32" s="2212">
        <v>17662.669999999998</v>
      </c>
      <c r="DE32" s="2212">
        <v>24814.22</v>
      </c>
      <c r="DF32" s="2212">
        <v>21833.56</v>
      </c>
      <c r="DG32" s="2212">
        <v>25557.9</v>
      </c>
      <c r="DH32" s="2212">
        <v>19038.349999999999</v>
      </c>
      <c r="DI32" s="2212">
        <v>33589.65</v>
      </c>
      <c r="DJ32" s="2212">
        <v>18719.400000000001</v>
      </c>
      <c r="DK32" s="2212">
        <v>24219.34</v>
      </c>
      <c r="DL32" s="2212">
        <v>35648.980000000003</v>
      </c>
      <c r="DM32" s="2212">
        <v>37261.03</v>
      </c>
      <c r="DN32" s="2212">
        <v>20412.39</v>
      </c>
      <c r="DO32" s="2212">
        <v>21820.959999999999</v>
      </c>
      <c r="DP32" s="2212">
        <v>16729.849999999999</v>
      </c>
      <c r="DQ32" s="2212">
        <v>41179.730000000003</v>
      </c>
      <c r="DR32" s="2212">
        <v>23004.59</v>
      </c>
      <c r="DS32" s="2212">
        <v>22284.080000000002</v>
      </c>
      <c r="DT32" s="2212">
        <v>26464.02</v>
      </c>
      <c r="DU32" s="2212">
        <v>26445.42</v>
      </c>
      <c r="DV32" s="2212">
        <v>37432.04</v>
      </c>
      <c r="DW32" s="2212">
        <v>20007.310000000001</v>
      </c>
      <c r="DX32" s="2212">
        <v>23264.74</v>
      </c>
      <c r="DY32" s="2212">
        <v>39762.06</v>
      </c>
      <c r="DZ32" s="2212">
        <v>38299.589999999997</v>
      </c>
      <c r="EA32" s="2212">
        <v>29150</v>
      </c>
      <c r="EB32" s="2212">
        <v>20846.14</v>
      </c>
      <c r="EC32" s="2212">
        <v>21207.87</v>
      </c>
      <c r="ED32" s="2212">
        <v>26445.42</v>
      </c>
      <c r="EE32" s="2212">
        <v>31846.67</v>
      </c>
      <c r="EF32" s="2212">
        <v>54200.7</v>
      </c>
      <c r="EG32" s="2212">
        <v>44148.97</v>
      </c>
      <c r="EH32" s="2212">
        <v>53661.49</v>
      </c>
      <c r="EI32" s="2212">
        <v>25979.39</v>
      </c>
      <c r="EJ32" s="2212">
        <v>33521.68</v>
      </c>
      <c r="EK32" s="2212">
        <v>23350</v>
      </c>
      <c r="EL32" s="2212">
        <v>33756.160000000003</v>
      </c>
      <c r="EM32" s="2212">
        <v>34192.17</v>
      </c>
      <c r="EN32" s="2212">
        <v>17694.5</v>
      </c>
      <c r="EO32" s="2212">
        <v>21181.45</v>
      </c>
      <c r="EP32" s="2212">
        <v>35709.11</v>
      </c>
      <c r="EQ32" s="2212">
        <v>47190.59</v>
      </c>
      <c r="ER32" s="2212">
        <v>26450</v>
      </c>
      <c r="ES32" s="2212">
        <v>21292.23</v>
      </c>
      <c r="ET32" s="2212">
        <v>31907.41</v>
      </c>
      <c r="EU32" s="2212">
        <v>39539.14</v>
      </c>
      <c r="EV32" s="2212">
        <v>27517.88</v>
      </c>
      <c r="EW32" s="2212">
        <v>57513.48</v>
      </c>
      <c r="EX32" s="2212">
        <v>37910.65</v>
      </c>
      <c r="EY32" s="2212">
        <v>24012.74</v>
      </c>
      <c r="EZ32" s="2212">
        <v>24012.880000000001</v>
      </c>
      <c r="FA32" s="2212">
        <v>17652.689999999999</v>
      </c>
      <c r="FB32" s="2212">
        <v>38171.24</v>
      </c>
      <c r="FC32" s="2212">
        <v>47044.35</v>
      </c>
      <c r="FD32" s="2212">
        <v>43473.81</v>
      </c>
      <c r="FE32" s="2212">
        <v>33515.21</v>
      </c>
      <c r="FF32" s="2212">
        <v>39286.28</v>
      </c>
      <c r="FG32" s="2212">
        <v>33756.160000000003</v>
      </c>
      <c r="FH32" s="2212">
        <v>15555.81</v>
      </c>
      <c r="FI32" s="2212">
        <v>24070.54</v>
      </c>
      <c r="FJ32" s="2212">
        <v>35101.81</v>
      </c>
      <c r="FK32" s="2212">
        <v>21677.9</v>
      </c>
      <c r="FL32" s="2212">
        <v>24379.09</v>
      </c>
      <c r="FM32" s="2212">
        <v>20412.919999999998</v>
      </c>
      <c r="FN32" s="2212">
        <v>20832.18</v>
      </c>
      <c r="FO32" s="2212">
        <v>26846.93</v>
      </c>
      <c r="FP32" s="2212">
        <v>29785.69</v>
      </c>
      <c r="FQ32" s="2212">
        <v>23545.96</v>
      </c>
      <c r="FR32" s="2212">
        <v>23587.09</v>
      </c>
      <c r="FS32" s="2212">
        <v>44967.97</v>
      </c>
      <c r="FT32" s="2212">
        <v>20820.509999999998</v>
      </c>
      <c r="FU32" s="2212">
        <v>27417.11</v>
      </c>
      <c r="FV32" s="2212">
        <v>37910.81</v>
      </c>
      <c r="FW32" s="2212">
        <v>33506.379999999997</v>
      </c>
      <c r="FX32" s="2212">
        <v>22289.69</v>
      </c>
      <c r="FY32" s="2212">
        <v>28396.32</v>
      </c>
      <c r="FZ32" s="2212">
        <v>49777.120000000003</v>
      </c>
      <c r="GA32" s="2212">
        <v>23032.12</v>
      </c>
      <c r="GB32" s="2212">
        <v>17306.54</v>
      </c>
      <c r="GC32" s="2212">
        <v>22141.31</v>
      </c>
      <c r="GD32" s="2212">
        <v>51809.84</v>
      </c>
      <c r="GE32" s="2212">
        <v>17890.09</v>
      </c>
      <c r="GF32" s="2212">
        <v>43552.77</v>
      </c>
      <c r="GG32" s="2212">
        <v>50104.24</v>
      </c>
      <c r="GH32" s="2212">
        <v>38265.019999999997</v>
      </c>
      <c r="GI32" s="2212">
        <v>30937.15</v>
      </c>
      <c r="GJ32" s="2212">
        <v>23828.31</v>
      </c>
      <c r="GK32" s="2212">
        <v>39070.129999999997</v>
      </c>
      <c r="GL32" s="2212">
        <v>33502.44</v>
      </c>
      <c r="GM32" s="2212">
        <v>56292.15</v>
      </c>
      <c r="GN32" s="2212">
        <v>24814.22</v>
      </c>
      <c r="GO32" s="2212">
        <v>19980.34</v>
      </c>
      <c r="GP32" s="2212">
        <v>24462.14</v>
      </c>
      <c r="GQ32" s="2212">
        <v>46229.18</v>
      </c>
      <c r="GR32" s="2212">
        <v>21383.16</v>
      </c>
      <c r="GS32" s="2212">
        <v>21392.41</v>
      </c>
      <c r="GT32" s="2212">
        <v>37146.07</v>
      </c>
      <c r="GU32" s="2212">
        <v>38593.03</v>
      </c>
      <c r="GV32" s="2212">
        <v>60665.88</v>
      </c>
      <c r="GW32" s="2212">
        <v>15876.56</v>
      </c>
      <c r="GX32" s="2212">
        <v>21526.48</v>
      </c>
      <c r="GY32" s="2212">
        <v>40010.33</v>
      </c>
      <c r="GZ32" s="2212">
        <v>23043.07</v>
      </c>
      <c r="HA32" s="2212">
        <v>64020.800000000003</v>
      </c>
      <c r="HB32" s="2212">
        <v>21405.39</v>
      </c>
      <c r="HC32" s="2212">
        <v>34246.93</v>
      </c>
      <c r="HD32" s="2212">
        <v>25904.95</v>
      </c>
      <c r="HE32" s="2212">
        <v>35101.839999999997</v>
      </c>
      <c r="HF32" s="2212">
        <v>19950</v>
      </c>
      <c r="HG32" s="2212">
        <v>15650.74</v>
      </c>
      <c r="HH32" s="2212">
        <v>24066.54</v>
      </c>
      <c r="HI32" s="2212">
        <v>25537.37</v>
      </c>
      <c r="HJ32" s="2212">
        <v>20993.25</v>
      </c>
      <c r="HK32" s="2212">
        <v>20210.2</v>
      </c>
      <c r="HL32" s="2212">
        <v>48785.47</v>
      </c>
      <c r="HM32" s="2212">
        <v>46306.52</v>
      </c>
      <c r="HN32" s="2212">
        <v>22284.59</v>
      </c>
      <c r="HO32" s="2212">
        <v>38380.559999999998</v>
      </c>
      <c r="HP32" s="2212">
        <v>24066.54</v>
      </c>
      <c r="HQ32" s="2212">
        <v>57513.53</v>
      </c>
      <c r="HR32" s="2212">
        <v>48759.38</v>
      </c>
      <c r="HS32" s="2212">
        <v>22141.27</v>
      </c>
      <c r="HT32" s="2212">
        <v>21677.9</v>
      </c>
      <c r="HU32" s="2212">
        <v>60665.87</v>
      </c>
      <c r="HV32" s="2212">
        <v>24639.22</v>
      </c>
      <c r="HW32" s="2212">
        <v>22053.68</v>
      </c>
      <c r="HX32" s="2212">
        <v>29400.35</v>
      </c>
      <c r="HY32" s="2212">
        <v>59381.54</v>
      </c>
      <c r="HZ32" s="2212">
        <v>53036.54</v>
      </c>
      <c r="IA32" s="2212">
        <v>20993.040000000001</v>
      </c>
      <c r="IB32" s="2212">
        <v>22640.71</v>
      </c>
      <c r="IC32" s="2212">
        <v>34960.19</v>
      </c>
      <c r="ID32" s="2212">
        <v>15556.31</v>
      </c>
      <c r="IE32" s="2212">
        <v>65399.83</v>
      </c>
      <c r="IF32" s="2212">
        <v>53318.35</v>
      </c>
      <c r="IG32" s="2212">
        <v>53661.49</v>
      </c>
      <c r="IH32" s="2212">
        <v>37591.699999999997</v>
      </c>
      <c r="II32" s="2212">
        <v>21392.77</v>
      </c>
      <c r="IJ32" s="2212">
        <v>25611.19</v>
      </c>
      <c r="IK32" s="2212">
        <v>24140.77</v>
      </c>
      <c r="IL32" s="2212">
        <v>24512.5</v>
      </c>
      <c r="IM32" s="2212">
        <v>24486.58</v>
      </c>
      <c r="IN32" s="2212">
        <v>54742.76</v>
      </c>
      <c r="IO32" s="2212">
        <v>47190.48</v>
      </c>
      <c r="IP32" s="2212">
        <v>20007.32</v>
      </c>
      <c r="IQ32" s="2212">
        <v>33961.480000000003</v>
      </c>
      <c r="IR32" s="2212">
        <v>37889.089999999997</v>
      </c>
      <c r="IS32" s="2212">
        <v>22284.52</v>
      </c>
      <c r="IT32" s="2212">
        <v>22283.87</v>
      </c>
      <c r="IU32" s="2911">
        <v>22061.5</v>
      </c>
      <c r="IV32" s="2911">
        <v>22980.43</v>
      </c>
      <c r="IW32" s="2911">
        <v>24777.19</v>
      </c>
      <c r="IX32" s="2911">
        <v>26277.19</v>
      </c>
      <c r="IY32" s="2207"/>
      <c r="IZ32" s="2215">
        <f t="shared" si="6"/>
        <v>23</v>
      </c>
    </row>
    <row r="33" spans="1:260">
      <c r="A33" s="2214">
        <v>24</v>
      </c>
      <c r="B33" s="2212">
        <v>67575.87</v>
      </c>
      <c r="C33" s="2927">
        <v>61733.94</v>
      </c>
      <c r="D33" s="2927">
        <v>56280.37</v>
      </c>
      <c r="E33" s="2212">
        <v>52466.82</v>
      </c>
      <c r="F33" s="2927">
        <v>52438.09</v>
      </c>
      <c r="G33" s="2212">
        <v>51029.45</v>
      </c>
      <c r="H33" s="2927">
        <v>49141</v>
      </c>
      <c r="I33" s="2212">
        <v>46142.02</v>
      </c>
      <c r="J33" s="2212">
        <v>50556.61</v>
      </c>
      <c r="K33" s="2212">
        <v>47694.8</v>
      </c>
      <c r="L33" s="2927">
        <v>44530.17</v>
      </c>
      <c r="M33" s="2212">
        <v>44089.440000000002</v>
      </c>
      <c r="N33" s="2927">
        <v>40365.550000000003</v>
      </c>
      <c r="O33" s="2212">
        <v>39341.800000000003</v>
      </c>
      <c r="P33" s="2927">
        <v>36126.68</v>
      </c>
      <c r="Q33" s="2927">
        <v>30497.03</v>
      </c>
      <c r="R33" s="2212">
        <v>35126.68</v>
      </c>
      <c r="S33" s="2212">
        <v>35126.68</v>
      </c>
      <c r="T33" s="2212">
        <v>34172.22</v>
      </c>
      <c r="U33" s="2212">
        <v>34172.22</v>
      </c>
      <c r="V33" s="2212">
        <v>34172.22</v>
      </c>
      <c r="W33" s="2212">
        <v>34172.22</v>
      </c>
      <c r="X33" s="2212">
        <v>32176.75</v>
      </c>
      <c r="Y33" s="2927">
        <v>36640.33</v>
      </c>
      <c r="Z33" s="2923">
        <v>33768</v>
      </c>
      <c r="AA33" s="2930">
        <v>33768</v>
      </c>
      <c r="AB33" s="2927">
        <v>35640.33</v>
      </c>
      <c r="AC33" s="2212">
        <v>31780.14</v>
      </c>
      <c r="AD33" s="2923">
        <v>32780.14</v>
      </c>
      <c r="AE33" s="2927">
        <v>34335.15</v>
      </c>
      <c r="AF33" s="2927">
        <v>31582.78</v>
      </c>
      <c r="AG33" s="2927">
        <v>31582.78</v>
      </c>
      <c r="AH33" s="2927">
        <v>33470.58</v>
      </c>
      <c r="AI33" s="2927">
        <v>30789.42</v>
      </c>
      <c r="AJ33" s="2927">
        <v>28476.69</v>
      </c>
      <c r="AK33" s="2927">
        <v>23097.37</v>
      </c>
      <c r="AL33" s="2927">
        <v>21054.73</v>
      </c>
      <c r="AM33" s="2927">
        <v>19964.03</v>
      </c>
      <c r="AN33" s="2212">
        <v>22097.37</v>
      </c>
      <c r="AO33" s="2212">
        <v>20054.73</v>
      </c>
      <c r="AP33" s="2212">
        <v>18964.03</v>
      </c>
      <c r="AQ33" s="2923">
        <v>28160</v>
      </c>
      <c r="AR33" s="2923">
        <v>26558</v>
      </c>
      <c r="AS33" s="2927">
        <v>25325.91</v>
      </c>
      <c r="AT33" s="2927">
        <v>24636.799999999999</v>
      </c>
      <c r="AU33" s="2928">
        <v>23149.47</v>
      </c>
      <c r="AV33" s="2212">
        <v>21220.23</v>
      </c>
      <c r="AW33" s="2212">
        <v>19659.32</v>
      </c>
      <c r="AX33" s="2212">
        <v>23133.49</v>
      </c>
      <c r="AY33" s="2212">
        <v>23326.86</v>
      </c>
      <c r="AZ33" s="2212">
        <v>23550.03</v>
      </c>
      <c r="BA33" s="2212">
        <v>23698.68</v>
      </c>
      <c r="BB33" s="2212">
        <v>23326.86</v>
      </c>
      <c r="BC33" s="2212">
        <v>23376.82</v>
      </c>
      <c r="BD33" s="2212">
        <v>24070.54</v>
      </c>
      <c r="BE33" s="2212">
        <v>24387.91</v>
      </c>
      <c r="BF33" s="2212">
        <v>24591.15</v>
      </c>
      <c r="BG33" s="2212">
        <v>18880.79</v>
      </c>
      <c r="BH33" s="2212">
        <v>27800</v>
      </c>
      <c r="BI33" s="2212">
        <v>28507.86</v>
      </c>
      <c r="BJ33" s="2212">
        <v>15371.14</v>
      </c>
      <c r="BK33" s="2212">
        <v>15371.14</v>
      </c>
      <c r="BL33" s="2212">
        <v>35150</v>
      </c>
      <c r="BM33" s="2212">
        <v>33545.17</v>
      </c>
      <c r="BN33" s="2212">
        <v>33961.480000000003</v>
      </c>
      <c r="BO33" s="2212">
        <v>33521.82</v>
      </c>
      <c r="BP33" s="2212">
        <v>42055.29</v>
      </c>
      <c r="BQ33" s="2212">
        <v>26276.83</v>
      </c>
      <c r="BR33" s="2212">
        <v>45052.33</v>
      </c>
      <c r="BS33" s="2212">
        <v>38979.11</v>
      </c>
      <c r="BT33" s="2212">
        <v>32700</v>
      </c>
      <c r="BU33" s="2212">
        <v>37407.22</v>
      </c>
      <c r="BV33" s="2212">
        <v>48049.47</v>
      </c>
      <c r="BW33" s="2212">
        <v>51203.97</v>
      </c>
      <c r="BX33" s="2212">
        <v>36455.410000000003</v>
      </c>
      <c r="BY33" s="2212">
        <v>20237.169999999998</v>
      </c>
      <c r="BZ33" s="2212">
        <v>53112.85</v>
      </c>
      <c r="CA33" s="2212">
        <v>22364.12</v>
      </c>
      <c r="CB33" s="2212">
        <v>22507.33</v>
      </c>
      <c r="CC33" s="2212">
        <v>22141.29</v>
      </c>
      <c r="CD33" s="2212">
        <v>30024.2</v>
      </c>
      <c r="CE33" s="2212">
        <v>32845.81</v>
      </c>
      <c r="CF33" s="2212">
        <v>39539.129999999997</v>
      </c>
      <c r="CG33" s="2212">
        <v>29747.23</v>
      </c>
      <c r="CH33" s="2927">
        <v>30949.57</v>
      </c>
      <c r="CI33" s="2927">
        <v>24097.37</v>
      </c>
      <c r="CJ33" s="2212">
        <v>21343.7</v>
      </c>
      <c r="CK33" s="2212">
        <v>20054.64</v>
      </c>
      <c r="CL33" s="2212">
        <v>22467.66</v>
      </c>
      <c r="CM33" s="2212">
        <v>20650</v>
      </c>
      <c r="CN33" s="2212">
        <v>25225.79</v>
      </c>
      <c r="CO33" s="2212">
        <v>17303.080000000002</v>
      </c>
      <c r="CP33" s="2212">
        <v>17450</v>
      </c>
      <c r="CQ33" s="2212">
        <v>22660.02</v>
      </c>
      <c r="CR33" s="2212">
        <v>23265.040000000001</v>
      </c>
      <c r="CS33" s="2212">
        <v>22040.78</v>
      </c>
      <c r="CT33" s="2212">
        <v>15314.72</v>
      </c>
      <c r="CU33" s="2212">
        <v>21665.95</v>
      </c>
      <c r="CV33" s="2212">
        <v>18046.77</v>
      </c>
      <c r="CW33" s="2212">
        <v>21393.29</v>
      </c>
      <c r="CX33" s="2212">
        <v>25400</v>
      </c>
      <c r="CY33" s="2212">
        <v>14361.93</v>
      </c>
      <c r="CZ33" s="2212">
        <v>18750</v>
      </c>
      <c r="DA33" s="2212">
        <v>27764.19</v>
      </c>
      <c r="DB33" s="2212">
        <v>25190.13</v>
      </c>
      <c r="DC33" s="2212">
        <v>21833.47</v>
      </c>
      <c r="DD33" s="2212">
        <v>17827.18</v>
      </c>
      <c r="DE33" s="2212">
        <v>24814.22</v>
      </c>
      <c r="DF33" s="2212">
        <v>21833.56</v>
      </c>
      <c r="DG33" s="2212">
        <v>25557.9</v>
      </c>
      <c r="DH33" s="2212">
        <v>19038.349999999999</v>
      </c>
      <c r="DI33" s="2212">
        <v>33589.65</v>
      </c>
      <c r="DJ33" s="2212">
        <v>18719.400000000001</v>
      </c>
      <c r="DK33" s="2212">
        <v>24492.03</v>
      </c>
      <c r="DL33" s="2212">
        <v>36783.4</v>
      </c>
      <c r="DM33" s="2212">
        <v>37346.559999999998</v>
      </c>
      <c r="DN33" s="2212">
        <v>20724.29</v>
      </c>
      <c r="DO33" s="2212">
        <v>21820.959999999999</v>
      </c>
      <c r="DP33" s="2212">
        <v>16729.849999999999</v>
      </c>
      <c r="DQ33" s="2212">
        <v>41617.51</v>
      </c>
      <c r="DR33" s="2212">
        <v>23004.59</v>
      </c>
      <c r="DS33" s="2212">
        <v>22284.080000000002</v>
      </c>
      <c r="DT33" s="2212">
        <v>26464.02</v>
      </c>
      <c r="DU33" s="2212">
        <v>26713.15</v>
      </c>
      <c r="DV33" s="2212">
        <v>37432.04</v>
      </c>
      <c r="DW33" s="2212">
        <v>20237.16</v>
      </c>
      <c r="DX33" s="2212">
        <v>23264.74</v>
      </c>
      <c r="DY33" s="2212">
        <v>40580.19</v>
      </c>
      <c r="DZ33" s="2212">
        <v>38299.589999999997</v>
      </c>
      <c r="EA33" s="2212">
        <v>29150</v>
      </c>
      <c r="EB33" s="2212">
        <v>21162.21</v>
      </c>
      <c r="EC33" s="2212">
        <v>21841.78</v>
      </c>
      <c r="ED33" s="2212">
        <v>26713.15</v>
      </c>
      <c r="EE33" s="2212">
        <v>31846.67</v>
      </c>
      <c r="EF33" s="2212">
        <v>54200.7</v>
      </c>
      <c r="EG33" s="2212">
        <v>44600.66</v>
      </c>
      <c r="EH33" s="2212">
        <v>53661.49</v>
      </c>
      <c r="EI33" s="2212">
        <v>26152.92</v>
      </c>
      <c r="EJ33" s="2212">
        <v>33521.68</v>
      </c>
      <c r="EK33" s="2212">
        <v>23350</v>
      </c>
      <c r="EL33" s="2212">
        <v>34870.89</v>
      </c>
      <c r="EM33" s="2212">
        <v>34675.57</v>
      </c>
      <c r="EN33" s="2212">
        <v>17855.8</v>
      </c>
      <c r="EO33" s="2212">
        <v>21181.45</v>
      </c>
      <c r="EP33" s="2212">
        <v>36082.32</v>
      </c>
      <c r="EQ33" s="2212">
        <v>47190.59</v>
      </c>
      <c r="ER33" s="2212">
        <v>26450</v>
      </c>
      <c r="ES33" s="2212">
        <v>21485.119999999999</v>
      </c>
      <c r="ET33" s="2212">
        <v>33012.769999999997</v>
      </c>
      <c r="EU33" s="2212">
        <v>39539.14</v>
      </c>
      <c r="EV33" s="2212">
        <v>27517.88</v>
      </c>
      <c r="EW33" s="2212">
        <v>57513.48</v>
      </c>
      <c r="EX33" s="2212">
        <v>37910.65</v>
      </c>
      <c r="EY33" s="2212">
        <v>24012.74</v>
      </c>
      <c r="EZ33" s="2212">
        <v>24012.880000000001</v>
      </c>
      <c r="FA33" s="2212">
        <v>17817.12</v>
      </c>
      <c r="FB33" s="2212">
        <v>38575.24</v>
      </c>
      <c r="FC33" s="2212">
        <v>47546.96</v>
      </c>
      <c r="FD33" s="2212">
        <v>44865.02</v>
      </c>
      <c r="FE33" s="2212">
        <v>33515.21</v>
      </c>
      <c r="FF33" s="2212">
        <v>39412.71</v>
      </c>
      <c r="FG33" s="2212">
        <v>34870.89</v>
      </c>
      <c r="FH33" s="2212">
        <v>15625.89</v>
      </c>
      <c r="FI33" s="2212">
        <v>24070.54</v>
      </c>
      <c r="FJ33" s="2212">
        <v>35101.81</v>
      </c>
      <c r="FK33" s="2212">
        <v>21677.9</v>
      </c>
      <c r="FL33" s="2212">
        <v>24379.09</v>
      </c>
      <c r="FM33" s="2212">
        <v>21036.82</v>
      </c>
      <c r="FN33" s="2212">
        <v>21150.48</v>
      </c>
      <c r="FO33" s="2212">
        <v>26846.93</v>
      </c>
      <c r="FP33" s="2212">
        <v>29785.69</v>
      </c>
      <c r="FQ33" s="2212">
        <v>23545.96</v>
      </c>
      <c r="FR33" s="2212">
        <v>24005.439999999999</v>
      </c>
      <c r="FS33" s="2212">
        <v>46305.66</v>
      </c>
      <c r="FT33" s="2212">
        <v>21138.639999999999</v>
      </c>
      <c r="FU33" s="2212">
        <v>27417.11</v>
      </c>
      <c r="FV33" s="2212">
        <v>37910.81</v>
      </c>
      <c r="FW33" s="2212">
        <v>33876.74</v>
      </c>
      <c r="FX33" s="2212">
        <v>22588.15</v>
      </c>
      <c r="FY33" s="2212">
        <v>28607.03</v>
      </c>
      <c r="FZ33" s="2212">
        <v>49777.120000000003</v>
      </c>
      <c r="GA33" s="2212">
        <v>23032.12</v>
      </c>
      <c r="GB33" s="2212">
        <v>17467.72</v>
      </c>
      <c r="GC33" s="2212">
        <v>22141.31</v>
      </c>
      <c r="GD33" s="2212">
        <v>51809.84</v>
      </c>
      <c r="GE33" s="2212">
        <v>18054.599999999999</v>
      </c>
      <c r="GF33" s="2212">
        <v>44012.59</v>
      </c>
      <c r="GG33" s="2212">
        <v>50654.2</v>
      </c>
      <c r="GH33" s="2212">
        <v>38282.379999999997</v>
      </c>
      <c r="GI33" s="2212">
        <v>30937.15</v>
      </c>
      <c r="GJ33" s="2212">
        <v>23828.31</v>
      </c>
      <c r="GK33" s="2212">
        <v>39070.129999999997</v>
      </c>
      <c r="GL33" s="2212">
        <v>33502.44</v>
      </c>
      <c r="GM33" s="2212">
        <v>56902.84</v>
      </c>
      <c r="GN33" s="2212">
        <v>24814.22</v>
      </c>
      <c r="GO33" s="2212">
        <v>20104.29</v>
      </c>
      <c r="GP33" s="2212">
        <v>24660.45</v>
      </c>
      <c r="GQ33" s="2212">
        <v>46709.9</v>
      </c>
      <c r="GR33" s="2212">
        <v>21695.06</v>
      </c>
      <c r="GS33" s="2212">
        <v>21392.41</v>
      </c>
      <c r="GT33" s="2212">
        <v>37146.07</v>
      </c>
      <c r="GU33" s="2212">
        <v>38593.03</v>
      </c>
      <c r="GV33" s="2212">
        <v>60665.88</v>
      </c>
      <c r="GW33" s="2212">
        <v>15948.11</v>
      </c>
      <c r="GX33" s="2212">
        <v>21838.38</v>
      </c>
      <c r="GY33" s="2212">
        <v>40010.33</v>
      </c>
      <c r="GZ33" s="2212">
        <v>23353.59</v>
      </c>
      <c r="HA33" s="2212">
        <v>64710.37</v>
      </c>
      <c r="HB33" s="2212">
        <v>21405.39</v>
      </c>
      <c r="HC33" s="2212">
        <v>34246.93</v>
      </c>
      <c r="HD33" s="2212">
        <v>25904.95</v>
      </c>
      <c r="HE33" s="2212">
        <v>35101.839999999997</v>
      </c>
      <c r="HF33" s="2212">
        <v>19950</v>
      </c>
      <c r="HG33" s="2212">
        <v>15747.42</v>
      </c>
      <c r="HH33" s="2212">
        <v>24066.54</v>
      </c>
      <c r="HI33" s="2212">
        <v>25537.37</v>
      </c>
      <c r="HJ33" s="2212">
        <v>21320.05</v>
      </c>
      <c r="HK33" s="2212">
        <v>20519.009999999998</v>
      </c>
      <c r="HL33" s="2212">
        <v>48785.47</v>
      </c>
      <c r="HM33" s="2212">
        <v>46306.52</v>
      </c>
      <c r="HN33" s="2212">
        <v>22284.59</v>
      </c>
      <c r="HO33" s="2212">
        <v>38380.559999999998</v>
      </c>
      <c r="HP33" s="2212">
        <v>24066.54</v>
      </c>
      <c r="HQ33" s="2212">
        <v>57513.53</v>
      </c>
      <c r="HR33" s="2212">
        <v>49268.26</v>
      </c>
      <c r="HS33" s="2212">
        <v>22141.27</v>
      </c>
      <c r="HT33" s="2212">
        <v>21677.9</v>
      </c>
      <c r="HU33" s="2212">
        <v>60665.87</v>
      </c>
      <c r="HV33" s="2212">
        <v>25003.45</v>
      </c>
      <c r="HW33" s="2212">
        <v>22364.2</v>
      </c>
      <c r="HX33" s="2212">
        <v>29648.25</v>
      </c>
      <c r="HY33" s="2212">
        <v>60023.74</v>
      </c>
      <c r="HZ33" s="2212">
        <v>53618.7</v>
      </c>
      <c r="IA33" s="2212">
        <v>21319.84</v>
      </c>
      <c r="IB33" s="2212">
        <v>22640.71</v>
      </c>
      <c r="IC33" s="2212">
        <v>34960.19</v>
      </c>
      <c r="ID33" s="2212">
        <v>15626.39</v>
      </c>
      <c r="IE33" s="2212">
        <v>65399.83</v>
      </c>
      <c r="IF33" s="2212">
        <v>53318.35</v>
      </c>
      <c r="IG33" s="2212">
        <v>53661.49</v>
      </c>
      <c r="IH33" s="2212">
        <v>37591.699999999997</v>
      </c>
      <c r="II33" s="2212">
        <v>21704.67</v>
      </c>
      <c r="IJ33" s="2212">
        <v>25611.19</v>
      </c>
      <c r="IK33" s="2212">
        <v>24140.77</v>
      </c>
      <c r="IL33" s="2212">
        <v>24512.5</v>
      </c>
      <c r="IM33" s="2212">
        <v>24486.58</v>
      </c>
      <c r="IN33" s="2212">
        <v>54742.76</v>
      </c>
      <c r="IO33" s="2212">
        <v>47190.48</v>
      </c>
      <c r="IP33" s="2212">
        <v>20237.169999999998</v>
      </c>
      <c r="IQ33" s="2212">
        <v>33961.480000000003</v>
      </c>
      <c r="IR33" s="2212">
        <v>37889.089999999997</v>
      </c>
      <c r="IS33" s="2212">
        <v>22284.52</v>
      </c>
      <c r="IT33" s="2212">
        <v>22283.87</v>
      </c>
      <c r="IU33" s="2911">
        <v>22061.5</v>
      </c>
      <c r="IV33" s="2911">
        <v>22980.43</v>
      </c>
      <c r="IW33" s="2911">
        <v>24777.19</v>
      </c>
      <c r="IX33" s="2911">
        <v>26277.19</v>
      </c>
      <c r="IY33" s="2207"/>
      <c r="IZ33" s="2215">
        <f t="shared" si="6"/>
        <v>24</v>
      </c>
    </row>
    <row r="34" spans="1:260">
      <c r="A34" s="2214">
        <v>25</v>
      </c>
      <c r="B34" s="2212">
        <v>67575.87</v>
      </c>
      <c r="C34" s="2927">
        <v>61733.94</v>
      </c>
      <c r="D34" s="2927">
        <v>56280.37</v>
      </c>
      <c r="E34" s="2212">
        <v>52466.82</v>
      </c>
      <c r="F34" s="2927">
        <v>52438.09</v>
      </c>
      <c r="G34" s="2212">
        <v>51029.45</v>
      </c>
      <c r="H34" s="2927">
        <v>49141</v>
      </c>
      <c r="I34" s="2212">
        <v>46588.73</v>
      </c>
      <c r="J34" s="2212">
        <v>51029.599999999999</v>
      </c>
      <c r="K34" s="2212">
        <v>48141.01</v>
      </c>
      <c r="L34" s="2927">
        <v>44951.59</v>
      </c>
      <c r="M34" s="2212">
        <v>44422.61</v>
      </c>
      <c r="N34" s="2927">
        <v>40663.03</v>
      </c>
      <c r="O34" s="2212">
        <v>39702.74</v>
      </c>
      <c r="P34" s="2927">
        <v>36448.949999999997</v>
      </c>
      <c r="Q34" s="2927">
        <v>30747.41</v>
      </c>
      <c r="R34" s="2212">
        <v>35448.949999999997</v>
      </c>
      <c r="S34" s="2212">
        <v>35448.949999999997</v>
      </c>
      <c r="T34" s="2212">
        <v>34457.300000000003</v>
      </c>
      <c r="U34" s="2212">
        <v>34457.300000000003</v>
      </c>
      <c r="V34" s="2212">
        <v>34457.300000000003</v>
      </c>
      <c r="W34" s="2212">
        <v>34457.300000000003</v>
      </c>
      <c r="X34" s="2212">
        <v>32474.23</v>
      </c>
      <c r="Y34" s="2927">
        <v>37018.620000000003</v>
      </c>
      <c r="Z34" s="2923">
        <v>34037</v>
      </c>
      <c r="AA34" s="2930">
        <v>34037</v>
      </c>
      <c r="AB34" s="2927">
        <v>36018.620000000003</v>
      </c>
      <c r="AC34" s="2212">
        <v>32127.200000000001</v>
      </c>
      <c r="AD34" s="2923">
        <v>33127.199999999997</v>
      </c>
      <c r="AE34" s="2927">
        <v>34667.51</v>
      </c>
      <c r="AF34" s="2927">
        <v>31887.69</v>
      </c>
      <c r="AG34" s="2927">
        <v>31887.69</v>
      </c>
      <c r="AH34" s="2927">
        <v>33775.919999999998</v>
      </c>
      <c r="AI34" s="2927">
        <v>31069.54</v>
      </c>
      <c r="AJ34" s="2927">
        <v>28764.25</v>
      </c>
      <c r="AK34" s="2927">
        <v>23285.77</v>
      </c>
      <c r="AL34" s="2927">
        <v>21203.47</v>
      </c>
      <c r="AM34" s="2927">
        <v>20087.98</v>
      </c>
      <c r="AN34" s="2212">
        <v>22285.77</v>
      </c>
      <c r="AO34" s="2212">
        <v>20203.47</v>
      </c>
      <c r="AP34" s="2212">
        <v>19087.98</v>
      </c>
      <c r="AQ34" s="2923">
        <v>28417</v>
      </c>
      <c r="AR34" s="2923">
        <v>26781</v>
      </c>
      <c r="AS34" s="2927">
        <v>25541.58</v>
      </c>
      <c r="AT34" s="2927">
        <v>24797.94</v>
      </c>
      <c r="AU34" s="2928">
        <v>23285.82</v>
      </c>
      <c r="AV34" s="2212">
        <v>21822</v>
      </c>
      <c r="AW34" s="2212">
        <v>19659.32</v>
      </c>
      <c r="AX34" s="2212">
        <v>23371.47</v>
      </c>
      <c r="AY34" s="2212">
        <v>23946.6</v>
      </c>
      <c r="AZ34" s="2212">
        <v>23802.89</v>
      </c>
      <c r="BA34" s="2212">
        <v>24244.05</v>
      </c>
      <c r="BB34" s="2212">
        <v>23797.86</v>
      </c>
      <c r="BC34" s="2212">
        <v>23837.58</v>
      </c>
      <c r="BD34" s="2212">
        <v>24690.28</v>
      </c>
      <c r="BE34" s="2212">
        <v>24606.06</v>
      </c>
      <c r="BF34" s="2212">
        <v>25310.05</v>
      </c>
      <c r="BG34" s="2212">
        <v>19010.2</v>
      </c>
      <c r="BH34" s="2212">
        <v>28450</v>
      </c>
      <c r="BI34" s="2212">
        <v>28780.55</v>
      </c>
      <c r="BJ34" s="2212">
        <v>15637.93</v>
      </c>
      <c r="BK34" s="2212">
        <v>15637.93</v>
      </c>
      <c r="BL34" s="2212">
        <v>35150</v>
      </c>
      <c r="BM34" s="2212">
        <v>33887.269999999997</v>
      </c>
      <c r="BN34" s="2212">
        <v>33961.480000000003</v>
      </c>
      <c r="BO34" s="2212">
        <v>33521.82</v>
      </c>
      <c r="BP34" s="2212">
        <v>42055.29</v>
      </c>
      <c r="BQ34" s="2212">
        <v>27020.52</v>
      </c>
      <c r="BR34" s="2212">
        <v>45052.33</v>
      </c>
      <c r="BS34" s="2212">
        <v>38979.11</v>
      </c>
      <c r="BT34" s="2212">
        <v>32700</v>
      </c>
      <c r="BU34" s="2212">
        <v>37407.22</v>
      </c>
      <c r="BV34" s="2212">
        <v>48049.47</v>
      </c>
      <c r="BW34" s="2212">
        <v>51203.97</v>
      </c>
      <c r="BX34" s="2212">
        <v>36455.410000000003</v>
      </c>
      <c r="BY34" s="2212">
        <v>20382.759999999998</v>
      </c>
      <c r="BZ34" s="2212">
        <v>53661.440000000002</v>
      </c>
      <c r="CA34" s="2212">
        <v>22988.02</v>
      </c>
      <c r="CB34" s="2212">
        <v>23131.23</v>
      </c>
      <c r="CC34" s="2212">
        <v>22765.19</v>
      </c>
      <c r="CD34" s="2212">
        <v>30119.22</v>
      </c>
      <c r="CE34" s="2212">
        <v>32845.81</v>
      </c>
      <c r="CF34" s="2212">
        <v>39539.129999999997</v>
      </c>
      <c r="CG34" s="2212">
        <v>29747.23</v>
      </c>
      <c r="CH34" s="2927">
        <v>31263.01</v>
      </c>
      <c r="CI34" s="2927">
        <v>24285.77</v>
      </c>
      <c r="CJ34" s="2212">
        <v>21938.65</v>
      </c>
      <c r="CK34" s="2212">
        <v>20600.009999999998</v>
      </c>
      <c r="CL34" s="2212">
        <v>22972.67</v>
      </c>
      <c r="CM34" s="2212">
        <v>21250</v>
      </c>
      <c r="CN34" s="2212">
        <v>25493.52</v>
      </c>
      <c r="CO34" s="2212">
        <v>17650.14</v>
      </c>
      <c r="CP34" s="2212">
        <v>17800</v>
      </c>
      <c r="CQ34" s="2212">
        <v>22902.959999999999</v>
      </c>
      <c r="CR34" s="2212">
        <v>23265.040000000001</v>
      </c>
      <c r="CS34" s="2212">
        <v>22284.04</v>
      </c>
      <c r="CT34" s="2212">
        <v>15466.11</v>
      </c>
      <c r="CU34" s="2212">
        <v>22211.32</v>
      </c>
      <c r="CV34" s="2212">
        <v>18393.830000000002</v>
      </c>
      <c r="CW34" s="2212">
        <v>22017.19</v>
      </c>
      <c r="CX34" s="2212">
        <v>25950</v>
      </c>
      <c r="CY34" s="2212">
        <v>14437.62</v>
      </c>
      <c r="CZ34" s="2212">
        <v>19100</v>
      </c>
      <c r="DA34" s="2212">
        <v>28507.88</v>
      </c>
      <c r="DB34" s="2212">
        <v>25636.02</v>
      </c>
      <c r="DC34" s="2212">
        <v>22470.21</v>
      </c>
      <c r="DD34" s="2212">
        <v>17991.689999999999</v>
      </c>
      <c r="DE34" s="2212">
        <v>25433.96</v>
      </c>
      <c r="DF34" s="2212">
        <v>22470.3</v>
      </c>
      <c r="DG34" s="2212">
        <v>26177.64</v>
      </c>
      <c r="DH34" s="2212">
        <v>19385.41</v>
      </c>
      <c r="DI34" s="2212">
        <v>33589.65</v>
      </c>
      <c r="DJ34" s="2212">
        <v>18719.400000000001</v>
      </c>
      <c r="DK34" s="2212">
        <v>24764.720000000001</v>
      </c>
      <c r="DL34" s="2212">
        <v>36783.4</v>
      </c>
      <c r="DM34" s="2212">
        <v>37432.089999999997</v>
      </c>
      <c r="DN34" s="2212">
        <v>21036.19</v>
      </c>
      <c r="DO34" s="2212">
        <v>22457.33</v>
      </c>
      <c r="DP34" s="2212">
        <v>16729.849999999999</v>
      </c>
      <c r="DQ34" s="2212">
        <v>42055.29</v>
      </c>
      <c r="DR34" s="2212">
        <v>23599.54</v>
      </c>
      <c r="DS34" s="2212">
        <v>22284.080000000002</v>
      </c>
      <c r="DT34" s="2212">
        <v>27186.46</v>
      </c>
      <c r="DU34" s="2212">
        <v>26980.880000000001</v>
      </c>
      <c r="DV34" s="2212">
        <v>37432.04</v>
      </c>
      <c r="DW34" s="2212">
        <v>20382.75</v>
      </c>
      <c r="DX34" s="2212">
        <v>23264.74</v>
      </c>
      <c r="DY34" s="2212">
        <v>40580.19</v>
      </c>
      <c r="DZ34" s="2212">
        <v>38299.589999999997</v>
      </c>
      <c r="EA34" s="2212">
        <v>29150</v>
      </c>
      <c r="EB34" s="2212">
        <v>21478.28</v>
      </c>
      <c r="EC34" s="2212">
        <v>21841.78</v>
      </c>
      <c r="ED34" s="2212">
        <v>26980.880000000001</v>
      </c>
      <c r="EE34" s="2212">
        <v>31846.67</v>
      </c>
      <c r="EF34" s="2212">
        <v>54200.7</v>
      </c>
      <c r="EG34" s="2212">
        <v>45052.35</v>
      </c>
      <c r="EH34" s="2212">
        <v>53661.49</v>
      </c>
      <c r="EI34" s="2212">
        <v>26326.45</v>
      </c>
      <c r="EJ34" s="2212">
        <v>33521.68</v>
      </c>
      <c r="EK34" s="2212">
        <v>23350</v>
      </c>
      <c r="EL34" s="2212">
        <v>34870.89</v>
      </c>
      <c r="EM34" s="2212">
        <v>35158.97</v>
      </c>
      <c r="EN34" s="2212">
        <v>18017.099999999999</v>
      </c>
      <c r="EO34" s="2212">
        <v>21799.18</v>
      </c>
      <c r="EP34" s="2212">
        <v>36455.53</v>
      </c>
      <c r="EQ34" s="2212">
        <v>47190.59</v>
      </c>
      <c r="ER34" s="2212">
        <v>26450</v>
      </c>
      <c r="ES34" s="2212">
        <v>21678.01</v>
      </c>
      <c r="ET34" s="2212">
        <v>33012.769999999997</v>
      </c>
      <c r="EU34" s="2212">
        <v>39539.14</v>
      </c>
      <c r="EV34" s="2212">
        <v>28063.62</v>
      </c>
      <c r="EW34" s="2212">
        <v>57513.48</v>
      </c>
      <c r="EX34" s="2212">
        <v>37910.65</v>
      </c>
      <c r="EY34" s="2212">
        <v>24012.74</v>
      </c>
      <c r="EZ34" s="2212">
        <v>24012.880000000001</v>
      </c>
      <c r="FA34" s="2212">
        <v>17981.55</v>
      </c>
      <c r="FB34" s="2212">
        <v>38979.24</v>
      </c>
      <c r="FC34" s="2212">
        <v>48049.57</v>
      </c>
      <c r="FD34" s="2212">
        <v>44865.02</v>
      </c>
      <c r="FE34" s="2212">
        <v>33515.21</v>
      </c>
      <c r="FF34" s="2212">
        <v>39539.14</v>
      </c>
      <c r="FG34" s="2212">
        <v>34870.89</v>
      </c>
      <c r="FH34" s="2212">
        <v>15695.97</v>
      </c>
      <c r="FI34" s="2212">
        <v>24690.28</v>
      </c>
      <c r="FJ34" s="2212">
        <v>35101.81</v>
      </c>
      <c r="FK34" s="2212">
        <v>21677.9</v>
      </c>
      <c r="FL34" s="2212">
        <v>24379.09</v>
      </c>
      <c r="FM34" s="2212">
        <v>21036.82</v>
      </c>
      <c r="FN34" s="2212">
        <v>21468.78</v>
      </c>
      <c r="FO34" s="2212">
        <v>27417.09</v>
      </c>
      <c r="FP34" s="2212">
        <v>29785.69</v>
      </c>
      <c r="FQ34" s="2212">
        <v>24091.7</v>
      </c>
      <c r="FR34" s="2212">
        <v>24408.61</v>
      </c>
      <c r="FS34" s="2212">
        <v>46305.66</v>
      </c>
      <c r="FT34" s="2212">
        <v>21456.77</v>
      </c>
      <c r="FU34" s="2212">
        <v>28012.06</v>
      </c>
      <c r="FV34" s="2212">
        <v>37910.81</v>
      </c>
      <c r="FW34" s="2212">
        <v>34247.1</v>
      </c>
      <c r="FX34" s="2212">
        <v>22886.61</v>
      </c>
      <c r="FY34" s="2212">
        <v>28817.74</v>
      </c>
      <c r="FZ34" s="2212">
        <v>49777.120000000003</v>
      </c>
      <c r="GA34" s="2212">
        <v>23032.12</v>
      </c>
      <c r="GB34" s="2212">
        <v>17628.900000000001</v>
      </c>
      <c r="GC34" s="2212">
        <v>22765.21</v>
      </c>
      <c r="GD34" s="2212">
        <v>51809.84</v>
      </c>
      <c r="GE34" s="2212">
        <v>18219.11</v>
      </c>
      <c r="GF34" s="2212">
        <v>44472.41</v>
      </c>
      <c r="GG34" s="2212">
        <v>51204.160000000003</v>
      </c>
      <c r="GH34" s="2212">
        <v>38299.74</v>
      </c>
      <c r="GI34" s="2212">
        <v>30937.15</v>
      </c>
      <c r="GJ34" s="2212">
        <v>23828.31</v>
      </c>
      <c r="GK34" s="2212">
        <v>39070.129999999997</v>
      </c>
      <c r="GL34" s="2212">
        <v>33502.44</v>
      </c>
      <c r="GM34" s="2212">
        <v>57513.53</v>
      </c>
      <c r="GN34" s="2212">
        <v>25409.17</v>
      </c>
      <c r="GO34" s="2212">
        <v>20228.240000000002</v>
      </c>
      <c r="GP34" s="2212">
        <v>24858.76</v>
      </c>
      <c r="GQ34" s="2212">
        <v>47190.62</v>
      </c>
      <c r="GR34" s="2212">
        <v>22006.959999999999</v>
      </c>
      <c r="GS34" s="2212">
        <v>22016.28</v>
      </c>
      <c r="GT34" s="2212">
        <v>37146.07</v>
      </c>
      <c r="GU34" s="2212">
        <v>38593.03</v>
      </c>
      <c r="GV34" s="2212">
        <v>60665.88</v>
      </c>
      <c r="GW34" s="2212">
        <v>16019.66</v>
      </c>
      <c r="GX34" s="2212">
        <v>22150.28</v>
      </c>
      <c r="GY34" s="2212">
        <v>40010.33</v>
      </c>
      <c r="GZ34" s="2212">
        <v>23664.11</v>
      </c>
      <c r="HA34" s="2212">
        <v>65399.94</v>
      </c>
      <c r="HB34" s="2212">
        <v>22029.64</v>
      </c>
      <c r="HC34" s="2212">
        <v>34246.93</v>
      </c>
      <c r="HD34" s="2212">
        <v>25904.95</v>
      </c>
      <c r="HE34" s="2212">
        <v>35101.839999999997</v>
      </c>
      <c r="HF34" s="2212">
        <v>20350</v>
      </c>
      <c r="HG34" s="2212">
        <v>15844.8</v>
      </c>
      <c r="HH34" s="2212">
        <v>24066.54</v>
      </c>
      <c r="HI34" s="2212">
        <v>26161.27</v>
      </c>
      <c r="HJ34" s="2212">
        <v>21646.85</v>
      </c>
      <c r="HK34" s="2212">
        <v>20827.82</v>
      </c>
      <c r="HL34" s="2212">
        <v>48785.47</v>
      </c>
      <c r="HM34" s="2212">
        <v>46306.52</v>
      </c>
      <c r="HN34" s="2212">
        <v>22908.49</v>
      </c>
      <c r="HO34" s="2212">
        <v>38380.559999999998</v>
      </c>
      <c r="HP34" s="2212">
        <v>24066.54</v>
      </c>
      <c r="HQ34" s="2212">
        <v>57513.53</v>
      </c>
      <c r="HR34" s="2212">
        <v>49777.14</v>
      </c>
      <c r="HS34" s="2212">
        <v>22765.17</v>
      </c>
      <c r="HT34" s="2212">
        <v>21677.9</v>
      </c>
      <c r="HU34" s="2212">
        <v>60665.87</v>
      </c>
      <c r="HV34" s="2212">
        <v>25367.68</v>
      </c>
      <c r="HW34" s="2212">
        <v>22674.720000000001</v>
      </c>
      <c r="HX34" s="2212">
        <v>29896.15</v>
      </c>
      <c r="HY34" s="2212">
        <v>60665.94</v>
      </c>
      <c r="HZ34" s="2212">
        <v>54200.86</v>
      </c>
      <c r="IA34" s="2212">
        <v>21646.639999999999</v>
      </c>
      <c r="IB34" s="2212">
        <v>23264.61</v>
      </c>
      <c r="IC34" s="2212">
        <v>34960.19</v>
      </c>
      <c r="ID34" s="2212">
        <v>15696.47</v>
      </c>
      <c r="IE34" s="2212">
        <v>65399.83</v>
      </c>
      <c r="IF34" s="2212">
        <v>53318.35</v>
      </c>
      <c r="IG34" s="2212">
        <v>53661.49</v>
      </c>
      <c r="IH34" s="2212">
        <v>37591.699999999997</v>
      </c>
      <c r="II34" s="2212">
        <v>22016.57</v>
      </c>
      <c r="IJ34" s="2212">
        <v>26190.65</v>
      </c>
      <c r="IK34" s="2212">
        <v>24140.77</v>
      </c>
      <c r="IL34" s="2212">
        <v>24512.5</v>
      </c>
      <c r="IM34" s="2212">
        <v>25171.69</v>
      </c>
      <c r="IN34" s="2212">
        <v>54742.76</v>
      </c>
      <c r="IO34" s="2212">
        <v>47190.48</v>
      </c>
      <c r="IP34" s="2212">
        <v>20382.759999999998</v>
      </c>
      <c r="IQ34" s="2212">
        <v>33961.480000000003</v>
      </c>
      <c r="IR34" s="2212">
        <v>37889.089999999997</v>
      </c>
      <c r="IS34" s="2212">
        <v>22908.42</v>
      </c>
      <c r="IT34" s="2212">
        <v>22283.87</v>
      </c>
      <c r="IU34" s="2911">
        <v>22685.11</v>
      </c>
      <c r="IV34" s="2911">
        <v>23515.56</v>
      </c>
      <c r="IW34" s="2911">
        <v>25400.799999999999</v>
      </c>
      <c r="IX34" s="2911">
        <v>26900.799999999999</v>
      </c>
      <c r="IY34" s="2207"/>
      <c r="IZ34" s="2215">
        <f t="shared" si="6"/>
        <v>25</v>
      </c>
    </row>
    <row r="35" spans="1:260">
      <c r="A35" s="2214">
        <v>26</v>
      </c>
      <c r="B35" s="2212">
        <v>67575.87</v>
      </c>
      <c r="C35" s="2927">
        <v>63345.25</v>
      </c>
      <c r="D35" s="2927">
        <v>57767.74</v>
      </c>
      <c r="E35" s="2212">
        <v>52466.82</v>
      </c>
      <c r="F35" s="2927">
        <v>52438.09</v>
      </c>
      <c r="G35" s="2212">
        <v>51029.45</v>
      </c>
      <c r="H35" s="2927">
        <v>49141</v>
      </c>
      <c r="I35" s="2212">
        <v>46588.73</v>
      </c>
      <c r="J35" s="2212">
        <v>51029.599999999999</v>
      </c>
      <c r="K35" s="2212">
        <v>48141.01</v>
      </c>
      <c r="L35" s="2927">
        <v>44951.59</v>
      </c>
      <c r="M35" s="2212">
        <v>44422.61</v>
      </c>
      <c r="N35" s="2927">
        <v>40663.03</v>
      </c>
      <c r="O35" s="2212">
        <v>39702.74</v>
      </c>
      <c r="P35" s="2927">
        <v>36448.949999999997</v>
      </c>
      <c r="Q35" s="2927">
        <v>30747.41</v>
      </c>
      <c r="R35" s="2212">
        <v>35448.949999999997</v>
      </c>
      <c r="S35" s="2212">
        <v>35448.949999999997</v>
      </c>
      <c r="T35" s="2212">
        <v>34457.300000000003</v>
      </c>
      <c r="U35" s="2212">
        <v>34457.300000000003</v>
      </c>
      <c r="V35" s="2212">
        <v>34457.300000000003</v>
      </c>
      <c r="W35" s="2212">
        <v>34457.300000000003</v>
      </c>
      <c r="X35" s="2212">
        <v>32474.23</v>
      </c>
      <c r="Y35" s="2927">
        <v>37018.620000000003</v>
      </c>
      <c r="Z35" s="2923">
        <v>34307</v>
      </c>
      <c r="AA35" s="2930">
        <v>34307</v>
      </c>
      <c r="AB35" s="2927">
        <v>36018.620000000003</v>
      </c>
      <c r="AC35" s="2212">
        <v>32127.200000000001</v>
      </c>
      <c r="AD35" s="2923">
        <v>33127.199999999997</v>
      </c>
      <c r="AE35" s="2927">
        <v>34667.51</v>
      </c>
      <c r="AF35" s="2927">
        <v>31887.69</v>
      </c>
      <c r="AG35" s="2927">
        <v>31887.69</v>
      </c>
      <c r="AH35" s="2927">
        <v>33775.919999999998</v>
      </c>
      <c r="AI35" s="2927">
        <v>31069.54</v>
      </c>
      <c r="AJ35" s="2927">
        <v>28764.25</v>
      </c>
      <c r="AK35" s="2927">
        <v>23285.77</v>
      </c>
      <c r="AL35" s="2927">
        <v>21203.47</v>
      </c>
      <c r="AM35" s="2927">
        <v>20087.98</v>
      </c>
      <c r="AN35" s="2212">
        <v>22285.77</v>
      </c>
      <c r="AO35" s="2212">
        <v>20203.47</v>
      </c>
      <c r="AP35" s="2212">
        <v>19087.98</v>
      </c>
      <c r="AQ35" s="2923">
        <v>28560</v>
      </c>
      <c r="AR35" s="2923">
        <v>26860</v>
      </c>
      <c r="AS35" s="2927">
        <v>25541.58</v>
      </c>
      <c r="AT35" s="2927">
        <v>24797.94</v>
      </c>
      <c r="AU35" s="2928">
        <v>23285.82</v>
      </c>
      <c r="AV35" s="2212">
        <v>21822</v>
      </c>
      <c r="AW35" s="2212">
        <v>19659.32</v>
      </c>
      <c r="AX35" s="2212">
        <v>23371.47</v>
      </c>
      <c r="AY35" s="2212">
        <v>23946.6</v>
      </c>
      <c r="AZ35" s="2212">
        <v>23802.89</v>
      </c>
      <c r="BA35" s="2212">
        <v>24244.05</v>
      </c>
      <c r="BB35" s="2212">
        <v>23797.86</v>
      </c>
      <c r="BC35" s="2212">
        <v>23837.58</v>
      </c>
      <c r="BD35" s="2212">
        <v>24690.28</v>
      </c>
      <c r="BE35" s="2212">
        <v>24606.06</v>
      </c>
      <c r="BF35" s="2212">
        <v>25310.05</v>
      </c>
      <c r="BG35" s="2212">
        <v>19010.2</v>
      </c>
      <c r="BH35" s="2212">
        <v>28450</v>
      </c>
      <c r="BI35" s="2212">
        <v>28780.55</v>
      </c>
      <c r="BJ35" s="2212">
        <v>15637.93</v>
      </c>
      <c r="BK35" s="2212">
        <v>15637.93</v>
      </c>
      <c r="BL35" s="2212">
        <v>35150</v>
      </c>
      <c r="BM35" s="2212">
        <v>33887.269999999997</v>
      </c>
      <c r="BN35" s="2212">
        <v>33961.480000000003</v>
      </c>
      <c r="BO35" s="2212">
        <v>33521.82</v>
      </c>
      <c r="BP35" s="2212">
        <v>42055.29</v>
      </c>
      <c r="BQ35" s="2212">
        <v>27020.52</v>
      </c>
      <c r="BR35" s="2212">
        <v>45052.33</v>
      </c>
      <c r="BS35" s="2212">
        <v>38979.11</v>
      </c>
      <c r="BT35" s="2212">
        <v>32700</v>
      </c>
      <c r="BU35" s="2212">
        <v>37407.22</v>
      </c>
      <c r="BV35" s="2212">
        <v>48049.47</v>
      </c>
      <c r="BW35" s="2212">
        <v>51203.97</v>
      </c>
      <c r="BX35" s="2212">
        <v>36455.410000000003</v>
      </c>
      <c r="BY35" s="2212">
        <v>20382.759999999998</v>
      </c>
      <c r="BZ35" s="2212">
        <v>53661.440000000002</v>
      </c>
      <c r="CA35" s="2212">
        <v>22988.02</v>
      </c>
      <c r="CB35" s="2212">
        <v>23131.23</v>
      </c>
      <c r="CC35" s="2212">
        <v>22765.19</v>
      </c>
      <c r="CD35" s="2212">
        <v>30119.22</v>
      </c>
      <c r="CE35" s="2212">
        <v>32845.81</v>
      </c>
      <c r="CF35" s="2212">
        <v>39539.129999999997</v>
      </c>
      <c r="CG35" s="2212">
        <v>29747.23</v>
      </c>
      <c r="CH35" s="2927">
        <v>31263.01</v>
      </c>
      <c r="CI35" s="2927">
        <v>24285.77</v>
      </c>
      <c r="CJ35" s="2212">
        <v>21938.65</v>
      </c>
      <c r="CK35" s="2212">
        <v>20600.009999999998</v>
      </c>
      <c r="CL35" s="2212">
        <v>22972.67</v>
      </c>
      <c r="CM35" s="2212">
        <v>21250</v>
      </c>
      <c r="CN35" s="2212">
        <v>25493.52</v>
      </c>
      <c r="CO35" s="2212">
        <v>17650.14</v>
      </c>
      <c r="CP35" s="2212">
        <v>17800</v>
      </c>
      <c r="CQ35" s="2212">
        <v>22902.959999999999</v>
      </c>
      <c r="CR35" s="2212">
        <v>23265.040000000001</v>
      </c>
      <c r="CS35" s="2212">
        <v>22284.04</v>
      </c>
      <c r="CT35" s="2212">
        <v>15466.11</v>
      </c>
      <c r="CU35" s="2212">
        <v>22211.32</v>
      </c>
      <c r="CV35" s="2212">
        <v>18393.830000000002</v>
      </c>
      <c r="CW35" s="2212">
        <v>22017.19</v>
      </c>
      <c r="CX35" s="2212">
        <v>25950</v>
      </c>
      <c r="CY35" s="2212">
        <v>14437.62</v>
      </c>
      <c r="CZ35" s="2212">
        <v>19100</v>
      </c>
      <c r="DA35" s="2212">
        <v>28507.88</v>
      </c>
      <c r="DB35" s="2212">
        <v>25636.02</v>
      </c>
      <c r="DC35" s="2212">
        <v>22470.21</v>
      </c>
      <c r="DD35" s="2212">
        <v>18156.2</v>
      </c>
      <c r="DE35" s="2212">
        <v>25433.96</v>
      </c>
      <c r="DF35" s="2212">
        <v>22470.3</v>
      </c>
      <c r="DG35" s="2212">
        <v>26177.64</v>
      </c>
      <c r="DH35" s="2212">
        <v>19385.41</v>
      </c>
      <c r="DI35" s="2212">
        <v>33589.65</v>
      </c>
      <c r="DJ35" s="2212">
        <v>18719.400000000001</v>
      </c>
      <c r="DK35" s="2212">
        <v>24764.720000000001</v>
      </c>
      <c r="DL35" s="2212">
        <v>37917.82</v>
      </c>
      <c r="DM35" s="2212">
        <v>37432.089999999997</v>
      </c>
      <c r="DN35" s="2212">
        <v>21348.09</v>
      </c>
      <c r="DO35" s="2212">
        <v>22457.33</v>
      </c>
      <c r="DP35" s="2212">
        <v>16729.849999999999</v>
      </c>
      <c r="DQ35" s="2212">
        <v>42055.29</v>
      </c>
      <c r="DR35" s="2212">
        <v>23599.54</v>
      </c>
      <c r="DS35" s="2212">
        <v>22284.080000000002</v>
      </c>
      <c r="DT35" s="2212">
        <v>27186.46</v>
      </c>
      <c r="DU35" s="2212">
        <v>26980.880000000001</v>
      </c>
      <c r="DV35" s="2212">
        <v>37432.04</v>
      </c>
      <c r="DW35" s="2212">
        <v>20382.75</v>
      </c>
      <c r="DX35" s="2212">
        <v>23264.74</v>
      </c>
      <c r="DY35" s="2212">
        <v>41398.32</v>
      </c>
      <c r="DZ35" s="2212">
        <v>38299.589999999997</v>
      </c>
      <c r="EA35" s="2212">
        <v>29150</v>
      </c>
      <c r="EB35" s="2212">
        <v>21794.35</v>
      </c>
      <c r="EC35" s="2212">
        <v>22475.69</v>
      </c>
      <c r="ED35" s="2212">
        <v>26980.880000000001</v>
      </c>
      <c r="EE35" s="2212">
        <v>31846.67</v>
      </c>
      <c r="EF35" s="2212">
        <v>54200.7</v>
      </c>
      <c r="EG35" s="2212">
        <v>45052.35</v>
      </c>
      <c r="EH35" s="2212">
        <v>53661.49</v>
      </c>
      <c r="EI35" s="2212">
        <v>26326.45</v>
      </c>
      <c r="EJ35" s="2212">
        <v>33521.68</v>
      </c>
      <c r="EK35" s="2212">
        <v>23350</v>
      </c>
      <c r="EL35" s="2212">
        <v>35922.51</v>
      </c>
      <c r="EM35" s="2212">
        <v>35158.97</v>
      </c>
      <c r="EN35" s="2212">
        <v>18178.400000000001</v>
      </c>
      <c r="EO35" s="2212">
        <v>21799.18</v>
      </c>
      <c r="EP35" s="2212">
        <v>36455.53</v>
      </c>
      <c r="EQ35" s="2212">
        <v>47190.59</v>
      </c>
      <c r="ER35" s="2212">
        <v>26450</v>
      </c>
      <c r="ES35" s="2212">
        <v>21870.9</v>
      </c>
      <c r="ET35" s="2212">
        <v>33933.449999999997</v>
      </c>
      <c r="EU35" s="2212">
        <v>39539.14</v>
      </c>
      <c r="EV35" s="2212">
        <v>28063.62</v>
      </c>
      <c r="EW35" s="2212">
        <v>57513.48</v>
      </c>
      <c r="EX35" s="2212">
        <v>37910.65</v>
      </c>
      <c r="EY35" s="2212">
        <v>24012.74</v>
      </c>
      <c r="EZ35" s="2212">
        <v>24012.880000000001</v>
      </c>
      <c r="FA35" s="2212">
        <v>18145.98</v>
      </c>
      <c r="FB35" s="2212">
        <v>38979.24</v>
      </c>
      <c r="FC35" s="2212">
        <v>48049.57</v>
      </c>
      <c r="FD35" s="2212">
        <v>46256.23</v>
      </c>
      <c r="FE35" s="2212">
        <v>33515.21</v>
      </c>
      <c r="FF35" s="2212">
        <v>39539.14</v>
      </c>
      <c r="FG35" s="2212">
        <v>35922.51</v>
      </c>
      <c r="FH35" s="2212">
        <v>15766.05</v>
      </c>
      <c r="FI35" s="2212">
        <v>24690.28</v>
      </c>
      <c r="FJ35" s="2212">
        <v>35101.81</v>
      </c>
      <c r="FK35" s="2212">
        <v>21677.9</v>
      </c>
      <c r="FL35" s="2212">
        <v>24379.09</v>
      </c>
      <c r="FM35" s="2212">
        <v>21660.720000000001</v>
      </c>
      <c r="FN35" s="2212">
        <v>21787.08</v>
      </c>
      <c r="FO35" s="2212">
        <v>27417.09</v>
      </c>
      <c r="FP35" s="2212">
        <v>29785.69</v>
      </c>
      <c r="FQ35" s="2212">
        <v>24091.7</v>
      </c>
      <c r="FR35" s="2212">
        <v>24408.61</v>
      </c>
      <c r="FS35" s="2212">
        <v>47643.35</v>
      </c>
      <c r="FT35" s="2212">
        <v>21774.9</v>
      </c>
      <c r="FU35" s="2212">
        <v>28012.06</v>
      </c>
      <c r="FV35" s="2212">
        <v>37910.81</v>
      </c>
      <c r="FW35" s="2212">
        <v>34247.1</v>
      </c>
      <c r="FX35" s="2212">
        <v>23185.07</v>
      </c>
      <c r="FY35" s="2212">
        <v>28817.74</v>
      </c>
      <c r="FZ35" s="2212">
        <v>49777.120000000003</v>
      </c>
      <c r="GA35" s="2212">
        <v>23032.12</v>
      </c>
      <c r="GB35" s="2212">
        <v>17790.080000000002</v>
      </c>
      <c r="GC35" s="2212">
        <v>22765.21</v>
      </c>
      <c r="GD35" s="2212">
        <v>51809.84</v>
      </c>
      <c r="GE35" s="2212">
        <v>18383.62</v>
      </c>
      <c r="GF35" s="2212">
        <v>44472.41</v>
      </c>
      <c r="GG35" s="2212">
        <v>51204.160000000003</v>
      </c>
      <c r="GH35" s="2212">
        <v>38299.74</v>
      </c>
      <c r="GI35" s="2212">
        <v>30937.15</v>
      </c>
      <c r="GJ35" s="2212">
        <v>23828.31</v>
      </c>
      <c r="GK35" s="2212">
        <v>39070.129999999997</v>
      </c>
      <c r="GL35" s="2212">
        <v>33502.44</v>
      </c>
      <c r="GM35" s="2212">
        <v>57513.53</v>
      </c>
      <c r="GN35" s="2212">
        <v>25409.17</v>
      </c>
      <c r="GO35" s="2212">
        <v>20228.240000000002</v>
      </c>
      <c r="GP35" s="2212">
        <v>24858.76</v>
      </c>
      <c r="GQ35" s="2212">
        <v>47190.62</v>
      </c>
      <c r="GR35" s="2212">
        <v>22318.86</v>
      </c>
      <c r="GS35" s="2212">
        <v>22016.28</v>
      </c>
      <c r="GT35" s="2212">
        <v>37146.07</v>
      </c>
      <c r="GU35" s="2212">
        <v>38593.03</v>
      </c>
      <c r="GV35" s="2212">
        <v>60665.88</v>
      </c>
      <c r="GW35" s="2212">
        <v>16091.21</v>
      </c>
      <c r="GX35" s="2212">
        <v>22462.18</v>
      </c>
      <c r="GY35" s="2212">
        <v>40010.33</v>
      </c>
      <c r="GZ35" s="2212">
        <v>23974.63</v>
      </c>
      <c r="HA35" s="2212">
        <v>65399.94</v>
      </c>
      <c r="HB35" s="2212">
        <v>22029.64</v>
      </c>
      <c r="HC35" s="2212">
        <v>34246.93</v>
      </c>
      <c r="HD35" s="2212">
        <v>25904.95</v>
      </c>
      <c r="HE35" s="2212">
        <v>35101.839999999997</v>
      </c>
      <c r="HF35" s="2212">
        <v>20350</v>
      </c>
      <c r="HG35" s="2212">
        <v>15844.8</v>
      </c>
      <c r="HH35" s="2212">
        <v>24066.54</v>
      </c>
      <c r="HI35" s="2212">
        <v>26161.27</v>
      </c>
      <c r="HJ35" s="2212">
        <v>21973.65</v>
      </c>
      <c r="HK35" s="2212">
        <v>21136.63</v>
      </c>
      <c r="HL35" s="2212">
        <v>48785.47</v>
      </c>
      <c r="HM35" s="2212">
        <v>46306.52</v>
      </c>
      <c r="HN35" s="2212">
        <v>22908.49</v>
      </c>
      <c r="HO35" s="2212">
        <v>38380.559999999998</v>
      </c>
      <c r="HP35" s="2212">
        <v>24066.54</v>
      </c>
      <c r="HQ35" s="2212">
        <v>57513.53</v>
      </c>
      <c r="HR35" s="2212">
        <v>49777.14</v>
      </c>
      <c r="HS35" s="2212">
        <v>22765.17</v>
      </c>
      <c r="HT35" s="2212">
        <v>21677.9</v>
      </c>
      <c r="HU35" s="2212">
        <v>60665.87</v>
      </c>
      <c r="HV35" s="2212">
        <v>25731.91</v>
      </c>
      <c r="HW35" s="2212">
        <v>22985.24</v>
      </c>
      <c r="HX35" s="2212">
        <v>29896.15</v>
      </c>
      <c r="HY35" s="2212">
        <v>60665.94</v>
      </c>
      <c r="HZ35" s="2212">
        <v>54200.86</v>
      </c>
      <c r="IA35" s="2212">
        <v>21973.439999999999</v>
      </c>
      <c r="IB35" s="2212">
        <v>23264.61</v>
      </c>
      <c r="IC35" s="2212">
        <v>34960.19</v>
      </c>
      <c r="ID35" s="2212">
        <v>15766.55</v>
      </c>
      <c r="IE35" s="2212">
        <v>65399.83</v>
      </c>
      <c r="IF35" s="2212">
        <v>53318.35</v>
      </c>
      <c r="IG35" s="2212">
        <v>53661.49</v>
      </c>
      <c r="IH35" s="2212">
        <v>37591.699999999997</v>
      </c>
      <c r="II35" s="2212">
        <v>22328.47</v>
      </c>
      <c r="IJ35" s="2212">
        <v>26190.65</v>
      </c>
      <c r="IK35" s="2212">
        <v>24140.77</v>
      </c>
      <c r="IL35" s="2212">
        <v>24512.5</v>
      </c>
      <c r="IM35" s="2212">
        <v>25533.119999999999</v>
      </c>
      <c r="IN35" s="2212">
        <v>54742.76</v>
      </c>
      <c r="IO35" s="2212">
        <v>47190.48</v>
      </c>
      <c r="IP35" s="2212">
        <v>20382.759999999998</v>
      </c>
      <c r="IQ35" s="2212">
        <v>33961.480000000003</v>
      </c>
      <c r="IR35" s="2212">
        <v>37889.089999999997</v>
      </c>
      <c r="IS35" s="2212">
        <v>22908.42</v>
      </c>
      <c r="IT35" s="2212">
        <v>22283.87</v>
      </c>
      <c r="IU35" s="2911">
        <v>22685.11</v>
      </c>
      <c r="IV35" s="2911">
        <v>23515.56</v>
      </c>
      <c r="IW35" s="2911">
        <v>25400.799999999999</v>
      </c>
      <c r="IX35" s="2911">
        <v>26900.799999999999</v>
      </c>
      <c r="IY35" s="2207"/>
      <c r="IZ35" s="2215">
        <f t="shared" si="6"/>
        <v>26</v>
      </c>
    </row>
    <row r="36" spans="1:260">
      <c r="A36" s="2214">
        <v>27</v>
      </c>
      <c r="B36" s="2212">
        <v>67575.87</v>
      </c>
      <c r="C36" s="2927">
        <v>63345.25</v>
      </c>
      <c r="D36" s="2927">
        <v>57767.74</v>
      </c>
      <c r="E36" s="2212">
        <v>52466.82</v>
      </c>
      <c r="F36" s="2927">
        <v>52438.09</v>
      </c>
      <c r="G36" s="2212">
        <v>51029.45</v>
      </c>
      <c r="H36" s="2927">
        <v>49141</v>
      </c>
      <c r="I36" s="2212">
        <v>46588.73</v>
      </c>
      <c r="J36" s="2212">
        <v>51029.599999999999</v>
      </c>
      <c r="K36" s="2212">
        <v>48141.01</v>
      </c>
      <c r="L36" s="2927">
        <v>44951.59</v>
      </c>
      <c r="M36" s="2212">
        <v>44422.61</v>
      </c>
      <c r="N36" s="2927">
        <v>40663.03</v>
      </c>
      <c r="O36" s="2212">
        <v>39702.74</v>
      </c>
      <c r="P36" s="2927">
        <v>36448.949999999997</v>
      </c>
      <c r="Q36" s="2927">
        <v>30747.41</v>
      </c>
      <c r="R36" s="2212">
        <v>35448.949999999997</v>
      </c>
      <c r="S36" s="2212">
        <v>35448.949999999997</v>
      </c>
      <c r="T36" s="2212">
        <v>34457.300000000003</v>
      </c>
      <c r="U36" s="2212">
        <v>34457.300000000003</v>
      </c>
      <c r="V36" s="2212">
        <v>34457.300000000003</v>
      </c>
      <c r="W36" s="2212">
        <v>34457.300000000003</v>
      </c>
      <c r="X36" s="2212">
        <v>32474.23</v>
      </c>
      <c r="Y36" s="2927">
        <v>37018.620000000003</v>
      </c>
      <c r="Z36" s="2923">
        <v>34577</v>
      </c>
      <c r="AA36" s="2930">
        <v>34577</v>
      </c>
      <c r="AB36" s="2927">
        <v>36018.620000000003</v>
      </c>
      <c r="AC36" s="2212">
        <v>32127.200000000001</v>
      </c>
      <c r="AD36" s="2923">
        <v>33625.599999999999</v>
      </c>
      <c r="AE36" s="2927">
        <v>34667.51</v>
      </c>
      <c r="AF36" s="2927">
        <v>31887.69</v>
      </c>
      <c r="AG36" s="2927">
        <v>31887.69</v>
      </c>
      <c r="AH36" s="2927">
        <v>33775.919999999998</v>
      </c>
      <c r="AI36" s="2927">
        <v>31069.54</v>
      </c>
      <c r="AJ36" s="2927">
        <v>28764.25</v>
      </c>
      <c r="AK36" s="2927">
        <v>23285.77</v>
      </c>
      <c r="AL36" s="2927">
        <v>21203.47</v>
      </c>
      <c r="AM36" s="2927">
        <v>20087.98</v>
      </c>
      <c r="AN36" s="2212">
        <v>22285.77</v>
      </c>
      <c r="AO36" s="2212">
        <v>20203.47</v>
      </c>
      <c r="AP36" s="2212">
        <v>19087.98</v>
      </c>
      <c r="AQ36" s="2923">
        <v>28759</v>
      </c>
      <c r="AR36" s="2923">
        <v>27059</v>
      </c>
      <c r="AS36" s="2927">
        <v>25541.58</v>
      </c>
      <c r="AT36" s="2927">
        <v>24797.94</v>
      </c>
      <c r="AU36" s="2928">
        <v>23285.82</v>
      </c>
      <c r="AV36" s="2212">
        <v>22423.77</v>
      </c>
      <c r="AW36" s="2212">
        <v>19659.32</v>
      </c>
      <c r="AX36" s="2212">
        <v>23371.47</v>
      </c>
      <c r="AY36" s="2212">
        <v>24789.439999999999</v>
      </c>
      <c r="AZ36" s="2212">
        <v>23802.89</v>
      </c>
      <c r="BA36" s="2212">
        <v>24789.42</v>
      </c>
      <c r="BB36" s="2212">
        <v>23797.86</v>
      </c>
      <c r="BC36" s="2212">
        <v>24298.34</v>
      </c>
      <c r="BD36" s="2212">
        <v>25533.119999999999</v>
      </c>
      <c r="BE36" s="2212">
        <v>24606.06</v>
      </c>
      <c r="BF36" s="2212">
        <v>26028.95</v>
      </c>
      <c r="BG36" s="2212">
        <v>19010.2</v>
      </c>
      <c r="BH36" s="2212">
        <v>29300</v>
      </c>
      <c r="BI36" s="2212">
        <v>28780.55</v>
      </c>
      <c r="BJ36" s="2212">
        <v>16057.29</v>
      </c>
      <c r="BK36" s="2212">
        <v>16057.29</v>
      </c>
      <c r="BL36" s="2212">
        <v>35150</v>
      </c>
      <c r="BM36" s="2212">
        <v>33887.269999999997</v>
      </c>
      <c r="BN36" s="2212">
        <v>33961.480000000003</v>
      </c>
      <c r="BO36" s="2212">
        <v>33521.82</v>
      </c>
      <c r="BP36" s="2212">
        <v>42055.29</v>
      </c>
      <c r="BQ36" s="2212">
        <v>27764.21</v>
      </c>
      <c r="BR36" s="2212">
        <v>45052.33</v>
      </c>
      <c r="BS36" s="2212">
        <v>38979.11</v>
      </c>
      <c r="BT36" s="2212">
        <v>32700</v>
      </c>
      <c r="BU36" s="2212">
        <v>37407.22</v>
      </c>
      <c r="BV36" s="2212">
        <v>48049.47</v>
      </c>
      <c r="BW36" s="2212">
        <v>51203.97</v>
      </c>
      <c r="BX36" s="2212">
        <v>36455.410000000003</v>
      </c>
      <c r="BY36" s="2212">
        <v>20382.759999999998</v>
      </c>
      <c r="BZ36" s="2212">
        <v>53661.440000000002</v>
      </c>
      <c r="CA36" s="2212">
        <v>23611.919999999998</v>
      </c>
      <c r="CB36" s="2212">
        <v>23755.13</v>
      </c>
      <c r="CC36" s="2212">
        <v>23389.09</v>
      </c>
      <c r="CD36" s="2212">
        <v>30119.22</v>
      </c>
      <c r="CE36" s="2212">
        <v>32845.81</v>
      </c>
      <c r="CF36" s="2212">
        <v>39539.129999999997</v>
      </c>
      <c r="CG36" s="2212">
        <v>29747.23</v>
      </c>
      <c r="CH36" s="2927">
        <v>31263.01</v>
      </c>
      <c r="CI36" s="2927">
        <v>24285.77</v>
      </c>
      <c r="CJ36" s="2212">
        <v>22781.49</v>
      </c>
      <c r="CK36" s="2212">
        <v>21145.38</v>
      </c>
      <c r="CL36" s="2212">
        <v>23477.68</v>
      </c>
      <c r="CM36" s="2212">
        <v>21950</v>
      </c>
      <c r="CN36" s="2212">
        <v>25493.52</v>
      </c>
      <c r="CO36" s="2212">
        <v>17997.2</v>
      </c>
      <c r="CP36" s="2212">
        <v>18300</v>
      </c>
      <c r="CQ36" s="2212">
        <v>22902.959999999999</v>
      </c>
      <c r="CR36" s="2212">
        <v>23265.040000000001</v>
      </c>
      <c r="CS36" s="2212">
        <v>22284.04</v>
      </c>
      <c r="CT36" s="2212">
        <v>15617.5</v>
      </c>
      <c r="CU36" s="2212">
        <v>22756.69</v>
      </c>
      <c r="CV36" s="2212">
        <v>18740.89</v>
      </c>
      <c r="CW36" s="2212">
        <v>22641.09</v>
      </c>
      <c r="CX36" s="2212">
        <v>26550</v>
      </c>
      <c r="CY36" s="2212">
        <v>14513.31</v>
      </c>
      <c r="CZ36" s="2212">
        <v>19600</v>
      </c>
      <c r="DA36" s="2212">
        <v>29251.57</v>
      </c>
      <c r="DB36" s="2212">
        <v>26081.91</v>
      </c>
      <c r="DC36" s="2212">
        <v>23106.95</v>
      </c>
      <c r="DD36" s="2212">
        <v>18320.71</v>
      </c>
      <c r="DE36" s="2212">
        <v>26276.799999999999</v>
      </c>
      <c r="DF36" s="2212">
        <v>23107.040000000001</v>
      </c>
      <c r="DG36" s="2212">
        <v>27020.48</v>
      </c>
      <c r="DH36" s="2212">
        <v>19732.47</v>
      </c>
      <c r="DI36" s="2212">
        <v>33589.65</v>
      </c>
      <c r="DJ36" s="2212">
        <v>18719.400000000001</v>
      </c>
      <c r="DK36" s="2212">
        <v>24764.720000000001</v>
      </c>
      <c r="DL36" s="2212">
        <v>37917.82</v>
      </c>
      <c r="DM36" s="2212">
        <v>37432.089999999997</v>
      </c>
      <c r="DN36" s="2212">
        <v>21659.99</v>
      </c>
      <c r="DO36" s="2212">
        <v>23093.7</v>
      </c>
      <c r="DP36" s="2212">
        <v>16729.849999999999</v>
      </c>
      <c r="DQ36" s="2212">
        <v>42055.29</v>
      </c>
      <c r="DR36" s="2212">
        <v>24194.49</v>
      </c>
      <c r="DS36" s="2212">
        <v>22284.080000000002</v>
      </c>
      <c r="DT36" s="2212">
        <v>27908.9</v>
      </c>
      <c r="DU36" s="2212">
        <v>26980.880000000001</v>
      </c>
      <c r="DV36" s="2212">
        <v>37432.04</v>
      </c>
      <c r="DW36" s="2212">
        <v>20382.75</v>
      </c>
      <c r="DX36" s="2212">
        <v>23264.74</v>
      </c>
      <c r="DY36" s="2212">
        <v>41398.32</v>
      </c>
      <c r="DZ36" s="2212">
        <v>38299.589999999997</v>
      </c>
      <c r="EA36" s="2212">
        <v>29150</v>
      </c>
      <c r="EB36" s="2212">
        <v>22110.42</v>
      </c>
      <c r="EC36" s="2212">
        <v>22475.69</v>
      </c>
      <c r="ED36" s="2212">
        <v>26980.880000000001</v>
      </c>
      <c r="EE36" s="2212">
        <v>31846.67</v>
      </c>
      <c r="EF36" s="2212">
        <v>54200.7</v>
      </c>
      <c r="EG36" s="2212">
        <v>45052.35</v>
      </c>
      <c r="EH36" s="2212">
        <v>53661.49</v>
      </c>
      <c r="EI36" s="2212">
        <v>26326.45</v>
      </c>
      <c r="EJ36" s="2212">
        <v>33521.68</v>
      </c>
      <c r="EK36" s="2212">
        <v>23350</v>
      </c>
      <c r="EL36" s="2212">
        <v>35922.51</v>
      </c>
      <c r="EM36" s="2212">
        <v>35158.97</v>
      </c>
      <c r="EN36" s="2212">
        <v>18339.7</v>
      </c>
      <c r="EO36" s="2212">
        <v>22416.91</v>
      </c>
      <c r="EP36" s="2212">
        <v>36455.53</v>
      </c>
      <c r="EQ36" s="2212">
        <v>47190.59</v>
      </c>
      <c r="ER36" s="2212">
        <v>26450</v>
      </c>
      <c r="ES36" s="2212">
        <v>22063.79</v>
      </c>
      <c r="ET36" s="2212">
        <v>33933.449999999997</v>
      </c>
      <c r="EU36" s="2212">
        <v>39539.14</v>
      </c>
      <c r="EV36" s="2212">
        <v>28609.360000000001</v>
      </c>
      <c r="EW36" s="2212">
        <v>57513.48</v>
      </c>
      <c r="EX36" s="2212">
        <v>37910.65</v>
      </c>
      <c r="EY36" s="2212">
        <v>24012.74</v>
      </c>
      <c r="EZ36" s="2212">
        <v>24012.880000000001</v>
      </c>
      <c r="FA36" s="2212">
        <v>18310.41</v>
      </c>
      <c r="FB36" s="2212">
        <v>38979.24</v>
      </c>
      <c r="FC36" s="2212">
        <v>48049.57</v>
      </c>
      <c r="FD36" s="2212">
        <v>46256.23</v>
      </c>
      <c r="FE36" s="2212">
        <v>33515.21</v>
      </c>
      <c r="FF36" s="2212">
        <v>39539.14</v>
      </c>
      <c r="FG36" s="2212">
        <v>35922.51</v>
      </c>
      <c r="FH36" s="2212">
        <v>15836.13</v>
      </c>
      <c r="FI36" s="2212">
        <v>25285.23</v>
      </c>
      <c r="FJ36" s="2212">
        <v>35101.81</v>
      </c>
      <c r="FK36" s="2212">
        <v>21677.9</v>
      </c>
      <c r="FL36" s="2212">
        <v>24379.09</v>
      </c>
      <c r="FM36" s="2212">
        <v>21660.720000000001</v>
      </c>
      <c r="FN36" s="2212">
        <v>22105.38</v>
      </c>
      <c r="FO36" s="2212">
        <v>28012.04</v>
      </c>
      <c r="FP36" s="2212">
        <v>29785.69</v>
      </c>
      <c r="FQ36" s="2212">
        <v>24637.439999999999</v>
      </c>
      <c r="FR36" s="2212">
        <v>24408.61</v>
      </c>
      <c r="FS36" s="2212">
        <v>47643.35</v>
      </c>
      <c r="FT36" s="2212">
        <v>22093.03</v>
      </c>
      <c r="FU36" s="2212">
        <v>28607.01</v>
      </c>
      <c r="FV36" s="2212">
        <v>37910.81</v>
      </c>
      <c r="FW36" s="2212">
        <v>34247.1</v>
      </c>
      <c r="FX36" s="2212">
        <v>23483.53</v>
      </c>
      <c r="FY36" s="2212">
        <v>28817.74</v>
      </c>
      <c r="FZ36" s="2212">
        <v>49777.120000000003</v>
      </c>
      <c r="GA36" s="2212">
        <v>23032.12</v>
      </c>
      <c r="GB36" s="2212">
        <v>17951.259999999998</v>
      </c>
      <c r="GC36" s="2212">
        <v>23389.11</v>
      </c>
      <c r="GD36" s="2212">
        <v>51809.84</v>
      </c>
      <c r="GE36" s="2212">
        <v>18548.13</v>
      </c>
      <c r="GF36" s="2212">
        <v>44472.41</v>
      </c>
      <c r="GG36" s="2212">
        <v>51204.160000000003</v>
      </c>
      <c r="GH36" s="2212">
        <v>38299.74</v>
      </c>
      <c r="GI36" s="2212">
        <v>30937.15</v>
      </c>
      <c r="GJ36" s="2212">
        <v>23828.31</v>
      </c>
      <c r="GK36" s="2212">
        <v>39070.129999999997</v>
      </c>
      <c r="GL36" s="2212">
        <v>33502.44</v>
      </c>
      <c r="GM36" s="2212">
        <v>57513.53</v>
      </c>
      <c r="GN36" s="2212">
        <v>26004.12</v>
      </c>
      <c r="GO36" s="2212">
        <v>20228.240000000002</v>
      </c>
      <c r="GP36" s="2212">
        <v>24858.76</v>
      </c>
      <c r="GQ36" s="2212">
        <v>47190.62</v>
      </c>
      <c r="GR36" s="2212">
        <v>22630.76</v>
      </c>
      <c r="GS36" s="2212">
        <v>22640.15</v>
      </c>
      <c r="GT36" s="2212">
        <v>37146.07</v>
      </c>
      <c r="GU36" s="2212">
        <v>38593.03</v>
      </c>
      <c r="GV36" s="2212">
        <v>60665.88</v>
      </c>
      <c r="GW36" s="2212">
        <v>16162.76</v>
      </c>
      <c r="GX36" s="2212">
        <v>22774.080000000002</v>
      </c>
      <c r="GY36" s="2212">
        <v>40010.33</v>
      </c>
      <c r="GZ36" s="2212">
        <v>24285.15</v>
      </c>
      <c r="HA36" s="2212">
        <v>65399.94</v>
      </c>
      <c r="HB36" s="2212">
        <v>22653.89</v>
      </c>
      <c r="HC36" s="2212">
        <v>34246.93</v>
      </c>
      <c r="HD36" s="2212">
        <v>25904.95</v>
      </c>
      <c r="HE36" s="2212">
        <v>35101.839999999997</v>
      </c>
      <c r="HF36" s="2212">
        <v>20700</v>
      </c>
      <c r="HG36" s="2212">
        <v>15844.8</v>
      </c>
      <c r="HH36" s="2212">
        <v>24066.54</v>
      </c>
      <c r="HI36" s="2212">
        <v>26785.17</v>
      </c>
      <c r="HJ36" s="2212">
        <v>22284.19</v>
      </c>
      <c r="HK36" s="2212">
        <v>21445.439999999999</v>
      </c>
      <c r="HL36" s="2212">
        <v>48785.47</v>
      </c>
      <c r="HM36" s="2212">
        <v>46306.52</v>
      </c>
      <c r="HN36" s="2212">
        <v>23532.39</v>
      </c>
      <c r="HO36" s="2212">
        <v>38380.559999999998</v>
      </c>
      <c r="HP36" s="2212">
        <v>24066.54</v>
      </c>
      <c r="HQ36" s="2212">
        <v>57513.53</v>
      </c>
      <c r="HR36" s="2212">
        <v>49777.14</v>
      </c>
      <c r="HS36" s="2212">
        <v>23389.07</v>
      </c>
      <c r="HT36" s="2212">
        <v>21677.9</v>
      </c>
      <c r="HU36" s="2212">
        <v>60665.87</v>
      </c>
      <c r="HV36" s="2212">
        <v>26078.14</v>
      </c>
      <c r="HW36" s="2212">
        <v>23295.759999999998</v>
      </c>
      <c r="HX36" s="2212">
        <v>29896.15</v>
      </c>
      <c r="HY36" s="2212">
        <v>60665.94</v>
      </c>
      <c r="HZ36" s="2212">
        <v>54200.86</v>
      </c>
      <c r="IA36" s="2212">
        <v>22283.98</v>
      </c>
      <c r="IB36" s="2212">
        <v>23888.51</v>
      </c>
      <c r="IC36" s="2212">
        <v>34960.19</v>
      </c>
      <c r="ID36" s="2212">
        <v>15836.63</v>
      </c>
      <c r="IE36" s="2212">
        <v>65399.83</v>
      </c>
      <c r="IF36" s="2212">
        <v>53318.35</v>
      </c>
      <c r="IG36" s="2212">
        <v>53661.49</v>
      </c>
      <c r="IH36" s="2212">
        <v>37591.699999999997</v>
      </c>
      <c r="II36" s="2212">
        <v>22640.37</v>
      </c>
      <c r="IJ36" s="2212">
        <v>26190.65</v>
      </c>
      <c r="IK36" s="2212">
        <v>24140.77</v>
      </c>
      <c r="IL36" s="2212">
        <v>24512.5</v>
      </c>
      <c r="IM36" s="2212">
        <v>25533.119999999999</v>
      </c>
      <c r="IN36" s="2212">
        <v>54742.76</v>
      </c>
      <c r="IO36" s="2212">
        <v>47190.48</v>
      </c>
      <c r="IP36" s="2212">
        <v>20382.759999999998</v>
      </c>
      <c r="IQ36" s="2212">
        <v>33961.480000000003</v>
      </c>
      <c r="IR36" s="2212">
        <v>37889.089999999997</v>
      </c>
      <c r="IS36" s="2212">
        <v>23532.32</v>
      </c>
      <c r="IT36" s="2212">
        <v>22283.87</v>
      </c>
      <c r="IU36" s="2911">
        <v>23308.720000000001</v>
      </c>
      <c r="IV36" s="2911">
        <v>24050.69</v>
      </c>
      <c r="IW36" s="2911">
        <v>26024.41</v>
      </c>
      <c r="IX36" s="2911">
        <v>27524.41</v>
      </c>
      <c r="IY36" s="2207"/>
      <c r="IZ36" s="2215">
        <f t="shared" si="6"/>
        <v>27</v>
      </c>
    </row>
    <row r="37" spans="1:260">
      <c r="A37" s="2214">
        <v>28</v>
      </c>
      <c r="B37" s="2212">
        <v>67575.87</v>
      </c>
      <c r="C37" s="2927">
        <v>64956.56</v>
      </c>
      <c r="D37" s="2927">
        <v>59255.11</v>
      </c>
      <c r="E37" s="2212">
        <v>52466.82</v>
      </c>
      <c r="F37" s="2927">
        <v>52438.09</v>
      </c>
      <c r="G37" s="2212">
        <v>51029.45</v>
      </c>
      <c r="H37" s="2927">
        <v>49141</v>
      </c>
      <c r="I37" s="2212">
        <v>46588.73</v>
      </c>
      <c r="J37" s="2212">
        <v>51029.599999999999</v>
      </c>
      <c r="K37" s="2212">
        <v>48141.01</v>
      </c>
      <c r="L37" s="2927">
        <v>44951.59</v>
      </c>
      <c r="M37" s="2212">
        <v>44422.61</v>
      </c>
      <c r="N37" s="2927">
        <v>40663.03</v>
      </c>
      <c r="O37" s="2212">
        <v>39702.74</v>
      </c>
      <c r="P37" s="2927">
        <v>36448.949999999997</v>
      </c>
      <c r="Q37" s="2927">
        <v>30747.41</v>
      </c>
      <c r="R37" s="2212">
        <v>35448.949999999997</v>
      </c>
      <c r="S37" s="2212">
        <v>35448.949999999997</v>
      </c>
      <c r="T37" s="2212">
        <v>34457.300000000003</v>
      </c>
      <c r="U37" s="2212">
        <v>34457.300000000003</v>
      </c>
      <c r="V37" s="2212">
        <v>34457.300000000003</v>
      </c>
      <c r="W37" s="2212">
        <v>34457.300000000003</v>
      </c>
      <c r="X37" s="2212">
        <v>32474.23</v>
      </c>
      <c r="Y37" s="2927">
        <v>37018.620000000003</v>
      </c>
      <c r="Z37" s="2923">
        <v>34846</v>
      </c>
      <c r="AA37" s="2930">
        <v>34846</v>
      </c>
      <c r="AB37" s="2927">
        <v>36018.620000000003</v>
      </c>
      <c r="AC37" s="2212">
        <v>32127.200000000001</v>
      </c>
      <c r="AD37" s="2923">
        <v>33625.599999999999</v>
      </c>
      <c r="AE37" s="2927">
        <v>34667.51</v>
      </c>
      <c r="AF37" s="2927">
        <v>31887.69</v>
      </c>
      <c r="AG37" s="2927">
        <v>31887.69</v>
      </c>
      <c r="AH37" s="2927">
        <v>33775.919999999998</v>
      </c>
      <c r="AI37" s="2927">
        <v>31069.54</v>
      </c>
      <c r="AJ37" s="2927">
        <v>28764.25</v>
      </c>
      <c r="AK37" s="2927">
        <v>23285.77</v>
      </c>
      <c r="AL37" s="2927">
        <v>21203.47</v>
      </c>
      <c r="AM37" s="2927">
        <v>20087.98</v>
      </c>
      <c r="AN37" s="2212">
        <v>22285.77</v>
      </c>
      <c r="AO37" s="2212">
        <v>20203.47</v>
      </c>
      <c r="AP37" s="2212">
        <v>19087.98</v>
      </c>
      <c r="AQ37" s="2923">
        <v>28959</v>
      </c>
      <c r="AR37" s="2923">
        <v>27259</v>
      </c>
      <c r="AS37" s="2927">
        <v>25541.58</v>
      </c>
      <c r="AT37" s="2927">
        <v>24797.94</v>
      </c>
      <c r="AU37" s="2928">
        <v>23285.82</v>
      </c>
      <c r="AV37" s="2212">
        <v>22423.77</v>
      </c>
      <c r="AW37" s="2212">
        <v>19659.32</v>
      </c>
      <c r="AX37" s="2212">
        <v>23371.47</v>
      </c>
      <c r="AY37" s="2212">
        <v>24789.439999999999</v>
      </c>
      <c r="AZ37" s="2212">
        <v>23802.89</v>
      </c>
      <c r="BA37" s="2212">
        <v>24789.42</v>
      </c>
      <c r="BB37" s="2212">
        <v>23797.86</v>
      </c>
      <c r="BC37" s="2212">
        <v>24298.34</v>
      </c>
      <c r="BD37" s="2212">
        <v>25533.119999999999</v>
      </c>
      <c r="BE37" s="2212">
        <v>24606.06</v>
      </c>
      <c r="BF37" s="2212">
        <v>26028.95</v>
      </c>
      <c r="BG37" s="2212">
        <v>19010.2</v>
      </c>
      <c r="BH37" s="2212">
        <v>29300</v>
      </c>
      <c r="BI37" s="2212">
        <v>28780.55</v>
      </c>
      <c r="BJ37" s="2212">
        <v>16057.29</v>
      </c>
      <c r="BK37" s="2212">
        <v>16057.29</v>
      </c>
      <c r="BL37" s="2212">
        <v>35150</v>
      </c>
      <c r="BM37" s="2212">
        <v>33887.269999999997</v>
      </c>
      <c r="BN37" s="2212">
        <v>33961.480000000003</v>
      </c>
      <c r="BO37" s="2212">
        <v>33521.82</v>
      </c>
      <c r="BP37" s="2212">
        <v>42055.29</v>
      </c>
      <c r="BQ37" s="2212">
        <v>27764.21</v>
      </c>
      <c r="BR37" s="2212">
        <v>45052.33</v>
      </c>
      <c r="BS37" s="2212">
        <v>38979.11</v>
      </c>
      <c r="BT37" s="2212">
        <v>32700</v>
      </c>
      <c r="BU37" s="2212">
        <v>37407.22</v>
      </c>
      <c r="BV37" s="2212">
        <v>48049.47</v>
      </c>
      <c r="BW37" s="2212">
        <v>51203.97</v>
      </c>
      <c r="BX37" s="2212">
        <v>36455.410000000003</v>
      </c>
      <c r="BY37" s="2212">
        <v>20382.759999999998</v>
      </c>
      <c r="BZ37" s="2212">
        <v>53661.440000000002</v>
      </c>
      <c r="CA37" s="2212">
        <v>23611.919999999998</v>
      </c>
      <c r="CB37" s="2212">
        <v>23755.13</v>
      </c>
      <c r="CC37" s="2212">
        <v>23389.09</v>
      </c>
      <c r="CD37" s="2212">
        <v>30119.22</v>
      </c>
      <c r="CE37" s="2212">
        <v>32845.81</v>
      </c>
      <c r="CF37" s="2212">
        <v>39539.129999999997</v>
      </c>
      <c r="CG37" s="2212">
        <v>29747.23</v>
      </c>
      <c r="CH37" s="2927">
        <v>31263.01</v>
      </c>
      <c r="CI37" s="2927">
        <v>24285.77</v>
      </c>
      <c r="CJ37" s="2212">
        <v>22781.49</v>
      </c>
      <c r="CK37" s="2212">
        <v>21145.38</v>
      </c>
      <c r="CL37" s="2212">
        <v>23477.68</v>
      </c>
      <c r="CM37" s="2212">
        <v>21950</v>
      </c>
      <c r="CN37" s="2212">
        <v>25493.52</v>
      </c>
      <c r="CO37" s="2212">
        <v>17997.2</v>
      </c>
      <c r="CP37" s="2212">
        <v>18300</v>
      </c>
      <c r="CQ37" s="2212">
        <v>22902.959999999999</v>
      </c>
      <c r="CR37" s="2212">
        <v>23265.040000000001</v>
      </c>
      <c r="CS37" s="2212">
        <v>22284.04</v>
      </c>
      <c r="CT37" s="2212">
        <v>15617.5</v>
      </c>
      <c r="CU37" s="2212">
        <v>22756.69</v>
      </c>
      <c r="CV37" s="2212">
        <v>18740.89</v>
      </c>
      <c r="CW37" s="2212">
        <v>22641.09</v>
      </c>
      <c r="CX37" s="2212">
        <v>26550</v>
      </c>
      <c r="CY37" s="2212">
        <v>14513.31</v>
      </c>
      <c r="CZ37" s="2212">
        <v>19600</v>
      </c>
      <c r="DA37" s="2212">
        <v>29251.57</v>
      </c>
      <c r="DB37" s="2212">
        <v>26081.91</v>
      </c>
      <c r="DC37" s="2212">
        <v>23106.95</v>
      </c>
      <c r="DD37" s="2212">
        <v>18485.22</v>
      </c>
      <c r="DE37" s="2212">
        <v>26276.799999999999</v>
      </c>
      <c r="DF37" s="2212">
        <v>23107.040000000001</v>
      </c>
      <c r="DG37" s="2212">
        <v>27020.48</v>
      </c>
      <c r="DH37" s="2212">
        <v>19732.47</v>
      </c>
      <c r="DI37" s="2212">
        <v>33589.65</v>
      </c>
      <c r="DJ37" s="2212">
        <v>18719.400000000001</v>
      </c>
      <c r="DK37" s="2212">
        <v>24764.720000000001</v>
      </c>
      <c r="DL37" s="2212">
        <v>38293.31</v>
      </c>
      <c r="DM37" s="2212">
        <v>37432.089999999997</v>
      </c>
      <c r="DN37" s="2212">
        <v>21971.89</v>
      </c>
      <c r="DO37" s="2212">
        <v>23093.7</v>
      </c>
      <c r="DP37" s="2212">
        <v>16729.849999999999</v>
      </c>
      <c r="DQ37" s="2212">
        <v>42055.29</v>
      </c>
      <c r="DR37" s="2212">
        <v>24194.49</v>
      </c>
      <c r="DS37" s="2212">
        <v>22284.080000000002</v>
      </c>
      <c r="DT37" s="2212">
        <v>27908.9</v>
      </c>
      <c r="DU37" s="2212">
        <v>26980.880000000001</v>
      </c>
      <c r="DV37" s="2212">
        <v>37432.04</v>
      </c>
      <c r="DW37" s="2212">
        <v>20382.75</v>
      </c>
      <c r="DX37" s="2212">
        <v>23264.74</v>
      </c>
      <c r="DY37" s="2212">
        <v>41398.32</v>
      </c>
      <c r="DZ37" s="2212">
        <v>38299.589999999997</v>
      </c>
      <c r="EA37" s="2212">
        <v>29150</v>
      </c>
      <c r="EB37" s="2212">
        <v>22426.49</v>
      </c>
      <c r="EC37" s="2212">
        <v>23109.599999999999</v>
      </c>
      <c r="ED37" s="2212">
        <v>26980.880000000001</v>
      </c>
      <c r="EE37" s="2212">
        <v>31846.67</v>
      </c>
      <c r="EF37" s="2212">
        <v>54200.7</v>
      </c>
      <c r="EG37" s="2212">
        <v>45052.35</v>
      </c>
      <c r="EH37" s="2212">
        <v>53661.49</v>
      </c>
      <c r="EI37" s="2212">
        <v>26326.45</v>
      </c>
      <c r="EJ37" s="2212">
        <v>33521.68</v>
      </c>
      <c r="EK37" s="2212">
        <v>23350</v>
      </c>
      <c r="EL37" s="2212">
        <v>35922.51</v>
      </c>
      <c r="EM37" s="2212">
        <v>35158.97</v>
      </c>
      <c r="EN37" s="2212">
        <v>18501</v>
      </c>
      <c r="EO37" s="2212">
        <v>22416.91</v>
      </c>
      <c r="EP37" s="2212">
        <v>36455.53</v>
      </c>
      <c r="EQ37" s="2212">
        <v>47190.59</v>
      </c>
      <c r="ER37" s="2212">
        <v>26450</v>
      </c>
      <c r="ES37" s="2212">
        <v>22063.79</v>
      </c>
      <c r="ET37" s="2212">
        <v>33933.449999999997</v>
      </c>
      <c r="EU37" s="2212">
        <v>39539.14</v>
      </c>
      <c r="EV37" s="2212">
        <v>28609.360000000001</v>
      </c>
      <c r="EW37" s="2212">
        <v>57513.48</v>
      </c>
      <c r="EX37" s="2212">
        <v>37910.65</v>
      </c>
      <c r="EY37" s="2212">
        <v>24012.74</v>
      </c>
      <c r="EZ37" s="2212">
        <v>24012.880000000001</v>
      </c>
      <c r="FA37" s="2212">
        <v>18474.84</v>
      </c>
      <c r="FB37" s="2212">
        <v>38979.24</v>
      </c>
      <c r="FC37" s="2212">
        <v>48049.57</v>
      </c>
      <c r="FD37" s="2212">
        <v>47347.76</v>
      </c>
      <c r="FE37" s="2212">
        <v>33515.21</v>
      </c>
      <c r="FF37" s="2212">
        <v>39539.14</v>
      </c>
      <c r="FG37" s="2212">
        <v>35922.51</v>
      </c>
      <c r="FH37" s="2212">
        <v>15836.13</v>
      </c>
      <c r="FI37" s="2212">
        <v>25285.23</v>
      </c>
      <c r="FJ37" s="2212">
        <v>35101.81</v>
      </c>
      <c r="FK37" s="2212">
        <v>21677.9</v>
      </c>
      <c r="FL37" s="2212">
        <v>24379.09</v>
      </c>
      <c r="FM37" s="2212">
        <v>22284.62</v>
      </c>
      <c r="FN37" s="2212">
        <v>22423.68</v>
      </c>
      <c r="FO37" s="2212">
        <v>28012.04</v>
      </c>
      <c r="FP37" s="2212">
        <v>29785.69</v>
      </c>
      <c r="FQ37" s="2212">
        <v>24637.439999999999</v>
      </c>
      <c r="FR37" s="2212">
        <v>24408.61</v>
      </c>
      <c r="FS37" s="2212">
        <v>48981.04</v>
      </c>
      <c r="FT37" s="2212">
        <v>22411.16</v>
      </c>
      <c r="FU37" s="2212">
        <v>28607.01</v>
      </c>
      <c r="FV37" s="2212">
        <v>37910.81</v>
      </c>
      <c r="FW37" s="2212">
        <v>34247.1</v>
      </c>
      <c r="FX37" s="2212">
        <v>23483.53</v>
      </c>
      <c r="FY37" s="2212">
        <v>28817.74</v>
      </c>
      <c r="FZ37" s="2212">
        <v>49777.120000000003</v>
      </c>
      <c r="GA37" s="2212">
        <v>23032.12</v>
      </c>
      <c r="GB37" s="2212">
        <v>18112.439999999999</v>
      </c>
      <c r="GC37" s="2212">
        <v>23389.11</v>
      </c>
      <c r="GD37" s="2212">
        <v>51809.84</v>
      </c>
      <c r="GE37" s="2212">
        <v>18712.64</v>
      </c>
      <c r="GF37" s="2212">
        <v>44472.41</v>
      </c>
      <c r="GG37" s="2212">
        <v>51204.160000000003</v>
      </c>
      <c r="GH37" s="2212">
        <v>38299.74</v>
      </c>
      <c r="GI37" s="2212">
        <v>30937.15</v>
      </c>
      <c r="GJ37" s="2212">
        <v>23828.31</v>
      </c>
      <c r="GK37" s="2212">
        <v>39070.129999999997</v>
      </c>
      <c r="GL37" s="2212">
        <v>33502.44</v>
      </c>
      <c r="GM37" s="2212">
        <v>57513.53</v>
      </c>
      <c r="GN37" s="2212">
        <v>26004.12</v>
      </c>
      <c r="GO37" s="2212">
        <v>20228.240000000002</v>
      </c>
      <c r="GP37" s="2212">
        <v>24858.76</v>
      </c>
      <c r="GQ37" s="2212">
        <v>47190.62</v>
      </c>
      <c r="GR37" s="2212">
        <v>22942.66</v>
      </c>
      <c r="GS37" s="2212">
        <v>22640.15</v>
      </c>
      <c r="GT37" s="2212">
        <v>37146.07</v>
      </c>
      <c r="GU37" s="2212">
        <v>38593.03</v>
      </c>
      <c r="GV37" s="2212">
        <v>60665.88</v>
      </c>
      <c r="GW37" s="2212">
        <v>16162.76</v>
      </c>
      <c r="GX37" s="2212">
        <v>23085.98</v>
      </c>
      <c r="GY37" s="2212">
        <v>40010.33</v>
      </c>
      <c r="GZ37" s="2212">
        <v>24285.15</v>
      </c>
      <c r="HA37" s="2212">
        <v>65399.94</v>
      </c>
      <c r="HB37" s="2212">
        <v>22653.89</v>
      </c>
      <c r="HC37" s="2212">
        <v>34246.93</v>
      </c>
      <c r="HD37" s="2212">
        <v>25904.95</v>
      </c>
      <c r="HE37" s="2212">
        <v>35101.839999999997</v>
      </c>
      <c r="HF37" s="2212">
        <v>20700</v>
      </c>
      <c r="HG37" s="2212">
        <v>15844.8</v>
      </c>
      <c r="HH37" s="2212">
        <v>24066.54</v>
      </c>
      <c r="HI37" s="2212">
        <v>26785.17</v>
      </c>
      <c r="HJ37" s="2212">
        <v>22284.19</v>
      </c>
      <c r="HK37" s="2212">
        <v>21754.25</v>
      </c>
      <c r="HL37" s="2212">
        <v>48785.47</v>
      </c>
      <c r="HM37" s="2212">
        <v>46306.52</v>
      </c>
      <c r="HN37" s="2212">
        <v>23532.39</v>
      </c>
      <c r="HO37" s="2212">
        <v>38380.559999999998</v>
      </c>
      <c r="HP37" s="2212">
        <v>24066.54</v>
      </c>
      <c r="HQ37" s="2212">
        <v>57513.53</v>
      </c>
      <c r="HR37" s="2212">
        <v>49777.14</v>
      </c>
      <c r="HS37" s="2212">
        <v>23389.07</v>
      </c>
      <c r="HT37" s="2212">
        <v>21677.9</v>
      </c>
      <c r="HU37" s="2212">
        <v>60665.87</v>
      </c>
      <c r="HV37" s="2212">
        <v>26078.14</v>
      </c>
      <c r="HW37" s="2212">
        <v>23295.759999999998</v>
      </c>
      <c r="HX37" s="2212">
        <v>29896.15</v>
      </c>
      <c r="HY37" s="2212">
        <v>60665.94</v>
      </c>
      <c r="HZ37" s="2212">
        <v>54200.86</v>
      </c>
      <c r="IA37" s="2212">
        <v>22283.98</v>
      </c>
      <c r="IB37" s="2212">
        <v>23888.51</v>
      </c>
      <c r="IC37" s="2212">
        <v>34960.19</v>
      </c>
      <c r="ID37" s="2212">
        <v>15836.63</v>
      </c>
      <c r="IE37" s="2212">
        <v>65399.83</v>
      </c>
      <c r="IF37" s="2212">
        <v>53318.35</v>
      </c>
      <c r="IG37" s="2212">
        <v>53661.49</v>
      </c>
      <c r="IH37" s="2212">
        <v>37591.699999999997</v>
      </c>
      <c r="II37" s="2212">
        <v>22952.27</v>
      </c>
      <c r="IJ37" s="2212">
        <v>26190.65</v>
      </c>
      <c r="IK37" s="2212">
        <v>24140.77</v>
      </c>
      <c r="IL37" s="2212">
        <v>24512.5</v>
      </c>
      <c r="IM37" s="2212">
        <v>25533.119999999999</v>
      </c>
      <c r="IN37" s="2212">
        <v>54742.76</v>
      </c>
      <c r="IO37" s="2212">
        <v>47190.48</v>
      </c>
      <c r="IP37" s="2212">
        <v>20382.759999999998</v>
      </c>
      <c r="IQ37" s="2212">
        <v>33961.480000000003</v>
      </c>
      <c r="IR37" s="2212">
        <v>37889.089999999997</v>
      </c>
      <c r="IS37" s="2212">
        <v>23532.32</v>
      </c>
      <c r="IT37" s="2212">
        <v>22283.87</v>
      </c>
      <c r="IU37" s="2911">
        <v>23308.720000000001</v>
      </c>
      <c r="IV37" s="2911">
        <v>24050.69</v>
      </c>
      <c r="IW37" s="2911">
        <v>26024.41</v>
      </c>
      <c r="IX37" s="2911">
        <v>27524.41</v>
      </c>
      <c r="IY37" s="2207"/>
      <c r="IZ37" s="2215">
        <f t="shared" si="6"/>
        <v>28</v>
      </c>
    </row>
    <row r="38" spans="1:260">
      <c r="A38" s="2214">
        <v>29</v>
      </c>
      <c r="B38" s="2212">
        <v>67575.87</v>
      </c>
      <c r="C38" s="2927">
        <v>64956.56</v>
      </c>
      <c r="D38" s="2927">
        <v>59255.11</v>
      </c>
      <c r="E38" s="2212">
        <v>52466.82</v>
      </c>
      <c r="F38" s="2927">
        <v>52438.09</v>
      </c>
      <c r="G38" s="2212">
        <v>51029.45</v>
      </c>
      <c r="H38" s="2927">
        <v>49141</v>
      </c>
      <c r="I38" s="2212">
        <v>46588.73</v>
      </c>
      <c r="J38" s="2212">
        <v>51029.599999999999</v>
      </c>
      <c r="K38" s="2212">
        <v>48141.01</v>
      </c>
      <c r="L38" s="2927">
        <v>44951.59</v>
      </c>
      <c r="M38" s="2212">
        <v>44422.61</v>
      </c>
      <c r="N38" s="2927">
        <v>40663.03</v>
      </c>
      <c r="O38" s="2212">
        <v>39702.74</v>
      </c>
      <c r="P38" s="2927">
        <v>36448.949999999997</v>
      </c>
      <c r="Q38" s="2927">
        <v>30747.41</v>
      </c>
      <c r="R38" s="2212">
        <v>35448.949999999997</v>
      </c>
      <c r="S38" s="2212">
        <v>35448.949999999997</v>
      </c>
      <c r="T38" s="2212">
        <v>34457.300000000003</v>
      </c>
      <c r="U38" s="2212">
        <v>34457.300000000003</v>
      </c>
      <c r="V38" s="2212">
        <v>34457.300000000003</v>
      </c>
      <c r="W38" s="2212">
        <v>34457.300000000003</v>
      </c>
      <c r="X38" s="2212">
        <v>32474.23</v>
      </c>
      <c r="Y38" s="2927">
        <v>37018.620000000003</v>
      </c>
      <c r="Z38" s="2923">
        <v>35116</v>
      </c>
      <c r="AA38" s="2930">
        <v>35116</v>
      </c>
      <c r="AB38" s="2927">
        <v>36018.620000000003</v>
      </c>
      <c r="AC38" s="2212">
        <v>32127.200000000001</v>
      </c>
      <c r="AD38" s="2923">
        <v>34124</v>
      </c>
      <c r="AE38" s="2927">
        <v>34667.51</v>
      </c>
      <c r="AF38" s="2927">
        <v>31887.69</v>
      </c>
      <c r="AG38" s="2927">
        <v>31887.69</v>
      </c>
      <c r="AH38" s="2927">
        <v>33775.919999999998</v>
      </c>
      <c r="AI38" s="2927">
        <v>31069.54</v>
      </c>
      <c r="AJ38" s="2927">
        <v>28764.25</v>
      </c>
      <c r="AK38" s="2927">
        <v>23285.77</v>
      </c>
      <c r="AL38" s="2927">
        <v>21203.47</v>
      </c>
      <c r="AM38" s="2927">
        <v>20087.98</v>
      </c>
      <c r="AN38" s="2212">
        <v>22285.77</v>
      </c>
      <c r="AO38" s="2212">
        <v>20203.47</v>
      </c>
      <c r="AP38" s="2212">
        <v>19087.98</v>
      </c>
      <c r="AQ38" s="2923">
        <v>29159</v>
      </c>
      <c r="AR38" s="2923">
        <v>27459</v>
      </c>
      <c r="AS38" s="2927">
        <v>25541.58</v>
      </c>
      <c r="AT38" s="2927">
        <v>24797.94</v>
      </c>
      <c r="AU38" s="2928">
        <v>23285.82</v>
      </c>
      <c r="AV38" s="2212">
        <v>22423.77</v>
      </c>
      <c r="AW38" s="2212">
        <v>19659.32</v>
      </c>
      <c r="AX38" s="2212">
        <v>23371.47</v>
      </c>
      <c r="AY38" s="2212">
        <v>24789.439999999999</v>
      </c>
      <c r="AZ38" s="2212">
        <v>23802.89</v>
      </c>
      <c r="BA38" s="2212">
        <v>24789.42</v>
      </c>
      <c r="BB38" s="2212">
        <v>23797.86</v>
      </c>
      <c r="BC38" s="2212">
        <v>24759.1</v>
      </c>
      <c r="BD38" s="2212">
        <v>25533.119999999999</v>
      </c>
      <c r="BE38" s="2212">
        <v>24606.06</v>
      </c>
      <c r="BF38" s="2212">
        <v>26028.95</v>
      </c>
      <c r="BG38" s="2212">
        <v>19010.2</v>
      </c>
      <c r="BH38" s="2212">
        <v>29300</v>
      </c>
      <c r="BI38" s="2212">
        <v>28780.55</v>
      </c>
      <c r="BJ38" s="2212">
        <v>16476.650000000001</v>
      </c>
      <c r="BK38" s="2212">
        <v>16476.650000000001</v>
      </c>
      <c r="BL38" s="2212">
        <v>35150</v>
      </c>
      <c r="BM38" s="2212">
        <v>33887.269999999997</v>
      </c>
      <c r="BN38" s="2212">
        <v>33961.480000000003</v>
      </c>
      <c r="BO38" s="2212">
        <v>33521.82</v>
      </c>
      <c r="BP38" s="2212">
        <v>42055.29</v>
      </c>
      <c r="BQ38" s="2212">
        <v>27764.21</v>
      </c>
      <c r="BR38" s="2212">
        <v>45052.33</v>
      </c>
      <c r="BS38" s="2212">
        <v>38979.11</v>
      </c>
      <c r="BT38" s="2212">
        <v>32700</v>
      </c>
      <c r="BU38" s="2212">
        <v>37407.22</v>
      </c>
      <c r="BV38" s="2212">
        <v>48049.47</v>
      </c>
      <c r="BW38" s="2212">
        <v>51203.97</v>
      </c>
      <c r="BX38" s="2212">
        <v>36455.410000000003</v>
      </c>
      <c r="BY38" s="2212">
        <v>20382.759999999998</v>
      </c>
      <c r="BZ38" s="2212">
        <v>53661.440000000002</v>
      </c>
      <c r="CA38" s="2212">
        <v>24235.82</v>
      </c>
      <c r="CB38" s="2212">
        <v>24379.03</v>
      </c>
      <c r="CC38" s="2212">
        <v>24012.99</v>
      </c>
      <c r="CD38" s="2212">
        <v>30119.22</v>
      </c>
      <c r="CE38" s="2212">
        <v>32845.81</v>
      </c>
      <c r="CF38" s="2212">
        <v>39539.129999999997</v>
      </c>
      <c r="CG38" s="2212">
        <v>29747.23</v>
      </c>
      <c r="CH38" s="2927">
        <v>31263.01</v>
      </c>
      <c r="CI38" s="2927">
        <v>24285.77</v>
      </c>
      <c r="CJ38" s="2212">
        <v>22781.49</v>
      </c>
      <c r="CK38" s="2212">
        <v>21145.38</v>
      </c>
      <c r="CL38" s="2212">
        <v>23982.69</v>
      </c>
      <c r="CM38" s="2212">
        <v>21950</v>
      </c>
      <c r="CN38" s="2212">
        <v>25493.52</v>
      </c>
      <c r="CO38" s="2212">
        <v>17997.2</v>
      </c>
      <c r="CP38" s="2212">
        <v>18300</v>
      </c>
      <c r="CQ38" s="2212">
        <v>22902.959999999999</v>
      </c>
      <c r="CR38" s="2212">
        <v>23265.040000000001</v>
      </c>
      <c r="CS38" s="2212">
        <v>22284.04</v>
      </c>
      <c r="CT38" s="2212">
        <v>15617.5</v>
      </c>
      <c r="CU38" s="2212">
        <v>22756.69</v>
      </c>
      <c r="CV38" s="2212">
        <v>18740.89</v>
      </c>
      <c r="CW38" s="2212">
        <v>23264.99</v>
      </c>
      <c r="CX38" s="2212">
        <v>26550</v>
      </c>
      <c r="CY38" s="2212">
        <v>14513.31</v>
      </c>
      <c r="CZ38" s="2212">
        <v>19600</v>
      </c>
      <c r="DA38" s="2212">
        <v>29251.57</v>
      </c>
      <c r="DB38" s="2212">
        <v>26527.8</v>
      </c>
      <c r="DC38" s="2212">
        <v>23743.69</v>
      </c>
      <c r="DD38" s="2212">
        <v>18649.73</v>
      </c>
      <c r="DE38" s="2212">
        <v>26276.799999999999</v>
      </c>
      <c r="DF38" s="2212">
        <v>23743.78</v>
      </c>
      <c r="DG38" s="2212">
        <v>27020.48</v>
      </c>
      <c r="DH38" s="2212">
        <v>19732.47</v>
      </c>
      <c r="DI38" s="2212">
        <v>33589.65</v>
      </c>
      <c r="DJ38" s="2212">
        <v>18719.400000000001</v>
      </c>
      <c r="DK38" s="2212">
        <v>24764.720000000001</v>
      </c>
      <c r="DL38" s="2212">
        <v>38293.31</v>
      </c>
      <c r="DM38" s="2212">
        <v>37432.089999999997</v>
      </c>
      <c r="DN38" s="2212">
        <v>22283.79</v>
      </c>
      <c r="DO38" s="2212">
        <v>23730.07</v>
      </c>
      <c r="DP38" s="2212">
        <v>16729.849999999999</v>
      </c>
      <c r="DQ38" s="2212">
        <v>42055.29</v>
      </c>
      <c r="DR38" s="2212">
        <v>24194.49</v>
      </c>
      <c r="DS38" s="2212">
        <v>22284.080000000002</v>
      </c>
      <c r="DT38" s="2212">
        <v>28631.34</v>
      </c>
      <c r="DU38" s="2212">
        <v>26980.880000000001</v>
      </c>
      <c r="DV38" s="2212">
        <v>37432.04</v>
      </c>
      <c r="DW38" s="2212">
        <v>20382.75</v>
      </c>
      <c r="DX38" s="2212">
        <v>23264.74</v>
      </c>
      <c r="DY38" s="2212">
        <v>41398.32</v>
      </c>
      <c r="DZ38" s="2212">
        <v>38299.589999999997</v>
      </c>
      <c r="EA38" s="2212">
        <v>29150</v>
      </c>
      <c r="EB38" s="2212">
        <v>22742.560000000001</v>
      </c>
      <c r="EC38" s="2212">
        <v>23109.599999999999</v>
      </c>
      <c r="ED38" s="2212">
        <v>26980.880000000001</v>
      </c>
      <c r="EE38" s="2212">
        <v>31846.67</v>
      </c>
      <c r="EF38" s="2212">
        <v>54200.7</v>
      </c>
      <c r="EG38" s="2212">
        <v>45052.35</v>
      </c>
      <c r="EH38" s="2212">
        <v>53661.49</v>
      </c>
      <c r="EI38" s="2212">
        <v>26326.45</v>
      </c>
      <c r="EJ38" s="2212">
        <v>33521.68</v>
      </c>
      <c r="EK38" s="2212">
        <v>23350</v>
      </c>
      <c r="EL38" s="2212">
        <v>35922.51</v>
      </c>
      <c r="EM38" s="2212">
        <v>35158.97</v>
      </c>
      <c r="EN38" s="2212">
        <v>18662.3</v>
      </c>
      <c r="EO38" s="2212">
        <v>23034.639999999999</v>
      </c>
      <c r="EP38" s="2212">
        <v>36455.53</v>
      </c>
      <c r="EQ38" s="2212">
        <v>47190.59</v>
      </c>
      <c r="ER38" s="2212">
        <v>26450</v>
      </c>
      <c r="ES38" s="2212">
        <v>22063.79</v>
      </c>
      <c r="ET38" s="2212">
        <v>33933.449999999997</v>
      </c>
      <c r="EU38" s="2212">
        <v>39539.14</v>
      </c>
      <c r="EV38" s="2212">
        <v>28609.360000000001</v>
      </c>
      <c r="EW38" s="2212">
        <v>57513.48</v>
      </c>
      <c r="EX38" s="2212">
        <v>37910.65</v>
      </c>
      <c r="EY38" s="2212">
        <v>24012.74</v>
      </c>
      <c r="EZ38" s="2212">
        <v>24012.880000000001</v>
      </c>
      <c r="FA38" s="2212">
        <v>18639.27</v>
      </c>
      <c r="FB38" s="2212">
        <v>38979.24</v>
      </c>
      <c r="FC38" s="2212">
        <v>48049.57</v>
      </c>
      <c r="FD38" s="2212">
        <v>47347.76</v>
      </c>
      <c r="FE38" s="2212">
        <v>33515.21</v>
      </c>
      <c r="FF38" s="2212">
        <v>39539.14</v>
      </c>
      <c r="FG38" s="2212">
        <v>35922.51</v>
      </c>
      <c r="FH38" s="2212">
        <v>15836.13</v>
      </c>
      <c r="FI38" s="2212">
        <v>25285.23</v>
      </c>
      <c r="FJ38" s="2212">
        <v>35101.81</v>
      </c>
      <c r="FK38" s="2212">
        <v>21677.9</v>
      </c>
      <c r="FL38" s="2212">
        <v>24379.09</v>
      </c>
      <c r="FM38" s="2212">
        <v>22284.62</v>
      </c>
      <c r="FN38" s="2212">
        <v>22741.98</v>
      </c>
      <c r="FO38" s="2212">
        <v>28012.04</v>
      </c>
      <c r="FP38" s="2212">
        <v>29785.69</v>
      </c>
      <c r="FQ38" s="2212">
        <v>24637.439999999999</v>
      </c>
      <c r="FR38" s="2212">
        <v>24408.61</v>
      </c>
      <c r="FS38" s="2212">
        <v>48981.04</v>
      </c>
      <c r="FT38" s="2212">
        <v>22729.29</v>
      </c>
      <c r="FU38" s="2212">
        <v>28607.01</v>
      </c>
      <c r="FV38" s="2212">
        <v>37910.81</v>
      </c>
      <c r="FW38" s="2212">
        <v>34247.1</v>
      </c>
      <c r="FX38" s="2212">
        <v>23483.53</v>
      </c>
      <c r="FY38" s="2212">
        <v>28817.74</v>
      </c>
      <c r="FZ38" s="2212">
        <v>49777.120000000003</v>
      </c>
      <c r="GA38" s="2212">
        <v>23032.12</v>
      </c>
      <c r="GB38" s="2212">
        <v>18273.62</v>
      </c>
      <c r="GC38" s="2212">
        <v>24013.01</v>
      </c>
      <c r="GD38" s="2212">
        <v>51809.84</v>
      </c>
      <c r="GE38" s="2212">
        <v>18877.150000000001</v>
      </c>
      <c r="GF38" s="2212">
        <v>44472.41</v>
      </c>
      <c r="GG38" s="2212">
        <v>51204.160000000003</v>
      </c>
      <c r="GH38" s="2212">
        <v>38299.74</v>
      </c>
      <c r="GI38" s="2212">
        <v>30937.15</v>
      </c>
      <c r="GJ38" s="2212">
        <v>23828.31</v>
      </c>
      <c r="GK38" s="2212">
        <v>39070.129999999997</v>
      </c>
      <c r="GL38" s="2212">
        <v>33502.44</v>
      </c>
      <c r="GM38" s="2212">
        <v>57513.53</v>
      </c>
      <c r="GN38" s="2212">
        <v>26004.12</v>
      </c>
      <c r="GO38" s="2212">
        <v>20228.240000000002</v>
      </c>
      <c r="GP38" s="2212">
        <v>24858.76</v>
      </c>
      <c r="GQ38" s="2212">
        <v>47190.62</v>
      </c>
      <c r="GR38" s="2212">
        <v>23254.560000000001</v>
      </c>
      <c r="GS38" s="2212">
        <v>23264.400000000001</v>
      </c>
      <c r="GT38" s="2212">
        <v>37146.07</v>
      </c>
      <c r="GU38" s="2212">
        <v>38593.03</v>
      </c>
      <c r="GV38" s="2212">
        <v>60665.88</v>
      </c>
      <c r="GW38" s="2212">
        <v>16162.76</v>
      </c>
      <c r="GX38" s="2212">
        <v>23397.88</v>
      </c>
      <c r="GY38" s="2212">
        <v>40010.33</v>
      </c>
      <c r="GZ38" s="2212">
        <v>24285.15</v>
      </c>
      <c r="HA38" s="2212">
        <v>65399.94</v>
      </c>
      <c r="HB38" s="2212">
        <v>23278.14</v>
      </c>
      <c r="HC38" s="2212">
        <v>34246.93</v>
      </c>
      <c r="HD38" s="2212">
        <v>25904.95</v>
      </c>
      <c r="HE38" s="2212">
        <v>35101.839999999997</v>
      </c>
      <c r="HF38" s="2212">
        <v>20700</v>
      </c>
      <c r="HG38" s="2212">
        <v>15844.8</v>
      </c>
      <c r="HH38" s="2212">
        <v>24066.54</v>
      </c>
      <c r="HI38" s="2212">
        <v>27409.07</v>
      </c>
      <c r="HJ38" s="2212">
        <v>22284.19</v>
      </c>
      <c r="HK38" s="2212">
        <v>22063.06</v>
      </c>
      <c r="HL38" s="2212">
        <v>48785.47</v>
      </c>
      <c r="HM38" s="2212">
        <v>46306.52</v>
      </c>
      <c r="HN38" s="2212">
        <v>24156.29</v>
      </c>
      <c r="HO38" s="2212">
        <v>38380.559999999998</v>
      </c>
      <c r="HP38" s="2212">
        <v>24066.54</v>
      </c>
      <c r="HQ38" s="2212">
        <v>57513.53</v>
      </c>
      <c r="HR38" s="2212">
        <v>49777.14</v>
      </c>
      <c r="HS38" s="2212">
        <v>24012.97</v>
      </c>
      <c r="HT38" s="2212">
        <v>21677.9</v>
      </c>
      <c r="HU38" s="2212">
        <v>60665.87</v>
      </c>
      <c r="HV38" s="2212">
        <v>26078.14</v>
      </c>
      <c r="HW38" s="2212">
        <v>23295.759999999998</v>
      </c>
      <c r="HX38" s="2212">
        <v>29896.15</v>
      </c>
      <c r="HY38" s="2212">
        <v>60665.94</v>
      </c>
      <c r="HZ38" s="2212">
        <v>54200.86</v>
      </c>
      <c r="IA38" s="2212">
        <v>22283.98</v>
      </c>
      <c r="IB38" s="2212">
        <v>24512.41</v>
      </c>
      <c r="IC38" s="2212">
        <v>34960.19</v>
      </c>
      <c r="ID38" s="2212">
        <v>15836.63</v>
      </c>
      <c r="IE38" s="2212">
        <v>65399.83</v>
      </c>
      <c r="IF38" s="2212">
        <v>53318.35</v>
      </c>
      <c r="IG38" s="2212">
        <v>53661.49</v>
      </c>
      <c r="IH38" s="2212">
        <v>37591.699999999997</v>
      </c>
      <c r="II38" s="2212">
        <v>23175</v>
      </c>
      <c r="IJ38" s="2212">
        <v>26190.65</v>
      </c>
      <c r="IK38" s="2212">
        <v>24140.77</v>
      </c>
      <c r="IL38" s="2212">
        <v>24512.5</v>
      </c>
      <c r="IM38" s="2212">
        <v>25533.119999999999</v>
      </c>
      <c r="IN38" s="2212">
        <v>54742.76</v>
      </c>
      <c r="IO38" s="2212">
        <v>47190.48</v>
      </c>
      <c r="IP38" s="2212">
        <v>20382.759999999998</v>
      </c>
      <c r="IQ38" s="2212">
        <v>33961.480000000003</v>
      </c>
      <c r="IR38" s="2212">
        <v>37889.089999999997</v>
      </c>
      <c r="IS38" s="2212">
        <v>24156.22</v>
      </c>
      <c r="IT38" s="2212">
        <v>22283.87</v>
      </c>
      <c r="IU38" s="2911">
        <v>23932.33</v>
      </c>
      <c r="IV38" s="2911">
        <v>24585.82</v>
      </c>
      <c r="IW38" s="2911">
        <v>26648.02</v>
      </c>
      <c r="IX38" s="2911">
        <v>27921.360000000001</v>
      </c>
      <c r="IY38" s="2207"/>
      <c r="IZ38" s="2215">
        <f t="shared" si="6"/>
        <v>29</v>
      </c>
    </row>
    <row r="39" spans="1:260">
      <c r="A39" s="2214">
        <v>30</v>
      </c>
      <c r="B39" s="2212">
        <v>67575.87</v>
      </c>
      <c r="C39" s="2927">
        <v>64956.56</v>
      </c>
      <c r="D39" s="2927">
        <v>59255.11</v>
      </c>
      <c r="E39" s="2212">
        <v>52466.82</v>
      </c>
      <c r="F39" s="2927">
        <v>52438.09</v>
      </c>
      <c r="G39" s="2212">
        <v>51029.45</v>
      </c>
      <c r="H39" s="2927">
        <v>49141</v>
      </c>
      <c r="I39" s="2212">
        <v>46588.73</v>
      </c>
      <c r="J39" s="2212">
        <v>51029.599999999999</v>
      </c>
      <c r="K39" s="2212">
        <v>48141.01</v>
      </c>
      <c r="L39" s="2927">
        <v>44951.59</v>
      </c>
      <c r="M39" s="2212">
        <v>44422.61</v>
      </c>
      <c r="N39" s="2927">
        <v>40663.03</v>
      </c>
      <c r="O39" s="2212">
        <v>39702.74</v>
      </c>
      <c r="P39" s="2927">
        <v>36448.949999999997</v>
      </c>
      <c r="Q39" s="2927">
        <v>30747.41</v>
      </c>
      <c r="R39" s="2212">
        <v>35448.949999999997</v>
      </c>
      <c r="S39" s="2212">
        <v>35448.949999999997</v>
      </c>
      <c r="T39" s="2212">
        <v>34457.300000000003</v>
      </c>
      <c r="U39" s="2212">
        <v>34457.300000000003</v>
      </c>
      <c r="V39" s="2212">
        <v>34457.300000000003</v>
      </c>
      <c r="W39" s="2212">
        <v>34457.300000000003</v>
      </c>
      <c r="X39" s="2212">
        <v>32474.23</v>
      </c>
      <c r="Y39" s="2927">
        <v>37018.620000000003</v>
      </c>
      <c r="Z39" s="2923">
        <v>35116</v>
      </c>
      <c r="AA39" s="2930">
        <v>35116</v>
      </c>
      <c r="AB39" s="2927">
        <v>36018.620000000003</v>
      </c>
      <c r="AC39" s="2212">
        <v>32127.200000000001</v>
      </c>
      <c r="AD39" s="2923">
        <v>34124</v>
      </c>
      <c r="AE39" s="2929">
        <v>34667.51</v>
      </c>
      <c r="AF39" s="2927">
        <v>31887.69</v>
      </c>
      <c r="AG39" s="2927">
        <v>31887.69</v>
      </c>
      <c r="AH39" s="2927">
        <v>33775.919999999998</v>
      </c>
      <c r="AI39" s="2927">
        <v>31069.54</v>
      </c>
      <c r="AJ39" s="2927">
        <v>28764.25</v>
      </c>
      <c r="AK39" s="2927">
        <v>23285.77</v>
      </c>
      <c r="AL39" s="2927">
        <v>21203.47</v>
      </c>
      <c r="AM39" s="2927">
        <v>20087.98</v>
      </c>
      <c r="AN39" s="2212">
        <v>22285.77</v>
      </c>
      <c r="AO39" s="2212">
        <v>20203.47</v>
      </c>
      <c r="AP39" s="2212">
        <v>19087.98</v>
      </c>
      <c r="AQ39" s="2923">
        <v>29159</v>
      </c>
      <c r="AR39" s="2923">
        <v>27459</v>
      </c>
      <c r="AS39" s="2929">
        <v>25541.58</v>
      </c>
      <c r="AT39" s="2927">
        <v>24797.94</v>
      </c>
      <c r="AU39" s="2928">
        <v>23285.82</v>
      </c>
      <c r="AV39" s="2212">
        <v>22423.77</v>
      </c>
      <c r="AW39" s="2212">
        <v>19659.32</v>
      </c>
      <c r="AX39" s="2212">
        <v>23371.47</v>
      </c>
      <c r="AY39" s="2212">
        <v>24789.439999999999</v>
      </c>
      <c r="AZ39" s="2212">
        <v>23802.89</v>
      </c>
      <c r="BA39" s="2212">
        <v>24789.42</v>
      </c>
      <c r="BB39" s="2212">
        <v>23797.86</v>
      </c>
      <c r="BC39" s="2212">
        <v>24759.1</v>
      </c>
      <c r="BD39" s="2212">
        <v>25533.119999999999</v>
      </c>
      <c r="BE39" s="2212">
        <v>24606.06</v>
      </c>
      <c r="BF39" s="2212">
        <v>26028.95</v>
      </c>
      <c r="BG39" s="2212">
        <v>19010.2</v>
      </c>
      <c r="BH39" s="2212">
        <v>29300</v>
      </c>
      <c r="BI39" s="2212">
        <v>28780.55</v>
      </c>
      <c r="BJ39" s="2212">
        <v>16476.650000000001</v>
      </c>
      <c r="BK39" s="2212">
        <v>16476.650000000001</v>
      </c>
      <c r="BL39" s="2212">
        <v>35150</v>
      </c>
      <c r="BM39" s="2212">
        <v>33887.269999999997</v>
      </c>
      <c r="BN39" s="2212">
        <v>33961.480000000003</v>
      </c>
      <c r="BO39" s="2212">
        <v>33521.82</v>
      </c>
      <c r="BP39" s="2212">
        <v>42055.29</v>
      </c>
      <c r="BQ39" s="2212">
        <v>27764.21</v>
      </c>
      <c r="BR39" s="2212">
        <v>45052.33</v>
      </c>
      <c r="BS39" s="2212">
        <v>38979.11</v>
      </c>
      <c r="BT39" s="2212">
        <v>32700</v>
      </c>
      <c r="BU39" s="2212">
        <v>37407.22</v>
      </c>
      <c r="BV39" s="2212">
        <v>48049.47</v>
      </c>
      <c r="BW39" s="2212">
        <v>51203.97</v>
      </c>
      <c r="BX39" s="2212">
        <v>36455.410000000003</v>
      </c>
      <c r="BY39" s="2212">
        <v>20382.759999999998</v>
      </c>
      <c r="BZ39" s="2212">
        <v>53661.440000000002</v>
      </c>
      <c r="CA39" s="2212">
        <v>24235.82</v>
      </c>
      <c r="CB39" s="2212">
        <v>24379.03</v>
      </c>
      <c r="CC39" s="2212">
        <v>24012.99</v>
      </c>
      <c r="CD39" s="2212">
        <v>30119.22</v>
      </c>
      <c r="CE39" s="2212">
        <v>32845.81</v>
      </c>
      <c r="CF39" s="2212">
        <v>39539.129999999997</v>
      </c>
      <c r="CG39" s="2212">
        <v>29747.23</v>
      </c>
      <c r="CH39" s="2927">
        <v>31263.01</v>
      </c>
      <c r="CI39" s="2927">
        <v>24285.77</v>
      </c>
      <c r="CJ39" s="2212">
        <v>22781.49</v>
      </c>
      <c r="CK39" s="2212">
        <v>21145.38</v>
      </c>
      <c r="CL39" s="2212">
        <v>23982.69</v>
      </c>
      <c r="CM39" s="2212">
        <v>21950</v>
      </c>
      <c r="CN39" s="2212">
        <v>25493.52</v>
      </c>
      <c r="CO39" s="2212">
        <v>17997.2</v>
      </c>
      <c r="CP39" s="2212">
        <v>18300</v>
      </c>
      <c r="CQ39" s="2212">
        <v>22902.959999999999</v>
      </c>
      <c r="CR39" s="2212">
        <v>23265.040000000001</v>
      </c>
      <c r="CS39" s="2212">
        <v>22284.04</v>
      </c>
      <c r="CT39" s="2212">
        <v>15617.5</v>
      </c>
      <c r="CU39" s="2212">
        <v>22756.69</v>
      </c>
      <c r="CV39" s="2212">
        <v>18740.89</v>
      </c>
      <c r="CW39" s="2212">
        <v>23264.99</v>
      </c>
      <c r="CX39" s="2212">
        <v>26550</v>
      </c>
      <c r="CY39" s="2212">
        <v>14513.31</v>
      </c>
      <c r="CZ39" s="2212">
        <v>19600</v>
      </c>
      <c r="DA39" s="2212">
        <v>29251.57</v>
      </c>
      <c r="DB39" s="2212">
        <v>26527.8</v>
      </c>
      <c r="DC39" s="2212">
        <v>23743.69</v>
      </c>
      <c r="DD39" s="2212">
        <v>18649.73</v>
      </c>
      <c r="DE39" s="2212">
        <v>26276.799999999999</v>
      </c>
      <c r="DF39" s="2212">
        <v>23743.78</v>
      </c>
      <c r="DG39" s="2212">
        <v>27020.48</v>
      </c>
      <c r="DH39" s="2212">
        <v>19732.47</v>
      </c>
      <c r="DI39" s="2212">
        <v>33589.65</v>
      </c>
      <c r="DJ39" s="2212">
        <v>18719.400000000001</v>
      </c>
      <c r="DK39" s="2212">
        <v>24764.720000000001</v>
      </c>
      <c r="DL39" s="2212">
        <v>38293.31</v>
      </c>
      <c r="DM39" s="2212">
        <v>37432.089999999997</v>
      </c>
      <c r="DN39" s="2212">
        <v>22283.79</v>
      </c>
      <c r="DO39" s="2212">
        <v>23730.07</v>
      </c>
      <c r="DP39" s="2212">
        <v>16729.849999999999</v>
      </c>
      <c r="DQ39" s="2212">
        <v>42055.29</v>
      </c>
      <c r="DR39" s="2212">
        <v>24194.49</v>
      </c>
      <c r="DS39" s="2212">
        <v>22284.080000000002</v>
      </c>
      <c r="DT39" s="2212">
        <v>28631.34</v>
      </c>
      <c r="DU39" s="2212">
        <v>26980.880000000001</v>
      </c>
      <c r="DV39" s="2212">
        <v>37432.04</v>
      </c>
      <c r="DW39" s="2212">
        <v>20382.75</v>
      </c>
      <c r="DX39" s="2212">
        <v>23264.74</v>
      </c>
      <c r="DY39" s="2212">
        <v>41398.32</v>
      </c>
      <c r="DZ39" s="2212">
        <v>38299.589999999997</v>
      </c>
      <c r="EA39" s="2212">
        <v>29150</v>
      </c>
      <c r="EB39" s="2212">
        <v>22742.560000000001</v>
      </c>
      <c r="EC39" s="2212">
        <v>23743.51</v>
      </c>
      <c r="ED39" s="2212">
        <v>26980.880000000001</v>
      </c>
      <c r="EE39" s="2212">
        <v>31846.67</v>
      </c>
      <c r="EF39" s="2212">
        <v>54200.7</v>
      </c>
      <c r="EG39" s="2212">
        <v>45052.35</v>
      </c>
      <c r="EH39" s="2212">
        <v>53661.49</v>
      </c>
      <c r="EI39" s="2212">
        <v>26326.45</v>
      </c>
      <c r="EJ39" s="2212">
        <v>33521.68</v>
      </c>
      <c r="EK39" s="2212">
        <v>23350</v>
      </c>
      <c r="EL39" s="2212">
        <v>35922.51</v>
      </c>
      <c r="EM39" s="2212">
        <v>35158.97</v>
      </c>
      <c r="EN39" s="2212">
        <v>18662.3</v>
      </c>
      <c r="EO39" s="2212">
        <v>23034.639999999999</v>
      </c>
      <c r="EP39" s="2212">
        <v>36455.53</v>
      </c>
      <c r="EQ39" s="2212">
        <v>47190.59</v>
      </c>
      <c r="ER39" s="2212">
        <v>26450</v>
      </c>
      <c r="ES39" s="2212">
        <v>22063.79</v>
      </c>
      <c r="ET39" s="2212">
        <v>33933.449999999997</v>
      </c>
      <c r="EU39" s="2212">
        <v>39539.14</v>
      </c>
      <c r="EV39" s="2212">
        <v>28609.360000000001</v>
      </c>
      <c r="EW39" s="2212">
        <v>57513.48</v>
      </c>
      <c r="EX39" s="2212">
        <v>37910.65</v>
      </c>
      <c r="EY39" s="2212">
        <v>24012.74</v>
      </c>
      <c r="EZ39" s="2212">
        <v>24012.880000000001</v>
      </c>
      <c r="FA39" s="2212">
        <v>18639.27</v>
      </c>
      <c r="FB39" s="2212">
        <v>38979.24</v>
      </c>
      <c r="FC39" s="2212">
        <v>48049.57</v>
      </c>
      <c r="FD39" s="2212">
        <v>47347.76</v>
      </c>
      <c r="FE39" s="2212">
        <v>33515.21</v>
      </c>
      <c r="FF39" s="2212">
        <v>39539.14</v>
      </c>
      <c r="FG39" s="2212">
        <v>35922.51</v>
      </c>
      <c r="FH39" s="2212">
        <v>15836.13</v>
      </c>
      <c r="FI39" s="2212">
        <v>25285.23</v>
      </c>
      <c r="FJ39" s="2212">
        <v>35101.81</v>
      </c>
      <c r="FK39" s="2212">
        <v>21677.9</v>
      </c>
      <c r="FL39" s="2212">
        <v>24379.09</v>
      </c>
      <c r="FM39" s="2212">
        <v>22908.52</v>
      </c>
      <c r="FN39" s="2212">
        <v>22741.98</v>
      </c>
      <c r="FO39" s="2212">
        <v>28012.04</v>
      </c>
      <c r="FP39" s="2212">
        <v>29785.69</v>
      </c>
      <c r="FQ39" s="2212">
        <v>24637.439999999999</v>
      </c>
      <c r="FR39" s="2212">
        <v>24408.61</v>
      </c>
      <c r="FS39" s="2212">
        <v>50318.73</v>
      </c>
      <c r="FT39" s="2212">
        <v>22729.29</v>
      </c>
      <c r="FU39" s="2212">
        <v>28607.01</v>
      </c>
      <c r="FV39" s="2212">
        <v>37910.81</v>
      </c>
      <c r="FW39" s="2212">
        <v>34247.1</v>
      </c>
      <c r="FX39" s="2212">
        <v>23483.53</v>
      </c>
      <c r="FY39" s="2212">
        <v>28817.74</v>
      </c>
      <c r="FZ39" s="2212">
        <v>49777.120000000003</v>
      </c>
      <c r="GA39" s="2212">
        <v>23032.12</v>
      </c>
      <c r="GB39" s="2212">
        <v>18273.62</v>
      </c>
      <c r="GC39" s="2212">
        <v>24013.01</v>
      </c>
      <c r="GD39" s="2212">
        <v>51809.84</v>
      </c>
      <c r="GE39" s="2212">
        <v>18877.150000000001</v>
      </c>
      <c r="GF39" s="2212">
        <v>44472.41</v>
      </c>
      <c r="GG39" s="2212">
        <v>51204.160000000003</v>
      </c>
      <c r="GH39" s="2212">
        <v>38299.74</v>
      </c>
      <c r="GI39" s="2212">
        <v>30937.15</v>
      </c>
      <c r="GJ39" s="2212">
        <v>23828.31</v>
      </c>
      <c r="GK39" s="2212">
        <v>39070.129999999997</v>
      </c>
      <c r="GL39" s="2212">
        <v>33502.44</v>
      </c>
      <c r="GM39" s="2212">
        <v>57513.53</v>
      </c>
      <c r="GN39" s="2212">
        <v>26004.12</v>
      </c>
      <c r="GO39" s="2212">
        <v>20228.240000000002</v>
      </c>
      <c r="GP39" s="2212">
        <v>24858.76</v>
      </c>
      <c r="GQ39" s="2212">
        <v>47190.62</v>
      </c>
      <c r="GR39" s="2212">
        <v>23254.560000000001</v>
      </c>
      <c r="GS39" s="2212">
        <v>23264.400000000001</v>
      </c>
      <c r="GT39" s="2212">
        <v>37146.07</v>
      </c>
      <c r="GU39" s="2212">
        <v>38593.03</v>
      </c>
      <c r="GV39" s="2212">
        <v>60665.88</v>
      </c>
      <c r="GW39" s="2212">
        <v>16162.76</v>
      </c>
      <c r="GX39" s="2212">
        <v>23397.88</v>
      </c>
      <c r="GY39" s="2212">
        <v>40010.33</v>
      </c>
      <c r="GZ39" s="2212">
        <v>24285.15</v>
      </c>
      <c r="HA39" s="2212">
        <v>65399.94</v>
      </c>
      <c r="HB39" s="2212">
        <v>23278.14</v>
      </c>
      <c r="HC39" s="2212">
        <v>34246.93</v>
      </c>
      <c r="HD39" s="2212">
        <v>25904.95</v>
      </c>
      <c r="HE39" s="2212">
        <v>35101.839999999997</v>
      </c>
      <c r="HF39" s="2212">
        <v>20700</v>
      </c>
      <c r="HG39" s="2212">
        <v>15844.8</v>
      </c>
      <c r="HH39" s="2212">
        <v>24066.54</v>
      </c>
      <c r="HI39" s="2212">
        <v>27409.07</v>
      </c>
      <c r="HJ39" s="2212">
        <v>22284.19</v>
      </c>
      <c r="HK39" s="2212">
        <v>22063.06</v>
      </c>
      <c r="HL39" s="2212">
        <v>48785.47</v>
      </c>
      <c r="HM39" s="2212">
        <v>46306.52</v>
      </c>
      <c r="HN39" s="2212">
        <v>24156.29</v>
      </c>
      <c r="HO39" s="2212">
        <v>38380.559999999998</v>
      </c>
      <c r="HP39" s="2212">
        <v>24066.54</v>
      </c>
      <c r="HQ39" s="2212">
        <v>57513.53</v>
      </c>
      <c r="HR39" s="2212">
        <v>49777.14</v>
      </c>
      <c r="HS39" s="2212">
        <v>24012.97</v>
      </c>
      <c r="HT39" s="2212">
        <v>21677.9</v>
      </c>
      <c r="HU39" s="2212">
        <v>60665.87</v>
      </c>
      <c r="HV39" s="2212">
        <v>26078.14</v>
      </c>
      <c r="HW39" s="2212">
        <v>23295.759999999998</v>
      </c>
      <c r="HX39" s="2212">
        <v>29896.15</v>
      </c>
      <c r="HY39" s="2212">
        <v>60665.94</v>
      </c>
      <c r="HZ39" s="2212">
        <v>54200.86</v>
      </c>
      <c r="IA39" s="2212">
        <v>22283.98</v>
      </c>
      <c r="IB39" s="2212">
        <v>24512.41</v>
      </c>
      <c r="IC39" s="2212">
        <v>34960.19</v>
      </c>
      <c r="ID39" s="2212">
        <v>15836.63</v>
      </c>
      <c r="IE39" s="2212">
        <v>65399.83</v>
      </c>
      <c r="IF39" s="2212">
        <v>53318.35</v>
      </c>
      <c r="IG39" s="2212">
        <v>53661.49</v>
      </c>
      <c r="IH39" s="2212">
        <v>37591.699999999997</v>
      </c>
      <c r="II39" s="2212">
        <v>23175</v>
      </c>
      <c r="IJ39" s="2212">
        <v>26190.65</v>
      </c>
      <c r="IK39" s="2212">
        <v>24140.77</v>
      </c>
      <c r="IL39" s="2212">
        <v>24512.5</v>
      </c>
      <c r="IM39" s="2212">
        <v>25533.119999999999</v>
      </c>
      <c r="IN39" s="2212">
        <v>54742.76</v>
      </c>
      <c r="IO39" s="2212">
        <v>47190.48</v>
      </c>
      <c r="IP39" s="2212">
        <v>20382.759999999998</v>
      </c>
      <c r="IQ39" s="2212">
        <v>33961.480000000003</v>
      </c>
      <c r="IR39" s="2212">
        <v>37889.089999999997</v>
      </c>
      <c r="IS39" s="2212">
        <v>24156.22</v>
      </c>
      <c r="IT39" s="2212">
        <v>22283.87</v>
      </c>
      <c r="IU39" s="2911">
        <v>23932.33</v>
      </c>
      <c r="IV39" s="2911">
        <v>24585.82</v>
      </c>
      <c r="IW39" s="2911">
        <v>26648.02</v>
      </c>
      <c r="IX39" s="2911">
        <v>27921.360000000001</v>
      </c>
      <c r="IY39" s="2207"/>
      <c r="IZ39" s="2215">
        <f t="shared" si="6"/>
        <v>30</v>
      </c>
    </row>
    <row r="40" spans="1:260">
      <c r="A40" s="2214">
        <v>31</v>
      </c>
      <c r="B40" s="2212">
        <v>67575.87</v>
      </c>
      <c r="C40" s="2927">
        <v>64956.56</v>
      </c>
      <c r="D40" s="2927">
        <v>59255.11</v>
      </c>
      <c r="E40" s="2212">
        <v>52466.82</v>
      </c>
      <c r="F40" s="2927">
        <v>52438.09</v>
      </c>
      <c r="G40" s="2212">
        <v>51029.45</v>
      </c>
      <c r="H40" s="2927">
        <v>49141</v>
      </c>
      <c r="I40" s="2212">
        <v>46588.73</v>
      </c>
      <c r="J40" s="2212">
        <v>51029.599999999999</v>
      </c>
      <c r="K40" s="2212">
        <v>48141.01</v>
      </c>
      <c r="L40" s="2927">
        <v>44951.59</v>
      </c>
      <c r="M40" s="2212">
        <v>44422.61</v>
      </c>
      <c r="N40" s="2927">
        <v>40663.03</v>
      </c>
      <c r="O40" s="2212">
        <v>39702.74</v>
      </c>
      <c r="P40" s="2927">
        <v>36448.949999999997</v>
      </c>
      <c r="Q40" s="2927">
        <v>30747.41</v>
      </c>
      <c r="R40" s="2212">
        <v>35448.949999999997</v>
      </c>
      <c r="S40" s="2212">
        <v>35448.949999999997</v>
      </c>
      <c r="T40" s="2212">
        <v>34457.300000000003</v>
      </c>
      <c r="U40" s="2212">
        <v>34457.300000000003</v>
      </c>
      <c r="V40" s="2212">
        <v>34457.300000000003</v>
      </c>
      <c r="W40" s="2212">
        <v>34457.300000000003</v>
      </c>
      <c r="X40" s="2212">
        <v>32474.23</v>
      </c>
      <c r="Y40" s="2927">
        <v>37018.620000000003</v>
      </c>
      <c r="Z40" s="2923">
        <v>35116</v>
      </c>
      <c r="AA40" s="2930">
        <v>35116</v>
      </c>
      <c r="AB40" s="2927">
        <v>36018.620000000003</v>
      </c>
      <c r="AC40" s="2212">
        <v>32127.200000000001</v>
      </c>
      <c r="AD40" s="2923">
        <v>34124</v>
      </c>
      <c r="AE40" s="2929">
        <v>34667.51</v>
      </c>
      <c r="AF40" s="2927">
        <v>31887.69</v>
      </c>
      <c r="AG40" s="2927">
        <v>31887.69</v>
      </c>
      <c r="AH40" s="2927">
        <v>33775.919999999998</v>
      </c>
      <c r="AI40" s="2927">
        <v>31069.54</v>
      </c>
      <c r="AJ40" s="2927">
        <v>28764.25</v>
      </c>
      <c r="AK40" s="2927">
        <v>23285.77</v>
      </c>
      <c r="AL40" s="2927">
        <v>21203.47</v>
      </c>
      <c r="AM40" s="2927">
        <v>20087.98</v>
      </c>
      <c r="AN40" s="2212">
        <v>22285.77</v>
      </c>
      <c r="AO40" s="2212">
        <v>20203.47</v>
      </c>
      <c r="AP40" s="2212">
        <v>19087.98</v>
      </c>
      <c r="AQ40" s="2923">
        <v>29159</v>
      </c>
      <c r="AR40" s="2923">
        <v>27459</v>
      </c>
      <c r="AS40" s="2929">
        <v>25541.58</v>
      </c>
      <c r="AT40" s="2927">
        <v>24797.94</v>
      </c>
      <c r="AU40" s="2928">
        <v>23285.82</v>
      </c>
      <c r="AV40" s="2212">
        <v>22423.77</v>
      </c>
      <c r="AW40" s="2212">
        <v>19659.32</v>
      </c>
      <c r="AX40" s="2212">
        <v>23371.47</v>
      </c>
      <c r="AY40" s="2212">
        <v>24789.439999999999</v>
      </c>
      <c r="AZ40" s="2212">
        <v>23802.89</v>
      </c>
      <c r="BA40" s="2212">
        <v>24789.42</v>
      </c>
      <c r="BB40" s="2212">
        <v>23797.86</v>
      </c>
      <c r="BC40" s="2212">
        <v>24759.1</v>
      </c>
      <c r="BD40" s="2212">
        <v>25533.119999999999</v>
      </c>
      <c r="BE40" s="2212">
        <v>24606.06</v>
      </c>
      <c r="BF40" s="2212">
        <v>26028.95</v>
      </c>
      <c r="BG40" s="2212">
        <v>19010.2</v>
      </c>
      <c r="BH40" s="2212">
        <v>29300</v>
      </c>
      <c r="BI40" s="2212">
        <v>28780.55</v>
      </c>
      <c r="BJ40" s="2212">
        <v>16476.650000000001</v>
      </c>
      <c r="BK40" s="2212">
        <v>16476.650000000001</v>
      </c>
      <c r="BL40" s="2212">
        <v>35150</v>
      </c>
      <c r="BM40" s="2212">
        <v>33887.269999999997</v>
      </c>
      <c r="BN40" s="2212">
        <v>33961.480000000003</v>
      </c>
      <c r="BO40" s="2212">
        <v>33521.82</v>
      </c>
      <c r="BP40" s="2212">
        <v>42055.29</v>
      </c>
      <c r="BQ40" s="2212">
        <v>27764.21</v>
      </c>
      <c r="BR40" s="2212">
        <v>45052.33</v>
      </c>
      <c r="BS40" s="2212">
        <v>38979.11</v>
      </c>
      <c r="BT40" s="2212">
        <v>32700</v>
      </c>
      <c r="BU40" s="2212">
        <v>37407.22</v>
      </c>
      <c r="BV40" s="2212">
        <v>48049.47</v>
      </c>
      <c r="BW40" s="2212">
        <v>51203.97</v>
      </c>
      <c r="BX40" s="2212">
        <v>36455.410000000003</v>
      </c>
      <c r="BY40" s="2212">
        <v>20382.759999999998</v>
      </c>
      <c r="BZ40" s="2212">
        <v>53661.440000000002</v>
      </c>
      <c r="CA40" s="2212">
        <v>24235.82</v>
      </c>
      <c r="CB40" s="2212">
        <v>24379.03</v>
      </c>
      <c r="CC40" s="2212">
        <v>24012.99</v>
      </c>
      <c r="CD40" s="2212">
        <v>30119.22</v>
      </c>
      <c r="CE40" s="2212">
        <v>32845.81</v>
      </c>
      <c r="CF40" s="2212">
        <v>39539.129999999997</v>
      </c>
      <c r="CG40" s="2212">
        <v>29747.23</v>
      </c>
      <c r="CH40" s="2927">
        <v>31263.01</v>
      </c>
      <c r="CI40" s="2927">
        <v>24285.77</v>
      </c>
      <c r="CJ40" s="2212">
        <v>22781.49</v>
      </c>
      <c r="CK40" s="2212">
        <v>21145.38</v>
      </c>
      <c r="CL40" s="2212">
        <v>23982.69</v>
      </c>
      <c r="CM40" s="2212">
        <v>21950</v>
      </c>
      <c r="CN40" s="2212">
        <v>25493.52</v>
      </c>
      <c r="CO40" s="2212">
        <v>17997.2</v>
      </c>
      <c r="CP40" s="2212">
        <v>18300</v>
      </c>
      <c r="CQ40" s="2212">
        <v>22902.959999999999</v>
      </c>
      <c r="CR40" s="2212">
        <v>23265.040000000001</v>
      </c>
      <c r="CS40" s="2212">
        <v>22284.04</v>
      </c>
      <c r="CT40" s="2212">
        <v>15617.5</v>
      </c>
      <c r="CU40" s="2212">
        <v>22756.69</v>
      </c>
      <c r="CV40" s="2212">
        <v>18740.89</v>
      </c>
      <c r="CW40" s="2212">
        <v>23264.99</v>
      </c>
      <c r="CX40" s="2212">
        <v>26550</v>
      </c>
      <c r="CY40" s="2212">
        <v>14513.31</v>
      </c>
      <c r="CZ40" s="2212">
        <v>19600</v>
      </c>
      <c r="DA40" s="2212">
        <v>29251.57</v>
      </c>
      <c r="DB40" s="2212">
        <v>26527.8</v>
      </c>
      <c r="DC40" s="2212">
        <v>23743.69</v>
      </c>
      <c r="DD40" s="2212">
        <v>18649.73</v>
      </c>
      <c r="DE40" s="2212">
        <v>26276.799999999999</v>
      </c>
      <c r="DF40" s="2212">
        <v>23743.78</v>
      </c>
      <c r="DG40" s="2212">
        <v>27020.48</v>
      </c>
      <c r="DH40" s="2212">
        <v>19732.47</v>
      </c>
      <c r="DI40" s="2212">
        <v>33589.65</v>
      </c>
      <c r="DJ40" s="2212">
        <v>18719.400000000001</v>
      </c>
      <c r="DK40" s="2212">
        <v>24764.720000000001</v>
      </c>
      <c r="DL40" s="2212">
        <v>38293.31</v>
      </c>
      <c r="DM40" s="2212">
        <v>37432.089999999997</v>
      </c>
      <c r="DN40" s="2212">
        <v>22283.79</v>
      </c>
      <c r="DO40" s="2212">
        <v>23730.07</v>
      </c>
      <c r="DP40" s="2212">
        <v>16729.849999999999</v>
      </c>
      <c r="DQ40" s="2212">
        <v>42055.29</v>
      </c>
      <c r="DR40" s="2212">
        <v>24194.49</v>
      </c>
      <c r="DS40" s="2212">
        <v>22284.080000000002</v>
      </c>
      <c r="DT40" s="2212">
        <v>28631.34</v>
      </c>
      <c r="DU40" s="2212">
        <v>26980.880000000001</v>
      </c>
      <c r="DV40" s="2212">
        <v>37432.04</v>
      </c>
      <c r="DW40" s="2212">
        <v>20382.75</v>
      </c>
      <c r="DX40" s="2212">
        <v>23264.74</v>
      </c>
      <c r="DY40" s="2212">
        <v>41398.32</v>
      </c>
      <c r="DZ40" s="2212">
        <v>38299.589999999997</v>
      </c>
      <c r="EA40" s="2212">
        <v>29150</v>
      </c>
      <c r="EB40" s="2212">
        <v>22742.560000000001</v>
      </c>
      <c r="EC40" s="2212">
        <v>23743.51</v>
      </c>
      <c r="ED40" s="2212">
        <v>26980.880000000001</v>
      </c>
      <c r="EE40" s="2212">
        <v>31846.67</v>
      </c>
      <c r="EF40" s="2212">
        <v>54200.7</v>
      </c>
      <c r="EG40" s="2212">
        <v>45052.35</v>
      </c>
      <c r="EH40" s="2212">
        <v>53661.49</v>
      </c>
      <c r="EI40" s="2212">
        <v>26326.45</v>
      </c>
      <c r="EJ40" s="2212">
        <v>33521.68</v>
      </c>
      <c r="EK40" s="2212">
        <v>23350</v>
      </c>
      <c r="EL40" s="2212">
        <v>35922.51</v>
      </c>
      <c r="EM40" s="2212">
        <v>35158.97</v>
      </c>
      <c r="EN40" s="2212">
        <v>18662.3</v>
      </c>
      <c r="EO40" s="2212">
        <v>23034.639999999999</v>
      </c>
      <c r="EP40" s="2212">
        <v>36455.53</v>
      </c>
      <c r="EQ40" s="2212">
        <v>47190.59</v>
      </c>
      <c r="ER40" s="2212">
        <v>26450</v>
      </c>
      <c r="ES40" s="2212">
        <v>22063.79</v>
      </c>
      <c r="ET40" s="2212">
        <v>33933.449999999997</v>
      </c>
      <c r="EU40" s="2212">
        <v>39539.14</v>
      </c>
      <c r="EV40" s="2212">
        <v>28609.360000000001</v>
      </c>
      <c r="EW40" s="2212">
        <v>57513.48</v>
      </c>
      <c r="EX40" s="2212">
        <v>37910.65</v>
      </c>
      <c r="EY40" s="2212">
        <v>24012.74</v>
      </c>
      <c r="EZ40" s="2212">
        <v>24012.880000000001</v>
      </c>
      <c r="FA40" s="2212">
        <v>18639.27</v>
      </c>
      <c r="FB40" s="2212">
        <v>38979.24</v>
      </c>
      <c r="FC40" s="2212">
        <v>48049.57</v>
      </c>
      <c r="FD40" s="2212">
        <v>47347.76</v>
      </c>
      <c r="FE40" s="2212">
        <v>33515.21</v>
      </c>
      <c r="FF40" s="2212">
        <v>39539.14</v>
      </c>
      <c r="FG40" s="2212">
        <v>35922.51</v>
      </c>
      <c r="FH40" s="2212">
        <v>15836.13</v>
      </c>
      <c r="FI40" s="2212">
        <v>25285.23</v>
      </c>
      <c r="FJ40" s="2212">
        <v>35101.81</v>
      </c>
      <c r="FK40" s="2212">
        <v>21677.9</v>
      </c>
      <c r="FL40" s="2212">
        <v>24379.09</v>
      </c>
      <c r="FM40" s="2212">
        <v>22908.52</v>
      </c>
      <c r="FN40" s="2212">
        <v>22741.98</v>
      </c>
      <c r="FO40" s="2212">
        <v>28012.04</v>
      </c>
      <c r="FP40" s="2212">
        <v>29785.69</v>
      </c>
      <c r="FQ40" s="2212">
        <v>24637.439999999999</v>
      </c>
      <c r="FR40" s="2212">
        <v>24408.61</v>
      </c>
      <c r="FS40" s="2212">
        <v>51684.03</v>
      </c>
      <c r="FT40" s="2212">
        <v>22729.29</v>
      </c>
      <c r="FU40" s="2212">
        <v>28607.01</v>
      </c>
      <c r="FV40" s="2212">
        <v>37910.81</v>
      </c>
      <c r="FW40" s="2212">
        <v>34247.1</v>
      </c>
      <c r="FX40" s="2212">
        <v>23483.53</v>
      </c>
      <c r="FY40" s="2212">
        <v>28817.74</v>
      </c>
      <c r="FZ40" s="2212">
        <v>49777.120000000003</v>
      </c>
      <c r="GA40" s="2212">
        <v>23032.12</v>
      </c>
      <c r="GB40" s="2212">
        <v>18273.62</v>
      </c>
      <c r="GC40" s="2212">
        <v>24013.01</v>
      </c>
      <c r="GD40" s="2212">
        <v>51809.84</v>
      </c>
      <c r="GE40" s="2212">
        <v>18877.150000000001</v>
      </c>
      <c r="GF40" s="2212">
        <v>44472.41</v>
      </c>
      <c r="GG40" s="2212">
        <v>51204.160000000003</v>
      </c>
      <c r="GH40" s="2212">
        <v>38299.74</v>
      </c>
      <c r="GI40" s="2212">
        <v>30937.15</v>
      </c>
      <c r="GJ40" s="2212">
        <v>23828.31</v>
      </c>
      <c r="GK40" s="2212">
        <v>39070.129999999997</v>
      </c>
      <c r="GL40" s="2212">
        <v>33502.44</v>
      </c>
      <c r="GM40" s="2212">
        <v>57513.53</v>
      </c>
      <c r="GN40" s="2212">
        <v>26004.12</v>
      </c>
      <c r="GO40" s="2212">
        <v>20228.240000000002</v>
      </c>
      <c r="GP40" s="2212">
        <v>24858.76</v>
      </c>
      <c r="GQ40" s="2212">
        <v>47190.62</v>
      </c>
      <c r="GR40" s="2212">
        <v>23254.560000000001</v>
      </c>
      <c r="GS40" s="2212">
        <v>23264.400000000001</v>
      </c>
      <c r="GT40" s="2212">
        <v>37146.07</v>
      </c>
      <c r="GU40" s="2212">
        <v>38593.03</v>
      </c>
      <c r="GV40" s="2212">
        <v>60665.88</v>
      </c>
      <c r="GW40" s="2212">
        <v>16162.76</v>
      </c>
      <c r="GX40" s="2212">
        <v>23397.88</v>
      </c>
      <c r="GY40" s="2212">
        <v>40010.33</v>
      </c>
      <c r="GZ40" s="2212">
        <v>24285.15</v>
      </c>
      <c r="HA40" s="2212">
        <v>65399.94</v>
      </c>
      <c r="HB40" s="2212">
        <v>23278.14</v>
      </c>
      <c r="HC40" s="2212">
        <v>34246.93</v>
      </c>
      <c r="HD40" s="2212">
        <v>25904.95</v>
      </c>
      <c r="HE40" s="2212">
        <v>35101.839999999997</v>
      </c>
      <c r="HF40" s="2212">
        <v>20700</v>
      </c>
      <c r="HG40" s="2212">
        <v>15844.8</v>
      </c>
      <c r="HH40" s="2212">
        <v>24066.54</v>
      </c>
      <c r="HI40" s="2212">
        <v>27409.07</v>
      </c>
      <c r="HJ40" s="2212">
        <v>22284.19</v>
      </c>
      <c r="HK40" s="2212">
        <v>22063.06</v>
      </c>
      <c r="HL40" s="2212">
        <v>48785.47</v>
      </c>
      <c r="HM40" s="2212">
        <v>46306.52</v>
      </c>
      <c r="HN40" s="2212">
        <v>24156.29</v>
      </c>
      <c r="HO40" s="2212">
        <v>38380.559999999998</v>
      </c>
      <c r="HP40" s="2212">
        <v>24066.54</v>
      </c>
      <c r="HQ40" s="2212">
        <v>57513.53</v>
      </c>
      <c r="HR40" s="2212">
        <v>49777.14</v>
      </c>
      <c r="HS40" s="2212">
        <v>24012.97</v>
      </c>
      <c r="HT40" s="2212">
        <v>21677.9</v>
      </c>
      <c r="HU40" s="2212">
        <v>60665.87</v>
      </c>
      <c r="HV40" s="2212">
        <v>26078.14</v>
      </c>
      <c r="HW40" s="2212">
        <v>23295.759999999998</v>
      </c>
      <c r="HX40" s="2212">
        <v>29896.15</v>
      </c>
      <c r="HY40" s="2212">
        <v>60665.94</v>
      </c>
      <c r="HZ40" s="2212">
        <v>54200.86</v>
      </c>
      <c r="IA40" s="2212">
        <v>22283.98</v>
      </c>
      <c r="IB40" s="2212">
        <v>24512.41</v>
      </c>
      <c r="IC40" s="2212">
        <v>34960.19</v>
      </c>
      <c r="ID40" s="2212">
        <v>15836.63</v>
      </c>
      <c r="IE40" s="2212">
        <v>65399.83</v>
      </c>
      <c r="IF40" s="2212">
        <v>53318.35</v>
      </c>
      <c r="IG40" s="2212">
        <v>53661.49</v>
      </c>
      <c r="IH40" s="2212">
        <v>37591.699999999997</v>
      </c>
      <c r="II40" s="2212">
        <v>23175</v>
      </c>
      <c r="IJ40" s="2212">
        <v>26190.65</v>
      </c>
      <c r="IK40" s="2212">
        <v>24140.77</v>
      </c>
      <c r="IL40" s="2212">
        <v>24512.5</v>
      </c>
      <c r="IM40" s="2212">
        <v>25533.119999999999</v>
      </c>
      <c r="IN40" s="2212">
        <v>54742.76</v>
      </c>
      <c r="IO40" s="2212">
        <v>47190.48</v>
      </c>
      <c r="IP40" s="2212">
        <v>20382.759999999998</v>
      </c>
      <c r="IQ40" s="2212">
        <v>33961.480000000003</v>
      </c>
      <c r="IR40" s="2212">
        <v>37889.089999999997</v>
      </c>
      <c r="IS40" s="2212">
        <v>24156.22</v>
      </c>
      <c r="IT40" s="2212">
        <v>22283.87</v>
      </c>
      <c r="IU40" s="2911">
        <v>23932.33</v>
      </c>
      <c r="IV40" s="2911">
        <v>24585.82</v>
      </c>
      <c r="IW40" s="2911">
        <v>26648.02</v>
      </c>
      <c r="IX40" s="2911">
        <v>27921.360000000001</v>
      </c>
      <c r="IY40" s="2207"/>
      <c r="IZ40" s="2215">
        <f t="shared" si="6"/>
        <v>31</v>
      </c>
    </row>
    <row r="41" spans="1:260">
      <c r="A41" s="2214">
        <v>32</v>
      </c>
      <c r="B41" s="2212">
        <v>67575.87</v>
      </c>
      <c r="C41" s="2927">
        <v>64956.56</v>
      </c>
      <c r="D41" s="2927">
        <v>59255.11</v>
      </c>
      <c r="E41" s="2212">
        <v>52466.82</v>
      </c>
      <c r="F41" s="2927">
        <v>52438.09</v>
      </c>
      <c r="G41" s="2212">
        <v>51029.45</v>
      </c>
      <c r="H41" s="2927">
        <v>49141</v>
      </c>
      <c r="I41" s="2212">
        <v>46588.73</v>
      </c>
      <c r="J41" s="2212">
        <v>51029.599999999999</v>
      </c>
      <c r="K41" s="2212">
        <v>48141.01</v>
      </c>
      <c r="L41" s="2927">
        <v>44951.59</v>
      </c>
      <c r="M41" s="2212">
        <v>44422.61</v>
      </c>
      <c r="N41" s="2927">
        <v>40663.03</v>
      </c>
      <c r="O41" s="2212">
        <v>39702.74</v>
      </c>
      <c r="P41" s="2927">
        <v>36448.949999999997</v>
      </c>
      <c r="Q41" s="2927">
        <v>30747.41</v>
      </c>
      <c r="R41" s="2212">
        <v>35448.949999999997</v>
      </c>
      <c r="S41" s="2212">
        <v>35448.949999999997</v>
      </c>
      <c r="T41" s="2212">
        <v>34457.300000000003</v>
      </c>
      <c r="U41" s="2212">
        <v>34457.300000000003</v>
      </c>
      <c r="V41" s="2212">
        <v>34457.300000000003</v>
      </c>
      <c r="W41" s="2212">
        <v>34457.300000000003</v>
      </c>
      <c r="X41" s="2212">
        <v>32474.23</v>
      </c>
      <c r="Y41" s="2927">
        <v>37018.620000000003</v>
      </c>
      <c r="Z41" s="2923">
        <v>35116</v>
      </c>
      <c r="AA41" s="2930">
        <v>35116</v>
      </c>
      <c r="AB41" s="2927">
        <v>36018.620000000003</v>
      </c>
      <c r="AC41" s="2212">
        <v>32127.200000000001</v>
      </c>
      <c r="AD41" s="2923">
        <v>34124</v>
      </c>
      <c r="AE41" s="2929">
        <v>34667.51</v>
      </c>
      <c r="AF41" s="2927">
        <v>31887.69</v>
      </c>
      <c r="AG41" s="2927">
        <v>31887.69</v>
      </c>
      <c r="AH41" s="2927">
        <v>33775.919999999998</v>
      </c>
      <c r="AI41" s="2927">
        <v>31069.54</v>
      </c>
      <c r="AJ41" s="2927">
        <v>28764.25</v>
      </c>
      <c r="AK41" s="2927">
        <v>23285.77</v>
      </c>
      <c r="AL41" s="2927">
        <v>21203.47</v>
      </c>
      <c r="AM41" s="2927">
        <v>20087.98</v>
      </c>
      <c r="AN41" s="2212">
        <v>22285.77</v>
      </c>
      <c r="AO41" s="2212">
        <v>20203.47</v>
      </c>
      <c r="AP41" s="2212">
        <v>19087.98</v>
      </c>
      <c r="AQ41" s="2923">
        <v>29159</v>
      </c>
      <c r="AR41" s="2923">
        <v>27459</v>
      </c>
      <c r="AS41" s="2929">
        <v>25541.58</v>
      </c>
      <c r="AT41" s="2927">
        <v>24797.94</v>
      </c>
      <c r="AU41" s="2928">
        <v>23285.82</v>
      </c>
      <c r="AV41" s="2212">
        <v>22423.77</v>
      </c>
      <c r="AW41" s="2212">
        <v>19659.32</v>
      </c>
      <c r="AX41" s="2212">
        <v>23371.47</v>
      </c>
      <c r="AY41" s="2212">
        <v>24789.439999999999</v>
      </c>
      <c r="AZ41" s="2212">
        <v>23802.89</v>
      </c>
      <c r="BA41" s="2212">
        <v>24789.42</v>
      </c>
      <c r="BB41" s="2212">
        <v>23797.86</v>
      </c>
      <c r="BC41" s="2212">
        <v>24759.1</v>
      </c>
      <c r="BD41" s="2212">
        <v>25533.119999999999</v>
      </c>
      <c r="BE41" s="2212">
        <v>24606.06</v>
      </c>
      <c r="BF41" s="2212">
        <v>26028.95</v>
      </c>
      <c r="BG41" s="2212">
        <v>19010.2</v>
      </c>
      <c r="BH41" s="2212">
        <v>29300</v>
      </c>
      <c r="BI41" s="2212">
        <v>28780.55</v>
      </c>
      <c r="BJ41" s="2212">
        <v>16476.650000000001</v>
      </c>
      <c r="BK41" s="2212">
        <v>16476.650000000001</v>
      </c>
      <c r="BL41" s="2212">
        <v>35150</v>
      </c>
      <c r="BM41" s="2212">
        <v>33887.269999999997</v>
      </c>
      <c r="BN41" s="2212">
        <v>33961.480000000003</v>
      </c>
      <c r="BO41" s="2212">
        <v>33521.82</v>
      </c>
      <c r="BP41" s="2212">
        <v>42055.29</v>
      </c>
      <c r="BQ41" s="2212">
        <v>27764.21</v>
      </c>
      <c r="BR41" s="2212">
        <v>45052.33</v>
      </c>
      <c r="BS41" s="2212">
        <v>38979.11</v>
      </c>
      <c r="BT41" s="2212">
        <v>32700</v>
      </c>
      <c r="BU41" s="2212">
        <v>37407.22</v>
      </c>
      <c r="BV41" s="2212">
        <v>48049.47</v>
      </c>
      <c r="BW41" s="2212">
        <v>51203.97</v>
      </c>
      <c r="BX41" s="2212">
        <v>36455.410000000003</v>
      </c>
      <c r="BY41" s="2212">
        <v>20382.759999999998</v>
      </c>
      <c r="BZ41" s="2212">
        <v>53661.440000000002</v>
      </c>
      <c r="CA41" s="2212">
        <v>24235.82</v>
      </c>
      <c r="CB41" s="2212">
        <v>24379.03</v>
      </c>
      <c r="CC41" s="2212">
        <v>24012.99</v>
      </c>
      <c r="CD41" s="2212">
        <v>30119.22</v>
      </c>
      <c r="CE41" s="2212">
        <v>32845.81</v>
      </c>
      <c r="CF41" s="2212">
        <v>39539.129999999997</v>
      </c>
      <c r="CG41" s="2212">
        <v>29747.23</v>
      </c>
      <c r="CH41" s="2927">
        <v>31263.01</v>
      </c>
      <c r="CI41" s="2927">
        <v>24285.77</v>
      </c>
      <c r="CJ41" s="2212">
        <v>22781.49</v>
      </c>
      <c r="CK41" s="2212">
        <v>21145.38</v>
      </c>
      <c r="CL41" s="2212">
        <v>23982.69</v>
      </c>
      <c r="CM41" s="2212">
        <v>21950</v>
      </c>
      <c r="CN41" s="2212">
        <v>25493.52</v>
      </c>
      <c r="CO41" s="2212">
        <v>17997.2</v>
      </c>
      <c r="CP41" s="2212">
        <v>18300</v>
      </c>
      <c r="CQ41" s="2212">
        <v>22902.959999999999</v>
      </c>
      <c r="CR41" s="2212">
        <v>23265.040000000001</v>
      </c>
      <c r="CS41" s="2212">
        <v>22284.04</v>
      </c>
      <c r="CT41" s="2212">
        <v>15617.5</v>
      </c>
      <c r="CU41" s="2212">
        <v>22756.69</v>
      </c>
      <c r="CV41" s="2212">
        <v>18740.89</v>
      </c>
      <c r="CW41" s="2212">
        <v>23264.99</v>
      </c>
      <c r="CX41" s="2212">
        <v>26550</v>
      </c>
      <c r="CY41" s="2212">
        <v>14513.31</v>
      </c>
      <c r="CZ41" s="2212">
        <v>19600</v>
      </c>
      <c r="DA41" s="2212">
        <v>29251.57</v>
      </c>
      <c r="DB41" s="2212">
        <v>26527.8</v>
      </c>
      <c r="DC41" s="2212">
        <v>23743.69</v>
      </c>
      <c r="DD41" s="2212">
        <v>18649.73</v>
      </c>
      <c r="DE41" s="2212">
        <v>26276.799999999999</v>
      </c>
      <c r="DF41" s="2212">
        <v>23743.78</v>
      </c>
      <c r="DG41" s="2212">
        <v>27020.48</v>
      </c>
      <c r="DH41" s="2212">
        <v>19732.47</v>
      </c>
      <c r="DI41" s="2212">
        <v>33589.65</v>
      </c>
      <c r="DJ41" s="2212">
        <v>18719.400000000001</v>
      </c>
      <c r="DK41" s="2212">
        <v>24764.720000000001</v>
      </c>
      <c r="DL41" s="2212">
        <v>38293.31</v>
      </c>
      <c r="DM41" s="2212">
        <v>37432.089999999997</v>
      </c>
      <c r="DN41" s="2212">
        <v>22283.79</v>
      </c>
      <c r="DO41" s="2212">
        <v>23730.07</v>
      </c>
      <c r="DP41" s="2212">
        <v>16729.849999999999</v>
      </c>
      <c r="DQ41" s="2212">
        <v>42055.29</v>
      </c>
      <c r="DR41" s="2212">
        <v>24194.49</v>
      </c>
      <c r="DS41" s="2212">
        <v>22284.080000000002</v>
      </c>
      <c r="DT41" s="2212">
        <v>28631.34</v>
      </c>
      <c r="DU41" s="2212">
        <v>26980.880000000001</v>
      </c>
      <c r="DV41" s="2212">
        <v>37432.04</v>
      </c>
      <c r="DW41" s="2212">
        <v>20382.75</v>
      </c>
      <c r="DX41" s="2212">
        <v>23264.74</v>
      </c>
      <c r="DY41" s="2212">
        <v>41398.32</v>
      </c>
      <c r="DZ41" s="2212">
        <v>38299.589999999997</v>
      </c>
      <c r="EA41" s="2212">
        <v>29150</v>
      </c>
      <c r="EB41" s="2212">
        <v>22742.560000000001</v>
      </c>
      <c r="EC41" s="2212">
        <v>23743.51</v>
      </c>
      <c r="ED41" s="2212">
        <v>26980.880000000001</v>
      </c>
      <c r="EE41" s="2212">
        <v>31846.67</v>
      </c>
      <c r="EF41" s="2212">
        <v>54200.7</v>
      </c>
      <c r="EG41" s="2212">
        <v>45052.35</v>
      </c>
      <c r="EH41" s="2212">
        <v>53661.49</v>
      </c>
      <c r="EI41" s="2212">
        <v>26326.45</v>
      </c>
      <c r="EJ41" s="2212">
        <v>33521.68</v>
      </c>
      <c r="EK41" s="2212">
        <v>23350</v>
      </c>
      <c r="EL41" s="2212">
        <v>35922.51</v>
      </c>
      <c r="EM41" s="2212">
        <v>35158.97</v>
      </c>
      <c r="EN41" s="2212">
        <v>18662.3</v>
      </c>
      <c r="EO41" s="2212">
        <v>23034.639999999999</v>
      </c>
      <c r="EP41" s="2212">
        <v>36455.53</v>
      </c>
      <c r="EQ41" s="2212">
        <v>47190.59</v>
      </c>
      <c r="ER41" s="2212">
        <v>26450</v>
      </c>
      <c r="ES41" s="2212">
        <v>22063.79</v>
      </c>
      <c r="ET41" s="2212">
        <v>33933.449999999997</v>
      </c>
      <c r="EU41" s="2212">
        <v>39539.14</v>
      </c>
      <c r="EV41" s="2212">
        <v>28609.360000000001</v>
      </c>
      <c r="EW41" s="2212">
        <v>57513.48</v>
      </c>
      <c r="EX41" s="2212">
        <v>37910.65</v>
      </c>
      <c r="EY41" s="2212">
        <v>24012.74</v>
      </c>
      <c r="EZ41" s="2212">
        <v>24012.880000000001</v>
      </c>
      <c r="FA41" s="2212">
        <v>18639.27</v>
      </c>
      <c r="FB41" s="2212">
        <v>38979.24</v>
      </c>
      <c r="FC41" s="2212">
        <v>48049.57</v>
      </c>
      <c r="FD41" s="2212">
        <v>47347.76</v>
      </c>
      <c r="FE41" s="2212">
        <v>33515.21</v>
      </c>
      <c r="FF41" s="2212">
        <v>39539.14</v>
      </c>
      <c r="FG41" s="2212">
        <v>35922.51</v>
      </c>
      <c r="FH41" s="2212">
        <v>15836.13</v>
      </c>
      <c r="FI41" s="2212">
        <v>25285.23</v>
      </c>
      <c r="FJ41" s="2212">
        <v>35101.81</v>
      </c>
      <c r="FK41" s="2212">
        <v>21677.9</v>
      </c>
      <c r="FL41" s="2212">
        <v>24379.09</v>
      </c>
      <c r="FM41" s="2212">
        <v>22908.52</v>
      </c>
      <c r="FN41" s="2212">
        <v>22741.98</v>
      </c>
      <c r="FO41" s="2212">
        <v>28012.04</v>
      </c>
      <c r="FP41" s="2212">
        <v>29785.69</v>
      </c>
      <c r="FQ41" s="2212">
        <v>24637.439999999999</v>
      </c>
      <c r="FR41" s="2212">
        <v>24408.61</v>
      </c>
      <c r="FS41" s="2212">
        <v>53049.33</v>
      </c>
      <c r="FT41" s="2212">
        <v>22729.29</v>
      </c>
      <c r="FU41" s="2212">
        <v>28607.01</v>
      </c>
      <c r="FV41" s="2212">
        <v>37910.81</v>
      </c>
      <c r="FW41" s="2212">
        <v>34247.1</v>
      </c>
      <c r="FX41" s="2212">
        <v>23483.53</v>
      </c>
      <c r="FY41" s="2212">
        <v>28817.74</v>
      </c>
      <c r="FZ41" s="2212">
        <v>49777.120000000003</v>
      </c>
      <c r="GA41" s="2212">
        <v>23032.12</v>
      </c>
      <c r="GB41" s="2212">
        <v>18273.62</v>
      </c>
      <c r="GC41" s="2212">
        <v>24013.01</v>
      </c>
      <c r="GD41" s="2212">
        <v>51809.84</v>
      </c>
      <c r="GE41" s="2212">
        <v>18877.150000000001</v>
      </c>
      <c r="GF41" s="2212">
        <v>44472.41</v>
      </c>
      <c r="GG41" s="2212">
        <v>51204.160000000003</v>
      </c>
      <c r="GH41" s="2212">
        <v>38299.74</v>
      </c>
      <c r="GI41" s="2212">
        <v>30937.15</v>
      </c>
      <c r="GJ41" s="2212">
        <v>23828.31</v>
      </c>
      <c r="GK41" s="2212">
        <v>39070.129999999997</v>
      </c>
      <c r="GL41" s="2212">
        <v>33502.44</v>
      </c>
      <c r="GM41" s="2212">
        <v>57513.53</v>
      </c>
      <c r="GN41" s="2212">
        <v>26004.12</v>
      </c>
      <c r="GO41" s="2212">
        <v>20228.240000000002</v>
      </c>
      <c r="GP41" s="2212">
        <v>24858.76</v>
      </c>
      <c r="GQ41" s="2212">
        <v>47190.62</v>
      </c>
      <c r="GR41" s="2212">
        <v>23254.560000000001</v>
      </c>
      <c r="GS41" s="2212">
        <v>23264.400000000001</v>
      </c>
      <c r="GT41" s="2212">
        <v>37146.07</v>
      </c>
      <c r="GU41" s="2212">
        <v>38593.03</v>
      </c>
      <c r="GV41" s="2212">
        <v>60665.88</v>
      </c>
      <c r="GW41" s="2212">
        <v>16162.76</v>
      </c>
      <c r="GX41" s="2212">
        <v>23397.88</v>
      </c>
      <c r="GY41" s="2212">
        <v>40010.33</v>
      </c>
      <c r="GZ41" s="2212">
        <v>24285.15</v>
      </c>
      <c r="HA41" s="2212">
        <v>65399.94</v>
      </c>
      <c r="HB41" s="2212">
        <v>23278.14</v>
      </c>
      <c r="HC41" s="2212">
        <v>34246.93</v>
      </c>
      <c r="HD41" s="2212">
        <v>25904.95</v>
      </c>
      <c r="HE41" s="2212">
        <v>35101.839999999997</v>
      </c>
      <c r="HF41" s="2212">
        <v>20700</v>
      </c>
      <c r="HG41" s="2212">
        <v>15844.8</v>
      </c>
      <c r="HH41" s="2212">
        <v>24066.54</v>
      </c>
      <c r="HI41" s="2212">
        <v>27409.07</v>
      </c>
      <c r="HJ41" s="2212">
        <v>22284.19</v>
      </c>
      <c r="HK41" s="2212">
        <v>22063.06</v>
      </c>
      <c r="HL41" s="2212">
        <v>48785.47</v>
      </c>
      <c r="HM41" s="2212">
        <v>46306.52</v>
      </c>
      <c r="HN41" s="2212">
        <v>24156.29</v>
      </c>
      <c r="HO41" s="2212">
        <v>38380.559999999998</v>
      </c>
      <c r="HP41" s="2212">
        <v>24066.54</v>
      </c>
      <c r="HQ41" s="2212">
        <v>57513.53</v>
      </c>
      <c r="HR41" s="2212">
        <v>49777.14</v>
      </c>
      <c r="HS41" s="2212">
        <v>24012.97</v>
      </c>
      <c r="HT41" s="2212">
        <v>21677.9</v>
      </c>
      <c r="HU41" s="2212">
        <v>60665.87</v>
      </c>
      <c r="HV41" s="2212">
        <v>26078.14</v>
      </c>
      <c r="HW41" s="2212">
        <v>23295.759999999998</v>
      </c>
      <c r="HX41" s="2212">
        <v>29896.15</v>
      </c>
      <c r="HY41" s="2212">
        <v>60665.94</v>
      </c>
      <c r="HZ41" s="2212">
        <v>54200.86</v>
      </c>
      <c r="IA41" s="2212">
        <v>22283.98</v>
      </c>
      <c r="IB41" s="2212">
        <v>24512.41</v>
      </c>
      <c r="IC41" s="2212">
        <v>34960.19</v>
      </c>
      <c r="ID41" s="2212">
        <v>15836.63</v>
      </c>
      <c r="IE41" s="2212">
        <v>65399.83</v>
      </c>
      <c r="IF41" s="2212">
        <v>53318.35</v>
      </c>
      <c r="IG41" s="2212">
        <v>53661.49</v>
      </c>
      <c r="IH41" s="2212">
        <v>37591.699999999997</v>
      </c>
      <c r="II41" s="2212">
        <v>23175</v>
      </c>
      <c r="IJ41" s="2212">
        <v>26190.65</v>
      </c>
      <c r="IK41" s="2212">
        <v>24140.77</v>
      </c>
      <c r="IL41" s="2212">
        <v>24512.5</v>
      </c>
      <c r="IM41" s="2212">
        <v>25533.119999999999</v>
      </c>
      <c r="IN41" s="2212">
        <v>54742.76</v>
      </c>
      <c r="IO41" s="2212">
        <v>47190.48</v>
      </c>
      <c r="IP41" s="2212">
        <v>20382.759999999998</v>
      </c>
      <c r="IQ41" s="2212">
        <v>33961.480000000003</v>
      </c>
      <c r="IR41" s="2212">
        <v>37889.089999999997</v>
      </c>
      <c r="IS41" s="2212">
        <v>24156.22</v>
      </c>
      <c r="IT41" s="2212">
        <v>22283.87</v>
      </c>
      <c r="IU41" s="2911">
        <v>23932.33</v>
      </c>
      <c r="IV41" s="2911">
        <v>24585.82</v>
      </c>
      <c r="IW41" s="2911">
        <v>26648.02</v>
      </c>
      <c r="IX41" s="2911">
        <v>27921.360000000001</v>
      </c>
      <c r="IY41" s="2207"/>
      <c r="IZ41" s="2215">
        <f t="shared" si="6"/>
        <v>32</v>
      </c>
    </row>
    <row r="42" spans="1:260">
      <c r="A42" s="2214">
        <v>33</v>
      </c>
      <c r="B42" s="2212">
        <v>67575.87</v>
      </c>
      <c r="C42" s="2927">
        <v>64956.56</v>
      </c>
      <c r="D42" s="2927">
        <v>59255.11</v>
      </c>
      <c r="E42" s="2212">
        <v>52466.82</v>
      </c>
      <c r="F42" s="2927">
        <v>52438.09</v>
      </c>
      <c r="G42" s="2212">
        <v>51029.45</v>
      </c>
      <c r="H42" s="2927">
        <v>49141</v>
      </c>
      <c r="I42" s="2212">
        <v>46588.73</v>
      </c>
      <c r="J42" s="2212">
        <v>51029.599999999999</v>
      </c>
      <c r="K42" s="2212">
        <v>48141.01</v>
      </c>
      <c r="L42" s="2927">
        <v>44951.59</v>
      </c>
      <c r="M42" s="2212">
        <v>44422.61</v>
      </c>
      <c r="N42" s="2927">
        <v>40663.03</v>
      </c>
      <c r="O42" s="2212">
        <v>39702.74</v>
      </c>
      <c r="P42" s="2927">
        <v>36448.949999999997</v>
      </c>
      <c r="Q42" s="2927">
        <v>30747.41</v>
      </c>
      <c r="R42" s="2212">
        <v>35448.949999999997</v>
      </c>
      <c r="S42" s="2212">
        <v>35448.949999999997</v>
      </c>
      <c r="T42" s="2212">
        <v>34457.300000000003</v>
      </c>
      <c r="U42" s="2212">
        <v>34457.300000000003</v>
      </c>
      <c r="V42" s="2212">
        <v>34457.300000000003</v>
      </c>
      <c r="W42" s="2212">
        <v>34457.300000000003</v>
      </c>
      <c r="X42" s="2212">
        <v>32474.23</v>
      </c>
      <c r="Y42" s="2927">
        <v>37018.620000000003</v>
      </c>
      <c r="Z42" s="2923">
        <v>35116</v>
      </c>
      <c r="AA42" s="2930">
        <v>35116</v>
      </c>
      <c r="AB42" s="2927">
        <v>36018.620000000003</v>
      </c>
      <c r="AC42" s="2212">
        <v>32127.200000000001</v>
      </c>
      <c r="AD42" s="2923">
        <v>34124</v>
      </c>
      <c r="AE42" s="2929">
        <v>34667.51</v>
      </c>
      <c r="AF42" s="2927">
        <v>31887.69</v>
      </c>
      <c r="AG42" s="2927">
        <v>31887.69</v>
      </c>
      <c r="AH42" s="2927">
        <v>33775.919999999998</v>
      </c>
      <c r="AI42" s="2927">
        <v>31069.54</v>
      </c>
      <c r="AJ42" s="2927">
        <v>28764.25</v>
      </c>
      <c r="AK42" s="2927">
        <v>23285.77</v>
      </c>
      <c r="AL42" s="2927">
        <v>21203.47</v>
      </c>
      <c r="AM42" s="2927">
        <v>20087.98</v>
      </c>
      <c r="AN42" s="2212">
        <v>22285.77</v>
      </c>
      <c r="AO42" s="2212">
        <v>20203.47</v>
      </c>
      <c r="AP42" s="2212">
        <v>19087.98</v>
      </c>
      <c r="AQ42" s="2923">
        <v>29159</v>
      </c>
      <c r="AR42" s="2923">
        <v>27459</v>
      </c>
      <c r="AS42" s="2929">
        <v>25541.58</v>
      </c>
      <c r="AT42" s="2927">
        <v>24797.94</v>
      </c>
      <c r="AU42" s="2928">
        <v>23285.82</v>
      </c>
      <c r="AV42" s="2212">
        <v>22423.77</v>
      </c>
      <c r="AW42" s="2212">
        <v>19659.32</v>
      </c>
      <c r="AX42" s="2212">
        <v>23371.47</v>
      </c>
      <c r="AY42" s="2212">
        <v>24789.439999999999</v>
      </c>
      <c r="AZ42" s="2212">
        <v>23802.89</v>
      </c>
      <c r="BA42" s="2212">
        <v>24789.42</v>
      </c>
      <c r="BB42" s="2212">
        <v>23797.86</v>
      </c>
      <c r="BC42" s="2212">
        <v>24759.1</v>
      </c>
      <c r="BD42" s="2212">
        <v>25533.119999999999</v>
      </c>
      <c r="BE42" s="2212">
        <v>24606.06</v>
      </c>
      <c r="BF42" s="2212">
        <v>26028.95</v>
      </c>
      <c r="BG42" s="2212">
        <v>19010.2</v>
      </c>
      <c r="BH42" s="2212">
        <v>29300</v>
      </c>
      <c r="BI42" s="2212">
        <v>28780.55</v>
      </c>
      <c r="BJ42" s="2212">
        <v>16476.650000000001</v>
      </c>
      <c r="BK42" s="2212">
        <v>16476.650000000001</v>
      </c>
      <c r="BL42" s="2212">
        <v>35150</v>
      </c>
      <c r="BM42" s="2212">
        <v>33887.269999999997</v>
      </c>
      <c r="BN42" s="2212">
        <v>33961.480000000003</v>
      </c>
      <c r="BO42" s="2212">
        <v>33521.82</v>
      </c>
      <c r="BP42" s="2212">
        <v>42055.29</v>
      </c>
      <c r="BQ42" s="2212">
        <v>27764.21</v>
      </c>
      <c r="BR42" s="2212">
        <v>45052.33</v>
      </c>
      <c r="BS42" s="2212">
        <v>38979.11</v>
      </c>
      <c r="BT42" s="2212">
        <v>32700</v>
      </c>
      <c r="BU42" s="2212">
        <v>37407.22</v>
      </c>
      <c r="BV42" s="2212">
        <v>48049.47</v>
      </c>
      <c r="BW42" s="2212">
        <v>51203.97</v>
      </c>
      <c r="BX42" s="2212">
        <v>36455.410000000003</v>
      </c>
      <c r="BY42" s="2212">
        <v>20382.759999999998</v>
      </c>
      <c r="BZ42" s="2212">
        <v>53661.440000000002</v>
      </c>
      <c r="CA42" s="2212">
        <v>24235.82</v>
      </c>
      <c r="CB42" s="2212">
        <v>24379.03</v>
      </c>
      <c r="CC42" s="2212">
        <v>24012.99</v>
      </c>
      <c r="CD42" s="2212">
        <v>30119.22</v>
      </c>
      <c r="CE42" s="2212">
        <v>32845.81</v>
      </c>
      <c r="CF42" s="2212">
        <v>39539.129999999997</v>
      </c>
      <c r="CG42" s="2212">
        <v>29747.23</v>
      </c>
      <c r="CH42" s="2927">
        <v>31263.01</v>
      </c>
      <c r="CI42" s="2927">
        <v>24285.77</v>
      </c>
      <c r="CJ42" s="2212">
        <v>22781.49</v>
      </c>
      <c r="CK42" s="2212">
        <v>21145.38</v>
      </c>
      <c r="CL42" s="2212">
        <v>23982.69</v>
      </c>
      <c r="CM42" s="2212">
        <v>21950</v>
      </c>
      <c r="CN42" s="2212">
        <v>25493.52</v>
      </c>
      <c r="CO42" s="2212">
        <v>17997.2</v>
      </c>
      <c r="CP42" s="2212">
        <v>18300</v>
      </c>
      <c r="CQ42" s="2212">
        <v>22902.959999999999</v>
      </c>
      <c r="CR42" s="2212">
        <v>23265.040000000001</v>
      </c>
      <c r="CS42" s="2212">
        <v>22284.04</v>
      </c>
      <c r="CT42" s="2212">
        <v>15617.5</v>
      </c>
      <c r="CU42" s="2212">
        <v>22756.69</v>
      </c>
      <c r="CV42" s="2212">
        <v>18740.89</v>
      </c>
      <c r="CW42" s="2212">
        <v>23264.99</v>
      </c>
      <c r="CX42" s="2212">
        <v>26550</v>
      </c>
      <c r="CY42" s="2212">
        <v>14513.31</v>
      </c>
      <c r="CZ42" s="2212">
        <v>19600</v>
      </c>
      <c r="DA42" s="2212">
        <v>29251.57</v>
      </c>
      <c r="DB42" s="2212">
        <v>26527.8</v>
      </c>
      <c r="DC42" s="2212">
        <v>23743.69</v>
      </c>
      <c r="DD42" s="2212">
        <v>18649.73</v>
      </c>
      <c r="DE42" s="2212">
        <v>26276.799999999999</v>
      </c>
      <c r="DF42" s="2212">
        <v>23743.78</v>
      </c>
      <c r="DG42" s="2212">
        <v>27020.48</v>
      </c>
      <c r="DH42" s="2212">
        <v>19732.47</v>
      </c>
      <c r="DI42" s="2212">
        <v>33589.65</v>
      </c>
      <c r="DJ42" s="2212">
        <v>18719.400000000001</v>
      </c>
      <c r="DK42" s="2212">
        <v>24764.720000000001</v>
      </c>
      <c r="DL42" s="2212">
        <v>38293.31</v>
      </c>
      <c r="DM42" s="2212">
        <v>37432.089999999997</v>
      </c>
      <c r="DN42" s="2212">
        <v>22283.79</v>
      </c>
      <c r="DO42" s="2212">
        <v>23730.07</v>
      </c>
      <c r="DP42" s="2212">
        <v>16729.849999999999</v>
      </c>
      <c r="DQ42" s="2212">
        <v>42055.29</v>
      </c>
      <c r="DR42" s="2212">
        <v>24194.49</v>
      </c>
      <c r="DS42" s="2212">
        <v>22284.080000000002</v>
      </c>
      <c r="DT42" s="2212">
        <v>28631.34</v>
      </c>
      <c r="DU42" s="2212">
        <v>26980.880000000001</v>
      </c>
      <c r="DV42" s="2212">
        <v>37432.04</v>
      </c>
      <c r="DW42" s="2212">
        <v>20382.75</v>
      </c>
      <c r="DX42" s="2212">
        <v>23264.74</v>
      </c>
      <c r="DY42" s="2212">
        <v>41398.32</v>
      </c>
      <c r="DZ42" s="2212">
        <v>38299.589999999997</v>
      </c>
      <c r="EA42" s="2212">
        <v>29150</v>
      </c>
      <c r="EB42" s="2212">
        <v>22742.560000000001</v>
      </c>
      <c r="EC42" s="2212">
        <v>23743.51</v>
      </c>
      <c r="ED42" s="2212">
        <v>26980.880000000001</v>
      </c>
      <c r="EE42" s="2212">
        <v>31846.67</v>
      </c>
      <c r="EF42" s="2212">
        <v>54200.7</v>
      </c>
      <c r="EG42" s="2212">
        <v>45052.35</v>
      </c>
      <c r="EH42" s="2212">
        <v>53661.49</v>
      </c>
      <c r="EI42" s="2212">
        <v>26326.45</v>
      </c>
      <c r="EJ42" s="2212">
        <v>33521.68</v>
      </c>
      <c r="EK42" s="2212">
        <v>23350</v>
      </c>
      <c r="EL42" s="2212">
        <v>35922.51</v>
      </c>
      <c r="EM42" s="2212">
        <v>35158.97</v>
      </c>
      <c r="EN42" s="2212">
        <v>18662.3</v>
      </c>
      <c r="EO42" s="2212">
        <v>23034.639999999999</v>
      </c>
      <c r="EP42" s="2212">
        <v>36455.53</v>
      </c>
      <c r="EQ42" s="2212">
        <v>47190.59</v>
      </c>
      <c r="ER42" s="2212">
        <v>26450</v>
      </c>
      <c r="ES42" s="2212">
        <v>22063.79</v>
      </c>
      <c r="ET42" s="2212">
        <v>33933.449999999997</v>
      </c>
      <c r="EU42" s="2212">
        <v>39539.14</v>
      </c>
      <c r="EV42" s="2212">
        <v>28609.360000000001</v>
      </c>
      <c r="EW42" s="2212">
        <v>57513.48</v>
      </c>
      <c r="EX42" s="2212">
        <v>37910.65</v>
      </c>
      <c r="EY42" s="2212">
        <v>24012.74</v>
      </c>
      <c r="EZ42" s="2212">
        <v>24012.880000000001</v>
      </c>
      <c r="FA42" s="2212">
        <v>18639.27</v>
      </c>
      <c r="FB42" s="2212">
        <v>38979.24</v>
      </c>
      <c r="FC42" s="2212">
        <v>48049.57</v>
      </c>
      <c r="FD42" s="2212">
        <v>47347.76</v>
      </c>
      <c r="FE42" s="2212">
        <v>33515.21</v>
      </c>
      <c r="FF42" s="2212">
        <v>39539.14</v>
      </c>
      <c r="FG42" s="2212">
        <v>35922.51</v>
      </c>
      <c r="FH42" s="2212">
        <v>15836.13</v>
      </c>
      <c r="FI42" s="2212">
        <v>25285.23</v>
      </c>
      <c r="FJ42" s="2212">
        <v>35101.81</v>
      </c>
      <c r="FK42" s="2212">
        <v>21677.9</v>
      </c>
      <c r="FL42" s="2212">
        <v>24379.09</v>
      </c>
      <c r="FM42" s="2212">
        <v>22908.52</v>
      </c>
      <c r="FN42" s="2212">
        <v>22741.98</v>
      </c>
      <c r="FO42" s="2212">
        <v>28012.04</v>
      </c>
      <c r="FP42" s="2212">
        <v>29785.69</v>
      </c>
      <c r="FQ42" s="2212">
        <v>24637.439999999999</v>
      </c>
      <c r="FR42" s="2212">
        <v>24408.61</v>
      </c>
      <c r="FS42" s="2212">
        <v>53049.33</v>
      </c>
      <c r="FT42" s="2212">
        <v>22729.29</v>
      </c>
      <c r="FU42" s="2212">
        <v>28607.01</v>
      </c>
      <c r="FV42" s="2212">
        <v>37910.81</v>
      </c>
      <c r="FW42" s="2212">
        <v>34247.1</v>
      </c>
      <c r="FX42" s="2212">
        <v>23483.53</v>
      </c>
      <c r="FY42" s="2212">
        <v>28817.74</v>
      </c>
      <c r="FZ42" s="2212">
        <v>49777.120000000003</v>
      </c>
      <c r="GA42" s="2212">
        <v>23032.12</v>
      </c>
      <c r="GB42" s="2212">
        <v>18273.62</v>
      </c>
      <c r="GC42" s="2212">
        <v>24013.01</v>
      </c>
      <c r="GD42" s="2212">
        <v>51809.84</v>
      </c>
      <c r="GE42" s="2212">
        <v>18877.150000000001</v>
      </c>
      <c r="GF42" s="2212">
        <v>44472.41</v>
      </c>
      <c r="GG42" s="2212">
        <v>51204.160000000003</v>
      </c>
      <c r="GH42" s="2212">
        <v>38299.74</v>
      </c>
      <c r="GI42" s="2212">
        <v>30937.15</v>
      </c>
      <c r="GJ42" s="2212">
        <v>23828.31</v>
      </c>
      <c r="GK42" s="2212">
        <v>39070.129999999997</v>
      </c>
      <c r="GL42" s="2212">
        <v>33502.44</v>
      </c>
      <c r="GM42" s="2212">
        <v>57513.53</v>
      </c>
      <c r="GN42" s="2212">
        <v>26004.12</v>
      </c>
      <c r="GO42" s="2212">
        <v>20228.240000000002</v>
      </c>
      <c r="GP42" s="2212">
        <v>24858.76</v>
      </c>
      <c r="GQ42" s="2212">
        <v>47190.62</v>
      </c>
      <c r="GR42" s="2212">
        <v>23254.560000000001</v>
      </c>
      <c r="GS42" s="2212">
        <v>23264.400000000001</v>
      </c>
      <c r="GT42" s="2212">
        <v>37146.07</v>
      </c>
      <c r="GU42" s="2212">
        <v>38593.03</v>
      </c>
      <c r="GV42" s="2212">
        <v>60665.88</v>
      </c>
      <c r="GW42" s="2212">
        <v>16162.76</v>
      </c>
      <c r="GX42" s="2212">
        <v>23397.88</v>
      </c>
      <c r="GY42" s="2212">
        <v>40010.33</v>
      </c>
      <c r="GZ42" s="2212">
        <v>24285.15</v>
      </c>
      <c r="HA42" s="2212">
        <v>65399.94</v>
      </c>
      <c r="HB42" s="2212">
        <v>23278.14</v>
      </c>
      <c r="HC42" s="2212">
        <v>34246.93</v>
      </c>
      <c r="HD42" s="2212">
        <v>25904.95</v>
      </c>
      <c r="HE42" s="2212">
        <v>35101.839999999997</v>
      </c>
      <c r="HF42" s="2212">
        <v>20700</v>
      </c>
      <c r="HG42" s="2212">
        <v>15844.8</v>
      </c>
      <c r="HH42" s="2212">
        <v>24066.54</v>
      </c>
      <c r="HI42" s="2212">
        <v>27409.07</v>
      </c>
      <c r="HJ42" s="2212">
        <v>22284.19</v>
      </c>
      <c r="HK42" s="2212">
        <v>22063.06</v>
      </c>
      <c r="HL42" s="2212">
        <v>48785.47</v>
      </c>
      <c r="HM42" s="2212">
        <v>46306.52</v>
      </c>
      <c r="HN42" s="2212">
        <v>24156.29</v>
      </c>
      <c r="HO42" s="2212">
        <v>38380.559999999998</v>
      </c>
      <c r="HP42" s="2212">
        <v>24066.54</v>
      </c>
      <c r="HQ42" s="2212">
        <v>57513.53</v>
      </c>
      <c r="HR42" s="2212">
        <v>49777.14</v>
      </c>
      <c r="HS42" s="2212">
        <v>24012.97</v>
      </c>
      <c r="HT42" s="2212">
        <v>21677.9</v>
      </c>
      <c r="HU42" s="2212">
        <v>60665.87</v>
      </c>
      <c r="HV42" s="2212">
        <v>26078.14</v>
      </c>
      <c r="HW42" s="2212">
        <v>23295.759999999998</v>
      </c>
      <c r="HX42" s="2212">
        <v>29896.15</v>
      </c>
      <c r="HY42" s="2212">
        <v>60665.94</v>
      </c>
      <c r="HZ42" s="2212">
        <v>54200.86</v>
      </c>
      <c r="IA42" s="2212">
        <v>22283.98</v>
      </c>
      <c r="IB42" s="2212">
        <v>24512.41</v>
      </c>
      <c r="IC42" s="2212">
        <v>34960.19</v>
      </c>
      <c r="ID42" s="2212">
        <v>15836.63</v>
      </c>
      <c r="IE42" s="2212">
        <v>65399.83</v>
      </c>
      <c r="IF42" s="2212">
        <v>53318.35</v>
      </c>
      <c r="IG42" s="2212">
        <v>53661.49</v>
      </c>
      <c r="IH42" s="2212">
        <v>37591.699999999997</v>
      </c>
      <c r="II42" s="2212">
        <v>23175</v>
      </c>
      <c r="IJ42" s="2212">
        <v>26190.65</v>
      </c>
      <c r="IK42" s="2212">
        <v>24140.77</v>
      </c>
      <c r="IL42" s="2212">
        <v>24512.5</v>
      </c>
      <c r="IM42" s="2212">
        <v>25533.119999999999</v>
      </c>
      <c r="IN42" s="2212">
        <v>54742.76</v>
      </c>
      <c r="IO42" s="2212">
        <v>47190.48</v>
      </c>
      <c r="IP42" s="2212">
        <v>20382.759999999998</v>
      </c>
      <c r="IQ42" s="2212">
        <v>33961.480000000003</v>
      </c>
      <c r="IR42" s="2212">
        <v>37889.089999999997</v>
      </c>
      <c r="IS42" s="2212">
        <v>24156.22</v>
      </c>
      <c r="IT42" s="2212">
        <v>22283.87</v>
      </c>
      <c r="IU42" s="2911">
        <v>23932.33</v>
      </c>
      <c r="IV42" s="2911">
        <v>24585.82</v>
      </c>
      <c r="IW42" s="2911">
        <v>26648.02</v>
      </c>
      <c r="IX42" s="2911">
        <v>27921.360000000001</v>
      </c>
      <c r="IY42" s="2207"/>
      <c r="IZ42" s="2215">
        <f t="shared" si="6"/>
        <v>33</v>
      </c>
    </row>
    <row r="43" spans="1:260">
      <c r="A43" s="2214">
        <v>34</v>
      </c>
      <c r="B43" s="2212">
        <v>67575.87</v>
      </c>
      <c r="C43" s="2927">
        <v>64956.56</v>
      </c>
      <c r="D43" s="2927">
        <v>59255.11</v>
      </c>
      <c r="E43" s="2212">
        <v>52466.82</v>
      </c>
      <c r="F43" s="2927">
        <v>52438.09</v>
      </c>
      <c r="G43" s="2212">
        <v>51029.45</v>
      </c>
      <c r="H43" s="2927">
        <v>49141</v>
      </c>
      <c r="I43" s="2212">
        <v>46588.73</v>
      </c>
      <c r="J43" s="2212">
        <v>51029.599999999999</v>
      </c>
      <c r="K43" s="2212">
        <v>48141.01</v>
      </c>
      <c r="L43" s="2927">
        <v>44951.59</v>
      </c>
      <c r="M43" s="2212">
        <v>44422.61</v>
      </c>
      <c r="N43" s="2927">
        <v>40663.03</v>
      </c>
      <c r="O43" s="2212">
        <v>39702.74</v>
      </c>
      <c r="P43" s="2927">
        <v>36448.949999999997</v>
      </c>
      <c r="Q43" s="2927">
        <v>30747.41</v>
      </c>
      <c r="R43" s="2212">
        <v>35448.949999999997</v>
      </c>
      <c r="S43" s="2212">
        <v>35448.949999999997</v>
      </c>
      <c r="T43" s="2212">
        <v>34457.300000000003</v>
      </c>
      <c r="U43" s="2212">
        <v>34457.300000000003</v>
      </c>
      <c r="V43" s="2212">
        <v>34457.300000000003</v>
      </c>
      <c r="W43" s="2212">
        <v>34457.300000000003</v>
      </c>
      <c r="X43" s="2212">
        <v>32474.23</v>
      </c>
      <c r="Y43" s="2927">
        <v>37018.620000000003</v>
      </c>
      <c r="Z43" s="2923">
        <v>35116</v>
      </c>
      <c r="AA43" s="2930">
        <v>35116</v>
      </c>
      <c r="AB43" s="2927">
        <v>36018.620000000003</v>
      </c>
      <c r="AC43" s="2212">
        <v>32127.200000000001</v>
      </c>
      <c r="AD43" s="2923">
        <v>34124</v>
      </c>
      <c r="AE43" s="2929">
        <v>34667.51</v>
      </c>
      <c r="AF43" s="2927">
        <v>31887.69</v>
      </c>
      <c r="AG43" s="2927">
        <v>31887.69</v>
      </c>
      <c r="AH43" s="2927">
        <v>33775.919999999998</v>
      </c>
      <c r="AI43" s="2927">
        <v>31069.54</v>
      </c>
      <c r="AJ43" s="2927">
        <v>28764.25</v>
      </c>
      <c r="AK43" s="2927">
        <v>23285.77</v>
      </c>
      <c r="AL43" s="2927">
        <v>21203.47</v>
      </c>
      <c r="AM43" s="2927">
        <v>20087.98</v>
      </c>
      <c r="AN43" s="2212">
        <v>22285.77</v>
      </c>
      <c r="AO43" s="2212">
        <v>20203.47</v>
      </c>
      <c r="AP43" s="2212">
        <v>19087.98</v>
      </c>
      <c r="AQ43" s="2923">
        <v>29159</v>
      </c>
      <c r="AR43" s="2923">
        <v>27459</v>
      </c>
      <c r="AS43" s="2929">
        <v>25541.58</v>
      </c>
      <c r="AT43" s="2927">
        <v>24797.94</v>
      </c>
      <c r="AU43" s="2928">
        <v>23285.82</v>
      </c>
      <c r="AV43" s="2212">
        <v>22423.77</v>
      </c>
      <c r="AW43" s="2212">
        <v>19659.32</v>
      </c>
      <c r="AX43" s="2212">
        <v>23371.47</v>
      </c>
      <c r="AY43" s="2212">
        <v>24789.439999999999</v>
      </c>
      <c r="AZ43" s="2212">
        <v>23802.89</v>
      </c>
      <c r="BA43" s="2212">
        <v>24789.42</v>
      </c>
      <c r="BB43" s="2212">
        <v>23797.86</v>
      </c>
      <c r="BC43" s="2212">
        <v>24759.1</v>
      </c>
      <c r="BD43" s="2212">
        <v>25533.119999999999</v>
      </c>
      <c r="BE43" s="2212">
        <v>24606.06</v>
      </c>
      <c r="BF43" s="2212">
        <v>26028.95</v>
      </c>
      <c r="BG43" s="2212">
        <v>19010.2</v>
      </c>
      <c r="BH43" s="2212">
        <v>29300</v>
      </c>
      <c r="BI43" s="2212">
        <v>28780.55</v>
      </c>
      <c r="BJ43" s="2212">
        <v>16476.650000000001</v>
      </c>
      <c r="BK43" s="2212">
        <v>16476.650000000001</v>
      </c>
      <c r="BL43" s="2212">
        <v>35150</v>
      </c>
      <c r="BM43" s="2212">
        <v>33887.269999999997</v>
      </c>
      <c r="BN43" s="2212">
        <v>33961.480000000003</v>
      </c>
      <c r="BO43" s="2212">
        <v>33521.82</v>
      </c>
      <c r="BP43" s="2212">
        <v>42055.29</v>
      </c>
      <c r="BQ43" s="2212">
        <v>27764.21</v>
      </c>
      <c r="BR43" s="2212">
        <v>45052.33</v>
      </c>
      <c r="BS43" s="2212">
        <v>38979.11</v>
      </c>
      <c r="BT43" s="2212">
        <v>32700</v>
      </c>
      <c r="BU43" s="2212">
        <v>37407.22</v>
      </c>
      <c r="BV43" s="2212">
        <v>48049.47</v>
      </c>
      <c r="BW43" s="2212">
        <v>51203.97</v>
      </c>
      <c r="BX43" s="2212">
        <v>36455.410000000003</v>
      </c>
      <c r="BY43" s="2212">
        <v>20382.759999999998</v>
      </c>
      <c r="BZ43" s="2212">
        <v>53661.440000000002</v>
      </c>
      <c r="CA43" s="2212">
        <v>24235.82</v>
      </c>
      <c r="CB43" s="2212">
        <v>24379.03</v>
      </c>
      <c r="CC43" s="2212">
        <v>24012.99</v>
      </c>
      <c r="CD43" s="2212">
        <v>30119.22</v>
      </c>
      <c r="CE43" s="2212">
        <v>32845.81</v>
      </c>
      <c r="CF43" s="2212">
        <v>39539.129999999997</v>
      </c>
      <c r="CG43" s="2212">
        <v>29747.23</v>
      </c>
      <c r="CH43" s="2927">
        <v>31263.01</v>
      </c>
      <c r="CI43" s="2927">
        <v>24285.77</v>
      </c>
      <c r="CJ43" s="2212">
        <v>22781.49</v>
      </c>
      <c r="CK43" s="2212">
        <v>21145.38</v>
      </c>
      <c r="CL43" s="2212">
        <v>23982.69</v>
      </c>
      <c r="CM43" s="2212">
        <v>21950</v>
      </c>
      <c r="CN43" s="2212">
        <v>25493.52</v>
      </c>
      <c r="CO43" s="2212">
        <v>17997.2</v>
      </c>
      <c r="CP43" s="2212">
        <v>18300</v>
      </c>
      <c r="CQ43" s="2212">
        <v>22902.959999999999</v>
      </c>
      <c r="CR43" s="2212">
        <v>23265.040000000001</v>
      </c>
      <c r="CS43" s="2212">
        <v>22284.04</v>
      </c>
      <c r="CT43" s="2212">
        <v>15617.5</v>
      </c>
      <c r="CU43" s="2212">
        <v>22756.69</v>
      </c>
      <c r="CV43" s="2212">
        <v>18740.89</v>
      </c>
      <c r="CW43" s="2212">
        <v>23264.99</v>
      </c>
      <c r="CX43" s="2212">
        <v>26550</v>
      </c>
      <c r="CY43" s="2212">
        <v>14513.31</v>
      </c>
      <c r="CZ43" s="2212">
        <v>19600</v>
      </c>
      <c r="DA43" s="2212">
        <v>29251.57</v>
      </c>
      <c r="DB43" s="2212">
        <v>26527.8</v>
      </c>
      <c r="DC43" s="2212">
        <v>23743.69</v>
      </c>
      <c r="DD43" s="2212">
        <v>18649.73</v>
      </c>
      <c r="DE43" s="2212">
        <v>26276.799999999999</v>
      </c>
      <c r="DF43" s="2212">
        <v>23743.78</v>
      </c>
      <c r="DG43" s="2212">
        <v>27020.48</v>
      </c>
      <c r="DH43" s="2212">
        <v>19732.47</v>
      </c>
      <c r="DI43" s="2212">
        <v>33589.65</v>
      </c>
      <c r="DJ43" s="2212">
        <v>18719.400000000001</v>
      </c>
      <c r="DK43" s="2212">
        <v>24764.720000000001</v>
      </c>
      <c r="DL43" s="2212">
        <v>38293.31</v>
      </c>
      <c r="DM43" s="2212">
        <v>37432.089999999997</v>
      </c>
      <c r="DN43" s="2212">
        <v>22283.79</v>
      </c>
      <c r="DO43" s="2212">
        <v>23730.07</v>
      </c>
      <c r="DP43" s="2212">
        <v>16729.849999999999</v>
      </c>
      <c r="DQ43" s="2212">
        <v>42055.29</v>
      </c>
      <c r="DR43" s="2212">
        <v>24194.49</v>
      </c>
      <c r="DS43" s="2212">
        <v>22284.080000000002</v>
      </c>
      <c r="DT43" s="2212">
        <v>28631.34</v>
      </c>
      <c r="DU43" s="2212">
        <v>26980.880000000001</v>
      </c>
      <c r="DV43" s="2212">
        <v>37432.04</v>
      </c>
      <c r="DW43" s="2212">
        <v>20382.75</v>
      </c>
      <c r="DX43" s="2212">
        <v>23264.74</v>
      </c>
      <c r="DY43" s="2212">
        <v>41398.32</v>
      </c>
      <c r="DZ43" s="2212">
        <v>38299.589999999997</v>
      </c>
      <c r="EA43" s="2212">
        <v>29150</v>
      </c>
      <c r="EB43" s="2212">
        <v>22742.560000000001</v>
      </c>
      <c r="EC43" s="2212">
        <v>23743.51</v>
      </c>
      <c r="ED43" s="2212">
        <v>26980.880000000001</v>
      </c>
      <c r="EE43" s="2212">
        <v>31846.67</v>
      </c>
      <c r="EF43" s="2212">
        <v>54200.7</v>
      </c>
      <c r="EG43" s="2212">
        <v>45052.35</v>
      </c>
      <c r="EH43" s="2212">
        <v>53661.49</v>
      </c>
      <c r="EI43" s="2212">
        <v>26326.45</v>
      </c>
      <c r="EJ43" s="2212">
        <v>33521.68</v>
      </c>
      <c r="EK43" s="2212">
        <v>23350</v>
      </c>
      <c r="EL43" s="2212">
        <v>35922.51</v>
      </c>
      <c r="EM43" s="2212">
        <v>35158.97</v>
      </c>
      <c r="EN43" s="2212">
        <v>18662.3</v>
      </c>
      <c r="EO43" s="2212">
        <v>23034.639999999999</v>
      </c>
      <c r="EP43" s="2212">
        <v>36455.53</v>
      </c>
      <c r="EQ43" s="2212">
        <v>47190.59</v>
      </c>
      <c r="ER43" s="2212">
        <v>26450</v>
      </c>
      <c r="ES43" s="2212">
        <v>22063.79</v>
      </c>
      <c r="ET43" s="2212">
        <v>33933.449999999997</v>
      </c>
      <c r="EU43" s="2212">
        <v>39539.14</v>
      </c>
      <c r="EV43" s="2212">
        <v>28609.360000000001</v>
      </c>
      <c r="EW43" s="2212">
        <v>57513.48</v>
      </c>
      <c r="EX43" s="2212">
        <v>37910.65</v>
      </c>
      <c r="EY43" s="2212">
        <v>24012.74</v>
      </c>
      <c r="EZ43" s="2212">
        <v>24012.880000000001</v>
      </c>
      <c r="FA43" s="2212">
        <v>18639.27</v>
      </c>
      <c r="FB43" s="2212">
        <v>38979.24</v>
      </c>
      <c r="FC43" s="2212">
        <v>48049.57</v>
      </c>
      <c r="FD43" s="2212">
        <v>47347.76</v>
      </c>
      <c r="FE43" s="2212">
        <v>33515.21</v>
      </c>
      <c r="FF43" s="2212">
        <v>39539.14</v>
      </c>
      <c r="FG43" s="2212">
        <v>35922.51</v>
      </c>
      <c r="FH43" s="2212">
        <v>15836.13</v>
      </c>
      <c r="FI43" s="2212">
        <v>25285.23</v>
      </c>
      <c r="FJ43" s="2212">
        <v>35101.81</v>
      </c>
      <c r="FK43" s="2212">
        <v>21677.9</v>
      </c>
      <c r="FL43" s="2212">
        <v>24379.09</v>
      </c>
      <c r="FM43" s="2212">
        <v>22908.52</v>
      </c>
      <c r="FN43" s="2212">
        <v>22741.98</v>
      </c>
      <c r="FO43" s="2212">
        <v>28012.04</v>
      </c>
      <c r="FP43" s="2212">
        <v>29785.69</v>
      </c>
      <c r="FQ43" s="2212">
        <v>24637.439999999999</v>
      </c>
      <c r="FR43" s="2212">
        <v>24408.61</v>
      </c>
      <c r="FS43" s="2212">
        <v>53049.33</v>
      </c>
      <c r="FT43" s="2212">
        <v>22729.29</v>
      </c>
      <c r="FU43" s="2212">
        <v>28607.01</v>
      </c>
      <c r="FV43" s="2212">
        <v>37910.81</v>
      </c>
      <c r="FW43" s="2212">
        <v>34247.1</v>
      </c>
      <c r="FX43" s="2212">
        <v>23483.53</v>
      </c>
      <c r="FY43" s="2212">
        <v>28817.74</v>
      </c>
      <c r="FZ43" s="2212">
        <v>49777.120000000003</v>
      </c>
      <c r="GA43" s="2212">
        <v>23032.12</v>
      </c>
      <c r="GB43" s="2212">
        <v>18273.62</v>
      </c>
      <c r="GC43" s="2212">
        <v>24013.01</v>
      </c>
      <c r="GD43" s="2212">
        <v>51809.84</v>
      </c>
      <c r="GE43" s="2212">
        <v>18877.150000000001</v>
      </c>
      <c r="GF43" s="2212">
        <v>44472.41</v>
      </c>
      <c r="GG43" s="2212">
        <v>51204.160000000003</v>
      </c>
      <c r="GH43" s="2212">
        <v>38299.74</v>
      </c>
      <c r="GI43" s="2212">
        <v>30937.15</v>
      </c>
      <c r="GJ43" s="2212">
        <v>23828.31</v>
      </c>
      <c r="GK43" s="2212">
        <v>39070.129999999997</v>
      </c>
      <c r="GL43" s="2212">
        <v>33502.44</v>
      </c>
      <c r="GM43" s="2212">
        <v>57513.53</v>
      </c>
      <c r="GN43" s="2212">
        <v>26004.12</v>
      </c>
      <c r="GO43" s="2212">
        <v>20228.240000000002</v>
      </c>
      <c r="GP43" s="2212">
        <v>24858.76</v>
      </c>
      <c r="GQ43" s="2212">
        <v>47190.62</v>
      </c>
      <c r="GR43" s="2212">
        <v>23254.560000000001</v>
      </c>
      <c r="GS43" s="2212">
        <v>23264.400000000001</v>
      </c>
      <c r="GT43" s="2212">
        <v>37146.07</v>
      </c>
      <c r="GU43" s="2212">
        <v>38593.03</v>
      </c>
      <c r="GV43" s="2212">
        <v>60665.88</v>
      </c>
      <c r="GW43" s="2212">
        <v>16162.76</v>
      </c>
      <c r="GX43" s="2212">
        <v>23397.88</v>
      </c>
      <c r="GY43" s="2212">
        <v>40010.33</v>
      </c>
      <c r="GZ43" s="2212">
        <v>24285.15</v>
      </c>
      <c r="HA43" s="2212">
        <v>65399.94</v>
      </c>
      <c r="HB43" s="2212">
        <v>23278.14</v>
      </c>
      <c r="HC43" s="2212">
        <v>34246.93</v>
      </c>
      <c r="HD43" s="2212">
        <v>25904.95</v>
      </c>
      <c r="HE43" s="2212">
        <v>35101.839999999997</v>
      </c>
      <c r="HF43" s="2212">
        <v>20700</v>
      </c>
      <c r="HG43" s="2212">
        <v>15844.8</v>
      </c>
      <c r="HH43" s="2212">
        <v>24066.54</v>
      </c>
      <c r="HI43" s="2212">
        <v>27409.07</v>
      </c>
      <c r="HJ43" s="2212">
        <v>22284.19</v>
      </c>
      <c r="HK43" s="2212">
        <v>22063.06</v>
      </c>
      <c r="HL43" s="2212">
        <v>48785.47</v>
      </c>
      <c r="HM43" s="2212">
        <v>46306.52</v>
      </c>
      <c r="HN43" s="2212">
        <v>24156.29</v>
      </c>
      <c r="HO43" s="2212">
        <v>38380.559999999998</v>
      </c>
      <c r="HP43" s="2212">
        <v>24066.54</v>
      </c>
      <c r="HQ43" s="2212">
        <v>57513.53</v>
      </c>
      <c r="HR43" s="2212">
        <v>49777.14</v>
      </c>
      <c r="HS43" s="2212">
        <v>24012.97</v>
      </c>
      <c r="HT43" s="2212">
        <v>21677.9</v>
      </c>
      <c r="HU43" s="2212">
        <v>60665.87</v>
      </c>
      <c r="HV43" s="2212">
        <v>26078.14</v>
      </c>
      <c r="HW43" s="2212">
        <v>23295.759999999998</v>
      </c>
      <c r="HX43" s="2212">
        <v>29896.15</v>
      </c>
      <c r="HY43" s="2212">
        <v>60665.94</v>
      </c>
      <c r="HZ43" s="2212">
        <v>54200.86</v>
      </c>
      <c r="IA43" s="2212">
        <v>22283.98</v>
      </c>
      <c r="IB43" s="2212">
        <v>24512.41</v>
      </c>
      <c r="IC43" s="2212">
        <v>34960.19</v>
      </c>
      <c r="ID43" s="2212">
        <v>15836.63</v>
      </c>
      <c r="IE43" s="2212">
        <v>65399.83</v>
      </c>
      <c r="IF43" s="2212">
        <v>53318.35</v>
      </c>
      <c r="IG43" s="2212">
        <v>53661.49</v>
      </c>
      <c r="IH43" s="2212">
        <v>37591.699999999997</v>
      </c>
      <c r="II43" s="2212">
        <v>23175</v>
      </c>
      <c r="IJ43" s="2212">
        <v>26190.65</v>
      </c>
      <c r="IK43" s="2212">
        <v>24140.77</v>
      </c>
      <c r="IL43" s="2212">
        <v>24512.5</v>
      </c>
      <c r="IM43" s="2212">
        <v>25533.119999999999</v>
      </c>
      <c r="IN43" s="2212">
        <v>54742.76</v>
      </c>
      <c r="IO43" s="2212">
        <v>47190.48</v>
      </c>
      <c r="IP43" s="2212"/>
      <c r="IR43" s="2212">
        <v>37889.089999999997</v>
      </c>
      <c r="IS43" s="2212">
        <v>24156.22</v>
      </c>
      <c r="IT43" s="2212">
        <v>22283.87</v>
      </c>
      <c r="IU43" s="2911">
        <v>23932.33</v>
      </c>
      <c r="IV43" s="2911">
        <v>24585.82</v>
      </c>
      <c r="IW43" s="2911">
        <v>26648.02</v>
      </c>
      <c r="IX43" s="2911">
        <v>27921.360000000001</v>
      </c>
      <c r="IY43" s="2207"/>
      <c r="IZ43" s="2215">
        <f t="shared" si="6"/>
        <v>34</v>
      </c>
    </row>
    <row r="44" spans="1:260">
      <c r="A44" s="2214">
        <v>35</v>
      </c>
      <c r="B44" s="2212">
        <v>67575.87</v>
      </c>
      <c r="C44" s="2927">
        <v>64956.56</v>
      </c>
      <c r="D44" s="2927">
        <v>59255.11</v>
      </c>
      <c r="E44" s="2212">
        <v>52466.82</v>
      </c>
      <c r="F44" s="2927">
        <v>52438.09</v>
      </c>
      <c r="G44" s="2212">
        <v>51029.45</v>
      </c>
      <c r="H44" s="2927">
        <v>49141</v>
      </c>
      <c r="I44" s="2212">
        <v>46588.73</v>
      </c>
      <c r="J44" s="2212">
        <v>51029.599999999999</v>
      </c>
      <c r="K44" s="2212">
        <v>48141.01</v>
      </c>
      <c r="L44" s="2927">
        <v>44951.59</v>
      </c>
      <c r="M44" s="2212">
        <v>44422.61</v>
      </c>
      <c r="N44" s="2927">
        <v>40663.03</v>
      </c>
      <c r="O44" s="2212">
        <v>39702.74</v>
      </c>
      <c r="P44" s="2927">
        <v>36448.949999999997</v>
      </c>
      <c r="Q44" s="2927">
        <v>30747.41</v>
      </c>
      <c r="R44" s="2212">
        <v>35448.949999999997</v>
      </c>
      <c r="S44" s="2212">
        <v>35448.949999999997</v>
      </c>
      <c r="T44" s="2212">
        <v>34457.300000000003</v>
      </c>
      <c r="U44" s="2212">
        <v>34457.300000000003</v>
      </c>
      <c r="V44" s="2212">
        <v>34457.300000000003</v>
      </c>
      <c r="W44" s="2212">
        <v>34457.300000000003</v>
      </c>
      <c r="X44" s="2212">
        <v>32474.23</v>
      </c>
      <c r="Y44" s="2927">
        <v>37018.620000000003</v>
      </c>
      <c r="Z44" s="2923">
        <v>35116</v>
      </c>
      <c r="AA44" s="2930">
        <v>35116</v>
      </c>
      <c r="AB44" s="2927">
        <v>36018.620000000003</v>
      </c>
      <c r="AC44" s="2212">
        <v>32127.200000000001</v>
      </c>
      <c r="AD44" s="2923">
        <v>34124</v>
      </c>
      <c r="AE44" s="2929">
        <v>34667.51</v>
      </c>
      <c r="AF44" s="2927">
        <v>31887.69</v>
      </c>
      <c r="AG44" s="2927">
        <v>31887.69</v>
      </c>
      <c r="AH44" s="2927">
        <v>33775.919999999998</v>
      </c>
      <c r="AI44" s="2927">
        <v>31069.54</v>
      </c>
      <c r="AJ44" s="2927">
        <v>28764.25</v>
      </c>
      <c r="AK44" s="2927">
        <v>23285.77</v>
      </c>
      <c r="AL44" s="2927">
        <v>21203.47</v>
      </c>
      <c r="AM44" s="2927">
        <v>20087.98</v>
      </c>
      <c r="AN44" s="2212">
        <v>22285.77</v>
      </c>
      <c r="AO44" s="2212">
        <v>20203.47</v>
      </c>
      <c r="AP44" s="2212">
        <v>19087.98</v>
      </c>
      <c r="AQ44" s="2923">
        <v>29159</v>
      </c>
      <c r="AR44" s="2923">
        <v>27459</v>
      </c>
      <c r="AS44" s="2929">
        <v>25541.58</v>
      </c>
      <c r="AT44" s="2927">
        <v>24797.94</v>
      </c>
      <c r="AU44" s="2928">
        <v>23285.82</v>
      </c>
      <c r="AV44" s="2212">
        <v>22423.77</v>
      </c>
      <c r="AW44" s="2212">
        <v>19659.32</v>
      </c>
      <c r="AX44" s="2212">
        <v>23371.47</v>
      </c>
      <c r="AY44" s="2212">
        <v>24789.439999999999</v>
      </c>
      <c r="AZ44" s="2212">
        <v>23802.89</v>
      </c>
      <c r="BA44" s="2212">
        <v>24789.42</v>
      </c>
      <c r="BB44" s="2212">
        <v>23797.86</v>
      </c>
      <c r="BC44" s="2212">
        <v>24759.1</v>
      </c>
      <c r="BD44" s="2212">
        <v>25533.119999999999</v>
      </c>
      <c r="BE44" s="2212">
        <v>24606.06</v>
      </c>
      <c r="BF44" s="2212">
        <v>26028.95</v>
      </c>
      <c r="BG44" s="2212">
        <v>19010.2</v>
      </c>
      <c r="BH44" s="2212">
        <v>29300</v>
      </c>
      <c r="BI44" s="2212">
        <v>28780.55</v>
      </c>
      <c r="BJ44" s="2212">
        <v>16476.650000000001</v>
      </c>
      <c r="BK44" s="2212">
        <v>16476.650000000001</v>
      </c>
      <c r="BL44" s="2212">
        <v>35150</v>
      </c>
      <c r="BM44" s="2212">
        <v>33887.269999999997</v>
      </c>
      <c r="BN44" s="2212">
        <v>33961.480000000003</v>
      </c>
      <c r="BO44" s="2212">
        <v>33521.82</v>
      </c>
      <c r="BP44" s="2212">
        <v>42055.29</v>
      </c>
      <c r="BQ44" s="2212">
        <v>27764.21</v>
      </c>
      <c r="BR44" s="2212">
        <v>45052.33</v>
      </c>
      <c r="BS44" s="2212">
        <v>38979.11</v>
      </c>
      <c r="BT44" s="2212">
        <v>32700</v>
      </c>
      <c r="BU44" s="2212">
        <v>37407.22</v>
      </c>
      <c r="BV44" s="2212">
        <v>48049.47</v>
      </c>
      <c r="BW44" s="2212">
        <v>51203.97</v>
      </c>
      <c r="BX44" s="2212">
        <v>36455.410000000003</v>
      </c>
      <c r="BY44" s="2212">
        <v>20382.759999999998</v>
      </c>
      <c r="BZ44" s="2212">
        <v>53661.440000000002</v>
      </c>
      <c r="CA44" s="2212">
        <v>24235.82</v>
      </c>
      <c r="CB44" s="2212">
        <v>24379.03</v>
      </c>
      <c r="CC44" s="2212">
        <v>24012.99</v>
      </c>
      <c r="CD44" s="2212">
        <v>30119.22</v>
      </c>
      <c r="CE44" s="2212">
        <v>32845.81</v>
      </c>
      <c r="CF44" s="2212">
        <v>39539.129999999997</v>
      </c>
      <c r="CG44" s="2212">
        <v>29747.23</v>
      </c>
      <c r="CH44" s="2927">
        <v>31263.01</v>
      </c>
      <c r="CI44" s="2927">
        <v>24285.77</v>
      </c>
      <c r="CJ44" s="2212">
        <v>22781.49</v>
      </c>
      <c r="CK44" s="2212">
        <v>21145.38</v>
      </c>
      <c r="CL44" s="2212">
        <v>23982.69</v>
      </c>
      <c r="CM44" s="2212">
        <v>21950</v>
      </c>
      <c r="CN44" s="2212">
        <v>25493.52</v>
      </c>
      <c r="CO44" s="2212">
        <v>17997.2</v>
      </c>
      <c r="CP44" s="2212">
        <v>18300</v>
      </c>
      <c r="CQ44" s="2212">
        <v>22902.959999999999</v>
      </c>
      <c r="CR44" s="2212">
        <v>23265.040000000001</v>
      </c>
      <c r="CS44" s="2212">
        <v>22284.04</v>
      </c>
      <c r="CT44" s="2212">
        <v>15617.5</v>
      </c>
      <c r="CU44" s="2212">
        <v>22756.69</v>
      </c>
      <c r="CV44" s="2212">
        <v>18740.89</v>
      </c>
      <c r="CW44" s="2212">
        <v>23264.99</v>
      </c>
      <c r="CX44" s="2212">
        <v>26550</v>
      </c>
      <c r="CY44" s="2212">
        <v>14513.31</v>
      </c>
      <c r="CZ44" s="2212">
        <v>19600</v>
      </c>
      <c r="DA44" s="2212">
        <v>29251.57</v>
      </c>
      <c r="DB44" s="2212">
        <v>26527.8</v>
      </c>
      <c r="DC44" s="2212">
        <v>23743.69</v>
      </c>
      <c r="DD44" s="2212">
        <v>18649.73</v>
      </c>
      <c r="DE44" s="2212">
        <v>26276.799999999999</v>
      </c>
      <c r="DF44" s="2212">
        <v>23743.78</v>
      </c>
      <c r="DG44" s="2212">
        <v>27020.48</v>
      </c>
      <c r="DH44" s="2212">
        <v>19732.47</v>
      </c>
      <c r="DI44" s="2212">
        <v>33589.65</v>
      </c>
      <c r="DJ44" s="2212">
        <v>18719.400000000001</v>
      </c>
      <c r="DK44" s="2212">
        <v>24764.720000000001</v>
      </c>
      <c r="DL44" s="2212">
        <v>38293.31</v>
      </c>
      <c r="DM44" s="2212">
        <v>37432.089999999997</v>
      </c>
      <c r="DN44" s="2212">
        <v>22283.79</v>
      </c>
      <c r="DO44" s="2212">
        <v>23730.07</v>
      </c>
      <c r="DP44" s="2212">
        <v>16729.849999999999</v>
      </c>
      <c r="DQ44" s="2212">
        <v>42055.29</v>
      </c>
      <c r="DR44" s="2212">
        <v>24194.49</v>
      </c>
      <c r="DS44" s="2212">
        <v>22284.080000000002</v>
      </c>
      <c r="DT44" s="2212">
        <v>28631.34</v>
      </c>
      <c r="DU44" s="2212">
        <v>26980.880000000001</v>
      </c>
      <c r="DV44" s="2212">
        <v>37432.04</v>
      </c>
      <c r="DW44" s="2212">
        <v>20382.75</v>
      </c>
      <c r="DX44" s="2212">
        <v>23264.74</v>
      </c>
      <c r="DY44" s="2212">
        <v>41398.32</v>
      </c>
      <c r="DZ44" s="2212">
        <v>38299.589999999997</v>
      </c>
      <c r="EA44" s="2212">
        <v>29150</v>
      </c>
      <c r="EB44" s="2212">
        <v>22742.560000000001</v>
      </c>
      <c r="EC44" s="2212">
        <v>23743.51</v>
      </c>
      <c r="ED44" s="2212">
        <v>26980.880000000001</v>
      </c>
      <c r="EE44" s="2212">
        <v>31846.67</v>
      </c>
      <c r="EF44" s="2212">
        <v>54200.7</v>
      </c>
      <c r="EG44" s="2212">
        <v>45052.35</v>
      </c>
      <c r="EH44" s="2212">
        <v>53661.49</v>
      </c>
      <c r="EI44" s="2212">
        <v>26326.45</v>
      </c>
      <c r="EJ44" s="2212">
        <v>33521.68</v>
      </c>
      <c r="EK44" s="2212">
        <v>23350</v>
      </c>
      <c r="EL44" s="2212">
        <v>35922.51</v>
      </c>
      <c r="EM44" s="2212">
        <v>35158.97</v>
      </c>
      <c r="EN44" s="2212">
        <v>18662.3</v>
      </c>
      <c r="EO44" s="2212">
        <v>23034.639999999999</v>
      </c>
      <c r="EP44" s="2212">
        <v>36455.53</v>
      </c>
      <c r="EQ44" s="2212">
        <v>47190.59</v>
      </c>
      <c r="ER44" s="2212">
        <v>26450</v>
      </c>
      <c r="ES44" s="2212">
        <v>22063.79</v>
      </c>
      <c r="ET44" s="2212">
        <v>33933.449999999997</v>
      </c>
      <c r="EU44" s="2212">
        <v>39539.14</v>
      </c>
      <c r="EV44" s="2212">
        <v>28609.360000000001</v>
      </c>
      <c r="EW44" s="2212">
        <v>57513.48</v>
      </c>
      <c r="EX44" s="2212">
        <v>37910.65</v>
      </c>
      <c r="EY44" s="2212">
        <v>24012.74</v>
      </c>
      <c r="EZ44" s="2212">
        <v>24012.880000000001</v>
      </c>
      <c r="FA44" s="2212">
        <v>18639.27</v>
      </c>
      <c r="FB44" s="2212">
        <v>38979.24</v>
      </c>
      <c r="FC44" s="2212">
        <v>48049.57</v>
      </c>
      <c r="FD44" s="2212">
        <v>47347.76</v>
      </c>
      <c r="FE44" s="2212">
        <v>33515.21</v>
      </c>
      <c r="FF44" s="2212">
        <v>39539.14</v>
      </c>
      <c r="FG44" s="2212">
        <v>35922.51</v>
      </c>
      <c r="FH44" s="2212">
        <v>15836.13</v>
      </c>
      <c r="FI44" s="2212">
        <v>25285.23</v>
      </c>
      <c r="FJ44" s="2212">
        <v>35101.81</v>
      </c>
      <c r="FK44" s="2212">
        <v>21677.9</v>
      </c>
      <c r="FL44" s="2212">
        <v>24379.09</v>
      </c>
      <c r="FM44" s="2212">
        <v>22908.52</v>
      </c>
      <c r="FN44" s="2212">
        <v>22741.98</v>
      </c>
      <c r="FO44" s="2212">
        <v>28012.04</v>
      </c>
      <c r="FP44" s="2212">
        <v>29785.69</v>
      </c>
      <c r="FQ44" s="2212">
        <v>24637.439999999999</v>
      </c>
      <c r="FR44" s="2212">
        <v>24408.61</v>
      </c>
      <c r="FS44" s="2212">
        <v>53049.33</v>
      </c>
      <c r="FT44" s="2212">
        <v>22729.29</v>
      </c>
      <c r="FU44" s="2212">
        <v>28607.01</v>
      </c>
      <c r="FV44" s="2212">
        <v>37910.81</v>
      </c>
      <c r="FW44" s="2212">
        <v>34247.1</v>
      </c>
      <c r="FX44" s="2212">
        <v>23483.53</v>
      </c>
      <c r="FY44" s="2212">
        <v>28817.74</v>
      </c>
      <c r="FZ44" s="2212">
        <v>49777.120000000003</v>
      </c>
      <c r="GA44" s="2212">
        <v>23032.12</v>
      </c>
      <c r="GB44" s="2212">
        <v>18273.62</v>
      </c>
      <c r="GC44" s="2212">
        <v>24013.01</v>
      </c>
      <c r="GD44" s="2212">
        <v>51809.84</v>
      </c>
      <c r="GE44" s="2212">
        <v>18877.150000000001</v>
      </c>
      <c r="GF44" s="2212">
        <v>44472.41</v>
      </c>
      <c r="GG44" s="2212">
        <v>51204.160000000003</v>
      </c>
      <c r="GH44" s="2212">
        <v>38299.74</v>
      </c>
      <c r="GI44" s="2212">
        <v>30937.15</v>
      </c>
      <c r="GJ44" s="2212">
        <v>23828.31</v>
      </c>
      <c r="GK44" s="2212">
        <v>39070.129999999997</v>
      </c>
      <c r="GL44" s="2212">
        <v>33502.44</v>
      </c>
      <c r="GM44" s="2212">
        <v>57513.53</v>
      </c>
      <c r="GN44" s="2212">
        <v>26004.12</v>
      </c>
      <c r="GO44" s="2212">
        <v>20228.240000000002</v>
      </c>
      <c r="GP44" s="2212">
        <v>24858.76</v>
      </c>
      <c r="GQ44" s="2212">
        <v>47190.62</v>
      </c>
      <c r="GR44" s="2212">
        <v>23254.560000000001</v>
      </c>
      <c r="GS44" s="2212">
        <v>23264.400000000001</v>
      </c>
      <c r="GT44" s="2212">
        <v>37146.07</v>
      </c>
      <c r="GU44" s="2212">
        <v>38593.03</v>
      </c>
      <c r="GV44" s="2212">
        <v>60665.88</v>
      </c>
      <c r="GW44" s="2212">
        <v>16162.76</v>
      </c>
      <c r="GX44" s="2212">
        <v>23397.88</v>
      </c>
      <c r="GY44" s="2212">
        <v>40010.33</v>
      </c>
      <c r="GZ44" s="2212">
        <v>24285.15</v>
      </c>
      <c r="HA44" s="2212">
        <v>65399.94</v>
      </c>
      <c r="HB44" s="2212">
        <v>23278.14</v>
      </c>
      <c r="HC44" s="2212">
        <v>34246.93</v>
      </c>
      <c r="HD44" s="2212">
        <v>25904.95</v>
      </c>
      <c r="HE44" s="2212">
        <v>35101.839999999997</v>
      </c>
      <c r="HF44" s="2212">
        <v>20700</v>
      </c>
      <c r="HG44" s="2212">
        <v>15844.8</v>
      </c>
      <c r="HH44" s="2212">
        <v>24066.54</v>
      </c>
      <c r="HI44" s="2212">
        <v>27409.07</v>
      </c>
      <c r="HJ44" s="2212">
        <v>22284.19</v>
      </c>
      <c r="HK44" s="2212">
        <v>22063.06</v>
      </c>
      <c r="HL44" s="2212">
        <v>48785.47</v>
      </c>
      <c r="HM44" s="2212">
        <v>46306.52</v>
      </c>
      <c r="HN44" s="2212">
        <v>24156.29</v>
      </c>
      <c r="HO44" s="2212">
        <v>38380.559999999998</v>
      </c>
      <c r="HP44" s="2212">
        <v>24066.54</v>
      </c>
      <c r="HQ44" s="2212">
        <v>57513.53</v>
      </c>
      <c r="HR44" s="2212">
        <v>49777.14</v>
      </c>
      <c r="HS44" s="2212">
        <v>24012.97</v>
      </c>
      <c r="HT44" s="2212">
        <v>21677.9</v>
      </c>
      <c r="HU44" s="2212">
        <v>60665.87</v>
      </c>
      <c r="HV44" s="2212">
        <v>26078.14</v>
      </c>
      <c r="HW44" s="2212">
        <v>23295.759999999998</v>
      </c>
      <c r="HX44" s="2212">
        <v>29896.15</v>
      </c>
      <c r="HY44" s="2212">
        <v>60665.94</v>
      </c>
      <c r="HZ44" s="2212">
        <v>54200.86</v>
      </c>
      <c r="IA44" s="2212">
        <v>22283.98</v>
      </c>
      <c r="IB44" s="2212">
        <v>24512.41</v>
      </c>
      <c r="IC44" s="2212">
        <v>34960.19</v>
      </c>
      <c r="ID44" s="2212">
        <v>15836.63</v>
      </c>
      <c r="IE44" s="2212">
        <v>65399.83</v>
      </c>
      <c r="IF44" s="2212">
        <v>53318.35</v>
      </c>
      <c r="IG44" s="2212">
        <v>53661.49</v>
      </c>
      <c r="IH44" s="2212">
        <v>37591.699999999997</v>
      </c>
      <c r="II44" s="2212">
        <v>23175</v>
      </c>
      <c r="IJ44" s="2212">
        <v>26190.65</v>
      </c>
      <c r="IK44" s="2212">
        <v>24140.77</v>
      </c>
      <c r="IL44" s="2212">
        <v>24512.5</v>
      </c>
      <c r="IM44" s="2212">
        <v>25533.119999999999</v>
      </c>
      <c r="IN44" s="2212">
        <v>54742.76</v>
      </c>
      <c r="IO44" s="2212">
        <v>47190.48</v>
      </c>
      <c r="IP44" s="2212"/>
      <c r="IR44" s="2212">
        <v>37889.089999999997</v>
      </c>
      <c r="IS44" s="2212">
        <v>24156.22</v>
      </c>
      <c r="IT44" s="2212">
        <v>22283.87</v>
      </c>
      <c r="IU44" s="2911">
        <v>23932.33</v>
      </c>
      <c r="IV44" s="2911">
        <v>24585.82</v>
      </c>
      <c r="IW44" s="2911">
        <v>26648.02</v>
      </c>
      <c r="IX44" s="2911">
        <v>27921.360000000001</v>
      </c>
      <c r="IY44" s="2207"/>
      <c r="IZ44" s="2215">
        <f t="shared" si="6"/>
        <v>35</v>
      </c>
    </row>
    <row r="45" spans="1:260">
      <c r="A45" s="2214">
        <v>36</v>
      </c>
      <c r="B45" s="2212">
        <v>67575.87</v>
      </c>
      <c r="C45" s="2927">
        <v>64956.56</v>
      </c>
      <c r="D45" s="2927">
        <v>59255.11</v>
      </c>
      <c r="E45" s="2212">
        <v>52466.82</v>
      </c>
      <c r="F45" s="2927">
        <v>52438.09</v>
      </c>
      <c r="G45" s="2212">
        <v>51029.45</v>
      </c>
      <c r="H45" s="2927">
        <v>49141</v>
      </c>
      <c r="I45" s="2212">
        <v>46588.73</v>
      </c>
      <c r="J45" s="2212">
        <v>51029.599999999999</v>
      </c>
      <c r="K45" s="2212">
        <v>48141.01</v>
      </c>
      <c r="L45" s="2927">
        <v>44951.59</v>
      </c>
      <c r="M45" s="2212">
        <v>44422.61</v>
      </c>
      <c r="N45" s="2927">
        <v>40663.03</v>
      </c>
      <c r="O45" s="2212">
        <v>39702.74</v>
      </c>
      <c r="P45" s="2927">
        <v>36448.949999999997</v>
      </c>
      <c r="Q45" s="2927">
        <v>30747.41</v>
      </c>
      <c r="R45" s="2212">
        <v>35448.949999999997</v>
      </c>
      <c r="S45" s="2212">
        <v>35448.949999999997</v>
      </c>
      <c r="T45" s="2212">
        <v>34457.300000000003</v>
      </c>
      <c r="U45" s="2212">
        <v>34457.300000000003</v>
      </c>
      <c r="V45" s="2212">
        <v>34457.300000000003</v>
      </c>
      <c r="W45" s="2212">
        <v>34457.300000000003</v>
      </c>
      <c r="X45" s="2212">
        <v>32474.23</v>
      </c>
      <c r="Y45" s="2927">
        <v>37018.620000000003</v>
      </c>
      <c r="Z45" s="2923">
        <v>35116</v>
      </c>
      <c r="AA45" s="2930">
        <v>35116</v>
      </c>
      <c r="AB45" s="2927">
        <v>36018.620000000003</v>
      </c>
      <c r="AC45" s="2212">
        <v>32127.200000000001</v>
      </c>
      <c r="AD45" s="2923">
        <v>34124</v>
      </c>
      <c r="AE45" s="2929">
        <v>34667.51</v>
      </c>
      <c r="AF45" s="2927">
        <v>31887.69</v>
      </c>
      <c r="AG45" s="2927">
        <v>31887.69</v>
      </c>
      <c r="AH45" s="2927">
        <v>33775.919999999998</v>
      </c>
      <c r="AI45" s="2927">
        <v>31069.54</v>
      </c>
      <c r="AJ45" s="2927">
        <v>28764.25</v>
      </c>
      <c r="AK45" s="2927">
        <v>23285.77</v>
      </c>
      <c r="AL45" s="2927">
        <v>21203.47</v>
      </c>
      <c r="AM45" s="2927">
        <v>20087.98</v>
      </c>
      <c r="AN45" s="2212">
        <v>22285.77</v>
      </c>
      <c r="AO45" s="2212">
        <v>20203.47</v>
      </c>
      <c r="AP45" s="2212">
        <v>19087.98</v>
      </c>
      <c r="AQ45" s="2923">
        <v>29159</v>
      </c>
      <c r="AR45" s="2923">
        <v>27459</v>
      </c>
      <c r="AS45" s="2929">
        <v>25541.58</v>
      </c>
      <c r="AT45" s="2927">
        <v>24797.94</v>
      </c>
      <c r="AU45" s="2928">
        <v>23285.82</v>
      </c>
      <c r="AV45" s="2212">
        <v>22423.77</v>
      </c>
      <c r="AW45" s="2212">
        <v>19659.32</v>
      </c>
      <c r="AX45" s="2212">
        <v>23371.47</v>
      </c>
      <c r="AY45" s="2212">
        <v>24789.439999999999</v>
      </c>
      <c r="AZ45" s="2212">
        <v>23802.89</v>
      </c>
      <c r="BA45" s="2212">
        <v>24789.42</v>
      </c>
      <c r="BB45" s="2212">
        <v>23797.86</v>
      </c>
      <c r="BC45" s="2212">
        <v>24759.1</v>
      </c>
      <c r="BD45" s="2212">
        <v>25533.119999999999</v>
      </c>
      <c r="BE45" s="2212">
        <v>24606.06</v>
      </c>
      <c r="BF45" s="2212">
        <v>26028.95</v>
      </c>
      <c r="BG45" s="2212">
        <v>19010.2</v>
      </c>
      <c r="BH45" s="2212">
        <v>29300</v>
      </c>
      <c r="BI45" s="2212">
        <v>28780.55</v>
      </c>
      <c r="BJ45" s="2212">
        <v>16476.650000000001</v>
      </c>
      <c r="BK45" s="2212">
        <v>16476.650000000001</v>
      </c>
      <c r="BL45" s="2212">
        <v>35150</v>
      </c>
      <c r="BM45" s="2212">
        <v>33887.269999999997</v>
      </c>
      <c r="BN45" s="2212">
        <v>33961.480000000003</v>
      </c>
      <c r="BO45" s="2212">
        <v>33521.82</v>
      </c>
      <c r="BP45" s="2212">
        <v>42055.29</v>
      </c>
      <c r="BQ45" s="2212">
        <v>27764.21</v>
      </c>
      <c r="BR45" s="2212">
        <v>45052.33</v>
      </c>
      <c r="BS45" s="2212">
        <v>38979.11</v>
      </c>
      <c r="BT45" s="2212">
        <v>32700</v>
      </c>
      <c r="BU45" s="2212">
        <v>37407.22</v>
      </c>
      <c r="BV45" s="2212">
        <v>48049.47</v>
      </c>
      <c r="BW45" s="2212">
        <v>51203.97</v>
      </c>
      <c r="BX45" s="2212">
        <v>36455.410000000003</v>
      </c>
      <c r="BY45" s="2212">
        <v>20382.759999999998</v>
      </c>
      <c r="BZ45" s="2212">
        <v>53661.440000000002</v>
      </c>
      <c r="CA45" s="2212">
        <v>24235.82</v>
      </c>
      <c r="CB45" s="2212">
        <v>24379.03</v>
      </c>
      <c r="CC45" s="2212">
        <v>24012.99</v>
      </c>
      <c r="CD45" s="2212">
        <v>30119.22</v>
      </c>
      <c r="CE45" s="2212">
        <v>32845.81</v>
      </c>
      <c r="CF45" s="2212">
        <v>39539.129999999997</v>
      </c>
      <c r="CG45" s="2212">
        <v>29747.23</v>
      </c>
      <c r="CH45" s="2927">
        <v>31263.01</v>
      </c>
      <c r="CI45" s="2927">
        <v>24285.77</v>
      </c>
      <c r="CJ45" s="2212">
        <v>22781.49</v>
      </c>
      <c r="CK45" s="2212">
        <v>21145.38</v>
      </c>
      <c r="CL45" s="2212">
        <v>23982.69</v>
      </c>
      <c r="CM45" s="2212">
        <v>21950</v>
      </c>
      <c r="CN45" s="2212">
        <v>25493.52</v>
      </c>
      <c r="CO45" s="2212">
        <v>17997.2</v>
      </c>
      <c r="CP45" s="2212">
        <v>18300</v>
      </c>
      <c r="CQ45" s="2212">
        <v>22902.959999999999</v>
      </c>
      <c r="CR45" s="2212">
        <v>23265.040000000001</v>
      </c>
      <c r="CS45" s="2212">
        <v>22284.04</v>
      </c>
      <c r="CT45" s="2212">
        <v>15617.5</v>
      </c>
      <c r="CU45" s="2212">
        <v>22756.69</v>
      </c>
      <c r="CV45" s="2212">
        <v>18740.89</v>
      </c>
      <c r="CW45" s="2212">
        <v>23264.99</v>
      </c>
      <c r="CX45" s="2212">
        <v>26550</v>
      </c>
      <c r="CY45" s="2212">
        <v>14513.31</v>
      </c>
      <c r="CZ45" s="2212">
        <v>19600</v>
      </c>
      <c r="DA45" s="2212">
        <v>29251.57</v>
      </c>
      <c r="DB45" s="2212">
        <v>26527.8</v>
      </c>
      <c r="DC45" s="2212">
        <v>23743.69</v>
      </c>
      <c r="DD45" s="2212">
        <v>18649.73</v>
      </c>
      <c r="DE45" s="2212">
        <v>26276.799999999999</v>
      </c>
      <c r="DF45" s="2212">
        <v>23743.78</v>
      </c>
      <c r="DG45" s="2212">
        <v>27020.48</v>
      </c>
      <c r="DH45" s="2212">
        <v>19732.47</v>
      </c>
      <c r="DI45" s="2212">
        <v>33589.65</v>
      </c>
      <c r="DJ45" s="2212">
        <v>18719.400000000001</v>
      </c>
      <c r="DK45" s="2212">
        <v>24764.720000000001</v>
      </c>
      <c r="DL45" s="2212">
        <v>38293.31</v>
      </c>
      <c r="DM45" s="2212">
        <v>37432.089999999997</v>
      </c>
      <c r="DN45" s="2212">
        <v>22283.79</v>
      </c>
      <c r="DO45" s="2212">
        <v>23730.07</v>
      </c>
      <c r="DP45" s="2212">
        <v>16729.849999999999</v>
      </c>
      <c r="DQ45" s="2212">
        <v>42055.29</v>
      </c>
      <c r="DR45" s="2212">
        <v>24194.49</v>
      </c>
      <c r="DS45" s="2212">
        <v>22284.080000000002</v>
      </c>
      <c r="DT45" s="2212">
        <v>28631.34</v>
      </c>
      <c r="DU45" s="2212">
        <v>26980.880000000001</v>
      </c>
      <c r="DV45" s="2212">
        <v>37432.04</v>
      </c>
      <c r="DW45" s="2212">
        <v>20382.75</v>
      </c>
      <c r="DX45" s="2212">
        <v>23264.74</v>
      </c>
      <c r="DY45" s="2212">
        <v>41398.32</v>
      </c>
      <c r="DZ45" s="2212">
        <v>38299.589999999997</v>
      </c>
      <c r="EA45" s="2212">
        <v>29150</v>
      </c>
      <c r="EB45" s="2212">
        <v>22742.560000000001</v>
      </c>
      <c r="EC45" s="2212">
        <v>23743.51</v>
      </c>
      <c r="ED45" s="2212">
        <v>26980.880000000001</v>
      </c>
      <c r="EE45" s="2212">
        <v>31846.67</v>
      </c>
      <c r="EF45" s="2212">
        <v>54200.7</v>
      </c>
      <c r="EG45" s="2212">
        <v>45052.35</v>
      </c>
      <c r="EH45" s="2212">
        <v>53661.49</v>
      </c>
      <c r="EI45" s="2212">
        <v>26326.45</v>
      </c>
      <c r="EJ45" s="2212">
        <v>33521.68</v>
      </c>
      <c r="EK45" s="2212">
        <v>23350</v>
      </c>
      <c r="EL45" s="2212">
        <v>35922.51</v>
      </c>
      <c r="EM45" s="2212">
        <v>35158.97</v>
      </c>
      <c r="EN45" s="2212">
        <v>18662.3</v>
      </c>
      <c r="EO45" s="2212">
        <v>23034.639999999999</v>
      </c>
      <c r="EP45" s="2212">
        <v>36455.53</v>
      </c>
      <c r="EQ45" s="2212">
        <v>47190.59</v>
      </c>
      <c r="ER45" s="2212">
        <v>26450</v>
      </c>
      <c r="ES45" s="2212">
        <v>22063.79</v>
      </c>
      <c r="ET45" s="2212">
        <v>33933.449999999997</v>
      </c>
      <c r="EU45" s="2212">
        <v>39539.14</v>
      </c>
      <c r="EV45" s="2212">
        <v>28609.360000000001</v>
      </c>
      <c r="EW45" s="2212">
        <v>57513.48</v>
      </c>
      <c r="EX45" s="2212">
        <v>37910.65</v>
      </c>
      <c r="EY45" s="2212">
        <v>24012.74</v>
      </c>
      <c r="EZ45" s="2212">
        <v>24012.880000000001</v>
      </c>
      <c r="FA45" s="2212">
        <v>18639.27</v>
      </c>
      <c r="FB45" s="2212">
        <v>38979.24</v>
      </c>
      <c r="FC45" s="2212">
        <v>48049.57</v>
      </c>
      <c r="FD45" s="2212">
        <v>47347.76</v>
      </c>
      <c r="FE45" s="2212">
        <v>33515.21</v>
      </c>
      <c r="FF45" s="2212">
        <v>39539.14</v>
      </c>
      <c r="FG45" s="2212">
        <v>35922.51</v>
      </c>
      <c r="FH45" s="2212">
        <v>15836.13</v>
      </c>
      <c r="FI45" s="2212">
        <v>25285.23</v>
      </c>
      <c r="FJ45" s="2212">
        <v>35101.81</v>
      </c>
      <c r="FK45" s="2212">
        <v>21677.9</v>
      </c>
      <c r="FL45" s="2212">
        <v>24379.09</v>
      </c>
      <c r="FM45" s="2212">
        <v>22908.52</v>
      </c>
      <c r="FN45" s="2212">
        <v>22741.98</v>
      </c>
      <c r="FO45" s="2212">
        <v>28012.04</v>
      </c>
      <c r="FP45" s="2212">
        <v>29785.69</v>
      </c>
      <c r="FQ45" s="2212">
        <v>24637.439999999999</v>
      </c>
      <c r="FR45" s="2212">
        <v>24408.61</v>
      </c>
      <c r="FS45" s="2212">
        <v>53049.33</v>
      </c>
      <c r="FT45" s="2212">
        <v>22729.29</v>
      </c>
      <c r="FU45" s="2212">
        <v>28607.01</v>
      </c>
      <c r="FV45" s="2212">
        <v>37910.81</v>
      </c>
      <c r="FW45" s="2212">
        <v>34247.1</v>
      </c>
      <c r="FX45" s="2212">
        <v>23483.53</v>
      </c>
      <c r="FY45" s="2212">
        <v>28817.74</v>
      </c>
      <c r="FZ45" s="2212">
        <v>49777.120000000003</v>
      </c>
      <c r="GA45" s="2212">
        <v>23032.12</v>
      </c>
      <c r="GB45" s="2212">
        <v>18273.62</v>
      </c>
      <c r="GC45" s="2212">
        <v>24013.01</v>
      </c>
      <c r="GD45" s="2212">
        <v>51809.84</v>
      </c>
      <c r="GE45" s="2212">
        <v>18877.150000000001</v>
      </c>
      <c r="GF45" s="2212">
        <v>44472.41</v>
      </c>
      <c r="GG45" s="2212">
        <v>51204.160000000003</v>
      </c>
      <c r="GH45" s="2212">
        <v>38299.74</v>
      </c>
      <c r="GI45" s="2212">
        <v>30937.15</v>
      </c>
      <c r="GJ45" s="2212">
        <v>23828.31</v>
      </c>
      <c r="GK45" s="2212">
        <v>39070.129999999997</v>
      </c>
      <c r="GL45" s="2212">
        <v>33502.44</v>
      </c>
      <c r="GM45" s="2212">
        <v>57513.53</v>
      </c>
      <c r="GN45" s="2212">
        <v>26004.12</v>
      </c>
      <c r="GO45" s="2212">
        <v>20228.240000000002</v>
      </c>
      <c r="GP45" s="2212">
        <v>24858.76</v>
      </c>
      <c r="GQ45" s="2212">
        <v>47190.62</v>
      </c>
      <c r="GR45" s="2212">
        <v>23254.560000000001</v>
      </c>
      <c r="GS45" s="2212">
        <v>23264.400000000001</v>
      </c>
      <c r="GT45" s="2212">
        <v>37146.07</v>
      </c>
      <c r="GU45" s="2212">
        <v>38593.03</v>
      </c>
      <c r="GV45" s="2212">
        <v>60665.88</v>
      </c>
      <c r="GW45" s="2212">
        <v>16162.76</v>
      </c>
      <c r="GX45" s="2212">
        <v>23397.88</v>
      </c>
      <c r="GY45" s="2212">
        <v>40010.33</v>
      </c>
      <c r="GZ45" s="2212">
        <v>24285.15</v>
      </c>
      <c r="HA45" s="2212">
        <v>65399.94</v>
      </c>
      <c r="HB45" s="2212">
        <v>23278.14</v>
      </c>
      <c r="HC45" s="2212">
        <v>34246.93</v>
      </c>
      <c r="HD45" s="2212">
        <v>25904.95</v>
      </c>
      <c r="HE45" s="2212">
        <v>35101.839999999997</v>
      </c>
      <c r="HF45" s="2212">
        <v>20700</v>
      </c>
      <c r="HG45" s="2212">
        <v>15844.8</v>
      </c>
      <c r="HH45" s="2212">
        <v>24066.54</v>
      </c>
      <c r="HI45" s="2212">
        <v>27409.07</v>
      </c>
      <c r="HJ45" s="2212">
        <v>22284.19</v>
      </c>
      <c r="HK45" s="2212">
        <v>22063.06</v>
      </c>
      <c r="HL45" s="2212">
        <v>48785.47</v>
      </c>
      <c r="HM45" s="2212">
        <v>46306.52</v>
      </c>
      <c r="HN45" s="2212">
        <v>24156.29</v>
      </c>
      <c r="HO45" s="2212">
        <v>38380.559999999998</v>
      </c>
      <c r="HP45" s="2212">
        <v>24066.54</v>
      </c>
      <c r="HQ45" s="2212">
        <v>57513.53</v>
      </c>
      <c r="HR45" s="2212">
        <v>49777.14</v>
      </c>
      <c r="HS45" s="2212">
        <v>24012.97</v>
      </c>
      <c r="HT45" s="2212">
        <v>21677.9</v>
      </c>
      <c r="HU45" s="2212">
        <v>60665.87</v>
      </c>
      <c r="HV45" s="2212">
        <v>26078.14</v>
      </c>
      <c r="HW45" s="2212">
        <v>23295.759999999998</v>
      </c>
      <c r="HX45" s="2212">
        <v>29896.15</v>
      </c>
      <c r="HY45" s="2212">
        <v>60665.94</v>
      </c>
      <c r="HZ45" s="2212">
        <v>54200.86</v>
      </c>
      <c r="IA45" s="2212">
        <v>22283.98</v>
      </c>
      <c r="IB45" s="2212">
        <v>24512.41</v>
      </c>
      <c r="IC45" s="2212">
        <v>34960.19</v>
      </c>
      <c r="ID45" s="2212">
        <v>15836.63</v>
      </c>
      <c r="IE45" s="2212">
        <v>65399.83</v>
      </c>
      <c r="IF45" s="2212">
        <v>53318.35</v>
      </c>
      <c r="IG45" s="2212">
        <v>53661.49</v>
      </c>
      <c r="IH45" s="2212">
        <v>37591.699999999997</v>
      </c>
      <c r="II45" s="2212">
        <v>23175</v>
      </c>
      <c r="IJ45" s="2212">
        <v>26190.65</v>
      </c>
      <c r="IK45" s="2212">
        <v>24140.77</v>
      </c>
      <c r="IL45" s="2212">
        <v>24512.5</v>
      </c>
      <c r="IM45" s="2212">
        <v>25533.119999999999</v>
      </c>
      <c r="IN45" s="2212">
        <v>54742.76</v>
      </c>
      <c r="IO45" s="2212">
        <v>47190.48</v>
      </c>
      <c r="IP45" s="2212"/>
      <c r="IR45" s="2212">
        <v>37889.089999999997</v>
      </c>
      <c r="IS45" s="2212">
        <v>24156.22</v>
      </c>
      <c r="IT45" s="2212">
        <v>22283.87</v>
      </c>
      <c r="IU45" s="2911">
        <v>23932.33</v>
      </c>
      <c r="IV45" s="2911">
        <v>24585.82</v>
      </c>
      <c r="IW45" s="2911">
        <v>26648.02</v>
      </c>
      <c r="IX45" s="2911">
        <v>27921.360000000001</v>
      </c>
      <c r="IY45" s="2207"/>
      <c r="IZ45" s="2215">
        <f t="shared" si="6"/>
        <v>36</v>
      </c>
    </row>
    <row r="46" spans="1:260">
      <c r="A46" s="2214">
        <v>37</v>
      </c>
      <c r="B46" s="2212">
        <v>67575.87</v>
      </c>
      <c r="C46" s="2927">
        <v>64956.56</v>
      </c>
      <c r="D46" s="2927">
        <v>59255.11</v>
      </c>
      <c r="E46" s="2212">
        <v>52466.82</v>
      </c>
      <c r="F46" s="2927">
        <v>52438.09</v>
      </c>
      <c r="G46" s="2212">
        <v>51029.45</v>
      </c>
      <c r="H46" s="2927">
        <v>49141</v>
      </c>
      <c r="I46" s="2212">
        <v>46588.73</v>
      </c>
      <c r="J46" s="2212">
        <v>51029.599999999999</v>
      </c>
      <c r="K46" s="2212">
        <v>48141.01</v>
      </c>
      <c r="L46" s="2927">
        <v>44951.59</v>
      </c>
      <c r="M46" s="2212">
        <v>44422.61</v>
      </c>
      <c r="N46" s="2927">
        <v>40663.03</v>
      </c>
      <c r="O46" s="2212">
        <v>39702.74</v>
      </c>
      <c r="P46" s="2927">
        <v>36448.949999999997</v>
      </c>
      <c r="Q46" s="2927">
        <v>30747.41</v>
      </c>
      <c r="R46" s="2212">
        <v>35448.949999999997</v>
      </c>
      <c r="S46" s="2212">
        <v>35448.949999999997</v>
      </c>
      <c r="T46" s="2212">
        <v>34457.300000000003</v>
      </c>
      <c r="U46" s="2212">
        <v>34457.300000000003</v>
      </c>
      <c r="V46" s="2212">
        <v>34457.300000000003</v>
      </c>
      <c r="W46" s="2212">
        <v>34457.300000000003</v>
      </c>
      <c r="X46" s="2212">
        <v>32474.23</v>
      </c>
      <c r="Y46" s="2927">
        <v>37018.620000000003</v>
      </c>
      <c r="Z46" s="2923">
        <v>35116</v>
      </c>
      <c r="AA46" s="2930">
        <v>35116</v>
      </c>
      <c r="AB46" s="2927">
        <v>36018.620000000003</v>
      </c>
      <c r="AC46" s="2212">
        <v>32127.200000000001</v>
      </c>
      <c r="AD46" s="2923">
        <v>34124</v>
      </c>
      <c r="AE46" s="2929">
        <v>34667.51</v>
      </c>
      <c r="AF46" s="2927">
        <v>31887.69</v>
      </c>
      <c r="AG46" s="2927">
        <v>31887.69</v>
      </c>
      <c r="AH46" s="2927">
        <v>33775.919999999998</v>
      </c>
      <c r="AI46" s="2927">
        <v>31069.54</v>
      </c>
      <c r="AJ46" s="2927">
        <v>28764.25</v>
      </c>
      <c r="AK46" s="2927">
        <v>23285.77</v>
      </c>
      <c r="AL46" s="2927">
        <v>21203.47</v>
      </c>
      <c r="AM46" s="2927">
        <v>20087.98</v>
      </c>
      <c r="AN46" s="2212">
        <v>22285.77</v>
      </c>
      <c r="AO46" s="2212">
        <v>20203.47</v>
      </c>
      <c r="AP46" s="2212">
        <v>19087.98</v>
      </c>
      <c r="AQ46" s="2923">
        <v>29159</v>
      </c>
      <c r="AR46" s="2923">
        <v>27459</v>
      </c>
      <c r="AS46" s="2929">
        <v>25541.58</v>
      </c>
      <c r="AT46" s="2927">
        <v>24797.94</v>
      </c>
      <c r="AU46" s="2928">
        <v>23285.82</v>
      </c>
      <c r="AV46" s="2212">
        <v>22423.77</v>
      </c>
      <c r="AW46" s="2212">
        <v>19659.32</v>
      </c>
      <c r="AX46" s="2212">
        <v>23371.47</v>
      </c>
      <c r="AY46" s="2212">
        <v>24789.439999999999</v>
      </c>
      <c r="AZ46" s="2212">
        <v>23802.89</v>
      </c>
      <c r="BA46" s="2212">
        <v>24789.42</v>
      </c>
      <c r="BB46" s="2212">
        <v>23797.86</v>
      </c>
      <c r="BC46" s="2212">
        <v>24759.1</v>
      </c>
      <c r="BD46" s="2212">
        <v>25533.119999999999</v>
      </c>
      <c r="BE46" s="2212">
        <v>24606.06</v>
      </c>
      <c r="BF46" s="2212">
        <v>26028.95</v>
      </c>
      <c r="BG46" s="2212">
        <v>19010.2</v>
      </c>
      <c r="BH46" s="2212">
        <v>29300</v>
      </c>
      <c r="BI46" s="2212">
        <v>28780.55</v>
      </c>
      <c r="BJ46" s="2212">
        <v>16476.650000000001</v>
      </c>
      <c r="BK46" s="2212">
        <v>16476.650000000001</v>
      </c>
      <c r="BL46" s="2212">
        <v>35150</v>
      </c>
      <c r="BM46" s="2212">
        <v>33887.269999999997</v>
      </c>
      <c r="BN46" s="2212">
        <v>33961.480000000003</v>
      </c>
      <c r="BO46" s="2212">
        <v>33521.82</v>
      </c>
      <c r="BP46" s="2212">
        <v>42055.29</v>
      </c>
      <c r="BQ46" s="2212">
        <v>27764.21</v>
      </c>
      <c r="BR46" s="2212">
        <v>45052.33</v>
      </c>
      <c r="BS46" s="2212">
        <v>38979.11</v>
      </c>
      <c r="BT46" s="2212">
        <v>32700</v>
      </c>
      <c r="BU46" s="2212">
        <v>37407.22</v>
      </c>
      <c r="BV46" s="2212">
        <v>48049.47</v>
      </c>
      <c r="BW46" s="2212">
        <v>51203.97</v>
      </c>
      <c r="BX46" s="2212">
        <v>36455.410000000003</v>
      </c>
      <c r="BY46" s="2212">
        <v>20382.759999999998</v>
      </c>
      <c r="BZ46" s="2212">
        <v>53661.440000000002</v>
      </c>
      <c r="CA46" s="2212">
        <v>24235.82</v>
      </c>
      <c r="CB46" s="2212">
        <v>24379.03</v>
      </c>
      <c r="CC46" s="2212">
        <v>24012.99</v>
      </c>
      <c r="CD46" s="2212">
        <v>30119.22</v>
      </c>
      <c r="CE46" s="2212">
        <v>32845.81</v>
      </c>
      <c r="CF46" s="2212">
        <v>39539.129999999997</v>
      </c>
      <c r="CG46" s="2212">
        <v>29747.23</v>
      </c>
      <c r="CH46" s="2927">
        <v>31263.01</v>
      </c>
      <c r="CI46" s="2927">
        <v>24285.77</v>
      </c>
      <c r="CJ46" s="2212">
        <v>22781.49</v>
      </c>
      <c r="CK46" s="2212">
        <v>21145.38</v>
      </c>
      <c r="CL46" s="2212">
        <v>23982.69</v>
      </c>
      <c r="CM46" s="2212">
        <v>21950</v>
      </c>
      <c r="CN46" s="2212">
        <v>25493.52</v>
      </c>
      <c r="CO46" s="2212">
        <v>17997.2</v>
      </c>
      <c r="CP46" s="2212">
        <v>18300</v>
      </c>
      <c r="CQ46" s="2212">
        <v>22902.959999999999</v>
      </c>
      <c r="CR46" s="2212">
        <v>23265.040000000001</v>
      </c>
      <c r="CS46" s="2212">
        <v>22284.04</v>
      </c>
      <c r="CT46" s="2212">
        <v>15617.5</v>
      </c>
      <c r="CU46" s="2212">
        <v>22756.69</v>
      </c>
      <c r="CV46" s="2212">
        <v>18740.89</v>
      </c>
      <c r="CW46" s="2212">
        <v>23264.99</v>
      </c>
      <c r="CX46" s="2212">
        <v>26550</v>
      </c>
      <c r="CY46" s="2212">
        <v>14513.31</v>
      </c>
      <c r="CZ46" s="2212">
        <v>19600</v>
      </c>
      <c r="DA46" s="2212">
        <v>29251.57</v>
      </c>
      <c r="DB46" s="2212">
        <v>26527.8</v>
      </c>
      <c r="DC46" s="2212">
        <v>23743.69</v>
      </c>
      <c r="DD46" s="2212">
        <v>18649.73</v>
      </c>
      <c r="DE46" s="2212">
        <v>26276.799999999999</v>
      </c>
      <c r="DF46" s="2212">
        <v>23743.78</v>
      </c>
      <c r="DG46" s="2212">
        <v>27020.48</v>
      </c>
      <c r="DH46" s="2212">
        <v>19732.47</v>
      </c>
      <c r="DI46" s="2212">
        <v>33589.65</v>
      </c>
      <c r="DJ46" s="2212">
        <v>18719.400000000001</v>
      </c>
      <c r="DK46" s="2212">
        <v>24764.720000000001</v>
      </c>
      <c r="DL46" s="2212">
        <v>38293.31</v>
      </c>
      <c r="DM46" s="2212">
        <v>37432.089999999997</v>
      </c>
      <c r="DN46" s="2212">
        <v>22283.79</v>
      </c>
      <c r="DO46" s="2212">
        <v>23730.07</v>
      </c>
      <c r="DP46" s="2212">
        <v>16729.849999999999</v>
      </c>
      <c r="DQ46" s="2212">
        <v>42055.29</v>
      </c>
      <c r="DR46" s="2212">
        <v>24194.49</v>
      </c>
      <c r="DS46" s="2212">
        <v>22284.080000000002</v>
      </c>
      <c r="DT46" s="2212">
        <v>28631.34</v>
      </c>
      <c r="DU46" s="2212">
        <v>26980.880000000001</v>
      </c>
      <c r="DV46" s="2212">
        <v>37432.04</v>
      </c>
      <c r="DW46" s="2212">
        <v>20382.75</v>
      </c>
      <c r="DX46" s="2212">
        <v>23264.74</v>
      </c>
      <c r="DY46" s="2212">
        <v>41398.32</v>
      </c>
      <c r="DZ46" s="2212">
        <v>38299.589999999997</v>
      </c>
      <c r="EA46" s="2212">
        <v>29150</v>
      </c>
      <c r="EB46" s="2212">
        <v>22742.560000000001</v>
      </c>
      <c r="EC46" s="2212">
        <v>23743.51</v>
      </c>
      <c r="ED46" s="2212">
        <v>26980.880000000001</v>
      </c>
      <c r="EE46" s="2212">
        <v>31846.67</v>
      </c>
      <c r="EF46" s="2212">
        <v>54200.7</v>
      </c>
      <c r="EG46" s="2212">
        <v>45052.35</v>
      </c>
      <c r="EH46" s="2212">
        <v>53661.49</v>
      </c>
      <c r="EI46" s="2212">
        <v>26326.45</v>
      </c>
      <c r="EJ46" s="2212">
        <v>33521.68</v>
      </c>
      <c r="EK46" s="2212">
        <v>23350</v>
      </c>
      <c r="EL46" s="2212">
        <v>35922.51</v>
      </c>
      <c r="EM46" s="2212">
        <v>35158.97</v>
      </c>
      <c r="EN46" s="2212">
        <v>18662.3</v>
      </c>
      <c r="EO46" s="2212">
        <v>23034.639999999999</v>
      </c>
      <c r="EP46" s="2212">
        <v>36455.53</v>
      </c>
      <c r="EQ46" s="2212">
        <v>47190.59</v>
      </c>
      <c r="ER46" s="2212">
        <v>26450</v>
      </c>
      <c r="ES46" s="2212">
        <v>22063.79</v>
      </c>
      <c r="ET46" s="2212">
        <v>33933.449999999997</v>
      </c>
      <c r="EU46" s="2212">
        <v>39539.14</v>
      </c>
      <c r="EV46" s="2212">
        <v>28609.360000000001</v>
      </c>
      <c r="EW46" s="2212">
        <v>57513.48</v>
      </c>
      <c r="EX46" s="2212">
        <v>37910.65</v>
      </c>
      <c r="EY46" s="2212">
        <v>24012.74</v>
      </c>
      <c r="EZ46" s="2212">
        <v>24012.880000000001</v>
      </c>
      <c r="FA46" s="2212">
        <v>18639.27</v>
      </c>
      <c r="FB46" s="2212">
        <v>38979.24</v>
      </c>
      <c r="FC46" s="2212">
        <v>48049.57</v>
      </c>
      <c r="FD46" s="2212">
        <v>47347.76</v>
      </c>
      <c r="FE46" s="2212">
        <v>33515.21</v>
      </c>
      <c r="FF46" s="2212">
        <v>39539.14</v>
      </c>
      <c r="FG46" s="2212">
        <v>35922.51</v>
      </c>
      <c r="FH46" s="2212">
        <v>15836.13</v>
      </c>
      <c r="FI46" s="2212">
        <v>25285.23</v>
      </c>
      <c r="FJ46" s="2212">
        <v>35101.81</v>
      </c>
      <c r="FK46" s="2212">
        <v>21677.9</v>
      </c>
      <c r="FL46" s="2212">
        <v>24379.09</v>
      </c>
      <c r="FM46" s="2212">
        <v>22908.52</v>
      </c>
      <c r="FN46" s="2212">
        <v>22741.98</v>
      </c>
      <c r="FO46" s="2212">
        <v>28012.04</v>
      </c>
      <c r="FP46" s="2212">
        <v>29785.69</v>
      </c>
      <c r="FQ46" s="2212">
        <v>24637.439999999999</v>
      </c>
      <c r="FR46" s="2212">
        <v>24408.61</v>
      </c>
      <c r="FS46" s="2212">
        <v>53049.33</v>
      </c>
      <c r="FT46" s="2212">
        <v>22729.29</v>
      </c>
      <c r="FU46" s="2212">
        <v>28607.01</v>
      </c>
      <c r="FV46" s="2212">
        <v>37910.81</v>
      </c>
      <c r="FW46" s="2212">
        <v>34247.1</v>
      </c>
      <c r="FX46" s="2212">
        <v>23483.53</v>
      </c>
      <c r="FY46" s="2212">
        <v>28817.74</v>
      </c>
      <c r="FZ46" s="2212">
        <v>49777.120000000003</v>
      </c>
      <c r="GA46" s="2212">
        <v>23032.12</v>
      </c>
      <c r="GB46" s="2212">
        <v>18273.62</v>
      </c>
      <c r="GC46" s="2212">
        <v>24013.01</v>
      </c>
      <c r="GD46" s="2212">
        <v>51809.84</v>
      </c>
      <c r="GE46" s="2212">
        <v>18877.150000000001</v>
      </c>
      <c r="GF46" s="2212">
        <v>44472.41</v>
      </c>
      <c r="GG46" s="2212">
        <v>51204.160000000003</v>
      </c>
      <c r="GH46" s="2212">
        <v>38299.74</v>
      </c>
      <c r="GI46" s="2212">
        <v>30937.15</v>
      </c>
      <c r="GJ46" s="2212">
        <v>23828.31</v>
      </c>
      <c r="GK46" s="2212">
        <v>39070.129999999997</v>
      </c>
      <c r="GL46" s="2212">
        <v>33502.44</v>
      </c>
      <c r="GM46" s="2212">
        <v>57513.53</v>
      </c>
      <c r="GN46" s="2212">
        <v>26004.12</v>
      </c>
      <c r="GO46" s="2212">
        <v>20228.240000000002</v>
      </c>
      <c r="GP46" s="2212">
        <v>24858.76</v>
      </c>
      <c r="GQ46" s="2212">
        <v>47190.62</v>
      </c>
      <c r="GR46" s="2212">
        <v>23254.560000000001</v>
      </c>
      <c r="GS46" s="2212">
        <v>23264.400000000001</v>
      </c>
      <c r="GT46" s="2212">
        <v>37146.07</v>
      </c>
      <c r="GU46" s="2212">
        <v>38593.03</v>
      </c>
      <c r="GV46" s="2212">
        <v>60665.88</v>
      </c>
      <c r="GW46" s="2212">
        <v>16162.76</v>
      </c>
      <c r="GX46" s="2212">
        <v>23397.88</v>
      </c>
      <c r="GY46" s="2212">
        <v>40010.33</v>
      </c>
      <c r="GZ46" s="2212">
        <v>24285.15</v>
      </c>
      <c r="HA46" s="2212">
        <v>65399.94</v>
      </c>
      <c r="HB46" s="2212">
        <v>23278.14</v>
      </c>
      <c r="HC46" s="2212">
        <v>34246.93</v>
      </c>
      <c r="HD46" s="2212">
        <v>25904.95</v>
      </c>
      <c r="HE46" s="2212">
        <v>35101.839999999997</v>
      </c>
      <c r="HF46" s="2212">
        <v>20700</v>
      </c>
      <c r="HG46" s="2212">
        <v>15844.8</v>
      </c>
      <c r="HH46" s="2212">
        <v>24066.54</v>
      </c>
      <c r="HI46" s="2212">
        <v>27409.07</v>
      </c>
      <c r="HJ46" s="2212">
        <v>22284.19</v>
      </c>
      <c r="HK46" s="2212">
        <v>22063.06</v>
      </c>
      <c r="HL46" s="2212">
        <v>48785.47</v>
      </c>
      <c r="HM46" s="2212">
        <v>46306.52</v>
      </c>
      <c r="HN46" s="2212">
        <v>24156.29</v>
      </c>
      <c r="HO46" s="2212">
        <v>38380.559999999998</v>
      </c>
      <c r="HP46" s="2212">
        <v>24066.54</v>
      </c>
      <c r="HQ46" s="2212">
        <v>57513.53</v>
      </c>
      <c r="HR46" s="2212">
        <v>49777.14</v>
      </c>
      <c r="HS46" s="2212">
        <v>24012.97</v>
      </c>
      <c r="HT46" s="2212">
        <v>21677.9</v>
      </c>
      <c r="HU46" s="2212">
        <v>60665.87</v>
      </c>
      <c r="HV46" s="2212">
        <v>26078.14</v>
      </c>
      <c r="HW46" s="2212">
        <v>23295.759999999998</v>
      </c>
      <c r="HX46" s="2212">
        <v>29896.15</v>
      </c>
      <c r="HY46" s="2212">
        <v>60665.94</v>
      </c>
      <c r="HZ46" s="2212">
        <v>54200.86</v>
      </c>
      <c r="IA46" s="2212">
        <v>22283.98</v>
      </c>
      <c r="IB46" s="2212">
        <v>24512.41</v>
      </c>
      <c r="IC46" s="2212">
        <v>34960.19</v>
      </c>
      <c r="ID46" s="2212">
        <v>15836.63</v>
      </c>
      <c r="IE46" s="2212">
        <v>65399.83</v>
      </c>
      <c r="IF46" s="2212">
        <v>53318.35</v>
      </c>
      <c r="IG46" s="2212">
        <v>53661.49</v>
      </c>
      <c r="IH46" s="2212">
        <v>37591.699999999997</v>
      </c>
      <c r="II46" s="2212">
        <v>23175</v>
      </c>
      <c r="IJ46" s="2212">
        <v>26190.65</v>
      </c>
      <c r="IK46" s="2212">
        <v>24140.77</v>
      </c>
      <c r="IL46" s="2212">
        <v>24512.5</v>
      </c>
      <c r="IM46" s="2212">
        <v>25533.119999999999</v>
      </c>
      <c r="IN46" s="2212">
        <v>54742.76</v>
      </c>
      <c r="IO46" s="2212">
        <v>47190.48</v>
      </c>
      <c r="IP46" s="2212"/>
      <c r="IR46" s="2212">
        <v>37889.089999999997</v>
      </c>
      <c r="IS46" s="2212">
        <v>24156.22</v>
      </c>
      <c r="IT46" s="2212">
        <v>22283.87</v>
      </c>
      <c r="IU46" s="2911">
        <v>23932.33</v>
      </c>
      <c r="IV46" s="2911">
        <v>24585.82</v>
      </c>
      <c r="IW46" s="2911">
        <v>26648.02</v>
      </c>
      <c r="IX46" s="2911">
        <v>27921.360000000001</v>
      </c>
      <c r="IY46" s="2207"/>
      <c r="IZ46" s="2215">
        <f t="shared" si="6"/>
        <v>37</v>
      </c>
    </row>
    <row r="47" spans="1:260">
      <c r="A47" s="2214">
        <v>38</v>
      </c>
      <c r="B47" s="2212">
        <v>67575.87</v>
      </c>
      <c r="C47" s="2927">
        <v>64956.56</v>
      </c>
      <c r="D47" s="2927">
        <v>59255.11</v>
      </c>
      <c r="E47" s="2212">
        <v>52466.82</v>
      </c>
      <c r="F47" s="2927">
        <v>52438.09</v>
      </c>
      <c r="G47" s="2212">
        <v>51029.45</v>
      </c>
      <c r="H47" s="2927">
        <v>49141</v>
      </c>
      <c r="I47" s="2212">
        <v>46588.73</v>
      </c>
      <c r="J47" s="2212">
        <v>51029.599999999999</v>
      </c>
      <c r="K47" s="2212">
        <v>48141.01</v>
      </c>
      <c r="L47" s="2927">
        <v>44951.59</v>
      </c>
      <c r="M47" s="2212">
        <v>44422.61</v>
      </c>
      <c r="N47" s="2927">
        <v>40663.03</v>
      </c>
      <c r="O47" s="2212">
        <v>39702.74</v>
      </c>
      <c r="P47" s="2927">
        <v>36448.949999999997</v>
      </c>
      <c r="Q47" s="2927">
        <v>30747.41</v>
      </c>
      <c r="R47" s="2212">
        <v>35448.949999999997</v>
      </c>
      <c r="S47" s="2212">
        <v>35448.949999999997</v>
      </c>
      <c r="T47" s="2212">
        <v>34457.300000000003</v>
      </c>
      <c r="U47" s="2212">
        <v>34457.300000000003</v>
      </c>
      <c r="V47" s="2212">
        <v>34457.300000000003</v>
      </c>
      <c r="W47" s="2212">
        <v>34457.300000000003</v>
      </c>
      <c r="X47" s="2212">
        <v>32474.23</v>
      </c>
      <c r="Y47" s="2927">
        <v>37018.620000000003</v>
      </c>
      <c r="Z47" s="2923">
        <v>35116</v>
      </c>
      <c r="AA47" s="2930">
        <v>35116</v>
      </c>
      <c r="AB47" s="2927">
        <v>36018.620000000003</v>
      </c>
      <c r="AC47" s="2212">
        <v>32127.200000000001</v>
      </c>
      <c r="AD47" s="2923">
        <v>34124</v>
      </c>
      <c r="AE47" s="2929">
        <v>34667.51</v>
      </c>
      <c r="AF47" s="2927">
        <v>31887.69</v>
      </c>
      <c r="AG47" s="2927">
        <v>31887.69</v>
      </c>
      <c r="AH47" s="2927">
        <v>33775.919999999998</v>
      </c>
      <c r="AI47" s="2927">
        <v>31069.54</v>
      </c>
      <c r="AJ47" s="2927">
        <v>28764.25</v>
      </c>
      <c r="AK47" s="2927">
        <v>23285.77</v>
      </c>
      <c r="AL47" s="2927">
        <v>21203.47</v>
      </c>
      <c r="AM47" s="2927">
        <v>20087.98</v>
      </c>
      <c r="AN47" s="2212">
        <v>22285.77</v>
      </c>
      <c r="AO47" s="2212">
        <v>20203.47</v>
      </c>
      <c r="AP47" s="2212">
        <v>19087.98</v>
      </c>
      <c r="AQ47" s="2923">
        <v>29159</v>
      </c>
      <c r="AR47" s="2923">
        <v>27459</v>
      </c>
      <c r="AS47" s="2929">
        <v>25541.58</v>
      </c>
      <c r="AT47" s="2927">
        <v>24797.94</v>
      </c>
      <c r="AU47" s="2928">
        <v>23285.82</v>
      </c>
      <c r="AV47" s="2212">
        <v>22423.77</v>
      </c>
      <c r="AW47" s="2212">
        <v>19659.32</v>
      </c>
      <c r="AX47" s="2212">
        <v>23371.47</v>
      </c>
      <c r="AY47" s="2212">
        <v>24789.439999999999</v>
      </c>
      <c r="AZ47" s="2212">
        <v>23802.89</v>
      </c>
      <c r="BA47" s="2212">
        <v>24789.42</v>
      </c>
      <c r="BB47" s="2212">
        <v>23797.86</v>
      </c>
      <c r="BC47" s="2212">
        <v>24759.1</v>
      </c>
      <c r="BD47" s="2212">
        <v>25533.119999999999</v>
      </c>
      <c r="BE47" s="2212">
        <v>24606.06</v>
      </c>
      <c r="BF47" s="2212">
        <v>26028.95</v>
      </c>
      <c r="BG47" s="2212">
        <v>19010.2</v>
      </c>
      <c r="BH47" s="2212">
        <v>29300</v>
      </c>
      <c r="BI47" s="2212">
        <v>28780.55</v>
      </c>
      <c r="BJ47" s="2212">
        <v>16476.650000000001</v>
      </c>
      <c r="BK47" s="2212">
        <v>16476.650000000001</v>
      </c>
      <c r="BL47" s="2212">
        <v>35150</v>
      </c>
      <c r="BM47" s="2212">
        <v>33887.269999999997</v>
      </c>
      <c r="BN47" s="2212">
        <v>33961.480000000003</v>
      </c>
      <c r="BO47" s="2212">
        <v>33521.82</v>
      </c>
      <c r="BP47" s="2212">
        <v>42055.29</v>
      </c>
      <c r="BQ47" s="2212">
        <v>27764.21</v>
      </c>
      <c r="BR47" s="2212">
        <v>45052.33</v>
      </c>
      <c r="BS47" s="2212">
        <v>38979.11</v>
      </c>
      <c r="BT47" s="2212">
        <v>32700</v>
      </c>
      <c r="BU47" s="2212">
        <v>37407.22</v>
      </c>
      <c r="BV47" s="2212">
        <v>48049.47</v>
      </c>
      <c r="BW47" s="2212">
        <v>51203.97</v>
      </c>
      <c r="BX47" s="2212">
        <v>36455.410000000003</v>
      </c>
      <c r="BY47" s="2212">
        <v>20382.759999999998</v>
      </c>
      <c r="BZ47" s="2212">
        <v>53661.440000000002</v>
      </c>
      <c r="CA47" s="2212">
        <v>24235.82</v>
      </c>
      <c r="CB47" s="2212">
        <v>24379.03</v>
      </c>
      <c r="CC47" s="2212">
        <v>24012.99</v>
      </c>
      <c r="CD47" s="2212">
        <v>30119.22</v>
      </c>
      <c r="CE47" s="2212">
        <v>32845.81</v>
      </c>
      <c r="CF47" s="2212">
        <v>39539.129999999997</v>
      </c>
      <c r="CG47" s="2212">
        <v>29747.23</v>
      </c>
      <c r="CH47" s="2927">
        <v>31263.01</v>
      </c>
      <c r="CI47" s="2927">
        <v>24285.77</v>
      </c>
      <c r="CJ47" s="2212">
        <v>22781.49</v>
      </c>
      <c r="CK47" s="2212">
        <v>21145.38</v>
      </c>
      <c r="CL47" s="2212">
        <v>23982.69</v>
      </c>
      <c r="CM47" s="2212">
        <v>21950</v>
      </c>
      <c r="CN47" s="2212">
        <v>25493.52</v>
      </c>
      <c r="CO47" s="2212">
        <v>17997.2</v>
      </c>
      <c r="CP47" s="2212">
        <v>18300</v>
      </c>
      <c r="CQ47" s="2212">
        <v>22902.959999999999</v>
      </c>
      <c r="CR47" s="2212">
        <v>23265.040000000001</v>
      </c>
      <c r="CS47" s="2212">
        <v>22284.04</v>
      </c>
      <c r="CT47" s="2212">
        <v>15617.5</v>
      </c>
      <c r="CU47" s="2212">
        <v>22756.69</v>
      </c>
      <c r="CV47" s="2212">
        <v>18740.89</v>
      </c>
      <c r="CW47" s="2212">
        <v>23264.99</v>
      </c>
      <c r="CX47" s="2212">
        <v>26550</v>
      </c>
      <c r="CY47" s="2212">
        <v>14513.31</v>
      </c>
      <c r="CZ47" s="2212">
        <v>19600</v>
      </c>
      <c r="DA47" s="2212">
        <v>29251.57</v>
      </c>
      <c r="DB47" s="2212">
        <v>26527.8</v>
      </c>
      <c r="DC47" s="2212">
        <v>23743.69</v>
      </c>
      <c r="DD47" s="2212">
        <v>18649.73</v>
      </c>
      <c r="DE47" s="2212">
        <v>26276.799999999999</v>
      </c>
      <c r="DF47" s="2212">
        <v>23743.78</v>
      </c>
      <c r="DG47" s="2212">
        <v>27020.48</v>
      </c>
      <c r="DH47" s="2212">
        <v>19732.47</v>
      </c>
      <c r="DI47" s="2212">
        <v>33589.65</v>
      </c>
      <c r="DJ47" s="2212">
        <v>18719.400000000001</v>
      </c>
      <c r="DK47" s="2212">
        <v>24764.720000000001</v>
      </c>
      <c r="DL47" s="2212">
        <v>38293.31</v>
      </c>
      <c r="DM47" s="2212">
        <v>37432.089999999997</v>
      </c>
      <c r="DN47" s="2212">
        <v>22283.79</v>
      </c>
      <c r="DO47" s="2212">
        <v>23730.07</v>
      </c>
      <c r="DP47" s="2212">
        <v>16729.849999999999</v>
      </c>
      <c r="DQ47" s="2212">
        <v>42055.29</v>
      </c>
      <c r="DR47" s="2212">
        <v>24194.49</v>
      </c>
      <c r="DS47" s="2212">
        <v>22284.080000000002</v>
      </c>
      <c r="DT47" s="2212">
        <v>28631.34</v>
      </c>
      <c r="DU47" s="2212">
        <v>26980.880000000001</v>
      </c>
      <c r="DV47" s="2212">
        <v>37432.04</v>
      </c>
      <c r="DW47" s="2212">
        <v>20382.75</v>
      </c>
      <c r="DX47" s="2212">
        <v>23264.74</v>
      </c>
      <c r="DY47" s="2212">
        <v>41398.32</v>
      </c>
      <c r="DZ47" s="2212">
        <v>38299.589999999997</v>
      </c>
      <c r="EA47" s="2212">
        <v>29150</v>
      </c>
      <c r="EB47" s="2212">
        <v>22742.560000000001</v>
      </c>
      <c r="EC47" s="2212">
        <v>23743.51</v>
      </c>
      <c r="ED47" s="2212">
        <v>26980.880000000001</v>
      </c>
      <c r="EE47" s="2212">
        <v>31846.67</v>
      </c>
      <c r="EF47" s="2212">
        <v>54200.7</v>
      </c>
      <c r="EG47" s="2212">
        <v>45052.35</v>
      </c>
      <c r="EH47" s="2212">
        <v>53661.49</v>
      </c>
      <c r="EI47" s="2212">
        <v>26326.45</v>
      </c>
      <c r="EJ47" s="2212">
        <v>33521.68</v>
      </c>
      <c r="EK47" s="2212">
        <v>23350</v>
      </c>
      <c r="EL47" s="2212">
        <v>35922.51</v>
      </c>
      <c r="EM47" s="2212">
        <v>35158.97</v>
      </c>
      <c r="EN47" s="2212">
        <v>18662.3</v>
      </c>
      <c r="EO47" s="2212">
        <v>23034.639999999999</v>
      </c>
      <c r="EP47" s="2212">
        <v>36455.53</v>
      </c>
      <c r="EQ47" s="2212">
        <v>47190.59</v>
      </c>
      <c r="ER47" s="2212">
        <v>26450</v>
      </c>
      <c r="ES47" s="2212">
        <v>22063.79</v>
      </c>
      <c r="ET47" s="2212">
        <v>33933.449999999997</v>
      </c>
      <c r="EU47" s="2212">
        <v>39539.14</v>
      </c>
      <c r="EV47" s="2212">
        <v>28609.360000000001</v>
      </c>
      <c r="EW47" s="2212">
        <v>57513.48</v>
      </c>
      <c r="EX47" s="2212">
        <v>37910.65</v>
      </c>
      <c r="EY47" s="2212">
        <v>24012.74</v>
      </c>
      <c r="EZ47" s="2212">
        <v>24012.880000000001</v>
      </c>
      <c r="FA47" s="2212">
        <v>18639.27</v>
      </c>
      <c r="FB47" s="2212">
        <v>38979.24</v>
      </c>
      <c r="FC47" s="2212">
        <v>48049.57</v>
      </c>
      <c r="FD47" s="2212">
        <v>47347.76</v>
      </c>
      <c r="FE47" s="2212">
        <v>33515.21</v>
      </c>
      <c r="FF47" s="2212">
        <v>39539.14</v>
      </c>
      <c r="FG47" s="2212">
        <v>35922.51</v>
      </c>
      <c r="FH47" s="2212">
        <v>15836.13</v>
      </c>
      <c r="FI47" s="2212">
        <v>25285.23</v>
      </c>
      <c r="FJ47" s="2212">
        <v>35101.81</v>
      </c>
      <c r="FK47" s="2212">
        <v>21677.9</v>
      </c>
      <c r="FL47" s="2212">
        <v>24379.09</v>
      </c>
      <c r="FM47" s="2212">
        <v>22908.52</v>
      </c>
      <c r="FN47" s="2212">
        <v>22741.98</v>
      </c>
      <c r="FO47" s="2212">
        <v>28012.04</v>
      </c>
      <c r="FP47" s="2212">
        <v>29785.69</v>
      </c>
      <c r="FQ47" s="2212">
        <v>24637.439999999999</v>
      </c>
      <c r="FR47" s="2212">
        <v>24408.61</v>
      </c>
      <c r="FS47" s="2212">
        <v>53049.33</v>
      </c>
      <c r="FT47" s="2212">
        <v>22729.29</v>
      </c>
      <c r="FU47" s="2212">
        <v>28607.01</v>
      </c>
      <c r="FV47" s="2212">
        <v>37910.81</v>
      </c>
      <c r="FW47" s="2212">
        <v>34247.1</v>
      </c>
      <c r="FX47" s="2212">
        <v>23483.53</v>
      </c>
      <c r="FY47" s="2212">
        <v>28817.74</v>
      </c>
      <c r="FZ47" s="2212">
        <v>49777.120000000003</v>
      </c>
      <c r="GA47" s="2212">
        <v>23032.12</v>
      </c>
      <c r="GB47" s="2212">
        <v>18273.62</v>
      </c>
      <c r="GC47" s="2212">
        <v>24013.01</v>
      </c>
      <c r="GD47" s="2212">
        <v>51809.84</v>
      </c>
      <c r="GE47" s="2212">
        <v>18877.150000000001</v>
      </c>
      <c r="GF47" s="2212">
        <v>44472.41</v>
      </c>
      <c r="GG47" s="2212">
        <v>51204.160000000003</v>
      </c>
      <c r="GH47" s="2212">
        <v>38299.74</v>
      </c>
      <c r="GI47" s="2212">
        <v>30937.15</v>
      </c>
      <c r="GJ47" s="2212">
        <v>23828.31</v>
      </c>
      <c r="GK47" s="2212">
        <v>39070.129999999997</v>
      </c>
      <c r="GL47" s="2212">
        <v>33502.44</v>
      </c>
      <c r="GM47" s="2212">
        <v>57513.53</v>
      </c>
      <c r="GN47" s="2212">
        <v>26004.12</v>
      </c>
      <c r="GO47" s="2212">
        <v>20228.240000000002</v>
      </c>
      <c r="GP47" s="2212">
        <v>24858.76</v>
      </c>
      <c r="GQ47" s="2212">
        <v>47190.62</v>
      </c>
      <c r="GR47" s="2212">
        <v>23254.560000000001</v>
      </c>
      <c r="GS47" s="2212">
        <v>23264.400000000001</v>
      </c>
      <c r="GT47" s="2212">
        <v>37146.07</v>
      </c>
      <c r="GU47" s="2212">
        <v>38593.03</v>
      </c>
      <c r="GV47" s="2212">
        <v>60665.88</v>
      </c>
      <c r="GW47" s="2212">
        <v>16162.76</v>
      </c>
      <c r="GX47" s="2212">
        <v>23397.88</v>
      </c>
      <c r="GY47" s="2212">
        <v>40010.33</v>
      </c>
      <c r="GZ47" s="2212">
        <v>24285.15</v>
      </c>
      <c r="HA47" s="2212">
        <v>65399.94</v>
      </c>
      <c r="HB47" s="2212">
        <v>23278.14</v>
      </c>
      <c r="HC47" s="2212">
        <v>34246.93</v>
      </c>
      <c r="HD47" s="2212">
        <v>25904.95</v>
      </c>
      <c r="HE47" s="2212">
        <v>35101.839999999997</v>
      </c>
      <c r="HF47" s="2212">
        <v>20700</v>
      </c>
      <c r="HG47" s="2212">
        <v>15844.8</v>
      </c>
      <c r="HH47" s="2212">
        <v>24066.54</v>
      </c>
      <c r="HI47" s="2212">
        <v>27409.07</v>
      </c>
      <c r="HJ47" s="2212">
        <v>22284.19</v>
      </c>
      <c r="HK47" s="2212">
        <v>22063.06</v>
      </c>
      <c r="HL47" s="2212">
        <v>48785.47</v>
      </c>
      <c r="HM47" s="2212">
        <v>46306.52</v>
      </c>
      <c r="HN47" s="2212">
        <v>24156.29</v>
      </c>
      <c r="HO47" s="2212">
        <v>38380.559999999998</v>
      </c>
      <c r="HP47" s="2212">
        <v>24066.54</v>
      </c>
      <c r="HQ47" s="2212">
        <v>57513.53</v>
      </c>
      <c r="HR47" s="2212">
        <v>49777.14</v>
      </c>
      <c r="HS47" s="2212">
        <v>24012.97</v>
      </c>
      <c r="HT47" s="2212">
        <v>21677.9</v>
      </c>
      <c r="HU47" s="2212">
        <v>60665.87</v>
      </c>
      <c r="HV47" s="2212">
        <v>26078.14</v>
      </c>
      <c r="HW47" s="2212">
        <v>23295.759999999998</v>
      </c>
      <c r="HX47" s="2212">
        <v>29896.15</v>
      </c>
      <c r="HY47" s="2212">
        <v>60665.94</v>
      </c>
      <c r="HZ47" s="2212">
        <v>54200.86</v>
      </c>
      <c r="IA47" s="2212">
        <v>22283.98</v>
      </c>
      <c r="IB47" s="2212">
        <v>24512.41</v>
      </c>
      <c r="IC47" s="2212">
        <v>34960.19</v>
      </c>
      <c r="ID47" s="2212">
        <v>15836.63</v>
      </c>
      <c r="IE47" s="2212">
        <v>65399.83</v>
      </c>
      <c r="IF47" s="2212">
        <v>53318.35</v>
      </c>
      <c r="IG47" s="2212">
        <v>53661.49</v>
      </c>
      <c r="IH47" s="2212">
        <v>37591.699999999997</v>
      </c>
      <c r="II47" s="2212">
        <v>23175</v>
      </c>
      <c r="IJ47" s="2212">
        <v>26190.65</v>
      </c>
      <c r="IK47" s="2212">
        <v>24140.77</v>
      </c>
      <c r="IL47" s="2212">
        <v>24512.5</v>
      </c>
      <c r="IM47" s="2212">
        <v>25533.119999999999</v>
      </c>
      <c r="IN47" s="2212">
        <v>54742.76</v>
      </c>
      <c r="IO47" s="2212">
        <v>47190.48</v>
      </c>
      <c r="IP47" s="2212"/>
      <c r="IR47" s="2212">
        <v>37889.089999999997</v>
      </c>
      <c r="IS47" s="2212">
        <v>24156.22</v>
      </c>
      <c r="IT47" s="2212">
        <v>22283.87</v>
      </c>
      <c r="IU47" s="2911">
        <v>23932.33</v>
      </c>
      <c r="IV47" s="2911">
        <v>24585.82</v>
      </c>
      <c r="IW47" s="2911">
        <v>26648.02</v>
      </c>
      <c r="IX47" s="2911">
        <v>27921.360000000001</v>
      </c>
      <c r="IY47" s="2207"/>
      <c r="IZ47" s="2215">
        <f t="shared" si="6"/>
        <v>38</v>
      </c>
    </row>
    <row r="48" spans="1:260">
      <c r="A48" s="2214">
        <v>39</v>
      </c>
      <c r="B48" s="2212">
        <v>67575.87</v>
      </c>
      <c r="C48" s="2927">
        <v>64956.56</v>
      </c>
      <c r="D48" s="2927">
        <v>59255.11</v>
      </c>
      <c r="E48" s="2212">
        <v>52466.82</v>
      </c>
      <c r="F48" s="2927">
        <v>52438.09</v>
      </c>
      <c r="G48" s="2212">
        <v>51029.45</v>
      </c>
      <c r="H48" s="2927">
        <v>49141</v>
      </c>
      <c r="I48" s="2212">
        <v>46588.73</v>
      </c>
      <c r="J48" s="2212">
        <v>51029.599999999999</v>
      </c>
      <c r="K48" s="2212">
        <v>48141.01</v>
      </c>
      <c r="L48" s="2927">
        <v>44951.59</v>
      </c>
      <c r="M48" s="2212">
        <v>44422.61</v>
      </c>
      <c r="N48" s="2927">
        <v>40663.03</v>
      </c>
      <c r="O48" s="2212">
        <v>39702.74</v>
      </c>
      <c r="P48" s="2927">
        <v>36448.949999999997</v>
      </c>
      <c r="Q48" s="2927">
        <v>30747.41</v>
      </c>
      <c r="R48" s="2212">
        <v>35448.949999999997</v>
      </c>
      <c r="S48" s="2212">
        <v>35448.949999999997</v>
      </c>
      <c r="T48" s="2212">
        <v>34457.300000000003</v>
      </c>
      <c r="U48" s="2212">
        <v>34457.300000000003</v>
      </c>
      <c r="V48" s="2212">
        <v>34457.300000000003</v>
      </c>
      <c r="W48" s="2212">
        <v>34457.300000000003</v>
      </c>
      <c r="X48" s="2212">
        <v>32474.23</v>
      </c>
      <c r="Y48" s="2927">
        <v>37018.620000000003</v>
      </c>
      <c r="Z48" s="2923">
        <v>35116</v>
      </c>
      <c r="AA48" s="2930">
        <v>35116</v>
      </c>
      <c r="AB48" s="2927">
        <v>36018.620000000003</v>
      </c>
      <c r="AC48" s="2212">
        <v>32127.200000000001</v>
      </c>
      <c r="AD48" s="2923">
        <v>34124</v>
      </c>
      <c r="AE48" s="2929">
        <v>34667.51</v>
      </c>
      <c r="AF48" s="2927">
        <v>31887.69</v>
      </c>
      <c r="AG48" s="2927">
        <v>31887.69</v>
      </c>
      <c r="AH48" s="2927">
        <v>33775.919999999998</v>
      </c>
      <c r="AI48" s="2927">
        <v>31069.54</v>
      </c>
      <c r="AJ48" s="2927">
        <v>28764.25</v>
      </c>
      <c r="AK48" s="2927">
        <v>23285.77</v>
      </c>
      <c r="AL48" s="2927">
        <v>21203.47</v>
      </c>
      <c r="AM48" s="2927">
        <v>20087.98</v>
      </c>
      <c r="AN48" s="2212">
        <v>22285.77</v>
      </c>
      <c r="AO48" s="2212">
        <v>20203.47</v>
      </c>
      <c r="AP48" s="2212">
        <v>19087.98</v>
      </c>
      <c r="AQ48" s="2923">
        <v>29159</v>
      </c>
      <c r="AR48" s="2923">
        <v>27459</v>
      </c>
      <c r="AS48" s="2929">
        <v>25541.58</v>
      </c>
      <c r="AT48" s="2927">
        <v>24797.94</v>
      </c>
      <c r="AU48" s="2928">
        <v>23285.82</v>
      </c>
      <c r="AV48" s="2212">
        <v>22423.77</v>
      </c>
      <c r="AW48" s="2212">
        <v>19659.32</v>
      </c>
      <c r="AX48" s="2212">
        <v>23371.47</v>
      </c>
      <c r="AY48" s="2212">
        <v>24789.439999999999</v>
      </c>
      <c r="AZ48" s="2212">
        <v>23802.89</v>
      </c>
      <c r="BA48" s="2212">
        <v>24789.42</v>
      </c>
      <c r="BB48" s="2212">
        <v>23797.86</v>
      </c>
      <c r="BC48" s="2212">
        <v>24759.1</v>
      </c>
      <c r="BD48" s="2212">
        <v>25533.119999999999</v>
      </c>
      <c r="BE48" s="2212">
        <v>24606.06</v>
      </c>
      <c r="BF48" s="2212">
        <v>26028.95</v>
      </c>
      <c r="BG48" s="2212">
        <v>19010.2</v>
      </c>
      <c r="BH48" s="2212">
        <v>29300</v>
      </c>
      <c r="BI48" s="2212">
        <v>28780.55</v>
      </c>
      <c r="BJ48" s="2212">
        <v>16476.650000000001</v>
      </c>
      <c r="BK48" s="2212">
        <v>16476.650000000001</v>
      </c>
      <c r="BL48" s="2212">
        <v>35150</v>
      </c>
      <c r="BM48" s="2212">
        <v>33887.269999999997</v>
      </c>
      <c r="BN48" s="2212">
        <v>33961.480000000003</v>
      </c>
      <c r="BO48" s="2212">
        <v>33521.82</v>
      </c>
      <c r="BP48" s="2212">
        <v>42055.29</v>
      </c>
      <c r="BQ48" s="2212">
        <v>27764.21</v>
      </c>
      <c r="BR48" s="2212">
        <v>45052.33</v>
      </c>
      <c r="BS48" s="2212">
        <v>38979.11</v>
      </c>
      <c r="BT48" s="2212">
        <v>32700</v>
      </c>
      <c r="BU48" s="2212">
        <v>37407.22</v>
      </c>
      <c r="BV48" s="2212">
        <v>48049.47</v>
      </c>
      <c r="BW48" s="2212">
        <v>51203.97</v>
      </c>
      <c r="BX48" s="2212">
        <v>36455.410000000003</v>
      </c>
      <c r="BY48" s="2212">
        <v>20382.759999999998</v>
      </c>
      <c r="BZ48" s="2212">
        <v>53661.440000000002</v>
      </c>
      <c r="CA48" s="2212">
        <v>24235.82</v>
      </c>
      <c r="CB48" s="2212">
        <v>24379.03</v>
      </c>
      <c r="CC48" s="2212">
        <v>24012.99</v>
      </c>
      <c r="CD48" s="2212">
        <v>30119.22</v>
      </c>
      <c r="CE48" s="2212">
        <v>32845.81</v>
      </c>
      <c r="CF48" s="2212">
        <v>39539.129999999997</v>
      </c>
      <c r="CG48" s="2212">
        <v>29747.23</v>
      </c>
      <c r="CH48" s="2927">
        <v>31263.01</v>
      </c>
      <c r="CI48" s="2927">
        <v>24285.77</v>
      </c>
      <c r="CJ48" s="2212">
        <v>22781.49</v>
      </c>
      <c r="CK48" s="2212">
        <v>21145.38</v>
      </c>
      <c r="CL48" s="2212">
        <v>23982.69</v>
      </c>
      <c r="CM48" s="2212">
        <v>21950</v>
      </c>
      <c r="CN48" s="2212">
        <v>25493.52</v>
      </c>
      <c r="CO48" s="2212">
        <v>17997.2</v>
      </c>
      <c r="CP48" s="2212">
        <v>18300</v>
      </c>
      <c r="CQ48" s="2212">
        <v>22902.959999999999</v>
      </c>
      <c r="CR48" s="2212">
        <v>23265.040000000001</v>
      </c>
      <c r="CS48" s="2212">
        <v>22284.04</v>
      </c>
      <c r="CT48" s="2212">
        <v>15617.5</v>
      </c>
      <c r="CU48" s="2212">
        <v>22756.69</v>
      </c>
      <c r="CV48" s="2212">
        <v>18740.89</v>
      </c>
      <c r="CW48" s="2212">
        <v>23264.99</v>
      </c>
      <c r="CX48" s="2212">
        <v>26550</v>
      </c>
      <c r="CY48" s="2212">
        <v>14513.31</v>
      </c>
      <c r="CZ48" s="2212">
        <v>19600</v>
      </c>
      <c r="DA48" s="2212">
        <v>29251.57</v>
      </c>
      <c r="DB48" s="2212">
        <v>26527.8</v>
      </c>
      <c r="DC48" s="2212">
        <v>23743.69</v>
      </c>
      <c r="DD48" s="2212">
        <v>18649.73</v>
      </c>
      <c r="DE48" s="2212">
        <v>26276.799999999999</v>
      </c>
      <c r="DF48" s="2212">
        <v>23743.78</v>
      </c>
      <c r="DG48" s="2212">
        <v>27020.48</v>
      </c>
      <c r="DH48" s="2212">
        <v>19732.47</v>
      </c>
      <c r="DI48" s="2212">
        <v>33589.65</v>
      </c>
      <c r="DJ48" s="2212">
        <v>18719.400000000001</v>
      </c>
      <c r="DK48" s="2212">
        <v>24764.720000000001</v>
      </c>
      <c r="DL48" s="2212">
        <v>38293.31</v>
      </c>
      <c r="DM48" s="2212">
        <v>37432.089999999997</v>
      </c>
      <c r="DN48" s="2212">
        <v>22283.79</v>
      </c>
      <c r="DO48" s="2212">
        <v>23730.07</v>
      </c>
      <c r="DP48" s="2212">
        <v>16729.849999999999</v>
      </c>
      <c r="DQ48" s="2212">
        <v>42055.29</v>
      </c>
      <c r="DR48" s="2212">
        <v>24194.49</v>
      </c>
      <c r="DS48" s="2212">
        <v>22284.080000000002</v>
      </c>
      <c r="DT48" s="2212">
        <v>28631.34</v>
      </c>
      <c r="DU48" s="2212">
        <v>26980.880000000001</v>
      </c>
      <c r="DV48" s="2212">
        <v>37432.04</v>
      </c>
      <c r="DW48" s="2212">
        <v>20382.75</v>
      </c>
      <c r="DX48" s="2212">
        <v>23264.74</v>
      </c>
      <c r="DY48" s="2212">
        <v>41398.32</v>
      </c>
      <c r="DZ48" s="2212">
        <v>38299.589999999997</v>
      </c>
      <c r="EA48" s="2212">
        <v>29150</v>
      </c>
      <c r="EB48" s="2212">
        <v>22742.560000000001</v>
      </c>
      <c r="EC48" s="2212">
        <v>23743.51</v>
      </c>
      <c r="ED48" s="2212">
        <v>26980.880000000001</v>
      </c>
      <c r="EE48" s="2212">
        <v>31846.67</v>
      </c>
      <c r="EF48" s="2212">
        <v>54200.7</v>
      </c>
      <c r="EG48" s="2212">
        <v>45052.35</v>
      </c>
      <c r="EH48" s="2212">
        <v>53661.49</v>
      </c>
      <c r="EI48" s="2212">
        <v>26326.45</v>
      </c>
      <c r="EJ48" s="2212">
        <v>33521.68</v>
      </c>
      <c r="EK48" s="2212">
        <v>23350</v>
      </c>
      <c r="EL48" s="2212">
        <v>35922.51</v>
      </c>
      <c r="EM48" s="2212">
        <v>35158.97</v>
      </c>
      <c r="EN48" s="2212">
        <v>18662.3</v>
      </c>
      <c r="EO48" s="2212">
        <v>23034.639999999999</v>
      </c>
      <c r="EP48" s="2212">
        <v>36455.53</v>
      </c>
      <c r="EQ48" s="2212">
        <v>47190.59</v>
      </c>
      <c r="ER48" s="2212">
        <v>26450</v>
      </c>
      <c r="ES48" s="2212">
        <v>22063.79</v>
      </c>
      <c r="ET48" s="2212">
        <v>33933.449999999997</v>
      </c>
      <c r="EU48" s="2212">
        <v>39539.14</v>
      </c>
      <c r="EV48" s="2212">
        <v>28609.360000000001</v>
      </c>
      <c r="EW48" s="2212">
        <v>57513.48</v>
      </c>
      <c r="EX48" s="2212">
        <v>37910.65</v>
      </c>
      <c r="EY48" s="2212">
        <v>24012.74</v>
      </c>
      <c r="EZ48" s="2212">
        <v>24012.880000000001</v>
      </c>
      <c r="FA48" s="2212">
        <v>18639.27</v>
      </c>
      <c r="FB48" s="2212">
        <v>38979.24</v>
      </c>
      <c r="FC48" s="2212">
        <v>48049.57</v>
      </c>
      <c r="FD48" s="2212">
        <v>47347.76</v>
      </c>
      <c r="FE48" s="2212">
        <v>33515.21</v>
      </c>
      <c r="FF48" s="2212">
        <v>39539.14</v>
      </c>
      <c r="FG48" s="2212">
        <v>35922.51</v>
      </c>
      <c r="FH48" s="2212">
        <v>15836.13</v>
      </c>
      <c r="FI48" s="2212">
        <v>25285.23</v>
      </c>
      <c r="FJ48" s="2212">
        <v>35101.81</v>
      </c>
      <c r="FK48" s="2212">
        <v>21677.9</v>
      </c>
      <c r="FL48" s="2212">
        <v>24379.09</v>
      </c>
      <c r="FM48" s="2212">
        <v>22908.52</v>
      </c>
      <c r="FN48" s="2212">
        <v>22741.98</v>
      </c>
      <c r="FO48" s="2212">
        <v>28012.04</v>
      </c>
      <c r="FP48" s="2212">
        <v>29785.69</v>
      </c>
      <c r="FQ48" s="2212">
        <v>24637.439999999999</v>
      </c>
      <c r="FR48" s="2212">
        <v>24408.61</v>
      </c>
      <c r="FS48" s="2212">
        <v>53049.33</v>
      </c>
      <c r="FT48" s="2212">
        <v>22729.29</v>
      </c>
      <c r="FU48" s="2212">
        <v>28607.01</v>
      </c>
      <c r="FV48" s="2212">
        <v>37910.81</v>
      </c>
      <c r="FW48" s="2212">
        <v>34247.1</v>
      </c>
      <c r="FX48" s="2212">
        <v>23483.53</v>
      </c>
      <c r="FY48" s="2212">
        <v>28817.74</v>
      </c>
      <c r="FZ48" s="2212">
        <v>49777.120000000003</v>
      </c>
      <c r="GA48" s="2212">
        <v>23032.12</v>
      </c>
      <c r="GB48" s="2212">
        <v>18273.62</v>
      </c>
      <c r="GC48" s="2212">
        <v>24013.01</v>
      </c>
      <c r="GD48" s="2212">
        <v>51809.84</v>
      </c>
      <c r="GE48" s="2212">
        <v>18877.150000000001</v>
      </c>
      <c r="GF48" s="2212">
        <v>44472.41</v>
      </c>
      <c r="GG48" s="2212">
        <v>51204.160000000003</v>
      </c>
      <c r="GH48" s="2212">
        <v>38299.74</v>
      </c>
      <c r="GI48" s="2212">
        <v>30937.15</v>
      </c>
      <c r="GJ48" s="2212">
        <v>23828.31</v>
      </c>
      <c r="GK48" s="2212">
        <v>39070.129999999997</v>
      </c>
      <c r="GL48" s="2212">
        <v>33502.44</v>
      </c>
      <c r="GM48" s="2212">
        <v>57513.53</v>
      </c>
      <c r="GN48" s="2212">
        <v>26004.12</v>
      </c>
      <c r="GO48" s="2212">
        <v>20228.240000000002</v>
      </c>
      <c r="GP48" s="2212">
        <v>24858.76</v>
      </c>
      <c r="GQ48" s="2212">
        <v>47190.62</v>
      </c>
      <c r="GR48" s="2212">
        <v>23254.560000000001</v>
      </c>
      <c r="GS48" s="2212">
        <v>23264.400000000001</v>
      </c>
      <c r="GT48" s="2212">
        <v>37146.07</v>
      </c>
      <c r="GU48" s="2212">
        <v>38593.03</v>
      </c>
      <c r="GV48" s="2212">
        <v>60665.88</v>
      </c>
      <c r="GW48" s="2212">
        <v>16162.76</v>
      </c>
      <c r="GX48" s="2212">
        <v>23397.88</v>
      </c>
      <c r="GY48" s="2212">
        <v>40010.33</v>
      </c>
      <c r="GZ48" s="2212">
        <v>24285.15</v>
      </c>
      <c r="HA48" s="2212">
        <v>65399.94</v>
      </c>
      <c r="HB48" s="2212">
        <v>23278.14</v>
      </c>
      <c r="HC48" s="2212">
        <v>34246.93</v>
      </c>
      <c r="HD48" s="2212">
        <v>25904.95</v>
      </c>
      <c r="HE48" s="2212">
        <v>35101.839999999997</v>
      </c>
      <c r="HF48" s="2212">
        <v>20700</v>
      </c>
      <c r="HG48" s="2212">
        <v>15844.8</v>
      </c>
      <c r="HH48" s="2212">
        <v>24066.54</v>
      </c>
      <c r="HI48" s="2212">
        <v>27409.07</v>
      </c>
      <c r="HJ48" s="2212">
        <v>22284.19</v>
      </c>
      <c r="HK48" s="2212">
        <v>22063.06</v>
      </c>
      <c r="HL48" s="2212">
        <v>48785.47</v>
      </c>
      <c r="HM48" s="2212">
        <v>46306.52</v>
      </c>
      <c r="HN48" s="2212">
        <v>24156.29</v>
      </c>
      <c r="HO48" s="2212">
        <v>38380.559999999998</v>
      </c>
      <c r="HP48" s="2212">
        <v>24066.54</v>
      </c>
      <c r="HQ48" s="2212">
        <v>57513.53</v>
      </c>
      <c r="HR48" s="2212">
        <v>49777.14</v>
      </c>
      <c r="HS48" s="2212">
        <v>24012.97</v>
      </c>
      <c r="HT48" s="2212">
        <v>21677.9</v>
      </c>
      <c r="HU48" s="2212">
        <v>60665.87</v>
      </c>
      <c r="HV48" s="2212">
        <v>26078.14</v>
      </c>
      <c r="HW48" s="2212">
        <v>23295.759999999998</v>
      </c>
      <c r="HX48" s="2212">
        <v>29896.15</v>
      </c>
      <c r="HY48" s="2212">
        <v>60665.94</v>
      </c>
      <c r="HZ48" s="2212">
        <v>54200.86</v>
      </c>
      <c r="IA48" s="2212">
        <v>22283.98</v>
      </c>
      <c r="IB48" s="2212">
        <v>24512.41</v>
      </c>
      <c r="IC48" s="2212">
        <v>34960.19</v>
      </c>
      <c r="ID48" s="2212">
        <v>15836.63</v>
      </c>
      <c r="IE48" s="2212">
        <v>65399.83</v>
      </c>
      <c r="IF48" s="2212">
        <v>53318.35</v>
      </c>
      <c r="IG48" s="2212">
        <v>53661.49</v>
      </c>
      <c r="IH48" s="2212">
        <v>37591.699999999997</v>
      </c>
      <c r="II48" s="2212">
        <v>23175</v>
      </c>
      <c r="IJ48" s="2212">
        <v>26190.65</v>
      </c>
      <c r="IK48" s="2212">
        <v>24140.77</v>
      </c>
      <c r="IL48" s="2212">
        <v>24512.5</v>
      </c>
      <c r="IM48" s="2212">
        <v>25533.119999999999</v>
      </c>
      <c r="IN48" s="2212">
        <v>54742.76</v>
      </c>
      <c r="IO48" s="2212">
        <v>47190.48</v>
      </c>
      <c r="IP48" s="2212"/>
      <c r="IR48" s="2212">
        <v>37889.089999999997</v>
      </c>
      <c r="IS48" s="2212">
        <v>24156.22</v>
      </c>
      <c r="IT48" s="2212">
        <v>22283.87</v>
      </c>
      <c r="IU48" s="2911">
        <v>23932.33</v>
      </c>
      <c r="IV48" s="2911">
        <v>24585.82</v>
      </c>
      <c r="IW48" s="2911">
        <v>26648.02</v>
      </c>
      <c r="IX48" s="2911">
        <v>27921.360000000001</v>
      </c>
      <c r="IY48" s="2207"/>
      <c r="IZ48" s="2215">
        <f t="shared" si="6"/>
        <v>39</v>
      </c>
    </row>
    <row r="49" spans="1:260">
      <c r="A49" s="2214">
        <v>40</v>
      </c>
      <c r="B49" s="2212">
        <v>67575.87</v>
      </c>
      <c r="C49" s="2927">
        <v>64956.56</v>
      </c>
      <c r="D49" s="2927">
        <v>59255.11</v>
      </c>
      <c r="E49" s="2212">
        <v>52466.82</v>
      </c>
      <c r="F49" s="2927">
        <v>52438.09</v>
      </c>
      <c r="G49" s="2212">
        <v>51029.45</v>
      </c>
      <c r="H49" s="2927">
        <v>49141</v>
      </c>
      <c r="I49" s="2212">
        <v>46588.73</v>
      </c>
      <c r="J49" s="2212">
        <v>51029.599999999999</v>
      </c>
      <c r="K49" s="2212">
        <v>48141.01</v>
      </c>
      <c r="L49" s="2927">
        <v>44951.59</v>
      </c>
      <c r="M49" s="2212">
        <v>44422.61</v>
      </c>
      <c r="N49" s="2927">
        <v>40663.03</v>
      </c>
      <c r="O49" s="2212">
        <v>39702.74</v>
      </c>
      <c r="P49" s="2927">
        <v>36448.949999999997</v>
      </c>
      <c r="Q49" s="2927">
        <v>30747.41</v>
      </c>
      <c r="R49" s="2212">
        <v>35448.949999999997</v>
      </c>
      <c r="S49" s="2212">
        <v>35448.949999999997</v>
      </c>
      <c r="T49" s="2212">
        <v>34457.300000000003</v>
      </c>
      <c r="U49" s="2212">
        <v>34457.300000000003</v>
      </c>
      <c r="V49" s="2212">
        <v>34457.300000000003</v>
      </c>
      <c r="W49" s="2212">
        <v>34457.300000000003</v>
      </c>
      <c r="X49" s="2212">
        <v>32474.23</v>
      </c>
      <c r="Y49" s="2927">
        <v>37018.620000000003</v>
      </c>
      <c r="Z49" s="2923">
        <v>35116</v>
      </c>
      <c r="AA49" s="2930">
        <v>35116</v>
      </c>
      <c r="AB49" s="2927">
        <v>36018.620000000003</v>
      </c>
      <c r="AC49" s="2212">
        <v>32127.200000000001</v>
      </c>
      <c r="AD49" s="2923">
        <v>34124</v>
      </c>
      <c r="AE49" s="2929">
        <v>34667.51</v>
      </c>
      <c r="AF49" s="2927">
        <v>31887.69</v>
      </c>
      <c r="AG49" s="2927">
        <v>31887.69</v>
      </c>
      <c r="AH49" s="2927">
        <v>33775.919999999998</v>
      </c>
      <c r="AI49" s="2927">
        <v>31069.54</v>
      </c>
      <c r="AJ49" s="2927">
        <v>28764.25</v>
      </c>
      <c r="AK49" s="2927">
        <v>23285.77</v>
      </c>
      <c r="AL49" s="2927">
        <v>21203.47</v>
      </c>
      <c r="AM49" s="2927">
        <v>20087.98</v>
      </c>
      <c r="AN49" s="2212">
        <v>22285.77</v>
      </c>
      <c r="AO49" s="2212">
        <v>20203.47</v>
      </c>
      <c r="AP49" s="2212">
        <v>19087.98</v>
      </c>
      <c r="AQ49" s="2923">
        <v>29159</v>
      </c>
      <c r="AR49" s="2923">
        <v>27459</v>
      </c>
      <c r="AS49" s="2929">
        <v>25541.58</v>
      </c>
      <c r="AT49" s="2927">
        <v>24797.94</v>
      </c>
      <c r="AU49" s="2928">
        <v>23285.82</v>
      </c>
      <c r="AV49" s="2212">
        <v>22423.77</v>
      </c>
      <c r="AW49" s="2212">
        <v>19659.32</v>
      </c>
      <c r="AX49" s="2212">
        <v>23371.47</v>
      </c>
      <c r="AY49" s="2212">
        <v>24789.439999999999</v>
      </c>
      <c r="AZ49" s="2212">
        <v>23802.89</v>
      </c>
      <c r="BA49" s="2212">
        <v>24789.42</v>
      </c>
      <c r="BB49" s="2212">
        <v>23797.86</v>
      </c>
      <c r="BC49" s="2212">
        <v>24759.1</v>
      </c>
      <c r="BD49" s="2212">
        <v>25533.119999999999</v>
      </c>
      <c r="BE49" s="2212">
        <v>24606.06</v>
      </c>
      <c r="BF49" s="2212">
        <v>26028.95</v>
      </c>
      <c r="BG49" s="2212">
        <v>19010.2</v>
      </c>
      <c r="BH49" s="2212">
        <v>29300</v>
      </c>
      <c r="BI49" s="2212">
        <v>28780.55</v>
      </c>
      <c r="BJ49" s="2212">
        <v>16476.650000000001</v>
      </c>
      <c r="BK49" s="2212">
        <v>16476.650000000001</v>
      </c>
      <c r="BL49" s="2212">
        <v>35150</v>
      </c>
      <c r="BM49" s="2212">
        <v>33887.269999999997</v>
      </c>
      <c r="BN49" s="2212">
        <v>33961.480000000003</v>
      </c>
      <c r="BO49" s="2212">
        <v>33521.82</v>
      </c>
      <c r="BP49" s="2212">
        <v>42055.29</v>
      </c>
      <c r="BQ49" s="2212">
        <v>27764.21</v>
      </c>
      <c r="BR49" s="2212">
        <v>45052.33</v>
      </c>
      <c r="BS49" s="2212">
        <v>38979.11</v>
      </c>
      <c r="BT49" s="2212">
        <v>32700</v>
      </c>
      <c r="BU49" s="2212">
        <v>37407.22</v>
      </c>
      <c r="BV49" s="2212">
        <v>48049.47</v>
      </c>
      <c r="BW49" s="2212">
        <v>51203.97</v>
      </c>
      <c r="BX49" s="2212">
        <v>36455.410000000003</v>
      </c>
      <c r="BY49" s="2212">
        <v>20382.759999999998</v>
      </c>
      <c r="BZ49" s="2212">
        <v>53661.440000000002</v>
      </c>
      <c r="CA49" s="2212">
        <v>24235.82</v>
      </c>
      <c r="CB49" s="2212">
        <v>24379.03</v>
      </c>
      <c r="CC49" s="2212">
        <v>24012.99</v>
      </c>
      <c r="CD49" s="2212">
        <v>30119.22</v>
      </c>
      <c r="CE49" s="2212">
        <v>32845.81</v>
      </c>
      <c r="CF49" s="2212">
        <v>39539.129999999997</v>
      </c>
      <c r="CG49" s="2212">
        <v>29747.23</v>
      </c>
      <c r="CH49" s="2927">
        <v>31263.01</v>
      </c>
      <c r="CI49" s="2927">
        <v>24285.77</v>
      </c>
      <c r="CJ49" s="2212">
        <v>22781.49</v>
      </c>
      <c r="CK49" s="2212">
        <v>21145.38</v>
      </c>
      <c r="CL49" s="2212">
        <v>23982.69</v>
      </c>
      <c r="CM49" s="2212">
        <v>21950</v>
      </c>
      <c r="CN49" s="2212">
        <v>25493.52</v>
      </c>
      <c r="CO49" s="2212">
        <v>17997.2</v>
      </c>
      <c r="CP49" s="2212">
        <v>18300</v>
      </c>
      <c r="CQ49" s="2212">
        <v>22902.959999999999</v>
      </c>
      <c r="CR49" s="2212">
        <v>23265.040000000001</v>
      </c>
      <c r="CS49" s="2212">
        <v>22284.04</v>
      </c>
      <c r="CT49" s="2212">
        <v>15617.5</v>
      </c>
      <c r="CU49" s="2212">
        <v>22756.69</v>
      </c>
      <c r="CV49" s="2212">
        <v>18740.89</v>
      </c>
      <c r="CW49" s="2212">
        <v>23264.99</v>
      </c>
      <c r="CX49" s="2212">
        <v>26550</v>
      </c>
      <c r="CY49" s="2212">
        <v>14513.31</v>
      </c>
      <c r="CZ49" s="2212">
        <v>19600</v>
      </c>
      <c r="DA49" s="2212">
        <v>29251.57</v>
      </c>
      <c r="DB49" s="2212">
        <v>26527.8</v>
      </c>
      <c r="DC49" s="2212">
        <v>23743.69</v>
      </c>
      <c r="DD49" s="2212">
        <v>18649.73</v>
      </c>
      <c r="DE49" s="2212">
        <v>26276.799999999999</v>
      </c>
      <c r="DF49" s="2212">
        <v>23743.78</v>
      </c>
      <c r="DG49" s="2212">
        <v>27020.48</v>
      </c>
      <c r="DH49" s="2212">
        <v>19732.47</v>
      </c>
      <c r="DI49" s="2212">
        <v>33589.65</v>
      </c>
      <c r="DJ49" s="2212">
        <v>18719.400000000001</v>
      </c>
      <c r="DK49" s="2212">
        <v>24764.720000000001</v>
      </c>
      <c r="DL49" s="2212">
        <v>38293.31</v>
      </c>
      <c r="DM49" s="2212">
        <v>37432.089999999997</v>
      </c>
      <c r="DN49" s="2212">
        <v>22283.79</v>
      </c>
      <c r="DO49" s="2212">
        <v>23730.07</v>
      </c>
      <c r="DP49" s="2212">
        <v>16729.849999999999</v>
      </c>
      <c r="DQ49" s="2212">
        <v>42055.29</v>
      </c>
      <c r="DR49" s="2212">
        <v>24194.49</v>
      </c>
      <c r="DS49" s="2212">
        <v>22284.080000000002</v>
      </c>
      <c r="DT49" s="2212">
        <v>28631.34</v>
      </c>
      <c r="DU49" s="2212">
        <v>26980.880000000001</v>
      </c>
      <c r="DV49" s="2212">
        <v>37432.04</v>
      </c>
      <c r="DW49" s="2212">
        <v>20382.75</v>
      </c>
      <c r="DX49" s="2212">
        <v>23264.74</v>
      </c>
      <c r="DY49" s="2212">
        <v>41398.32</v>
      </c>
      <c r="DZ49" s="2212">
        <v>38299.589999999997</v>
      </c>
      <c r="EA49" s="2212">
        <v>29150</v>
      </c>
      <c r="EB49" s="2212">
        <v>22742.560000000001</v>
      </c>
      <c r="EC49" s="2212">
        <v>23743.51</v>
      </c>
      <c r="ED49" s="2212">
        <v>26980.880000000001</v>
      </c>
      <c r="EE49" s="2212">
        <v>31846.67</v>
      </c>
      <c r="EF49" s="2212">
        <v>54200.7</v>
      </c>
      <c r="EG49" s="2212">
        <v>45052.35</v>
      </c>
      <c r="EH49" s="2212">
        <v>53661.49</v>
      </c>
      <c r="EI49" s="2212">
        <v>26326.45</v>
      </c>
      <c r="EJ49" s="2212">
        <v>33521.68</v>
      </c>
      <c r="EK49" s="2212">
        <v>23350</v>
      </c>
      <c r="EL49" s="2212">
        <v>35922.51</v>
      </c>
      <c r="EM49" s="2212">
        <v>35158.97</v>
      </c>
      <c r="EN49" s="2212">
        <v>18662.3</v>
      </c>
      <c r="EO49" s="2212">
        <v>23034.639999999999</v>
      </c>
      <c r="EP49" s="2212">
        <v>36455.53</v>
      </c>
      <c r="EQ49" s="2212">
        <v>47190.59</v>
      </c>
      <c r="ER49" s="2212">
        <v>26450</v>
      </c>
      <c r="ES49" s="2212">
        <v>22063.79</v>
      </c>
      <c r="ET49" s="2212">
        <v>33933.449999999997</v>
      </c>
      <c r="EU49" s="2212">
        <v>39539.14</v>
      </c>
      <c r="EV49" s="2212">
        <v>28609.360000000001</v>
      </c>
      <c r="EW49" s="2212">
        <v>57513.48</v>
      </c>
      <c r="EX49" s="2212">
        <v>37910.65</v>
      </c>
      <c r="EY49" s="2212">
        <v>24012.74</v>
      </c>
      <c r="EZ49" s="2212">
        <v>24012.880000000001</v>
      </c>
      <c r="FA49" s="2212">
        <v>18639.27</v>
      </c>
      <c r="FB49" s="2212">
        <v>38979.24</v>
      </c>
      <c r="FC49" s="2212">
        <v>48049.57</v>
      </c>
      <c r="FD49" s="2212">
        <v>47347.76</v>
      </c>
      <c r="FE49" s="2212">
        <v>33515.21</v>
      </c>
      <c r="FF49" s="2212">
        <v>39539.14</v>
      </c>
      <c r="FG49" s="2212">
        <v>35922.51</v>
      </c>
      <c r="FH49" s="2212">
        <v>15836.13</v>
      </c>
      <c r="FI49" s="2212">
        <v>25285.23</v>
      </c>
      <c r="FJ49" s="2212">
        <v>35101.81</v>
      </c>
      <c r="FK49" s="2212">
        <v>21677.9</v>
      </c>
      <c r="FL49" s="2212">
        <v>24379.09</v>
      </c>
      <c r="FM49" s="2212">
        <v>22908.52</v>
      </c>
      <c r="FN49" s="2212">
        <v>22741.98</v>
      </c>
      <c r="FO49" s="2212">
        <v>28012.04</v>
      </c>
      <c r="FP49" s="2212">
        <v>29785.69</v>
      </c>
      <c r="FQ49" s="2212">
        <v>24637.439999999999</v>
      </c>
      <c r="FR49" s="2212">
        <v>24408.61</v>
      </c>
      <c r="FS49" s="2212">
        <v>53049.33</v>
      </c>
      <c r="FT49" s="2212">
        <v>22729.29</v>
      </c>
      <c r="FU49" s="2212">
        <v>28607.01</v>
      </c>
      <c r="FV49" s="2212">
        <v>37910.81</v>
      </c>
      <c r="FW49" s="2212">
        <v>34247.1</v>
      </c>
      <c r="FX49" s="2212">
        <v>23483.53</v>
      </c>
      <c r="FY49" s="2212">
        <v>28817.74</v>
      </c>
      <c r="FZ49" s="2212">
        <v>49777.120000000003</v>
      </c>
      <c r="GA49" s="2212">
        <v>23032.12</v>
      </c>
      <c r="GB49" s="2212">
        <v>18273.62</v>
      </c>
      <c r="GC49" s="2212">
        <v>24013.01</v>
      </c>
      <c r="GD49" s="2212">
        <v>51809.84</v>
      </c>
      <c r="GE49" s="2212">
        <v>18877.150000000001</v>
      </c>
      <c r="GF49" s="2212">
        <v>44472.41</v>
      </c>
      <c r="GG49" s="2212">
        <v>51204.160000000003</v>
      </c>
      <c r="GH49" s="2212">
        <v>38299.74</v>
      </c>
      <c r="GI49" s="2212">
        <v>30937.15</v>
      </c>
      <c r="GJ49" s="2212">
        <v>23828.31</v>
      </c>
      <c r="GK49" s="2212">
        <v>39070.129999999997</v>
      </c>
      <c r="GL49" s="2212">
        <v>33502.44</v>
      </c>
      <c r="GM49" s="2212">
        <v>57513.53</v>
      </c>
      <c r="GN49" s="2212">
        <v>26004.12</v>
      </c>
      <c r="GO49" s="2212">
        <v>20228.240000000002</v>
      </c>
      <c r="GP49" s="2212">
        <v>24858.76</v>
      </c>
      <c r="GQ49" s="2212">
        <v>47190.62</v>
      </c>
      <c r="GR49" s="2212">
        <v>23254.560000000001</v>
      </c>
      <c r="GS49" s="2212">
        <v>23264.400000000001</v>
      </c>
      <c r="GT49" s="2212">
        <v>37146.07</v>
      </c>
      <c r="GU49" s="2212">
        <v>38593.03</v>
      </c>
      <c r="GV49" s="2212">
        <v>60665.88</v>
      </c>
      <c r="GW49" s="2212">
        <v>16162.76</v>
      </c>
      <c r="GX49" s="2212">
        <v>23397.88</v>
      </c>
      <c r="GY49" s="2212">
        <v>40010.33</v>
      </c>
      <c r="GZ49" s="2212">
        <v>24285.15</v>
      </c>
      <c r="HA49" s="2212">
        <v>65399.94</v>
      </c>
      <c r="HB49" s="2212">
        <v>23278.14</v>
      </c>
      <c r="HC49" s="2212">
        <v>34246.93</v>
      </c>
      <c r="HD49" s="2212">
        <v>25904.95</v>
      </c>
      <c r="HE49" s="2212">
        <v>35101.839999999997</v>
      </c>
      <c r="HF49" s="2212">
        <v>20700</v>
      </c>
      <c r="HG49" s="2212">
        <v>15844.8</v>
      </c>
      <c r="HH49" s="2212">
        <v>24066.54</v>
      </c>
      <c r="HI49" s="2212">
        <v>27409.07</v>
      </c>
      <c r="HJ49" s="2212">
        <v>22284.19</v>
      </c>
      <c r="HK49" s="2212">
        <v>22063.06</v>
      </c>
      <c r="HL49" s="2212">
        <v>48785.47</v>
      </c>
      <c r="HM49" s="2212">
        <v>46306.52</v>
      </c>
      <c r="HN49" s="2212">
        <v>24156.29</v>
      </c>
      <c r="HO49" s="2212">
        <v>38380.559999999998</v>
      </c>
      <c r="HP49" s="2212">
        <v>24066.54</v>
      </c>
      <c r="HQ49" s="2212">
        <v>57513.53</v>
      </c>
      <c r="HR49" s="2212">
        <v>49777.14</v>
      </c>
      <c r="HS49" s="2212">
        <v>24012.97</v>
      </c>
      <c r="HT49" s="2212">
        <v>21677.9</v>
      </c>
      <c r="HU49" s="2212">
        <v>60665.87</v>
      </c>
      <c r="HV49" s="2212">
        <v>26078.14</v>
      </c>
      <c r="HW49" s="2212">
        <v>23295.759999999998</v>
      </c>
      <c r="HX49" s="2212">
        <v>29896.15</v>
      </c>
      <c r="HY49" s="2212">
        <v>60665.94</v>
      </c>
      <c r="HZ49" s="2212">
        <v>54200.86</v>
      </c>
      <c r="IA49" s="2212">
        <v>22283.98</v>
      </c>
      <c r="IB49" s="2212">
        <v>24512.41</v>
      </c>
      <c r="IC49" s="2212">
        <v>34960.19</v>
      </c>
      <c r="ID49" s="2212">
        <v>15836.63</v>
      </c>
      <c r="IE49" s="2212">
        <v>65399.83</v>
      </c>
      <c r="IF49" s="2212">
        <v>53318.35</v>
      </c>
      <c r="IG49" s="2212">
        <v>53661.49</v>
      </c>
      <c r="IH49" s="2212">
        <v>37591.699999999997</v>
      </c>
      <c r="II49" s="2212">
        <v>23175</v>
      </c>
      <c r="IJ49" s="2212">
        <v>26190.65</v>
      </c>
      <c r="IK49" s="2212">
        <v>24140.77</v>
      </c>
      <c r="IL49" s="2212">
        <v>24512.5</v>
      </c>
      <c r="IM49" s="2212">
        <v>25533.119999999999</v>
      </c>
      <c r="IN49" s="2212">
        <v>54742.76</v>
      </c>
      <c r="IO49" s="2212">
        <v>47190.48</v>
      </c>
      <c r="IP49" s="2212"/>
      <c r="IR49" s="2212">
        <v>37889.089999999997</v>
      </c>
      <c r="IS49" s="2212">
        <v>24156.22</v>
      </c>
      <c r="IT49" s="2212">
        <v>22283.87</v>
      </c>
      <c r="IU49" s="2911">
        <v>23932.33</v>
      </c>
      <c r="IV49" s="2911">
        <v>24585.82</v>
      </c>
      <c r="IW49" s="2911">
        <v>26648.02</v>
      </c>
      <c r="IX49" s="2911">
        <v>27921.360000000001</v>
      </c>
      <c r="IY49" s="2207"/>
      <c r="IZ49" s="2215">
        <f t="shared" si="6"/>
        <v>40</v>
      </c>
    </row>
    <row r="50" spans="1:260">
      <c r="A50" s="2214">
        <v>41</v>
      </c>
      <c r="B50" s="2212">
        <v>67575.87</v>
      </c>
      <c r="C50" s="2927">
        <v>64956.56</v>
      </c>
      <c r="D50" s="2927">
        <v>59255.11</v>
      </c>
      <c r="E50" s="2212">
        <v>52466.82</v>
      </c>
      <c r="F50" s="2927">
        <v>52438.09</v>
      </c>
      <c r="G50" s="2212">
        <v>51029.45</v>
      </c>
      <c r="H50" s="2927">
        <v>49141</v>
      </c>
      <c r="I50" s="2212">
        <v>46588.73</v>
      </c>
      <c r="J50" s="2212">
        <v>51029.599999999999</v>
      </c>
      <c r="K50" s="2212">
        <v>48141.01</v>
      </c>
      <c r="L50" s="2927">
        <v>44951.59</v>
      </c>
      <c r="M50" s="2212">
        <v>44422.61</v>
      </c>
      <c r="N50" s="2927">
        <v>40663.03</v>
      </c>
      <c r="O50" s="2212">
        <v>39702.74</v>
      </c>
      <c r="P50" s="2927">
        <v>36448.949999999997</v>
      </c>
      <c r="Q50" s="2927">
        <v>30747.41</v>
      </c>
      <c r="R50" s="2212">
        <v>35448.949999999997</v>
      </c>
      <c r="S50" s="2212">
        <v>35448.949999999997</v>
      </c>
      <c r="T50" s="2212">
        <v>34457.300000000003</v>
      </c>
      <c r="U50" s="2212">
        <v>34457.300000000003</v>
      </c>
      <c r="V50" s="2212">
        <v>34457.300000000003</v>
      </c>
      <c r="W50" s="2212">
        <v>34457.300000000003</v>
      </c>
      <c r="X50" s="2212">
        <v>32474.23</v>
      </c>
      <c r="Y50" s="2927">
        <v>37018.620000000003</v>
      </c>
      <c r="Z50" s="2923">
        <v>35116</v>
      </c>
      <c r="AA50" s="2930">
        <v>35116</v>
      </c>
      <c r="AB50" s="2927">
        <v>36018.620000000003</v>
      </c>
      <c r="AC50" s="2212">
        <v>32127.200000000001</v>
      </c>
      <c r="AD50" s="2923">
        <v>34124</v>
      </c>
      <c r="AE50" s="2929">
        <v>34667.51</v>
      </c>
      <c r="AF50" s="2927">
        <v>31887.69</v>
      </c>
      <c r="AG50" s="2927">
        <v>31887.69</v>
      </c>
      <c r="AH50" s="2927">
        <v>33775.919999999998</v>
      </c>
      <c r="AI50" s="2927">
        <v>31069.54</v>
      </c>
      <c r="AJ50" s="2927">
        <v>28764.25</v>
      </c>
      <c r="AK50" s="2927">
        <v>23285.77</v>
      </c>
      <c r="AL50" s="2927">
        <v>21203.47</v>
      </c>
      <c r="AM50" s="2927">
        <v>20087.98</v>
      </c>
      <c r="AN50" s="2212">
        <v>22285.77</v>
      </c>
      <c r="AO50" s="2212">
        <v>20203.47</v>
      </c>
      <c r="AP50" s="2212">
        <v>19087.98</v>
      </c>
      <c r="AQ50" s="2923">
        <v>29159</v>
      </c>
      <c r="AR50" s="2923">
        <v>27459</v>
      </c>
      <c r="AS50" s="2929">
        <v>25541.58</v>
      </c>
      <c r="AT50" s="2927">
        <v>24797.94</v>
      </c>
      <c r="AU50" s="2928">
        <v>23285.82</v>
      </c>
      <c r="AV50" s="2212">
        <v>22423.77</v>
      </c>
      <c r="AW50" s="2212">
        <v>19659.32</v>
      </c>
      <c r="AX50" s="2212">
        <v>23371.47</v>
      </c>
      <c r="AY50" s="2212">
        <v>24789.439999999999</v>
      </c>
      <c r="AZ50" s="2212">
        <v>23802.89</v>
      </c>
      <c r="BA50" s="2212">
        <v>24789.42</v>
      </c>
      <c r="BB50" s="2212">
        <v>23797.86</v>
      </c>
      <c r="BC50" s="2212">
        <v>24759.1</v>
      </c>
      <c r="BD50" s="2212">
        <v>25533.119999999999</v>
      </c>
      <c r="BE50" s="2212">
        <v>24606.06</v>
      </c>
      <c r="BF50" s="2212">
        <v>26028.95</v>
      </c>
      <c r="BG50" s="2212">
        <v>19010.2</v>
      </c>
      <c r="BH50" s="2212">
        <v>29300</v>
      </c>
      <c r="BI50" s="2212">
        <v>28780.55</v>
      </c>
      <c r="BJ50" s="2212">
        <v>16476.650000000001</v>
      </c>
      <c r="BK50" s="2212">
        <v>16476.650000000001</v>
      </c>
      <c r="BL50" s="2212">
        <v>35150</v>
      </c>
      <c r="BM50" s="2212">
        <v>33887.269999999997</v>
      </c>
      <c r="BN50" s="2212">
        <v>33961.480000000003</v>
      </c>
      <c r="BO50" s="2212">
        <v>33521.82</v>
      </c>
      <c r="BP50" s="2212">
        <v>42055.29</v>
      </c>
      <c r="BQ50" s="2212">
        <v>27764.21</v>
      </c>
      <c r="BR50" s="2212">
        <v>45052.33</v>
      </c>
      <c r="BS50" s="2212">
        <v>38979.11</v>
      </c>
      <c r="BT50" s="2212">
        <v>32700</v>
      </c>
      <c r="BU50" s="2212">
        <v>37407.22</v>
      </c>
      <c r="BV50" s="2212">
        <v>48049.47</v>
      </c>
      <c r="BW50" s="2212">
        <v>51203.97</v>
      </c>
      <c r="BX50" s="2212">
        <v>36455.410000000003</v>
      </c>
      <c r="BY50" s="2212">
        <v>20382.759999999998</v>
      </c>
      <c r="BZ50" s="2212">
        <v>53661.440000000002</v>
      </c>
      <c r="CA50" s="2212">
        <v>24235.82</v>
      </c>
      <c r="CB50" s="2212">
        <v>24379.03</v>
      </c>
      <c r="CC50" s="2212">
        <v>24012.99</v>
      </c>
      <c r="CD50" s="2212">
        <v>30119.22</v>
      </c>
      <c r="CE50" s="2212">
        <v>32845.81</v>
      </c>
      <c r="CF50" s="2212">
        <v>39539.129999999997</v>
      </c>
      <c r="CG50" s="2212">
        <v>29747.23</v>
      </c>
      <c r="CH50" s="2927">
        <v>31263.01</v>
      </c>
      <c r="CI50" s="2927">
        <v>24285.77</v>
      </c>
      <c r="CJ50" s="2212">
        <v>22781.49</v>
      </c>
      <c r="CK50" s="2212">
        <v>21145.38</v>
      </c>
      <c r="CL50" s="2212">
        <v>23982.69</v>
      </c>
      <c r="CM50" s="2212">
        <v>21950</v>
      </c>
      <c r="CN50" s="2212">
        <v>25493.52</v>
      </c>
      <c r="CO50" s="2212">
        <v>17997.2</v>
      </c>
      <c r="CP50" s="2212">
        <v>18300</v>
      </c>
      <c r="CQ50" s="2212">
        <v>22902.959999999999</v>
      </c>
      <c r="CR50" s="2212">
        <v>23265.040000000001</v>
      </c>
      <c r="CS50" s="2212">
        <v>22284.04</v>
      </c>
      <c r="CT50" s="2212">
        <v>15617.5</v>
      </c>
      <c r="CU50" s="2212">
        <v>22756.69</v>
      </c>
      <c r="CV50" s="2212">
        <v>18740.89</v>
      </c>
      <c r="CW50" s="2212">
        <v>23264.99</v>
      </c>
      <c r="CX50" s="2212">
        <v>26550</v>
      </c>
      <c r="CY50" s="2212">
        <v>14513.31</v>
      </c>
      <c r="CZ50" s="2212">
        <v>19600</v>
      </c>
      <c r="DA50" s="2212">
        <v>29251.57</v>
      </c>
      <c r="DB50" s="2212">
        <v>26527.8</v>
      </c>
      <c r="DC50" s="2212">
        <v>23743.69</v>
      </c>
      <c r="DD50" s="2212">
        <v>18649.73</v>
      </c>
      <c r="DE50" s="2212">
        <v>26276.799999999999</v>
      </c>
      <c r="DF50" s="2212">
        <v>23743.78</v>
      </c>
      <c r="DG50" s="2212">
        <v>27020.48</v>
      </c>
      <c r="DH50" s="2212">
        <v>19732.47</v>
      </c>
      <c r="DI50" s="2212">
        <v>33589.65</v>
      </c>
      <c r="DJ50" s="2212">
        <v>18719.400000000001</v>
      </c>
      <c r="DK50" s="2212">
        <v>24764.720000000001</v>
      </c>
      <c r="DL50" s="2212">
        <v>38293.31</v>
      </c>
      <c r="DM50" s="2212">
        <v>37432.089999999997</v>
      </c>
      <c r="DN50" s="2212">
        <v>22283.79</v>
      </c>
      <c r="DO50" s="2212">
        <v>23730.07</v>
      </c>
      <c r="DP50" s="2212">
        <v>16729.849999999999</v>
      </c>
      <c r="DQ50" s="2212">
        <v>42055.29</v>
      </c>
      <c r="DR50" s="2212">
        <v>24194.49</v>
      </c>
      <c r="DS50" s="2212">
        <v>22284.080000000002</v>
      </c>
      <c r="DT50" s="2212">
        <v>28631.34</v>
      </c>
      <c r="DU50" s="2212">
        <v>26980.880000000001</v>
      </c>
      <c r="DV50" s="2212">
        <v>37432.04</v>
      </c>
      <c r="DW50" s="2212">
        <v>20382.75</v>
      </c>
      <c r="DX50" s="2212">
        <v>23264.74</v>
      </c>
      <c r="DY50" s="2212">
        <v>41398.32</v>
      </c>
      <c r="DZ50" s="2212">
        <v>38299.589999999997</v>
      </c>
      <c r="EA50" s="2212">
        <v>29150</v>
      </c>
      <c r="EB50" s="2212">
        <v>22742.560000000001</v>
      </c>
      <c r="EC50" s="2212">
        <v>23743.51</v>
      </c>
      <c r="ED50" s="2212">
        <v>26980.880000000001</v>
      </c>
      <c r="EE50" s="2212">
        <v>31846.67</v>
      </c>
      <c r="EF50" s="2212">
        <v>54200.7</v>
      </c>
      <c r="EG50" s="2212">
        <v>45052.35</v>
      </c>
      <c r="EH50" s="2212">
        <v>53661.49</v>
      </c>
      <c r="EI50" s="2212">
        <v>26326.45</v>
      </c>
      <c r="EJ50" s="2212">
        <v>33521.68</v>
      </c>
      <c r="EK50" s="2212">
        <v>23350</v>
      </c>
      <c r="EL50" s="2212">
        <v>35922.51</v>
      </c>
      <c r="EM50" s="2212">
        <v>35158.97</v>
      </c>
      <c r="EN50" s="2212">
        <v>18662.3</v>
      </c>
      <c r="EO50" s="2212">
        <v>23034.639999999999</v>
      </c>
      <c r="EP50" s="2212">
        <v>36455.53</v>
      </c>
      <c r="EQ50" s="2212">
        <v>47190.59</v>
      </c>
      <c r="ER50" s="2212">
        <v>26450</v>
      </c>
      <c r="ES50" s="2212">
        <v>22063.79</v>
      </c>
      <c r="ET50" s="2212">
        <v>33933.449999999997</v>
      </c>
      <c r="EU50" s="2212">
        <v>39539.14</v>
      </c>
      <c r="EV50" s="2212">
        <v>28609.360000000001</v>
      </c>
      <c r="EW50" s="2212">
        <v>57513.48</v>
      </c>
      <c r="EX50" s="2212">
        <v>37910.65</v>
      </c>
      <c r="EY50" s="2212">
        <v>24012.74</v>
      </c>
      <c r="EZ50" s="2212">
        <v>24012.880000000001</v>
      </c>
      <c r="FA50" s="2212">
        <v>18639.27</v>
      </c>
      <c r="FB50" s="2212">
        <v>38979.24</v>
      </c>
      <c r="FC50" s="2212">
        <v>48049.57</v>
      </c>
      <c r="FD50" s="2212">
        <v>47347.76</v>
      </c>
      <c r="FE50" s="2212">
        <v>33515.21</v>
      </c>
      <c r="FF50" s="2212">
        <v>39539.14</v>
      </c>
      <c r="FG50" s="2212">
        <v>35922.51</v>
      </c>
      <c r="FH50" s="2212">
        <v>15836.13</v>
      </c>
      <c r="FI50" s="2212">
        <v>25285.23</v>
      </c>
      <c r="FJ50" s="2212">
        <v>35101.81</v>
      </c>
      <c r="FK50" s="2212">
        <v>21677.9</v>
      </c>
      <c r="FL50" s="2212">
        <v>24379.09</v>
      </c>
      <c r="FM50" s="2212">
        <v>22908.52</v>
      </c>
      <c r="FN50" s="2212">
        <v>22741.98</v>
      </c>
      <c r="FO50" s="2212">
        <v>28012.04</v>
      </c>
      <c r="FP50" s="2212">
        <v>29785.69</v>
      </c>
      <c r="FQ50" s="2212">
        <v>24637.439999999999</v>
      </c>
      <c r="FR50" s="2212">
        <v>24408.61</v>
      </c>
      <c r="FS50" s="2212">
        <v>53049.33</v>
      </c>
      <c r="FT50" s="2212">
        <v>22729.29</v>
      </c>
      <c r="FU50" s="2212">
        <v>28607.01</v>
      </c>
      <c r="FV50" s="2212">
        <v>37910.81</v>
      </c>
      <c r="FW50" s="2212">
        <v>34247.1</v>
      </c>
      <c r="FX50" s="2212">
        <v>23483.53</v>
      </c>
      <c r="FY50" s="2212">
        <v>28817.74</v>
      </c>
      <c r="FZ50" s="2212">
        <v>49777.120000000003</v>
      </c>
      <c r="GA50" s="2212">
        <v>23032.12</v>
      </c>
      <c r="GB50" s="2212">
        <v>18273.62</v>
      </c>
      <c r="GC50" s="2212">
        <v>24013.01</v>
      </c>
      <c r="GD50" s="2212">
        <v>51809.84</v>
      </c>
      <c r="GE50" s="2212">
        <v>18877.150000000001</v>
      </c>
      <c r="GF50" s="2212">
        <v>44472.41</v>
      </c>
      <c r="GG50" s="2212">
        <v>51204.160000000003</v>
      </c>
      <c r="GH50" s="2212">
        <v>38299.74</v>
      </c>
      <c r="GI50" s="2212">
        <v>30937.15</v>
      </c>
      <c r="GJ50" s="2212">
        <v>23828.31</v>
      </c>
      <c r="GK50" s="2212">
        <v>39070.129999999997</v>
      </c>
      <c r="GL50" s="2212">
        <v>33502.44</v>
      </c>
      <c r="GM50" s="2212">
        <v>57513.53</v>
      </c>
      <c r="GN50" s="2212">
        <v>26004.12</v>
      </c>
      <c r="GO50" s="2212">
        <v>20228.240000000002</v>
      </c>
      <c r="GP50" s="2212">
        <v>24858.76</v>
      </c>
      <c r="GQ50" s="2212">
        <v>47190.62</v>
      </c>
      <c r="GR50" s="2212">
        <v>23254.560000000001</v>
      </c>
      <c r="GS50" s="2212">
        <v>23264.400000000001</v>
      </c>
      <c r="GT50" s="2212">
        <v>37146.07</v>
      </c>
      <c r="GU50" s="2212">
        <v>38593.03</v>
      </c>
      <c r="GV50" s="2212">
        <v>60665.88</v>
      </c>
      <c r="GW50" s="2212">
        <v>16162.76</v>
      </c>
      <c r="GX50" s="2212">
        <v>23397.88</v>
      </c>
      <c r="GY50" s="2212">
        <v>40010.33</v>
      </c>
      <c r="GZ50" s="2212">
        <v>24285.15</v>
      </c>
      <c r="HA50" s="2212">
        <v>65399.94</v>
      </c>
      <c r="HB50" s="2212">
        <v>23278.14</v>
      </c>
      <c r="HC50" s="2212">
        <v>34246.93</v>
      </c>
      <c r="HD50" s="2212">
        <v>25904.95</v>
      </c>
      <c r="HE50" s="2212">
        <v>35101.839999999997</v>
      </c>
      <c r="HF50" s="2212">
        <v>20700</v>
      </c>
      <c r="HG50" s="2212">
        <v>15844.8</v>
      </c>
      <c r="HH50" s="2212">
        <v>24066.54</v>
      </c>
      <c r="HI50" s="2212">
        <v>27409.07</v>
      </c>
      <c r="HJ50" s="2212">
        <v>22284.19</v>
      </c>
      <c r="HK50" s="2212">
        <v>22063.06</v>
      </c>
      <c r="HL50" s="2212">
        <v>48785.47</v>
      </c>
      <c r="HM50" s="2212">
        <v>46306.52</v>
      </c>
      <c r="HN50" s="2212">
        <v>24156.29</v>
      </c>
      <c r="HO50" s="2212">
        <v>38380.559999999998</v>
      </c>
      <c r="HP50" s="2212">
        <v>24066.54</v>
      </c>
      <c r="HQ50" s="2212">
        <v>57513.53</v>
      </c>
      <c r="HR50" s="2212">
        <v>49777.14</v>
      </c>
      <c r="HS50" s="2212">
        <v>24012.97</v>
      </c>
      <c r="HT50" s="2212">
        <v>21677.9</v>
      </c>
      <c r="HU50" s="2212">
        <v>60665.87</v>
      </c>
      <c r="HV50" s="2212">
        <v>26078.14</v>
      </c>
      <c r="HW50" s="2212">
        <v>23295.759999999998</v>
      </c>
      <c r="HX50" s="2212">
        <v>29896.15</v>
      </c>
      <c r="HY50" s="2212">
        <v>60665.94</v>
      </c>
      <c r="HZ50" s="2212">
        <v>54200.86</v>
      </c>
      <c r="IA50" s="2212">
        <v>22283.98</v>
      </c>
      <c r="IB50" s="2212">
        <v>24512.41</v>
      </c>
      <c r="IC50" s="2212">
        <v>34960.19</v>
      </c>
      <c r="ID50" s="2212">
        <v>15836.63</v>
      </c>
      <c r="IE50" s="2212">
        <v>65399.83</v>
      </c>
      <c r="IF50" s="2212">
        <v>53318.35</v>
      </c>
      <c r="IG50" s="2212">
        <v>53661.49</v>
      </c>
      <c r="IH50" s="2212">
        <v>37591.699999999997</v>
      </c>
      <c r="II50" s="2212">
        <v>23175</v>
      </c>
      <c r="IJ50" s="2212">
        <v>26190.65</v>
      </c>
      <c r="IK50" s="2212">
        <v>24140.77</v>
      </c>
      <c r="IL50" s="2212">
        <v>24512.5</v>
      </c>
      <c r="IM50" s="2212">
        <v>25533.119999999999</v>
      </c>
      <c r="IN50" s="2212">
        <v>54742.76</v>
      </c>
      <c r="IO50" s="2212">
        <v>47190.48</v>
      </c>
      <c r="IP50" s="2212"/>
      <c r="IR50" s="2212">
        <v>37889.089999999997</v>
      </c>
      <c r="IS50" s="2212">
        <v>24156.22</v>
      </c>
      <c r="IT50" s="2212">
        <v>22283.87</v>
      </c>
      <c r="IU50" s="2911">
        <v>23932.33</v>
      </c>
      <c r="IV50" s="2911">
        <v>24585.82</v>
      </c>
      <c r="IW50" s="2911">
        <v>26648.02</v>
      </c>
      <c r="IX50" s="2911">
        <v>27921.360000000001</v>
      </c>
      <c r="IY50" s="2207"/>
      <c r="IZ50" s="2215">
        <f t="shared" si="6"/>
        <v>41</v>
      </c>
    </row>
    <row r="51" spans="1:260">
      <c r="A51" s="2214">
        <v>42</v>
      </c>
      <c r="B51" s="2212">
        <v>67575.87</v>
      </c>
      <c r="C51" s="2927">
        <v>64956.56</v>
      </c>
      <c r="D51" s="2927">
        <v>59255.11</v>
      </c>
      <c r="E51" s="2212">
        <v>52466.82</v>
      </c>
      <c r="F51" s="2927">
        <v>52438.09</v>
      </c>
      <c r="G51" s="2212">
        <v>51029.45</v>
      </c>
      <c r="H51" s="2927">
        <v>49141</v>
      </c>
      <c r="I51" s="2212">
        <v>46588.73</v>
      </c>
      <c r="J51" s="2212">
        <v>51029.599999999999</v>
      </c>
      <c r="K51" s="2212">
        <v>48141.01</v>
      </c>
      <c r="L51" s="2927">
        <v>44951.59</v>
      </c>
      <c r="M51" s="2212">
        <v>44422.61</v>
      </c>
      <c r="N51" s="2927">
        <v>40663.03</v>
      </c>
      <c r="O51" s="2212">
        <v>39702.74</v>
      </c>
      <c r="P51" s="2927">
        <v>36448.949999999997</v>
      </c>
      <c r="Q51" s="2927">
        <v>30747.41</v>
      </c>
      <c r="R51" s="2212">
        <v>35448.949999999997</v>
      </c>
      <c r="S51" s="2212">
        <v>35448.949999999997</v>
      </c>
      <c r="T51" s="2212">
        <v>34457.300000000003</v>
      </c>
      <c r="U51" s="2212">
        <v>34457.300000000003</v>
      </c>
      <c r="V51" s="2212">
        <v>34457.300000000003</v>
      </c>
      <c r="W51" s="2212">
        <v>34457.300000000003</v>
      </c>
      <c r="X51" s="2212">
        <v>32474.23</v>
      </c>
      <c r="Y51" s="2927">
        <v>37018.620000000003</v>
      </c>
      <c r="Z51" s="2923">
        <v>35116</v>
      </c>
      <c r="AA51" s="2930">
        <v>35116</v>
      </c>
      <c r="AB51" s="2927">
        <v>36018.620000000003</v>
      </c>
      <c r="AC51" s="2212">
        <v>32127.200000000001</v>
      </c>
      <c r="AD51" s="2923">
        <v>34124</v>
      </c>
      <c r="AE51" s="2929">
        <v>34667.51</v>
      </c>
      <c r="AF51" s="2927">
        <v>31887.69</v>
      </c>
      <c r="AG51" s="2927">
        <v>31887.69</v>
      </c>
      <c r="AH51" s="2927">
        <v>33775.919999999998</v>
      </c>
      <c r="AI51" s="2927">
        <v>31069.54</v>
      </c>
      <c r="AJ51" s="2927">
        <v>28764.25</v>
      </c>
      <c r="AK51" s="2927">
        <v>23285.77</v>
      </c>
      <c r="AL51" s="2927">
        <v>21203.47</v>
      </c>
      <c r="AM51" s="2927">
        <v>20087.98</v>
      </c>
      <c r="AN51" s="2212">
        <v>22285.77</v>
      </c>
      <c r="AO51" s="2212">
        <v>20203.47</v>
      </c>
      <c r="AP51" s="2212">
        <v>19087.98</v>
      </c>
      <c r="AQ51" s="2923">
        <v>29159</v>
      </c>
      <c r="AR51" s="2923">
        <v>27459</v>
      </c>
      <c r="AS51" s="2929">
        <v>25541.58</v>
      </c>
      <c r="AT51" s="2927">
        <v>24797.94</v>
      </c>
      <c r="AU51" s="2928">
        <v>23285.82</v>
      </c>
      <c r="AV51" s="2212">
        <v>22423.77</v>
      </c>
      <c r="AW51" s="2212">
        <v>19659.32</v>
      </c>
      <c r="AX51" s="2212">
        <v>23371.47</v>
      </c>
      <c r="AY51" s="2212">
        <v>24789.439999999999</v>
      </c>
      <c r="AZ51" s="2212">
        <v>23802.89</v>
      </c>
      <c r="BA51" s="2212">
        <v>24789.42</v>
      </c>
      <c r="BB51" s="2212">
        <v>23797.86</v>
      </c>
      <c r="BC51" s="2212">
        <v>24759.1</v>
      </c>
      <c r="BD51" s="2212">
        <v>25533.119999999999</v>
      </c>
      <c r="BE51" s="2212">
        <v>24606.06</v>
      </c>
      <c r="BF51" s="2212">
        <v>26028.95</v>
      </c>
      <c r="BG51" s="2212">
        <v>19010.2</v>
      </c>
      <c r="BH51" s="2212">
        <v>29300</v>
      </c>
      <c r="BI51" s="2212">
        <v>28780.55</v>
      </c>
      <c r="BJ51" s="2212">
        <v>16476.650000000001</v>
      </c>
      <c r="BK51" s="2212">
        <v>16476.650000000001</v>
      </c>
      <c r="BL51" s="2212">
        <v>35150</v>
      </c>
      <c r="BM51" s="2212">
        <v>33887.269999999997</v>
      </c>
      <c r="BN51" s="2212">
        <v>33961.480000000003</v>
      </c>
      <c r="BO51" s="2212">
        <v>33521.82</v>
      </c>
      <c r="BP51" s="2212">
        <v>42055.29</v>
      </c>
      <c r="BQ51" s="2212">
        <v>27764.21</v>
      </c>
      <c r="BR51" s="2212">
        <v>45052.33</v>
      </c>
      <c r="BS51" s="2212">
        <v>38979.11</v>
      </c>
      <c r="BT51" s="2212">
        <v>32700</v>
      </c>
      <c r="BU51" s="2212">
        <v>37407.22</v>
      </c>
      <c r="BV51" s="2212">
        <v>48049.47</v>
      </c>
      <c r="BW51" s="2212">
        <v>51203.97</v>
      </c>
      <c r="BX51" s="2212">
        <v>36455.410000000003</v>
      </c>
      <c r="BY51" s="2212">
        <v>20382.759999999998</v>
      </c>
      <c r="BZ51" s="2212">
        <v>53661.440000000002</v>
      </c>
      <c r="CA51" s="2212">
        <v>24235.82</v>
      </c>
      <c r="CB51" s="2212">
        <v>24379.03</v>
      </c>
      <c r="CC51" s="2212">
        <v>24012.99</v>
      </c>
      <c r="CD51" s="2212">
        <v>30119.22</v>
      </c>
      <c r="CE51" s="2212">
        <v>32845.81</v>
      </c>
      <c r="CF51" s="2212">
        <v>39539.129999999997</v>
      </c>
      <c r="CG51" s="2212">
        <v>29747.23</v>
      </c>
      <c r="CH51" s="2927">
        <v>31263.01</v>
      </c>
      <c r="CI51" s="2927">
        <v>24285.77</v>
      </c>
      <c r="CJ51" s="2212">
        <v>22781.49</v>
      </c>
      <c r="CK51" s="2212">
        <v>21145.38</v>
      </c>
      <c r="CL51" s="2212">
        <v>23982.69</v>
      </c>
      <c r="CM51" s="2212">
        <v>21950</v>
      </c>
      <c r="CN51" s="2212">
        <v>25493.52</v>
      </c>
      <c r="CO51" s="2212">
        <v>17997.2</v>
      </c>
      <c r="CP51" s="2212">
        <v>18300</v>
      </c>
      <c r="CQ51" s="2212">
        <v>22902.959999999999</v>
      </c>
      <c r="CR51" s="2212">
        <v>23265.040000000001</v>
      </c>
      <c r="CS51" s="2212">
        <v>22284.04</v>
      </c>
      <c r="CT51" s="2212">
        <v>15617.5</v>
      </c>
      <c r="CU51" s="2212">
        <v>22756.69</v>
      </c>
      <c r="CV51" s="2212">
        <v>18740.89</v>
      </c>
      <c r="CW51" s="2212">
        <v>23264.99</v>
      </c>
      <c r="CX51" s="2212">
        <v>26550</v>
      </c>
      <c r="CY51" s="2212">
        <v>14513.31</v>
      </c>
      <c r="CZ51" s="2212">
        <v>19600</v>
      </c>
      <c r="DA51" s="2212">
        <v>29251.57</v>
      </c>
      <c r="DB51" s="2212">
        <v>26527.8</v>
      </c>
      <c r="DC51" s="2212">
        <v>23743.69</v>
      </c>
      <c r="DD51" s="2212">
        <v>18649.73</v>
      </c>
      <c r="DE51" s="2212">
        <v>26276.799999999999</v>
      </c>
      <c r="DF51" s="2212">
        <v>23743.78</v>
      </c>
      <c r="DG51" s="2212">
        <v>27020.48</v>
      </c>
      <c r="DH51" s="2212">
        <v>19732.47</v>
      </c>
      <c r="DI51" s="2212">
        <v>33589.65</v>
      </c>
      <c r="DJ51" s="2212">
        <v>18719.400000000001</v>
      </c>
      <c r="DK51" s="2212">
        <v>24764.720000000001</v>
      </c>
      <c r="DL51" s="2212">
        <v>38293.31</v>
      </c>
      <c r="DM51" s="2212">
        <v>37432.089999999997</v>
      </c>
      <c r="DN51" s="2212">
        <v>22283.79</v>
      </c>
      <c r="DO51" s="2212">
        <v>23730.07</v>
      </c>
      <c r="DP51" s="2212">
        <v>16729.849999999999</v>
      </c>
      <c r="DQ51" s="2212">
        <v>42055.29</v>
      </c>
      <c r="DR51" s="2212">
        <v>24194.49</v>
      </c>
      <c r="DS51" s="2212">
        <v>22284.080000000002</v>
      </c>
      <c r="DT51" s="2212">
        <v>28631.34</v>
      </c>
      <c r="DU51" s="2212">
        <v>26980.880000000001</v>
      </c>
      <c r="DV51" s="2212">
        <v>37432.04</v>
      </c>
      <c r="DW51" s="2212">
        <v>20382.75</v>
      </c>
      <c r="DX51" s="2212">
        <v>23264.74</v>
      </c>
      <c r="DY51" s="2212">
        <v>41398.32</v>
      </c>
      <c r="DZ51" s="2212">
        <v>38299.589999999997</v>
      </c>
      <c r="EA51" s="2212">
        <v>29150</v>
      </c>
      <c r="EB51" s="2212">
        <v>22742.560000000001</v>
      </c>
      <c r="EC51" s="2212">
        <v>23743.51</v>
      </c>
      <c r="ED51" s="2212">
        <v>26980.880000000001</v>
      </c>
      <c r="EE51" s="2212">
        <v>31846.67</v>
      </c>
      <c r="EF51" s="2212">
        <v>54200.7</v>
      </c>
      <c r="EG51" s="2212">
        <v>45052.35</v>
      </c>
      <c r="EH51" s="2212">
        <v>53661.49</v>
      </c>
      <c r="EI51" s="2212">
        <v>26326.45</v>
      </c>
      <c r="EJ51" s="2212">
        <v>33521.68</v>
      </c>
      <c r="EK51" s="2212">
        <v>23350</v>
      </c>
      <c r="EL51" s="2212">
        <v>35922.51</v>
      </c>
      <c r="EM51" s="2212">
        <v>35158.97</v>
      </c>
      <c r="EN51" s="2212">
        <v>18662.3</v>
      </c>
      <c r="EO51" s="2212">
        <v>23034.639999999999</v>
      </c>
      <c r="EP51" s="2212">
        <v>36455.53</v>
      </c>
      <c r="EQ51" s="2212">
        <v>47190.59</v>
      </c>
      <c r="ER51" s="2212">
        <v>26450</v>
      </c>
      <c r="ES51" s="2212">
        <v>22063.79</v>
      </c>
      <c r="ET51" s="2212">
        <v>33933.449999999997</v>
      </c>
      <c r="EU51" s="2212">
        <v>39539.14</v>
      </c>
      <c r="EV51" s="2212">
        <v>28609.360000000001</v>
      </c>
      <c r="EW51" s="2212">
        <v>57513.48</v>
      </c>
      <c r="EX51" s="2212">
        <v>37910.65</v>
      </c>
      <c r="EY51" s="2212">
        <v>24012.74</v>
      </c>
      <c r="EZ51" s="2212">
        <v>24012.880000000001</v>
      </c>
      <c r="FA51" s="2212">
        <v>18639.27</v>
      </c>
      <c r="FB51" s="2212">
        <v>38979.24</v>
      </c>
      <c r="FC51" s="2212">
        <v>48049.57</v>
      </c>
      <c r="FD51" s="2212">
        <v>47347.76</v>
      </c>
      <c r="FE51" s="2212">
        <v>33515.21</v>
      </c>
      <c r="FF51" s="2212">
        <v>39539.14</v>
      </c>
      <c r="FG51" s="2212">
        <v>35922.51</v>
      </c>
      <c r="FH51" s="2212">
        <v>15836.13</v>
      </c>
      <c r="FI51" s="2212">
        <v>25285.23</v>
      </c>
      <c r="FJ51" s="2212">
        <v>35101.81</v>
      </c>
      <c r="FK51" s="2212">
        <v>21677.9</v>
      </c>
      <c r="FL51" s="2212">
        <v>24379.09</v>
      </c>
      <c r="FM51" s="2212">
        <v>22908.52</v>
      </c>
      <c r="FN51" s="2212">
        <v>22741.98</v>
      </c>
      <c r="FO51" s="2212">
        <v>28012.04</v>
      </c>
      <c r="FP51" s="2212">
        <v>29785.69</v>
      </c>
      <c r="FQ51" s="2212">
        <v>24637.439999999999</v>
      </c>
      <c r="FR51" s="2212">
        <v>24408.61</v>
      </c>
      <c r="FS51" s="2212">
        <v>53049.33</v>
      </c>
      <c r="FT51" s="2212">
        <v>22729.29</v>
      </c>
      <c r="FU51" s="2212">
        <v>28607.01</v>
      </c>
      <c r="FV51" s="2212">
        <v>37910.81</v>
      </c>
      <c r="FW51" s="2212">
        <v>34247.1</v>
      </c>
      <c r="FX51" s="2212">
        <v>23483.53</v>
      </c>
      <c r="FY51" s="2212">
        <v>28817.74</v>
      </c>
      <c r="FZ51" s="2212">
        <v>49777.120000000003</v>
      </c>
      <c r="GA51" s="2212">
        <v>23032.12</v>
      </c>
      <c r="GB51" s="2212">
        <v>18273.62</v>
      </c>
      <c r="GC51" s="2212">
        <v>24013.01</v>
      </c>
      <c r="GD51" s="2212">
        <v>51809.84</v>
      </c>
      <c r="GE51" s="2212">
        <v>18877.150000000001</v>
      </c>
      <c r="GF51" s="2212">
        <v>44472.41</v>
      </c>
      <c r="GG51" s="2212">
        <v>51204.160000000003</v>
      </c>
      <c r="GH51" s="2212">
        <v>38299.74</v>
      </c>
      <c r="GI51" s="2212">
        <v>30937.15</v>
      </c>
      <c r="GJ51" s="2212">
        <v>23828.31</v>
      </c>
      <c r="GK51" s="2212">
        <v>39070.129999999997</v>
      </c>
      <c r="GL51" s="2212">
        <v>33502.44</v>
      </c>
      <c r="GM51" s="2212">
        <v>57513.53</v>
      </c>
      <c r="GN51" s="2212">
        <v>26004.12</v>
      </c>
      <c r="GO51" s="2212">
        <v>20228.240000000002</v>
      </c>
      <c r="GP51" s="2212">
        <v>24858.76</v>
      </c>
      <c r="GQ51" s="2212">
        <v>47190.62</v>
      </c>
      <c r="GR51" s="2212">
        <v>23254.560000000001</v>
      </c>
      <c r="GS51" s="2212">
        <v>23264.400000000001</v>
      </c>
      <c r="GT51" s="2212">
        <v>37146.07</v>
      </c>
      <c r="GU51" s="2212">
        <v>38593.03</v>
      </c>
      <c r="GV51" s="2212">
        <v>60665.88</v>
      </c>
      <c r="GW51" s="2212">
        <v>16162.76</v>
      </c>
      <c r="GX51" s="2212">
        <v>23397.88</v>
      </c>
      <c r="GY51" s="2212">
        <v>40010.33</v>
      </c>
      <c r="GZ51" s="2212">
        <v>24285.15</v>
      </c>
      <c r="HA51" s="2212">
        <v>65399.94</v>
      </c>
      <c r="HB51" s="2212">
        <v>23278.14</v>
      </c>
      <c r="HC51" s="2212">
        <v>34246.93</v>
      </c>
      <c r="HD51" s="2212">
        <v>25904.95</v>
      </c>
      <c r="HE51" s="2212">
        <v>35101.839999999997</v>
      </c>
      <c r="HF51" s="2212">
        <v>20700</v>
      </c>
      <c r="HG51" s="2212">
        <v>15844.8</v>
      </c>
      <c r="HH51" s="2212">
        <v>24066.54</v>
      </c>
      <c r="HI51" s="2212">
        <v>27409.07</v>
      </c>
      <c r="HJ51" s="2212">
        <v>22284.19</v>
      </c>
      <c r="HK51" s="2212">
        <v>22063.06</v>
      </c>
      <c r="HL51" s="2212">
        <v>48785.47</v>
      </c>
      <c r="HM51" s="2212">
        <v>46306.52</v>
      </c>
      <c r="HN51" s="2212">
        <v>24156.29</v>
      </c>
      <c r="HO51" s="2212">
        <v>38380.559999999998</v>
      </c>
      <c r="HP51" s="2212">
        <v>24066.54</v>
      </c>
      <c r="HQ51" s="2212">
        <v>57513.53</v>
      </c>
      <c r="HR51" s="2212">
        <v>49777.14</v>
      </c>
      <c r="HS51" s="2212">
        <v>24012.97</v>
      </c>
      <c r="HT51" s="2212">
        <v>21677.9</v>
      </c>
      <c r="HU51" s="2212">
        <v>60665.87</v>
      </c>
      <c r="HV51" s="2212">
        <v>26078.14</v>
      </c>
      <c r="HW51" s="2212">
        <v>23295.759999999998</v>
      </c>
      <c r="HX51" s="2212">
        <v>29896.15</v>
      </c>
      <c r="HY51" s="2212">
        <v>60665.94</v>
      </c>
      <c r="HZ51" s="2212">
        <v>54200.86</v>
      </c>
      <c r="IA51" s="2212">
        <v>22283.98</v>
      </c>
      <c r="IB51" s="2212">
        <v>24512.41</v>
      </c>
      <c r="IC51" s="2212">
        <v>34960.19</v>
      </c>
      <c r="ID51" s="2212">
        <v>15836.63</v>
      </c>
      <c r="IE51" s="2212">
        <v>65399.83</v>
      </c>
      <c r="IF51" s="2212">
        <v>53318.35</v>
      </c>
      <c r="IG51" s="2212">
        <v>53661.49</v>
      </c>
      <c r="IH51" s="2212">
        <v>37591.699999999997</v>
      </c>
      <c r="II51" s="2212">
        <v>23175</v>
      </c>
      <c r="IJ51" s="2212">
        <v>26190.65</v>
      </c>
      <c r="IK51" s="2212">
        <v>24140.77</v>
      </c>
      <c r="IL51" s="2212">
        <v>24512.5</v>
      </c>
      <c r="IM51" s="2212">
        <v>25533.119999999999</v>
      </c>
      <c r="IN51" s="2212">
        <v>54742.76</v>
      </c>
      <c r="IO51" s="2212">
        <v>47190.48</v>
      </c>
      <c r="IP51" s="2212"/>
      <c r="IR51" s="2212">
        <v>37889.089999999997</v>
      </c>
      <c r="IS51" s="2212">
        <v>24156.22</v>
      </c>
      <c r="IT51" s="2212">
        <v>22283.87</v>
      </c>
      <c r="IU51" s="2911">
        <v>23932.33</v>
      </c>
      <c r="IV51" s="2911">
        <v>24585.82</v>
      </c>
      <c r="IW51" s="2911">
        <v>26648.02</v>
      </c>
      <c r="IX51" s="2911">
        <v>27921.360000000001</v>
      </c>
      <c r="IY51" s="2207"/>
      <c r="IZ51" s="2215">
        <f t="shared" si="6"/>
        <v>42</v>
      </c>
    </row>
    <row r="52" spans="1:260">
      <c r="A52" s="2214">
        <v>43</v>
      </c>
      <c r="B52" s="2212">
        <v>67575.87</v>
      </c>
      <c r="C52" s="2927">
        <v>64956.56</v>
      </c>
      <c r="D52" s="2927">
        <v>59255.11</v>
      </c>
      <c r="E52" s="2212">
        <v>52466.82</v>
      </c>
      <c r="F52" s="2927">
        <v>52438.09</v>
      </c>
      <c r="G52" s="2212">
        <v>51029.45</v>
      </c>
      <c r="H52" s="2927">
        <v>49141</v>
      </c>
      <c r="I52" s="2212">
        <v>46588.73</v>
      </c>
      <c r="J52" s="2212">
        <v>51029.599999999999</v>
      </c>
      <c r="K52" s="2212">
        <v>48141.01</v>
      </c>
      <c r="L52" s="2927">
        <v>44951.59</v>
      </c>
      <c r="M52" s="2212">
        <v>44422.61</v>
      </c>
      <c r="N52" s="2927">
        <v>40663.03</v>
      </c>
      <c r="O52" s="2212">
        <v>39702.74</v>
      </c>
      <c r="P52" s="2927">
        <v>36448.949999999997</v>
      </c>
      <c r="Q52" s="2927">
        <v>30747.41</v>
      </c>
      <c r="R52" s="2212">
        <v>35448.949999999997</v>
      </c>
      <c r="S52" s="2212">
        <v>35448.949999999997</v>
      </c>
      <c r="T52" s="2212">
        <v>34457.300000000003</v>
      </c>
      <c r="U52" s="2212">
        <v>34457.300000000003</v>
      </c>
      <c r="V52" s="2212">
        <v>34457.300000000003</v>
      </c>
      <c r="W52" s="2212">
        <v>34457.300000000003</v>
      </c>
      <c r="X52" s="2212">
        <v>32474.23</v>
      </c>
      <c r="Y52" s="2927">
        <v>37018.620000000003</v>
      </c>
      <c r="Z52" s="2923">
        <v>35116</v>
      </c>
      <c r="AA52" s="2930">
        <v>35116</v>
      </c>
      <c r="AB52" s="2927">
        <v>36018.620000000003</v>
      </c>
      <c r="AC52" s="2212">
        <v>32127.200000000001</v>
      </c>
      <c r="AD52" s="2923">
        <v>34124</v>
      </c>
      <c r="AE52" s="2929">
        <v>34667.51</v>
      </c>
      <c r="AF52" s="2927">
        <v>31887.69</v>
      </c>
      <c r="AG52" s="2927">
        <v>31887.69</v>
      </c>
      <c r="AH52" s="2927">
        <v>33775.919999999998</v>
      </c>
      <c r="AI52" s="2927">
        <v>31069.54</v>
      </c>
      <c r="AJ52" s="2927">
        <v>28764.25</v>
      </c>
      <c r="AK52" s="2927">
        <v>23285.77</v>
      </c>
      <c r="AL52" s="2927">
        <v>21203.47</v>
      </c>
      <c r="AM52" s="2927">
        <v>20087.98</v>
      </c>
      <c r="AN52" s="2212">
        <v>22285.77</v>
      </c>
      <c r="AO52" s="2212">
        <v>20203.47</v>
      </c>
      <c r="AP52" s="2212">
        <v>19087.98</v>
      </c>
      <c r="AQ52" s="2923">
        <v>29159</v>
      </c>
      <c r="AR52" s="2923">
        <v>27459</v>
      </c>
      <c r="AS52" s="2929">
        <v>25541.58</v>
      </c>
      <c r="AT52" s="2927">
        <v>24797.94</v>
      </c>
      <c r="AU52" s="2928">
        <v>23285.82</v>
      </c>
      <c r="AV52" s="2212">
        <v>22423.77</v>
      </c>
      <c r="AW52" s="2212">
        <v>19659.32</v>
      </c>
      <c r="AX52" s="2212">
        <v>23371.47</v>
      </c>
      <c r="AY52" s="2212">
        <v>24789.439999999999</v>
      </c>
      <c r="AZ52" s="2212">
        <v>23802.89</v>
      </c>
      <c r="BA52" s="2212">
        <v>24789.42</v>
      </c>
      <c r="BB52" s="2212">
        <v>23797.86</v>
      </c>
      <c r="BC52" s="2212">
        <v>24759.1</v>
      </c>
      <c r="BD52" s="2212">
        <v>25533.119999999999</v>
      </c>
      <c r="BE52" s="2212">
        <v>24606.06</v>
      </c>
      <c r="BF52" s="2212">
        <v>26028.95</v>
      </c>
      <c r="BG52" s="2212">
        <v>19010.2</v>
      </c>
      <c r="BH52" s="2212">
        <v>29300</v>
      </c>
      <c r="BI52" s="2212">
        <v>28780.55</v>
      </c>
      <c r="BJ52" s="2212">
        <v>16476.650000000001</v>
      </c>
      <c r="BK52" s="2212">
        <v>16476.650000000001</v>
      </c>
      <c r="BL52" s="2212">
        <v>35150</v>
      </c>
      <c r="BM52" s="2212">
        <v>33887.269999999997</v>
      </c>
      <c r="BN52" s="2212">
        <v>33961.480000000003</v>
      </c>
      <c r="BO52" s="2212">
        <v>33521.82</v>
      </c>
      <c r="BP52" s="2212">
        <v>42055.29</v>
      </c>
      <c r="BQ52" s="2212">
        <v>27764.21</v>
      </c>
      <c r="BR52" s="2212">
        <v>45052.33</v>
      </c>
      <c r="BS52" s="2212">
        <v>38979.11</v>
      </c>
      <c r="BT52" s="2212">
        <v>32700</v>
      </c>
      <c r="BU52" s="2212">
        <v>37407.22</v>
      </c>
      <c r="BV52" s="2212">
        <v>48049.47</v>
      </c>
      <c r="BW52" s="2212">
        <v>51203.97</v>
      </c>
      <c r="BX52" s="2212">
        <v>36455.410000000003</v>
      </c>
      <c r="BY52" s="2212">
        <v>20382.759999999998</v>
      </c>
      <c r="BZ52" s="2212">
        <v>53661.440000000002</v>
      </c>
      <c r="CA52" s="2212">
        <v>24235.82</v>
      </c>
      <c r="CB52" s="2212">
        <v>24379.03</v>
      </c>
      <c r="CC52" s="2212">
        <v>24012.99</v>
      </c>
      <c r="CD52" s="2212">
        <v>30119.22</v>
      </c>
      <c r="CE52" s="2212">
        <v>32845.81</v>
      </c>
      <c r="CF52" s="2212">
        <v>39539.129999999997</v>
      </c>
      <c r="CG52" s="2212">
        <v>29747.23</v>
      </c>
      <c r="CH52" s="2927">
        <v>31263.01</v>
      </c>
      <c r="CI52" s="2927">
        <v>24285.77</v>
      </c>
      <c r="CJ52" s="2212">
        <v>22781.49</v>
      </c>
      <c r="CK52" s="2212">
        <v>21145.38</v>
      </c>
      <c r="CL52" s="2212">
        <v>23982.69</v>
      </c>
      <c r="CM52" s="2212">
        <v>21950</v>
      </c>
      <c r="CN52" s="2212">
        <v>25493.52</v>
      </c>
      <c r="CO52" s="2212">
        <v>17997.2</v>
      </c>
      <c r="CP52" s="2212">
        <v>18300</v>
      </c>
      <c r="CQ52" s="2212">
        <v>22902.959999999999</v>
      </c>
      <c r="CR52" s="2212">
        <v>23265.040000000001</v>
      </c>
      <c r="CS52" s="2212">
        <v>22284.04</v>
      </c>
      <c r="CT52" s="2212">
        <v>15617.5</v>
      </c>
      <c r="CU52" s="2212">
        <v>22756.69</v>
      </c>
      <c r="CV52" s="2212">
        <v>18740.89</v>
      </c>
      <c r="CW52" s="2212">
        <v>23264.99</v>
      </c>
      <c r="CX52" s="2212">
        <v>26550</v>
      </c>
      <c r="CY52" s="2212">
        <v>14513.31</v>
      </c>
      <c r="CZ52" s="2212">
        <v>19600</v>
      </c>
      <c r="DA52" s="2212">
        <v>29251.57</v>
      </c>
      <c r="DB52" s="2212">
        <v>26527.8</v>
      </c>
      <c r="DC52" s="2212">
        <v>23743.69</v>
      </c>
      <c r="DD52" s="2212">
        <v>18649.73</v>
      </c>
      <c r="DE52" s="2212">
        <v>26276.799999999999</v>
      </c>
      <c r="DF52" s="2212">
        <v>23743.78</v>
      </c>
      <c r="DG52" s="2212">
        <v>27020.48</v>
      </c>
      <c r="DH52" s="2212">
        <v>19732.47</v>
      </c>
      <c r="DI52" s="2212">
        <v>33589.65</v>
      </c>
      <c r="DJ52" s="2212">
        <v>18719.400000000001</v>
      </c>
      <c r="DK52" s="2212">
        <v>24764.720000000001</v>
      </c>
      <c r="DL52" s="2212">
        <v>38293.31</v>
      </c>
      <c r="DM52" s="2212">
        <v>37432.089999999997</v>
      </c>
      <c r="DN52" s="2212">
        <v>22283.79</v>
      </c>
      <c r="DO52" s="2212">
        <v>23730.07</v>
      </c>
      <c r="DP52" s="2212">
        <v>16729.849999999999</v>
      </c>
      <c r="DQ52" s="2212">
        <v>42055.29</v>
      </c>
      <c r="DR52" s="2212">
        <v>24194.49</v>
      </c>
      <c r="DS52" s="2212">
        <v>22284.080000000002</v>
      </c>
      <c r="DT52" s="2212">
        <v>28631.34</v>
      </c>
      <c r="DU52" s="2212">
        <v>26980.880000000001</v>
      </c>
      <c r="DV52" s="2212">
        <v>37432.04</v>
      </c>
      <c r="DW52" s="2212">
        <v>20382.75</v>
      </c>
      <c r="DX52" s="2212">
        <v>23264.74</v>
      </c>
      <c r="DY52" s="2212">
        <v>41398.32</v>
      </c>
      <c r="DZ52" s="2212">
        <v>38299.589999999997</v>
      </c>
      <c r="EA52" s="2212">
        <v>29150</v>
      </c>
      <c r="EB52" s="2212">
        <v>22742.560000000001</v>
      </c>
      <c r="EC52" s="2212">
        <v>23743.51</v>
      </c>
      <c r="ED52" s="2212">
        <v>26980.880000000001</v>
      </c>
      <c r="EE52" s="2212">
        <v>31846.67</v>
      </c>
      <c r="EF52" s="2212">
        <v>54200.7</v>
      </c>
      <c r="EG52" s="2212">
        <v>45052.35</v>
      </c>
      <c r="EH52" s="2212">
        <v>53661.49</v>
      </c>
      <c r="EI52" s="2212">
        <v>26326.45</v>
      </c>
      <c r="EJ52" s="2212">
        <v>33521.68</v>
      </c>
      <c r="EK52" s="2212">
        <v>23350</v>
      </c>
      <c r="EL52" s="2212">
        <v>35922.51</v>
      </c>
      <c r="EM52" s="2212">
        <v>35158.97</v>
      </c>
      <c r="EN52" s="2212">
        <v>18662.3</v>
      </c>
      <c r="EO52" s="2212">
        <v>23034.639999999999</v>
      </c>
      <c r="EP52" s="2212">
        <v>36455.53</v>
      </c>
      <c r="EQ52" s="2212">
        <v>47190.59</v>
      </c>
      <c r="ER52" s="2212">
        <v>26450</v>
      </c>
      <c r="ES52" s="2212">
        <v>22063.79</v>
      </c>
      <c r="ET52" s="2212">
        <v>33933.449999999997</v>
      </c>
      <c r="EU52" s="2212">
        <v>39539.14</v>
      </c>
      <c r="EV52" s="2212">
        <v>28609.360000000001</v>
      </c>
      <c r="EW52" s="2212">
        <v>57513.48</v>
      </c>
      <c r="EX52" s="2212">
        <v>37910.65</v>
      </c>
      <c r="EY52" s="2212">
        <v>24012.74</v>
      </c>
      <c r="EZ52" s="2212">
        <v>24012.880000000001</v>
      </c>
      <c r="FA52" s="2212">
        <v>18639.27</v>
      </c>
      <c r="FB52" s="2212">
        <v>38979.24</v>
      </c>
      <c r="FC52" s="2212">
        <v>48049.57</v>
      </c>
      <c r="FD52" s="2212">
        <v>47347.76</v>
      </c>
      <c r="FE52" s="2212">
        <v>33515.21</v>
      </c>
      <c r="FF52" s="2212">
        <v>39539.14</v>
      </c>
      <c r="FG52" s="2212">
        <v>35922.51</v>
      </c>
      <c r="FH52" s="2212">
        <v>15836.13</v>
      </c>
      <c r="FI52" s="2212">
        <v>25285.23</v>
      </c>
      <c r="FJ52" s="2212">
        <v>35101.81</v>
      </c>
      <c r="FK52" s="2212">
        <v>21677.9</v>
      </c>
      <c r="FL52" s="2212">
        <v>24379.09</v>
      </c>
      <c r="FM52" s="2212">
        <v>22908.52</v>
      </c>
      <c r="FN52" s="2212">
        <v>22741.98</v>
      </c>
      <c r="FO52" s="2212">
        <v>28012.04</v>
      </c>
      <c r="FP52" s="2212">
        <v>29785.69</v>
      </c>
      <c r="FQ52" s="2212">
        <v>24637.439999999999</v>
      </c>
      <c r="FR52" s="2212">
        <v>24408.61</v>
      </c>
      <c r="FS52" s="2212">
        <v>53049.33</v>
      </c>
      <c r="FT52" s="2212">
        <v>22729.29</v>
      </c>
      <c r="FU52" s="2212">
        <v>28607.01</v>
      </c>
      <c r="FV52" s="2212">
        <v>37910.81</v>
      </c>
      <c r="FW52" s="2212">
        <v>34247.1</v>
      </c>
      <c r="FX52" s="2212">
        <v>23483.53</v>
      </c>
      <c r="FY52" s="2212">
        <v>28817.74</v>
      </c>
      <c r="FZ52" s="2212">
        <v>49777.120000000003</v>
      </c>
      <c r="GA52" s="2212">
        <v>23032.12</v>
      </c>
      <c r="GB52" s="2212">
        <v>18273.62</v>
      </c>
      <c r="GC52" s="2212">
        <v>24013.01</v>
      </c>
      <c r="GD52" s="2212">
        <v>51809.84</v>
      </c>
      <c r="GE52" s="2212">
        <v>18877.150000000001</v>
      </c>
      <c r="GF52" s="2212">
        <v>44472.41</v>
      </c>
      <c r="GG52" s="2212">
        <v>51204.160000000003</v>
      </c>
      <c r="GH52" s="2212">
        <v>38299.74</v>
      </c>
      <c r="GI52" s="2212">
        <v>30937.15</v>
      </c>
      <c r="GJ52" s="2212">
        <v>23828.31</v>
      </c>
      <c r="GK52" s="2212">
        <v>39070.129999999997</v>
      </c>
      <c r="GL52" s="2212">
        <v>33502.44</v>
      </c>
      <c r="GM52" s="2212">
        <v>57513.53</v>
      </c>
      <c r="GN52" s="2212">
        <v>26004.12</v>
      </c>
      <c r="GO52" s="2212">
        <v>20228.240000000002</v>
      </c>
      <c r="GP52" s="2212">
        <v>24858.76</v>
      </c>
      <c r="GQ52" s="2212">
        <v>47190.62</v>
      </c>
      <c r="GR52" s="2212">
        <v>23254.560000000001</v>
      </c>
      <c r="GS52" s="2212">
        <v>23264.400000000001</v>
      </c>
      <c r="GT52" s="2212">
        <v>37146.07</v>
      </c>
      <c r="GU52" s="2212">
        <v>38593.03</v>
      </c>
      <c r="GV52" s="2212">
        <v>60665.88</v>
      </c>
      <c r="GW52" s="2212">
        <v>16162.76</v>
      </c>
      <c r="GX52" s="2212">
        <v>23397.88</v>
      </c>
      <c r="GY52" s="2212">
        <v>40010.33</v>
      </c>
      <c r="GZ52" s="2212">
        <v>24285.15</v>
      </c>
      <c r="HA52" s="2212">
        <v>65399.94</v>
      </c>
      <c r="HB52" s="2212">
        <v>23278.14</v>
      </c>
      <c r="HC52" s="2212">
        <v>34246.93</v>
      </c>
      <c r="HD52" s="2212">
        <v>25904.95</v>
      </c>
      <c r="HE52" s="2212">
        <v>35101.839999999997</v>
      </c>
      <c r="HF52" s="2212">
        <v>20700</v>
      </c>
      <c r="HG52" s="2212">
        <v>15844.8</v>
      </c>
      <c r="HH52" s="2212">
        <v>24066.54</v>
      </c>
      <c r="HI52" s="2212">
        <v>27409.07</v>
      </c>
      <c r="HJ52" s="2212">
        <v>22284.19</v>
      </c>
      <c r="HK52" s="2212">
        <v>22063.06</v>
      </c>
      <c r="HL52" s="2212">
        <v>48785.47</v>
      </c>
      <c r="HM52" s="2212">
        <v>46306.52</v>
      </c>
      <c r="HN52" s="2212">
        <v>24156.29</v>
      </c>
      <c r="HO52" s="2212">
        <v>38380.559999999998</v>
      </c>
      <c r="HP52" s="2212">
        <v>24066.54</v>
      </c>
      <c r="HQ52" s="2212">
        <v>57513.53</v>
      </c>
      <c r="HR52" s="2212">
        <v>49777.14</v>
      </c>
      <c r="HS52" s="2212">
        <v>24012.97</v>
      </c>
      <c r="HT52" s="2212">
        <v>21677.9</v>
      </c>
      <c r="HU52" s="2212">
        <v>60665.87</v>
      </c>
      <c r="HV52" s="2212">
        <v>26078.14</v>
      </c>
      <c r="HW52" s="2212">
        <v>23295.759999999998</v>
      </c>
      <c r="HX52" s="2212">
        <v>29896.15</v>
      </c>
      <c r="HY52" s="2212">
        <v>60665.94</v>
      </c>
      <c r="HZ52" s="2212">
        <v>54200.86</v>
      </c>
      <c r="IA52" s="2212">
        <v>22283.98</v>
      </c>
      <c r="IB52" s="2212">
        <v>24512.41</v>
      </c>
      <c r="IC52" s="2212">
        <v>34960.19</v>
      </c>
      <c r="ID52" s="2212">
        <v>15836.63</v>
      </c>
      <c r="IE52" s="2212">
        <v>65399.83</v>
      </c>
      <c r="IF52" s="2212">
        <v>53318.35</v>
      </c>
      <c r="IG52" s="2212">
        <v>53661.49</v>
      </c>
      <c r="IH52" s="2212">
        <v>37591.699999999997</v>
      </c>
      <c r="II52" s="2212">
        <v>23175</v>
      </c>
      <c r="IJ52" s="2212">
        <v>26190.65</v>
      </c>
      <c r="IK52" s="2212">
        <v>24140.77</v>
      </c>
      <c r="IL52" s="2212">
        <v>24512.5</v>
      </c>
      <c r="IM52" s="2212">
        <v>25533.119999999999</v>
      </c>
      <c r="IN52" s="2212">
        <v>54742.76</v>
      </c>
      <c r="IO52" s="2212">
        <v>47190.48</v>
      </c>
      <c r="IP52" s="2212"/>
      <c r="IR52" s="2212">
        <v>37889.089999999997</v>
      </c>
      <c r="IS52" s="2212">
        <v>24156.22</v>
      </c>
      <c r="IT52" s="2212">
        <v>22283.87</v>
      </c>
      <c r="IU52" s="2911">
        <v>23932.33</v>
      </c>
      <c r="IV52" s="2911">
        <v>24585.82</v>
      </c>
      <c r="IW52" s="2911">
        <v>26648.02</v>
      </c>
      <c r="IX52" s="2911">
        <v>27921.360000000001</v>
      </c>
      <c r="IY52" s="2207"/>
      <c r="IZ52" s="2215">
        <f t="shared" si="6"/>
        <v>43</v>
      </c>
    </row>
    <row r="53" spans="1:260">
      <c r="A53" s="2214">
        <v>44</v>
      </c>
      <c r="B53" s="2212">
        <v>67575.87</v>
      </c>
      <c r="C53" s="2927">
        <v>64956.56</v>
      </c>
      <c r="D53" s="2927">
        <v>59255.11</v>
      </c>
      <c r="E53" s="2212">
        <v>52466.82</v>
      </c>
      <c r="F53" s="2927">
        <v>52438.09</v>
      </c>
      <c r="G53" s="2212">
        <v>51029.45</v>
      </c>
      <c r="H53" s="2927">
        <v>49141</v>
      </c>
      <c r="I53" s="2212">
        <v>46588.73</v>
      </c>
      <c r="J53" s="2212">
        <v>51029.599999999999</v>
      </c>
      <c r="K53" s="2212">
        <v>48141.01</v>
      </c>
      <c r="L53" s="2927">
        <v>44951.59</v>
      </c>
      <c r="M53" s="2212">
        <v>44422.61</v>
      </c>
      <c r="N53" s="2927">
        <v>40663.03</v>
      </c>
      <c r="O53" s="2212">
        <v>39702.74</v>
      </c>
      <c r="P53" s="2927">
        <v>36448.949999999997</v>
      </c>
      <c r="Q53" s="2927">
        <v>30747.41</v>
      </c>
      <c r="R53" s="2212">
        <v>35448.949999999997</v>
      </c>
      <c r="S53" s="2212">
        <v>35448.949999999997</v>
      </c>
      <c r="T53" s="2212">
        <v>34457.300000000003</v>
      </c>
      <c r="U53" s="2212">
        <v>34457.300000000003</v>
      </c>
      <c r="V53" s="2212">
        <v>34457.300000000003</v>
      </c>
      <c r="W53" s="2212">
        <v>34457.300000000003</v>
      </c>
      <c r="X53" s="2212">
        <v>32474.23</v>
      </c>
      <c r="Y53" s="2927">
        <v>37018.620000000003</v>
      </c>
      <c r="Z53" s="2923">
        <v>35116</v>
      </c>
      <c r="AA53" s="2930">
        <v>35116</v>
      </c>
      <c r="AB53" s="2927">
        <v>36018.620000000003</v>
      </c>
      <c r="AC53" s="2212">
        <v>32127.200000000001</v>
      </c>
      <c r="AD53" s="2923">
        <v>34124</v>
      </c>
      <c r="AE53" s="2929">
        <v>34667.51</v>
      </c>
      <c r="AF53" s="2927">
        <v>31887.69</v>
      </c>
      <c r="AG53" s="2927">
        <v>31887.69</v>
      </c>
      <c r="AH53" s="2927">
        <v>33775.919999999998</v>
      </c>
      <c r="AI53" s="2927">
        <v>31069.54</v>
      </c>
      <c r="AJ53" s="2927">
        <v>28764.25</v>
      </c>
      <c r="AK53" s="2927">
        <v>23285.77</v>
      </c>
      <c r="AL53" s="2927">
        <v>21203.47</v>
      </c>
      <c r="AM53" s="2927">
        <v>20087.98</v>
      </c>
      <c r="AN53" s="2212">
        <v>22285.77</v>
      </c>
      <c r="AO53" s="2212">
        <v>20203.47</v>
      </c>
      <c r="AP53" s="2212">
        <v>19087.98</v>
      </c>
      <c r="AQ53" s="2923">
        <v>29159</v>
      </c>
      <c r="AR53" s="2923">
        <v>27459</v>
      </c>
      <c r="AS53" s="2929">
        <v>25541.58</v>
      </c>
      <c r="AT53" s="2927">
        <v>24797.94</v>
      </c>
      <c r="AU53" s="2928">
        <v>23285.82</v>
      </c>
      <c r="AV53" s="2212">
        <v>22423.77</v>
      </c>
      <c r="AW53" s="2212">
        <v>19659.32</v>
      </c>
      <c r="AX53" s="2212">
        <v>23371.47</v>
      </c>
      <c r="AY53" s="2212">
        <v>24789.439999999999</v>
      </c>
      <c r="AZ53" s="2212">
        <v>23802.89</v>
      </c>
      <c r="BA53" s="2212">
        <v>24789.42</v>
      </c>
      <c r="BB53" s="2212">
        <v>23797.86</v>
      </c>
      <c r="BC53" s="2212">
        <v>24759.1</v>
      </c>
      <c r="BD53" s="2212">
        <v>25533.119999999999</v>
      </c>
      <c r="BE53" s="2212">
        <v>24606.06</v>
      </c>
      <c r="BF53" s="2212">
        <v>26028.95</v>
      </c>
      <c r="BG53" s="2212">
        <v>19010.2</v>
      </c>
      <c r="BH53" s="2212">
        <v>29300</v>
      </c>
      <c r="BI53" s="2212">
        <v>28780.55</v>
      </c>
      <c r="BJ53" s="2212">
        <v>16476.650000000001</v>
      </c>
      <c r="BK53" s="2212">
        <v>16476.650000000001</v>
      </c>
      <c r="BL53" s="2212">
        <v>35150</v>
      </c>
      <c r="BM53" s="2212">
        <v>33887.269999999997</v>
      </c>
      <c r="BN53" s="2212">
        <v>33961.480000000003</v>
      </c>
      <c r="BO53" s="2212">
        <v>33521.82</v>
      </c>
      <c r="BP53" s="2212">
        <v>42055.29</v>
      </c>
      <c r="BQ53" s="2212">
        <v>27764.21</v>
      </c>
      <c r="BR53" s="2212">
        <v>45052.33</v>
      </c>
      <c r="BS53" s="2212">
        <v>38979.11</v>
      </c>
      <c r="BT53" s="2212">
        <v>32700</v>
      </c>
      <c r="BU53" s="2212">
        <v>37407.22</v>
      </c>
      <c r="BV53" s="2212">
        <v>48049.47</v>
      </c>
      <c r="BW53" s="2212">
        <v>51203.97</v>
      </c>
      <c r="BX53" s="2212">
        <v>36455.410000000003</v>
      </c>
      <c r="BY53" s="2212">
        <v>20382.759999999998</v>
      </c>
      <c r="BZ53" s="2212">
        <v>53661.440000000002</v>
      </c>
      <c r="CA53" s="2212">
        <v>24235.82</v>
      </c>
      <c r="CB53" s="2212">
        <v>24379.03</v>
      </c>
      <c r="CC53" s="2212">
        <v>24012.99</v>
      </c>
      <c r="CD53" s="2212">
        <v>30119.22</v>
      </c>
      <c r="CE53" s="2212">
        <v>32845.81</v>
      </c>
      <c r="CF53" s="2212">
        <v>39539.129999999997</v>
      </c>
      <c r="CG53" s="2212">
        <v>29747.23</v>
      </c>
      <c r="CH53" s="2927">
        <v>31263.01</v>
      </c>
      <c r="CI53" s="2927">
        <v>24285.77</v>
      </c>
      <c r="CJ53" s="2212">
        <v>22781.49</v>
      </c>
      <c r="CK53" s="2212">
        <v>21145.38</v>
      </c>
      <c r="CL53" s="2212">
        <v>23982.69</v>
      </c>
      <c r="CM53" s="2212">
        <v>21950</v>
      </c>
      <c r="CN53" s="2212">
        <v>25493.52</v>
      </c>
      <c r="CO53" s="2212">
        <v>17997.2</v>
      </c>
      <c r="CP53" s="2212">
        <v>18300</v>
      </c>
      <c r="CQ53" s="2212">
        <v>22902.959999999999</v>
      </c>
      <c r="CR53" s="2212">
        <v>23265.040000000001</v>
      </c>
      <c r="CS53" s="2212">
        <v>22284.04</v>
      </c>
      <c r="CT53" s="2212">
        <v>15617.5</v>
      </c>
      <c r="CU53" s="2212">
        <v>22756.69</v>
      </c>
      <c r="CV53" s="2212">
        <v>18740.89</v>
      </c>
      <c r="CW53" s="2212">
        <v>23264.99</v>
      </c>
      <c r="CX53" s="2212">
        <v>26550</v>
      </c>
      <c r="CY53" s="2212">
        <v>14513.31</v>
      </c>
      <c r="CZ53" s="2212">
        <v>19600</v>
      </c>
      <c r="DA53" s="2212">
        <v>29251.57</v>
      </c>
      <c r="DB53" s="2212">
        <v>26527.8</v>
      </c>
      <c r="DC53" s="2212">
        <v>23743.69</v>
      </c>
      <c r="DD53" s="2212">
        <v>18649.73</v>
      </c>
      <c r="DE53" s="2212">
        <v>26276.799999999999</v>
      </c>
      <c r="DF53" s="2212">
        <v>23743.78</v>
      </c>
      <c r="DG53" s="2212">
        <v>27020.48</v>
      </c>
      <c r="DH53" s="2212">
        <v>19732.47</v>
      </c>
      <c r="DI53" s="2212">
        <v>33589.65</v>
      </c>
      <c r="DJ53" s="2212">
        <v>18719.400000000001</v>
      </c>
      <c r="DK53" s="2212">
        <v>24764.720000000001</v>
      </c>
      <c r="DL53" s="2212">
        <v>38293.31</v>
      </c>
      <c r="DM53" s="2212">
        <v>37432.089999999997</v>
      </c>
      <c r="DN53" s="2212">
        <v>22283.79</v>
      </c>
      <c r="DO53" s="2212">
        <v>23730.07</v>
      </c>
      <c r="DP53" s="2212">
        <v>16729.849999999999</v>
      </c>
      <c r="DQ53" s="2212">
        <v>42055.29</v>
      </c>
      <c r="DR53" s="2212">
        <v>24194.49</v>
      </c>
      <c r="DS53" s="2212">
        <v>22284.080000000002</v>
      </c>
      <c r="DT53" s="2212">
        <v>28631.34</v>
      </c>
      <c r="DU53" s="2212">
        <v>26980.880000000001</v>
      </c>
      <c r="DV53" s="2212">
        <v>37432.04</v>
      </c>
      <c r="DW53" s="2212">
        <v>20382.75</v>
      </c>
      <c r="DX53" s="2212">
        <v>23264.74</v>
      </c>
      <c r="DY53" s="2212">
        <v>41398.32</v>
      </c>
      <c r="DZ53" s="2212">
        <v>38299.589999999997</v>
      </c>
      <c r="EA53" s="2212">
        <v>29150</v>
      </c>
      <c r="EB53" s="2212">
        <v>22742.560000000001</v>
      </c>
      <c r="EC53" s="2212">
        <v>23743.51</v>
      </c>
      <c r="ED53" s="2212">
        <v>26980.880000000001</v>
      </c>
      <c r="EE53" s="2212">
        <v>31846.67</v>
      </c>
      <c r="EF53" s="2212">
        <v>54200.7</v>
      </c>
      <c r="EG53" s="2212">
        <v>45052.35</v>
      </c>
      <c r="EH53" s="2212">
        <v>53661.49</v>
      </c>
      <c r="EI53" s="2212">
        <v>26326.45</v>
      </c>
      <c r="EJ53" s="2212">
        <v>33521.68</v>
      </c>
      <c r="EK53" s="2212">
        <v>23350</v>
      </c>
      <c r="EL53" s="2212">
        <v>35922.51</v>
      </c>
      <c r="EM53" s="2212">
        <v>35158.97</v>
      </c>
      <c r="EN53" s="2212">
        <v>18662.3</v>
      </c>
      <c r="EO53" s="2212">
        <v>23034.639999999999</v>
      </c>
      <c r="EP53" s="2212">
        <v>36455.53</v>
      </c>
      <c r="EQ53" s="2212">
        <v>47190.59</v>
      </c>
      <c r="ER53" s="2212">
        <v>26450</v>
      </c>
      <c r="ES53" s="2212">
        <v>22063.79</v>
      </c>
      <c r="ET53" s="2212">
        <v>33933.449999999997</v>
      </c>
      <c r="EU53" s="2212">
        <v>39539.14</v>
      </c>
      <c r="EV53" s="2212">
        <v>28609.360000000001</v>
      </c>
      <c r="EW53" s="2212">
        <v>57513.48</v>
      </c>
      <c r="EX53" s="2212">
        <v>37910.65</v>
      </c>
      <c r="EY53" s="2212">
        <v>24012.74</v>
      </c>
      <c r="EZ53" s="2212">
        <v>24012.880000000001</v>
      </c>
      <c r="FA53" s="2212">
        <v>18639.27</v>
      </c>
      <c r="FB53" s="2212">
        <v>38979.24</v>
      </c>
      <c r="FC53" s="2212">
        <v>48049.57</v>
      </c>
      <c r="FD53" s="2212">
        <v>47347.76</v>
      </c>
      <c r="FE53" s="2212">
        <v>33515.21</v>
      </c>
      <c r="FF53" s="2212">
        <v>39539.14</v>
      </c>
      <c r="FG53" s="2212">
        <v>35922.51</v>
      </c>
      <c r="FH53" s="2212">
        <v>15836.13</v>
      </c>
      <c r="FI53" s="2212">
        <v>25285.23</v>
      </c>
      <c r="FJ53" s="2212">
        <v>35101.81</v>
      </c>
      <c r="FK53" s="2212">
        <v>21677.9</v>
      </c>
      <c r="FL53" s="2212">
        <v>24379.09</v>
      </c>
      <c r="FM53" s="2212">
        <v>22908.52</v>
      </c>
      <c r="FN53" s="2212">
        <v>22741.98</v>
      </c>
      <c r="FO53" s="2212">
        <v>28012.04</v>
      </c>
      <c r="FP53" s="2212">
        <v>29785.69</v>
      </c>
      <c r="FQ53" s="2212">
        <v>24637.439999999999</v>
      </c>
      <c r="FR53" s="2212">
        <v>24408.61</v>
      </c>
      <c r="FS53" s="2212">
        <v>53049.33</v>
      </c>
      <c r="FT53" s="2212">
        <v>22729.29</v>
      </c>
      <c r="FU53" s="2212">
        <v>28607.01</v>
      </c>
      <c r="FV53" s="2212">
        <v>37910.81</v>
      </c>
      <c r="FW53" s="2212">
        <v>34247.1</v>
      </c>
      <c r="FX53" s="2212">
        <v>23483.53</v>
      </c>
      <c r="FY53" s="2212">
        <v>28817.74</v>
      </c>
      <c r="FZ53" s="2212">
        <v>49777.120000000003</v>
      </c>
      <c r="GA53" s="2212">
        <v>23032.12</v>
      </c>
      <c r="GB53" s="2212">
        <v>18273.62</v>
      </c>
      <c r="GC53" s="2212">
        <v>24013.01</v>
      </c>
      <c r="GD53" s="2212">
        <v>51809.84</v>
      </c>
      <c r="GE53" s="2212">
        <v>18877.150000000001</v>
      </c>
      <c r="GF53" s="2212">
        <v>44472.41</v>
      </c>
      <c r="GG53" s="2212">
        <v>51204.160000000003</v>
      </c>
      <c r="GH53" s="2212">
        <v>38299.74</v>
      </c>
      <c r="GI53" s="2212">
        <v>30937.15</v>
      </c>
      <c r="GJ53" s="2212">
        <v>23828.31</v>
      </c>
      <c r="GK53" s="2212">
        <v>39070.129999999997</v>
      </c>
      <c r="GL53" s="2212">
        <v>33502.44</v>
      </c>
      <c r="GM53" s="2212">
        <v>57513.53</v>
      </c>
      <c r="GN53" s="2212">
        <v>26004.12</v>
      </c>
      <c r="GO53" s="2212">
        <v>20228.240000000002</v>
      </c>
      <c r="GP53" s="2212">
        <v>24858.76</v>
      </c>
      <c r="GQ53" s="2212">
        <v>47190.62</v>
      </c>
      <c r="GR53" s="2212">
        <v>23254.560000000001</v>
      </c>
      <c r="GS53" s="2212">
        <v>23264.400000000001</v>
      </c>
      <c r="GT53" s="2212">
        <v>37146.07</v>
      </c>
      <c r="GU53" s="2212">
        <v>38593.03</v>
      </c>
      <c r="GV53" s="2212">
        <v>60665.88</v>
      </c>
      <c r="GW53" s="2212">
        <v>16162.76</v>
      </c>
      <c r="GX53" s="2212">
        <v>23397.88</v>
      </c>
      <c r="GY53" s="2212">
        <v>40010.33</v>
      </c>
      <c r="GZ53" s="2212">
        <v>24285.15</v>
      </c>
      <c r="HA53" s="2212">
        <v>65399.94</v>
      </c>
      <c r="HB53" s="2212">
        <v>23278.14</v>
      </c>
      <c r="HC53" s="2212">
        <v>34246.93</v>
      </c>
      <c r="HD53" s="2212">
        <v>25904.95</v>
      </c>
      <c r="HE53" s="2212">
        <v>35101.839999999997</v>
      </c>
      <c r="HF53" s="2212">
        <v>20700</v>
      </c>
      <c r="HG53" s="2212">
        <v>15844.8</v>
      </c>
      <c r="HH53" s="2212">
        <v>24066.54</v>
      </c>
      <c r="HI53" s="2212">
        <v>27409.07</v>
      </c>
      <c r="HJ53" s="2212">
        <v>22284.19</v>
      </c>
      <c r="HK53" s="2212">
        <v>22063.06</v>
      </c>
      <c r="HL53" s="2212">
        <v>48785.47</v>
      </c>
      <c r="HM53" s="2212">
        <v>46306.52</v>
      </c>
      <c r="HN53" s="2212">
        <v>24156.29</v>
      </c>
      <c r="HO53" s="2212">
        <v>38380.559999999998</v>
      </c>
      <c r="HP53" s="2212">
        <v>24066.54</v>
      </c>
      <c r="HQ53" s="2212">
        <v>57513.53</v>
      </c>
      <c r="HR53" s="2212">
        <v>49777.14</v>
      </c>
      <c r="HS53" s="2212">
        <v>24012.97</v>
      </c>
      <c r="HT53" s="2212">
        <v>21677.9</v>
      </c>
      <c r="HU53" s="2212">
        <v>60665.87</v>
      </c>
      <c r="HV53" s="2212">
        <v>26078.14</v>
      </c>
      <c r="HW53" s="2212">
        <v>23295.759999999998</v>
      </c>
      <c r="HX53" s="2212">
        <v>29896.15</v>
      </c>
      <c r="HY53" s="2212">
        <v>60665.94</v>
      </c>
      <c r="HZ53" s="2212">
        <v>54200.86</v>
      </c>
      <c r="IA53" s="2212">
        <v>22283.98</v>
      </c>
      <c r="IB53" s="2212">
        <v>24512.41</v>
      </c>
      <c r="IC53" s="2212">
        <v>34960.19</v>
      </c>
      <c r="ID53" s="2212">
        <v>15836.63</v>
      </c>
      <c r="IE53" s="2212">
        <v>65399.83</v>
      </c>
      <c r="IF53" s="2212">
        <v>53318.35</v>
      </c>
      <c r="IG53" s="2212">
        <v>53661.49</v>
      </c>
      <c r="IH53" s="2212">
        <v>37591.699999999997</v>
      </c>
      <c r="II53" s="2212">
        <v>23175</v>
      </c>
      <c r="IJ53" s="2212">
        <v>26190.65</v>
      </c>
      <c r="IK53" s="2212">
        <v>24140.77</v>
      </c>
      <c r="IL53" s="2212">
        <v>24512.5</v>
      </c>
      <c r="IM53" s="2212">
        <v>25533.119999999999</v>
      </c>
      <c r="IN53" s="2212">
        <v>54742.76</v>
      </c>
      <c r="IO53" s="2212">
        <v>47190.48</v>
      </c>
      <c r="IP53" s="2212"/>
      <c r="IR53" s="2212">
        <v>37889.089999999997</v>
      </c>
      <c r="IS53" s="2212">
        <v>24156.22</v>
      </c>
      <c r="IT53" s="2212">
        <v>22283.87</v>
      </c>
      <c r="IU53" s="2911">
        <v>23932.33</v>
      </c>
      <c r="IV53" s="2911">
        <v>24585.82</v>
      </c>
      <c r="IW53" s="2911">
        <v>26648.02</v>
      </c>
      <c r="IX53" s="2911">
        <v>27921.360000000001</v>
      </c>
      <c r="IY53" s="2207"/>
      <c r="IZ53" s="2215">
        <f t="shared" si="6"/>
        <v>44</v>
      </c>
    </row>
    <row r="54" spans="1:260">
      <c r="A54" s="2214">
        <v>45</v>
      </c>
      <c r="B54" s="2212">
        <v>67575.87</v>
      </c>
      <c r="C54" s="2927">
        <v>64956.56</v>
      </c>
      <c r="D54" s="2927">
        <v>59255.11</v>
      </c>
      <c r="E54" s="2212">
        <v>52466.82</v>
      </c>
      <c r="F54" s="2927">
        <v>52438.09</v>
      </c>
      <c r="G54" s="2212">
        <v>51029.45</v>
      </c>
      <c r="H54" s="2927">
        <v>49141</v>
      </c>
      <c r="I54" s="2212">
        <v>46588.73</v>
      </c>
      <c r="J54" s="2212">
        <v>51029.599999999999</v>
      </c>
      <c r="K54" s="2212">
        <v>48141.01</v>
      </c>
      <c r="L54" s="2927">
        <v>44951.59</v>
      </c>
      <c r="M54" s="2212">
        <v>44422.61</v>
      </c>
      <c r="N54" s="2927">
        <v>40663.03</v>
      </c>
      <c r="O54" s="2212">
        <v>39702.74</v>
      </c>
      <c r="P54" s="2927">
        <v>36448.949999999997</v>
      </c>
      <c r="Q54" s="2927">
        <v>30747.41</v>
      </c>
      <c r="R54" s="2212">
        <v>35448.949999999997</v>
      </c>
      <c r="S54" s="2212">
        <v>35448.949999999997</v>
      </c>
      <c r="T54" s="2212">
        <v>34457.300000000003</v>
      </c>
      <c r="U54" s="2212">
        <v>34457.300000000003</v>
      </c>
      <c r="V54" s="2212">
        <v>34457.300000000003</v>
      </c>
      <c r="W54" s="2212">
        <v>34457.300000000003</v>
      </c>
      <c r="X54" s="2212">
        <v>32474.23</v>
      </c>
      <c r="Y54" s="2927">
        <v>37018.620000000003</v>
      </c>
      <c r="Z54" s="2923">
        <v>35116</v>
      </c>
      <c r="AA54" s="2930">
        <v>35116</v>
      </c>
      <c r="AB54" s="2927">
        <v>36018.620000000003</v>
      </c>
      <c r="AC54" s="2212">
        <v>32127.200000000001</v>
      </c>
      <c r="AD54" s="2923">
        <v>34124</v>
      </c>
      <c r="AE54" s="2929">
        <v>34667.51</v>
      </c>
      <c r="AF54" s="2927">
        <v>31887.69</v>
      </c>
      <c r="AG54" s="2927">
        <v>31887.69</v>
      </c>
      <c r="AH54" s="2927">
        <v>33775.919999999998</v>
      </c>
      <c r="AI54" s="2927">
        <v>31069.54</v>
      </c>
      <c r="AJ54" s="2927">
        <v>28764.25</v>
      </c>
      <c r="AK54" s="2927">
        <v>23285.77</v>
      </c>
      <c r="AL54" s="2927">
        <v>21203.47</v>
      </c>
      <c r="AM54" s="2927">
        <v>20087.98</v>
      </c>
      <c r="AN54" s="2212">
        <v>22285.77</v>
      </c>
      <c r="AO54" s="2212">
        <v>20203.47</v>
      </c>
      <c r="AP54" s="2212">
        <v>19087.98</v>
      </c>
      <c r="AQ54" s="2923">
        <v>29159</v>
      </c>
      <c r="AR54" s="2923">
        <v>27459</v>
      </c>
      <c r="AS54" s="2929">
        <v>25541.58</v>
      </c>
      <c r="AT54" s="2927">
        <v>24797.94</v>
      </c>
      <c r="AU54" s="2928">
        <v>23285.82</v>
      </c>
      <c r="AV54" s="2212">
        <v>22423.77</v>
      </c>
      <c r="AW54" s="2212">
        <v>19659.32</v>
      </c>
      <c r="AX54" s="2212">
        <v>23371.47</v>
      </c>
      <c r="AY54" s="2212">
        <v>24789.439999999999</v>
      </c>
      <c r="AZ54" s="2212">
        <v>23802.89</v>
      </c>
      <c r="BA54" s="2212">
        <v>24789.42</v>
      </c>
      <c r="BB54" s="2212">
        <v>23797.86</v>
      </c>
      <c r="BC54" s="2212">
        <v>24759.1</v>
      </c>
      <c r="BD54" s="2212">
        <v>25533.119999999999</v>
      </c>
      <c r="BE54" s="2212">
        <v>24606.06</v>
      </c>
      <c r="BF54" s="2212">
        <v>26028.95</v>
      </c>
      <c r="BG54" s="2212">
        <v>19010.2</v>
      </c>
      <c r="BH54" s="2212">
        <v>29300</v>
      </c>
      <c r="BI54" s="2212">
        <v>28780.55</v>
      </c>
      <c r="BJ54" s="2212">
        <v>16476.650000000001</v>
      </c>
      <c r="BK54" s="2212">
        <v>16476.650000000001</v>
      </c>
      <c r="BL54" s="2212">
        <v>35150</v>
      </c>
      <c r="BM54" s="2212">
        <v>33887.269999999997</v>
      </c>
      <c r="BN54" s="2212">
        <v>33961.480000000003</v>
      </c>
      <c r="BO54" s="2212">
        <v>33521.82</v>
      </c>
      <c r="BP54" s="2212">
        <v>42055.29</v>
      </c>
      <c r="BQ54" s="2212">
        <v>27764.21</v>
      </c>
      <c r="BR54" s="2212">
        <v>45052.33</v>
      </c>
      <c r="BS54" s="2212">
        <v>38979.11</v>
      </c>
      <c r="BT54" s="2212">
        <v>32700</v>
      </c>
      <c r="BU54" s="2212">
        <v>37407.22</v>
      </c>
      <c r="BV54" s="2212">
        <v>48049.47</v>
      </c>
      <c r="BW54" s="2212">
        <v>51203.97</v>
      </c>
      <c r="BX54" s="2212">
        <v>36455.410000000003</v>
      </c>
      <c r="BY54" s="2212">
        <v>20382.759999999998</v>
      </c>
      <c r="BZ54" s="2212">
        <v>53661.440000000002</v>
      </c>
      <c r="CA54" s="2212">
        <v>24235.82</v>
      </c>
      <c r="CB54" s="2212">
        <v>24379.03</v>
      </c>
      <c r="CC54" s="2212">
        <v>24012.99</v>
      </c>
      <c r="CD54" s="2212">
        <v>30119.22</v>
      </c>
      <c r="CE54" s="2212">
        <v>32845.81</v>
      </c>
      <c r="CF54" s="2212">
        <v>39539.129999999997</v>
      </c>
      <c r="CG54" s="2212">
        <v>29747.23</v>
      </c>
      <c r="CH54" s="2927">
        <v>31263.01</v>
      </c>
      <c r="CI54" s="2927">
        <v>24285.77</v>
      </c>
      <c r="CJ54" s="2212">
        <v>22781.49</v>
      </c>
      <c r="CK54" s="2212">
        <v>21145.38</v>
      </c>
      <c r="CL54" s="2212">
        <v>23982.69</v>
      </c>
      <c r="CM54" s="2212">
        <v>21950</v>
      </c>
      <c r="CN54" s="2212">
        <v>25493.52</v>
      </c>
      <c r="CO54" s="2212">
        <v>17997.2</v>
      </c>
      <c r="CP54" s="2212">
        <v>18300</v>
      </c>
      <c r="CQ54" s="2212">
        <v>22902.959999999999</v>
      </c>
      <c r="CR54" s="2212">
        <v>23265.040000000001</v>
      </c>
      <c r="CS54" s="2212">
        <v>22284.04</v>
      </c>
      <c r="CT54" s="2212">
        <v>15617.5</v>
      </c>
      <c r="CU54" s="2212">
        <v>22756.69</v>
      </c>
      <c r="CV54" s="2212">
        <v>18740.89</v>
      </c>
      <c r="CW54" s="2212">
        <v>23264.99</v>
      </c>
      <c r="CX54" s="2212">
        <v>26550</v>
      </c>
      <c r="CY54" s="2212">
        <v>14513.31</v>
      </c>
      <c r="CZ54" s="2212">
        <v>19600</v>
      </c>
      <c r="DA54" s="2212">
        <v>29251.57</v>
      </c>
      <c r="DB54" s="2212">
        <v>26527.8</v>
      </c>
      <c r="DC54" s="2212">
        <v>23743.69</v>
      </c>
      <c r="DD54" s="2212">
        <v>18649.73</v>
      </c>
      <c r="DE54" s="2212">
        <v>26276.799999999999</v>
      </c>
      <c r="DF54" s="2212">
        <v>23743.78</v>
      </c>
      <c r="DG54" s="2212">
        <v>27020.48</v>
      </c>
      <c r="DH54" s="2212">
        <v>19732.47</v>
      </c>
      <c r="DI54" s="2212">
        <v>33589.65</v>
      </c>
      <c r="DJ54" s="2212">
        <v>18719.400000000001</v>
      </c>
      <c r="DK54" s="2212">
        <v>24764.720000000001</v>
      </c>
      <c r="DL54" s="2212">
        <v>38293.31</v>
      </c>
      <c r="DM54" s="2212">
        <v>37432.089999999997</v>
      </c>
      <c r="DN54" s="2212">
        <v>22283.79</v>
      </c>
      <c r="DO54" s="2212">
        <v>23730.07</v>
      </c>
      <c r="DP54" s="2212">
        <v>16729.849999999999</v>
      </c>
      <c r="DQ54" s="2212">
        <v>42055.29</v>
      </c>
      <c r="DR54" s="2212">
        <v>24194.49</v>
      </c>
      <c r="DS54" s="2212">
        <v>22284.080000000002</v>
      </c>
      <c r="DT54" s="2212">
        <v>28631.34</v>
      </c>
      <c r="DU54" s="2212">
        <v>26980.880000000001</v>
      </c>
      <c r="DV54" s="2212">
        <v>37432.04</v>
      </c>
      <c r="DW54" s="2212">
        <v>20382.75</v>
      </c>
      <c r="DX54" s="2212">
        <v>23264.74</v>
      </c>
      <c r="DY54" s="2212">
        <v>41398.32</v>
      </c>
      <c r="DZ54" s="2212">
        <v>38299.589999999997</v>
      </c>
      <c r="EA54" s="2212">
        <v>29150</v>
      </c>
      <c r="EB54" s="2212">
        <v>22742.560000000001</v>
      </c>
      <c r="EC54" s="2212">
        <v>23743.51</v>
      </c>
      <c r="ED54" s="2212">
        <v>26980.880000000001</v>
      </c>
      <c r="EE54" s="2212">
        <v>31846.67</v>
      </c>
      <c r="EF54" s="2212">
        <v>54200.7</v>
      </c>
      <c r="EG54" s="2212">
        <v>45052.35</v>
      </c>
      <c r="EH54" s="2212">
        <v>53661.49</v>
      </c>
      <c r="EI54" s="2212">
        <v>26326.45</v>
      </c>
      <c r="EJ54" s="2212">
        <v>33521.68</v>
      </c>
      <c r="EK54" s="2212">
        <v>23350</v>
      </c>
      <c r="EL54" s="2212">
        <v>35922.51</v>
      </c>
      <c r="EM54" s="2212">
        <v>35158.97</v>
      </c>
      <c r="EN54" s="2212">
        <v>18662.3</v>
      </c>
      <c r="EO54" s="2212">
        <v>23034.639999999999</v>
      </c>
      <c r="EP54" s="2212">
        <v>36455.53</v>
      </c>
      <c r="EQ54" s="2212">
        <v>47190.59</v>
      </c>
      <c r="ER54" s="2212">
        <v>26450</v>
      </c>
      <c r="ES54" s="2212">
        <v>22063.79</v>
      </c>
      <c r="ET54" s="2212">
        <v>33933.449999999997</v>
      </c>
      <c r="EU54" s="2212">
        <v>39539.14</v>
      </c>
      <c r="EV54" s="2212">
        <v>28609.360000000001</v>
      </c>
      <c r="EW54" s="2212">
        <v>57513.48</v>
      </c>
      <c r="EX54" s="2212">
        <v>37910.65</v>
      </c>
      <c r="EY54" s="2212">
        <v>24012.74</v>
      </c>
      <c r="EZ54" s="2212">
        <v>24012.880000000001</v>
      </c>
      <c r="FA54" s="2212">
        <v>18639.27</v>
      </c>
      <c r="FB54" s="2212">
        <v>38979.24</v>
      </c>
      <c r="FC54" s="2212">
        <v>48049.57</v>
      </c>
      <c r="FD54" s="2212">
        <v>47347.76</v>
      </c>
      <c r="FE54" s="2212">
        <v>33515.21</v>
      </c>
      <c r="FF54" s="2212">
        <v>39539.14</v>
      </c>
      <c r="FG54" s="2212">
        <v>35922.51</v>
      </c>
      <c r="FH54" s="2212">
        <v>15836.13</v>
      </c>
      <c r="FI54" s="2212">
        <v>25285.23</v>
      </c>
      <c r="FJ54" s="2212">
        <v>35101.81</v>
      </c>
      <c r="FK54" s="2212">
        <v>21677.9</v>
      </c>
      <c r="FL54" s="2212">
        <v>24379.09</v>
      </c>
      <c r="FM54" s="2212">
        <v>22908.52</v>
      </c>
      <c r="FN54" s="2212">
        <v>22741.98</v>
      </c>
      <c r="FO54" s="2212">
        <v>28012.04</v>
      </c>
      <c r="FP54" s="2212">
        <v>29785.69</v>
      </c>
      <c r="FQ54" s="2212">
        <v>24637.439999999999</v>
      </c>
      <c r="FR54" s="2212">
        <v>24408.61</v>
      </c>
      <c r="FS54" s="2212">
        <v>53049.33</v>
      </c>
      <c r="FT54" s="2212">
        <v>22729.29</v>
      </c>
      <c r="FU54" s="2212">
        <v>28607.01</v>
      </c>
      <c r="FV54" s="2212">
        <v>37910.81</v>
      </c>
      <c r="FW54" s="2212">
        <v>34247.1</v>
      </c>
      <c r="FX54" s="2212">
        <v>23483.53</v>
      </c>
      <c r="FY54" s="2212">
        <v>28817.74</v>
      </c>
      <c r="FZ54" s="2212">
        <v>49777.120000000003</v>
      </c>
      <c r="GA54" s="2212">
        <v>23032.12</v>
      </c>
      <c r="GB54" s="2212">
        <v>18273.62</v>
      </c>
      <c r="GC54" s="2212">
        <v>24013.01</v>
      </c>
      <c r="GD54" s="2212">
        <v>51809.84</v>
      </c>
      <c r="GE54" s="2212">
        <v>18877.150000000001</v>
      </c>
      <c r="GF54" s="2212">
        <v>44472.41</v>
      </c>
      <c r="GG54" s="2212">
        <v>51204.160000000003</v>
      </c>
      <c r="GH54" s="2212">
        <v>38299.74</v>
      </c>
      <c r="GI54" s="2212">
        <v>30937.15</v>
      </c>
      <c r="GJ54" s="2212">
        <v>23828.31</v>
      </c>
      <c r="GK54" s="2212">
        <v>39070.129999999997</v>
      </c>
      <c r="GL54" s="2212">
        <v>33502.44</v>
      </c>
      <c r="GM54" s="2212">
        <v>57513.53</v>
      </c>
      <c r="GN54" s="2212">
        <v>26004.12</v>
      </c>
      <c r="GO54" s="2212">
        <v>20228.240000000002</v>
      </c>
      <c r="GP54" s="2212">
        <v>24858.76</v>
      </c>
      <c r="GQ54" s="2212">
        <v>47190.62</v>
      </c>
      <c r="GR54" s="2212">
        <v>23254.560000000001</v>
      </c>
      <c r="GS54" s="2212">
        <v>23264.400000000001</v>
      </c>
      <c r="GT54" s="2212">
        <v>37146.07</v>
      </c>
      <c r="GU54" s="2212">
        <v>38593.03</v>
      </c>
      <c r="GV54" s="2212">
        <v>60665.88</v>
      </c>
      <c r="GW54" s="2212">
        <v>16162.76</v>
      </c>
      <c r="GX54" s="2212">
        <v>23397.88</v>
      </c>
      <c r="GY54" s="2212">
        <v>40010.33</v>
      </c>
      <c r="GZ54" s="2212">
        <v>24285.15</v>
      </c>
      <c r="HA54" s="2212">
        <v>65399.94</v>
      </c>
      <c r="HB54" s="2212">
        <v>23278.14</v>
      </c>
      <c r="HC54" s="2212">
        <v>34246.93</v>
      </c>
      <c r="HD54" s="2212">
        <v>25904.95</v>
      </c>
      <c r="HE54" s="2212">
        <v>35101.839999999997</v>
      </c>
      <c r="HF54" s="2212">
        <v>20700</v>
      </c>
      <c r="HG54" s="2212">
        <v>15844.8</v>
      </c>
      <c r="HH54" s="2212">
        <v>24066.54</v>
      </c>
      <c r="HI54" s="2212">
        <v>27409.07</v>
      </c>
      <c r="HJ54" s="2212">
        <v>22284.19</v>
      </c>
      <c r="HK54" s="2212">
        <v>22063.06</v>
      </c>
      <c r="HL54" s="2212">
        <v>48785.47</v>
      </c>
      <c r="HM54" s="2212">
        <v>46306.52</v>
      </c>
      <c r="HN54" s="2212">
        <v>24156.29</v>
      </c>
      <c r="HO54" s="2212">
        <v>38380.559999999998</v>
      </c>
      <c r="HP54" s="2212">
        <v>24066.54</v>
      </c>
      <c r="HQ54" s="2212">
        <v>57513.53</v>
      </c>
      <c r="HR54" s="2212">
        <v>49777.14</v>
      </c>
      <c r="HS54" s="2212">
        <v>24012.97</v>
      </c>
      <c r="HT54" s="2212">
        <v>21677.9</v>
      </c>
      <c r="HU54" s="2212">
        <v>60665.87</v>
      </c>
      <c r="HV54" s="2212">
        <v>26078.14</v>
      </c>
      <c r="HW54" s="2212">
        <v>23295.759999999998</v>
      </c>
      <c r="HX54" s="2212">
        <v>29896.15</v>
      </c>
      <c r="HY54" s="2212">
        <v>60665.94</v>
      </c>
      <c r="HZ54" s="2212">
        <v>54200.86</v>
      </c>
      <c r="IA54" s="2212">
        <v>22283.98</v>
      </c>
      <c r="IB54" s="2212">
        <v>24512.41</v>
      </c>
      <c r="IC54" s="2212">
        <v>34960.19</v>
      </c>
      <c r="ID54" s="2212">
        <v>15836.63</v>
      </c>
      <c r="IE54" s="2212">
        <v>65399.83</v>
      </c>
      <c r="IF54" s="2212">
        <v>53318.35</v>
      </c>
      <c r="IG54" s="2212">
        <v>53661.49</v>
      </c>
      <c r="IH54" s="2212">
        <v>37591.699999999997</v>
      </c>
      <c r="II54" s="2212">
        <v>23175</v>
      </c>
      <c r="IJ54" s="2212">
        <v>26190.65</v>
      </c>
      <c r="IK54" s="2212">
        <v>24140.77</v>
      </c>
      <c r="IL54" s="2212">
        <v>24512.5</v>
      </c>
      <c r="IM54" s="2212">
        <v>25533.119999999999</v>
      </c>
      <c r="IN54" s="2212">
        <v>54742.76</v>
      </c>
      <c r="IO54" s="2212">
        <v>47190.48</v>
      </c>
      <c r="IP54" s="2212"/>
      <c r="IR54" s="2212">
        <v>37889.089999999997</v>
      </c>
      <c r="IS54" s="2212">
        <v>24156.22</v>
      </c>
      <c r="IT54" s="2212">
        <v>22283.87</v>
      </c>
      <c r="IU54" s="2911">
        <v>23932.33</v>
      </c>
      <c r="IV54" s="2911">
        <v>24585.82</v>
      </c>
      <c r="IW54" s="2911">
        <v>26648.02</v>
      </c>
      <c r="IX54" s="2911">
        <v>27921.360000000001</v>
      </c>
      <c r="IY54" s="2207"/>
      <c r="IZ54" s="2215">
        <f t="shared" si="6"/>
        <v>45</v>
      </c>
    </row>
    <row r="55" spans="1:260">
      <c r="A55" s="2214">
        <v>46</v>
      </c>
      <c r="B55" s="2212">
        <v>67575.87</v>
      </c>
      <c r="C55" s="2927">
        <v>64956.56</v>
      </c>
      <c r="D55" s="2927">
        <v>59255.11</v>
      </c>
      <c r="E55" s="2212">
        <v>52466.82</v>
      </c>
      <c r="F55" s="2927">
        <v>52438.09</v>
      </c>
      <c r="G55" s="2212">
        <v>51029.45</v>
      </c>
      <c r="H55" s="2927">
        <v>49141</v>
      </c>
      <c r="I55" s="2212">
        <v>46588.73</v>
      </c>
      <c r="J55" s="2212">
        <v>51029.599999999999</v>
      </c>
      <c r="K55" s="2212">
        <v>48141.01</v>
      </c>
      <c r="L55" s="2927">
        <v>44951.59</v>
      </c>
      <c r="M55" s="2212">
        <v>44422.61</v>
      </c>
      <c r="N55" s="2927">
        <v>40663.03</v>
      </c>
      <c r="O55" s="2212">
        <v>39702.74</v>
      </c>
      <c r="P55" s="2927">
        <v>36448.949999999997</v>
      </c>
      <c r="Q55" s="2927">
        <v>30747.41</v>
      </c>
      <c r="R55" s="2212">
        <v>35448.949999999997</v>
      </c>
      <c r="S55" s="2212">
        <v>35448.949999999997</v>
      </c>
      <c r="T55" s="2212">
        <v>34457.300000000003</v>
      </c>
      <c r="U55" s="2212">
        <v>34457.300000000003</v>
      </c>
      <c r="V55" s="2212">
        <v>34457.300000000003</v>
      </c>
      <c r="W55" s="2212">
        <v>34457.300000000003</v>
      </c>
      <c r="X55" s="2212">
        <v>32474.23</v>
      </c>
      <c r="Y55" s="2927">
        <v>37018.620000000003</v>
      </c>
      <c r="Z55" s="2923">
        <v>35116</v>
      </c>
      <c r="AA55" s="2930">
        <v>35116</v>
      </c>
      <c r="AB55" s="2927">
        <v>36018.620000000003</v>
      </c>
      <c r="AC55" s="2212">
        <v>32127.200000000001</v>
      </c>
      <c r="AD55" s="2923">
        <v>34124</v>
      </c>
      <c r="AE55" s="2929">
        <v>34667.51</v>
      </c>
      <c r="AF55" s="2927">
        <v>31887.69</v>
      </c>
      <c r="AG55" s="2927">
        <v>31887.69</v>
      </c>
      <c r="AH55" s="2927">
        <v>33775.919999999998</v>
      </c>
      <c r="AI55" s="2927">
        <v>31069.54</v>
      </c>
      <c r="AJ55" s="2927">
        <v>28764.25</v>
      </c>
      <c r="AK55" s="2927">
        <v>23285.77</v>
      </c>
      <c r="AL55" s="2927">
        <v>21203.47</v>
      </c>
      <c r="AM55" s="2927">
        <v>20087.98</v>
      </c>
      <c r="AN55" s="2212">
        <v>22285.77</v>
      </c>
      <c r="AO55" s="2212">
        <v>20203.47</v>
      </c>
      <c r="AP55" s="2212">
        <v>19087.98</v>
      </c>
      <c r="AQ55" s="2923">
        <v>29159</v>
      </c>
      <c r="AR55" s="2923">
        <v>27459</v>
      </c>
      <c r="AS55" s="2929">
        <v>25541.58</v>
      </c>
      <c r="AT55" s="2927">
        <v>24797.94</v>
      </c>
      <c r="AU55" s="2928">
        <v>23285.82</v>
      </c>
      <c r="AV55" s="2212">
        <v>22423.77</v>
      </c>
      <c r="AW55" s="2212">
        <v>19659.32</v>
      </c>
      <c r="AX55" s="2212">
        <v>23371.47</v>
      </c>
      <c r="AY55" s="2212">
        <v>24789.439999999999</v>
      </c>
      <c r="AZ55" s="2212">
        <v>23802.89</v>
      </c>
      <c r="BA55" s="2212">
        <v>24789.42</v>
      </c>
      <c r="BB55" s="2212">
        <v>23797.86</v>
      </c>
      <c r="BC55" s="2212">
        <v>24759.1</v>
      </c>
      <c r="BD55" s="2212">
        <v>25533.119999999999</v>
      </c>
      <c r="BE55" s="2212">
        <v>24606.06</v>
      </c>
      <c r="BF55" s="2212">
        <v>26028.95</v>
      </c>
      <c r="BG55" s="2212">
        <v>19010.2</v>
      </c>
      <c r="BH55" s="2212">
        <v>29300</v>
      </c>
      <c r="BI55" s="2212">
        <v>28780.55</v>
      </c>
      <c r="BJ55" s="2212">
        <v>16476.650000000001</v>
      </c>
      <c r="BK55" s="2212">
        <v>16476.650000000001</v>
      </c>
      <c r="BL55" s="2212">
        <v>35150</v>
      </c>
      <c r="BM55" s="2212">
        <v>33887.269999999997</v>
      </c>
      <c r="BN55" s="2212">
        <v>33961.480000000003</v>
      </c>
      <c r="BO55" s="2212">
        <v>33521.82</v>
      </c>
      <c r="BP55" s="2212">
        <v>42055.29</v>
      </c>
      <c r="BQ55" s="2212">
        <v>27764.21</v>
      </c>
      <c r="BR55" s="2212">
        <v>45052.33</v>
      </c>
      <c r="BS55" s="2212">
        <v>38979.11</v>
      </c>
      <c r="BT55" s="2212">
        <v>32700</v>
      </c>
      <c r="BU55" s="2212">
        <v>37407.22</v>
      </c>
      <c r="BV55" s="2212">
        <v>48049.47</v>
      </c>
      <c r="BW55" s="2212">
        <v>51203.97</v>
      </c>
      <c r="BX55" s="2212">
        <v>36455.410000000003</v>
      </c>
      <c r="BY55" s="2212">
        <v>20382.759999999998</v>
      </c>
      <c r="BZ55" s="2212">
        <v>53661.440000000002</v>
      </c>
      <c r="CA55" s="2212">
        <v>24235.82</v>
      </c>
      <c r="CB55" s="2212">
        <v>24379.03</v>
      </c>
      <c r="CC55" s="2212">
        <v>24012.99</v>
      </c>
      <c r="CD55" s="2212">
        <v>30119.22</v>
      </c>
      <c r="CE55" s="2212">
        <v>32845.81</v>
      </c>
      <c r="CF55" s="2212">
        <v>39539.129999999997</v>
      </c>
      <c r="CG55" s="2212">
        <v>29747.23</v>
      </c>
      <c r="CH55" s="2927">
        <v>31263.01</v>
      </c>
      <c r="CI55" s="2927">
        <v>24285.77</v>
      </c>
      <c r="CJ55" s="2212">
        <v>22781.49</v>
      </c>
      <c r="CK55" s="2212">
        <v>21145.38</v>
      </c>
      <c r="CL55" s="2212">
        <v>23982.69</v>
      </c>
      <c r="CM55" s="2212">
        <v>21950</v>
      </c>
      <c r="CN55" s="2212">
        <v>25493.52</v>
      </c>
      <c r="CO55" s="2212">
        <v>17997.2</v>
      </c>
      <c r="CP55" s="2212">
        <v>18300</v>
      </c>
      <c r="CQ55" s="2212">
        <v>22902.959999999999</v>
      </c>
      <c r="CR55" s="2212">
        <v>23265.040000000001</v>
      </c>
      <c r="CS55" s="2212">
        <v>22284.04</v>
      </c>
      <c r="CT55" s="2212">
        <v>15617.5</v>
      </c>
      <c r="CU55" s="2212">
        <v>22756.69</v>
      </c>
      <c r="CV55" s="2212">
        <v>18740.89</v>
      </c>
      <c r="CW55" s="2212">
        <v>23264.99</v>
      </c>
      <c r="CX55" s="2212">
        <v>26550</v>
      </c>
      <c r="CY55" s="2212">
        <v>14513.31</v>
      </c>
      <c r="CZ55" s="2212">
        <v>19600</v>
      </c>
      <c r="DA55" s="2212">
        <v>29251.57</v>
      </c>
      <c r="DB55" s="2212">
        <v>26527.8</v>
      </c>
      <c r="DC55" s="2212">
        <v>23743.69</v>
      </c>
      <c r="DD55" s="2212">
        <v>18649.73</v>
      </c>
      <c r="DE55" s="2212">
        <v>26276.799999999999</v>
      </c>
      <c r="DF55" s="2212">
        <v>23743.78</v>
      </c>
      <c r="DG55" s="2212">
        <v>27020.48</v>
      </c>
      <c r="DH55" s="2212">
        <v>19732.47</v>
      </c>
      <c r="DI55" s="2212">
        <v>33589.65</v>
      </c>
      <c r="DJ55" s="2212">
        <v>18719.400000000001</v>
      </c>
      <c r="DK55" s="2212">
        <v>24764.720000000001</v>
      </c>
      <c r="DL55" s="2212">
        <v>38293.31</v>
      </c>
      <c r="DM55" s="2212">
        <v>37432.089999999997</v>
      </c>
      <c r="DN55" s="2212">
        <v>22283.79</v>
      </c>
      <c r="DO55" s="2212">
        <v>23730.07</v>
      </c>
      <c r="DP55" s="2212">
        <v>16729.849999999999</v>
      </c>
      <c r="DQ55" s="2212">
        <v>42055.29</v>
      </c>
      <c r="DR55" s="2212">
        <v>24194.49</v>
      </c>
      <c r="DS55" s="2212">
        <v>22284.080000000002</v>
      </c>
      <c r="DT55" s="2212">
        <v>28631.34</v>
      </c>
      <c r="DU55" s="2212">
        <v>26980.880000000001</v>
      </c>
      <c r="DV55" s="2212">
        <v>37432.04</v>
      </c>
      <c r="DW55" s="2212">
        <v>20382.75</v>
      </c>
      <c r="DX55" s="2212">
        <v>23264.74</v>
      </c>
      <c r="DY55" s="2212">
        <v>41398.32</v>
      </c>
      <c r="DZ55" s="2212">
        <v>38299.589999999997</v>
      </c>
      <c r="EA55" s="2212">
        <v>29150</v>
      </c>
      <c r="EB55" s="2212">
        <v>22742.560000000001</v>
      </c>
      <c r="EC55" s="2212">
        <v>23743.51</v>
      </c>
      <c r="ED55" s="2212">
        <v>26980.880000000001</v>
      </c>
      <c r="EE55" s="2212">
        <v>31846.67</v>
      </c>
      <c r="EF55" s="2212">
        <v>54200.7</v>
      </c>
      <c r="EG55" s="2212">
        <v>45052.35</v>
      </c>
      <c r="EH55" s="2212">
        <v>53661.49</v>
      </c>
      <c r="EI55" s="2212">
        <v>26326.45</v>
      </c>
      <c r="EJ55" s="2212">
        <v>33521.68</v>
      </c>
      <c r="EK55" s="2212">
        <v>23350</v>
      </c>
      <c r="EL55" s="2212">
        <v>35922.51</v>
      </c>
      <c r="EM55" s="2212">
        <v>35158.97</v>
      </c>
      <c r="EN55" s="2212">
        <v>18662.3</v>
      </c>
      <c r="EO55" s="2212">
        <v>23034.639999999999</v>
      </c>
      <c r="EP55" s="2212">
        <v>36455.53</v>
      </c>
      <c r="EQ55" s="2212">
        <v>47190.59</v>
      </c>
      <c r="ER55" s="2212">
        <v>26450</v>
      </c>
      <c r="ES55" s="2212">
        <v>22063.79</v>
      </c>
      <c r="ET55" s="2212">
        <v>33933.449999999997</v>
      </c>
      <c r="EU55" s="2212">
        <v>39539.14</v>
      </c>
      <c r="EV55" s="2212">
        <v>28609.360000000001</v>
      </c>
      <c r="EW55" s="2212">
        <v>57513.48</v>
      </c>
      <c r="EX55" s="2212">
        <v>37910.65</v>
      </c>
      <c r="EY55" s="2212">
        <v>24012.74</v>
      </c>
      <c r="EZ55" s="2212">
        <v>24012.880000000001</v>
      </c>
      <c r="FA55" s="2212">
        <v>18639.27</v>
      </c>
      <c r="FB55" s="2212">
        <v>38979.24</v>
      </c>
      <c r="FC55" s="2212">
        <v>48049.57</v>
      </c>
      <c r="FD55" s="2212">
        <v>47347.76</v>
      </c>
      <c r="FE55" s="2212">
        <v>33515.21</v>
      </c>
      <c r="FF55" s="2212">
        <v>39539.14</v>
      </c>
      <c r="FG55" s="2212">
        <v>35922.51</v>
      </c>
      <c r="FH55" s="2212">
        <v>15836.13</v>
      </c>
      <c r="FI55" s="2212">
        <v>25285.23</v>
      </c>
      <c r="FJ55" s="2212">
        <v>35101.81</v>
      </c>
      <c r="FK55" s="2212">
        <v>21677.9</v>
      </c>
      <c r="FL55" s="2212">
        <v>24379.09</v>
      </c>
      <c r="FM55" s="2212">
        <v>22908.52</v>
      </c>
      <c r="FN55" s="2212">
        <v>22741.98</v>
      </c>
      <c r="FO55" s="2212">
        <v>28012.04</v>
      </c>
      <c r="FP55" s="2212">
        <v>29785.69</v>
      </c>
      <c r="FQ55" s="2212">
        <v>24637.439999999999</v>
      </c>
      <c r="FR55" s="2212">
        <v>24408.61</v>
      </c>
      <c r="FS55" s="2212">
        <v>53049.33</v>
      </c>
      <c r="FT55" s="2212">
        <v>22729.29</v>
      </c>
      <c r="FU55" s="2212">
        <v>28607.01</v>
      </c>
      <c r="FV55" s="2212">
        <v>37910.81</v>
      </c>
      <c r="FW55" s="2212">
        <v>34247.1</v>
      </c>
      <c r="FX55" s="2212">
        <v>23483.53</v>
      </c>
      <c r="FY55" s="2212">
        <v>28817.74</v>
      </c>
      <c r="FZ55" s="2212">
        <v>49777.120000000003</v>
      </c>
      <c r="GA55" s="2212">
        <v>23032.12</v>
      </c>
      <c r="GB55" s="2212">
        <v>18273.62</v>
      </c>
      <c r="GC55" s="2212">
        <v>24013.01</v>
      </c>
      <c r="GD55" s="2212">
        <v>51809.84</v>
      </c>
      <c r="GE55" s="2212">
        <v>18877.150000000001</v>
      </c>
      <c r="GF55" s="2212">
        <v>44472.41</v>
      </c>
      <c r="GG55" s="2212">
        <v>51204.160000000003</v>
      </c>
      <c r="GH55" s="2212">
        <v>38299.74</v>
      </c>
      <c r="GI55" s="2212">
        <v>30937.15</v>
      </c>
      <c r="GJ55" s="2212">
        <v>23828.31</v>
      </c>
      <c r="GK55" s="2212">
        <v>39070.129999999997</v>
      </c>
      <c r="GL55" s="2212">
        <v>33502.44</v>
      </c>
      <c r="GM55" s="2212">
        <v>57513.53</v>
      </c>
      <c r="GN55" s="2212">
        <v>26004.12</v>
      </c>
      <c r="GO55" s="2212">
        <v>20228.240000000002</v>
      </c>
      <c r="GP55" s="2212">
        <v>24858.76</v>
      </c>
      <c r="GQ55" s="2212">
        <v>47190.62</v>
      </c>
      <c r="GR55" s="2212">
        <v>23254.560000000001</v>
      </c>
      <c r="GS55" s="2212">
        <v>23264.400000000001</v>
      </c>
      <c r="GT55" s="2212">
        <v>37146.07</v>
      </c>
      <c r="GU55" s="2212">
        <v>38593.03</v>
      </c>
      <c r="GV55" s="2212">
        <v>60665.88</v>
      </c>
      <c r="GW55" s="2212">
        <v>16162.76</v>
      </c>
      <c r="GX55" s="2212">
        <v>23397.88</v>
      </c>
      <c r="GY55" s="2212">
        <v>40010.33</v>
      </c>
      <c r="GZ55" s="2212">
        <v>24285.15</v>
      </c>
      <c r="HA55" s="2212">
        <v>65399.94</v>
      </c>
      <c r="HB55" s="2212">
        <v>23278.14</v>
      </c>
      <c r="HC55" s="2212">
        <v>34246.93</v>
      </c>
      <c r="HD55" s="2212">
        <v>25904.95</v>
      </c>
      <c r="HE55" s="2212">
        <v>35101.839999999997</v>
      </c>
      <c r="HF55" s="2212">
        <v>20700</v>
      </c>
      <c r="HG55" s="2212">
        <v>15844.8</v>
      </c>
      <c r="HH55" s="2212">
        <v>24066.54</v>
      </c>
      <c r="HI55" s="2212">
        <v>27409.07</v>
      </c>
      <c r="HJ55" s="2212">
        <v>22284.19</v>
      </c>
      <c r="HK55" s="2212">
        <v>22063.06</v>
      </c>
      <c r="HL55" s="2212">
        <v>48785.47</v>
      </c>
      <c r="HM55" s="2212">
        <v>46306.52</v>
      </c>
      <c r="HN55" s="2212">
        <v>24156.29</v>
      </c>
      <c r="HO55" s="2212">
        <v>38380.559999999998</v>
      </c>
      <c r="HP55" s="2212">
        <v>24066.54</v>
      </c>
      <c r="HQ55" s="2212">
        <v>57513.53</v>
      </c>
      <c r="HR55" s="2212">
        <v>49777.14</v>
      </c>
      <c r="HS55" s="2212">
        <v>24012.97</v>
      </c>
      <c r="HT55" s="2212">
        <v>21677.9</v>
      </c>
      <c r="HU55" s="2212">
        <v>60665.87</v>
      </c>
      <c r="HV55" s="2212">
        <v>26078.14</v>
      </c>
      <c r="HW55" s="2212">
        <v>23295.759999999998</v>
      </c>
      <c r="HX55" s="2212">
        <v>29896.15</v>
      </c>
      <c r="HY55" s="2212">
        <v>60665.94</v>
      </c>
      <c r="HZ55" s="2212">
        <v>54200.86</v>
      </c>
      <c r="IA55" s="2212">
        <v>22283.98</v>
      </c>
      <c r="IB55" s="2212">
        <v>24512.41</v>
      </c>
      <c r="IC55" s="2212">
        <v>34960.19</v>
      </c>
      <c r="ID55" s="2212">
        <v>15836.63</v>
      </c>
      <c r="IE55" s="2212">
        <v>65399.83</v>
      </c>
      <c r="IF55" s="2212">
        <v>53318.35</v>
      </c>
      <c r="IG55" s="2212">
        <v>53661.49</v>
      </c>
      <c r="IH55" s="2212">
        <v>37591.699999999997</v>
      </c>
      <c r="II55" s="2212">
        <v>23175</v>
      </c>
      <c r="IJ55" s="2212">
        <v>26190.65</v>
      </c>
      <c r="IK55" s="2212">
        <v>24140.77</v>
      </c>
      <c r="IL55" s="2212">
        <v>24512.5</v>
      </c>
      <c r="IM55" s="2212">
        <v>25533.119999999999</v>
      </c>
      <c r="IN55" s="2212">
        <v>54742.76</v>
      </c>
      <c r="IO55" s="2212">
        <v>47190.48</v>
      </c>
      <c r="IP55" s="2212"/>
      <c r="IR55" s="2212">
        <v>37889.089999999997</v>
      </c>
      <c r="IS55" s="2212">
        <v>24156.22</v>
      </c>
      <c r="IT55" s="2212">
        <v>22283.87</v>
      </c>
      <c r="IU55" s="2911">
        <v>23932.33</v>
      </c>
      <c r="IV55" s="2911">
        <v>24585.82</v>
      </c>
      <c r="IW55" s="2911">
        <v>26648.02</v>
      </c>
      <c r="IX55" s="2911">
        <v>27921.360000000001</v>
      </c>
      <c r="IY55" s="2207"/>
      <c r="IZ55" s="2215">
        <f t="shared" si="6"/>
        <v>46</v>
      </c>
    </row>
    <row r="56" spans="1:260">
      <c r="A56" s="2214">
        <v>47</v>
      </c>
      <c r="B56" s="2212">
        <v>67575.87</v>
      </c>
      <c r="C56" s="2927">
        <v>64956.56</v>
      </c>
      <c r="D56" s="2927">
        <v>59255.11</v>
      </c>
      <c r="E56" s="2212">
        <v>52466.82</v>
      </c>
      <c r="F56" s="2927">
        <v>52438.09</v>
      </c>
      <c r="G56" s="2212">
        <v>51029.45</v>
      </c>
      <c r="H56" s="2927">
        <v>49141</v>
      </c>
      <c r="I56" s="2212">
        <v>46588.73</v>
      </c>
      <c r="J56" s="2212">
        <v>51029.599999999999</v>
      </c>
      <c r="K56" s="2212">
        <v>48141.01</v>
      </c>
      <c r="L56" s="2927">
        <v>44951.59</v>
      </c>
      <c r="M56" s="2212">
        <v>44422.61</v>
      </c>
      <c r="N56" s="2927">
        <v>40663.03</v>
      </c>
      <c r="O56" s="2212">
        <v>39702.74</v>
      </c>
      <c r="P56" s="2927">
        <v>36448.949999999997</v>
      </c>
      <c r="Q56" s="2927">
        <v>30747.41</v>
      </c>
      <c r="R56" s="2212">
        <v>35448.949999999997</v>
      </c>
      <c r="S56" s="2212">
        <v>35448.949999999997</v>
      </c>
      <c r="T56" s="2212">
        <v>34457.300000000003</v>
      </c>
      <c r="U56" s="2212">
        <v>34457.300000000003</v>
      </c>
      <c r="V56" s="2212">
        <v>34457.300000000003</v>
      </c>
      <c r="W56" s="2212">
        <v>34457.300000000003</v>
      </c>
      <c r="X56" s="2212">
        <v>32474.23</v>
      </c>
      <c r="Y56" s="2927">
        <v>37018.620000000003</v>
      </c>
      <c r="Z56" s="2923">
        <v>35116</v>
      </c>
      <c r="AA56" s="2930">
        <v>35116</v>
      </c>
      <c r="AB56" s="2927">
        <v>36018.620000000003</v>
      </c>
      <c r="AC56" s="2212">
        <v>32127.200000000001</v>
      </c>
      <c r="AD56" s="2923">
        <v>34124</v>
      </c>
      <c r="AE56" s="2929">
        <v>34667.51</v>
      </c>
      <c r="AF56" s="2927">
        <v>31887.69</v>
      </c>
      <c r="AG56" s="2927">
        <v>31887.69</v>
      </c>
      <c r="AH56" s="2927">
        <v>33775.919999999998</v>
      </c>
      <c r="AI56" s="2927">
        <v>31069.54</v>
      </c>
      <c r="AJ56" s="2927">
        <v>28764.25</v>
      </c>
      <c r="AK56" s="2927">
        <v>23285.77</v>
      </c>
      <c r="AL56" s="2927">
        <v>21203.47</v>
      </c>
      <c r="AM56" s="2927">
        <v>20087.98</v>
      </c>
      <c r="AN56" s="2212">
        <v>22285.77</v>
      </c>
      <c r="AO56" s="2212">
        <v>20203.47</v>
      </c>
      <c r="AP56" s="2212">
        <v>19087.98</v>
      </c>
      <c r="AQ56" s="2923">
        <v>29159</v>
      </c>
      <c r="AR56" s="2923">
        <v>27459</v>
      </c>
      <c r="AS56" s="2929">
        <v>25541.58</v>
      </c>
      <c r="AT56" s="2927">
        <v>24797.94</v>
      </c>
      <c r="AU56" s="2928">
        <v>23285.82</v>
      </c>
      <c r="AV56" s="2212">
        <v>22423.77</v>
      </c>
      <c r="AW56" s="2212">
        <v>19659.32</v>
      </c>
      <c r="AX56" s="2212">
        <v>23371.47</v>
      </c>
      <c r="AY56" s="2212">
        <v>24789.439999999999</v>
      </c>
      <c r="AZ56" s="2212">
        <v>23802.89</v>
      </c>
      <c r="BA56" s="2212">
        <v>24789.42</v>
      </c>
      <c r="BB56" s="2212">
        <v>23797.86</v>
      </c>
      <c r="BC56" s="2212">
        <v>24759.1</v>
      </c>
      <c r="BD56" s="2212">
        <v>25533.119999999999</v>
      </c>
      <c r="BE56" s="2212">
        <v>24606.06</v>
      </c>
      <c r="BF56" s="2212">
        <v>26028.95</v>
      </c>
      <c r="BG56" s="2212">
        <v>19010.2</v>
      </c>
      <c r="BH56" s="2212">
        <v>29300</v>
      </c>
      <c r="BI56" s="2212">
        <v>28780.55</v>
      </c>
      <c r="BJ56" s="2212">
        <v>16476.650000000001</v>
      </c>
      <c r="BK56" s="2212">
        <v>16476.650000000001</v>
      </c>
      <c r="BL56" s="2212">
        <v>35150</v>
      </c>
      <c r="BM56" s="2212">
        <v>33887.269999999997</v>
      </c>
      <c r="BN56" s="2212">
        <v>33961.480000000003</v>
      </c>
      <c r="BO56" s="2212">
        <v>33521.82</v>
      </c>
      <c r="BP56" s="2212">
        <v>42055.29</v>
      </c>
      <c r="BQ56" s="2212">
        <v>27764.21</v>
      </c>
      <c r="BR56" s="2212">
        <v>45052.33</v>
      </c>
      <c r="BS56" s="2212">
        <v>38979.11</v>
      </c>
      <c r="BT56" s="2212">
        <v>32700</v>
      </c>
      <c r="BU56" s="2212">
        <v>37407.22</v>
      </c>
      <c r="BV56" s="2212">
        <v>48049.47</v>
      </c>
      <c r="BW56" s="2212">
        <v>51203.97</v>
      </c>
      <c r="BX56" s="2212">
        <v>36455.410000000003</v>
      </c>
      <c r="BY56" s="2212">
        <v>20382.759999999998</v>
      </c>
      <c r="BZ56" s="2212">
        <v>53661.440000000002</v>
      </c>
      <c r="CA56" s="2212">
        <v>24235.82</v>
      </c>
      <c r="CB56" s="2212">
        <v>24379.03</v>
      </c>
      <c r="CC56" s="2212">
        <v>24012.99</v>
      </c>
      <c r="CD56" s="2212">
        <v>30119.22</v>
      </c>
      <c r="CE56" s="2212">
        <v>32845.81</v>
      </c>
      <c r="CF56" s="2212">
        <v>39539.129999999997</v>
      </c>
      <c r="CG56" s="2212">
        <v>29747.23</v>
      </c>
      <c r="CH56" s="2927">
        <v>31263.01</v>
      </c>
      <c r="CI56" s="2927">
        <v>24285.77</v>
      </c>
      <c r="CJ56" s="2212">
        <v>22781.49</v>
      </c>
      <c r="CK56" s="2212">
        <v>21145.38</v>
      </c>
      <c r="CL56" s="2212">
        <v>23982.69</v>
      </c>
      <c r="CM56" s="2212">
        <v>21950</v>
      </c>
      <c r="CN56" s="2212">
        <v>25493.52</v>
      </c>
      <c r="CO56" s="2212">
        <v>17997.2</v>
      </c>
      <c r="CP56" s="2212">
        <v>18300</v>
      </c>
      <c r="CQ56" s="2212">
        <v>22902.959999999999</v>
      </c>
      <c r="CR56" s="2212">
        <v>23265.040000000001</v>
      </c>
      <c r="CS56" s="2212">
        <v>22284.04</v>
      </c>
      <c r="CT56" s="2212">
        <v>15617.5</v>
      </c>
      <c r="CU56" s="2212">
        <v>22756.69</v>
      </c>
      <c r="CV56" s="2212">
        <v>18740.89</v>
      </c>
      <c r="CW56" s="2212">
        <v>23264.99</v>
      </c>
      <c r="CX56" s="2212">
        <v>26550</v>
      </c>
      <c r="CY56" s="2212">
        <v>14513.31</v>
      </c>
      <c r="CZ56" s="2212">
        <v>19600</v>
      </c>
      <c r="DA56" s="2212">
        <v>29251.57</v>
      </c>
      <c r="DB56" s="2212">
        <v>26527.8</v>
      </c>
      <c r="DC56" s="2212">
        <v>23743.69</v>
      </c>
      <c r="DD56" s="2212">
        <v>18649.73</v>
      </c>
      <c r="DE56" s="2212">
        <v>26276.799999999999</v>
      </c>
      <c r="DF56" s="2212">
        <v>23743.78</v>
      </c>
      <c r="DG56" s="2212">
        <v>27020.48</v>
      </c>
      <c r="DH56" s="2212">
        <v>19732.47</v>
      </c>
      <c r="DI56" s="2212">
        <v>33589.65</v>
      </c>
      <c r="DJ56" s="2212">
        <v>18719.400000000001</v>
      </c>
      <c r="DK56" s="2212">
        <v>24764.720000000001</v>
      </c>
      <c r="DL56" s="2212">
        <v>38293.31</v>
      </c>
      <c r="DM56" s="2212">
        <v>37432.089999999997</v>
      </c>
      <c r="DN56" s="2212">
        <v>22283.79</v>
      </c>
      <c r="DO56" s="2212">
        <v>23730.07</v>
      </c>
      <c r="DP56" s="2212">
        <v>16729.849999999999</v>
      </c>
      <c r="DQ56" s="2212">
        <v>42055.29</v>
      </c>
      <c r="DR56" s="2212">
        <v>24194.49</v>
      </c>
      <c r="DS56" s="2212">
        <v>22284.080000000002</v>
      </c>
      <c r="DT56" s="2212">
        <v>28631.34</v>
      </c>
      <c r="DU56" s="2212">
        <v>26980.880000000001</v>
      </c>
      <c r="DV56" s="2212">
        <v>37432.04</v>
      </c>
      <c r="DW56" s="2212">
        <v>20382.75</v>
      </c>
      <c r="DX56" s="2212">
        <v>23264.74</v>
      </c>
      <c r="DY56" s="2212">
        <v>41398.32</v>
      </c>
      <c r="DZ56" s="2212">
        <v>38299.589999999997</v>
      </c>
      <c r="EA56" s="2212">
        <v>29150</v>
      </c>
      <c r="EB56" s="2212">
        <v>22742.560000000001</v>
      </c>
      <c r="EC56" s="2212">
        <v>23743.51</v>
      </c>
      <c r="ED56" s="2212">
        <v>26980.880000000001</v>
      </c>
      <c r="EE56" s="2212">
        <v>31846.67</v>
      </c>
      <c r="EF56" s="2212">
        <v>54200.7</v>
      </c>
      <c r="EG56" s="2212">
        <v>45052.35</v>
      </c>
      <c r="EH56" s="2212">
        <v>53661.49</v>
      </c>
      <c r="EI56" s="2212">
        <v>26326.45</v>
      </c>
      <c r="EJ56" s="2212">
        <v>33521.68</v>
      </c>
      <c r="EK56" s="2212">
        <v>23350</v>
      </c>
      <c r="EL56" s="2212">
        <v>35922.51</v>
      </c>
      <c r="EM56" s="2212">
        <v>35158.97</v>
      </c>
      <c r="EN56" s="2212">
        <v>18662.3</v>
      </c>
      <c r="EO56" s="2212">
        <v>23034.639999999999</v>
      </c>
      <c r="EP56" s="2212">
        <v>36455.53</v>
      </c>
      <c r="EQ56" s="2212">
        <v>47190.59</v>
      </c>
      <c r="ER56" s="2212">
        <v>26450</v>
      </c>
      <c r="ES56" s="2212">
        <v>22063.79</v>
      </c>
      <c r="ET56" s="2212">
        <v>33933.449999999997</v>
      </c>
      <c r="EU56" s="2212">
        <v>39539.14</v>
      </c>
      <c r="EV56" s="2212">
        <v>28609.360000000001</v>
      </c>
      <c r="EW56" s="2212">
        <v>57513.48</v>
      </c>
      <c r="EX56" s="2212">
        <v>37910.65</v>
      </c>
      <c r="EY56" s="2212">
        <v>24012.74</v>
      </c>
      <c r="EZ56" s="2212">
        <v>24012.880000000001</v>
      </c>
      <c r="FA56" s="2212">
        <v>18639.27</v>
      </c>
      <c r="FB56" s="2212">
        <v>38979.24</v>
      </c>
      <c r="FC56" s="2212">
        <v>48049.57</v>
      </c>
      <c r="FD56" s="2212">
        <v>47347.76</v>
      </c>
      <c r="FE56" s="2212">
        <v>33515.21</v>
      </c>
      <c r="FF56" s="2212">
        <v>39539.14</v>
      </c>
      <c r="FG56" s="2212">
        <v>35922.51</v>
      </c>
      <c r="FH56" s="2212">
        <v>15836.13</v>
      </c>
      <c r="FI56" s="2212">
        <v>25285.23</v>
      </c>
      <c r="FJ56" s="2212">
        <v>35101.81</v>
      </c>
      <c r="FK56" s="2212">
        <v>21677.9</v>
      </c>
      <c r="FL56" s="2212">
        <v>24379.09</v>
      </c>
      <c r="FM56" s="2212">
        <v>22908.52</v>
      </c>
      <c r="FN56" s="2212">
        <v>22741.98</v>
      </c>
      <c r="FO56" s="2212">
        <v>28012.04</v>
      </c>
      <c r="FP56" s="2212">
        <v>29785.69</v>
      </c>
      <c r="FQ56" s="2212">
        <v>24637.439999999999</v>
      </c>
      <c r="FR56" s="2212">
        <v>24408.61</v>
      </c>
      <c r="FS56" s="2212">
        <v>53049.33</v>
      </c>
      <c r="FT56" s="2212">
        <v>22729.29</v>
      </c>
      <c r="FU56" s="2212">
        <v>28607.01</v>
      </c>
      <c r="FV56" s="2212">
        <v>37910.81</v>
      </c>
      <c r="FW56" s="2212">
        <v>34247.1</v>
      </c>
      <c r="FX56" s="2212">
        <v>23483.53</v>
      </c>
      <c r="FY56" s="2212">
        <v>28817.74</v>
      </c>
      <c r="FZ56" s="2212">
        <v>49777.120000000003</v>
      </c>
      <c r="GA56" s="2212">
        <v>23032.12</v>
      </c>
      <c r="GB56" s="2212">
        <v>18273.62</v>
      </c>
      <c r="GC56" s="2212">
        <v>24013.01</v>
      </c>
      <c r="GD56" s="2212">
        <v>51809.84</v>
      </c>
      <c r="GE56" s="2212">
        <v>18877.150000000001</v>
      </c>
      <c r="GF56" s="2212">
        <v>44472.41</v>
      </c>
      <c r="GG56" s="2212">
        <v>51204.160000000003</v>
      </c>
      <c r="GH56" s="2212">
        <v>38299.74</v>
      </c>
      <c r="GI56" s="2212">
        <v>30937.15</v>
      </c>
      <c r="GJ56" s="2212">
        <v>23828.31</v>
      </c>
      <c r="GK56" s="2212">
        <v>39070.129999999997</v>
      </c>
      <c r="GL56" s="2212">
        <v>33502.44</v>
      </c>
      <c r="GM56" s="2212">
        <v>57513.53</v>
      </c>
      <c r="GN56" s="2212">
        <v>26004.12</v>
      </c>
      <c r="GO56" s="2212">
        <v>20228.240000000002</v>
      </c>
      <c r="GP56" s="2212">
        <v>24858.76</v>
      </c>
      <c r="GQ56" s="2212">
        <v>47190.62</v>
      </c>
      <c r="GR56" s="2212">
        <v>23254.560000000001</v>
      </c>
      <c r="GS56" s="2212">
        <v>23264.400000000001</v>
      </c>
      <c r="GT56" s="2212">
        <v>37146.07</v>
      </c>
      <c r="GU56" s="2212">
        <v>38593.03</v>
      </c>
      <c r="GV56" s="2212">
        <v>60665.88</v>
      </c>
      <c r="GW56" s="2212">
        <v>16162.76</v>
      </c>
      <c r="GX56" s="2212">
        <v>23397.88</v>
      </c>
      <c r="GY56" s="2212">
        <v>40010.33</v>
      </c>
      <c r="GZ56" s="2212">
        <v>24285.15</v>
      </c>
      <c r="HA56" s="2212">
        <v>65399.94</v>
      </c>
      <c r="HB56" s="2212">
        <v>23278.14</v>
      </c>
      <c r="HC56" s="2212">
        <v>34246.93</v>
      </c>
      <c r="HD56" s="2212">
        <v>25904.95</v>
      </c>
      <c r="HE56" s="2212">
        <v>35101.839999999997</v>
      </c>
      <c r="HF56" s="2212">
        <v>20700</v>
      </c>
      <c r="HG56" s="2212">
        <v>15844.8</v>
      </c>
      <c r="HH56" s="2212">
        <v>24066.54</v>
      </c>
      <c r="HI56" s="2212">
        <v>27409.07</v>
      </c>
      <c r="HJ56" s="2212">
        <v>22284.19</v>
      </c>
      <c r="HK56" s="2212">
        <v>22063.06</v>
      </c>
      <c r="HL56" s="2212">
        <v>48785.47</v>
      </c>
      <c r="HM56" s="2212">
        <v>46306.52</v>
      </c>
      <c r="HN56" s="2212">
        <v>24156.29</v>
      </c>
      <c r="HO56" s="2212">
        <v>38380.559999999998</v>
      </c>
      <c r="HP56" s="2212">
        <v>24066.54</v>
      </c>
      <c r="HQ56" s="2212">
        <v>57513.53</v>
      </c>
      <c r="HR56" s="2212">
        <v>49777.14</v>
      </c>
      <c r="HS56" s="2212">
        <v>24012.97</v>
      </c>
      <c r="HT56" s="2212">
        <v>21677.9</v>
      </c>
      <c r="HU56" s="2212">
        <v>60665.87</v>
      </c>
      <c r="HV56" s="2212">
        <v>26078.14</v>
      </c>
      <c r="HW56" s="2212">
        <v>23295.759999999998</v>
      </c>
      <c r="HX56" s="2212">
        <v>29896.15</v>
      </c>
      <c r="HY56" s="2212">
        <v>60665.94</v>
      </c>
      <c r="HZ56" s="2212">
        <v>54200.86</v>
      </c>
      <c r="IA56" s="2212">
        <v>22283.98</v>
      </c>
      <c r="IB56" s="2212">
        <v>24512.41</v>
      </c>
      <c r="IC56" s="2212">
        <v>34960.19</v>
      </c>
      <c r="ID56" s="2212">
        <v>15836.63</v>
      </c>
      <c r="IE56" s="2212">
        <v>65399.83</v>
      </c>
      <c r="IF56" s="2212">
        <v>53318.35</v>
      </c>
      <c r="IG56" s="2212">
        <v>53661.49</v>
      </c>
      <c r="IH56" s="2212">
        <v>37591.699999999997</v>
      </c>
      <c r="II56" s="2212">
        <v>23175</v>
      </c>
      <c r="IJ56" s="2212">
        <v>26190.65</v>
      </c>
      <c r="IK56" s="2212">
        <v>24140.77</v>
      </c>
      <c r="IL56" s="2212">
        <v>24512.5</v>
      </c>
      <c r="IM56" s="2212">
        <v>25533.119999999999</v>
      </c>
      <c r="IN56" s="2212">
        <v>54742.76</v>
      </c>
      <c r="IO56" s="2212">
        <v>47190.48</v>
      </c>
      <c r="IP56" s="2212"/>
      <c r="IR56" s="2212">
        <v>37889.089999999997</v>
      </c>
      <c r="IS56" s="2212">
        <v>24156.22</v>
      </c>
      <c r="IT56" s="2212">
        <v>22283.87</v>
      </c>
      <c r="IU56" s="2911">
        <v>23932.33</v>
      </c>
      <c r="IV56" s="2911">
        <v>24585.82</v>
      </c>
      <c r="IW56" s="2911">
        <v>26648.02</v>
      </c>
      <c r="IX56" s="2911">
        <v>27921.360000000001</v>
      </c>
      <c r="IY56" s="2207"/>
      <c r="IZ56" s="2215">
        <f t="shared" si="6"/>
        <v>47</v>
      </c>
    </row>
    <row r="57" spans="1:260">
      <c r="A57" s="2214">
        <v>48</v>
      </c>
      <c r="B57" s="2212">
        <v>67575.87</v>
      </c>
      <c r="C57" s="2927">
        <v>64956.56</v>
      </c>
      <c r="D57" s="2927">
        <v>59255.11</v>
      </c>
      <c r="E57" s="2212">
        <v>52466.82</v>
      </c>
      <c r="F57" s="2927">
        <v>52438.09</v>
      </c>
      <c r="G57" s="2212">
        <v>51029.45</v>
      </c>
      <c r="H57" s="2927">
        <v>49141</v>
      </c>
      <c r="I57" s="2212">
        <v>46588.73</v>
      </c>
      <c r="J57" s="2212">
        <v>51029.599999999999</v>
      </c>
      <c r="K57" s="2212">
        <v>48141.01</v>
      </c>
      <c r="L57" s="2927">
        <v>44951.59</v>
      </c>
      <c r="M57" s="2212">
        <v>44422.61</v>
      </c>
      <c r="N57" s="2927">
        <v>40663.03</v>
      </c>
      <c r="O57" s="2212">
        <v>39702.74</v>
      </c>
      <c r="P57" s="2927">
        <v>36448.949999999997</v>
      </c>
      <c r="Q57" s="2927">
        <v>30747.41</v>
      </c>
      <c r="R57" s="2212">
        <v>35448.949999999997</v>
      </c>
      <c r="S57" s="2212">
        <v>35448.949999999997</v>
      </c>
      <c r="T57" s="2212">
        <v>34457.300000000003</v>
      </c>
      <c r="U57" s="2212">
        <v>34457.300000000003</v>
      </c>
      <c r="V57" s="2212">
        <v>34457.300000000003</v>
      </c>
      <c r="W57" s="2212">
        <v>34457.300000000003</v>
      </c>
      <c r="X57" s="2212">
        <v>32474.23</v>
      </c>
      <c r="Y57" s="2927">
        <v>37018.620000000003</v>
      </c>
      <c r="Z57" s="2923">
        <v>35116</v>
      </c>
      <c r="AA57" s="2930">
        <v>35116</v>
      </c>
      <c r="AB57" s="2927">
        <v>36018.620000000003</v>
      </c>
      <c r="AC57" s="2212">
        <v>32127.200000000001</v>
      </c>
      <c r="AD57" s="2923">
        <v>34124</v>
      </c>
      <c r="AE57" s="2929">
        <v>34667.51</v>
      </c>
      <c r="AF57" s="2927">
        <v>31887.69</v>
      </c>
      <c r="AG57" s="2927">
        <v>31887.69</v>
      </c>
      <c r="AH57" s="2927">
        <v>33775.919999999998</v>
      </c>
      <c r="AI57" s="2927">
        <v>31069.54</v>
      </c>
      <c r="AJ57" s="2927">
        <v>28764.25</v>
      </c>
      <c r="AK57" s="2927">
        <v>23285.77</v>
      </c>
      <c r="AL57" s="2927">
        <v>21203.47</v>
      </c>
      <c r="AM57" s="2927">
        <v>20087.98</v>
      </c>
      <c r="AN57" s="2212">
        <v>22285.77</v>
      </c>
      <c r="AO57" s="2212">
        <v>20203.47</v>
      </c>
      <c r="AP57" s="2212">
        <v>19087.98</v>
      </c>
      <c r="AQ57" s="2923">
        <v>29159</v>
      </c>
      <c r="AR57" s="2923">
        <v>27459</v>
      </c>
      <c r="AS57" s="2929">
        <v>25541.58</v>
      </c>
      <c r="AT57" s="2927">
        <v>24797.94</v>
      </c>
      <c r="AU57" s="2928">
        <v>23285.82</v>
      </c>
      <c r="AV57" s="2212">
        <v>22423.77</v>
      </c>
      <c r="AW57" s="2212">
        <v>19659.32</v>
      </c>
      <c r="AX57" s="2212">
        <v>23371.47</v>
      </c>
      <c r="AY57" s="2212">
        <v>24789.439999999999</v>
      </c>
      <c r="AZ57" s="2212">
        <v>23802.89</v>
      </c>
      <c r="BA57" s="2212">
        <v>24789.42</v>
      </c>
      <c r="BB57" s="2212">
        <v>23797.86</v>
      </c>
      <c r="BC57" s="2212">
        <v>24759.1</v>
      </c>
      <c r="BD57" s="2212">
        <v>25533.119999999999</v>
      </c>
      <c r="BE57" s="2212">
        <v>24606.06</v>
      </c>
      <c r="BF57" s="2212">
        <v>26028.95</v>
      </c>
      <c r="BG57" s="2212">
        <v>19010.2</v>
      </c>
      <c r="BH57" s="2212">
        <v>29300</v>
      </c>
      <c r="BI57" s="2212">
        <v>28780.55</v>
      </c>
      <c r="BJ57" s="2212">
        <v>16476.650000000001</v>
      </c>
      <c r="BK57" s="2212">
        <v>16476.650000000001</v>
      </c>
      <c r="BL57" s="2212">
        <v>35150</v>
      </c>
      <c r="BM57" s="2212">
        <v>33887.269999999997</v>
      </c>
      <c r="BN57" s="2212">
        <v>33961.480000000003</v>
      </c>
      <c r="BO57" s="2212">
        <v>33521.82</v>
      </c>
      <c r="BP57" s="2212">
        <v>42055.29</v>
      </c>
      <c r="BQ57" s="2212">
        <v>27764.21</v>
      </c>
      <c r="BR57" s="2212">
        <v>45052.33</v>
      </c>
      <c r="BS57" s="2212">
        <v>38979.11</v>
      </c>
      <c r="BT57" s="2212">
        <v>32700</v>
      </c>
      <c r="BU57" s="2212">
        <v>37407.22</v>
      </c>
      <c r="BV57" s="2212">
        <v>48049.47</v>
      </c>
      <c r="BW57" s="2212">
        <v>51203.97</v>
      </c>
      <c r="BX57" s="2212">
        <v>36455.410000000003</v>
      </c>
      <c r="BY57" s="2212">
        <v>20382.759999999998</v>
      </c>
      <c r="BZ57" s="2212">
        <v>53661.440000000002</v>
      </c>
      <c r="CA57" s="2212">
        <v>24235.82</v>
      </c>
      <c r="CB57" s="2212">
        <v>24379.03</v>
      </c>
      <c r="CC57" s="2212">
        <v>24012.99</v>
      </c>
      <c r="CD57" s="2212">
        <v>30119.22</v>
      </c>
      <c r="CE57" s="2212">
        <v>32845.81</v>
      </c>
      <c r="CF57" s="2212">
        <v>39539.129999999997</v>
      </c>
      <c r="CG57" s="2212">
        <v>29747.23</v>
      </c>
      <c r="CH57" s="2927">
        <v>31263.01</v>
      </c>
      <c r="CI57" s="2927">
        <v>24285.77</v>
      </c>
      <c r="CJ57" s="2212">
        <v>22781.49</v>
      </c>
      <c r="CK57" s="2212">
        <v>21145.38</v>
      </c>
      <c r="CL57" s="2212">
        <v>23982.69</v>
      </c>
      <c r="CM57" s="2212">
        <v>21950</v>
      </c>
      <c r="CN57" s="2212">
        <v>25493.52</v>
      </c>
      <c r="CO57" s="2212">
        <v>17997.2</v>
      </c>
      <c r="CP57" s="2212">
        <v>18300</v>
      </c>
      <c r="CQ57" s="2212">
        <v>22902.959999999999</v>
      </c>
      <c r="CR57" s="2212">
        <v>23265.040000000001</v>
      </c>
      <c r="CS57" s="2212">
        <v>22284.04</v>
      </c>
      <c r="CT57" s="2212">
        <v>15617.5</v>
      </c>
      <c r="CU57" s="2212">
        <v>22756.69</v>
      </c>
      <c r="CV57" s="2212">
        <v>18740.89</v>
      </c>
      <c r="CW57" s="2212">
        <v>23264.99</v>
      </c>
      <c r="CX57" s="2212">
        <v>26550</v>
      </c>
      <c r="CY57" s="2212">
        <v>14513.31</v>
      </c>
      <c r="CZ57" s="2212">
        <v>19600</v>
      </c>
      <c r="DA57" s="2212">
        <v>29251.57</v>
      </c>
      <c r="DB57" s="2212">
        <v>26527.8</v>
      </c>
      <c r="DC57" s="2212">
        <v>23743.69</v>
      </c>
      <c r="DD57" s="2212">
        <v>18649.73</v>
      </c>
      <c r="DE57" s="2212">
        <v>26276.799999999999</v>
      </c>
      <c r="DF57" s="2212">
        <v>23743.78</v>
      </c>
      <c r="DG57" s="2212">
        <v>27020.48</v>
      </c>
      <c r="DH57" s="2212">
        <v>19732.47</v>
      </c>
      <c r="DI57" s="2212">
        <v>33589.65</v>
      </c>
      <c r="DJ57" s="2212">
        <v>18719.400000000001</v>
      </c>
      <c r="DK57" s="2212">
        <v>24764.720000000001</v>
      </c>
      <c r="DL57" s="2212">
        <v>38293.31</v>
      </c>
      <c r="DM57" s="2212">
        <v>37432.089999999997</v>
      </c>
      <c r="DN57" s="2212">
        <v>22283.79</v>
      </c>
      <c r="DO57" s="2212">
        <v>23730.07</v>
      </c>
      <c r="DP57" s="2212">
        <v>16729.849999999999</v>
      </c>
      <c r="DQ57" s="2212">
        <v>42055.29</v>
      </c>
      <c r="DR57" s="2212">
        <v>24194.49</v>
      </c>
      <c r="DS57" s="2212">
        <v>22284.080000000002</v>
      </c>
      <c r="DT57" s="2212">
        <v>28631.34</v>
      </c>
      <c r="DU57" s="2212">
        <v>26980.880000000001</v>
      </c>
      <c r="DV57" s="2212">
        <v>37432.04</v>
      </c>
      <c r="DW57" s="2212">
        <v>20382.75</v>
      </c>
      <c r="DX57" s="2212">
        <v>23264.74</v>
      </c>
      <c r="DY57" s="2212">
        <v>41398.32</v>
      </c>
      <c r="DZ57" s="2212">
        <v>38299.589999999997</v>
      </c>
      <c r="EA57" s="2212">
        <v>29150</v>
      </c>
      <c r="EB57" s="2212">
        <v>22742.560000000001</v>
      </c>
      <c r="EC57" s="2212">
        <v>23743.51</v>
      </c>
      <c r="ED57" s="2212">
        <v>26980.880000000001</v>
      </c>
      <c r="EE57" s="2212">
        <v>31846.67</v>
      </c>
      <c r="EF57" s="2212">
        <v>54200.7</v>
      </c>
      <c r="EG57" s="2212">
        <v>45052.35</v>
      </c>
      <c r="EH57" s="2212">
        <v>53661.49</v>
      </c>
      <c r="EI57" s="2212">
        <v>26326.45</v>
      </c>
      <c r="EJ57" s="2212">
        <v>33521.68</v>
      </c>
      <c r="EK57" s="2212">
        <v>23350</v>
      </c>
      <c r="EL57" s="2212">
        <v>35922.51</v>
      </c>
      <c r="EM57" s="2212">
        <v>35158.97</v>
      </c>
      <c r="EN57" s="2212">
        <v>18662.3</v>
      </c>
      <c r="EO57" s="2212">
        <v>23034.639999999999</v>
      </c>
      <c r="EP57" s="2212">
        <v>36455.53</v>
      </c>
      <c r="EQ57" s="2212">
        <v>47190.59</v>
      </c>
      <c r="ER57" s="2212">
        <v>26450</v>
      </c>
      <c r="ES57" s="2212">
        <v>22063.79</v>
      </c>
      <c r="ET57" s="2212">
        <v>33933.449999999997</v>
      </c>
      <c r="EU57" s="2212">
        <v>39539.14</v>
      </c>
      <c r="EV57" s="2212">
        <v>28609.360000000001</v>
      </c>
      <c r="EW57" s="2212">
        <v>57513.48</v>
      </c>
      <c r="EX57" s="2212">
        <v>37910.65</v>
      </c>
      <c r="EY57" s="2212">
        <v>24012.74</v>
      </c>
      <c r="EZ57" s="2212">
        <v>24012.880000000001</v>
      </c>
      <c r="FA57" s="2212">
        <v>18639.27</v>
      </c>
      <c r="FB57" s="2212">
        <v>38979.24</v>
      </c>
      <c r="FC57" s="2212">
        <v>48049.57</v>
      </c>
      <c r="FD57" s="2212">
        <v>47347.76</v>
      </c>
      <c r="FE57" s="2212">
        <v>33515.21</v>
      </c>
      <c r="FF57" s="2212">
        <v>39539.14</v>
      </c>
      <c r="FG57" s="2212">
        <v>35922.51</v>
      </c>
      <c r="FH57" s="2212">
        <v>15836.13</v>
      </c>
      <c r="FI57" s="2212">
        <v>25285.23</v>
      </c>
      <c r="FJ57" s="2212">
        <v>35101.81</v>
      </c>
      <c r="FK57" s="2212">
        <v>21677.9</v>
      </c>
      <c r="FL57" s="2212">
        <v>24379.09</v>
      </c>
      <c r="FM57" s="2212">
        <v>22908.52</v>
      </c>
      <c r="FN57" s="2212">
        <v>22741.98</v>
      </c>
      <c r="FO57" s="2212">
        <v>28012.04</v>
      </c>
      <c r="FP57" s="2212">
        <v>29785.69</v>
      </c>
      <c r="FQ57" s="2212">
        <v>24637.439999999999</v>
      </c>
      <c r="FR57" s="2212">
        <v>24408.61</v>
      </c>
      <c r="FS57" s="2212">
        <v>53049.33</v>
      </c>
      <c r="FT57" s="2212">
        <v>22729.29</v>
      </c>
      <c r="FU57" s="2212">
        <v>28607.01</v>
      </c>
      <c r="FV57" s="2212">
        <v>37910.81</v>
      </c>
      <c r="FW57" s="2212">
        <v>34247.1</v>
      </c>
      <c r="FX57" s="2212">
        <v>23483.53</v>
      </c>
      <c r="FY57" s="2212">
        <v>28817.74</v>
      </c>
      <c r="FZ57" s="2212">
        <v>49777.120000000003</v>
      </c>
      <c r="GA57" s="2212">
        <v>23032.12</v>
      </c>
      <c r="GB57" s="2212">
        <v>18273.62</v>
      </c>
      <c r="GC57" s="2212">
        <v>24013.01</v>
      </c>
      <c r="GD57" s="2212">
        <v>51809.84</v>
      </c>
      <c r="GE57" s="2212">
        <v>18877.150000000001</v>
      </c>
      <c r="GF57" s="2212">
        <v>44472.41</v>
      </c>
      <c r="GG57" s="2212">
        <v>51204.160000000003</v>
      </c>
      <c r="GH57" s="2212">
        <v>38299.74</v>
      </c>
      <c r="GI57" s="2212">
        <v>30937.15</v>
      </c>
      <c r="GJ57" s="2212">
        <v>23828.31</v>
      </c>
      <c r="GK57" s="2212">
        <v>39070.129999999997</v>
      </c>
      <c r="GL57" s="2212">
        <v>33502.44</v>
      </c>
      <c r="GM57" s="2212">
        <v>57513.53</v>
      </c>
      <c r="GN57" s="2212">
        <v>26004.12</v>
      </c>
      <c r="GO57" s="2212">
        <v>20228.240000000002</v>
      </c>
      <c r="GP57" s="2212">
        <v>24858.76</v>
      </c>
      <c r="GQ57" s="2212">
        <v>47190.62</v>
      </c>
      <c r="GR57" s="2212">
        <v>23254.560000000001</v>
      </c>
      <c r="GS57" s="2212">
        <v>23264.400000000001</v>
      </c>
      <c r="GT57" s="2212">
        <v>37146.07</v>
      </c>
      <c r="GU57" s="2212">
        <v>38593.03</v>
      </c>
      <c r="GV57" s="2212">
        <v>60665.88</v>
      </c>
      <c r="GW57" s="2212">
        <v>16162.76</v>
      </c>
      <c r="GX57" s="2212">
        <v>23397.88</v>
      </c>
      <c r="GY57" s="2212">
        <v>40010.33</v>
      </c>
      <c r="GZ57" s="2212">
        <v>24285.15</v>
      </c>
      <c r="HA57" s="2212">
        <v>65399.94</v>
      </c>
      <c r="HB57" s="2212">
        <v>23278.14</v>
      </c>
      <c r="HC57" s="2212">
        <v>34246.93</v>
      </c>
      <c r="HD57" s="2212">
        <v>25904.95</v>
      </c>
      <c r="HE57" s="2212">
        <v>35101.839999999997</v>
      </c>
      <c r="HF57" s="2212">
        <v>20700</v>
      </c>
      <c r="HG57" s="2212">
        <v>15844.8</v>
      </c>
      <c r="HH57" s="2212">
        <v>24066.54</v>
      </c>
      <c r="HI57" s="2212">
        <v>27409.07</v>
      </c>
      <c r="HJ57" s="2212">
        <v>22284.19</v>
      </c>
      <c r="HK57" s="2212">
        <v>22063.06</v>
      </c>
      <c r="HL57" s="2212">
        <v>48785.47</v>
      </c>
      <c r="HM57" s="2212">
        <v>46306.52</v>
      </c>
      <c r="HN57" s="2212">
        <v>24156.29</v>
      </c>
      <c r="HO57" s="2212">
        <v>38380.559999999998</v>
      </c>
      <c r="HP57" s="2212">
        <v>24066.54</v>
      </c>
      <c r="HQ57" s="2212">
        <v>57513.53</v>
      </c>
      <c r="HR57" s="2212">
        <v>49777.14</v>
      </c>
      <c r="HS57" s="2212">
        <v>24012.97</v>
      </c>
      <c r="HT57" s="2212">
        <v>21677.9</v>
      </c>
      <c r="HU57" s="2212">
        <v>60665.87</v>
      </c>
      <c r="HV57" s="2212">
        <v>26078.14</v>
      </c>
      <c r="HW57" s="2212">
        <v>23295.759999999998</v>
      </c>
      <c r="HX57" s="2212">
        <v>29896.15</v>
      </c>
      <c r="HY57" s="2212">
        <v>60665.94</v>
      </c>
      <c r="HZ57" s="2212">
        <v>54200.86</v>
      </c>
      <c r="IA57" s="2212">
        <v>22283.98</v>
      </c>
      <c r="IB57" s="2212">
        <v>24512.41</v>
      </c>
      <c r="IC57" s="2212">
        <v>34960.19</v>
      </c>
      <c r="ID57" s="2212">
        <v>15836.63</v>
      </c>
      <c r="IE57" s="2212">
        <v>65399.83</v>
      </c>
      <c r="IF57" s="2212">
        <v>53318.35</v>
      </c>
      <c r="IG57" s="2212">
        <v>53661.49</v>
      </c>
      <c r="IH57" s="2212">
        <v>37591.699999999997</v>
      </c>
      <c r="II57" s="2212">
        <v>23175</v>
      </c>
      <c r="IJ57" s="2212">
        <v>26190.65</v>
      </c>
      <c r="IK57" s="2212">
        <v>24140.77</v>
      </c>
      <c r="IL57" s="2212">
        <v>24512.5</v>
      </c>
      <c r="IM57" s="2212">
        <v>25533.119999999999</v>
      </c>
      <c r="IN57" s="2212">
        <v>54742.76</v>
      </c>
      <c r="IO57" s="2212">
        <v>47190.48</v>
      </c>
      <c r="IP57" s="2212"/>
      <c r="IR57" s="2212">
        <v>37889.089999999997</v>
      </c>
      <c r="IS57" s="2212">
        <v>24156.22</v>
      </c>
      <c r="IT57" s="2212">
        <v>22283.87</v>
      </c>
      <c r="IU57" s="2911">
        <v>23932.33</v>
      </c>
      <c r="IV57" s="2911">
        <v>24585.82</v>
      </c>
      <c r="IW57" s="2911">
        <v>26648.02</v>
      </c>
      <c r="IX57" s="2911">
        <v>27921.360000000001</v>
      </c>
      <c r="IY57" s="2207"/>
      <c r="IZ57" s="2215">
        <f t="shared" si="6"/>
        <v>48</v>
      </c>
    </row>
    <row r="58" spans="1:260">
      <c r="A58" s="2214">
        <v>49</v>
      </c>
      <c r="B58" s="2212">
        <v>67575.87</v>
      </c>
      <c r="C58" s="2927">
        <v>64956.56</v>
      </c>
      <c r="D58" s="2927">
        <v>59255.11</v>
      </c>
      <c r="E58" s="2212">
        <v>52466.82</v>
      </c>
      <c r="F58" s="2927">
        <v>52438.09</v>
      </c>
      <c r="G58" s="2212">
        <v>51029.45</v>
      </c>
      <c r="H58" s="2927">
        <v>49141</v>
      </c>
      <c r="I58" s="2212">
        <v>46588.73</v>
      </c>
      <c r="J58" s="2212">
        <v>51029.599999999999</v>
      </c>
      <c r="K58" s="2212">
        <v>48141.01</v>
      </c>
      <c r="L58" s="2927">
        <v>44951.59</v>
      </c>
      <c r="M58" s="2212">
        <v>44422.61</v>
      </c>
      <c r="N58" s="2927">
        <v>40663.03</v>
      </c>
      <c r="O58" s="2212">
        <v>39702.74</v>
      </c>
      <c r="P58" s="2927">
        <v>36448.949999999997</v>
      </c>
      <c r="Q58" s="2927">
        <v>30747.41</v>
      </c>
      <c r="R58" s="2212">
        <v>35448.949999999997</v>
      </c>
      <c r="S58" s="2212">
        <v>35448.949999999997</v>
      </c>
      <c r="T58" s="2212">
        <v>34457.300000000003</v>
      </c>
      <c r="U58" s="2212">
        <v>34457.300000000003</v>
      </c>
      <c r="V58" s="2212">
        <v>34457.300000000003</v>
      </c>
      <c r="W58" s="2212">
        <v>34457.300000000003</v>
      </c>
      <c r="X58" s="2212">
        <v>32474.23</v>
      </c>
      <c r="Y58" s="2927">
        <v>37018.620000000003</v>
      </c>
      <c r="Z58" s="2923">
        <v>35116</v>
      </c>
      <c r="AA58" s="2930">
        <v>35116</v>
      </c>
      <c r="AB58" s="2927">
        <v>36018.620000000003</v>
      </c>
      <c r="AC58" s="2212">
        <v>32127.200000000001</v>
      </c>
      <c r="AD58" s="2923">
        <v>34124</v>
      </c>
      <c r="AE58" s="2929">
        <v>34667.51</v>
      </c>
      <c r="AF58" s="2927">
        <v>31887.69</v>
      </c>
      <c r="AG58" s="2927">
        <v>31887.69</v>
      </c>
      <c r="AH58" s="2927">
        <v>33775.919999999998</v>
      </c>
      <c r="AI58" s="2927">
        <v>31069.54</v>
      </c>
      <c r="AJ58" s="2927">
        <v>28764.25</v>
      </c>
      <c r="AK58" s="2927">
        <v>23285.77</v>
      </c>
      <c r="AL58" s="2927">
        <v>21203.47</v>
      </c>
      <c r="AM58" s="2927">
        <v>20087.98</v>
      </c>
      <c r="AN58" s="2212">
        <v>22285.77</v>
      </c>
      <c r="AO58" s="2212">
        <v>20203.47</v>
      </c>
      <c r="AP58" s="2212">
        <v>19087.98</v>
      </c>
      <c r="AQ58" s="2923">
        <v>29159</v>
      </c>
      <c r="AR58" s="2923">
        <v>27459</v>
      </c>
      <c r="AS58" s="2929">
        <v>25541.58</v>
      </c>
      <c r="AT58" s="2927">
        <v>24797.94</v>
      </c>
      <c r="AU58" s="2928">
        <v>23285.82</v>
      </c>
      <c r="AV58" s="2212">
        <v>22423.77</v>
      </c>
      <c r="AW58" s="2212">
        <v>19659.32</v>
      </c>
      <c r="AX58" s="2212">
        <v>23371.47</v>
      </c>
      <c r="AY58" s="2212">
        <v>24789.439999999999</v>
      </c>
      <c r="AZ58" s="2212">
        <v>23802.89</v>
      </c>
      <c r="BA58" s="2212">
        <v>24789.42</v>
      </c>
      <c r="BB58" s="2212">
        <v>23797.86</v>
      </c>
      <c r="BC58" s="2212">
        <v>24759.1</v>
      </c>
      <c r="BD58" s="2212">
        <v>25533.119999999999</v>
      </c>
      <c r="BE58" s="2212">
        <v>24606.06</v>
      </c>
      <c r="BF58" s="2212">
        <v>26028.95</v>
      </c>
      <c r="BG58" s="2212">
        <v>19010.2</v>
      </c>
      <c r="BH58" s="2212">
        <v>29300</v>
      </c>
      <c r="BI58" s="2212">
        <v>28780.55</v>
      </c>
      <c r="BJ58" s="2212">
        <v>16476.650000000001</v>
      </c>
      <c r="BK58" s="2212">
        <v>16476.650000000001</v>
      </c>
      <c r="BL58" s="2212">
        <v>35150</v>
      </c>
      <c r="BM58" s="2212">
        <v>33887.269999999997</v>
      </c>
      <c r="BN58" s="2212">
        <v>33961.480000000003</v>
      </c>
      <c r="BO58" s="2212">
        <v>33521.82</v>
      </c>
      <c r="BP58" s="2212">
        <v>42055.29</v>
      </c>
      <c r="BQ58" s="2212">
        <v>27764.21</v>
      </c>
      <c r="BR58" s="2212">
        <v>45052.33</v>
      </c>
      <c r="BS58" s="2212">
        <v>38979.11</v>
      </c>
      <c r="BT58" s="2212">
        <v>32700</v>
      </c>
      <c r="BU58" s="2212">
        <v>37407.22</v>
      </c>
      <c r="BV58" s="2212">
        <v>48049.47</v>
      </c>
      <c r="BW58" s="2212">
        <v>51203.97</v>
      </c>
      <c r="BX58" s="2212">
        <v>36455.410000000003</v>
      </c>
      <c r="BY58" s="2212">
        <v>20382.759999999998</v>
      </c>
      <c r="BZ58" s="2212">
        <v>53661.440000000002</v>
      </c>
      <c r="CA58" s="2212">
        <v>24235.82</v>
      </c>
      <c r="CB58" s="2212">
        <v>24379.03</v>
      </c>
      <c r="CC58" s="2212">
        <v>24012.99</v>
      </c>
      <c r="CD58" s="2212">
        <v>30119.22</v>
      </c>
      <c r="CE58" s="2212">
        <v>32845.81</v>
      </c>
      <c r="CF58" s="2212">
        <v>39539.129999999997</v>
      </c>
      <c r="CG58" s="2212">
        <v>29747.23</v>
      </c>
      <c r="CH58" s="2927">
        <v>31263.01</v>
      </c>
      <c r="CI58" s="2927">
        <v>24285.77</v>
      </c>
      <c r="CJ58" s="2212">
        <v>22781.49</v>
      </c>
      <c r="CK58" s="2212">
        <v>21145.38</v>
      </c>
      <c r="CL58" s="2212">
        <v>23982.69</v>
      </c>
      <c r="CM58" s="2212">
        <v>21950</v>
      </c>
      <c r="CN58" s="2212">
        <v>25493.52</v>
      </c>
      <c r="CO58" s="2212">
        <v>17997.2</v>
      </c>
      <c r="CP58" s="2212">
        <v>18300</v>
      </c>
      <c r="CQ58" s="2212">
        <v>22902.959999999999</v>
      </c>
      <c r="CR58" s="2212">
        <v>23265.040000000001</v>
      </c>
      <c r="CS58" s="2212">
        <v>22284.04</v>
      </c>
      <c r="CT58" s="2212">
        <v>15617.5</v>
      </c>
      <c r="CU58" s="2212">
        <v>22756.69</v>
      </c>
      <c r="CV58" s="2212">
        <v>18740.89</v>
      </c>
      <c r="CW58" s="2212">
        <v>23264.99</v>
      </c>
      <c r="CX58" s="2212">
        <v>26550</v>
      </c>
      <c r="CY58" s="2212">
        <v>14513.31</v>
      </c>
      <c r="CZ58" s="2212">
        <v>19600</v>
      </c>
      <c r="DA58" s="2212">
        <v>29251.57</v>
      </c>
      <c r="DB58" s="2212">
        <v>26527.8</v>
      </c>
      <c r="DC58" s="2212">
        <v>23743.69</v>
      </c>
      <c r="DD58" s="2212">
        <v>18649.73</v>
      </c>
      <c r="DE58" s="2212">
        <v>26276.799999999999</v>
      </c>
      <c r="DF58" s="2212">
        <v>23743.78</v>
      </c>
      <c r="DG58" s="2212">
        <v>27020.48</v>
      </c>
      <c r="DH58" s="2212">
        <v>19732.47</v>
      </c>
      <c r="DI58" s="2212">
        <v>33589.65</v>
      </c>
      <c r="DJ58" s="2212">
        <v>18719.400000000001</v>
      </c>
      <c r="DK58" s="2212">
        <v>24764.720000000001</v>
      </c>
      <c r="DL58" s="2212">
        <v>38293.31</v>
      </c>
      <c r="DM58" s="2212">
        <v>37432.089999999997</v>
      </c>
      <c r="DN58" s="2212">
        <v>22283.79</v>
      </c>
      <c r="DO58" s="2212">
        <v>23730.07</v>
      </c>
      <c r="DP58" s="2212">
        <v>16729.849999999999</v>
      </c>
      <c r="DQ58" s="2212">
        <v>42055.29</v>
      </c>
      <c r="DR58" s="2212">
        <v>24194.49</v>
      </c>
      <c r="DS58" s="2212">
        <v>22284.080000000002</v>
      </c>
      <c r="DT58" s="2212">
        <v>28631.34</v>
      </c>
      <c r="DU58" s="2212">
        <v>26980.880000000001</v>
      </c>
      <c r="DV58" s="2212">
        <v>37432.04</v>
      </c>
      <c r="DW58" s="2212">
        <v>20382.75</v>
      </c>
      <c r="DX58" s="2212">
        <v>23264.74</v>
      </c>
      <c r="DY58" s="2212">
        <v>41398.32</v>
      </c>
      <c r="DZ58" s="2212">
        <v>38299.589999999997</v>
      </c>
      <c r="EA58" s="2212">
        <v>29150</v>
      </c>
      <c r="EB58" s="2212">
        <v>22742.560000000001</v>
      </c>
      <c r="EC58" s="2212">
        <v>23743.51</v>
      </c>
      <c r="ED58" s="2212">
        <v>26980.880000000001</v>
      </c>
      <c r="EE58" s="2212">
        <v>31846.67</v>
      </c>
      <c r="EF58" s="2212">
        <v>54200.7</v>
      </c>
      <c r="EG58" s="2212">
        <v>45052.35</v>
      </c>
      <c r="EH58" s="2212">
        <v>53661.49</v>
      </c>
      <c r="EI58" s="2212">
        <v>26326.45</v>
      </c>
      <c r="EJ58" s="2212">
        <v>33521.68</v>
      </c>
      <c r="EK58" s="2212">
        <v>23350</v>
      </c>
      <c r="EL58" s="2212">
        <v>35922.51</v>
      </c>
      <c r="EM58" s="2212">
        <v>35158.97</v>
      </c>
      <c r="EN58" s="2212">
        <v>18662.3</v>
      </c>
      <c r="EO58" s="2212">
        <v>23034.639999999999</v>
      </c>
      <c r="EP58" s="2212">
        <v>36455.53</v>
      </c>
      <c r="EQ58" s="2212">
        <v>47190.59</v>
      </c>
      <c r="ER58" s="2212">
        <v>26450</v>
      </c>
      <c r="ES58" s="2212">
        <v>22063.79</v>
      </c>
      <c r="ET58" s="2212">
        <v>33933.449999999997</v>
      </c>
      <c r="EU58" s="2212">
        <v>39539.14</v>
      </c>
      <c r="EV58" s="2212">
        <v>28609.360000000001</v>
      </c>
      <c r="EW58" s="2212">
        <v>57513.48</v>
      </c>
      <c r="EX58" s="2212">
        <v>37910.65</v>
      </c>
      <c r="EY58" s="2212">
        <v>24012.74</v>
      </c>
      <c r="EZ58" s="2212">
        <v>24012.880000000001</v>
      </c>
      <c r="FA58" s="2212">
        <v>18639.27</v>
      </c>
      <c r="FB58" s="2212">
        <v>38979.24</v>
      </c>
      <c r="FC58" s="2212">
        <v>48049.57</v>
      </c>
      <c r="FD58" s="2212">
        <v>47347.76</v>
      </c>
      <c r="FE58" s="2212">
        <v>33515.21</v>
      </c>
      <c r="FF58" s="2212">
        <v>39539.14</v>
      </c>
      <c r="FG58" s="2212">
        <v>35922.51</v>
      </c>
      <c r="FH58" s="2212">
        <v>15836.13</v>
      </c>
      <c r="FI58" s="2212">
        <v>25285.23</v>
      </c>
      <c r="FJ58" s="2212">
        <v>35101.81</v>
      </c>
      <c r="FK58" s="2212">
        <v>21677.9</v>
      </c>
      <c r="FL58" s="2212">
        <v>24379.09</v>
      </c>
      <c r="FM58" s="2212">
        <v>22908.52</v>
      </c>
      <c r="FN58" s="2212">
        <v>22741.98</v>
      </c>
      <c r="FO58" s="2212">
        <v>28012.04</v>
      </c>
      <c r="FP58" s="2212">
        <v>29785.69</v>
      </c>
      <c r="FQ58" s="2212">
        <v>24637.439999999999</v>
      </c>
      <c r="FR58" s="2212">
        <v>24408.61</v>
      </c>
      <c r="FS58" s="2212">
        <v>53049.33</v>
      </c>
      <c r="FT58" s="2212">
        <v>22729.29</v>
      </c>
      <c r="FU58" s="2212">
        <v>28607.01</v>
      </c>
      <c r="FV58" s="2212">
        <v>37910.81</v>
      </c>
      <c r="FW58" s="2212">
        <v>34247.1</v>
      </c>
      <c r="FX58" s="2212">
        <v>23483.53</v>
      </c>
      <c r="FY58" s="2212">
        <v>28817.74</v>
      </c>
      <c r="FZ58" s="2212">
        <v>49777.120000000003</v>
      </c>
      <c r="GA58" s="2212">
        <v>23032.12</v>
      </c>
      <c r="GB58" s="2212">
        <v>18273.62</v>
      </c>
      <c r="GC58" s="2212">
        <v>24013.01</v>
      </c>
      <c r="GD58" s="2212">
        <v>51809.84</v>
      </c>
      <c r="GE58" s="2212">
        <v>18877.150000000001</v>
      </c>
      <c r="GF58" s="2212">
        <v>44472.41</v>
      </c>
      <c r="GG58" s="2212">
        <v>51204.160000000003</v>
      </c>
      <c r="GH58" s="2212">
        <v>38299.74</v>
      </c>
      <c r="GI58" s="2212">
        <v>30937.15</v>
      </c>
      <c r="GJ58" s="2212">
        <v>23828.31</v>
      </c>
      <c r="GK58" s="2212">
        <v>39070.129999999997</v>
      </c>
      <c r="GL58" s="2212">
        <v>33502.44</v>
      </c>
      <c r="GM58" s="2212">
        <v>57513.53</v>
      </c>
      <c r="GN58" s="2212">
        <v>26004.12</v>
      </c>
      <c r="GO58" s="2212">
        <v>20228.240000000002</v>
      </c>
      <c r="GP58" s="2212">
        <v>24858.76</v>
      </c>
      <c r="GQ58" s="2212">
        <v>47190.62</v>
      </c>
      <c r="GR58" s="2212">
        <v>23254.560000000001</v>
      </c>
      <c r="GS58" s="2212">
        <v>23264.400000000001</v>
      </c>
      <c r="GT58" s="2212">
        <v>37146.07</v>
      </c>
      <c r="GU58" s="2212">
        <v>38593.03</v>
      </c>
      <c r="GV58" s="2212">
        <v>60665.88</v>
      </c>
      <c r="GW58" s="2212">
        <v>16162.76</v>
      </c>
      <c r="GX58" s="2212">
        <v>23397.88</v>
      </c>
      <c r="GY58" s="2212">
        <v>40010.33</v>
      </c>
      <c r="GZ58" s="2212">
        <v>24285.15</v>
      </c>
      <c r="HA58" s="2212">
        <v>65399.94</v>
      </c>
      <c r="HB58" s="2212">
        <v>23278.14</v>
      </c>
      <c r="HC58" s="2212">
        <v>34246.93</v>
      </c>
      <c r="HD58" s="2212">
        <v>25904.95</v>
      </c>
      <c r="HE58" s="2212">
        <v>35101.839999999997</v>
      </c>
      <c r="HF58" s="2212">
        <v>20700</v>
      </c>
      <c r="HG58" s="2212">
        <v>15844.8</v>
      </c>
      <c r="HH58" s="2212">
        <v>24066.54</v>
      </c>
      <c r="HI58" s="2212">
        <v>27409.07</v>
      </c>
      <c r="HJ58" s="2212">
        <v>22284.19</v>
      </c>
      <c r="HK58" s="2212">
        <v>22063.06</v>
      </c>
      <c r="HL58" s="2212">
        <v>48785.47</v>
      </c>
      <c r="HM58" s="2212">
        <v>46306.52</v>
      </c>
      <c r="HN58" s="2212">
        <v>24156.29</v>
      </c>
      <c r="HO58" s="2212">
        <v>38380.559999999998</v>
      </c>
      <c r="HP58" s="2212">
        <v>24066.54</v>
      </c>
      <c r="HQ58" s="2212">
        <v>57513.53</v>
      </c>
      <c r="HR58" s="2212">
        <v>49777.14</v>
      </c>
      <c r="HS58" s="2212">
        <v>24012.97</v>
      </c>
      <c r="HT58" s="2212">
        <v>21677.9</v>
      </c>
      <c r="HU58" s="2212">
        <v>60665.87</v>
      </c>
      <c r="HV58" s="2212">
        <v>26078.14</v>
      </c>
      <c r="HW58" s="2212">
        <v>23295.759999999998</v>
      </c>
      <c r="HX58" s="2212">
        <v>29896.15</v>
      </c>
      <c r="HY58" s="2212">
        <v>60665.94</v>
      </c>
      <c r="HZ58" s="2212">
        <v>54200.86</v>
      </c>
      <c r="IA58" s="2212">
        <v>22283.98</v>
      </c>
      <c r="IB58" s="2212">
        <v>24512.41</v>
      </c>
      <c r="IC58" s="2212">
        <v>34960.19</v>
      </c>
      <c r="ID58" s="2212">
        <v>15836.63</v>
      </c>
      <c r="IE58" s="2212">
        <v>65399.83</v>
      </c>
      <c r="IF58" s="2212">
        <v>53318.35</v>
      </c>
      <c r="IG58" s="2212">
        <v>53661.49</v>
      </c>
      <c r="IH58" s="2212">
        <v>37591.699999999997</v>
      </c>
      <c r="II58" s="2212">
        <v>23175</v>
      </c>
      <c r="IJ58" s="2212">
        <v>26190.65</v>
      </c>
      <c r="IK58" s="2212">
        <v>24140.77</v>
      </c>
      <c r="IL58" s="2212">
        <v>24512.5</v>
      </c>
      <c r="IM58" s="2212">
        <v>25533.119999999999</v>
      </c>
      <c r="IN58" s="2212">
        <v>54742.76</v>
      </c>
      <c r="IO58" s="2212">
        <v>47190.48</v>
      </c>
      <c r="IP58" s="2212"/>
      <c r="IR58" s="2212">
        <v>37889.089999999997</v>
      </c>
      <c r="IS58" s="2212">
        <v>24156.22</v>
      </c>
      <c r="IT58" s="2212">
        <v>22283.87</v>
      </c>
      <c r="IU58" s="2911">
        <v>23932.33</v>
      </c>
      <c r="IV58" s="2911">
        <v>24585.82</v>
      </c>
      <c r="IW58" s="2911">
        <v>26648.02</v>
      </c>
      <c r="IX58" s="2911">
        <v>27921.360000000001</v>
      </c>
      <c r="IY58" s="2207"/>
      <c r="IZ58" s="2215">
        <f t="shared" si="6"/>
        <v>49</v>
      </c>
    </row>
    <row r="59" spans="1:260">
      <c r="A59" s="2214">
        <v>50</v>
      </c>
      <c r="B59" s="2212">
        <v>67575.87</v>
      </c>
      <c r="C59" s="2927">
        <v>64956.56</v>
      </c>
      <c r="D59" s="2927">
        <v>59255.11</v>
      </c>
      <c r="E59" s="2212">
        <v>52466.82</v>
      </c>
      <c r="F59" s="2927">
        <v>52438.09</v>
      </c>
      <c r="G59" s="2212">
        <v>51029.45</v>
      </c>
      <c r="H59" s="2927">
        <v>49141</v>
      </c>
      <c r="I59" s="2212">
        <v>46588.73</v>
      </c>
      <c r="J59" s="2212">
        <v>51029.599999999999</v>
      </c>
      <c r="K59" s="2212">
        <v>48141.01</v>
      </c>
      <c r="L59" s="2927">
        <v>44951.59</v>
      </c>
      <c r="M59" s="2212">
        <v>44422.61</v>
      </c>
      <c r="N59" s="2927">
        <v>40663.03</v>
      </c>
      <c r="O59" s="2212">
        <v>39702.74</v>
      </c>
      <c r="P59" s="2927">
        <v>36448.949999999997</v>
      </c>
      <c r="Q59" s="2927">
        <v>30747.41</v>
      </c>
      <c r="R59" s="2212">
        <v>35448.949999999997</v>
      </c>
      <c r="S59" s="2212">
        <v>35448.949999999997</v>
      </c>
      <c r="T59" s="2212">
        <v>34457.300000000003</v>
      </c>
      <c r="U59" s="2212">
        <v>34457.300000000003</v>
      </c>
      <c r="V59" s="2212">
        <v>34457.300000000003</v>
      </c>
      <c r="W59" s="2212">
        <v>34457.300000000003</v>
      </c>
      <c r="X59" s="2212">
        <v>32474.23</v>
      </c>
      <c r="Y59" s="2927">
        <v>37018.620000000003</v>
      </c>
      <c r="Z59" s="2923">
        <v>35116</v>
      </c>
      <c r="AA59" s="2930">
        <v>35116</v>
      </c>
      <c r="AB59" s="2927">
        <v>36018.620000000003</v>
      </c>
      <c r="AC59" s="2212">
        <v>32127.200000000001</v>
      </c>
      <c r="AD59" s="2923">
        <v>34124</v>
      </c>
      <c r="AE59" s="2929">
        <v>34667.51</v>
      </c>
      <c r="AF59" s="2927">
        <v>31887.69</v>
      </c>
      <c r="AG59" s="2927">
        <v>31887.69</v>
      </c>
      <c r="AH59" s="2927">
        <v>33775.919999999998</v>
      </c>
      <c r="AI59" s="2927">
        <v>31069.54</v>
      </c>
      <c r="AJ59" s="2927">
        <v>28764.25</v>
      </c>
      <c r="AK59" s="2927">
        <v>23285.77</v>
      </c>
      <c r="AL59" s="2927">
        <v>21203.47</v>
      </c>
      <c r="AM59" s="2927">
        <v>20087.98</v>
      </c>
      <c r="AN59" s="2212">
        <v>22285.77</v>
      </c>
      <c r="AO59" s="2212">
        <v>20203.47</v>
      </c>
      <c r="AP59" s="2212">
        <v>19087.98</v>
      </c>
      <c r="AQ59" s="2923">
        <v>29159</v>
      </c>
      <c r="AR59" s="2923">
        <v>27459</v>
      </c>
      <c r="AS59" s="2929">
        <v>25541.58</v>
      </c>
      <c r="AT59" s="2927">
        <v>24797.94</v>
      </c>
      <c r="AU59" s="2928">
        <v>23285.82</v>
      </c>
      <c r="AV59" s="2212">
        <v>22423.77</v>
      </c>
      <c r="AW59" s="2212">
        <v>19659.32</v>
      </c>
      <c r="AX59" s="2212">
        <v>23371.47</v>
      </c>
      <c r="AY59" s="2212">
        <v>24789.439999999999</v>
      </c>
      <c r="AZ59" s="2212">
        <v>23802.89</v>
      </c>
      <c r="BA59" s="2212">
        <v>24789.42</v>
      </c>
      <c r="BB59" s="2212">
        <v>23797.86</v>
      </c>
      <c r="BC59" s="2212">
        <v>24759.1</v>
      </c>
      <c r="BD59" s="2212">
        <v>25533.119999999999</v>
      </c>
      <c r="BE59" s="2212">
        <v>24606.06</v>
      </c>
      <c r="BF59" s="2212">
        <v>26028.95</v>
      </c>
      <c r="BG59" s="2212">
        <v>19010.2</v>
      </c>
      <c r="BH59" s="2212">
        <v>29300</v>
      </c>
      <c r="BI59" s="2212">
        <v>28780.55</v>
      </c>
      <c r="BJ59" s="2212">
        <v>16476.650000000001</v>
      </c>
      <c r="BK59" s="2212">
        <v>16476.650000000001</v>
      </c>
      <c r="BL59" s="2212">
        <v>35150</v>
      </c>
      <c r="BM59" s="2212">
        <v>33887.269999999997</v>
      </c>
      <c r="BN59" s="2212">
        <v>33961.480000000003</v>
      </c>
      <c r="BO59" s="2212">
        <v>33521.82</v>
      </c>
      <c r="BP59" s="2212">
        <v>42055.29</v>
      </c>
      <c r="BQ59" s="2212">
        <v>27764.21</v>
      </c>
      <c r="BR59" s="2212">
        <v>45052.33</v>
      </c>
      <c r="BS59" s="2212">
        <v>38979.11</v>
      </c>
      <c r="BT59" s="2212">
        <v>32700</v>
      </c>
      <c r="BU59" s="2212">
        <v>37407.22</v>
      </c>
      <c r="BV59" s="2212">
        <v>48049.47</v>
      </c>
      <c r="BW59" s="2212">
        <v>51203.97</v>
      </c>
      <c r="BX59" s="2212">
        <v>36455.410000000003</v>
      </c>
      <c r="BY59" s="2212">
        <v>20382.759999999998</v>
      </c>
      <c r="BZ59" s="2212">
        <v>53661.440000000002</v>
      </c>
      <c r="CA59" s="2212">
        <v>24235.82</v>
      </c>
      <c r="CB59" s="2212">
        <v>24379.03</v>
      </c>
      <c r="CC59" s="2212">
        <v>24012.99</v>
      </c>
      <c r="CD59" s="2212">
        <v>30119.22</v>
      </c>
      <c r="CE59" s="2212">
        <v>32845.81</v>
      </c>
      <c r="CF59" s="2212">
        <v>39539.129999999997</v>
      </c>
      <c r="CG59" s="2212">
        <v>29747.23</v>
      </c>
      <c r="CH59" s="2927">
        <v>31263.01</v>
      </c>
      <c r="CI59" s="2927">
        <v>24285.77</v>
      </c>
      <c r="CJ59" s="2212">
        <v>22781.49</v>
      </c>
      <c r="CK59" s="2212">
        <v>21145.38</v>
      </c>
      <c r="CL59" s="2212">
        <v>23982.69</v>
      </c>
      <c r="CM59" s="2212">
        <v>21950</v>
      </c>
      <c r="CN59" s="2212">
        <v>25493.52</v>
      </c>
      <c r="CO59" s="2212">
        <v>17997.2</v>
      </c>
      <c r="CP59" s="2212">
        <v>18300</v>
      </c>
      <c r="CQ59" s="2212">
        <v>22902.959999999999</v>
      </c>
      <c r="CR59" s="2212">
        <v>23265.040000000001</v>
      </c>
      <c r="CS59" s="2212">
        <v>22284.04</v>
      </c>
      <c r="CT59" s="2212">
        <v>15617.5</v>
      </c>
      <c r="CU59" s="2212">
        <v>22756.69</v>
      </c>
      <c r="CV59" s="2212">
        <v>18740.89</v>
      </c>
      <c r="CW59" s="2212">
        <v>23264.99</v>
      </c>
      <c r="CX59" s="2212">
        <v>26550</v>
      </c>
      <c r="CY59" s="2212">
        <v>14513.31</v>
      </c>
      <c r="CZ59" s="2212">
        <v>19600</v>
      </c>
      <c r="DA59" s="2212">
        <v>29251.57</v>
      </c>
      <c r="DB59" s="2212">
        <v>26527.8</v>
      </c>
      <c r="DC59" s="2212">
        <v>23743.69</v>
      </c>
      <c r="DD59" s="2212">
        <v>18649.73</v>
      </c>
      <c r="DE59" s="2212">
        <v>26276.799999999999</v>
      </c>
      <c r="DF59" s="2212">
        <v>23743.78</v>
      </c>
      <c r="DG59" s="2212">
        <v>27020.48</v>
      </c>
      <c r="DH59" s="2212">
        <v>19732.47</v>
      </c>
      <c r="DI59" s="2212">
        <v>33589.65</v>
      </c>
      <c r="DJ59" s="2212">
        <v>18719.400000000001</v>
      </c>
      <c r="DK59" s="2212">
        <v>24764.720000000001</v>
      </c>
      <c r="DL59" s="2212">
        <v>38293.31</v>
      </c>
      <c r="DM59" s="2212">
        <v>37432.089999999997</v>
      </c>
      <c r="DN59" s="2212">
        <v>22283.79</v>
      </c>
      <c r="DO59" s="2212">
        <v>23730.07</v>
      </c>
      <c r="DP59" s="2212">
        <v>16729.849999999999</v>
      </c>
      <c r="DQ59" s="2212">
        <v>42055.29</v>
      </c>
      <c r="DR59" s="2212">
        <v>24194.49</v>
      </c>
      <c r="DS59" s="2212">
        <v>22284.080000000002</v>
      </c>
      <c r="DT59" s="2212">
        <v>28631.34</v>
      </c>
      <c r="DU59" s="2212">
        <v>26980.880000000001</v>
      </c>
      <c r="DV59" s="2212">
        <v>37432.04</v>
      </c>
      <c r="DW59" s="2212">
        <v>20382.75</v>
      </c>
      <c r="DX59" s="2212">
        <v>23264.74</v>
      </c>
      <c r="DY59" s="2212">
        <v>41398.32</v>
      </c>
      <c r="DZ59" s="2212">
        <v>38299.589999999997</v>
      </c>
      <c r="EA59" s="2212">
        <v>29150</v>
      </c>
      <c r="EB59" s="2212">
        <v>22742.560000000001</v>
      </c>
      <c r="EC59" s="2212">
        <v>23743.51</v>
      </c>
      <c r="ED59" s="2212">
        <v>26980.880000000001</v>
      </c>
      <c r="EE59" s="2212">
        <v>31846.67</v>
      </c>
      <c r="EF59" s="2212">
        <v>54200.7</v>
      </c>
      <c r="EG59" s="2212">
        <v>45052.35</v>
      </c>
      <c r="EH59" s="2212">
        <v>53661.49</v>
      </c>
      <c r="EI59" s="2212">
        <v>26326.45</v>
      </c>
      <c r="EJ59" s="2212">
        <v>33521.68</v>
      </c>
      <c r="EK59" s="2212">
        <v>23350</v>
      </c>
      <c r="EL59" s="2212">
        <v>35922.51</v>
      </c>
      <c r="EM59" s="2212">
        <v>35158.97</v>
      </c>
      <c r="EN59" s="2212">
        <v>18662.3</v>
      </c>
      <c r="EO59" s="2212">
        <v>23034.639999999999</v>
      </c>
      <c r="EP59" s="2212">
        <v>36455.53</v>
      </c>
      <c r="EQ59" s="2212">
        <v>47190.59</v>
      </c>
      <c r="ER59" s="2212">
        <v>26450</v>
      </c>
      <c r="ES59" s="2212">
        <v>22063.79</v>
      </c>
      <c r="ET59" s="2212">
        <v>33933.449999999997</v>
      </c>
      <c r="EU59" s="2212">
        <v>39539.14</v>
      </c>
      <c r="EV59" s="2212">
        <v>28609.360000000001</v>
      </c>
      <c r="EW59" s="2212">
        <v>57513.48</v>
      </c>
      <c r="EX59" s="2212">
        <v>37910.65</v>
      </c>
      <c r="EY59" s="2212">
        <v>24012.74</v>
      </c>
      <c r="EZ59" s="2212">
        <v>24012.880000000001</v>
      </c>
      <c r="FA59" s="2212">
        <v>18639.27</v>
      </c>
      <c r="FB59" s="2212">
        <v>38979.24</v>
      </c>
      <c r="FC59" s="2212">
        <v>48049.57</v>
      </c>
      <c r="FD59" s="2212">
        <v>47347.76</v>
      </c>
      <c r="FE59" s="2212">
        <v>33515.21</v>
      </c>
      <c r="FF59" s="2212">
        <v>39539.14</v>
      </c>
      <c r="FG59" s="2212">
        <v>35922.51</v>
      </c>
      <c r="FH59" s="2212">
        <v>15836.13</v>
      </c>
      <c r="FI59" s="2212">
        <v>25285.23</v>
      </c>
      <c r="FJ59" s="2212">
        <v>35101.81</v>
      </c>
      <c r="FK59" s="2212">
        <v>21677.9</v>
      </c>
      <c r="FL59" s="2212">
        <v>24379.09</v>
      </c>
      <c r="FM59" s="2212">
        <v>22908.52</v>
      </c>
      <c r="FN59" s="2212">
        <v>22741.98</v>
      </c>
      <c r="FO59" s="2212">
        <v>28012.04</v>
      </c>
      <c r="FP59" s="2212">
        <v>29785.69</v>
      </c>
      <c r="FQ59" s="2212">
        <v>24637.439999999999</v>
      </c>
      <c r="FR59" s="2212">
        <v>24408.61</v>
      </c>
      <c r="FS59" s="2212">
        <v>53049.33</v>
      </c>
      <c r="FT59" s="2212">
        <v>22729.29</v>
      </c>
      <c r="FU59" s="2212">
        <v>28607.01</v>
      </c>
      <c r="FV59" s="2212">
        <v>37910.81</v>
      </c>
      <c r="FW59" s="2212">
        <v>34247.1</v>
      </c>
      <c r="FX59" s="2212">
        <v>23483.53</v>
      </c>
      <c r="FY59" s="2212">
        <v>28817.74</v>
      </c>
      <c r="FZ59" s="2212">
        <v>49777.120000000003</v>
      </c>
      <c r="GA59" s="2212">
        <v>23032.12</v>
      </c>
      <c r="GB59" s="2212">
        <v>18273.62</v>
      </c>
      <c r="GC59" s="2212">
        <v>24013.01</v>
      </c>
      <c r="GD59" s="2212">
        <v>51809.84</v>
      </c>
      <c r="GE59" s="2212">
        <v>18877.150000000001</v>
      </c>
      <c r="GF59" s="2212">
        <v>44472.41</v>
      </c>
      <c r="GG59" s="2212">
        <v>51204.160000000003</v>
      </c>
      <c r="GH59" s="2212">
        <v>38299.74</v>
      </c>
      <c r="GI59" s="2212">
        <v>30937.15</v>
      </c>
      <c r="GJ59" s="2212">
        <v>23828.31</v>
      </c>
      <c r="GK59" s="2212">
        <v>39070.129999999997</v>
      </c>
      <c r="GL59" s="2212">
        <v>33502.44</v>
      </c>
      <c r="GM59" s="2212">
        <v>57513.53</v>
      </c>
      <c r="GN59" s="2212">
        <v>26004.12</v>
      </c>
      <c r="GO59" s="2212">
        <v>20228.240000000002</v>
      </c>
      <c r="GP59" s="2212">
        <v>24858.76</v>
      </c>
      <c r="GQ59" s="2212">
        <v>47190.62</v>
      </c>
      <c r="GR59" s="2212">
        <v>23254.560000000001</v>
      </c>
      <c r="GS59" s="2212">
        <v>23264.400000000001</v>
      </c>
      <c r="GT59" s="2212">
        <v>37146.07</v>
      </c>
      <c r="GU59" s="2212">
        <v>38593.03</v>
      </c>
      <c r="GV59" s="2212">
        <v>60665.88</v>
      </c>
      <c r="GW59" s="2212">
        <v>16162.76</v>
      </c>
      <c r="GX59" s="2212">
        <v>23397.88</v>
      </c>
      <c r="GY59" s="2212">
        <v>40010.33</v>
      </c>
      <c r="GZ59" s="2212">
        <v>24285.15</v>
      </c>
      <c r="HA59" s="2212">
        <v>65399.94</v>
      </c>
      <c r="HB59" s="2212">
        <v>23278.14</v>
      </c>
      <c r="HC59" s="2212">
        <v>34246.93</v>
      </c>
      <c r="HD59" s="2212">
        <v>25904.95</v>
      </c>
      <c r="HE59" s="2212">
        <v>35101.839999999997</v>
      </c>
      <c r="HF59" s="2212">
        <v>20700</v>
      </c>
      <c r="HG59" s="2212">
        <v>15844.8</v>
      </c>
      <c r="HH59" s="2212">
        <v>24066.54</v>
      </c>
      <c r="HI59" s="2212">
        <v>27409.07</v>
      </c>
      <c r="HJ59" s="2212">
        <v>22284.19</v>
      </c>
      <c r="HK59" s="2212">
        <v>22063.06</v>
      </c>
      <c r="HL59" s="2212">
        <v>48785.47</v>
      </c>
      <c r="HM59" s="2212">
        <v>46306.52</v>
      </c>
      <c r="HN59" s="2212">
        <v>24156.29</v>
      </c>
      <c r="HO59" s="2212">
        <v>38380.559999999998</v>
      </c>
      <c r="HP59" s="2212">
        <v>24066.54</v>
      </c>
      <c r="HQ59" s="2212">
        <v>57513.53</v>
      </c>
      <c r="HR59" s="2212">
        <v>49777.14</v>
      </c>
      <c r="HS59" s="2212">
        <v>24012.97</v>
      </c>
      <c r="HT59" s="2212">
        <v>21677.9</v>
      </c>
      <c r="HU59" s="2212">
        <v>60665.87</v>
      </c>
      <c r="HV59" s="2212">
        <v>26078.14</v>
      </c>
      <c r="HW59" s="2212">
        <v>23295.759999999998</v>
      </c>
      <c r="HX59" s="2212">
        <v>29896.15</v>
      </c>
      <c r="HY59" s="2212">
        <v>60665.94</v>
      </c>
      <c r="HZ59" s="2212">
        <v>54200.86</v>
      </c>
      <c r="IA59" s="2212">
        <v>22283.98</v>
      </c>
      <c r="IB59" s="2212">
        <v>24512.41</v>
      </c>
      <c r="IC59" s="2212">
        <v>34960.19</v>
      </c>
      <c r="ID59" s="2212">
        <v>15836.63</v>
      </c>
      <c r="IE59" s="2212">
        <v>65399.83</v>
      </c>
      <c r="IF59" s="2212">
        <v>53318.35</v>
      </c>
      <c r="IG59" s="2212">
        <v>53661.49</v>
      </c>
      <c r="IH59" s="2212">
        <v>37591.699999999997</v>
      </c>
      <c r="II59" s="2212">
        <v>23175</v>
      </c>
      <c r="IJ59" s="2212">
        <v>26190.65</v>
      </c>
      <c r="IK59" s="2212">
        <v>24140.77</v>
      </c>
      <c r="IL59" s="2212">
        <v>24512.5</v>
      </c>
      <c r="IM59" s="2212">
        <v>25533.119999999999</v>
      </c>
      <c r="IN59" s="2212">
        <v>54742.76</v>
      </c>
      <c r="IO59" s="2212">
        <v>47190.48</v>
      </c>
      <c r="IP59" s="2212"/>
      <c r="IR59" s="2212">
        <v>37889.089999999997</v>
      </c>
      <c r="IS59" s="2212">
        <v>24156.22</v>
      </c>
      <c r="IT59" s="2212">
        <v>22283.87</v>
      </c>
      <c r="IU59" s="2911">
        <v>23932.33</v>
      </c>
      <c r="IV59" s="2911">
        <v>24585.82</v>
      </c>
      <c r="IW59" s="2911">
        <v>26648.02</v>
      </c>
      <c r="IX59" s="2911">
        <v>27921.360000000001</v>
      </c>
      <c r="IY59" s="2207"/>
      <c r="IZ59" s="2215">
        <f t="shared" si="6"/>
        <v>50</v>
      </c>
    </row>
    <row r="60" spans="1:260">
      <c r="AQ60" s="447"/>
      <c r="AR60" s="447"/>
    </row>
    <row r="61" spans="1:260">
      <c r="Y61" s="49">
        <f>ANNEE</f>
        <v>2027</v>
      </c>
      <c r="Z61" s="2108">
        <f>SUM(Z9:Z59)</f>
        <v>1673616</v>
      </c>
      <c r="AB61" s="49"/>
      <c r="AC61" s="49"/>
      <c r="AD61" s="2108">
        <f>SUM(AD9:AD59)</f>
        <v>1572549.3299999996</v>
      </c>
    </row>
    <row r="62" spans="1:260">
      <c r="AP62" s="2207">
        <f>Y62</f>
        <v>0</v>
      </c>
      <c r="AQ62" s="2108">
        <f>SUM(AQ10:AQ60)</f>
        <v>1376905</v>
      </c>
      <c r="AR62" s="2108">
        <f>SUM(AR10:AR60)</f>
        <v>1292168</v>
      </c>
    </row>
    <row r="64" spans="1:260">
      <c r="AQ64" s="15">
        <v>1282332.5700000005</v>
      </c>
      <c r="AR64" s="15">
        <v>1200972.1700000011</v>
      </c>
    </row>
    <row r="70" spans="252:254">
      <c r="IR70" s="2216"/>
      <c r="IS70" s="2216"/>
      <c r="IT70" s="2216"/>
    </row>
    <row r="71" spans="252:254">
      <c r="IR71" s="2217"/>
      <c r="IS71" s="2218"/>
      <c r="IT71" s="2219"/>
    </row>
    <row r="83" spans="252:253">
      <c r="IR83" s="2216"/>
      <c r="IS83" s="2217"/>
    </row>
    <row r="84" spans="252:253">
      <c r="IR84" s="2216"/>
      <c r="IS84" s="2218"/>
    </row>
    <row r="85" spans="252:253">
      <c r="IR85" s="2216"/>
      <c r="IS85" s="2219"/>
    </row>
    <row r="86" spans="252:253">
      <c r="IR86" s="2216"/>
      <c r="IS86" s="2219"/>
    </row>
    <row r="87" spans="252:253">
      <c r="IR87" s="2216"/>
      <c r="IS87" s="2219"/>
    </row>
    <row r="88" spans="252:253">
      <c r="IR88" s="2216"/>
      <c r="IS88" s="2219"/>
    </row>
    <row r="89" spans="252:253">
      <c r="IR89" s="2216"/>
      <c r="IS89" s="2219"/>
    </row>
    <row r="90" spans="252:253">
      <c r="IR90" s="2216"/>
      <c r="IS90" s="2219"/>
    </row>
    <row r="91" spans="252:253">
      <c r="IR91" s="2216"/>
      <c r="IS91" s="2219"/>
    </row>
    <row r="92" spans="252:253">
      <c r="IR92" s="2216"/>
      <c r="IS92" s="2219"/>
    </row>
    <row r="93" spans="252:253">
      <c r="IR93" s="2216"/>
      <c r="IS93" s="2219"/>
    </row>
    <row r="94" spans="252:253">
      <c r="IR94" s="2216"/>
      <c r="IS94" s="2218"/>
    </row>
    <row r="95" spans="252:253">
      <c r="IR95" s="2216"/>
      <c r="IS95" s="2219"/>
    </row>
    <row r="96" spans="252:253">
      <c r="IR96" s="2216"/>
      <c r="IS96" s="2219"/>
    </row>
    <row r="97" spans="252:253">
      <c r="IR97" s="2216"/>
      <c r="IS97" s="2220"/>
    </row>
    <row r="98" spans="252:253">
      <c r="IR98" s="2216"/>
      <c r="IS98" s="2218"/>
    </row>
    <row r="99" spans="252:253">
      <c r="IR99" s="2216"/>
      <c r="IS99" s="2219"/>
    </row>
    <row r="100" spans="252:253">
      <c r="IR100" s="2216"/>
      <c r="IS100" s="2219"/>
    </row>
    <row r="101" spans="252:253">
      <c r="IR101" s="2216"/>
      <c r="IS101" s="2219"/>
    </row>
    <row r="102" spans="252:253">
      <c r="IR102" s="2216"/>
      <c r="IS102" s="2219"/>
    </row>
    <row r="103" spans="252:253">
      <c r="IR103" s="2216"/>
      <c r="IS103" s="2218"/>
    </row>
    <row r="104" spans="252:253">
      <c r="IR104" s="2216"/>
      <c r="IS104" s="2217"/>
    </row>
    <row r="105" spans="252:253">
      <c r="IR105" s="2216"/>
      <c r="IS105" s="2217"/>
    </row>
    <row r="106" spans="252:253">
      <c r="IR106" s="2216"/>
      <c r="IS106" s="2217"/>
    </row>
    <row r="107" spans="252:253">
      <c r="IR107" s="2216"/>
      <c r="IS107" s="2217"/>
    </row>
    <row r="108" spans="252:253">
      <c r="IR108" s="2216"/>
      <c r="IS108" s="2217"/>
    </row>
    <row r="109" spans="252:253">
      <c r="IR109" s="2216"/>
      <c r="IS109" s="2217"/>
    </row>
    <row r="110" spans="252:253">
      <c r="IR110" s="2216"/>
      <c r="IS110" s="2217"/>
    </row>
    <row r="111" spans="252:253">
      <c r="IR111" s="2216"/>
      <c r="IS111" s="2217"/>
    </row>
    <row r="112" spans="252:253">
      <c r="IR112" s="2216"/>
      <c r="IS112" s="2217"/>
    </row>
    <row r="113" spans="252:253">
      <c r="IR113" s="2216"/>
      <c r="IS113" s="2217"/>
    </row>
    <row r="114" spans="252:253">
      <c r="IR114" s="2216"/>
      <c r="IS114" s="2217"/>
    </row>
    <row r="115" spans="252:253">
      <c r="IR115" s="2216"/>
      <c r="IS115" s="2217"/>
    </row>
    <row r="116" spans="252:253">
      <c r="IR116" s="2216"/>
      <c r="IS116" s="2217"/>
    </row>
    <row r="117" spans="252:253">
      <c r="IR117" s="2216"/>
      <c r="IS117" s="2217"/>
    </row>
    <row r="118" spans="252:253">
      <c r="IR118" s="2216"/>
      <c r="IS118" s="2217"/>
    </row>
    <row r="119" spans="252:253">
      <c r="IR119" s="2216"/>
      <c r="IS119" s="2217"/>
    </row>
    <row r="120" spans="252:253">
      <c r="IR120" s="2216"/>
      <c r="IS120" s="2217"/>
    </row>
    <row r="121" spans="252:253">
      <c r="IR121" s="2216"/>
      <c r="IS121" s="2217"/>
    </row>
    <row r="122" spans="252:253">
      <c r="IR122" s="2216"/>
      <c r="IS122" s="2217"/>
    </row>
    <row r="123" spans="252:253">
      <c r="IR123" s="2216"/>
      <c r="IS123" s="2217"/>
    </row>
    <row r="124" spans="252:253">
      <c r="IR124" s="2216"/>
      <c r="IS124" s="2217"/>
    </row>
    <row r="125" spans="252:253">
      <c r="IR125" s="2216"/>
      <c r="IS125" s="2217"/>
    </row>
    <row r="126" spans="252:253">
      <c r="IR126" s="2216"/>
      <c r="IS126" s="2217"/>
    </row>
    <row r="127" spans="252:253">
      <c r="IR127" s="2216"/>
      <c r="IS127" s="2217"/>
    </row>
    <row r="128" spans="252:253">
      <c r="IR128" s="2216"/>
      <c r="IS128" s="2217"/>
    </row>
    <row r="129" spans="252:253">
      <c r="IR129" s="2216"/>
      <c r="IS129" s="2217"/>
    </row>
    <row r="130" spans="252:253">
      <c r="IR130" s="2216"/>
      <c r="IS130" s="2217"/>
    </row>
    <row r="131" spans="252:253">
      <c r="IR131" s="2216"/>
      <c r="IS131" s="2217"/>
    </row>
    <row r="132" spans="252:253">
      <c r="IR132" s="2216"/>
      <c r="IS132" s="2217"/>
    </row>
    <row r="133" spans="252:253">
      <c r="IR133" s="2216"/>
      <c r="IS133" s="2217"/>
    </row>
    <row r="134" spans="252:253">
      <c r="IR134" s="2216"/>
      <c r="IS134" s="2217"/>
    </row>
    <row r="135" spans="252:253">
      <c r="IR135" s="2216"/>
      <c r="IS135" s="2218"/>
    </row>
    <row r="136" spans="252:253">
      <c r="IR136" s="2216"/>
      <c r="IS136" s="2218"/>
    </row>
    <row r="137" spans="252:253">
      <c r="IR137" s="2216"/>
      <c r="IS137" s="2218"/>
    </row>
    <row r="138" spans="252:253">
      <c r="IR138" s="2216"/>
      <c r="IS138" s="2218"/>
    </row>
    <row r="139" spans="252:253">
      <c r="IR139" s="2216"/>
      <c r="IS139" s="2218"/>
    </row>
    <row r="140" spans="252:253">
      <c r="IR140" s="2216"/>
      <c r="IS140" s="2218"/>
    </row>
    <row r="141" spans="252:253">
      <c r="IR141" s="2216"/>
      <c r="IS141" s="2218"/>
    </row>
    <row r="142" spans="252:253">
      <c r="IR142" s="2216"/>
      <c r="IS142" s="2218"/>
    </row>
    <row r="143" spans="252:253">
      <c r="IR143" s="2216"/>
      <c r="IS143" s="2218"/>
    </row>
    <row r="144" spans="252:253">
      <c r="IR144" s="2216"/>
      <c r="IS144" s="2218"/>
    </row>
    <row r="145" spans="252:253">
      <c r="IR145" s="2216"/>
      <c r="IS145" s="2218"/>
    </row>
    <row r="146" spans="252:253">
      <c r="IR146" s="2216"/>
      <c r="IS146" s="2218"/>
    </row>
    <row r="147" spans="252:253">
      <c r="IR147" s="2216"/>
      <c r="IS147" s="2217"/>
    </row>
    <row r="148" spans="252:253">
      <c r="IR148" s="2216"/>
      <c r="IS148" s="2217"/>
    </row>
    <row r="149" spans="252:253">
      <c r="IR149" s="2216"/>
      <c r="IS149" s="2217"/>
    </row>
    <row r="150" spans="252:253">
      <c r="IR150" s="2216"/>
      <c r="IS150" s="2217"/>
    </row>
    <row r="151" spans="252:253">
      <c r="IR151" s="2216"/>
      <c r="IS151" s="2217"/>
    </row>
    <row r="152" spans="252:253">
      <c r="IR152" s="2216"/>
      <c r="IS152" s="2217"/>
    </row>
    <row r="153" spans="252:253">
      <c r="IR153" s="2216"/>
      <c r="IS153" s="2217"/>
    </row>
    <row r="154" spans="252:253">
      <c r="IR154" s="2216"/>
      <c r="IS154" s="2217"/>
    </row>
    <row r="155" spans="252:253">
      <c r="IR155" s="2216"/>
      <c r="IS155" s="2217"/>
    </row>
    <row r="156" spans="252:253">
      <c r="IR156" s="2216"/>
      <c r="IS156" s="2217"/>
    </row>
    <row r="157" spans="252:253">
      <c r="IR157" s="2216"/>
      <c r="IS157" s="2217"/>
    </row>
    <row r="158" spans="252:253">
      <c r="IR158" s="2216"/>
      <c r="IS158" s="2217"/>
    </row>
    <row r="159" spans="252:253">
      <c r="IR159" s="2216"/>
      <c r="IS159" s="2217"/>
    </row>
    <row r="160" spans="252:253">
      <c r="IR160" s="2216"/>
      <c r="IS160" s="2217"/>
    </row>
    <row r="161" spans="252:253">
      <c r="IR161" s="2216"/>
      <c r="IS161" s="2217"/>
    </row>
    <row r="162" spans="252:253">
      <c r="IR162" s="2216"/>
      <c r="IS162" s="2217"/>
    </row>
    <row r="163" spans="252:253">
      <c r="IR163" s="2216"/>
      <c r="IS163" s="2217"/>
    </row>
    <row r="164" spans="252:253">
      <c r="IR164" s="2216"/>
      <c r="IS164" s="2217"/>
    </row>
    <row r="165" spans="252:253">
      <c r="IR165" s="2216"/>
      <c r="IS165" s="2217"/>
    </row>
    <row r="166" spans="252:253">
      <c r="IR166" s="2216"/>
      <c r="IS166" s="2217"/>
    </row>
    <row r="167" spans="252:253">
      <c r="IR167" s="2216"/>
      <c r="IS167" s="2217"/>
    </row>
    <row r="168" spans="252:253">
      <c r="IR168" s="2216"/>
      <c r="IS168" s="2217"/>
    </row>
    <row r="169" spans="252:253">
      <c r="IR169" s="2216"/>
      <c r="IS169" s="2217"/>
    </row>
    <row r="170" spans="252:253">
      <c r="IR170" s="2216"/>
      <c r="IS170" s="2217"/>
    </row>
    <row r="171" spans="252:253">
      <c r="IR171" s="2216"/>
      <c r="IS171" s="2217"/>
    </row>
    <row r="172" spans="252:253">
      <c r="IR172" s="2216"/>
      <c r="IS172" s="2217"/>
    </row>
    <row r="173" spans="252:253">
      <c r="IR173" s="2216"/>
      <c r="IS173" s="2217"/>
    </row>
    <row r="174" spans="252:253">
      <c r="IR174" s="2216"/>
      <c r="IS174" s="2217"/>
    </row>
    <row r="175" spans="252:253">
      <c r="IR175" s="2216"/>
      <c r="IS175" s="2217"/>
    </row>
    <row r="176" spans="252:253">
      <c r="IR176" s="2216"/>
      <c r="IS176" s="2217"/>
    </row>
    <row r="177" spans="252:253">
      <c r="IR177" s="2216"/>
      <c r="IS177" s="2217"/>
    </row>
    <row r="178" spans="252:253">
      <c r="IR178" s="2216"/>
      <c r="IS178" s="2217"/>
    </row>
    <row r="179" spans="252:253">
      <c r="IR179" s="2216"/>
      <c r="IS179" s="2217"/>
    </row>
    <row r="180" spans="252:253">
      <c r="IR180" s="2216"/>
      <c r="IS180" s="2217"/>
    </row>
    <row r="181" spans="252:253">
      <c r="IR181" s="2216"/>
      <c r="IS181" s="2218"/>
    </row>
    <row r="182" spans="252:253">
      <c r="IR182" s="2216"/>
      <c r="IS182" s="2219"/>
    </row>
    <row r="183" spans="252:253">
      <c r="IR183" s="2216"/>
      <c r="IS183" s="2219"/>
    </row>
    <row r="184" spans="252:253">
      <c r="IR184" s="2216"/>
      <c r="IS184" s="2219"/>
    </row>
  </sheetData>
  <phoneticPr fontId="38" type="noConversion"/>
  <pageMargins left="0.75" right="0.75" top="1" bottom="1" header="0.5" footer="0.5"/>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0">
    <pageSetUpPr fitToPage="1"/>
  </sheetPr>
  <dimension ref="A1:AD248"/>
  <sheetViews>
    <sheetView topLeftCell="A202" zoomScaleNormal="100" workbookViewId="0">
      <selection activeCell="N214" sqref="N214"/>
    </sheetView>
  </sheetViews>
  <sheetFormatPr defaultColWidth="0" defaultRowHeight="11.25"/>
  <cols>
    <col min="1" max="1" width="8" style="5" customWidth="1"/>
    <col min="2" max="2" width="6.42578125" style="7" bestFit="1" customWidth="1"/>
    <col min="3" max="3" width="9.7109375" style="5" bestFit="1" customWidth="1"/>
    <col min="4" max="4" width="40.7109375" style="6" bestFit="1" customWidth="1"/>
    <col min="5" max="5" width="6.7109375" style="15" bestFit="1" customWidth="1"/>
    <col min="6" max="6" width="9" style="15" bestFit="1" customWidth="1"/>
    <col min="7" max="7" width="10.140625" style="15" bestFit="1" customWidth="1"/>
    <col min="8" max="8" width="7.85546875" style="15" customWidth="1"/>
    <col min="9" max="10" width="2" style="15" customWidth="1"/>
    <col min="11" max="11" width="22.140625" style="15" bestFit="1" customWidth="1"/>
    <col min="12" max="12" width="8" style="15" customWidth="1"/>
    <col min="13" max="13" width="8.7109375" style="15" customWidth="1"/>
    <col min="14" max="14" width="13.140625" style="15" bestFit="1" customWidth="1"/>
    <col min="15" max="15" width="36.5703125" style="15" customWidth="1"/>
    <col min="16" max="16" width="12.28515625" style="15" customWidth="1"/>
    <col min="17" max="17" width="16.28515625" style="15" customWidth="1"/>
    <col min="18" max="18" width="8.28515625" style="15" hidden="1" customWidth="1"/>
    <col min="19" max="19" width="12.42578125" style="15" hidden="1" customWidth="1"/>
    <col min="20" max="20" width="6.85546875" style="15" customWidth="1"/>
    <col min="21" max="28" width="7.28515625" style="15" customWidth="1"/>
    <col min="29" max="30" width="8.28515625" style="15" hidden="1" customWidth="1"/>
    <col min="31" max="16384" width="36.5703125" style="15" hidden="1"/>
  </cols>
  <sheetData>
    <row r="1" spans="1:19" s="1085" customFormat="1" ht="45">
      <c r="A1" s="1994" t="s">
        <v>1794</v>
      </c>
      <c r="B1" s="1994" t="s">
        <v>2689</v>
      </c>
      <c r="C1" s="1994" t="s">
        <v>2690</v>
      </c>
      <c r="D1" s="1994" t="s">
        <v>4239</v>
      </c>
      <c r="E1" s="1994" t="s">
        <v>4229</v>
      </c>
      <c r="F1" s="1994" t="s">
        <v>5031</v>
      </c>
      <c r="G1" s="1994" t="s">
        <v>1216</v>
      </c>
      <c r="H1" s="1994" t="s">
        <v>1217</v>
      </c>
      <c r="I1" s="1994" t="str">
        <f>IF(ISNA(VLOOKUP(ZoneNr,BILGR,6,0)),"N",VLOOKUP(ZoneNr,BILGR,6,0))</f>
        <v>N</v>
      </c>
      <c r="J1" s="1994" t="str">
        <f>IF(AND(ZoneNr&gt;5338,ZoneNr&lt;5345),"bxl","N")</f>
        <v>N</v>
      </c>
      <c r="K1" s="1994" t="s">
        <v>5032</v>
      </c>
      <c r="L1" s="2009" t="s">
        <v>5036</v>
      </c>
      <c r="M1" s="1994" t="s">
        <v>3915</v>
      </c>
      <c r="N1" s="1994" t="s">
        <v>3916</v>
      </c>
      <c r="O1" s="1994" t="s">
        <v>5033</v>
      </c>
      <c r="P1" s="1994" t="s">
        <v>5035</v>
      </c>
      <c r="Q1" s="1994" t="s">
        <v>5034</v>
      </c>
      <c r="R1" s="1994" t="s">
        <v>5037</v>
      </c>
      <c r="S1" s="1994" t="s">
        <v>5128</v>
      </c>
    </row>
    <row r="2" spans="1:19" s="1996" customFormat="1" ht="12.75">
      <c r="A2" s="126">
        <v>5267</v>
      </c>
      <c r="B2" s="126" t="s">
        <v>4240</v>
      </c>
      <c r="C2" s="126" t="s">
        <v>4241</v>
      </c>
      <c r="D2" s="1995" t="s">
        <v>4242</v>
      </c>
      <c r="E2" s="2035">
        <v>2</v>
      </c>
      <c r="F2" s="1996" t="s">
        <v>2985</v>
      </c>
      <c r="G2" s="2010" t="s">
        <v>2908</v>
      </c>
      <c r="H2" s="1996">
        <v>11501</v>
      </c>
      <c r="L2" s="2006"/>
      <c r="M2" s="2011">
        <v>5267</v>
      </c>
      <c r="N2" s="2030" t="s">
        <v>3917</v>
      </c>
      <c r="O2" s="2012" t="s">
        <v>4635</v>
      </c>
      <c r="P2" s="2006"/>
      <c r="Q2" s="2012" t="s">
        <v>4636</v>
      </c>
      <c r="R2" s="2012">
        <v>5267</v>
      </c>
      <c r="S2" s="2013">
        <v>793.7</v>
      </c>
    </row>
    <row r="3" spans="1:19" s="1996" customFormat="1" ht="25.5">
      <c r="A3" s="126">
        <v>5268</v>
      </c>
      <c r="B3" s="126" t="s">
        <v>4240</v>
      </c>
      <c r="C3" s="126" t="s">
        <v>4241</v>
      </c>
      <c r="D3" s="1995" t="s">
        <v>3390</v>
      </c>
      <c r="E3" s="2035">
        <v>2</v>
      </c>
      <c r="F3" s="1996" t="s">
        <v>2985</v>
      </c>
      <c r="G3" s="2010" t="s">
        <v>2908</v>
      </c>
      <c r="H3" s="1996">
        <v>11502</v>
      </c>
      <c r="L3" s="2006"/>
      <c r="M3" s="2011">
        <v>5268</v>
      </c>
      <c r="N3" s="2030" t="s">
        <v>3917</v>
      </c>
      <c r="O3" s="2012" t="s">
        <v>4637</v>
      </c>
      <c r="P3" s="2006">
        <v>2020</v>
      </c>
      <c r="Q3" s="2012" t="s">
        <v>4638</v>
      </c>
      <c r="R3" s="2012">
        <v>5268</v>
      </c>
      <c r="S3" s="2013">
        <v>1544.66</v>
      </c>
    </row>
    <row r="4" spans="1:19" s="1996" customFormat="1" ht="12.75">
      <c r="A4" s="126">
        <v>5269</v>
      </c>
      <c r="B4" s="126" t="s">
        <v>4240</v>
      </c>
      <c r="C4" s="126" t="s">
        <v>4241</v>
      </c>
      <c r="D4" s="1995" t="s">
        <v>3391</v>
      </c>
      <c r="E4" s="2035">
        <v>2</v>
      </c>
      <c r="F4" s="1996" t="s">
        <v>2985</v>
      </c>
      <c r="G4" s="2010" t="s">
        <v>2908</v>
      </c>
      <c r="H4" s="1996">
        <v>11503</v>
      </c>
      <c r="L4" s="2006"/>
      <c r="M4" s="2011">
        <v>5269</v>
      </c>
      <c r="N4" s="2030" t="s">
        <v>3917</v>
      </c>
      <c r="O4" s="2012" t="s">
        <v>4639</v>
      </c>
      <c r="P4" s="2006">
        <v>2017</v>
      </c>
      <c r="Q4" s="2012" t="s">
        <v>4640</v>
      </c>
      <c r="R4" s="2012">
        <v>5269</v>
      </c>
      <c r="S4" s="2013">
        <v>1410.14</v>
      </c>
    </row>
    <row r="5" spans="1:19" s="1996" customFormat="1" ht="22.5">
      <c r="A5" s="126">
        <v>5270</v>
      </c>
      <c r="B5" s="126" t="s">
        <v>4240</v>
      </c>
      <c r="C5" s="126" t="s">
        <v>4241</v>
      </c>
      <c r="D5" s="1995" t="s">
        <v>1442</v>
      </c>
      <c r="E5" s="2035">
        <v>2</v>
      </c>
      <c r="F5" s="1996" t="s">
        <v>2985</v>
      </c>
      <c r="G5" s="2010" t="s">
        <v>2908</v>
      </c>
      <c r="H5" s="1996">
        <v>11504</v>
      </c>
      <c r="L5" s="2006"/>
      <c r="M5" s="2011">
        <v>5270</v>
      </c>
      <c r="N5" s="2030" t="s">
        <v>3917</v>
      </c>
      <c r="O5" s="2012" t="s">
        <v>4641</v>
      </c>
      <c r="P5" s="2006">
        <v>2017</v>
      </c>
      <c r="Q5" s="2012" t="s">
        <v>4642</v>
      </c>
      <c r="R5" s="2012">
        <v>5270</v>
      </c>
      <c r="S5" s="2013">
        <v>1799.17</v>
      </c>
    </row>
    <row r="6" spans="1:19" s="1996" customFormat="1" ht="12.75">
      <c r="A6" s="126">
        <v>5271</v>
      </c>
      <c r="B6" s="126" t="s">
        <v>4240</v>
      </c>
      <c r="C6" s="126" t="s">
        <v>4241</v>
      </c>
      <c r="D6" s="1995" t="s">
        <v>1443</v>
      </c>
      <c r="E6" s="2035">
        <v>2</v>
      </c>
      <c r="F6" s="1996" t="s">
        <v>2985</v>
      </c>
      <c r="G6" s="2010" t="s">
        <v>2908</v>
      </c>
      <c r="H6" s="1996">
        <v>11505</v>
      </c>
      <c r="L6" s="2006"/>
      <c r="M6" s="2011">
        <v>5271</v>
      </c>
      <c r="N6" s="2030" t="s">
        <v>3917</v>
      </c>
      <c r="O6" s="2012" t="s">
        <v>4643</v>
      </c>
      <c r="P6" s="2006">
        <v>2017</v>
      </c>
      <c r="Q6" s="2012" t="s">
        <v>4644</v>
      </c>
      <c r="R6" s="2012">
        <v>5271</v>
      </c>
      <c r="S6" s="2013">
        <v>1348.62</v>
      </c>
    </row>
    <row r="7" spans="1:19" s="1996" customFormat="1" ht="25.5">
      <c r="A7" s="126">
        <v>5272</v>
      </c>
      <c r="B7" s="126" t="s">
        <v>4240</v>
      </c>
      <c r="C7" s="126" t="s">
        <v>4241</v>
      </c>
      <c r="D7" s="1995" t="s">
        <v>1444</v>
      </c>
      <c r="E7" s="2035">
        <v>1</v>
      </c>
      <c r="F7" s="1996" t="s">
        <v>2985</v>
      </c>
      <c r="G7" s="2010" t="s">
        <v>2908</v>
      </c>
      <c r="H7" s="1996">
        <v>11506</v>
      </c>
      <c r="L7" s="2006"/>
      <c r="M7" s="2011">
        <v>5272</v>
      </c>
      <c r="N7" s="2030" t="s">
        <v>3918</v>
      </c>
      <c r="O7" s="2012" t="s">
        <v>4645</v>
      </c>
      <c r="P7" s="2006">
        <v>2015</v>
      </c>
      <c r="Q7" s="2012" t="s">
        <v>4646</v>
      </c>
      <c r="R7" s="2012">
        <v>5272</v>
      </c>
      <c r="S7" s="2013">
        <v>1362.64</v>
      </c>
    </row>
    <row r="8" spans="1:19" s="1996" customFormat="1" ht="12.75">
      <c r="A8" s="126">
        <v>5273</v>
      </c>
      <c r="B8" s="126" t="s">
        <v>4240</v>
      </c>
      <c r="C8" s="126" t="s">
        <v>4241</v>
      </c>
      <c r="D8" s="1995" t="s">
        <v>1445</v>
      </c>
      <c r="E8" s="2035">
        <v>2</v>
      </c>
      <c r="F8" s="1996" t="s">
        <v>2985</v>
      </c>
      <c r="G8" s="2010" t="s">
        <v>2908</v>
      </c>
      <c r="H8" s="1996">
        <v>11507</v>
      </c>
      <c r="L8" s="2006"/>
      <c r="M8" s="2011">
        <v>5273</v>
      </c>
      <c r="N8" s="2030" t="s">
        <v>3917</v>
      </c>
      <c r="O8" s="2012" t="s">
        <v>4647</v>
      </c>
      <c r="P8" s="2006">
        <v>2020</v>
      </c>
      <c r="Q8" s="2012" t="s">
        <v>4648</v>
      </c>
      <c r="R8" s="2012">
        <v>5273</v>
      </c>
      <c r="S8" s="2013">
        <v>1167.1099999999999</v>
      </c>
    </row>
    <row r="9" spans="1:19" s="1996" customFormat="1" ht="12.75">
      <c r="A9" s="126">
        <v>5274</v>
      </c>
      <c r="B9" s="126" t="s">
        <v>4240</v>
      </c>
      <c r="C9" s="126" t="s">
        <v>4241</v>
      </c>
      <c r="D9" s="1995" t="s">
        <v>1446</v>
      </c>
      <c r="E9" s="2035">
        <v>2</v>
      </c>
      <c r="F9" s="1996" t="s">
        <v>2985</v>
      </c>
      <c r="G9" s="2010" t="s">
        <v>2908</v>
      </c>
      <c r="H9" s="1996">
        <v>11508</v>
      </c>
      <c r="L9" s="2006"/>
      <c r="M9" s="2011">
        <v>5274</v>
      </c>
      <c r="N9" s="2030" t="s">
        <v>3917</v>
      </c>
      <c r="O9" s="2012" t="s">
        <v>4649</v>
      </c>
      <c r="P9" s="2006">
        <v>2019</v>
      </c>
      <c r="Q9" s="2012" t="s">
        <v>4650</v>
      </c>
      <c r="R9" s="2012">
        <v>5274</v>
      </c>
      <c r="S9" s="2013">
        <v>1186.8599999999999</v>
      </c>
    </row>
    <row r="10" spans="1:19" s="1996" customFormat="1" ht="25.5">
      <c r="A10" s="126">
        <v>5275</v>
      </c>
      <c r="B10" s="126" t="s">
        <v>4240</v>
      </c>
      <c r="C10" s="126" t="s">
        <v>4241</v>
      </c>
      <c r="D10" s="1995" t="s">
        <v>1447</v>
      </c>
      <c r="E10" s="2035">
        <v>2</v>
      </c>
      <c r="F10" s="1996" t="s">
        <v>2985</v>
      </c>
      <c r="G10" s="2010" t="s">
        <v>2908</v>
      </c>
      <c r="H10" s="1996">
        <v>11509</v>
      </c>
      <c r="L10" s="2006"/>
      <c r="M10" s="2011">
        <v>5275</v>
      </c>
      <c r="N10" s="2030" t="s">
        <v>3917</v>
      </c>
      <c r="O10" s="2012" t="s">
        <v>4651</v>
      </c>
      <c r="P10" s="2006"/>
      <c r="Q10" s="2012" t="s">
        <v>4652</v>
      </c>
      <c r="R10" s="2012">
        <v>5275</v>
      </c>
      <c r="S10" s="2013">
        <v>2491.4499999999998</v>
      </c>
    </row>
    <row r="11" spans="1:19" s="1996" customFormat="1" ht="12.75">
      <c r="A11" s="126">
        <v>5276</v>
      </c>
      <c r="B11" s="126" t="s">
        <v>4240</v>
      </c>
      <c r="C11" s="126" t="s">
        <v>4241</v>
      </c>
      <c r="D11" s="1995" t="s">
        <v>2282</v>
      </c>
      <c r="E11" s="2035">
        <v>1</v>
      </c>
      <c r="F11" s="1996" t="s">
        <v>2985</v>
      </c>
      <c r="G11" s="2010" t="s">
        <v>2908</v>
      </c>
      <c r="H11" s="1996">
        <v>11510</v>
      </c>
      <c r="L11" s="2006"/>
      <c r="M11" s="2011">
        <v>5276</v>
      </c>
      <c r="N11" s="2030" t="s">
        <v>3918</v>
      </c>
      <c r="O11" s="2012" t="s">
        <v>5044</v>
      </c>
      <c r="P11" s="2006">
        <v>2019</v>
      </c>
      <c r="Q11" s="2012" t="s">
        <v>4653</v>
      </c>
      <c r="R11" s="2012">
        <v>5276</v>
      </c>
      <c r="S11" s="2013">
        <v>1582</v>
      </c>
    </row>
    <row r="12" spans="1:19" s="1996" customFormat="1" ht="12.75">
      <c r="A12" s="126">
        <v>5277</v>
      </c>
      <c r="B12" s="126" t="s">
        <v>4240</v>
      </c>
      <c r="C12" s="126" t="s">
        <v>2283</v>
      </c>
      <c r="D12" s="1995" t="s">
        <v>2283</v>
      </c>
      <c r="E12" s="2035">
        <v>5</v>
      </c>
      <c r="F12" s="1996" t="s">
        <v>2985</v>
      </c>
      <c r="G12" s="2010" t="s">
        <v>1277</v>
      </c>
      <c r="H12" s="1996">
        <v>11511</v>
      </c>
      <c r="L12" s="2006"/>
      <c r="M12" s="2011">
        <v>5277</v>
      </c>
      <c r="N12" s="2030" t="s">
        <v>3919</v>
      </c>
      <c r="O12" s="2012" t="s">
        <v>4654</v>
      </c>
      <c r="P12" s="2006">
        <v>2019</v>
      </c>
      <c r="Q12" s="2012" t="s">
        <v>4655</v>
      </c>
      <c r="R12" s="2012">
        <v>5277</v>
      </c>
      <c r="S12" s="2013">
        <v>3467.17</v>
      </c>
    </row>
    <row r="13" spans="1:19" s="1996" customFormat="1" ht="12.75">
      <c r="A13" s="126">
        <v>5278</v>
      </c>
      <c r="B13" s="126" t="s">
        <v>4240</v>
      </c>
      <c r="C13" s="126" t="s">
        <v>2283</v>
      </c>
      <c r="D13" s="1995" t="s">
        <v>2284</v>
      </c>
      <c r="E13" s="2035">
        <v>3</v>
      </c>
      <c r="F13" s="1996" t="s">
        <v>2985</v>
      </c>
      <c r="G13" s="2010" t="s">
        <v>1277</v>
      </c>
      <c r="H13" s="1996">
        <v>11512</v>
      </c>
      <c r="L13" s="2006"/>
      <c r="M13" s="2011">
        <v>5278</v>
      </c>
      <c r="N13" s="2030" t="s">
        <v>89</v>
      </c>
      <c r="O13" s="2012" t="s">
        <v>4656</v>
      </c>
      <c r="P13" s="2006">
        <v>2015</v>
      </c>
      <c r="Q13" s="2012" t="s">
        <v>4657</v>
      </c>
      <c r="R13" s="2012">
        <v>5278</v>
      </c>
      <c r="S13" s="2013">
        <v>1216.06</v>
      </c>
    </row>
    <row r="14" spans="1:19" s="1996" customFormat="1" ht="12.75">
      <c r="A14" s="126">
        <v>5279</v>
      </c>
      <c r="B14" s="126" t="s">
        <v>4240</v>
      </c>
      <c r="C14" s="126" t="s">
        <v>2283</v>
      </c>
      <c r="D14" s="1995" t="s">
        <v>2285</v>
      </c>
      <c r="E14" s="2035">
        <v>2</v>
      </c>
      <c r="F14" s="1996" t="s">
        <v>2985</v>
      </c>
      <c r="G14" s="2010" t="s">
        <v>1277</v>
      </c>
      <c r="H14" s="1996">
        <v>11513</v>
      </c>
      <c r="L14" s="2006"/>
      <c r="M14" s="2011">
        <v>5279</v>
      </c>
      <c r="N14" s="2030" t="s">
        <v>3917</v>
      </c>
      <c r="O14" s="2012" t="s">
        <v>4658</v>
      </c>
      <c r="P14" s="2006">
        <v>2019</v>
      </c>
      <c r="Q14" s="2012" t="s">
        <v>4659</v>
      </c>
      <c r="R14" s="2012">
        <v>5279</v>
      </c>
      <c r="S14" s="2013">
        <v>1992.55</v>
      </c>
    </row>
    <row r="15" spans="1:19" s="1996" customFormat="1" ht="25.5">
      <c r="A15" s="126">
        <v>5280</v>
      </c>
      <c r="B15" s="126" t="s">
        <v>4240</v>
      </c>
      <c r="C15" s="126" t="s">
        <v>2283</v>
      </c>
      <c r="D15" s="1995" t="s">
        <v>2286</v>
      </c>
      <c r="E15" s="2035">
        <v>2</v>
      </c>
      <c r="F15" s="1996" t="s">
        <v>2985</v>
      </c>
      <c r="G15" s="2010" t="s">
        <v>1277</v>
      </c>
      <c r="H15" s="1996">
        <v>11514</v>
      </c>
      <c r="L15" s="2006"/>
      <c r="M15" s="2011">
        <v>5280</v>
      </c>
      <c r="N15" s="2030" t="s">
        <v>3917</v>
      </c>
      <c r="O15" s="2012" t="s">
        <v>4660</v>
      </c>
      <c r="P15" s="2006">
        <v>2015</v>
      </c>
      <c r="Q15" s="2012" t="s">
        <v>4661</v>
      </c>
      <c r="R15" s="2012">
        <v>5280</v>
      </c>
      <c r="S15" s="2013">
        <v>520.15</v>
      </c>
    </row>
    <row r="16" spans="1:19" s="1996" customFormat="1" ht="12.75">
      <c r="A16" s="126">
        <v>5281</v>
      </c>
      <c r="B16" s="126" t="s">
        <v>4240</v>
      </c>
      <c r="C16" s="126" t="s">
        <v>2283</v>
      </c>
      <c r="D16" s="1995" t="s">
        <v>1371</v>
      </c>
      <c r="E16" s="2035">
        <v>3</v>
      </c>
      <c r="F16" s="1996" t="s">
        <v>2985</v>
      </c>
      <c r="G16" s="2010" t="s">
        <v>1277</v>
      </c>
      <c r="H16" s="1996">
        <v>11515</v>
      </c>
      <c r="L16" s="2006"/>
      <c r="M16" s="2011">
        <v>5281</v>
      </c>
      <c r="N16" s="2030" t="s">
        <v>89</v>
      </c>
      <c r="O16" s="2012" t="s">
        <v>4662</v>
      </c>
      <c r="P16" s="2006">
        <v>2017</v>
      </c>
      <c r="Q16" s="2012" t="s">
        <v>4663</v>
      </c>
      <c r="R16" s="2012">
        <v>5281</v>
      </c>
      <c r="S16" s="2013">
        <v>4348.74</v>
      </c>
    </row>
    <row r="17" spans="1:19" s="1996" customFormat="1" ht="12.75">
      <c r="A17" s="126">
        <v>5282</v>
      </c>
      <c r="B17" s="126" t="s">
        <v>4240</v>
      </c>
      <c r="C17" s="126" t="s">
        <v>2283</v>
      </c>
      <c r="D17" s="1995" t="s">
        <v>1372</v>
      </c>
      <c r="E17" s="2035">
        <v>2</v>
      </c>
      <c r="F17" s="1996" t="s">
        <v>2985</v>
      </c>
      <c r="G17" s="2010" t="s">
        <v>1277</v>
      </c>
      <c r="H17" s="1996">
        <v>11516</v>
      </c>
      <c r="L17" s="2006"/>
      <c r="M17" s="2011">
        <v>5282</v>
      </c>
      <c r="N17" s="2030" t="s">
        <v>3917</v>
      </c>
      <c r="O17" s="2012" t="s">
        <v>4664</v>
      </c>
      <c r="P17" s="2006">
        <v>2015</v>
      </c>
      <c r="Q17" s="2012" t="s">
        <v>4665</v>
      </c>
      <c r="R17" s="2012">
        <v>5282</v>
      </c>
      <c r="S17" s="2013">
        <v>1122.67</v>
      </c>
    </row>
    <row r="18" spans="1:19" s="1996" customFormat="1" ht="38.25">
      <c r="A18" s="126">
        <v>5283</v>
      </c>
      <c r="B18" s="126" t="s">
        <v>4240</v>
      </c>
      <c r="C18" s="126" t="s">
        <v>2283</v>
      </c>
      <c r="D18" s="1995" t="s">
        <v>3210</v>
      </c>
      <c r="E18" s="2035">
        <v>2</v>
      </c>
      <c r="F18" s="1996" t="s">
        <v>2985</v>
      </c>
      <c r="G18" s="2010" t="s">
        <v>1277</v>
      </c>
      <c r="H18" s="1996">
        <v>11517</v>
      </c>
      <c r="L18" s="2006"/>
      <c r="M18" s="2011">
        <v>5283</v>
      </c>
      <c r="N18" s="2030" t="s">
        <v>3917</v>
      </c>
      <c r="O18" s="2012" t="s">
        <v>4666</v>
      </c>
      <c r="P18" s="2006">
        <v>2019</v>
      </c>
      <c r="Q18" s="2012" t="s">
        <v>4667</v>
      </c>
      <c r="R18" s="2012">
        <v>5283</v>
      </c>
      <c r="S18" s="2013">
        <v>2378.6799999999998</v>
      </c>
    </row>
    <row r="19" spans="1:19" s="1996" customFormat="1" ht="12.75">
      <c r="A19" s="126">
        <v>5284</v>
      </c>
      <c r="B19" s="126" t="s">
        <v>4240</v>
      </c>
      <c r="C19" s="126" t="s">
        <v>2283</v>
      </c>
      <c r="D19" s="1995" t="s">
        <v>3211</v>
      </c>
      <c r="E19" s="2035">
        <v>2</v>
      </c>
      <c r="F19" s="1996" t="s">
        <v>2985</v>
      </c>
      <c r="G19" s="2010" t="s">
        <v>1277</v>
      </c>
      <c r="H19" s="1996">
        <v>11518</v>
      </c>
      <c r="L19" s="2006"/>
      <c r="M19" s="2011">
        <v>5284</v>
      </c>
      <c r="N19" s="2030" t="s">
        <v>3917</v>
      </c>
      <c r="O19" s="2012" t="s">
        <v>4668</v>
      </c>
      <c r="P19" s="2006">
        <v>2017</v>
      </c>
      <c r="Q19" s="2012" t="s">
        <v>4669</v>
      </c>
      <c r="R19" s="2012">
        <v>5284</v>
      </c>
      <c r="S19" s="2013">
        <v>3142.52</v>
      </c>
    </row>
    <row r="20" spans="1:19" s="1996" customFormat="1" ht="25.5">
      <c r="A20" s="126">
        <v>5285</v>
      </c>
      <c r="B20" s="126" t="s">
        <v>4240</v>
      </c>
      <c r="C20" s="126" t="s">
        <v>2283</v>
      </c>
      <c r="D20" s="1995" t="s">
        <v>3212</v>
      </c>
      <c r="E20" s="2035">
        <v>2</v>
      </c>
      <c r="F20" s="1996" t="s">
        <v>2985</v>
      </c>
      <c r="G20" s="2010" t="s">
        <v>1277</v>
      </c>
      <c r="H20" s="1996">
        <v>11519</v>
      </c>
      <c r="L20" s="2006"/>
      <c r="M20" s="2011">
        <v>5285</v>
      </c>
      <c r="N20" s="2030" t="s">
        <v>3917</v>
      </c>
      <c r="O20" s="2012" t="s">
        <v>4670</v>
      </c>
      <c r="P20" s="2006">
        <v>2019</v>
      </c>
      <c r="Q20" s="2012" t="s">
        <v>4671</v>
      </c>
      <c r="R20" s="2012">
        <v>5285</v>
      </c>
      <c r="S20" s="2013">
        <v>306.47000000000003</v>
      </c>
    </row>
    <row r="21" spans="1:19" s="1996" customFormat="1" ht="22.5">
      <c r="A21" s="126">
        <v>5286</v>
      </c>
      <c r="B21" s="126" t="s">
        <v>4240</v>
      </c>
      <c r="C21" s="126" t="s">
        <v>2283</v>
      </c>
      <c r="D21" s="1995" t="s">
        <v>3941</v>
      </c>
      <c r="E21" s="2035">
        <v>2</v>
      </c>
      <c r="F21" s="1996" t="s">
        <v>2985</v>
      </c>
      <c r="G21" s="2010" t="s">
        <v>1277</v>
      </c>
      <c r="H21" s="1996">
        <v>11520</v>
      </c>
      <c r="L21" s="2006"/>
      <c r="M21" s="2011">
        <v>5286</v>
      </c>
      <c r="N21" s="2030" t="s">
        <v>3917</v>
      </c>
      <c r="O21" s="2012" t="s">
        <v>4672</v>
      </c>
      <c r="P21" s="2006">
        <v>2017</v>
      </c>
      <c r="Q21" s="2012" t="s">
        <v>4673</v>
      </c>
      <c r="R21" s="2012">
        <v>5286</v>
      </c>
      <c r="S21" s="2013">
        <v>591.14</v>
      </c>
    </row>
    <row r="22" spans="1:19" s="1996" customFormat="1" ht="12.75">
      <c r="A22" s="126">
        <v>5287</v>
      </c>
      <c r="B22" s="126" t="s">
        <v>4240</v>
      </c>
      <c r="C22" s="126" t="s">
        <v>2283</v>
      </c>
      <c r="D22" s="1995" t="s">
        <v>903</v>
      </c>
      <c r="E22" s="2035">
        <v>2</v>
      </c>
      <c r="F22" s="1996" t="s">
        <v>2985</v>
      </c>
      <c r="G22" s="2010" t="s">
        <v>1277</v>
      </c>
      <c r="H22" s="1996">
        <v>11521</v>
      </c>
      <c r="L22" s="2006"/>
      <c r="M22" s="2011">
        <v>5287</v>
      </c>
      <c r="N22" s="2030" t="s">
        <v>3917</v>
      </c>
      <c r="O22" s="2012" t="s">
        <v>4674</v>
      </c>
      <c r="P22" s="2006">
        <v>2015</v>
      </c>
      <c r="Q22" s="2012" t="s">
        <v>4675</v>
      </c>
      <c r="R22" s="2012">
        <v>5287</v>
      </c>
      <c r="S22" s="2013">
        <v>409.79</v>
      </c>
    </row>
    <row r="23" spans="1:19" s="1996" customFormat="1" ht="22.5">
      <c r="A23" s="126">
        <v>5288</v>
      </c>
      <c r="B23" s="126" t="s">
        <v>4240</v>
      </c>
      <c r="C23" s="126" t="s">
        <v>2283</v>
      </c>
      <c r="D23" s="1995" t="s">
        <v>2718</v>
      </c>
      <c r="E23" s="2035">
        <v>2</v>
      </c>
      <c r="F23" s="1996" t="s">
        <v>2985</v>
      </c>
      <c r="G23" s="2010" t="s">
        <v>1277</v>
      </c>
      <c r="H23" s="1996">
        <v>11522</v>
      </c>
      <c r="L23" s="2006"/>
      <c r="M23" s="2011">
        <v>5288</v>
      </c>
      <c r="N23" s="2030" t="s">
        <v>3917</v>
      </c>
      <c r="O23" s="2012" t="s">
        <v>4676</v>
      </c>
      <c r="P23" s="2006"/>
      <c r="Q23" s="2012" t="s">
        <v>4677</v>
      </c>
      <c r="R23" s="2012">
        <v>5288</v>
      </c>
      <c r="S23" s="2013">
        <v>276.89999999999998</v>
      </c>
    </row>
    <row r="24" spans="1:19" s="1996" customFormat="1" ht="25.5">
      <c r="A24" s="126">
        <v>5289</v>
      </c>
      <c r="B24" s="126" t="s">
        <v>4240</v>
      </c>
      <c r="C24" s="126" t="s">
        <v>2283</v>
      </c>
      <c r="D24" s="1995" t="s">
        <v>242</v>
      </c>
      <c r="E24" s="2035">
        <v>3</v>
      </c>
      <c r="F24" s="1996" t="s">
        <v>2985</v>
      </c>
      <c r="G24" s="2010" t="s">
        <v>1277</v>
      </c>
      <c r="H24" s="1996">
        <v>11523</v>
      </c>
      <c r="L24" s="2006"/>
      <c r="M24" s="2011">
        <v>5289</v>
      </c>
      <c r="N24" s="2030" t="s">
        <v>89</v>
      </c>
      <c r="O24" s="2012" t="s">
        <v>4678</v>
      </c>
      <c r="P24" s="2006">
        <v>2019</v>
      </c>
      <c r="Q24" s="2012" t="s">
        <v>4679</v>
      </c>
      <c r="R24" s="2012">
        <v>5289</v>
      </c>
      <c r="S24" s="2013">
        <v>4170.1099999999997</v>
      </c>
    </row>
    <row r="25" spans="1:19" s="1996" customFormat="1" ht="22.5">
      <c r="A25" s="126">
        <v>5290</v>
      </c>
      <c r="B25" s="126" t="s">
        <v>4240</v>
      </c>
      <c r="C25" s="126" t="s">
        <v>2283</v>
      </c>
      <c r="D25" s="1995" t="s">
        <v>4233</v>
      </c>
      <c r="E25" s="2036">
        <v>2</v>
      </c>
      <c r="F25" s="1996" t="s">
        <v>2985</v>
      </c>
      <c r="G25" s="2010" t="s">
        <v>1277</v>
      </c>
      <c r="H25" s="1996">
        <v>11524</v>
      </c>
      <c r="L25" s="2006"/>
      <c r="M25" s="2011">
        <v>5290</v>
      </c>
      <c r="N25" s="2030" t="s">
        <v>3917</v>
      </c>
      <c r="O25" s="2012" t="s">
        <v>4680</v>
      </c>
      <c r="P25" s="2006">
        <v>2018</v>
      </c>
      <c r="Q25" s="2012" t="s">
        <v>4681</v>
      </c>
      <c r="R25" s="2012">
        <v>5290</v>
      </c>
      <c r="S25" s="2013">
        <v>340.74</v>
      </c>
    </row>
    <row r="26" spans="1:19" s="1996" customFormat="1" ht="22.5">
      <c r="A26" s="126">
        <v>5291</v>
      </c>
      <c r="B26" s="126" t="s">
        <v>4240</v>
      </c>
      <c r="C26" s="126" t="s">
        <v>2283</v>
      </c>
      <c r="D26" s="1997" t="s">
        <v>2</v>
      </c>
      <c r="E26" s="2035">
        <v>1</v>
      </c>
      <c r="F26" s="1998" t="s">
        <v>931</v>
      </c>
      <c r="G26" s="2010" t="s">
        <v>1277</v>
      </c>
      <c r="H26" s="1996">
        <v>11525</v>
      </c>
      <c r="L26" s="2006"/>
      <c r="M26" s="2011">
        <v>5291</v>
      </c>
      <c r="N26" s="2030" t="s">
        <v>3918</v>
      </c>
      <c r="O26" s="2012" t="s">
        <v>4682</v>
      </c>
      <c r="P26" s="2006">
        <v>2017</v>
      </c>
      <c r="Q26" s="2012" t="s">
        <v>4683</v>
      </c>
      <c r="R26" s="2012">
        <v>5291</v>
      </c>
      <c r="S26" s="2013">
        <v>0</v>
      </c>
    </row>
    <row r="27" spans="1:19" s="1996" customFormat="1" ht="12.75">
      <c r="A27" s="126">
        <v>5292</v>
      </c>
      <c r="B27" s="126" t="s">
        <v>4240</v>
      </c>
      <c r="C27" s="126" t="s">
        <v>2283</v>
      </c>
      <c r="D27" s="1997" t="s">
        <v>2803</v>
      </c>
      <c r="E27" s="2035">
        <v>2</v>
      </c>
      <c r="F27" s="1998" t="s">
        <v>931</v>
      </c>
      <c r="G27" s="2010" t="s">
        <v>1277</v>
      </c>
      <c r="H27" s="1996">
        <v>11526</v>
      </c>
      <c r="L27" s="2006"/>
      <c r="M27" s="2011">
        <v>5292</v>
      </c>
      <c r="N27" s="2030" t="s">
        <v>3917</v>
      </c>
      <c r="O27" s="2012" t="s">
        <v>4684</v>
      </c>
      <c r="P27" s="2006">
        <v>2016</v>
      </c>
      <c r="Q27" s="2012" t="s">
        <v>4685</v>
      </c>
      <c r="R27" s="2012">
        <v>5292</v>
      </c>
      <c r="S27" s="2013">
        <v>1525.88</v>
      </c>
    </row>
    <row r="28" spans="1:19" s="1996" customFormat="1" ht="22.5">
      <c r="A28" s="126">
        <v>5293</v>
      </c>
      <c r="B28" s="126" t="s">
        <v>4240</v>
      </c>
      <c r="C28" s="126" t="s">
        <v>2283</v>
      </c>
      <c r="D28" s="1995" t="s">
        <v>2804</v>
      </c>
      <c r="E28" s="2037">
        <v>2</v>
      </c>
      <c r="F28" s="1996" t="s">
        <v>2985</v>
      </c>
      <c r="G28" s="2010" t="s">
        <v>1277</v>
      </c>
      <c r="H28" s="1996">
        <v>11527</v>
      </c>
      <c r="L28" s="2006"/>
      <c r="M28" s="2011">
        <v>5293</v>
      </c>
      <c r="N28" s="2030" t="s">
        <v>3918</v>
      </c>
      <c r="O28" s="2012" t="s">
        <v>4686</v>
      </c>
      <c r="P28" s="2006">
        <v>2016</v>
      </c>
      <c r="Q28" s="2012" t="s">
        <v>4687</v>
      </c>
      <c r="R28" s="2012">
        <v>5293</v>
      </c>
      <c r="S28" s="2013">
        <v>1049.6600000000001</v>
      </c>
    </row>
    <row r="29" spans="1:19" s="1996" customFormat="1" ht="38.25">
      <c r="A29" s="126">
        <v>5294</v>
      </c>
      <c r="B29" s="126" t="s">
        <v>4240</v>
      </c>
      <c r="C29" s="126" t="s">
        <v>2283</v>
      </c>
      <c r="D29" s="1995" t="s">
        <v>1466</v>
      </c>
      <c r="E29" s="2035">
        <v>2</v>
      </c>
      <c r="F29" s="1996" t="s">
        <v>2985</v>
      </c>
      <c r="G29" s="2010" t="s">
        <v>1277</v>
      </c>
      <c r="H29" s="1996">
        <v>11528</v>
      </c>
      <c r="L29" s="2006"/>
      <c r="M29" s="2011">
        <v>5294</v>
      </c>
      <c r="N29" s="2030" t="s">
        <v>3917</v>
      </c>
      <c r="O29" s="2012" t="s">
        <v>4688</v>
      </c>
      <c r="P29" s="2006">
        <v>2017</v>
      </c>
      <c r="Q29" s="2012" t="s">
        <v>4689</v>
      </c>
      <c r="R29" s="2012">
        <v>5294</v>
      </c>
      <c r="S29" s="2013">
        <v>797.25</v>
      </c>
    </row>
    <row r="30" spans="1:19" s="1996" customFormat="1" ht="12.75">
      <c r="A30" s="126">
        <v>5295</v>
      </c>
      <c r="B30" s="126" t="s">
        <v>4240</v>
      </c>
      <c r="C30" s="126" t="s">
        <v>2283</v>
      </c>
      <c r="D30" s="1995" t="s">
        <v>1467</v>
      </c>
      <c r="E30" s="2035">
        <v>2</v>
      </c>
      <c r="F30" s="1996" t="s">
        <v>2985</v>
      </c>
      <c r="G30" s="2010" t="s">
        <v>1277</v>
      </c>
      <c r="H30" s="1996">
        <v>11529</v>
      </c>
      <c r="L30" s="2006"/>
      <c r="M30" s="2011">
        <v>5295</v>
      </c>
      <c r="N30" s="2030" t="s">
        <v>3917</v>
      </c>
      <c r="O30" s="2012" t="s">
        <v>4690</v>
      </c>
      <c r="P30" s="2006">
        <v>2017</v>
      </c>
      <c r="Q30" s="2012" t="s">
        <v>4691</v>
      </c>
      <c r="R30" s="2012">
        <v>5295</v>
      </c>
      <c r="S30" s="2013">
        <v>1035.56</v>
      </c>
    </row>
    <row r="31" spans="1:19" s="1996" customFormat="1" ht="22.5">
      <c r="A31" s="126">
        <v>5296</v>
      </c>
      <c r="B31" s="126" t="s">
        <v>4240</v>
      </c>
      <c r="C31" s="126" t="s">
        <v>2283</v>
      </c>
      <c r="D31" s="1995" t="s">
        <v>1468</v>
      </c>
      <c r="E31" s="2035">
        <v>2</v>
      </c>
      <c r="F31" s="1996" t="s">
        <v>2985</v>
      </c>
      <c r="G31" s="2010" t="s">
        <v>1277</v>
      </c>
      <c r="H31" s="1996">
        <v>11530</v>
      </c>
      <c r="L31" s="2006"/>
      <c r="M31" s="2011">
        <v>5296</v>
      </c>
      <c r="N31" s="2030" t="s">
        <v>3917</v>
      </c>
      <c r="O31" s="2012" t="s">
        <v>4692</v>
      </c>
      <c r="P31" s="2006">
        <v>2019</v>
      </c>
      <c r="Q31" s="2012" t="s">
        <v>4693</v>
      </c>
      <c r="R31" s="2012">
        <v>5296</v>
      </c>
      <c r="S31" s="2013">
        <v>1295</v>
      </c>
    </row>
    <row r="32" spans="1:19" s="1996" customFormat="1" ht="25.5">
      <c r="A32" s="126">
        <v>5297</v>
      </c>
      <c r="B32" s="126" t="s">
        <v>4240</v>
      </c>
      <c r="C32" s="126" t="s">
        <v>1469</v>
      </c>
      <c r="D32" s="1995" t="s">
        <v>1470</v>
      </c>
      <c r="E32" s="2035">
        <v>2</v>
      </c>
      <c r="F32" s="1996" t="s">
        <v>2985</v>
      </c>
      <c r="G32" s="2010" t="s">
        <v>1277</v>
      </c>
      <c r="H32" s="1996">
        <v>11531</v>
      </c>
      <c r="L32" s="2006"/>
      <c r="M32" s="2011">
        <v>5297</v>
      </c>
      <c r="N32" s="2030" t="s">
        <v>3917</v>
      </c>
      <c r="O32" s="2012" t="s">
        <v>4694</v>
      </c>
      <c r="P32" s="2006">
        <v>2017</v>
      </c>
      <c r="Q32" s="2012" t="s">
        <v>4695</v>
      </c>
      <c r="R32" s="2012">
        <v>5297</v>
      </c>
      <c r="S32" s="2013">
        <v>1487.76</v>
      </c>
    </row>
    <row r="33" spans="1:19" s="1996" customFormat="1" ht="12.75">
      <c r="A33" s="126">
        <v>5298</v>
      </c>
      <c r="B33" s="126" t="s">
        <v>4240</v>
      </c>
      <c r="C33" s="126" t="s">
        <v>1469</v>
      </c>
      <c r="D33" s="1995" t="s">
        <v>3483</v>
      </c>
      <c r="E33" s="2035">
        <v>2</v>
      </c>
      <c r="F33" s="1996" t="s">
        <v>2985</v>
      </c>
      <c r="G33" s="2010" t="s">
        <v>1277</v>
      </c>
      <c r="H33" s="1996">
        <v>11532</v>
      </c>
      <c r="L33" s="2006"/>
      <c r="M33" s="2011">
        <v>5298</v>
      </c>
      <c r="N33" s="2030" t="s">
        <v>3917</v>
      </c>
      <c r="O33" s="2012" t="s">
        <v>4696</v>
      </c>
      <c r="P33" s="2006">
        <v>2014</v>
      </c>
      <c r="Q33" s="2012" t="s">
        <v>4697</v>
      </c>
      <c r="R33" s="2012">
        <v>5298</v>
      </c>
      <c r="S33" s="2013">
        <v>559.72</v>
      </c>
    </row>
    <row r="34" spans="1:19" s="1996" customFormat="1" ht="22.5">
      <c r="A34" s="126">
        <v>5299</v>
      </c>
      <c r="B34" s="126" t="s">
        <v>4240</v>
      </c>
      <c r="C34" s="126" t="s">
        <v>1469</v>
      </c>
      <c r="D34" s="1995" t="s">
        <v>3484</v>
      </c>
      <c r="E34" s="2035">
        <v>2</v>
      </c>
      <c r="F34" s="1996" t="s">
        <v>2985</v>
      </c>
      <c r="G34" s="2010" t="s">
        <v>1277</v>
      </c>
      <c r="H34" s="1996">
        <v>11533</v>
      </c>
      <c r="L34" s="2006"/>
      <c r="M34" s="2011">
        <v>5299</v>
      </c>
      <c r="N34" s="2030" t="s">
        <v>3917</v>
      </c>
      <c r="O34" s="2012" t="s">
        <v>4698</v>
      </c>
      <c r="P34" s="2006">
        <v>2014</v>
      </c>
      <c r="Q34" s="2012" t="s">
        <v>4699</v>
      </c>
      <c r="R34" s="2012">
        <v>5299</v>
      </c>
      <c r="S34" s="2013">
        <v>131.72</v>
      </c>
    </row>
    <row r="35" spans="1:19" s="1996" customFormat="1" ht="33.75">
      <c r="A35" s="126">
        <v>5300</v>
      </c>
      <c r="B35" s="126" t="s">
        <v>4240</v>
      </c>
      <c r="C35" s="126" t="s">
        <v>1469</v>
      </c>
      <c r="D35" s="1995" t="s">
        <v>3754</v>
      </c>
      <c r="E35" s="2035">
        <v>3</v>
      </c>
      <c r="F35" s="1996" t="s">
        <v>2985</v>
      </c>
      <c r="G35" s="2010" t="s">
        <v>1277</v>
      </c>
      <c r="H35" s="1996">
        <v>11534</v>
      </c>
      <c r="L35" s="2006"/>
      <c r="M35" s="2011">
        <v>5300</v>
      </c>
      <c r="N35" s="2030" t="s">
        <v>89</v>
      </c>
      <c r="O35" s="2012" t="s">
        <v>4700</v>
      </c>
      <c r="P35" s="2006">
        <v>2017</v>
      </c>
      <c r="Q35" s="2012" t="s">
        <v>4701</v>
      </c>
      <c r="R35" s="2012">
        <v>5300</v>
      </c>
      <c r="S35" s="2013">
        <v>1492.15</v>
      </c>
    </row>
    <row r="36" spans="1:19" s="1996" customFormat="1" ht="22.5">
      <c r="A36" s="126">
        <v>5301</v>
      </c>
      <c r="B36" s="126" t="s">
        <v>4240</v>
      </c>
      <c r="C36" s="126" t="s">
        <v>1469</v>
      </c>
      <c r="D36" s="1995" t="s">
        <v>2896</v>
      </c>
      <c r="E36" s="2035">
        <v>2</v>
      </c>
      <c r="F36" s="1996" t="s">
        <v>2985</v>
      </c>
      <c r="G36" s="2010" t="s">
        <v>1277</v>
      </c>
      <c r="H36" s="1996">
        <v>11535</v>
      </c>
      <c r="L36" s="2006"/>
      <c r="M36" s="2011">
        <v>5301</v>
      </c>
      <c r="N36" s="2030" t="s">
        <v>3917</v>
      </c>
      <c r="O36" s="2012" t="s">
        <v>4702</v>
      </c>
      <c r="P36" s="2006">
        <v>2015</v>
      </c>
      <c r="Q36" s="2012" t="s">
        <v>4703</v>
      </c>
      <c r="R36" s="2012">
        <v>5301</v>
      </c>
      <c r="S36" s="2013">
        <v>185.32</v>
      </c>
    </row>
    <row r="37" spans="1:19" s="1996" customFormat="1" ht="22.5">
      <c r="A37" s="126">
        <v>5302</v>
      </c>
      <c r="B37" s="126" t="s">
        <v>4240</v>
      </c>
      <c r="C37" s="126" t="s">
        <v>1469</v>
      </c>
      <c r="D37" s="1995" t="s">
        <v>2485</v>
      </c>
      <c r="E37" s="2035">
        <v>2</v>
      </c>
      <c r="F37" s="1996" t="s">
        <v>2985</v>
      </c>
      <c r="G37" s="2010" t="s">
        <v>1277</v>
      </c>
      <c r="H37" s="1996">
        <v>11536</v>
      </c>
      <c r="L37" s="2006"/>
      <c r="M37" s="2011">
        <v>5302</v>
      </c>
      <c r="N37" s="2030" t="s">
        <v>3917</v>
      </c>
      <c r="O37" s="2012" t="s">
        <v>4704</v>
      </c>
      <c r="P37" s="2006">
        <v>2017</v>
      </c>
      <c r="Q37" s="2012" t="s">
        <v>4705</v>
      </c>
      <c r="R37" s="2012">
        <v>5302</v>
      </c>
      <c r="S37" s="2013">
        <v>182.37</v>
      </c>
    </row>
    <row r="38" spans="1:19" s="1996" customFormat="1" ht="12.75">
      <c r="A38" s="126">
        <v>5303</v>
      </c>
      <c r="B38" s="126" t="s">
        <v>4240</v>
      </c>
      <c r="C38" s="126" t="s">
        <v>2486</v>
      </c>
      <c r="D38" s="1995" t="s">
        <v>2486</v>
      </c>
      <c r="E38" s="2035">
        <v>4</v>
      </c>
      <c r="F38" s="1996" t="s">
        <v>2985</v>
      </c>
      <c r="G38" s="2010" t="s">
        <v>2908</v>
      </c>
      <c r="H38" s="1996">
        <v>11537</v>
      </c>
      <c r="L38" s="2006"/>
      <c r="M38" s="2011">
        <v>5303</v>
      </c>
      <c r="N38" s="2030" t="s">
        <v>90</v>
      </c>
      <c r="O38" s="2012" t="s">
        <v>4706</v>
      </c>
      <c r="P38" s="2006">
        <v>2016</v>
      </c>
      <c r="Q38" s="2012" t="s">
        <v>4707</v>
      </c>
      <c r="R38" s="2012">
        <v>5303</v>
      </c>
      <c r="S38" s="2013">
        <v>14657.79</v>
      </c>
    </row>
    <row r="39" spans="1:19" s="1996" customFormat="1" ht="12.75">
      <c r="A39" s="126">
        <v>5304</v>
      </c>
      <c r="B39" s="126" t="s">
        <v>4240</v>
      </c>
      <c r="C39" s="126" t="s">
        <v>2486</v>
      </c>
      <c r="D39" s="1995" t="s">
        <v>2487</v>
      </c>
      <c r="E39" s="2035">
        <v>2</v>
      </c>
      <c r="F39" s="1996" t="s">
        <v>2985</v>
      </c>
      <c r="G39" s="2010" t="s">
        <v>2908</v>
      </c>
      <c r="H39" s="1996">
        <v>11538</v>
      </c>
      <c r="L39" s="2006"/>
      <c r="M39" s="2011">
        <v>5304</v>
      </c>
      <c r="N39" s="2030" t="s">
        <v>3917</v>
      </c>
      <c r="O39" s="2012" t="s">
        <v>4708</v>
      </c>
      <c r="P39" s="2006">
        <v>2015</v>
      </c>
      <c r="Q39" s="2012" t="s">
        <v>4709</v>
      </c>
      <c r="R39" s="2012">
        <v>5304</v>
      </c>
      <c r="S39" s="2013">
        <v>1780</v>
      </c>
    </row>
    <row r="40" spans="1:19" s="1996" customFormat="1" ht="12.75">
      <c r="A40" s="126">
        <v>5305</v>
      </c>
      <c r="B40" s="126" t="s">
        <v>4240</v>
      </c>
      <c r="C40" s="126" t="s">
        <v>2486</v>
      </c>
      <c r="D40" s="1995" t="s">
        <v>2488</v>
      </c>
      <c r="E40" s="2035">
        <v>2</v>
      </c>
      <c r="F40" s="1996" t="s">
        <v>2985</v>
      </c>
      <c r="G40" s="2010" t="s">
        <v>2908</v>
      </c>
      <c r="H40" s="1996">
        <v>11539</v>
      </c>
      <c r="L40" s="2006"/>
      <c r="M40" s="2011">
        <v>5305</v>
      </c>
      <c r="N40" s="2030" t="s">
        <v>3917</v>
      </c>
      <c r="O40" s="2012" t="s">
        <v>4710</v>
      </c>
      <c r="P40" s="2006">
        <v>2014</v>
      </c>
      <c r="Q40" s="2012" t="s">
        <v>4711</v>
      </c>
      <c r="R40" s="2012">
        <v>5305</v>
      </c>
      <c r="S40" s="2013">
        <v>1374.76</v>
      </c>
    </row>
    <row r="41" spans="1:19" s="1996" customFormat="1" ht="25.5">
      <c r="A41" s="126">
        <v>5306</v>
      </c>
      <c r="B41" s="126" t="s">
        <v>4240</v>
      </c>
      <c r="C41" s="126" t="s">
        <v>2486</v>
      </c>
      <c r="D41" s="1995" t="s">
        <v>1656</v>
      </c>
      <c r="E41" s="2035">
        <v>2</v>
      </c>
      <c r="F41" s="1996" t="s">
        <v>2985</v>
      </c>
      <c r="G41" s="2010" t="s">
        <v>2908</v>
      </c>
      <c r="H41" s="1996">
        <v>11540</v>
      </c>
      <c r="L41" s="2006"/>
      <c r="M41" s="2011">
        <v>5306</v>
      </c>
      <c r="N41" s="2030" t="s">
        <v>3917</v>
      </c>
      <c r="O41" s="2012" t="s">
        <v>4712</v>
      </c>
      <c r="P41" s="2006">
        <v>2017</v>
      </c>
      <c r="Q41" s="2012" t="s">
        <v>4713</v>
      </c>
      <c r="R41" s="2012">
        <v>5306</v>
      </c>
      <c r="S41" s="2013">
        <v>2717.57</v>
      </c>
    </row>
    <row r="42" spans="1:19" s="1996" customFormat="1" ht="12.75">
      <c r="A42" s="126">
        <v>5307</v>
      </c>
      <c r="B42" s="126" t="s">
        <v>4240</v>
      </c>
      <c r="C42" s="126" t="s">
        <v>2486</v>
      </c>
      <c r="D42" s="1995" t="s">
        <v>7</v>
      </c>
      <c r="E42" s="2035">
        <v>2</v>
      </c>
      <c r="F42" s="1996" t="s">
        <v>2985</v>
      </c>
      <c r="G42" s="2010" t="s">
        <v>2908</v>
      </c>
      <c r="H42" s="1996">
        <v>11541</v>
      </c>
      <c r="L42" s="2006"/>
      <c r="M42" s="2011">
        <v>5307</v>
      </c>
      <c r="N42" s="2030" t="s">
        <v>3917</v>
      </c>
      <c r="O42" s="2012" t="s">
        <v>4714</v>
      </c>
      <c r="P42" s="2006">
        <v>2016</v>
      </c>
      <c r="Q42" s="2012" t="s">
        <v>4715</v>
      </c>
      <c r="R42" s="2012">
        <v>5307</v>
      </c>
      <c r="S42" s="2013">
        <v>2526.7399999999998</v>
      </c>
    </row>
    <row r="43" spans="1:19" s="1996" customFormat="1" ht="25.5">
      <c r="A43" s="126">
        <v>5308</v>
      </c>
      <c r="B43" s="126" t="s">
        <v>4240</v>
      </c>
      <c r="C43" s="126" t="s">
        <v>2486</v>
      </c>
      <c r="D43" s="1995" t="s">
        <v>8</v>
      </c>
      <c r="E43" s="2035">
        <v>1</v>
      </c>
      <c r="F43" s="1996" t="s">
        <v>2985</v>
      </c>
      <c r="G43" s="2010" t="s">
        <v>2908</v>
      </c>
      <c r="H43" s="1996">
        <v>11542</v>
      </c>
      <c r="L43" s="2006"/>
      <c r="M43" s="2011">
        <v>5308</v>
      </c>
      <c r="N43" s="2030" t="s">
        <v>3918</v>
      </c>
      <c r="O43" s="2012" t="s">
        <v>4716</v>
      </c>
      <c r="P43" s="2006">
        <v>2018</v>
      </c>
      <c r="Q43" s="2012" t="s">
        <v>4717</v>
      </c>
      <c r="R43" s="2012">
        <v>5308</v>
      </c>
      <c r="S43" s="2013">
        <v>838.58</v>
      </c>
    </row>
    <row r="44" spans="1:19" s="1996" customFormat="1" ht="12.75">
      <c r="A44" s="126">
        <v>5309</v>
      </c>
      <c r="B44" s="126" t="s">
        <v>4240</v>
      </c>
      <c r="C44" s="126" t="s">
        <v>2486</v>
      </c>
      <c r="D44" s="1995" t="s">
        <v>9</v>
      </c>
      <c r="E44" s="2035">
        <v>2</v>
      </c>
      <c r="F44" s="1996" t="s">
        <v>2985</v>
      </c>
      <c r="G44" s="2010" t="s">
        <v>2908</v>
      </c>
      <c r="H44" s="1996">
        <v>11543</v>
      </c>
      <c r="L44" s="2006"/>
      <c r="M44" s="2011">
        <v>5309</v>
      </c>
      <c r="N44" s="2030" t="s">
        <v>3917</v>
      </c>
      <c r="O44" s="2012" t="s">
        <v>4718</v>
      </c>
      <c r="P44" s="2006">
        <v>2019</v>
      </c>
      <c r="Q44" s="2012" t="s">
        <v>4719</v>
      </c>
      <c r="R44" s="2012">
        <v>5309</v>
      </c>
      <c r="S44" s="2013">
        <v>1167.6600000000001</v>
      </c>
    </row>
    <row r="45" spans="1:19" s="1996" customFormat="1" ht="38.25">
      <c r="A45" s="126">
        <v>5310</v>
      </c>
      <c r="B45" s="126" t="s">
        <v>4240</v>
      </c>
      <c r="C45" s="126" t="s">
        <v>2486</v>
      </c>
      <c r="D45" s="1995" t="s">
        <v>10</v>
      </c>
      <c r="E45" s="2035">
        <v>1</v>
      </c>
      <c r="F45" s="1996" t="s">
        <v>2985</v>
      </c>
      <c r="G45" s="2010" t="s">
        <v>2908</v>
      </c>
      <c r="H45" s="1996">
        <v>11544</v>
      </c>
      <c r="L45" s="2006"/>
      <c r="M45" s="2011">
        <v>5310</v>
      </c>
      <c r="N45" s="2030" t="s">
        <v>3918</v>
      </c>
      <c r="O45" s="2012" t="s">
        <v>4720</v>
      </c>
      <c r="P45" s="2006"/>
      <c r="Q45" s="2012" t="s">
        <v>4721</v>
      </c>
      <c r="R45" s="2012">
        <v>5310</v>
      </c>
      <c r="S45" s="2013">
        <v>897.26</v>
      </c>
    </row>
    <row r="46" spans="1:19" s="1996" customFormat="1" ht="12.75">
      <c r="A46" s="126">
        <v>5311</v>
      </c>
      <c r="B46" s="126" t="s">
        <v>4240</v>
      </c>
      <c r="C46" s="126" t="s">
        <v>2486</v>
      </c>
      <c r="D46" s="1995" t="s">
        <v>11</v>
      </c>
      <c r="E46" s="2035">
        <v>1</v>
      </c>
      <c r="F46" s="1996" t="s">
        <v>2985</v>
      </c>
      <c r="G46" s="2010" t="s">
        <v>2908</v>
      </c>
      <c r="H46" s="1996">
        <v>11545</v>
      </c>
      <c r="L46" s="2006"/>
      <c r="M46" s="2011">
        <v>5311</v>
      </c>
      <c r="N46" s="2030" t="s">
        <v>3918</v>
      </c>
      <c r="O46" s="2012" t="s">
        <v>4722</v>
      </c>
      <c r="P46" s="2006">
        <v>2015</v>
      </c>
      <c r="Q46" s="2012" t="s">
        <v>4723</v>
      </c>
      <c r="R46" s="2012">
        <v>5311</v>
      </c>
      <c r="S46" s="2013">
        <v>480.49</v>
      </c>
    </row>
    <row r="47" spans="1:19" s="1996" customFormat="1" ht="12.75">
      <c r="A47" s="126">
        <v>5312</v>
      </c>
      <c r="B47" s="126" t="s">
        <v>4240</v>
      </c>
      <c r="C47" s="126" t="s">
        <v>2486</v>
      </c>
      <c r="D47" s="1995" t="s">
        <v>2458</v>
      </c>
      <c r="E47" s="2035">
        <v>2</v>
      </c>
      <c r="F47" s="1996" t="s">
        <v>2985</v>
      </c>
      <c r="G47" s="2010" t="s">
        <v>2908</v>
      </c>
      <c r="H47" s="1996">
        <v>11546</v>
      </c>
      <c r="L47" s="2006"/>
      <c r="M47" s="2011">
        <v>5312</v>
      </c>
      <c r="N47" s="2030" t="s">
        <v>3917</v>
      </c>
      <c r="O47" s="2012" t="s">
        <v>4724</v>
      </c>
      <c r="P47" s="2006">
        <v>2014</v>
      </c>
      <c r="Q47" s="2012" t="s">
        <v>4725</v>
      </c>
      <c r="R47" s="2012">
        <v>5312</v>
      </c>
      <c r="S47" s="2013">
        <v>1317.96</v>
      </c>
    </row>
    <row r="48" spans="1:19" s="1996" customFormat="1" ht="12.75">
      <c r="A48" s="126">
        <v>5313</v>
      </c>
      <c r="B48" s="126" t="s">
        <v>4240</v>
      </c>
      <c r="C48" s="126" t="s">
        <v>2486</v>
      </c>
      <c r="D48" s="1995" t="s">
        <v>190</v>
      </c>
      <c r="E48" s="2035">
        <v>1</v>
      </c>
      <c r="F48" s="1996" t="s">
        <v>2985</v>
      </c>
      <c r="G48" s="2010" t="s">
        <v>2908</v>
      </c>
      <c r="H48" s="1996">
        <v>11547</v>
      </c>
      <c r="L48" s="2006"/>
      <c r="M48" s="2011">
        <v>5313</v>
      </c>
      <c r="N48" s="2030" t="s">
        <v>3918</v>
      </c>
      <c r="O48" s="2012" t="s">
        <v>4726</v>
      </c>
      <c r="P48" s="2006">
        <v>2015</v>
      </c>
      <c r="Q48" s="2012" t="s">
        <v>4727</v>
      </c>
      <c r="R48" s="2012">
        <v>5313</v>
      </c>
      <c r="S48" s="2013">
        <v>506.66</v>
      </c>
    </row>
    <row r="49" spans="1:19" s="1996" customFormat="1" ht="12.75">
      <c r="A49" s="126">
        <v>5314</v>
      </c>
      <c r="B49" s="126" t="s">
        <v>4240</v>
      </c>
      <c r="C49" s="126" t="s">
        <v>2486</v>
      </c>
      <c r="D49" s="1995" t="s">
        <v>191</v>
      </c>
      <c r="E49" s="2035">
        <v>2</v>
      </c>
      <c r="F49" s="1996" t="s">
        <v>2985</v>
      </c>
      <c r="G49" s="2010" t="s">
        <v>2908</v>
      </c>
      <c r="H49" s="1996">
        <v>11548</v>
      </c>
      <c r="L49" s="2006"/>
      <c r="M49" s="2011">
        <v>5314</v>
      </c>
      <c r="N49" s="2030" t="s">
        <v>3917</v>
      </c>
      <c r="O49" s="2012" t="s">
        <v>4728</v>
      </c>
      <c r="P49" s="2006">
        <v>2017</v>
      </c>
      <c r="Q49" s="2012" t="s">
        <v>4729</v>
      </c>
      <c r="R49" s="2012">
        <v>5314</v>
      </c>
      <c r="S49" s="2013">
        <v>1007.57</v>
      </c>
    </row>
    <row r="50" spans="1:19" s="1996" customFormat="1" ht="12.75">
      <c r="A50" s="126">
        <v>5315</v>
      </c>
      <c r="B50" s="126" t="s">
        <v>4240</v>
      </c>
      <c r="C50" s="126" t="s">
        <v>2486</v>
      </c>
      <c r="D50" s="1995" t="s">
        <v>192</v>
      </c>
      <c r="E50" s="2035">
        <v>1</v>
      </c>
      <c r="F50" s="1996" t="s">
        <v>2985</v>
      </c>
      <c r="G50" s="2010" t="s">
        <v>2908</v>
      </c>
      <c r="H50" s="1996">
        <v>11549</v>
      </c>
      <c r="L50" s="2006"/>
      <c r="M50" s="2011">
        <v>5315</v>
      </c>
      <c r="N50" s="2030" t="s">
        <v>3918</v>
      </c>
      <c r="O50" s="2012" t="s">
        <v>4730</v>
      </c>
      <c r="P50" s="2006">
        <v>2019</v>
      </c>
      <c r="Q50" s="2012" t="s">
        <v>4731</v>
      </c>
      <c r="R50" s="2012">
        <v>5315</v>
      </c>
      <c r="S50" s="2013">
        <v>407.85</v>
      </c>
    </row>
    <row r="51" spans="1:19" s="1996" customFormat="1" ht="12.75">
      <c r="A51" s="126">
        <v>5316</v>
      </c>
      <c r="B51" s="126" t="s">
        <v>4240</v>
      </c>
      <c r="C51" s="126" t="s">
        <v>193</v>
      </c>
      <c r="D51" s="1995" t="s">
        <v>62</v>
      </c>
      <c r="E51" s="2035">
        <v>3</v>
      </c>
      <c r="F51" s="1996" t="s">
        <v>2985</v>
      </c>
      <c r="G51" s="2010" t="s">
        <v>2908</v>
      </c>
      <c r="H51" s="1996">
        <v>11550</v>
      </c>
      <c r="L51" s="2006"/>
      <c r="M51" s="2011">
        <v>5316</v>
      </c>
      <c r="N51" s="2030" t="s">
        <v>89</v>
      </c>
      <c r="O51" s="2012" t="s">
        <v>4732</v>
      </c>
      <c r="P51" s="2006">
        <v>2016</v>
      </c>
      <c r="Q51" s="2012" t="s">
        <v>4733</v>
      </c>
      <c r="R51" s="2012">
        <v>5316</v>
      </c>
      <c r="S51" s="2013">
        <v>8971.7199999999993</v>
      </c>
    </row>
    <row r="52" spans="1:19" s="1996" customFormat="1" ht="12.75">
      <c r="A52" s="126">
        <v>5317</v>
      </c>
      <c r="B52" s="126" t="s">
        <v>4240</v>
      </c>
      <c r="C52" s="126" t="s">
        <v>193</v>
      </c>
      <c r="D52" s="1995" t="s">
        <v>63</v>
      </c>
      <c r="E52" s="2035">
        <v>3</v>
      </c>
      <c r="F52" s="1998" t="s">
        <v>931</v>
      </c>
      <c r="G52" s="2010" t="s">
        <v>2908</v>
      </c>
      <c r="H52" s="1996">
        <v>11551</v>
      </c>
      <c r="L52" s="2006"/>
      <c r="M52" s="2011">
        <v>5317</v>
      </c>
      <c r="N52" s="2030" t="s">
        <v>89</v>
      </c>
      <c r="O52" s="2012" t="s">
        <v>4734</v>
      </c>
      <c r="P52" s="2006">
        <v>2016</v>
      </c>
      <c r="Q52" s="2012" t="s">
        <v>4735</v>
      </c>
      <c r="R52" s="2012">
        <v>5317</v>
      </c>
      <c r="S52" s="2013">
        <v>4436.59</v>
      </c>
    </row>
    <row r="53" spans="1:19" s="1996" customFormat="1" ht="12.75">
      <c r="A53" s="126">
        <v>5318</v>
      </c>
      <c r="B53" s="126" t="s">
        <v>4240</v>
      </c>
      <c r="C53" s="126" t="s">
        <v>193</v>
      </c>
      <c r="D53" s="1995" t="s">
        <v>64</v>
      </c>
      <c r="E53" s="2035">
        <v>1</v>
      </c>
      <c r="F53" s="1998" t="s">
        <v>931</v>
      </c>
      <c r="G53" s="2010" t="s">
        <v>2908</v>
      </c>
      <c r="H53" s="1996">
        <v>11552</v>
      </c>
      <c r="L53" s="2006"/>
      <c r="M53" s="2011">
        <v>5318</v>
      </c>
      <c r="N53" s="2030" t="s">
        <v>3918</v>
      </c>
      <c r="O53" s="2012" t="s">
        <v>4736</v>
      </c>
      <c r="P53" s="2006">
        <v>2016</v>
      </c>
      <c r="Q53" s="2012" t="s">
        <v>4737</v>
      </c>
      <c r="R53" s="2012">
        <v>5318</v>
      </c>
      <c r="S53" s="2013">
        <v>255.56</v>
      </c>
    </row>
    <row r="54" spans="1:19" s="1996" customFormat="1" ht="12.75">
      <c r="A54" s="126">
        <v>5319</v>
      </c>
      <c r="B54" s="126" t="s">
        <v>4240</v>
      </c>
      <c r="C54" s="126" t="s">
        <v>193</v>
      </c>
      <c r="D54" s="1995" t="s">
        <v>65</v>
      </c>
      <c r="E54" s="2035">
        <v>1</v>
      </c>
      <c r="F54" s="1996" t="s">
        <v>2985</v>
      </c>
      <c r="G54" s="2010" t="s">
        <v>2908</v>
      </c>
      <c r="H54" s="1996">
        <v>11553</v>
      </c>
      <c r="L54" s="2006"/>
      <c r="M54" s="2011">
        <v>5319</v>
      </c>
      <c r="N54" s="2030" t="s">
        <v>3918</v>
      </c>
      <c r="O54" s="2012" t="s">
        <v>4738</v>
      </c>
      <c r="P54" s="2006">
        <v>2019</v>
      </c>
      <c r="Q54" s="2012" t="s">
        <v>4739</v>
      </c>
      <c r="R54" s="2012">
        <v>5319</v>
      </c>
      <c r="S54" s="2013">
        <v>923.45</v>
      </c>
    </row>
    <row r="55" spans="1:19" s="1996" customFormat="1" ht="12.75">
      <c r="A55" s="126">
        <v>5320</v>
      </c>
      <c r="B55" s="126" t="s">
        <v>4240</v>
      </c>
      <c r="C55" s="126" t="s">
        <v>193</v>
      </c>
      <c r="D55" s="1995" t="s">
        <v>852</v>
      </c>
      <c r="E55" s="2035">
        <v>1</v>
      </c>
      <c r="F55" s="475" t="s">
        <v>2985</v>
      </c>
      <c r="G55" s="2010" t="s">
        <v>2908</v>
      </c>
      <c r="H55" s="475">
        <v>11554</v>
      </c>
      <c r="I55" s="475"/>
      <c r="J55" s="475"/>
      <c r="K55" s="475"/>
      <c r="L55" s="2006"/>
      <c r="M55" s="2011">
        <v>5320</v>
      </c>
      <c r="N55" s="2030" t="s">
        <v>3918</v>
      </c>
      <c r="O55" s="2012" t="s">
        <v>4740</v>
      </c>
      <c r="P55" s="2006">
        <v>2015</v>
      </c>
      <c r="Q55" s="2012" t="s">
        <v>4741</v>
      </c>
      <c r="R55" s="2012">
        <v>5320</v>
      </c>
      <c r="S55" s="2013">
        <v>514.01</v>
      </c>
    </row>
    <row r="56" spans="1:19" s="1996" customFormat="1" ht="12.75">
      <c r="A56" s="126">
        <v>5321</v>
      </c>
      <c r="B56" s="126" t="s">
        <v>4240</v>
      </c>
      <c r="C56" s="126" t="s">
        <v>193</v>
      </c>
      <c r="D56" s="1995" t="s">
        <v>853</v>
      </c>
      <c r="E56" s="2035">
        <v>2</v>
      </c>
      <c r="F56" s="475" t="s">
        <v>2985</v>
      </c>
      <c r="G56" s="2010" t="s">
        <v>2908</v>
      </c>
      <c r="H56" s="475">
        <v>11555</v>
      </c>
      <c r="I56" s="475"/>
      <c r="J56" s="475"/>
      <c r="K56" s="475"/>
      <c r="L56" s="2006"/>
      <c r="M56" s="2011">
        <v>5321</v>
      </c>
      <c r="N56" s="2030" t="s">
        <v>3917</v>
      </c>
      <c r="O56" s="2012" t="s">
        <v>4742</v>
      </c>
      <c r="P56" s="2006"/>
      <c r="Q56" s="2012" t="s">
        <v>4743</v>
      </c>
      <c r="R56" s="2012">
        <v>5321</v>
      </c>
      <c r="S56" s="2013">
        <v>1043.6500000000001</v>
      </c>
    </row>
    <row r="57" spans="1:19" s="1996" customFormat="1" ht="12.75">
      <c r="A57" s="126">
        <v>5322</v>
      </c>
      <c r="B57" s="126" t="s">
        <v>4240</v>
      </c>
      <c r="C57" s="126" t="s">
        <v>193</v>
      </c>
      <c r="D57" s="1995" t="s">
        <v>854</v>
      </c>
      <c r="E57" s="2035">
        <v>2</v>
      </c>
      <c r="F57" s="475" t="s">
        <v>2985</v>
      </c>
      <c r="G57" s="2010" t="s">
        <v>2908</v>
      </c>
      <c r="H57" s="475">
        <v>11556</v>
      </c>
      <c r="I57" s="475"/>
      <c r="J57" s="475"/>
      <c r="K57" s="475"/>
      <c r="L57" s="2006"/>
      <c r="M57" s="2011">
        <v>5322</v>
      </c>
      <c r="N57" s="2030" t="s">
        <v>3917</v>
      </c>
      <c r="O57" s="2012" t="s">
        <v>4744</v>
      </c>
      <c r="P57" s="2006">
        <v>2017</v>
      </c>
      <c r="Q57" s="2012" t="s">
        <v>4745</v>
      </c>
      <c r="R57" s="2012">
        <v>5322</v>
      </c>
      <c r="S57" s="2013">
        <v>1224.8800000000001</v>
      </c>
    </row>
    <row r="58" spans="1:19" s="1996" customFormat="1" ht="12.75">
      <c r="A58" s="126">
        <v>5323</v>
      </c>
      <c r="B58" s="126" t="s">
        <v>4240</v>
      </c>
      <c r="C58" s="126" t="s">
        <v>193</v>
      </c>
      <c r="D58" s="1995" t="s">
        <v>5116</v>
      </c>
      <c r="E58" s="2035">
        <v>2</v>
      </c>
      <c r="F58" s="475" t="s">
        <v>931</v>
      </c>
      <c r="G58" s="2010" t="s">
        <v>2908</v>
      </c>
      <c r="H58" s="475">
        <v>11557</v>
      </c>
      <c r="I58" s="475"/>
      <c r="J58" s="475"/>
      <c r="K58" s="475"/>
      <c r="L58" s="2006"/>
      <c r="M58" s="2011">
        <v>5323</v>
      </c>
      <c r="N58" s="2030" t="s">
        <v>3917</v>
      </c>
      <c r="O58" s="2012" t="s">
        <v>4746</v>
      </c>
      <c r="P58" s="2006">
        <v>2019</v>
      </c>
      <c r="Q58" s="2012" t="s">
        <v>4747</v>
      </c>
      <c r="R58" s="2012">
        <v>5323</v>
      </c>
      <c r="S58" s="2013">
        <v>534.29</v>
      </c>
    </row>
    <row r="59" spans="1:19" s="1996" customFormat="1" ht="12.75">
      <c r="A59" s="126">
        <v>5324</v>
      </c>
      <c r="B59" s="126" t="s">
        <v>4240</v>
      </c>
      <c r="C59" s="126" t="s">
        <v>193</v>
      </c>
      <c r="D59" s="1995" t="s">
        <v>855</v>
      </c>
      <c r="E59" s="2035">
        <v>4</v>
      </c>
      <c r="F59" s="475" t="s">
        <v>2985</v>
      </c>
      <c r="G59" s="2010" t="s">
        <v>2908</v>
      </c>
      <c r="H59" s="475">
        <v>11558</v>
      </c>
      <c r="I59" s="475"/>
      <c r="J59" s="475"/>
      <c r="K59" s="475"/>
      <c r="L59" s="2006"/>
      <c r="M59" s="2011">
        <v>5324</v>
      </c>
      <c r="N59" s="2030" t="s">
        <v>90</v>
      </c>
      <c r="O59" s="2012" t="s">
        <v>4748</v>
      </c>
      <c r="P59" s="2006">
        <v>2015</v>
      </c>
      <c r="Q59" s="2012" t="s">
        <v>4749</v>
      </c>
      <c r="R59" s="2012">
        <v>5324</v>
      </c>
      <c r="S59" s="2013">
        <v>3323.32</v>
      </c>
    </row>
    <row r="60" spans="1:19" s="1996" customFormat="1" ht="12.75">
      <c r="A60" s="126">
        <v>5325</v>
      </c>
      <c r="B60" s="126" t="s">
        <v>4240</v>
      </c>
      <c r="C60" s="126" t="s">
        <v>193</v>
      </c>
      <c r="D60" s="1995" t="s">
        <v>130</v>
      </c>
      <c r="E60" s="2035">
        <v>3</v>
      </c>
      <c r="F60" s="475" t="s">
        <v>2985</v>
      </c>
      <c r="G60" s="2010" t="s">
        <v>2908</v>
      </c>
      <c r="H60" s="475">
        <v>11559</v>
      </c>
      <c r="I60" s="475"/>
      <c r="J60" s="475"/>
      <c r="K60" s="475"/>
      <c r="L60" s="2006"/>
      <c r="M60" s="2011">
        <v>5325</v>
      </c>
      <c r="N60" s="2030" t="s">
        <v>89</v>
      </c>
      <c r="O60" s="2012" t="s">
        <v>4750</v>
      </c>
      <c r="P60" s="2006">
        <v>2015</v>
      </c>
      <c r="Q60" s="2012" t="s">
        <v>4751</v>
      </c>
      <c r="R60" s="2012">
        <v>5325</v>
      </c>
      <c r="S60" s="2013">
        <v>6286.38</v>
      </c>
    </row>
    <row r="61" spans="1:19" s="1996" customFormat="1" ht="12.75">
      <c r="A61" s="126">
        <v>5326</v>
      </c>
      <c r="B61" s="126" t="s">
        <v>4240</v>
      </c>
      <c r="C61" s="126" t="s">
        <v>193</v>
      </c>
      <c r="D61" s="1995" t="s">
        <v>5117</v>
      </c>
      <c r="E61" s="2035">
        <v>2</v>
      </c>
      <c r="F61" s="475" t="s">
        <v>931</v>
      </c>
      <c r="G61" s="2010" t="s">
        <v>2908</v>
      </c>
      <c r="H61" s="475">
        <v>11560</v>
      </c>
      <c r="I61" s="475"/>
      <c r="J61" s="475"/>
      <c r="K61" s="475"/>
      <c r="L61" s="2006"/>
      <c r="M61" s="2011">
        <v>5326</v>
      </c>
      <c r="N61" s="2030" t="s">
        <v>3917</v>
      </c>
      <c r="O61" s="2012" t="s">
        <v>4752</v>
      </c>
      <c r="P61" s="2006">
        <v>2018</v>
      </c>
      <c r="Q61" s="2012" t="s">
        <v>4753</v>
      </c>
      <c r="R61" s="2012">
        <v>5326</v>
      </c>
      <c r="S61" s="2013">
        <v>656.34</v>
      </c>
    </row>
    <row r="62" spans="1:19" s="1996" customFormat="1" ht="22.5">
      <c r="A62" s="126">
        <v>5327</v>
      </c>
      <c r="B62" s="126" t="s">
        <v>4240</v>
      </c>
      <c r="C62" s="126" t="s">
        <v>193</v>
      </c>
      <c r="D62" s="1995" t="s">
        <v>131</v>
      </c>
      <c r="E62" s="2035">
        <v>3</v>
      </c>
      <c r="F62" s="475" t="s">
        <v>2985</v>
      </c>
      <c r="G62" s="2010" t="s">
        <v>2908</v>
      </c>
      <c r="H62" s="475">
        <v>11561</v>
      </c>
      <c r="I62" s="475"/>
      <c r="J62" s="475"/>
      <c r="K62" s="475"/>
      <c r="L62" s="2006"/>
      <c r="M62" s="2011">
        <v>5327</v>
      </c>
      <c r="N62" s="2030" t="s">
        <v>89</v>
      </c>
      <c r="O62" s="2012" t="s">
        <v>4754</v>
      </c>
      <c r="P62" s="2006">
        <v>2019</v>
      </c>
      <c r="Q62" s="2012" t="s">
        <v>4755</v>
      </c>
      <c r="R62" s="2012">
        <v>5327</v>
      </c>
      <c r="S62" s="2013">
        <v>5672.13</v>
      </c>
    </row>
    <row r="63" spans="1:19" s="1996" customFormat="1" ht="12.75">
      <c r="A63" s="126">
        <v>5328</v>
      </c>
      <c r="B63" s="126" t="s">
        <v>4240</v>
      </c>
      <c r="C63" s="126" t="s">
        <v>193</v>
      </c>
      <c r="D63" s="1995" t="s">
        <v>132</v>
      </c>
      <c r="E63" s="2035">
        <v>3</v>
      </c>
      <c r="F63" s="475" t="s">
        <v>2985</v>
      </c>
      <c r="G63" s="2010" t="s">
        <v>2908</v>
      </c>
      <c r="H63" s="475">
        <v>11562</v>
      </c>
      <c r="I63" s="475"/>
      <c r="J63" s="475"/>
      <c r="K63" s="475"/>
      <c r="L63" s="2006"/>
      <c r="M63" s="2011">
        <v>5328</v>
      </c>
      <c r="N63" s="2030" t="s">
        <v>89</v>
      </c>
      <c r="O63" s="2012" t="s">
        <v>4756</v>
      </c>
      <c r="P63" s="2006">
        <v>2017</v>
      </c>
      <c r="Q63" s="2012" t="s">
        <v>4757</v>
      </c>
      <c r="R63" s="2012">
        <v>5328</v>
      </c>
      <c r="S63" s="2013">
        <v>2472.06</v>
      </c>
    </row>
    <row r="64" spans="1:19" s="1996" customFormat="1" ht="12.75">
      <c r="A64" s="126">
        <v>5329</v>
      </c>
      <c r="B64" s="126" t="s">
        <v>4240</v>
      </c>
      <c r="C64" s="126" t="s">
        <v>193</v>
      </c>
      <c r="D64" s="1995" t="s">
        <v>971</v>
      </c>
      <c r="E64" s="2035">
        <v>2</v>
      </c>
      <c r="F64" s="475" t="s">
        <v>2985</v>
      </c>
      <c r="G64" s="2010" t="s">
        <v>2908</v>
      </c>
      <c r="H64" s="475">
        <v>11563</v>
      </c>
      <c r="I64" s="475"/>
      <c r="J64" s="475"/>
      <c r="K64" s="475"/>
      <c r="L64" s="2006"/>
      <c r="M64" s="2011">
        <v>5329</v>
      </c>
      <c r="N64" s="2030" t="s">
        <v>3917</v>
      </c>
      <c r="O64" s="2012" t="s">
        <v>4758</v>
      </c>
      <c r="P64" s="2006"/>
      <c r="Q64" s="2012" t="s">
        <v>4759</v>
      </c>
      <c r="R64" s="2012">
        <v>5329</v>
      </c>
      <c r="S64" s="2013">
        <v>1046.72</v>
      </c>
    </row>
    <row r="65" spans="1:21" s="1996" customFormat="1" ht="12.75">
      <c r="A65" s="126">
        <v>5330</v>
      </c>
      <c r="B65" s="126" t="s">
        <v>4240</v>
      </c>
      <c r="C65" s="126" t="s">
        <v>193</v>
      </c>
      <c r="D65" s="1995" t="s">
        <v>972</v>
      </c>
      <c r="E65" s="2035">
        <v>5</v>
      </c>
      <c r="F65" s="475" t="s">
        <v>2985</v>
      </c>
      <c r="G65" s="2010" t="s">
        <v>2908</v>
      </c>
      <c r="H65" s="475">
        <v>11564</v>
      </c>
      <c r="I65" s="475"/>
      <c r="J65" s="475"/>
      <c r="K65" s="475"/>
      <c r="L65" s="2006"/>
      <c r="M65" s="2011">
        <v>5330</v>
      </c>
      <c r="N65" s="2030" t="s">
        <v>3919</v>
      </c>
      <c r="O65" s="2012" t="s">
        <v>4760</v>
      </c>
      <c r="P65" s="2006">
        <v>2015</v>
      </c>
      <c r="Q65" s="2012" t="s">
        <v>4761</v>
      </c>
      <c r="R65" s="2012">
        <v>5330</v>
      </c>
      <c r="S65" s="2013">
        <v>18522.05</v>
      </c>
    </row>
    <row r="66" spans="1:21" s="1996" customFormat="1" ht="25.5">
      <c r="A66" s="126">
        <v>5331</v>
      </c>
      <c r="B66" s="126" t="s">
        <v>4240</v>
      </c>
      <c r="C66" s="126" t="s">
        <v>193</v>
      </c>
      <c r="D66" s="1995" t="s">
        <v>973</v>
      </c>
      <c r="E66" s="2035">
        <v>3</v>
      </c>
      <c r="F66" s="475" t="s">
        <v>2985</v>
      </c>
      <c r="G66" s="2010" t="s">
        <v>2908</v>
      </c>
      <c r="H66" s="475">
        <v>11565</v>
      </c>
      <c r="I66" s="475"/>
      <c r="J66" s="475"/>
      <c r="K66" s="475"/>
      <c r="L66" s="2006"/>
      <c r="M66" s="2011">
        <v>5331</v>
      </c>
      <c r="N66" s="2030" t="s">
        <v>89</v>
      </c>
      <c r="O66" s="2012" t="s">
        <v>4762</v>
      </c>
      <c r="P66" s="2006">
        <v>2016</v>
      </c>
      <c r="Q66" s="2012" t="s">
        <v>4763</v>
      </c>
      <c r="R66" s="2012">
        <v>5331</v>
      </c>
      <c r="S66" s="2013">
        <v>3820.96</v>
      </c>
    </row>
    <row r="67" spans="1:21" s="1996" customFormat="1" ht="12.75">
      <c r="A67" s="126">
        <v>5332</v>
      </c>
      <c r="B67" s="126" t="s">
        <v>4240</v>
      </c>
      <c r="C67" s="126" t="s">
        <v>193</v>
      </c>
      <c r="D67" s="1995" t="s">
        <v>975</v>
      </c>
      <c r="E67" s="2035">
        <v>2</v>
      </c>
      <c r="F67" s="475" t="s">
        <v>2985</v>
      </c>
      <c r="G67" s="2010" t="s">
        <v>2908</v>
      </c>
      <c r="H67" s="475">
        <v>11566</v>
      </c>
      <c r="I67" s="475"/>
      <c r="J67" s="475"/>
      <c r="K67" s="475"/>
      <c r="L67" s="2006"/>
      <c r="M67" s="2011">
        <v>5332</v>
      </c>
      <c r="N67" s="2030" t="s">
        <v>3917</v>
      </c>
      <c r="O67" s="2012" t="s">
        <v>4764</v>
      </c>
      <c r="P67" s="2006">
        <v>2015</v>
      </c>
      <c r="Q67" s="2012" t="s">
        <v>4765</v>
      </c>
      <c r="R67" s="2012">
        <v>5332</v>
      </c>
      <c r="S67" s="2013">
        <v>1854.78</v>
      </c>
    </row>
    <row r="68" spans="1:21" s="1996" customFormat="1" ht="12.75">
      <c r="A68" s="126">
        <v>5333</v>
      </c>
      <c r="B68" s="126" t="s">
        <v>4240</v>
      </c>
      <c r="C68" s="126" t="s">
        <v>193</v>
      </c>
      <c r="D68" s="1995" t="s">
        <v>3859</v>
      </c>
      <c r="E68" s="2035">
        <v>1</v>
      </c>
      <c r="F68" s="475" t="s">
        <v>2985</v>
      </c>
      <c r="G68" s="2010" t="s">
        <v>2908</v>
      </c>
      <c r="H68" s="475">
        <v>11567</v>
      </c>
      <c r="I68" s="475"/>
      <c r="J68" s="475"/>
      <c r="K68" s="475"/>
      <c r="L68" s="2006"/>
      <c r="M68" s="2011">
        <v>5333</v>
      </c>
      <c r="N68" s="2030" t="s">
        <v>3918</v>
      </c>
      <c r="O68" s="2012" t="s">
        <v>4766</v>
      </c>
      <c r="P68" s="2006">
        <v>2019</v>
      </c>
      <c r="Q68" s="2012" t="s">
        <v>4767</v>
      </c>
      <c r="R68" s="2012">
        <v>5333</v>
      </c>
      <c r="S68" s="2013">
        <v>819.18</v>
      </c>
    </row>
    <row r="69" spans="1:21" s="1996" customFormat="1" ht="22.5">
      <c r="A69" s="126">
        <v>5334</v>
      </c>
      <c r="B69" s="126" t="s">
        <v>4240</v>
      </c>
      <c r="C69" s="126" t="s">
        <v>193</v>
      </c>
      <c r="D69" s="1995" t="s">
        <v>369</v>
      </c>
      <c r="E69" s="2035">
        <v>2</v>
      </c>
      <c r="F69" s="475" t="s">
        <v>2985</v>
      </c>
      <c r="G69" s="2010" t="s">
        <v>2908</v>
      </c>
      <c r="H69" s="475">
        <v>11568</v>
      </c>
      <c r="I69" s="475"/>
      <c r="J69" s="475"/>
      <c r="K69" s="475"/>
      <c r="L69" s="2006"/>
      <c r="M69" s="2011">
        <v>5334</v>
      </c>
      <c r="N69" s="2030" t="s">
        <v>3917</v>
      </c>
      <c r="O69" s="2012" t="s">
        <v>4768</v>
      </c>
      <c r="P69" s="2006">
        <v>2016</v>
      </c>
      <c r="Q69" s="2012" t="s">
        <v>4769</v>
      </c>
      <c r="R69" s="2012">
        <v>5334</v>
      </c>
      <c r="S69" s="2013">
        <v>19.46</v>
      </c>
    </row>
    <row r="70" spans="1:21" s="1996" customFormat="1" ht="22.5">
      <c r="A70" s="126">
        <v>5335</v>
      </c>
      <c r="B70" s="126" t="s">
        <v>4240</v>
      </c>
      <c r="C70" s="126" t="s">
        <v>193</v>
      </c>
      <c r="D70" s="1995" t="s">
        <v>370</v>
      </c>
      <c r="E70" s="2035">
        <v>3</v>
      </c>
      <c r="F70" s="475" t="s">
        <v>2985</v>
      </c>
      <c r="G70" s="2010" t="s">
        <v>2908</v>
      </c>
      <c r="H70" s="475">
        <v>11569</v>
      </c>
      <c r="I70" s="475"/>
      <c r="J70" s="475"/>
      <c r="K70" s="475"/>
      <c r="L70" s="2006"/>
      <c r="M70" s="2011">
        <v>5335</v>
      </c>
      <c r="N70" s="2030" t="s">
        <v>89</v>
      </c>
      <c r="O70" s="2012" t="s">
        <v>4770</v>
      </c>
      <c r="P70" s="2006">
        <v>2020</v>
      </c>
      <c r="Q70" s="2012" t="s">
        <v>4771</v>
      </c>
      <c r="R70" s="2012">
        <v>5335</v>
      </c>
      <c r="S70" s="2013">
        <v>2601.12</v>
      </c>
    </row>
    <row r="71" spans="1:21" s="1996" customFormat="1" ht="12.75">
      <c r="A71" s="126">
        <v>5336</v>
      </c>
      <c r="B71" s="126" t="s">
        <v>4240</v>
      </c>
      <c r="C71" s="126" t="s">
        <v>193</v>
      </c>
      <c r="D71" s="1995" t="s">
        <v>3450</v>
      </c>
      <c r="E71" s="2035">
        <v>2</v>
      </c>
      <c r="F71" s="475" t="s">
        <v>2985</v>
      </c>
      <c r="G71" s="2010" t="s">
        <v>2908</v>
      </c>
      <c r="H71" s="475">
        <v>11570</v>
      </c>
      <c r="I71" s="475"/>
      <c r="J71" s="475"/>
      <c r="K71" s="475"/>
      <c r="L71" s="2006"/>
      <c r="M71" s="2011">
        <v>5336</v>
      </c>
      <c r="N71" s="2030" t="s">
        <v>3917</v>
      </c>
      <c r="O71" s="2012" t="s">
        <v>4772</v>
      </c>
      <c r="P71" s="2006">
        <v>2019</v>
      </c>
      <c r="Q71" s="2012" t="s">
        <v>4773</v>
      </c>
      <c r="R71" s="2012">
        <v>5336</v>
      </c>
      <c r="S71" s="2013">
        <v>922.76</v>
      </c>
    </row>
    <row r="72" spans="1:21" s="1996" customFormat="1" ht="25.5">
      <c r="A72" s="126">
        <v>5337</v>
      </c>
      <c r="B72" s="126" t="s">
        <v>4240</v>
      </c>
      <c r="C72" s="126" t="s">
        <v>193</v>
      </c>
      <c r="D72" s="1995" t="s">
        <v>3826</v>
      </c>
      <c r="E72" s="2035">
        <v>2</v>
      </c>
      <c r="F72" s="475" t="s">
        <v>2985</v>
      </c>
      <c r="G72" s="2010" t="s">
        <v>2908</v>
      </c>
      <c r="H72" s="475">
        <v>11571</v>
      </c>
      <c r="I72" s="475"/>
      <c r="J72" s="475"/>
      <c r="K72" s="475"/>
      <c r="L72" s="2006"/>
      <c r="M72" s="2011">
        <v>5337</v>
      </c>
      <c r="N72" s="2030" t="s">
        <v>3917</v>
      </c>
      <c r="O72" s="2012" t="s">
        <v>4774</v>
      </c>
      <c r="P72" s="2006">
        <v>2019</v>
      </c>
      <c r="Q72" s="2012" t="s">
        <v>4775</v>
      </c>
      <c r="R72" s="2012">
        <v>5337</v>
      </c>
      <c r="S72" s="2013">
        <v>4617.8599999999997</v>
      </c>
    </row>
    <row r="73" spans="1:21" s="1996" customFormat="1" ht="38.25">
      <c r="A73" s="126">
        <v>5338</v>
      </c>
      <c r="B73" s="126" t="s">
        <v>4240</v>
      </c>
      <c r="C73" s="126" t="s">
        <v>193</v>
      </c>
      <c r="D73" s="1995" t="s">
        <v>3828</v>
      </c>
      <c r="E73" s="2035">
        <v>2</v>
      </c>
      <c r="F73" s="475" t="s">
        <v>2985</v>
      </c>
      <c r="G73" s="2010" t="s">
        <v>2908</v>
      </c>
      <c r="H73" s="475">
        <v>11572</v>
      </c>
      <c r="I73" s="475"/>
      <c r="J73" s="475"/>
      <c r="K73" s="475"/>
      <c r="L73" s="2006"/>
      <c r="M73" s="2011">
        <v>5338</v>
      </c>
      <c r="N73" s="2030" t="s">
        <v>3917</v>
      </c>
      <c r="O73" s="2012" t="s">
        <v>4776</v>
      </c>
      <c r="P73" s="2006">
        <v>2016</v>
      </c>
      <c r="Q73" s="2012" t="s">
        <v>4777</v>
      </c>
      <c r="R73" s="2012">
        <v>5338</v>
      </c>
      <c r="S73" s="2013">
        <v>2591.4899999999998</v>
      </c>
    </row>
    <row r="74" spans="1:21" s="1085" customFormat="1" ht="25.5">
      <c r="A74" s="126">
        <v>5339</v>
      </c>
      <c r="B74" s="126" t="s">
        <v>3829</v>
      </c>
      <c r="C74" s="126" t="s">
        <v>3829</v>
      </c>
      <c r="D74" s="2939" t="s">
        <v>1278</v>
      </c>
      <c r="E74" s="2027">
        <v>5</v>
      </c>
      <c r="F74" s="1085" t="s">
        <v>931</v>
      </c>
      <c r="G74" s="2010" t="s">
        <v>1279</v>
      </c>
      <c r="H74" s="475">
        <v>11573</v>
      </c>
      <c r="L74" s="2006"/>
      <c r="M74" s="2011">
        <v>5339</v>
      </c>
      <c r="N74" s="2030" t="s">
        <v>3919</v>
      </c>
      <c r="O74" s="2012" t="s">
        <v>4778</v>
      </c>
      <c r="P74" s="2006">
        <v>2017</v>
      </c>
      <c r="Q74" s="2012" t="s">
        <v>4779</v>
      </c>
      <c r="R74" s="2012">
        <v>5339</v>
      </c>
      <c r="S74" s="2013">
        <v>96859.199999999997</v>
      </c>
      <c r="T74" s="1996"/>
      <c r="U74" s="1996"/>
    </row>
    <row r="75" spans="1:21" s="1085" customFormat="1" ht="22.5">
      <c r="A75" s="126">
        <v>5340</v>
      </c>
      <c r="B75" s="126" t="s">
        <v>3829</v>
      </c>
      <c r="C75" s="126" t="s">
        <v>3829</v>
      </c>
      <c r="D75" s="2939" t="s">
        <v>3468</v>
      </c>
      <c r="E75" s="2027">
        <v>5</v>
      </c>
      <c r="F75" s="1085" t="s">
        <v>931</v>
      </c>
      <c r="G75" s="2010" t="s">
        <v>1279</v>
      </c>
      <c r="H75" s="475">
        <v>11574</v>
      </c>
      <c r="L75" s="2006"/>
      <c r="M75" s="2011">
        <v>5340</v>
      </c>
      <c r="N75" s="2030" t="s">
        <v>3919</v>
      </c>
      <c r="O75" s="2012" t="s">
        <v>4780</v>
      </c>
      <c r="P75" s="2006">
        <v>2017</v>
      </c>
      <c r="Q75" s="2012" t="s">
        <v>4781</v>
      </c>
      <c r="R75" s="2012">
        <v>5340</v>
      </c>
      <c r="S75" s="2013">
        <v>41407.919999999998</v>
      </c>
      <c r="T75" s="1996"/>
      <c r="U75" s="1996"/>
    </row>
    <row r="76" spans="1:21" s="1085" customFormat="1" ht="12.75">
      <c r="A76" s="126">
        <v>5341</v>
      </c>
      <c r="B76" s="126" t="s">
        <v>3829</v>
      </c>
      <c r="C76" s="126" t="s">
        <v>3829</v>
      </c>
      <c r="D76" s="2939" t="s">
        <v>759</v>
      </c>
      <c r="E76" s="2027">
        <v>5</v>
      </c>
      <c r="F76" s="1085" t="s">
        <v>931</v>
      </c>
      <c r="G76" s="2010" t="s">
        <v>1279</v>
      </c>
      <c r="H76" s="475">
        <v>11575</v>
      </c>
      <c r="L76" s="2006"/>
      <c r="M76" s="2011">
        <v>5341</v>
      </c>
      <c r="N76" s="2030" t="s">
        <v>3919</v>
      </c>
      <c r="O76" s="2012" t="s">
        <v>4782</v>
      </c>
      <c r="P76" s="2006"/>
      <c r="Q76" s="2012" t="s">
        <v>4783</v>
      </c>
      <c r="R76" s="2012">
        <v>5341</v>
      </c>
      <c r="S76" s="2013">
        <v>39921.599999999999</v>
      </c>
      <c r="T76" s="1996"/>
      <c r="U76" s="1996"/>
    </row>
    <row r="77" spans="1:21" s="1085" customFormat="1" ht="25.5">
      <c r="A77" s="126">
        <v>5342</v>
      </c>
      <c r="B77" s="126" t="s">
        <v>3829</v>
      </c>
      <c r="C77" s="126" t="s">
        <v>3829</v>
      </c>
      <c r="D77" s="2939" t="s">
        <v>760</v>
      </c>
      <c r="E77" s="2027">
        <v>4</v>
      </c>
      <c r="F77" s="1085" t="s">
        <v>931</v>
      </c>
      <c r="G77" s="2010" t="s">
        <v>1279</v>
      </c>
      <c r="H77" s="475">
        <v>11576</v>
      </c>
      <c r="L77" s="2006"/>
      <c r="M77" s="2011">
        <v>5342</v>
      </c>
      <c r="N77" s="2030" t="s">
        <v>90</v>
      </c>
      <c r="O77" s="2012" t="s">
        <v>4784</v>
      </c>
      <c r="P77" s="2006">
        <v>2016</v>
      </c>
      <c r="Q77" s="2012" t="s">
        <v>4785</v>
      </c>
      <c r="R77" s="2012">
        <v>5342</v>
      </c>
      <c r="S77" s="2013">
        <v>25989.66</v>
      </c>
      <c r="T77" s="1996"/>
      <c r="U77" s="1996"/>
    </row>
    <row r="78" spans="1:21" s="1085" customFormat="1" ht="22.5">
      <c r="A78" s="126">
        <v>5343</v>
      </c>
      <c r="B78" s="126" t="s">
        <v>3829</v>
      </c>
      <c r="C78" s="126" t="s">
        <v>3829</v>
      </c>
      <c r="D78" s="2939" t="s">
        <v>761</v>
      </c>
      <c r="E78" s="2027">
        <v>5</v>
      </c>
      <c r="F78" s="1085" t="s">
        <v>931</v>
      </c>
      <c r="G78" s="2010" t="s">
        <v>1279</v>
      </c>
      <c r="H78" s="475">
        <v>11577</v>
      </c>
      <c r="L78" s="2006"/>
      <c r="M78" s="2011">
        <v>5343</v>
      </c>
      <c r="N78" s="2030" t="s">
        <v>3919</v>
      </c>
      <c r="O78" s="2012" t="s">
        <v>4786</v>
      </c>
      <c r="P78" s="2006">
        <v>2016</v>
      </c>
      <c r="Q78" s="2012" t="s">
        <v>4787</v>
      </c>
      <c r="R78" s="2012">
        <v>5343</v>
      </c>
      <c r="S78" s="2013">
        <v>26352.16</v>
      </c>
      <c r="T78" s="1996"/>
      <c r="U78" s="1996"/>
    </row>
    <row r="79" spans="1:21" s="1085" customFormat="1" ht="25.5">
      <c r="A79" s="126">
        <v>5344</v>
      </c>
      <c r="B79" s="126" t="s">
        <v>3829</v>
      </c>
      <c r="C79" s="126" t="s">
        <v>3829</v>
      </c>
      <c r="D79" s="2939" t="s">
        <v>762</v>
      </c>
      <c r="E79" s="2027">
        <v>4</v>
      </c>
      <c r="F79" s="1085" t="s">
        <v>931</v>
      </c>
      <c r="G79" s="2010" t="s">
        <v>1279</v>
      </c>
      <c r="H79" s="475">
        <v>11578</v>
      </c>
      <c r="L79" s="2006"/>
      <c r="M79" s="2011">
        <v>5344</v>
      </c>
      <c r="N79" s="2030" t="s">
        <v>90</v>
      </c>
      <c r="O79" s="2012" t="s">
        <v>4788</v>
      </c>
      <c r="P79" s="2006">
        <v>2017</v>
      </c>
      <c r="Q79" s="2012" t="s">
        <v>4789</v>
      </c>
      <c r="R79" s="2012">
        <v>5344</v>
      </c>
      <c r="S79" s="2013">
        <v>59260.54</v>
      </c>
      <c r="T79" s="1996"/>
      <c r="U79" s="1996"/>
    </row>
    <row r="80" spans="1:21" s="1085" customFormat="1" ht="12.75">
      <c r="A80" s="126">
        <v>5345</v>
      </c>
      <c r="B80" s="126" t="s">
        <v>2087</v>
      </c>
      <c r="C80" s="126" t="s">
        <v>2088</v>
      </c>
      <c r="D80" s="1995" t="s">
        <v>2089</v>
      </c>
      <c r="E80" s="2027">
        <v>5</v>
      </c>
      <c r="F80" s="1085" t="s">
        <v>2985</v>
      </c>
      <c r="G80" s="2010" t="s">
        <v>1214</v>
      </c>
      <c r="H80" s="475">
        <v>11579</v>
      </c>
      <c r="L80" s="2006"/>
      <c r="M80" s="2011">
        <v>5345</v>
      </c>
      <c r="N80" s="2030" t="s">
        <v>3919</v>
      </c>
      <c r="O80" s="2012" t="s">
        <v>4790</v>
      </c>
      <c r="P80" s="2006">
        <v>2020</v>
      </c>
      <c r="Q80" s="2012" t="s">
        <v>4791</v>
      </c>
      <c r="R80" s="2012">
        <v>5345</v>
      </c>
      <c r="S80" s="2013">
        <v>54380.49</v>
      </c>
      <c r="T80" s="1996"/>
      <c r="U80" s="1996"/>
    </row>
    <row r="81" spans="1:21" s="1085" customFormat="1" ht="12.75">
      <c r="A81" s="126">
        <v>5346</v>
      </c>
      <c r="B81" s="126" t="s">
        <v>2087</v>
      </c>
      <c r="C81" s="126" t="s">
        <v>2088</v>
      </c>
      <c r="D81" s="1995" t="s">
        <v>2090</v>
      </c>
      <c r="E81" s="2027">
        <v>1</v>
      </c>
      <c r="F81" s="1085" t="s">
        <v>2985</v>
      </c>
      <c r="G81" s="2010" t="s">
        <v>1214</v>
      </c>
      <c r="H81" s="475">
        <v>11580</v>
      </c>
      <c r="L81" s="2006"/>
      <c r="M81" s="2011">
        <v>5346</v>
      </c>
      <c r="N81" s="2030" t="s">
        <v>3918</v>
      </c>
      <c r="O81" s="2012" t="s">
        <v>4792</v>
      </c>
      <c r="P81" s="2006">
        <v>2017</v>
      </c>
      <c r="Q81" s="2012" t="s">
        <v>4793</v>
      </c>
      <c r="R81" s="2012">
        <v>5346</v>
      </c>
      <c r="S81" s="2013">
        <v>1390.04</v>
      </c>
      <c r="T81" s="1996"/>
      <c r="U81" s="1996"/>
    </row>
    <row r="82" spans="1:21" s="1085" customFormat="1" ht="12.75">
      <c r="A82" s="126">
        <v>5347</v>
      </c>
      <c r="B82" s="126" t="s">
        <v>2087</v>
      </c>
      <c r="C82" s="126" t="s">
        <v>2088</v>
      </c>
      <c r="D82" s="1995" t="s">
        <v>2871</v>
      </c>
      <c r="E82" s="2027">
        <v>2</v>
      </c>
      <c r="F82" s="1085" t="s">
        <v>2985</v>
      </c>
      <c r="G82" s="2010" t="s">
        <v>1214</v>
      </c>
      <c r="H82" s="475">
        <v>11581</v>
      </c>
      <c r="L82" s="2006"/>
      <c r="M82" s="2011">
        <v>5347</v>
      </c>
      <c r="N82" s="2030" t="s">
        <v>3917</v>
      </c>
      <c r="O82" s="2012" t="s">
        <v>4794</v>
      </c>
      <c r="P82" s="2006"/>
      <c r="Q82" s="2012" t="s">
        <v>4795</v>
      </c>
      <c r="R82" s="2012">
        <v>5347</v>
      </c>
      <c r="S82" s="2013">
        <v>1809.64</v>
      </c>
      <c r="T82" s="1996"/>
      <c r="U82" s="1996"/>
    </row>
    <row r="83" spans="1:21" s="1085" customFormat="1" ht="12.75">
      <c r="A83" s="126">
        <v>5348</v>
      </c>
      <c r="B83" s="126" t="s">
        <v>2087</v>
      </c>
      <c r="C83" s="126" t="s">
        <v>2088</v>
      </c>
      <c r="D83" s="1995" t="s">
        <v>3132</v>
      </c>
      <c r="E83" s="2027">
        <v>2</v>
      </c>
      <c r="F83" s="1085" t="s">
        <v>2985</v>
      </c>
      <c r="G83" s="2010" t="s">
        <v>1214</v>
      </c>
      <c r="H83" s="475">
        <v>11582</v>
      </c>
      <c r="L83" s="2006"/>
      <c r="M83" s="2011">
        <v>5348</v>
      </c>
      <c r="N83" s="2030" t="s">
        <v>3917</v>
      </c>
      <c r="O83" s="2012" t="s">
        <v>5118</v>
      </c>
      <c r="P83" s="2006">
        <v>2016</v>
      </c>
      <c r="Q83" s="2012" t="s">
        <v>4796</v>
      </c>
      <c r="R83" s="2012">
        <v>5348</v>
      </c>
      <c r="S83" s="2013">
        <v>678.39</v>
      </c>
      <c r="T83" s="1996"/>
      <c r="U83" s="1996"/>
    </row>
    <row r="84" spans="1:21" s="1085" customFormat="1" ht="12.75">
      <c r="A84" s="126">
        <v>5349</v>
      </c>
      <c r="B84" s="126" t="s">
        <v>2087</v>
      </c>
      <c r="C84" s="126" t="s">
        <v>2088</v>
      </c>
      <c r="D84" s="1995" t="s">
        <v>3258</v>
      </c>
      <c r="E84" s="2027">
        <v>3</v>
      </c>
      <c r="F84" s="1085" t="s">
        <v>2985</v>
      </c>
      <c r="G84" s="2010" t="s">
        <v>1214</v>
      </c>
      <c r="H84" s="475">
        <v>11583</v>
      </c>
      <c r="L84" s="2006"/>
      <c r="M84" s="2011">
        <v>5349</v>
      </c>
      <c r="N84" s="2030" t="s">
        <v>89</v>
      </c>
      <c r="O84" s="2012" t="s">
        <v>4797</v>
      </c>
      <c r="P84" s="2006">
        <v>2014</v>
      </c>
      <c r="Q84" s="2012" t="s">
        <v>4798</v>
      </c>
      <c r="R84" s="2012">
        <v>5349</v>
      </c>
      <c r="S84" s="2013">
        <v>2172.09</v>
      </c>
      <c r="T84" s="1996"/>
      <c r="U84" s="1996"/>
    </row>
    <row r="85" spans="1:21" s="1085" customFormat="1" ht="12.75">
      <c r="A85" s="126">
        <v>5350</v>
      </c>
      <c r="B85" s="126" t="s">
        <v>2087</v>
      </c>
      <c r="C85" s="126" t="s">
        <v>2088</v>
      </c>
      <c r="D85" s="1995" t="s">
        <v>3259</v>
      </c>
      <c r="E85" s="2027">
        <v>2</v>
      </c>
      <c r="F85" s="1085" t="s">
        <v>2985</v>
      </c>
      <c r="G85" s="2010" t="s">
        <v>1214</v>
      </c>
      <c r="H85" s="475">
        <v>11584</v>
      </c>
      <c r="L85" s="2006"/>
      <c r="M85" s="2011">
        <v>5350</v>
      </c>
      <c r="N85" s="2030" t="s">
        <v>3917</v>
      </c>
      <c r="O85" s="2012" t="s">
        <v>4799</v>
      </c>
      <c r="P85" s="2006">
        <v>2016</v>
      </c>
      <c r="Q85" s="2012" t="s">
        <v>4800</v>
      </c>
      <c r="R85" s="2012">
        <v>5350</v>
      </c>
      <c r="S85" s="2013">
        <v>1090.49</v>
      </c>
      <c r="T85" s="1996"/>
      <c r="U85" s="1996"/>
    </row>
    <row r="86" spans="1:21" s="1085" customFormat="1" ht="38.25">
      <c r="A86" s="126">
        <v>5351</v>
      </c>
      <c r="B86" s="126" t="s">
        <v>2087</v>
      </c>
      <c r="C86" s="126" t="s">
        <v>2088</v>
      </c>
      <c r="D86" s="1995" t="s">
        <v>999</v>
      </c>
      <c r="E86" s="2027">
        <v>3</v>
      </c>
      <c r="F86" s="1085" t="s">
        <v>2985</v>
      </c>
      <c r="G86" s="2010" t="s">
        <v>1214</v>
      </c>
      <c r="H86" s="475">
        <v>11585</v>
      </c>
      <c r="L86" s="2006"/>
      <c r="M86" s="2011">
        <v>5351</v>
      </c>
      <c r="N86" s="2030" t="s">
        <v>89</v>
      </c>
      <c r="O86" s="2012" t="s">
        <v>4801</v>
      </c>
      <c r="P86" s="2006">
        <v>2020</v>
      </c>
      <c r="Q86" s="2012" t="s">
        <v>4802</v>
      </c>
      <c r="R86" s="2012">
        <v>5351</v>
      </c>
      <c r="S86" s="2013">
        <v>2057.1999999999998</v>
      </c>
      <c r="T86" s="1996"/>
      <c r="U86" s="1996"/>
    </row>
    <row r="87" spans="1:21" s="1085" customFormat="1" ht="12.75">
      <c r="A87" s="126">
        <v>5352</v>
      </c>
      <c r="B87" s="126" t="s">
        <v>2087</v>
      </c>
      <c r="C87" s="126" t="s">
        <v>2088</v>
      </c>
      <c r="D87" s="1995" t="s">
        <v>1647</v>
      </c>
      <c r="E87" s="2027">
        <v>2</v>
      </c>
      <c r="F87" s="1085" t="s">
        <v>2985</v>
      </c>
      <c r="G87" s="2010" t="s">
        <v>1214</v>
      </c>
      <c r="H87" s="475">
        <v>11586</v>
      </c>
      <c r="L87" s="2006"/>
      <c r="M87" s="2011">
        <v>5352</v>
      </c>
      <c r="N87" s="2030" t="s">
        <v>3917</v>
      </c>
      <c r="O87" s="2012" t="s">
        <v>4803</v>
      </c>
      <c r="P87" s="2006">
        <v>2017</v>
      </c>
      <c r="Q87" s="2012" t="s">
        <v>4804</v>
      </c>
      <c r="R87" s="2012">
        <v>5352</v>
      </c>
      <c r="S87" s="2013">
        <v>1011.15</v>
      </c>
      <c r="T87" s="1996"/>
      <c r="U87" s="1996"/>
    </row>
    <row r="88" spans="1:21" s="1085" customFormat="1" ht="12.75">
      <c r="A88" s="126">
        <v>5353</v>
      </c>
      <c r="B88" s="126" t="s">
        <v>2087</v>
      </c>
      <c r="C88" s="126" t="s">
        <v>2088</v>
      </c>
      <c r="D88" s="1995" t="s">
        <v>1648</v>
      </c>
      <c r="E88" s="2027">
        <v>2</v>
      </c>
      <c r="F88" s="1085" t="s">
        <v>2985</v>
      </c>
      <c r="G88" s="2010" t="s">
        <v>1214</v>
      </c>
      <c r="H88" s="475">
        <v>11587</v>
      </c>
      <c r="L88" s="2006"/>
      <c r="M88" s="2011">
        <v>5353</v>
      </c>
      <c r="N88" s="2030" t="s">
        <v>3917</v>
      </c>
      <c r="O88" s="2012" t="s">
        <v>4805</v>
      </c>
      <c r="P88" s="2006"/>
      <c r="Q88" s="2012" t="s">
        <v>4806</v>
      </c>
      <c r="R88" s="2012">
        <v>5353</v>
      </c>
      <c r="S88" s="2013">
        <v>1777.89</v>
      </c>
      <c r="T88" s="1996"/>
      <c r="U88" s="1996"/>
    </row>
    <row r="89" spans="1:21" s="1085" customFormat="1" ht="12.75">
      <c r="A89" s="126">
        <v>5354</v>
      </c>
      <c r="B89" s="126" t="s">
        <v>2087</v>
      </c>
      <c r="C89" s="126" t="s">
        <v>2088</v>
      </c>
      <c r="D89" s="1995" t="s">
        <v>1649</v>
      </c>
      <c r="E89" s="2027">
        <v>1</v>
      </c>
      <c r="F89" s="1085" t="s">
        <v>2985</v>
      </c>
      <c r="G89" s="2010" t="s">
        <v>1214</v>
      </c>
      <c r="H89" s="475">
        <v>11588</v>
      </c>
      <c r="L89" s="2006"/>
      <c r="M89" s="2011">
        <v>5354</v>
      </c>
      <c r="N89" s="2030" t="s">
        <v>3918</v>
      </c>
      <c r="O89" s="2012" t="s">
        <v>4807</v>
      </c>
      <c r="P89" s="2006">
        <v>2016</v>
      </c>
      <c r="Q89" s="2012" t="s">
        <v>4808</v>
      </c>
      <c r="R89" s="2012">
        <v>5354</v>
      </c>
      <c r="S89" s="2013">
        <v>846.82</v>
      </c>
      <c r="T89" s="1996"/>
      <c r="U89" s="1996"/>
    </row>
    <row r="90" spans="1:21" s="1085" customFormat="1" ht="12.75">
      <c r="A90" s="126">
        <v>5355</v>
      </c>
      <c r="B90" s="126" t="s">
        <v>2087</v>
      </c>
      <c r="C90" s="126" t="s">
        <v>2088</v>
      </c>
      <c r="D90" s="1995" t="s">
        <v>1650</v>
      </c>
      <c r="E90" s="2027">
        <v>2</v>
      </c>
      <c r="F90" s="1085" t="s">
        <v>2985</v>
      </c>
      <c r="G90" s="2010" t="s">
        <v>1214</v>
      </c>
      <c r="H90" s="475">
        <v>11589</v>
      </c>
      <c r="L90" s="2006"/>
      <c r="M90" s="2011">
        <v>5355</v>
      </c>
      <c r="N90" s="2030" t="s">
        <v>3917</v>
      </c>
      <c r="O90" s="2012" t="s">
        <v>4809</v>
      </c>
      <c r="P90" s="2006">
        <v>2015</v>
      </c>
      <c r="Q90" s="2012" t="s">
        <v>4810</v>
      </c>
      <c r="R90" s="2012">
        <v>5355</v>
      </c>
      <c r="S90" s="2013">
        <v>2012.93</v>
      </c>
      <c r="T90" s="1996"/>
      <c r="U90" s="1996"/>
    </row>
    <row r="91" spans="1:21" s="1085" customFormat="1" ht="25.5">
      <c r="A91" s="126">
        <v>5356</v>
      </c>
      <c r="B91" s="126" t="s">
        <v>2087</v>
      </c>
      <c r="C91" s="126" t="s">
        <v>2088</v>
      </c>
      <c r="D91" s="1995" t="s">
        <v>1651</v>
      </c>
      <c r="E91" s="2027">
        <v>2</v>
      </c>
      <c r="F91" s="1085" t="s">
        <v>2985</v>
      </c>
      <c r="G91" s="2010" t="s">
        <v>1214</v>
      </c>
      <c r="H91" s="475">
        <v>11590</v>
      </c>
      <c r="L91" s="2006"/>
      <c r="M91" s="2011">
        <v>5356</v>
      </c>
      <c r="N91" s="2030" t="s">
        <v>3917</v>
      </c>
      <c r="O91" s="2012" t="s">
        <v>4811</v>
      </c>
      <c r="P91" s="2006">
        <v>2017</v>
      </c>
      <c r="Q91" s="2012" t="s">
        <v>4812</v>
      </c>
      <c r="R91" s="2012">
        <v>5356</v>
      </c>
      <c r="S91" s="2013">
        <v>1047.7</v>
      </c>
      <c r="T91" s="1996"/>
      <c r="U91" s="1996"/>
    </row>
    <row r="92" spans="1:21" s="1085" customFormat="1" ht="12.75">
      <c r="A92" s="126">
        <v>5357</v>
      </c>
      <c r="B92" s="126" t="s">
        <v>2087</v>
      </c>
      <c r="C92" s="126" t="s">
        <v>2088</v>
      </c>
      <c r="D92" s="1995" t="s">
        <v>4255</v>
      </c>
      <c r="E92" s="2027">
        <v>1</v>
      </c>
      <c r="F92" s="1085" t="s">
        <v>2985</v>
      </c>
      <c r="G92" s="2010" t="s">
        <v>1214</v>
      </c>
      <c r="H92" s="475">
        <v>11591</v>
      </c>
      <c r="K92" s="1085" t="s">
        <v>5265</v>
      </c>
      <c r="L92" s="2012">
        <v>3</v>
      </c>
      <c r="M92" s="2011">
        <v>5357</v>
      </c>
      <c r="N92" s="2030" t="s">
        <v>3918</v>
      </c>
      <c r="O92" s="2012" t="s">
        <v>4813</v>
      </c>
      <c r="P92" s="2006">
        <v>2016</v>
      </c>
      <c r="Q92" s="2012" t="s">
        <v>4814</v>
      </c>
      <c r="R92" s="2014">
        <v>5357</v>
      </c>
      <c r="S92" s="2013">
        <v>1310.84</v>
      </c>
      <c r="T92" s="1996"/>
      <c r="U92" s="1996"/>
    </row>
    <row r="93" spans="1:21" s="1085" customFormat="1" ht="12.75">
      <c r="A93" s="126">
        <v>5358</v>
      </c>
      <c r="B93" s="126" t="s">
        <v>2087</v>
      </c>
      <c r="C93" s="126" t="s">
        <v>2088</v>
      </c>
      <c r="D93" s="1995" t="s">
        <v>4256</v>
      </c>
      <c r="E93" s="2027">
        <v>4</v>
      </c>
      <c r="F93" s="1085" t="s">
        <v>2985</v>
      </c>
      <c r="G93" s="2010" t="s">
        <v>1214</v>
      </c>
      <c r="H93" s="475">
        <v>11592</v>
      </c>
      <c r="K93" s="1085" t="s">
        <v>5265</v>
      </c>
      <c r="L93" s="2012">
        <v>3</v>
      </c>
      <c r="M93" s="2011">
        <v>5358</v>
      </c>
      <c r="N93" s="2030" t="s">
        <v>90</v>
      </c>
      <c r="O93" s="2012" t="s">
        <v>4815</v>
      </c>
      <c r="P93" s="2006">
        <v>2016</v>
      </c>
      <c r="Q93" s="2012" t="s">
        <v>4816</v>
      </c>
      <c r="R93" s="2014">
        <v>5358</v>
      </c>
      <c r="S93" s="2013">
        <v>6608.23</v>
      </c>
      <c r="T93" s="1996"/>
      <c r="U93" s="1996"/>
    </row>
    <row r="94" spans="1:21" s="1085" customFormat="1" ht="12.75">
      <c r="A94" s="126">
        <v>5359</v>
      </c>
      <c r="B94" s="126" t="s">
        <v>2087</v>
      </c>
      <c r="C94" s="126" t="s">
        <v>2088</v>
      </c>
      <c r="D94" s="1995" t="s">
        <v>4257</v>
      </c>
      <c r="E94" s="2027">
        <v>2</v>
      </c>
      <c r="F94" s="1085" t="s">
        <v>2985</v>
      </c>
      <c r="G94" s="2010" t="s">
        <v>1214</v>
      </c>
      <c r="H94" s="475">
        <v>11593</v>
      </c>
      <c r="L94" s="2006"/>
      <c r="M94" s="2011">
        <v>5359</v>
      </c>
      <c r="N94" s="2030" t="s">
        <v>3917</v>
      </c>
      <c r="O94" s="2012" t="s">
        <v>4817</v>
      </c>
      <c r="P94" s="2006">
        <v>2002</v>
      </c>
      <c r="Q94" s="2012" t="s">
        <v>4818</v>
      </c>
      <c r="R94" s="2012">
        <v>5359</v>
      </c>
      <c r="S94" s="2013">
        <v>1502.54</v>
      </c>
      <c r="T94" s="1996"/>
      <c r="U94" s="1996"/>
    </row>
    <row r="95" spans="1:21" s="1085" customFormat="1" ht="12.75">
      <c r="A95" s="126">
        <v>5360</v>
      </c>
      <c r="B95" s="126" t="s">
        <v>2087</v>
      </c>
      <c r="C95" s="126" t="s">
        <v>2088</v>
      </c>
      <c r="D95" s="1995" t="s">
        <v>4258</v>
      </c>
      <c r="E95" s="2027">
        <v>2</v>
      </c>
      <c r="F95" s="1085" t="s">
        <v>2985</v>
      </c>
      <c r="G95" s="2010" t="s">
        <v>1214</v>
      </c>
      <c r="H95" s="475">
        <v>11594</v>
      </c>
      <c r="L95" s="2006"/>
      <c r="M95" s="2011">
        <v>5360</v>
      </c>
      <c r="N95" s="2030" t="s">
        <v>3917</v>
      </c>
      <c r="O95" s="2012" t="s">
        <v>4819</v>
      </c>
      <c r="P95" s="2006">
        <v>2017</v>
      </c>
      <c r="Q95" s="2012" t="s">
        <v>4820</v>
      </c>
      <c r="R95" s="2012">
        <v>5360</v>
      </c>
      <c r="S95" s="2013">
        <v>2007.12</v>
      </c>
      <c r="T95" s="1996"/>
      <c r="U95" s="1996"/>
    </row>
    <row r="96" spans="1:21" s="1085" customFormat="1" ht="12.75">
      <c r="A96" s="126">
        <v>5361</v>
      </c>
      <c r="B96" s="126" t="s">
        <v>2087</v>
      </c>
      <c r="C96" s="126" t="s">
        <v>2088</v>
      </c>
      <c r="D96" s="1995" t="s">
        <v>53</v>
      </c>
      <c r="E96" s="2027">
        <v>2</v>
      </c>
      <c r="F96" s="1085" t="s">
        <v>2985</v>
      </c>
      <c r="G96" s="2010" t="s">
        <v>1214</v>
      </c>
      <c r="H96" s="475">
        <v>11595</v>
      </c>
      <c r="L96" s="2006"/>
      <c r="M96" s="2011">
        <v>5361</v>
      </c>
      <c r="N96" s="2030" t="s">
        <v>3917</v>
      </c>
      <c r="O96" s="2012" t="s">
        <v>4821</v>
      </c>
      <c r="P96" s="2006">
        <v>2018</v>
      </c>
      <c r="Q96" s="2012" t="s">
        <v>4822</v>
      </c>
      <c r="R96" s="2012">
        <v>5361</v>
      </c>
      <c r="S96" s="2013">
        <v>1002.72</v>
      </c>
      <c r="T96" s="1996"/>
      <c r="U96" s="1996"/>
    </row>
    <row r="97" spans="1:21" s="1085" customFormat="1" ht="12.75">
      <c r="A97" s="126">
        <v>5362</v>
      </c>
      <c r="B97" s="126" t="s">
        <v>2087</v>
      </c>
      <c r="C97" s="126" t="s">
        <v>2088</v>
      </c>
      <c r="D97" s="1995" t="s">
        <v>54</v>
      </c>
      <c r="E97" s="2027">
        <v>2</v>
      </c>
      <c r="F97" s="1085" t="s">
        <v>2985</v>
      </c>
      <c r="G97" s="2010" t="s">
        <v>1214</v>
      </c>
      <c r="H97" s="475">
        <v>11596</v>
      </c>
      <c r="L97" s="2006"/>
      <c r="M97" s="2011">
        <v>5362</v>
      </c>
      <c r="N97" s="2030" t="s">
        <v>3917</v>
      </c>
      <c r="O97" s="2012" t="s">
        <v>4823</v>
      </c>
      <c r="P97" s="2006">
        <v>2016</v>
      </c>
      <c r="Q97" s="2012" t="s">
        <v>4824</v>
      </c>
      <c r="R97" s="2012">
        <v>5362</v>
      </c>
      <c r="S97" s="2013">
        <v>0</v>
      </c>
      <c r="T97" s="1996"/>
      <c r="U97" s="1996"/>
    </row>
    <row r="98" spans="1:21" s="1085" customFormat="1" ht="12.75">
      <c r="A98" s="126">
        <v>5363</v>
      </c>
      <c r="B98" s="126" t="s">
        <v>2087</v>
      </c>
      <c r="C98" s="126" t="s">
        <v>2088</v>
      </c>
      <c r="D98" s="1995" t="s">
        <v>2895</v>
      </c>
      <c r="E98" s="2027">
        <v>2</v>
      </c>
      <c r="F98" s="1085" t="s">
        <v>2985</v>
      </c>
      <c r="G98" s="2010" t="s">
        <v>1214</v>
      </c>
      <c r="H98" s="475">
        <v>11597</v>
      </c>
      <c r="L98" s="2006"/>
      <c r="M98" s="2011">
        <v>5363</v>
      </c>
      <c r="N98" s="2030" t="s">
        <v>3917</v>
      </c>
      <c r="O98" s="2012" t="s">
        <v>4825</v>
      </c>
      <c r="P98" s="2006">
        <v>2015</v>
      </c>
      <c r="Q98" s="2012" t="s">
        <v>4826</v>
      </c>
      <c r="R98" s="2012">
        <v>5363</v>
      </c>
      <c r="S98" s="2013">
        <v>357.14</v>
      </c>
      <c r="T98" s="1996"/>
      <c r="U98" s="1996"/>
    </row>
    <row r="99" spans="1:21" s="1085" customFormat="1" ht="22.5">
      <c r="A99" s="126">
        <v>5364</v>
      </c>
      <c r="B99" s="126" t="s">
        <v>2087</v>
      </c>
      <c r="C99" s="126" t="s">
        <v>2088</v>
      </c>
      <c r="D99" s="1995" t="s">
        <v>3362</v>
      </c>
      <c r="E99" s="2027">
        <v>3</v>
      </c>
      <c r="F99" s="1085" t="s">
        <v>2985</v>
      </c>
      <c r="G99" s="2010" t="s">
        <v>1214</v>
      </c>
      <c r="H99" s="475">
        <v>11598</v>
      </c>
      <c r="L99" s="2006"/>
      <c r="M99" s="2011">
        <v>5364</v>
      </c>
      <c r="N99" s="2030" t="s">
        <v>89</v>
      </c>
      <c r="O99" s="2012" t="s">
        <v>4827</v>
      </c>
      <c r="P99" s="2006">
        <v>2018</v>
      </c>
      <c r="Q99" s="2012" t="s">
        <v>4828</v>
      </c>
      <c r="R99" s="2012">
        <v>5364</v>
      </c>
      <c r="S99" s="2013">
        <v>1955.24</v>
      </c>
      <c r="T99" s="1996"/>
      <c r="U99" s="1996"/>
    </row>
    <row r="100" spans="1:21" s="1085" customFormat="1" ht="12.75">
      <c r="A100" s="126">
        <v>5365</v>
      </c>
      <c r="B100" s="126" t="s">
        <v>2087</v>
      </c>
      <c r="C100" s="126" t="s">
        <v>2088</v>
      </c>
      <c r="D100" s="1995" t="s">
        <v>3363</v>
      </c>
      <c r="E100" s="2027">
        <v>2</v>
      </c>
      <c r="F100" s="1085" t="s">
        <v>2985</v>
      </c>
      <c r="G100" s="2010" t="s">
        <v>1214</v>
      </c>
      <c r="H100" s="475">
        <v>11599</v>
      </c>
      <c r="L100" s="2006"/>
      <c r="M100" s="2011">
        <v>5365</v>
      </c>
      <c r="N100" s="2030" t="s">
        <v>3917</v>
      </c>
      <c r="O100" s="2012" t="s">
        <v>4829</v>
      </c>
      <c r="P100" s="2006">
        <v>2016</v>
      </c>
      <c r="Q100" s="2012" t="s">
        <v>4830</v>
      </c>
      <c r="R100" s="2012">
        <v>5365</v>
      </c>
      <c r="S100" s="2013">
        <v>1958.34</v>
      </c>
      <c r="T100" s="1996"/>
      <c r="U100" s="1996"/>
    </row>
    <row r="101" spans="1:21" s="1085" customFormat="1" ht="12.75">
      <c r="A101" s="126">
        <v>5366</v>
      </c>
      <c r="B101" s="126" t="s">
        <v>2087</v>
      </c>
      <c r="C101" s="126" t="s">
        <v>2088</v>
      </c>
      <c r="D101" s="1995" t="s">
        <v>2679</v>
      </c>
      <c r="E101" s="2027">
        <v>2</v>
      </c>
      <c r="F101" s="1085" t="s">
        <v>2985</v>
      </c>
      <c r="G101" s="2010" t="s">
        <v>1214</v>
      </c>
      <c r="H101" s="475">
        <v>11600</v>
      </c>
      <c r="L101" s="2006"/>
      <c r="M101" s="2011">
        <v>5366</v>
      </c>
      <c r="N101" s="2030" t="s">
        <v>3917</v>
      </c>
      <c r="O101" s="2012" t="s">
        <v>4831</v>
      </c>
      <c r="P101" s="2006">
        <v>2015</v>
      </c>
      <c r="Q101" s="2012" t="s">
        <v>4832</v>
      </c>
      <c r="R101" s="2012">
        <v>5366</v>
      </c>
      <c r="S101" s="2013">
        <v>493.5</v>
      </c>
      <c r="T101" s="1996"/>
      <c r="U101" s="1996"/>
    </row>
    <row r="102" spans="1:21" s="1085" customFormat="1" ht="12.75">
      <c r="A102" s="126">
        <v>5367</v>
      </c>
      <c r="B102" s="126" t="s">
        <v>2087</v>
      </c>
      <c r="C102" s="126" t="s">
        <v>2088</v>
      </c>
      <c r="D102" s="1995" t="s">
        <v>2684</v>
      </c>
      <c r="E102" s="2027">
        <v>1</v>
      </c>
      <c r="F102" s="1085" t="s">
        <v>2985</v>
      </c>
      <c r="G102" s="2010" t="s">
        <v>1214</v>
      </c>
      <c r="H102" s="475">
        <v>11601</v>
      </c>
      <c r="L102" s="2006"/>
      <c r="M102" s="2011">
        <v>5367</v>
      </c>
      <c r="N102" s="2030" t="s">
        <v>3918</v>
      </c>
      <c r="O102" s="2012" t="s">
        <v>4833</v>
      </c>
      <c r="P102" s="2006">
        <v>2017</v>
      </c>
      <c r="Q102" s="2012" t="s">
        <v>4834</v>
      </c>
      <c r="R102" s="2012">
        <v>5367</v>
      </c>
      <c r="S102" s="2013">
        <v>4.75</v>
      </c>
      <c r="T102" s="1996"/>
      <c r="U102" s="1996"/>
    </row>
    <row r="103" spans="1:21" s="1085" customFormat="1" ht="12.75">
      <c r="A103" s="126">
        <v>5368</v>
      </c>
      <c r="B103" s="126" t="s">
        <v>2087</v>
      </c>
      <c r="C103" s="126" t="s">
        <v>2088</v>
      </c>
      <c r="D103" s="1995" t="s">
        <v>2685</v>
      </c>
      <c r="E103" s="2027">
        <v>2</v>
      </c>
      <c r="F103" s="1085" t="s">
        <v>2985</v>
      </c>
      <c r="G103" s="2010" t="s">
        <v>1214</v>
      </c>
      <c r="H103" s="475">
        <v>11602</v>
      </c>
      <c r="L103" s="2006"/>
      <c r="M103" s="2011">
        <v>5368</v>
      </c>
      <c r="N103" s="2030" t="s">
        <v>3917</v>
      </c>
      <c r="O103" s="2012" t="s">
        <v>4835</v>
      </c>
      <c r="P103" s="2006">
        <v>2016</v>
      </c>
      <c r="Q103" s="2012" t="s">
        <v>4836</v>
      </c>
      <c r="R103" s="2012">
        <v>5368</v>
      </c>
      <c r="S103" s="2013">
        <v>1190.96</v>
      </c>
      <c r="T103" s="1996"/>
      <c r="U103" s="1996"/>
    </row>
    <row r="104" spans="1:21" s="1085" customFormat="1" ht="12.75">
      <c r="A104" s="126">
        <v>5369</v>
      </c>
      <c r="B104" s="126" t="s">
        <v>2087</v>
      </c>
      <c r="C104" s="126" t="s">
        <v>2088</v>
      </c>
      <c r="D104" s="1995" t="s">
        <v>413</v>
      </c>
      <c r="E104" s="2027">
        <v>2</v>
      </c>
      <c r="F104" s="1085" t="s">
        <v>2985</v>
      </c>
      <c r="G104" s="2010" t="s">
        <v>1214</v>
      </c>
      <c r="H104" s="475">
        <v>11603</v>
      </c>
      <c r="L104" s="2006"/>
      <c r="M104" s="2011">
        <v>5369</v>
      </c>
      <c r="N104" s="2030" t="s">
        <v>3917</v>
      </c>
      <c r="O104" s="2012" t="s">
        <v>4837</v>
      </c>
      <c r="P104" s="2006">
        <v>2016</v>
      </c>
      <c r="Q104" s="2012" t="s">
        <v>4838</v>
      </c>
      <c r="R104" s="2012">
        <v>5369</v>
      </c>
      <c r="S104" s="2013">
        <v>1449.32</v>
      </c>
      <c r="T104" s="1996"/>
      <c r="U104" s="1996"/>
    </row>
    <row r="105" spans="1:21" s="1085" customFormat="1" ht="12.75">
      <c r="A105" s="126">
        <v>5370</v>
      </c>
      <c r="B105" s="126" t="s">
        <v>2087</v>
      </c>
      <c r="C105" s="126" t="s">
        <v>414</v>
      </c>
      <c r="D105" s="1995" t="s">
        <v>415</v>
      </c>
      <c r="E105" s="2027">
        <v>4</v>
      </c>
      <c r="F105" s="1085" t="s">
        <v>2985</v>
      </c>
      <c r="G105" s="2010" t="s">
        <v>1214</v>
      </c>
      <c r="H105" s="475">
        <v>11604</v>
      </c>
      <c r="K105" s="1085" t="s">
        <v>3533</v>
      </c>
      <c r="L105" s="2012">
        <v>6</v>
      </c>
      <c r="M105" s="2011">
        <v>5370</v>
      </c>
      <c r="N105" s="2030" t="s">
        <v>90</v>
      </c>
      <c r="O105" s="2012" t="s">
        <v>4839</v>
      </c>
      <c r="P105" s="2006">
        <v>2016</v>
      </c>
      <c r="Q105" s="2012" t="s">
        <v>4840</v>
      </c>
      <c r="R105" s="2014">
        <v>5370</v>
      </c>
      <c r="S105" s="2013">
        <v>5227.43</v>
      </c>
      <c r="T105" s="1996"/>
      <c r="U105" s="1996"/>
    </row>
    <row r="106" spans="1:21" s="1085" customFormat="1" ht="12.75">
      <c r="A106" s="126">
        <v>5371</v>
      </c>
      <c r="B106" s="126" t="s">
        <v>2087</v>
      </c>
      <c r="C106" s="126" t="s">
        <v>414</v>
      </c>
      <c r="D106" s="1995" t="s">
        <v>416</v>
      </c>
      <c r="E106" s="2027">
        <v>1</v>
      </c>
      <c r="F106" s="1085" t="s">
        <v>2985</v>
      </c>
      <c r="G106" s="2010" t="s">
        <v>1214</v>
      </c>
      <c r="H106" s="475">
        <v>11605</v>
      </c>
      <c r="L106" s="2006"/>
      <c r="M106" s="2011">
        <v>5371</v>
      </c>
      <c r="N106" s="2030" t="s">
        <v>3918</v>
      </c>
      <c r="O106" s="2012" t="s">
        <v>4841</v>
      </c>
      <c r="P106" s="2006">
        <v>2016</v>
      </c>
      <c r="Q106" s="2012" t="s">
        <v>4842</v>
      </c>
      <c r="R106" s="2012">
        <v>5371</v>
      </c>
      <c r="S106" s="2013">
        <v>1525.41</v>
      </c>
      <c r="T106" s="1996"/>
      <c r="U106" s="1996"/>
    </row>
    <row r="107" spans="1:21" s="1085" customFormat="1" ht="25.5">
      <c r="A107" s="126">
        <v>5372</v>
      </c>
      <c r="B107" s="126" t="s">
        <v>2087</v>
      </c>
      <c r="C107" s="126" t="s">
        <v>414</v>
      </c>
      <c r="D107" s="1995" t="s">
        <v>561</v>
      </c>
      <c r="E107" s="2027">
        <v>2</v>
      </c>
      <c r="F107" s="1085" t="s">
        <v>2985</v>
      </c>
      <c r="G107" s="2010" t="s">
        <v>1214</v>
      </c>
      <c r="H107" s="475">
        <v>11606</v>
      </c>
      <c r="L107" s="2006"/>
      <c r="M107" s="2011">
        <v>5372</v>
      </c>
      <c r="N107" s="2030" t="s">
        <v>3917</v>
      </c>
      <c r="O107" s="2012" t="s">
        <v>4843</v>
      </c>
      <c r="P107" s="2006">
        <v>2016</v>
      </c>
      <c r="Q107" s="2012" t="s">
        <v>4844</v>
      </c>
      <c r="R107" s="2014">
        <v>5372</v>
      </c>
      <c r="S107" s="2013">
        <v>325.64</v>
      </c>
      <c r="T107" s="788"/>
    </row>
    <row r="108" spans="1:21" s="1085" customFormat="1" ht="25.5">
      <c r="A108" s="126">
        <v>5373</v>
      </c>
      <c r="B108" s="126" t="s">
        <v>2087</v>
      </c>
      <c r="C108" s="126" t="s">
        <v>414</v>
      </c>
      <c r="D108" s="1995" t="s">
        <v>562</v>
      </c>
      <c r="E108" s="2027">
        <v>2</v>
      </c>
      <c r="F108" s="1085" t="s">
        <v>2985</v>
      </c>
      <c r="G108" s="2010" t="s">
        <v>1214</v>
      </c>
      <c r="H108" s="475">
        <v>11607</v>
      </c>
      <c r="L108" s="2006"/>
      <c r="M108" s="2011">
        <v>5373</v>
      </c>
      <c r="N108" s="2030" t="s">
        <v>3917</v>
      </c>
      <c r="O108" s="2012" t="s">
        <v>4845</v>
      </c>
      <c r="P108" s="2006">
        <v>2016</v>
      </c>
      <c r="Q108" s="2012" t="s">
        <v>4846</v>
      </c>
      <c r="R108" s="2014">
        <v>5373</v>
      </c>
      <c r="S108" s="2013">
        <v>2585.36</v>
      </c>
      <c r="T108" s="1996"/>
      <c r="U108" s="1996"/>
    </row>
    <row r="109" spans="1:21" s="1085" customFormat="1" ht="12.75">
      <c r="A109" s="126">
        <v>5374</v>
      </c>
      <c r="B109" s="126" t="s">
        <v>2087</v>
      </c>
      <c r="C109" s="126" t="s">
        <v>414</v>
      </c>
      <c r="D109" s="1995" t="s">
        <v>563</v>
      </c>
      <c r="E109" s="2027">
        <v>1</v>
      </c>
      <c r="F109" s="1085" t="s">
        <v>2985</v>
      </c>
      <c r="G109" s="2010" t="s">
        <v>1214</v>
      </c>
      <c r="H109" s="475">
        <v>11608</v>
      </c>
      <c r="K109" s="1085" t="s">
        <v>3533</v>
      </c>
      <c r="L109" s="2012">
        <v>6</v>
      </c>
      <c r="M109" s="2011">
        <v>5374</v>
      </c>
      <c r="N109" s="2030" t="s">
        <v>3918</v>
      </c>
      <c r="O109" s="2012" t="s">
        <v>4847</v>
      </c>
      <c r="P109" s="2006">
        <v>2016</v>
      </c>
      <c r="Q109" s="2012" t="s">
        <v>4848</v>
      </c>
      <c r="R109" s="2014">
        <v>5374</v>
      </c>
      <c r="S109" s="2013">
        <v>1296.21</v>
      </c>
      <c r="T109" s="1996"/>
      <c r="U109" s="1996"/>
    </row>
    <row r="110" spans="1:21" s="1085" customFormat="1" ht="12.75">
      <c r="A110" s="126">
        <v>5375</v>
      </c>
      <c r="B110" s="126" t="s">
        <v>2087</v>
      </c>
      <c r="C110" s="126" t="s">
        <v>414</v>
      </c>
      <c r="D110" s="1995" t="s">
        <v>564</v>
      </c>
      <c r="E110" s="2027">
        <v>1</v>
      </c>
      <c r="F110" s="1085" t="s">
        <v>2985</v>
      </c>
      <c r="G110" s="2010" t="s">
        <v>1214</v>
      </c>
      <c r="H110" s="475">
        <v>11609</v>
      </c>
      <c r="L110" s="2006"/>
      <c r="M110" s="2011">
        <v>5375</v>
      </c>
      <c r="N110" s="2030" t="s">
        <v>3918</v>
      </c>
      <c r="O110" s="2012" t="s">
        <v>4849</v>
      </c>
      <c r="P110" s="2006">
        <v>2016</v>
      </c>
      <c r="Q110" s="2012" t="s">
        <v>4850</v>
      </c>
      <c r="R110" s="2014">
        <v>5375</v>
      </c>
      <c r="S110" s="2013">
        <v>627.30999999999995</v>
      </c>
      <c r="T110" s="1996"/>
      <c r="U110" s="1996"/>
    </row>
    <row r="111" spans="1:21" s="1085" customFormat="1" ht="38.25">
      <c r="A111" s="126">
        <v>5376</v>
      </c>
      <c r="B111" s="126" t="s">
        <v>2087</v>
      </c>
      <c r="C111" s="126" t="s">
        <v>414</v>
      </c>
      <c r="D111" s="1995" t="s">
        <v>4463</v>
      </c>
      <c r="E111" s="2027">
        <v>2</v>
      </c>
      <c r="F111" s="1085" t="s">
        <v>2985</v>
      </c>
      <c r="G111" s="2010" t="s">
        <v>1214</v>
      </c>
      <c r="H111" s="475">
        <v>11610</v>
      </c>
      <c r="L111" s="2006"/>
      <c r="M111" s="2011">
        <v>5376</v>
      </c>
      <c r="N111" s="2030" t="s">
        <v>3917</v>
      </c>
      <c r="O111" s="2012" t="s">
        <v>4851</v>
      </c>
      <c r="P111" s="2006">
        <v>2016</v>
      </c>
      <c r="Q111" s="2012" t="s">
        <v>4852</v>
      </c>
      <c r="R111" s="2014">
        <v>5376</v>
      </c>
      <c r="S111" s="2013">
        <v>2884.38</v>
      </c>
      <c r="T111" s="1996"/>
      <c r="U111" s="1996"/>
    </row>
    <row r="112" spans="1:21" s="1085" customFormat="1" ht="12.75">
      <c r="A112" s="126">
        <v>5377</v>
      </c>
      <c r="B112" s="126" t="s">
        <v>2087</v>
      </c>
      <c r="C112" s="126" t="s">
        <v>414</v>
      </c>
      <c r="D112" s="1995" t="s">
        <v>4464</v>
      </c>
      <c r="E112" s="2027">
        <v>2</v>
      </c>
      <c r="F112" s="1085" t="s">
        <v>2985</v>
      </c>
      <c r="G112" s="2010" t="s">
        <v>1214</v>
      </c>
      <c r="H112" s="475">
        <v>11611</v>
      </c>
      <c r="L112" s="2006"/>
      <c r="M112" s="2011">
        <v>5377</v>
      </c>
      <c r="N112" s="2030" t="s">
        <v>3917</v>
      </c>
      <c r="O112" s="2012" t="s">
        <v>4853</v>
      </c>
      <c r="P112" s="2006">
        <v>2016</v>
      </c>
      <c r="Q112" s="2012" t="s">
        <v>4854</v>
      </c>
      <c r="R112" s="2014">
        <v>5377</v>
      </c>
      <c r="S112" s="2013">
        <v>438.41</v>
      </c>
      <c r="T112" s="1996"/>
      <c r="U112" s="1996"/>
    </row>
    <row r="113" spans="1:21" s="1085" customFormat="1" ht="12.75">
      <c r="A113" s="126">
        <v>5378</v>
      </c>
      <c r="B113" s="126" t="s">
        <v>2087</v>
      </c>
      <c r="C113" s="126" t="s">
        <v>414</v>
      </c>
      <c r="D113" s="1995" t="s">
        <v>976</v>
      </c>
      <c r="E113" s="2027">
        <v>1</v>
      </c>
      <c r="F113" s="1085" t="s">
        <v>2985</v>
      </c>
      <c r="G113" s="2010" t="s">
        <v>1214</v>
      </c>
      <c r="H113" s="475">
        <v>11612</v>
      </c>
      <c r="K113" s="1085" t="s">
        <v>3534</v>
      </c>
      <c r="L113" s="2012">
        <v>2</v>
      </c>
      <c r="M113" s="2011">
        <v>5378</v>
      </c>
      <c r="N113" s="2030" t="s">
        <v>3918</v>
      </c>
      <c r="O113" s="2012" t="s">
        <v>4855</v>
      </c>
      <c r="P113" s="2006">
        <v>2016</v>
      </c>
      <c r="Q113" s="2012" t="s">
        <v>4856</v>
      </c>
      <c r="R113" s="2014">
        <v>5378</v>
      </c>
      <c r="S113" s="2013">
        <v>834.96</v>
      </c>
      <c r="T113" s="1996"/>
      <c r="U113" s="1996"/>
    </row>
    <row r="114" spans="1:21" s="1085" customFormat="1" ht="12.75">
      <c r="A114" s="126">
        <v>5379</v>
      </c>
      <c r="B114" s="126" t="s">
        <v>2087</v>
      </c>
      <c r="C114" s="126" t="s">
        <v>414</v>
      </c>
      <c r="D114" s="1995" t="s">
        <v>977</v>
      </c>
      <c r="E114" s="2027">
        <v>2</v>
      </c>
      <c r="F114" s="1085" t="s">
        <v>2985</v>
      </c>
      <c r="G114" s="2010" t="s">
        <v>1214</v>
      </c>
      <c r="H114" s="475">
        <v>11613</v>
      </c>
      <c r="L114" s="2006"/>
      <c r="M114" s="2011">
        <v>5379</v>
      </c>
      <c r="N114" s="2030" t="s">
        <v>3917</v>
      </c>
      <c r="O114" s="2012" t="s">
        <v>4857</v>
      </c>
      <c r="P114" s="2006">
        <v>2016</v>
      </c>
      <c r="Q114" s="2012" t="s">
        <v>4858</v>
      </c>
      <c r="R114" s="2014">
        <v>5379</v>
      </c>
      <c r="S114" s="2013">
        <v>1045.8599999999999</v>
      </c>
      <c r="T114" s="1996"/>
      <c r="U114" s="1996"/>
    </row>
    <row r="115" spans="1:21" s="1085" customFormat="1" ht="12.75">
      <c r="A115" s="126">
        <v>5380</v>
      </c>
      <c r="B115" s="126" t="s">
        <v>2087</v>
      </c>
      <c r="C115" s="126" t="s">
        <v>414</v>
      </c>
      <c r="D115" s="1995" t="s">
        <v>5040</v>
      </c>
      <c r="E115" s="2027">
        <v>2</v>
      </c>
      <c r="F115" s="1085" t="s">
        <v>931</v>
      </c>
      <c r="G115" s="2010" t="s">
        <v>1214</v>
      </c>
      <c r="H115" s="475">
        <v>11614</v>
      </c>
      <c r="L115" s="2006"/>
      <c r="M115" s="2011">
        <v>5380</v>
      </c>
      <c r="N115" s="2030" t="s">
        <v>3917</v>
      </c>
      <c r="O115" s="2012" t="s">
        <v>4859</v>
      </c>
      <c r="P115" s="2006">
        <v>2016</v>
      </c>
      <c r="Q115" s="2012" t="s">
        <v>4860</v>
      </c>
      <c r="R115" s="2014">
        <v>5380</v>
      </c>
      <c r="S115" s="2013">
        <v>1463.86</v>
      </c>
      <c r="T115" s="1996"/>
      <c r="U115" s="1996"/>
    </row>
    <row r="116" spans="1:21" s="1085" customFormat="1" ht="12.75">
      <c r="A116" s="126">
        <v>5381</v>
      </c>
      <c r="B116" s="126" t="s">
        <v>2087</v>
      </c>
      <c r="C116" s="126" t="s">
        <v>414</v>
      </c>
      <c r="D116" s="1995" t="s">
        <v>978</v>
      </c>
      <c r="E116" s="2027">
        <v>2</v>
      </c>
      <c r="F116" s="1085" t="s">
        <v>2985</v>
      </c>
      <c r="G116" s="2010" t="s">
        <v>1214</v>
      </c>
      <c r="H116" s="475">
        <v>11615</v>
      </c>
      <c r="L116" s="2006"/>
      <c r="M116" s="2011">
        <v>5381</v>
      </c>
      <c r="N116" s="2030" t="s">
        <v>3917</v>
      </c>
      <c r="O116" s="2012" t="s">
        <v>4861</v>
      </c>
      <c r="P116" s="2006">
        <v>2016</v>
      </c>
      <c r="Q116" s="2012" t="s">
        <v>4862</v>
      </c>
      <c r="R116" s="2014">
        <v>5381</v>
      </c>
      <c r="S116" s="2013">
        <v>618.12</v>
      </c>
      <c r="T116" s="1996"/>
      <c r="U116" s="1996"/>
    </row>
    <row r="117" spans="1:21" s="1085" customFormat="1" ht="12.75">
      <c r="A117" s="126">
        <v>5382</v>
      </c>
      <c r="B117" s="126" t="s">
        <v>2087</v>
      </c>
      <c r="C117" s="126" t="s">
        <v>414</v>
      </c>
      <c r="D117" s="1995" t="s">
        <v>979</v>
      </c>
      <c r="E117" s="2027">
        <v>1</v>
      </c>
      <c r="F117" s="1085" t="s">
        <v>931</v>
      </c>
      <c r="G117" s="2010" t="s">
        <v>1214</v>
      </c>
      <c r="H117" s="475">
        <v>11616</v>
      </c>
      <c r="L117" s="2006"/>
      <c r="M117" s="2011">
        <v>5382</v>
      </c>
      <c r="N117" s="2030" t="s">
        <v>3918</v>
      </c>
      <c r="O117" s="2012" t="s">
        <v>4863</v>
      </c>
      <c r="P117" s="2006">
        <v>2016</v>
      </c>
      <c r="Q117" s="2012" t="s">
        <v>4864</v>
      </c>
      <c r="R117" s="2014">
        <v>5382</v>
      </c>
      <c r="S117" s="2013">
        <v>0</v>
      </c>
      <c r="T117" s="1996"/>
      <c r="U117" s="1996"/>
    </row>
    <row r="118" spans="1:21" s="1085" customFormat="1" ht="12.75">
      <c r="A118" s="126">
        <v>5383</v>
      </c>
      <c r="B118" s="126" t="s">
        <v>2087</v>
      </c>
      <c r="C118" s="126" t="s">
        <v>414</v>
      </c>
      <c r="D118" s="1995" t="s">
        <v>2891</v>
      </c>
      <c r="E118" s="2027">
        <v>2</v>
      </c>
      <c r="F118" s="1085" t="s">
        <v>2985</v>
      </c>
      <c r="G118" s="2010" t="s">
        <v>1214</v>
      </c>
      <c r="H118" s="475">
        <v>11617</v>
      </c>
      <c r="L118" s="2006"/>
      <c r="M118" s="2011">
        <v>5383</v>
      </c>
      <c r="N118" s="2030" t="s">
        <v>3917</v>
      </c>
      <c r="O118" s="2012" t="s">
        <v>4865</v>
      </c>
      <c r="P118" s="2006">
        <v>2016</v>
      </c>
      <c r="Q118" s="2012" t="s">
        <v>4866</v>
      </c>
      <c r="R118" s="2014">
        <v>5383</v>
      </c>
      <c r="S118" s="2013">
        <v>491.95</v>
      </c>
      <c r="T118" s="1996"/>
      <c r="U118" s="1996"/>
    </row>
    <row r="119" spans="1:21" s="1085" customFormat="1" ht="12.75">
      <c r="A119" s="126">
        <v>5384</v>
      </c>
      <c r="B119" s="126" t="s">
        <v>2087</v>
      </c>
      <c r="C119" s="126" t="s">
        <v>414</v>
      </c>
      <c r="D119" s="1995" t="s">
        <v>2910</v>
      </c>
      <c r="E119" s="2027">
        <v>3</v>
      </c>
      <c r="F119" s="1085" t="s">
        <v>2985</v>
      </c>
      <c r="G119" s="2010" t="s">
        <v>1214</v>
      </c>
      <c r="H119" s="475">
        <v>11618</v>
      </c>
      <c r="K119" s="1085" t="s">
        <v>5261</v>
      </c>
      <c r="L119" s="2012">
        <v>2</v>
      </c>
      <c r="M119" s="2011">
        <v>5384</v>
      </c>
      <c r="N119" s="2030" t="s">
        <v>89</v>
      </c>
      <c r="O119" s="2012" t="s">
        <v>4867</v>
      </c>
      <c r="P119" s="2006">
        <v>2016</v>
      </c>
      <c r="Q119" s="2012" t="s">
        <v>4868</v>
      </c>
      <c r="R119" s="2014">
        <v>5384</v>
      </c>
      <c r="S119" s="2013">
        <v>3308.53</v>
      </c>
      <c r="T119" s="1996"/>
      <c r="U119" s="1996"/>
    </row>
    <row r="120" spans="1:21" s="1085" customFormat="1" ht="12.75">
      <c r="A120" s="126">
        <v>5385</v>
      </c>
      <c r="B120" s="126" t="s">
        <v>2087</v>
      </c>
      <c r="C120" s="126" t="s">
        <v>414</v>
      </c>
      <c r="D120" s="1995" t="s">
        <v>20</v>
      </c>
      <c r="E120" s="2027">
        <v>2</v>
      </c>
      <c r="F120" s="1085" t="s">
        <v>2985</v>
      </c>
      <c r="G120" s="2010" t="s">
        <v>1214</v>
      </c>
      <c r="H120" s="475">
        <v>11619</v>
      </c>
      <c r="K120" s="1085" t="s">
        <v>5262</v>
      </c>
      <c r="L120" s="2012">
        <v>8</v>
      </c>
      <c r="M120" s="2011">
        <v>5385</v>
      </c>
      <c r="N120" s="2030" t="s">
        <v>3917</v>
      </c>
      <c r="O120" s="2012" t="s">
        <v>4869</v>
      </c>
      <c r="P120" s="2006">
        <v>2016</v>
      </c>
      <c r="Q120" s="2012" t="s">
        <v>4870</v>
      </c>
      <c r="R120" s="2014">
        <v>5385</v>
      </c>
      <c r="S120" s="2013">
        <v>352.95</v>
      </c>
      <c r="T120" s="1996"/>
      <c r="U120" s="1996"/>
    </row>
    <row r="121" spans="1:21" s="1085" customFormat="1" ht="12.75">
      <c r="A121" s="126">
        <v>5386</v>
      </c>
      <c r="B121" s="126" t="s">
        <v>2087</v>
      </c>
      <c r="C121" s="126" t="s">
        <v>414</v>
      </c>
      <c r="D121" s="1995" t="s">
        <v>21</v>
      </c>
      <c r="E121" s="2027">
        <v>1</v>
      </c>
      <c r="F121" s="1085" t="s">
        <v>2985</v>
      </c>
      <c r="G121" s="2010" t="s">
        <v>1214</v>
      </c>
      <c r="H121" s="475">
        <v>11620</v>
      </c>
      <c r="K121" s="1085" t="s">
        <v>5263</v>
      </c>
      <c r="L121" s="2012">
        <v>1</v>
      </c>
      <c r="M121" s="2011">
        <v>5386</v>
      </c>
      <c r="N121" s="2030" t="s">
        <v>3918</v>
      </c>
      <c r="O121" s="2012" t="s">
        <v>4871</v>
      </c>
      <c r="P121" s="2006">
        <v>2016</v>
      </c>
      <c r="Q121" s="2012" t="s">
        <v>4872</v>
      </c>
      <c r="R121" s="2014">
        <v>5386</v>
      </c>
      <c r="S121" s="2013">
        <v>718.87</v>
      </c>
      <c r="T121" s="1996"/>
      <c r="U121" s="1996"/>
    </row>
    <row r="122" spans="1:21" s="1085" customFormat="1" ht="12.75">
      <c r="A122" s="126">
        <v>5387</v>
      </c>
      <c r="B122" s="126" t="s">
        <v>2087</v>
      </c>
      <c r="C122" s="126" t="s">
        <v>414</v>
      </c>
      <c r="D122" s="1995" t="s">
        <v>22</v>
      </c>
      <c r="E122" s="2027">
        <v>2</v>
      </c>
      <c r="F122" s="1085" t="s">
        <v>2985</v>
      </c>
      <c r="G122" s="2010" t="s">
        <v>1214</v>
      </c>
      <c r="H122" s="475">
        <v>11621</v>
      </c>
      <c r="K122" s="1085" t="s">
        <v>5263</v>
      </c>
      <c r="L122" s="2012">
        <v>1</v>
      </c>
      <c r="M122" s="2011">
        <v>5387</v>
      </c>
      <c r="N122" s="2030" t="s">
        <v>3917</v>
      </c>
      <c r="O122" s="2012" t="s">
        <v>4873</v>
      </c>
      <c r="P122" s="2006">
        <v>2016</v>
      </c>
      <c r="Q122" s="2012" t="s">
        <v>4874</v>
      </c>
      <c r="R122" s="2014">
        <v>5387</v>
      </c>
      <c r="S122" s="2013">
        <v>1110.4000000000001</v>
      </c>
      <c r="T122" s="1996"/>
      <c r="U122" s="1996"/>
    </row>
    <row r="123" spans="1:21" s="1085" customFormat="1" ht="12.75">
      <c r="A123" s="126">
        <v>5388</v>
      </c>
      <c r="B123" s="126" t="s">
        <v>2087</v>
      </c>
      <c r="C123" s="126" t="s">
        <v>23</v>
      </c>
      <c r="D123" s="1995" t="s">
        <v>24</v>
      </c>
      <c r="E123" s="2027">
        <v>4</v>
      </c>
      <c r="F123" s="1085" t="s">
        <v>2985</v>
      </c>
      <c r="G123" s="2010" t="s">
        <v>1214</v>
      </c>
      <c r="H123" s="475">
        <v>11622</v>
      </c>
      <c r="L123" s="2006"/>
      <c r="M123" s="2011">
        <v>5388</v>
      </c>
      <c r="N123" s="2030" t="s">
        <v>90</v>
      </c>
      <c r="O123" s="2012" t="s">
        <v>4875</v>
      </c>
      <c r="P123" s="2006">
        <v>2016</v>
      </c>
      <c r="Q123" s="2012" t="s">
        <v>4876</v>
      </c>
      <c r="R123" s="2014">
        <v>5388</v>
      </c>
      <c r="S123" s="2013">
        <v>4109.49</v>
      </c>
      <c r="T123" s="1996"/>
      <c r="U123" s="1996"/>
    </row>
    <row r="124" spans="1:21" s="1085" customFormat="1" ht="22.5">
      <c r="A124" s="126">
        <v>5389</v>
      </c>
      <c r="B124" s="126" t="s">
        <v>2087</v>
      </c>
      <c r="C124" s="126" t="s">
        <v>23</v>
      </c>
      <c r="D124" s="1995" t="s">
        <v>3808</v>
      </c>
      <c r="E124" s="2027">
        <v>1</v>
      </c>
      <c r="F124" s="1085" t="s">
        <v>2985</v>
      </c>
      <c r="G124" s="2010" t="s">
        <v>1214</v>
      </c>
      <c r="H124" s="475">
        <v>11623</v>
      </c>
      <c r="L124" s="2006"/>
      <c r="M124" s="2011">
        <v>5389</v>
      </c>
      <c r="N124" s="2030" t="s">
        <v>3918</v>
      </c>
      <c r="O124" s="2012" t="s">
        <v>4877</v>
      </c>
      <c r="P124" s="2006">
        <v>2016</v>
      </c>
      <c r="Q124" s="2012" t="s">
        <v>4878</v>
      </c>
      <c r="R124" s="2014">
        <v>5389</v>
      </c>
      <c r="S124" s="2013">
        <v>723.99</v>
      </c>
      <c r="T124" s="1996"/>
      <c r="U124" s="1996"/>
    </row>
    <row r="125" spans="1:21" s="1085" customFormat="1" ht="25.5">
      <c r="A125" s="126">
        <v>5390</v>
      </c>
      <c r="B125" s="126" t="s">
        <v>2087</v>
      </c>
      <c r="C125" s="126" t="s">
        <v>23</v>
      </c>
      <c r="D125" s="1995" t="s">
        <v>3809</v>
      </c>
      <c r="E125" s="2027">
        <v>1</v>
      </c>
      <c r="F125" s="1085" t="s">
        <v>2985</v>
      </c>
      <c r="G125" s="2010" t="s">
        <v>1214</v>
      </c>
      <c r="H125" s="475">
        <v>11624</v>
      </c>
      <c r="K125" s="1085" t="s">
        <v>5260</v>
      </c>
      <c r="L125" s="2012">
        <v>10</v>
      </c>
      <c r="M125" s="2011">
        <v>5390</v>
      </c>
      <c r="N125" s="2030" t="s">
        <v>3918</v>
      </c>
      <c r="O125" s="2012" t="s">
        <v>4879</v>
      </c>
      <c r="P125" s="2006">
        <v>2016</v>
      </c>
      <c r="Q125" s="2012" t="s">
        <v>4880</v>
      </c>
      <c r="R125" s="2014">
        <v>5390</v>
      </c>
      <c r="S125" s="2013">
        <v>935.6</v>
      </c>
      <c r="T125" s="1996"/>
      <c r="U125" s="1996"/>
    </row>
    <row r="126" spans="1:21" s="1085" customFormat="1" ht="38.25">
      <c r="A126" s="126">
        <v>5391</v>
      </c>
      <c r="B126" s="126" t="s">
        <v>2087</v>
      </c>
      <c r="C126" s="126" t="s">
        <v>23</v>
      </c>
      <c r="D126" s="1995" t="s">
        <v>1258</v>
      </c>
      <c r="E126" s="2027">
        <v>1</v>
      </c>
      <c r="F126" s="1085" t="s">
        <v>2985</v>
      </c>
      <c r="G126" s="2010" t="s">
        <v>1214</v>
      </c>
      <c r="H126" s="475">
        <v>11625</v>
      </c>
      <c r="L126" s="2006"/>
      <c r="M126" s="2011">
        <v>5391</v>
      </c>
      <c r="N126" s="2030" t="s">
        <v>3918</v>
      </c>
      <c r="O126" s="2012" t="s">
        <v>4881</v>
      </c>
      <c r="P126" s="2006">
        <v>2016</v>
      </c>
      <c r="Q126" s="2012" t="s">
        <v>4882</v>
      </c>
      <c r="R126" s="2014">
        <v>5391</v>
      </c>
      <c r="S126" s="2013">
        <v>636.27</v>
      </c>
      <c r="T126" s="1996"/>
      <c r="U126" s="1996"/>
    </row>
    <row r="127" spans="1:21" s="1085" customFormat="1" ht="12.75">
      <c r="A127" s="126">
        <v>5392</v>
      </c>
      <c r="B127" s="126" t="s">
        <v>2087</v>
      </c>
      <c r="C127" s="126" t="s">
        <v>23</v>
      </c>
      <c r="D127" s="1995" t="s">
        <v>1259</v>
      </c>
      <c r="E127" s="2027">
        <v>2</v>
      </c>
      <c r="F127" s="1085" t="s">
        <v>2985</v>
      </c>
      <c r="G127" s="2010" t="s">
        <v>1214</v>
      </c>
      <c r="H127" s="475">
        <v>11626</v>
      </c>
      <c r="K127" s="1085" t="s">
        <v>5260</v>
      </c>
      <c r="L127" s="2012">
        <v>10</v>
      </c>
      <c r="M127" s="2011">
        <v>5392</v>
      </c>
      <c r="N127" s="2030" t="s">
        <v>3917</v>
      </c>
      <c r="O127" s="2012" t="s">
        <v>4883</v>
      </c>
      <c r="P127" s="2006">
        <v>2016</v>
      </c>
      <c r="Q127" s="2012" t="s">
        <v>4884</v>
      </c>
      <c r="R127" s="2014">
        <v>5392</v>
      </c>
      <c r="S127" s="2013">
        <v>1226.25</v>
      </c>
      <c r="T127" s="1996"/>
      <c r="U127" s="1996"/>
    </row>
    <row r="128" spans="1:21" s="1085" customFormat="1" ht="12.75">
      <c r="A128" s="126">
        <v>5393</v>
      </c>
      <c r="B128" s="126" t="s">
        <v>2087</v>
      </c>
      <c r="C128" s="126" t="s">
        <v>23</v>
      </c>
      <c r="D128" s="1995" t="s">
        <v>1260</v>
      </c>
      <c r="E128" s="2027">
        <v>1</v>
      </c>
      <c r="F128" s="1085" t="s">
        <v>2985</v>
      </c>
      <c r="G128" s="2010" t="s">
        <v>1214</v>
      </c>
      <c r="H128" s="475">
        <v>11627</v>
      </c>
      <c r="L128" s="2006"/>
      <c r="M128" s="2011">
        <v>5393</v>
      </c>
      <c r="N128" s="2030" t="s">
        <v>3918</v>
      </c>
      <c r="O128" s="2012" t="s">
        <v>4885</v>
      </c>
      <c r="P128" s="2006">
        <v>2016</v>
      </c>
      <c r="Q128" s="2012" t="s">
        <v>4886</v>
      </c>
      <c r="R128" s="2014">
        <v>5393</v>
      </c>
      <c r="S128" s="2013">
        <v>86.81</v>
      </c>
      <c r="T128" s="1996"/>
      <c r="U128" s="1996"/>
    </row>
    <row r="129" spans="1:21" s="1085" customFormat="1" ht="12.75">
      <c r="A129" s="126">
        <v>5394</v>
      </c>
      <c r="B129" s="126" t="s">
        <v>2087</v>
      </c>
      <c r="C129" s="126" t="s">
        <v>23</v>
      </c>
      <c r="D129" s="1995" t="s">
        <v>1261</v>
      </c>
      <c r="E129" s="2027">
        <v>1</v>
      </c>
      <c r="F129" s="1085" t="s">
        <v>2985</v>
      </c>
      <c r="G129" s="2010" t="s">
        <v>1214</v>
      </c>
      <c r="H129" s="475">
        <v>11628</v>
      </c>
      <c r="L129" s="2006"/>
      <c r="M129" s="2011">
        <v>5394</v>
      </c>
      <c r="N129" s="2030" t="s">
        <v>3918</v>
      </c>
      <c r="O129" s="2012" t="s">
        <v>4887</v>
      </c>
      <c r="P129" s="2006">
        <v>2016</v>
      </c>
      <c r="Q129" s="2012" t="s">
        <v>4888</v>
      </c>
      <c r="R129" s="2014">
        <v>5394</v>
      </c>
      <c r="S129" s="2013">
        <v>203.06</v>
      </c>
      <c r="T129" s="1996"/>
      <c r="U129" s="1996"/>
    </row>
    <row r="130" spans="1:21" s="1085" customFormat="1" ht="12.75">
      <c r="A130" s="126">
        <v>5395</v>
      </c>
      <c r="B130" s="126" t="s">
        <v>2087</v>
      </c>
      <c r="C130" s="126" t="s">
        <v>23</v>
      </c>
      <c r="D130" s="1995" t="s">
        <v>1262</v>
      </c>
      <c r="E130" s="2027">
        <v>2</v>
      </c>
      <c r="F130" s="1085" t="s">
        <v>2985</v>
      </c>
      <c r="G130" s="2010" t="s">
        <v>1214</v>
      </c>
      <c r="H130" s="475">
        <v>11629</v>
      </c>
      <c r="L130" s="2006"/>
      <c r="M130" s="2011">
        <v>5395</v>
      </c>
      <c r="N130" s="2030" t="s">
        <v>3917</v>
      </c>
      <c r="O130" s="2012" t="s">
        <v>4889</v>
      </c>
      <c r="P130" s="2006">
        <v>2016</v>
      </c>
      <c r="Q130" s="2012" t="s">
        <v>4890</v>
      </c>
      <c r="R130" s="2014">
        <v>5395</v>
      </c>
      <c r="S130" s="2013">
        <v>116.71</v>
      </c>
      <c r="T130" s="1996"/>
      <c r="U130" s="1996"/>
    </row>
    <row r="131" spans="1:21" s="1085" customFormat="1" ht="12.75">
      <c r="A131" s="126">
        <v>5396</v>
      </c>
      <c r="B131" s="126" t="s">
        <v>2087</v>
      </c>
      <c r="C131" s="126" t="s">
        <v>23</v>
      </c>
      <c r="D131" s="1995" t="s">
        <v>1699</v>
      </c>
      <c r="E131" s="2027">
        <v>2</v>
      </c>
      <c r="F131" s="1085" t="s">
        <v>2985</v>
      </c>
      <c r="G131" s="2010" t="s">
        <v>1214</v>
      </c>
      <c r="H131" s="475">
        <v>11630</v>
      </c>
      <c r="L131" s="2006"/>
      <c r="M131" s="2011">
        <v>5396</v>
      </c>
      <c r="N131" s="2030" t="s">
        <v>3917</v>
      </c>
      <c r="O131" s="2012" t="s">
        <v>4891</v>
      </c>
      <c r="P131" s="2006">
        <v>2016</v>
      </c>
      <c r="Q131" s="2012" t="s">
        <v>4892</v>
      </c>
      <c r="R131" s="2014">
        <v>5396</v>
      </c>
      <c r="S131" s="2013">
        <v>947.58</v>
      </c>
      <c r="T131" s="1996"/>
      <c r="U131" s="1996"/>
    </row>
    <row r="132" spans="1:21" s="1085" customFormat="1" ht="12.75">
      <c r="A132" s="126">
        <v>5397</v>
      </c>
      <c r="B132" s="126" t="s">
        <v>2087</v>
      </c>
      <c r="C132" s="126" t="s">
        <v>23</v>
      </c>
      <c r="D132" s="1995" t="s">
        <v>1700</v>
      </c>
      <c r="E132" s="2027">
        <v>1</v>
      </c>
      <c r="F132" s="1085" t="s">
        <v>2985</v>
      </c>
      <c r="G132" s="2010" t="s">
        <v>1214</v>
      </c>
      <c r="H132" s="475">
        <v>11631</v>
      </c>
      <c r="K132" s="1085" t="s">
        <v>5264</v>
      </c>
      <c r="L132" s="2012">
        <v>7</v>
      </c>
      <c r="M132" s="2011">
        <v>5397</v>
      </c>
      <c r="N132" s="2030" t="s">
        <v>3918</v>
      </c>
      <c r="O132" s="2012" t="s">
        <v>4893</v>
      </c>
      <c r="P132" s="2006">
        <v>2016</v>
      </c>
      <c r="Q132" s="2012" t="s">
        <v>4894</v>
      </c>
      <c r="R132" s="2014">
        <v>5397</v>
      </c>
      <c r="S132" s="2013">
        <v>89.96</v>
      </c>
      <c r="T132" s="1996"/>
      <c r="U132" s="1996"/>
    </row>
    <row r="133" spans="1:21" s="1085" customFormat="1" ht="12.75">
      <c r="A133" s="126">
        <v>5398</v>
      </c>
      <c r="B133" s="126" t="s">
        <v>2087</v>
      </c>
      <c r="C133" s="126" t="s">
        <v>23</v>
      </c>
      <c r="D133" s="1995" t="s">
        <v>3516</v>
      </c>
      <c r="E133" s="2027">
        <v>1</v>
      </c>
      <c r="F133" s="1085" t="s">
        <v>2985</v>
      </c>
      <c r="G133" s="2010" t="s">
        <v>1214</v>
      </c>
      <c r="H133" s="475">
        <v>11632</v>
      </c>
      <c r="K133" s="1085" t="s">
        <v>5264</v>
      </c>
      <c r="L133" s="2012">
        <v>7</v>
      </c>
      <c r="M133" s="2011">
        <v>5398</v>
      </c>
      <c r="N133" s="2030" t="s">
        <v>3918</v>
      </c>
      <c r="O133" s="2012" t="s">
        <v>4895</v>
      </c>
      <c r="P133" s="2006">
        <v>2016</v>
      </c>
      <c r="Q133" s="2012" t="s">
        <v>4896</v>
      </c>
      <c r="R133" s="2014">
        <v>5398</v>
      </c>
      <c r="S133" s="2013">
        <v>563.25</v>
      </c>
      <c r="T133" s="1996"/>
      <c r="U133" s="1996"/>
    </row>
    <row r="134" spans="1:21" s="1085" customFormat="1" ht="12.75">
      <c r="A134" s="126">
        <v>5399</v>
      </c>
      <c r="B134" s="126" t="s">
        <v>2087</v>
      </c>
      <c r="C134" s="126" t="s">
        <v>23</v>
      </c>
      <c r="D134" s="1995" t="s">
        <v>199</v>
      </c>
      <c r="E134" s="2027">
        <v>1</v>
      </c>
      <c r="F134" s="1085" t="s">
        <v>2985</v>
      </c>
      <c r="G134" s="2010" t="s">
        <v>1214</v>
      </c>
      <c r="H134" s="475">
        <v>11633</v>
      </c>
      <c r="L134" s="2006"/>
      <c r="M134" s="2011">
        <v>5399</v>
      </c>
      <c r="N134" s="2030" t="s">
        <v>3918</v>
      </c>
      <c r="O134" s="2012" t="s">
        <v>4897</v>
      </c>
      <c r="P134" s="2006">
        <v>2018</v>
      </c>
      <c r="Q134" s="2012" t="s">
        <v>4898</v>
      </c>
      <c r="R134" s="2014">
        <v>5399</v>
      </c>
      <c r="S134" s="2013">
        <v>844.82</v>
      </c>
      <c r="T134" s="1996"/>
      <c r="U134" s="1996"/>
    </row>
    <row r="135" spans="1:21" s="1085" customFormat="1" ht="12.75">
      <c r="A135" s="126">
        <v>5400</v>
      </c>
      <c r="B135" s="126" t="s">
        <v>2087</v>
      </c>
      <c r="C135" s="126" t="s">
        <v>23</v>
      </c>
      <c r="D135" s="1995" t="s">
        <v>200</v>
      </c>
      <c r="E135" s="2027">
        <v>2</v>
      </c>
      <c r="F135" s="1085" t="s">
        <v>2985</v>
      </c>
      <c r="G135" s="2010" t="s">
        <v>1214</v>
      </c>
      <c r="H135" s="475">
        <v>11634</v>
      </c>
      <c r="L135" s="2006"/>
      <c r="M135" s="2011">
        <v>5400</v>
      </c>
      <c r="N135" s="2030" t="s">
        <v>3917</v>
      </c>
      <c r="O135" s="2012" t="s">
        <v>4899</v>
      </c>
      <c r="P135" s="2006">
        <v>2016</v>
      </c>
      <c r="Q135" s="2012" t="s">
        <v>4900</v>
      </c>
      <c r="R135" s="2014">
        <v>5400</v>
      </c>
      <c r="S135" s="2013">
        <v>255.1</v>
      </c>
      <c r="T135" s="1996"/>
      <c r="U135" s="1996"/>
    </row>
    <row r="136" spans="1:21" s="1085" customFormat="1" ht="12.75">
      <c r="A136" s="126">
        <v>5401</v>
      </c>
      <c r="B136" s="126" t="s">
        <v>2087</v>
      </c>
      <c r="C136" s="126" t="s">
        <v>23</v>
      </c>
      <c r="D136" s="1995" t="s">
        <v>201</v>
      </c>
      <c r="E136" s="2027">
        <v>1</v>
      </c>
      <c r="F136" s="1085" t="s">
        <v>931</v>
      </c>
      <c r="G136" s="2010" t="s">
        <v>1214</v>
      </c>
      <c r="H136" s="475">
        <v>11635</v>
      </c>
      <c r="L136" s="2006"/>
      <c r="M136" s="2011">
        <v>5401</v>
      </c>
      <c r="N136" s="2030" t="s">
        <v>3918</v>
      </c>
      <c r="O136" s="2012" t="s">
        <v>4901</v>
      </c>
      <c r="P136" s="2006">
        <v>2016</v>
      </c>
      <c r="Q136" s="2012" t="s">
        <v>4902</v>
      </c>
      <c r="R136" s="2014">
        <v>5401</v>
      </c>
      <c r="S136" s="2013">
        <v>1426.97</v>
      </c>
      <c r="T136" s="1996"/>
      <c r="U136" s="1996"/>
    </row>
    <row r="137" spans="1:21" s="1085" customFormat="1" ht="12.75">
      <c r="A137" s="126">
        <v>5402</v>
      </c>
      <c r="B137" s="126" t="s">
        <v>2087</v>
      </c>
      <c r="C137" s="126" t="s">
        <v>23</v>
      </c>
      <c r="D137" s="1995" t="s">
        <v>202</v>
      </c>
      <c r="E137" s="2027">
        <v>2</v>
      </c>
      <c r="F137" s="1085" t="s">
        <v>2985</v>
      </c>
      <c r="G137" s="2010" t="s">
        <v>1214</v>
      </c>
      <c r="H137" s="475">
        <v>11636</v>
      </c>
      <c r="L137" s="2006"/>
      <c r="M137" s="2011">
        <v>5402</v>
      </c>
      <c r="N137" s="2030" t="s">
        <v>3917</v>
      </c>
      <c r="O137" s="2012" t="s">
        <v>4903</v>
      </c>
      <c r="P137" s="2006">
        <v>2016</v>
      </c>
      <c r="Q137" s="2012" t="s">
        <v>4904</v>
      </c>
      <c r="R137" s="2014">
        <v>5402</v>
      </c>
      <c r="S137" s="2013">
        <v>1132.1600000000001</v>
      </c>
      <c r="T137" s="1996"/>
      <c r="U137" s="1996"/>
    </row>
    <row r="138" spans="1:21" s="1085" customFormat="1" ht="12.75">
      <c r="A138" s="126">
        <v>5403</v>
      </c>
      <c r="B138" s="126" t="s">
        <v>2087</v>
      </c>
      <c r="C138" s="126" t="s">
        <v>23</v>
      </c>
      <c r="D138" s="1995" t="s">
        <v>3260</v>
      </c>
      <c r="E138" s="2027">
        <v>2</v>
      </c>
      <c r="F138" s="1085" t="s">
        <v>931</v>
      </c>
      <c r="G138" s="2010" t="s">
        <v>1215</v>
      </c>
      <c r="H138" s="475">
        <v>11637</v>
      </c>
      <c r="L138" s="2006"/>
      <c r="M138" s="2011">
        <v>5403</v>
      </c>
      <c r="N138" s="2030" t="s">
        <v>3917</v>
      </c>
      <c r="O138" s="2012" t="s">
        <v>4905</v>
      </c>
      <c r="P138" s="2006">
        <v>2016</v>
      </c>
      <c r="Q138" s="2012" t="s">
        <v>4906</v>
      </c>
      <c r="R138" s="2014">
        <v>5403</v>
      </c>
      <c r="S138" s="2013">
        <v>578.96</v>
      </c>
      <c r="T138" s="1996"/>
      <c r="U138" s="1996"/>
    </row>
    <row r="139" spans="1:21" s="1085" customFormat="1" ht="12.75">
      <c r="A139" s="126">
        <v>5404</v>
      </c>
      <c r="B139" s="126" t="s">
        <v>2087</v>
      </c>
      <c r="C139" s="126" t="s">
        <v>23</v>
      </c>
      <c r="D139" s="1995" t="s">
        <v>2625</v>
      </c>
      <c r="E139" s="2027">
        <v>1</v>
      </c>
      <c r="F139" s="1085" t="s">
        <v>2985</v>
      </c>
      <c r="G139" s="2010" t="s">
        <v>1215</v>
      </c>
      <c r="H139" s="475">
        <v>11638</v>
      </c>
      <c r="K139" s="1085" t="s">
        <v>3533</v>
      </c>
      <c r="L139" s="2012">
        <v>5</v>
      </c>
      <c r="M139" s="2011">
        <v>5404</v>
      </c>
      <c r="N139" s="2030" t="s">
        <v>3918</v>
      </c>
      <c r="O139" s="2012" t="s">
        <v>4907</v>
      </c>
      <c r="P139" s="2006">
        <v>2016</v>
      </c>
      <c r="Q139" s="2012" t="s">
        <v>4908</v>
      </c>
      <c r="R139" s="2014">
        <v>5404</v>
      </c>
      <c r="S139" s="2013">
        <v>609.37</v>
      </c>
      <c r="T139" s="1996"/>
      <c r="U139" s="1996"/>
    </row>
    <row r="140" spans="1:21" s="1085" customFormat="1" ht="38.25">
      <c r="A140" s="126">
        <v>5405</v>
      </c>
      <c r="B140" s="126" t="s">
        <v>2087</v>
      </c>
      <c r="C140" s="126" t="s">
        <v>23</v>
      </c>
      <c r="D140" s="1995" t="s">
        <v>5041</v>
      </c>
      <c r="E140" s="2027">
        <v>1</v>
      </c>
      <c r="F140" s="1085" t="s">
        <v>931</v>
      </c>
      <c r="G140" s="2010" t="s">
        <v>1215</v>
      </c>
      <c r="H140" s="475">
        <v>11639</v>
      </c>
      <c r="L140" s="2006"/>
      <c r="M140" s="2011">
        <v>5405</v>
      </c>
      <c r="N140" s="2030" t="s">
        <v>3918</v>
      </c>
      <c r="O140" s="2012" t="s">
        <v>4909</v>
      </c>
      <c r="P140" s="2006">
        <v>2016</v>
      </c>
      <c r="Q140" s="2012" t="s">
        <v>4910</v>
      </c>
      <c r="R140" s="2014">
        <v>5405</v>
      </c>
      <c r="S140" s="2013">
        <v>526.98</v>
      </c>
      <c r="T140" s="1996"/>
      <c r="U140" s="1996"/>
    </row>
    <row r="141" spans="1:21" s="1085" customFormat="1" ht="12.75">
      <c r="A141" s="126">
        <v>5406</v>
      </c>
      <c r="B141" s="126" t="s">
        <v>2087</v>
      </c>
      <c r="C141" s="126" t="s">
        <v>23</v>
      </c>
      <c r="D141" s="1995" t="s">
        <v>2626</v>
      </c>
      <c r="E141" s="2027">
        <v>2</v>
      </c>
      <c r="F141" s="1085" t="s">
        <v>2985</v>
      </c>
      <c r="G141" s="2010" t="s">
        <v>1215</v>
      </c>
      <c r="H141" s="475">
        <v>11640</v>
      </c>
      <c r="L141" s="2006"/>
      <c r="M141" s="2011">
        <v>5406</v>
      </c>
      <c r="N141" s="2030" t="s">
        <v>3917</v>
      </c>
      <c r="O141" s="2012" t="s">
        <v>4911</v>
      </c>
      <c r="P141" s="2006">
        <v>2016</v>
      </c>
      <c r="Q141" s="2012" t="s">
        <v>4912</v>
      </c>
      <c r="R141" s="2014">
        <v>5406</v>
      </c>
      <c r="S141" s="2013">
        <v>1184.43</v>
      </c>
      <c r="T141" s="1996"/>
      <c r="U141" s="1996"/>
    </row>
    <row r="142" spans="1:21" s="1085" customFormat="1" ht="38.25">
      <c r="A142" s="126">
        <v>5407</v>
      </c>
      <c r="B142" s="126" t="s">
        <v>2087</v>
      </c>
      <c r="C142" s="126" t="s">
        <v>23</v>
      </c>
      <c r="D142" s="1995" t="s">
        <v>2643</v>
      </c>
      <c r="E142" s="2027">
        <v>2</v>
      </c>
      <c r="F142" s="1085" t="s">
        <v>2985</v>
      </c>
      <c r="G142" s="2010" t="s">
        <v>1215</v>
      </c>
      <c r="H142" s="475">
        <v>11641</v>
      </c>
      <c r="L142" s="2006"/>
      <c r="M142" s="2011">
        <v>5407</v>
      </c>
      <c r="N142" s="2030" t="s">
        <v>3917</v>
      </c>
      <c r="O142" s="2012" t="s">
        <v>4913</v>
      </c>
      <c r="P142" s="2006">
        <v>2016</v>
      </c>
      <c r="Q142" s="2012" t="s">
        <v>4914</v>
      </c>
      <c r="R142" s="2014">
        <v>5407</v>
      </c>
      <c r="S142" s="2013">
        <v>777.18</v>
      </c>
      <c r="T142" s="1996"/>
      <c r="U142" s="1996"/>
    </row>
    <row r="143" spans="1:21" s="1085" customFormat="1" ht="12.75">
      <c r="A143" s="126">
        <v>5408</v>
      </c>
      <c r="B143" s="126" t="s">
        <v>2087</v>
      </c>
      <c r="C143" s="126" t="s">
        <v>23</v>
      </c>
      <c r="D143" s="1995" t="s">
        <v>5042</v>
      </c>
      <c r="E143" s="2027">
        <v>3</v>
      </c>
      <c r="F143" s="1085" t="s">
        <v>931</v>
      </c>
      <c r="G143" s="2010" t="s">
        <v>1215</v>
      </c>
      <c r="H143" s="475">
        <v>11642</v>
      </c>
      <c r="L143" s="2006"/>
      <c r="M143" s="2011">
        <v>5408</v>
      </c>
      <c r="N143" s="2030" t="s">
        <v>89</v>
      </c>
      <c r="O143" s="2012" t="s">
        <v>4915</v>
      </c>
      <c r="P143" s="2006">
        <v>2016</v>
      </c>
      <c r="Q143" s="2012" t="s">
        <v>4916</v>
      </c>
      <c r="R143" s="2014">
        <v>5408</v>
      </c>
      <c r="S143" s="2013">
        <v>788.36</v>
      </c>
      <c r="T143" s="1996"/>
      <c r="U143" s="1996"/>
    </row>
    <row r="144" spans="1:21" s="1085" customFormat="1" ht="12.75">
      <c r="A144" s="126">
        <v>5409</v>
      </c>
      <c r="B144" s="126" t="s">
        <v>2087</v>
      </c>
      <c r="C144" s="126" t="s">
        <v>23</v>
      </c>
      <c r="D144" s="1995" t="s">
        <v>2644</v>
      </c>
      <c r="E144" s="2027">
        <v>2</v>
      </c>
      <c r="F144" s="1085" t="s">
        <v>2985</v>
      </c>
      <c r="G144" s="2010" t="s">
        <v>1215</v>
      </c>
      <c r="H144" s="475">
        <v>11643</v>
      </c>
      <c r="L144" s="2006"/>
      <c r="M144" s="2011">
        <v>5409</v>
      </c>
      <c r="N144" s="2030" t="s">
        <v>3917</v>
      </c>
      <c r="O144" s="2012" t="s">
        <v>4917</v>
      </c>
      <c r="P144" s="2006">
        <v>2016</v>
      </c>
      <c r="Q144" s="2012" t="s">
        <v>4918</v>
      </c>
      <c r="R144" s="2014">
        <v>5409</v>
      </c>
      <c r="S144" s="2013">
        <v>1714.39</v>
      </c>
      <c r="T144" s="1996"/>
      <c r="U144" s="1996"/>
    </row>
    <row r="145" spans="1:21" s="1085" customFormat="1" ht="12.75">
      <c r="A145" s="126">
        <v>5410</v>
      </c>
      <c r="B145" s="126" t="s">
        <v>2087</v>
      </c>
      <c r="C145" s="126" t="s">
        <v>23</v>
      </c>
      <c r="D145" s="1995" t="s">
        <v>2645</v>
      </c>
      <c r="E145" s="2027">
        <v>2</v>
      </c>
      <c r="F145" s="1085" t="s">
        <v>2985</v>
      </c>
      <c r="G145" s="2010" t="s">
        <v>1215</v>
      </c>
      <c r="H145" s="475">
        <v>11644</v>
      </c>
      <c r="L145" s="2006"/>
      <c r="M145" s="2011">
        <v>5410</v>
      </c>
      <c r="N145" s="2030" t="s">
        <v>3917</v>
      </c>
      <c r="O145" s="2012" t="s">
        <v>4919</v>
      </c>
      <c r="P145" s="2006">
        <v>2016</v>
      </c>
      <c r="Q145" s="2012" t="s">
        <v>4920</v>
      </c>
      <c r="R145" s="2014">
        <v>5410</v>
      </c>
      <c r="S145" s="2013">
        <v>1195.68</v>
      </c>
      <c r="T145" s="1996"/>
      <c r="U145" s="1996"/>
    </row>
    <row r="146" spans="1:21" s="1085" customFormat="1" ht="12.75">
      <c r="A146" s="126">
        <v>5411</v>
      </c>
      <c r="B146" s="126" t="s">
        <v>2087</v>
      </c>
      <c r="C146" s="126" t="s">
        <v>23</v>
      </c>
      <c r="D146" s="1995" t="s">
        <v>2646</v>
      </c>
      <c r="E146" s="2027">
        <v>3</v>
      </c>
      <c r="F146" s="1085" t="s">
        <v>2985</v>
      </c>
      <c r="G146" s="2010" t="s">
        <v>1214</v>
      </c>
      <c r="H146" s="475">
        <v>11645</v>
      </c>
      <c r="L146" s="2006"/>
      <c r="M146" s="2011">
        <v>5411</v>
      </c>
      <c r="N146" s="2030" t="s">
        <v>89</v>
      </c>
      <c r="O146" s="2012" t="s">
        <v>4921</v>
      </c>
      <c r="P146" s="2006">
        <v>2020</v>
      </c>
      <c r="Q146" s="2012" t="s">
        <v>4922</v>
      </c>
      <c r="R146" s="2014">
        <v>5411</v>
      </c>
      <c r="S146" s="2013">
        <v>1830.59</v>
      </c>
      <c r="T146" s="1996"/>
      <c r="U146" s="1996"/>
    </row>
    <row r="147" spans="1:21" s="1085" customFormat="1" ht="12.75">
      <c r="A147" s="126">
        <v>5412</v>
      </c>
      <c r="B147" s="126" t="s">
        <v>2087</v>
      </c>
      <c r="C147" s="126" t="s">
        <v>23</v>
      </c>
      <c r="D147" s="1995" t="s">
        <v>2647</v>
      </c>
      <c r="E147" s="2027">
        <v>2</v>
      </c>
      <c r="F147" s="1085" t="s">
        <v>2985</v>
      </c>
      <c r="G147" s="2010" t="s">
        <v>1214</v>
      </c>
      <c r="H147" s="475">
        <v>11646</v>
      </c>
      <c r="L147" s="2006"/>
      <c r="M147" s="2011">
        <v>5412</v>
      </c>
      <c r="N147" s="2030" t="s">
        <v>3917</v>
      </c>
      <c r="O147" s="2012" t="s">
        <v>4923</v>
      </c>
      <c r="P147" s="2006">
        <v>2016</v>
      </c>
      <c r="Q147" s="2012" t="s">
        <v>4924</v>
      </c>
      <c r="R147" s="2014">
        <v>5412</v>
      </c>
      <c r="S147" s="2013">
        <v>508.6</v>
      </c>
      <c r="T147" s="1996"/>
      <c r="U147" s="1996"/>
    </row>
    <row r="148" spans="1:21" s="1085" customFormat="1" ht="12.75">
      <c r="A148" s="126">
        <v>5413</v>
      </c>
      <c r="B148" s="126" t="s">
        <v>2087</v>
      </c>
      <c r="C148" s="126" t="s">
        <v>23</v>
      </c>
      <c r="D148" s="1995" t="s">
        <v>2648</v>
      </c>
      <c r="E148" s="2027">
        <v>2</v>
      </c>
      <c r="F148" s="1085" t="s">
        <v>2985</v>
      </c>
      <c r="G148" s="2010" t="s">
        <v>1215</v>
      </c>
      <c r="H148" s="475">
        <v>11647</v>
      </c>
      <c r="K148" s="1085" t="s">
        <v>3533</v>
      </c>
      <c r="L148" s="2012">
        <v>5</v>
      </c>
      <c r="M148" s="2011">
        <v>5413</v>
      </c>
      <c r="N148" s="2030" t="s">
        <v>3917</v>
      </c>
      <c r="O148" s="2012" t="s">
        <v>4925</v>
      </c>
      <c r="P148" s="2006">
        <v>2016</v>
      </c>
      <c r="Q148" s="2012" t="s">
        <v>4926</v>
      </c>
      <c r="R148" s="2014">
        <v>5413</v>
      </c>
      <c r="S148" s="2013">
        <v>2008.8</v>
      </c>
      <c r="T148" s="1996"/>
      <c r="U148" s="1996"/>
    </row>
    <row r="149" spans="1:21" s="1085" customFormat="1" ht="12.75">
      <c r="A149" s="126">
        <v>5414</v>
      </c>
      <c r="B149" s="126" t="s">
        <v>2087</v>
      </c>
      <c r="C149" s="126" t="s">
        <v>23</v>
      </c>
      <c r="D149" s="1995" t="s">
        <v>4339</v>
      </c>
      <c r="E149" s="2027">
        <v>1</v>
      </c>
      <c r="F149" s="1085" t="s">
        <v>2985</v>
      </c>
      <c r="G149" s="2010" t="s">
        <v>1215</v>
      </c>
      <c r="H149" s="475">
        <v>11648</v>
      </c>
      <c r="K149" s="1085" t="s">
        <v>3533</v>
      </c>
      <c r="L149" s="2012">
        <v>5</v>
      </c>
      <c r="M149" s="2011">
        <v>5414</v>
      </c>
      <c r="N149" s="2030" t="s">
        <v>3918</v>
      </c>
      <c r="O149" s="2012" t="s">
        <v>4927</v>
      </c>
      <c r="P149" s="2006">
        <v>2016</v>
      </c>
      <c r="Q149" s="2012" t="s">
        <v>4928</v>
      </c>
      <c r="R149" s="2014">
        <v>5414</v>
      </c>
      <c r="S149" s="2013">
        <v>223.19</v>
      </c>
      <c r="T149" s="1996"/>
      <c r="U149" s="1996"/>
    </row>
    <row r="150" spans="1:21" s="1085" customFormat="1" ht="12.75">
      <c r="A150" s="126">
        <v>5415</v>
      </c>
      <c r="B150" s="126" t="s">
        <v>2087</v>
      </c>
      <c r="C150" s="126" t="s">
        <v>4340</v>
      </c>
      <c r="D150" s="1995" t="s">
        <v>4341</v>
      </c>
      <c r="E150" s="2027">
        <v>5</v>
      </c>
      <c r="F150" s="1085" t="s">
        <v>2985</v>
      </c>
      <c r="G150" s="2010" t="s">
        <v>1215</v>
      </c>
      <c r="H150" s="475">
        <v>11649</v>
      </c>
      <c r="L150" s="2006"/>
      <c r="M150" s="2011">
        <v>5415</v>
      </c>
      <c r="N150" s="2030" t="s">
        <v>3919</v>
      </c>
      <c r="O150" s="2012" t="s">
        <v>4929</v>
      </c>
      <c r="P150" s="2006">
        <v>2016</v>
      </c>
      <c r="Q150" s="2012" t="s">
        <v>4930</v>
      </c>
      <c r="R150" s="2014">
        <v>5415</v>
      </c>
      <c r="S150" s="2013">
        <v>3816.94</v>
      </c>
      <c r="T150" s="1996"/>
      <c r="U150" s="1996"/>
    </row>
    <row r="151" spans="1:21" s="1085" customFormat="1" ht="38.25">
      <c r="A151" s="126">
        <v>5416</v>
      </c>
      <c r="B151" s="126" t="s">
        <v>2087</v>
      </c>
      <c r="C151" s="126" t="s">
        <v>4340</v>
      </c>
      <c r="D151" s="1995" t="s">
        <v>4342</v>
      </c>
      <c r="E151" s="2027">
        <v>2</v>
      </c>
      <c r="F151" s="1085" t="s">
        <v>2985</v>
      </c>
      <c r="G151" s="2010" t="s">
        <v>1215</v>
      </c>
      <c r="H151" s="475">
        <v>11650</v>
      </c>
      <c r="L151" s="2006"/>
      <c r="M151" s="2011">
        <v>5416</v>
      </c>
      <c r="N151" s="2030" t="s">
        <v>3917</v>
      </c>
      <c r="O151" s="2012" t="s">
        <v>4931</v>
      </c>
      <c r="P151" s="2006">
        <v>2016</v>
      </c>
      <c r="Q151" s="2012" t="s">
        <v>4932</v>
      </c>
      <c r="R151" s="2014">
        <v>5416</v>
      </c>
      <c r="S151" s="2013">
        <v>748.76</v>
      </c>
      <c r="T151" s="1996"/>
      <c r="U151" s="1996"/>
    </row>
    <row r="152" spans="1:21" s="1085" customFormat="1" ht="25.5">
      <c r="A152" s="126">
        <v>5417</v>
      </c>
      <c r="B152" s="126" t="s">
        <v>2087</v>
      </c>
      <c r="C152" s="126" t="s">
        <v>4340</v>
      </c>
      <c r="D152" s="1995" t="s">
        <v>4343</v>
      </c>
      <c r="E152" s="2027">
        <v>2</v>
      </c>
      <c r="F152" s="1085" t="s">
        <v>2985</v>
      </c>
      <c r="G152" s="2010" t="s">
        <v>1215</v>
      </c>
      <c r="H152" s="475">
        <v>11651</v>
      </c>
      <c r="L152" s="2006"/>
      <c r="M152" s="2011">
        <v>5417</v>
      </c>
      <c r="N152" s="2030" t="s">
        <v>3917</v>
      </c>
      <c r="O152" s="2012" t="s">
        <v>4933</v>
      </c>
      <c r="P152" s="2006">
        <v>2016</v>
      </c>
      <c r="Q152" s="2012" t="s">
        <v>4934</v>
      </c>
      <c r="R152" s="2014">
        <v>5417</v>
      </c>
      <c r="S152" s="2013">
        <v>672.79</v>
      </c>
      <c r="T152" s="1996"/>
      <c r="U152" s="1996"/>
    </row>
    <row r="153" spans="1:21" s="1085" customFormat="1" ht="12.75">
      <c r="A153" s="126">
        <v>5418</v>
      </c>
      <c r="B153" s="126" t="s">
        <v>2087</v>
      </c>
      <c r="C153" s="126" t="s">
        <v>4340</v>
      </c>
      <c r="D153" s="1995" t="s">
        <v>4344</v>
      </c>
      <c r="E153" s="2027">
        <v>2</v>
      </c>
      <c r="F153" s="1085" t="s">
        <v>2985</v>
      </c>
      <c r="G153" s="2010" t="s">
        <v>1215</v>
      </c>
      <c r="H153" s="475">
        <v>11652</v>
      </c>
      <c r="L153" s="2006"/>
      <c r="M153" s="2011">
        <v>5418</v>
      </c>
      <c r="N153" s="2030" t="s">
        <v>3917</v>
      </c>
      <c r="O153" s="2012" t="s">
        <v>4935</v>
      </c>
      <c r="P153" s="2006">
        <v>2016</v>
      </c>
      <c r="Q153" s="2012" t="s">
        <v>4936</v>
      </c>
      <c r="R153" s="2014">
        <v>5418</v>
      </c>
      <c r="S153" s="2013">
        <v>577.23</v>
      </c>
      <c r="T153" s="1996"/>
      <c r="U153" s="1996"/>
    </row>
    <row r="154" spans="1:21" s="1085" customFormat="1" ht="12.75">
      <c r="A154" s="126">
        <v>5419</v>
      </c>
      <c r="B154" s="126" t="s">
        <v>2087</v>
      </c>
      <c r="C154" s="126" t="s">
        <v>4340</v>
      </c>
      <c r="D154" s="1995" t="s">
        <v>4345</v>
      </c>
      <c r="E154" s="2027">
        <v>2</v>
      </c>
      <c r="F154" s="1085" t="s">
        <v>2985</v>
      </c>
      <c r="G154" s="2010" t="s">
        <v>1215</v>
      </c>
      <c r="H154" s="475">
        <v>11653</v>
      </c>
      <c r="L154" s="2006"/>
      <c r="M154" s="2011">
        <v>5419</v>
      </c>
      <c r="N154" s="2030" t="s">
        <v>3917</v>
      </c>
      <c r="O154" s="2012" t="s">
        <v>4937</v>
      </c>
      <c r="P154" s="2006">
        <v>2016</v>
      </c>
      <c r="Q154" s="2012" t="s">
        <v>4938</v>
      </c>
      <c r="R154" s="2014">
        <v>5419</v>
      </c>
      <c r="S154" s="2013">
        <v>1.95</v>
      </c>
      <c r="T154" s="1996"/>
      <c r="U154" s="1996"/>
    </row>
    <row r="155" spans="1:21" s="1085" customFormat="1" ht="12.75">
      <c r="A155" s="126">
        <v>5420</v>
      </c>
      <c r="B155" s="126" t="s">
        <v>2087</v>
      </c>
      <c r="C155" s="126" t="s">
        <v>4340</v>
      </c>
      <c r="D155" s="1995" t="s">
        <v>5266</v>
      </c>
      <c r="E155" s="2027">
        <v>2</v>
      </c>
      <c r="F155" s="1085" t="s">
        <v>2985</v>
      </c>
      <c r="G155" s="2010" t="s">
        <v>1215</v>
      </c>
      <c r="H155" s="475">
        <v>11654</v>
      </c>
      <c r="K155" s="1085" t="s">
        <v>5260</v>
      </c>
      <c r="L155" s="2006">
        <v>9</v>
      </c>
      <c r="M155" s="2011">
        <v>5420</v>
      </c>
      <c r="N155" s="2030" t="s">
        <v>3917</v>
      </c>
      <c r="O155" s="2012" t="s">
        <v>4939</v>
      </c>
      <c r="P155" s="2006">
        <v>2016</v>
      </c>
      <c r="Q155" s="2012" t="s">
        <v>4940</v>
      </c>
      <c r="R155" s="2014">
        <v>5420</v>
      </c>
      <c r="S155" s="2013">
        <v>898.8</v>
      </c>
      <c r="T155" s="788"/>
    </row>
    <row r="156" spans="1:21" s="1085" customFormat="1" ht="12.75">
      <c r="A156" s="126">
        <v>5421</v>
      </c>
      <c r="B156" s="126" t="s">
        <v>2087</v>
      </c>
      <c r="C156" s="126" t="s">
        <v>4340</v>
      </c>
      <c r="D156" s="1995" t="s">
        <v>2190</v>
      </c>
      <c r="E156" s="2027">
        <v>2</v>
      </c>
      <c r="F156" s="1085" t="s">
        <v>2985</v>
      </c>
      <c r="G156" s="2010" t="s">
        <v>1215</v>
      </c>
      <c r="H156" s="475">
        <v>11655</v>
      </c>
      <c r="M156" s="2011">
        <v>5421</v>
      </c>
      <c r="N156" s="2030" t="s">
        <v>3917</v>
      </c>
      <c r="O156" s="2012" t="s">
        <v>4941</v>
      </c>
      <c r="P156" s="2006">
        <v>2018</v>
      </c>
      <c r="Q156" s="2012" t="s">
        <v>4942</v>
      </c>
      <c r="R156" s="2014">
        <v>5421</v>
      </c>
      <c r="S156" s="2013">
        <v>925.06</v>
      </c>
      <c r="T156" s="788"/>
    </row>
    <row r="157" spans="1:21" s="1085" customFormat="1" ht="22.5">
      <c r="A157" s="126">
        <v>5422</v>
      </c>
      <c r="B157" s="126" t="s">
        <v>2087</v>
      </c>
      <c r="C157" s="126" t="s">
        <v>4340</v>
      </c>
      <c r="D157" s="1995" t="s">
        <v>5296</v>
      </c>
      <c r="E157" s="2027">
        <v>1</v>
      </c>
      <c r="F157" s="1085" t="s">
        <v>2985</v>
      </c>
      <c r="G157" s="2010" t="s">
        <v>1215</v>
      </c>
      <c r="H157" s="475">
        <v>11656</v>
      </c>
      <c r="M157" s="2011">
        <v>5422</v>
      </c>
      <c r="N157" s="2030" t="s">
        <v>3918</v>
      </c>
      <c r="O157" s="2012" t="s">
        <v>4943</v>
      </c>
      <c r="P157" s="2006">
        <v>2016</v>
      </c>
      <c r="Q157" s="2012" t="s">
        <v>4944</v>
      </c>
      <c r="R157" s="2014">
        <v>5422</v>
      </c>
      <c r="S157" s="2013">
        <v>641.42999999999995</v>
      </c>
      <c r="T157" s="788"/>
    </row>
    <row r="158" spans="1:21" s="1085" customFormat="1" ht="12.75">
      <c r="A158" s="126">
        <v>5423</v>
      </c>
      <c r="B158" s="126" t="s">
        <v>2087</v>
      </c>
      <c r="C158" s="126" t="s">
        <v>4340</v>
      </c>
      <c r="D158" s="1995" t="s">
        <v>529</v>
      </c>
      <c r="E158" s="2027">
        <v>1</v>
      </c>
      <c r="F158" s="1085" t="s">
        <v>2985</v>
      </c>
      <c r="G158" s="2010" t="s">
        <v>1215</v>
      </c>
      <c r="H158" s="475">
        <v>11657</v>
      </c>
      <c r="M158" s="2011">
        <v>5423</v>
      </c>
      <c r="N158" s="2030" t="s">
        <v>3918</v>
      </c>
      <c r="O158" s="2012" t="s">
        <v>4945</v>
      </c>
      <c r="P158" s="2006">
        <v>2016</v>
      </c>
      <c r="Q158" s="2012" t="s">
        <v>4946</v>
      </c>
      <c r="R158" s="2014">
        <v>5423</v>
      </c>
      <c r="S158" s="2013">
        <v>225.38</v>
      </c>
      <c r="T158" s="788"/>
    </row>
    <row r="159" spans="1:21" s="1085" customFormat="1" ht="12.75">
      <c r="A159" s="126">
        <v>5424</v>
      </c>
      <c r="B159" s="126" t="s">
        <v>2087</v>
      </c>
      <c r="C159" s="126" t="s">
        <v>4340</v>
      </c>
      <c r="D159" s="1995" t="s">
        <v>3869</v>
      </c>
      <c r="E159" s="2027">
        <v>1</v>
      </c>
      <c r="F159" s="1085" t="s">
        <v>2985</v>
      </c>
      <c r="G159" s="2010" t="s">
        <v>1215</v>
      </c>
      <c r="H159" s="475">
        <v>11658</v>
      </c>
      <c r="L159" s="2006"/>
      <c r="M159" s="2011">
        <v>5424</v>
      </c>
      <c r="N159" s="2030" t="s">
        <v>3918</v>
      </c>
      <c r="O159" s="2012" t="s">
        <v>4947</v>
      </c>
      <c r="P159" s="2006">
        <v>2016</v>
      </c>
      <c r="Q159" s="2012" t="s">
        <v>4948</v>
      </c>
      <c r="R159" s="2014">
        <v>5424</v>
      </c>
      <c r="S159" s="2013">
        <v>868.5</v>
      </c>
      <c r="T159" s="1996"/>
      <c r="U159" s="1996"/>
    </row>
    <row r="160" spans="1:21" s="1085" customFormat="1" ht="22.5">
      <c r="A160" s="126">
        <v>5425</v>
      </c>
      <c r="B160" s="126" t="s">
        <v>2087</v>
      </c>
      <c r="C160" s="126" t="s">
        <v>4340</v>
      </c>
      <c r="D160" s="1995" t="s">
        <v>3870</v>
      </c>
      <c r="E160" s="2027">
        <v>2</v>
      </c>
      <c r="F160" s="1085" t="s">
        <v>2985</v>
      </c>
      <c r="G160" s="2010" t="s">
        <v>1215</v>
      </c>
      <c r="H160" s="475">
        <v>11659</v>
      </c>
      <c r="L160" s="2006"/>
      <c r="M160" s="2011">
        <v>5425</v>
      </c>
      <c r="N160" s="2030" t="s">
        <v>3917</v>
      </c>
      <c r="O160" s="2012" t="s">
        <v>4949</v>
      </c>
      <c r="P160" s="2006">
        <v>2016</v>
      </c>
      <c r="Q160" s="2012" t="s">
        <v>4950</v>
      </c>
      <c r="R160" s="2014">
        <v>5425</v>
      </c>
      <c r="S160" s="2013">
        <v>466.13</v>
      </c>
      <c r="T160" s="1996"/>
      <c r="U160" s="1996"/>
    </row>
    <row r="161" spans="1:21" s="1085" customFormat="1" ht="12.75">
      <c r="A161" s="126">
        <v>5426</v>
      </c>
      <c r="B161" s="126" t="s">
        <v>2087</v>
      </c>
      <c r="C161" s="126" t="s">
        <v>4340</v>
      </c>
      <c r="D161" s="1995" t="s">
        <v>3871</v>
      </c>
      <c r="E161" s="2027">
        <v>1</v>
      </c>
      <c r="F161" s="1085" t="s">
        <v>2985</v>
      </c>
      <c r="G161" s="2010" t="s">
        <v>1215</v>
      </c>
      <c r="H161" s="475">
        <v>11660</v>
      </c>
      <c r="L161" s="2006"/>
      <c r="M161" s="2011">
        <v>5426</v>
      </c>
      <c r="N161" s="2030" t="s">
        <v>3918</v>
      </c>
      <c r="O161" s="2012" t="s">
        <v>4951</v>
      </c>
      <c r="P161" s="2006">
        <v>2016</v>
      </c>
      <c r="Q161" s="2012" t="s">
        <v>4952</v>
      </c>
      <c r="R161" s="2014">
        <v>5426</v>
      </c>
      <c r="S161" s="2013">
        <v>267.89999999999998</v>
      </c>
      <c r="T161" s="1996"/>
      <c r="U161" s="1996"/>
    </row>
    <row r="162" spans="1:21" s="1085" customFormat="1" ht="12.75">
      <c r="A162" s="126">
        <v>5427</v>
      </c>
      <c r="B162" s="126" t="s">
        <v>2087</v>
      </c>
      <c r="C162" s="126" t="s">
        <v>4340</v>
      </c>
      <c r="D162" s="1995" t="s">
        <v>3872</v>
      </c>
      <c r="E162" s="2027">
        <v>1</v>
      </c>
      <c r="F162" s="1085" t="s">
        <v>931</v>
      </c>
      <c r="G162" s="2010" t="s">
        <v>1215</v>
      </c>
      <c r="H162" s="475">
        <v>11661</v>
      </c>
      <c r="L162" s="2006"/>
      <c r="M162" s="2011">
        <v>5427</v>
      </c>
      <c r="N162" s="2030" t="s">
        <v>3918</v>
      </c>
      <c r="O162" s="2012" t="s">
        <v>4953</v>
      </c>
      <c r="P162" s="2006">
        <v>2016</v>
      </c>
      <c r="Q162" s="2012" t="s">
        <v>4954</v>
      </c>
      <c r="R162" s="2014">
        <v>5427</v>
      </c>
      <c r="S162" s="2013">
        <v>901.89</v>
      </c>
      <c r="T162" s="1996"/>
      <c r="U162" s="1996"/>
    </row>
    <row r="163" spans="1:21" s="1085" customFormat="1" ht="12.75">
      <c r="A163" s="126">
        <v>5428</v>
      </c>
      <c r="B163" s="126" t="s">
        <v>2087</v>
      </c>
      <c r="C163" s="126" t="s">
        <v>4340</v>
      </c>
      <c r="D163" s="1995" t="s">
        <v>3873</v>
      </c>
      <c r="E163" s="2027">
        <v>2</v>
      </c>
      <c r="F163" s="1085" t="s">
        <v>2985</v>
      </c>
      <c r="G163" s="2010" t="s">
        <v>1215</v>
      </c>
      <c r="H163" s="475">
        <v>11662</v>
      </c>
      <c r="L163" s="2006"/>
      <c r="M163" s="2011">
        <v>5428</v>
      </c>
      <c r="N163" s="2030" t="s">
        <v>3917</v>
      </c>
      <c r="O163" s="2012" t="s">
        <v>4955</v>
      </c>
      <c r="P163" s="2006">
        <v>2016</v>
      </c>
      <c r="Q163" s="2012" t="s">
        <v>4956</v>
      </c>
      <c r="R163" s="2014">
        <v>5428</v>
      </c>
      <c r="S163" s="2013">
        <v>542.04999999999995</v>
      </c>
      <c r="T163" s="1996"/>
      <c r="U163" s="1996"/>
    </row>
    <row r="164" spans="1:21" s="1085" customFormat="1" ht="25.5">
      <c r="A164" s="126">
        <v>5429</v>
      </c>
      <c r="B164" s="126" t="s">
        <v>2087</v>
      </c>
      <c r="C164" s="126" t="s">
        <v>4340</v>
      </c>
      <c r="D164" s="1995" t="s">
        <v>3874</v>
      </c>
      <c r="E164" s="2027">
        <v>2</v>
      </c>
      <c r="F164" s="1085" t="s">
        <v>2985</v>
      </c>
      <c r="G164" s="2010" t="s">
        <v>1215</v>
      </c>
      <c r="H164" s="475">
        <v>11663</v>
      </c>
      <c r="L164" s="2006"/>
      <c r="M164" s="2011">
        <v>5429</v>
      </c>
      <c r="N164" s="2030" t="s">
        <v>3917</v>
      </c>
      <c r="O164" s="2012" t="s">
        <v>4957</v>
      </c>
      <c r="P164" s="2006">
        <v>2016</v>
      </c>
      <c r="Q164" s="2012" t="s">
        <v>4958</v>
      </c>
      <c r="R164" s="2014">
        <v>5429</v>
      </c>
      <c r="S164" s="2013">
        <v>906.81</v>
      </c>
      <c r="T164" s="1996"/>
      <c r="U164" s="1996"/>
    </row>
    <row r="165" spans="1:21" s="1085" customFormat="1" ht="12.75">
      <c r="A165" s="126">
        <v>5430</v>
      </c>
      <c r="B165" s="126" t="s">
        <v>2087</v>
      </c>
      <c r="C165" s="126" t="s">
        <v>4340</v>
      </c>
      <c r="D165" s="1995" t="s">
        <v>3875</v>
      </c>
      <c r="E165" s="2027">
        <v>2</v>
      </c>
      <c r="F165" s="1085" t="s">
        <v>2985</v>
      </c>
      <c r="G165" s="2010" t="s">
        <v>1215</v>
      </c>
      <c r="H165" s="475">
        <v>11664</v>
      </c>
      <c r="K165" s="1085" t="s">
        <v>5265</v>
      </c>
      <c r="L165" s="2012">
        <v>4</v>
      </c>
      <c r="M165" s="2011">
        <v>5430</v>
      </c>
      <c r="N165" s="2030" t="s">
        <v>3917</v>
      </c>
      <c r="O165" s="2012" t="s">
        <v>4959</v>
      </c>
      <c r="P165" s="2006">
        <v>2016</v>
      </c>
      <c r="Q165" s="2012" t="s">
        <v>4960</v>
      </c>
      <c r="R165" s="2014">
        <v>5430</v>
      </c>
      <c r="S165" s="2013">
        <v>268.11</v>
      </c>
      <c r="T165" s="1996"/>
      <c r="U165" s="1996"/>
    </row>
    <row r="166" spans="1:21" s="1085" customFormat="1" ht="25.5">
      <c r="A166" s="126">
        <v>5431</v>
      </c>
      <c r="B166" s="126" t="s">
        <v>2087</v>
      </c>
      <c r="C166" s="126" t="s">
        <v>4340</v>
      </c>
      <c r="D166" s="1995" t="s">
        <v>1887</v>
      </c>
      <c r="E166" s="2027">
        <v>1</v>
      </c>
      <c r="F166" s="1085" t="s">
        <v>2985</v>
      </c>
      <c r="G166" s="2010" t="s">
        <v>1215</v>
      </c>
      <c r="H166" s="475">
        <v>11665</v>
      </c>
      <c r="K166" s="1085" t="s">
        <v>5265</v>
      </c>
      <c r="L166" s="2012">
        <v>4</v>
      </c>
      <c r="M166" s="2011">
        <v>5431</v>
      </c>
      <c r="N166" s="2030" t="s">
        <v>3918</v>
      </c>
      <c r="O166" s="2012" t="s">
        <v>4961</v>
      </c>
      <c r="P166" s="2006">
        <v>2016</v>
      </c>
      <c r="Q166" s="2012" t="s">
        <v>4962</v>
      </c>
      <c r="R166" s="2014">
        <v>5431</v>
      </c>
      <c r="S166" s="2013">
        <v>929.75</v>
      </c>
      <c r="T166" s="1996"/>
      <c r="U166" s="1996"/>
    </row>
    <row r="167" spans="1:21" s="1085" customFormat="1" ht="12.75">
      <c r="A167" s="126">
        <v>5432</v>
      </c>
      <c r="B167" s="126" t="s">
        <v>2087</v>
      </c>
      <c r="C167" s="126" t="s">
        <v>4340</v>
      </c>
      <c r="D167" s="1995" t="s">
        <v>1888</v>
      </c>
      <c r="E167" s="2027">
        <v>3</v>
      </c>
      <c r="F167" s="1085" t="s">
        <v>2985</v>
      </c>
      <c r="G167" s="2010" t="s">
        <v>1215</v>
      </c>
      <c r="H167" s="475">
        <v>11666</v>
      </c>
      <c r="L167" s="2006"/>
      <c r="M167" s="2011">
        <v>5432</v>
      </c>
      <c r="N167" s="2030" t="s">
        <v>89</v>
      </c>
      <c r="O167" s="2012" t="s">
        <v>4963</v>
      </c>
      <c r="P167" s="2006">
        <v>2016</v>
      </c>
      <c r="Q167" s="2012" t="s">
        <v>4964</v>
      </c>
      <c r="R167" s="2014">
        <v>5432</v>
      </c>
      <c r="S167" s="2013">
        <v>3565.89</v>
      </c>
      <c r="T167" s="1996"/>
      <c r="U167" s="1996"/>
    </row>
    <row r="168" spans="1:21" s="1085" customFormat="1" ht="12.75">
      <c r="A168" s="126">
        <v>5433</v>
      </c>
      <c r="B168" s="126" t="s">
        <v>2087</v>
      </c>
      <c r="C168" s="126" t="s">
        <v>4340</v>
      </c>
      <c r="D168" s="1995" t="s">
        <v>1889</v>
      </c>
      <c r="E168" s="2027">
        <v>2</v>
      </c>
      <c r="F168" s="1085" t="s">
        <v>2985</v>
      </c>
      <c r="G168" s="2010" t="s">
        <v>1215</v>
      </c>
      <c r="H168" s="475">
        <v>11667</v>
      </c>
      <c r="L168" s="2006"/>
      <c r="M168" s="2011">
        <v>5433</v>
      </c>
      <c r="N168" s="2030" t="s">
        <v>3917</v>
      </c>
      <c r="O168" s="2012" t="s">
        <v>4965</v>
      </c>
      <c r="P168" s="2006">
        <v>2016</v>
      </c>
      <c r="Q168" s="2012" t="s">
        <v>4966</v>
      </c>
      <c r="R168" s="2014">
        <v>5433</v>
      </c>
      <c r="S168" s="2013">
        <v>245.28</v>
      </c>
      <c r="T168" s="1996"/>
      <c r="U168" s="1996"/>
    </row>
    <row r="169" spans="1:21" s="1085" customFormat="1" ht="12.75">
      <c r="A169" s="126">
        <v>5434</v>
      </c>
      <c r="B169" s="126" t="s">
        <v>2087</v>
      </c>
      <c r="C169" s="126" t="s">
        <v>4340</v>
      </c>
      <c r="D169" s="1995" t="s">
        <v>1890</v>
      </c>
      <c r="E169" s="2027">
        <v>2</v>
      </c>
      <c r="F169" s="1085" t="s">
        <v>2985</v>
      </c>
      <c r="G169" s="2010" t="s">
        <v>1215</v>
      </c>
      <c r="H169" s="475">
        <v>11668</v>
      </c>
      <c r="L169" s="2006"/>
      <c r="M169" s="2011">
        <v>5434</v>
      </c>
      <c r="N169" s="2030" t="s">
        <v>3917</v>
      </c>
      <c r="O169" s="2012" t="s">
        <v>4967</v>
      </c>
      <c r="P169" s="2006">
        <v>2016</v>
      </c>
      <c r="Q169" s="2012" t="s">
        <v>4968</v>
      </c>
      <c r="R169" s="2014">
        <v>5434</v>
      </c>
      <c r="S169" s="2013">
        <v>2156.25</v>
      </c>
      <c r="T169" s="1996"/>
      <c r="U169" s="1996"/>
    </row>
    <row r="170" spans="1:21" s="1085" customFormat="1" ht="12.75">
      <c r="A170" s="126">
        <v>5435</v>
      </c>
      <c r="B170" s="126" t="s">
        <v>2087</v>
      </c>
      <c r="C170" s="126" t="s">
        <v>4340</v>
      </c>
      <c r="D170" s="1995" t="s">
        <v>3163</v>
      </c>
      <c r="E170" s="2027">
        <v>1</v>
      </c>
      <c r="F170" s="1085" t="s">
        <v>2985</v>
      </c>
      <c r="G170" s="2010" t="s">
        <v>1215</v>
      </c>
      <c r="H170" s="475">
        <v>11669</v>
      </c>
      <c r="L170" s="2006"/>
      <c r="M170" s="2011">
        <v>5435</v>
      </c>
      <c r="N170" s="2030" t="s">
        <v>3918</v>
      </c>
      <c r="O170" s="2012" t="s">
        <v>4969</v>
      </c>
      <c r="P170" s="2006">
        <v>2016</v>
      </c>
      <c r="Q170" s="2012" t="s">
        <v>4970</v>
      </c>
      <c r="R170" s="2014">
        <v>5435</v>
      </c>
      <c r="S170" s="2013">
        <v>573.16999999999996</v>
      </c>
      <c r="T170" s="1996"/>
      <c r="U170" s="1996"/>
    </row>
    <row r="171" spans="1:21" s="1085" customFormat="1" ht="12.75">
      <c r="A171" s="126">
        <v>5436</v>
      </c>
      <c r="B171" s="126" t="s">
        <v>2087</v>
      </c>
      <c r="C171" s="126" t="s">
        <v>4340</v>
      </c>
      <c r="D171" s="1995" t="s">
        <v>3164</v>
      </c>
      <c r="E171" s="2027">
        <v>1</v>
      </c>
      <c r="F171" s="1085" t="s">
        <v>2985</v>
      </c>
      <c r="G171" s="2010" t="s">
        <v>1215</v>
      </c>
      <c r="H171" s="475">
        <v>11670</v>
      </c>
      <c r="L171" s="2006"/>
      <c r="M171" s="2011">
        <v>5436</v>
      </c>
      <c r="N171" s="2030" t="s">
        <v>3918</v>
      </c>
      <c r="O171" s="2012" t="s">
        <v>4971</v>
      </c>
      <c r="P171" s="2006">
        <v>2016</v>
      </c>
      <c r="Q171" s="2012" t="s">
        <v>4972</v>
      </c>
      <c r="R171" s="2014">
        <v>5436</v>
      </c>
      <c r="S171" s="2013">
        <v>348.79</v>
      </c>
      <c r="T171" s="1996"/>
      <c r="U171" s="1996"/>
    </row>
    <row r="172" spans="1:21" s="1085" customFormat="1" ht="12.75">
      <c r="A172" s="126">
        <v>5437</v>
      </c>
      <c r="B172" s="126" t="s">
        <v>2087</v>
      </c>
      <c r="C172" s="126" t="s">
        <v>4340</v>
      </c>
      <c r="D172" s="1995" t="s">
        <v>3165</v>
      </c>
      <c r="E172" s="2027">
        <v>1</v>
      </c>
      <c r="F172" s="1085" t="s">
        <v>2985</v>
      </c>
      <c r="G172" s="2010" t="s">
        <v>1215</v>
      </c>
      <c r="H172" s="475">
        <v>11671</v>
      </c>
      <c r="L172" s="2006"/>
      <c r="M172" s="2011">
        <v>5437</v>
      </c>
      <c r="N172" s="2030" t="s">
        <v>3918</v>
      </c>
      <c r="O172" s="2012" t="s">
        <v>4973</v>
      </c>
      <c r="P172" s="2006">
        <v>2016</v>
      </c>
      <c r="Q172" s="2012" t="s">
        <v>4974</v>
      </c>
      <c r="R172" s="2014">
        <v>5437</v>
      </c>
      <c r="S172" s="2013">
        <v>961.4</v>
      </c>
      <c r="T172" s="1996"/>
      <c r="U172" s="1996"/>
    </row>
    <row r="173" spans="1:21" s="1085" customFormat="1" ht="25.5">
      <c r="A173" s="126">
        <v>5438</v>
      </c>
      <c r="B173" s="126" t="s">
        <v>2087</v>
      </c>
      <c r="C173" s="126" t="s">
        <v>4340</v>
      </c>
      <c r="D173" s="1995" t="s">
        <v>3166</v>
      </c>
      <c r="E173" s="2027">
        <v>2</v>
      </c>
      <c r="F173" s="1085" t="s">
        <v>2985</v>
      </c>
      <c r="G173" s="2010" t="s">
        <v>1215</v>
      </c>
      <c r="H173" s="475">
        <v>11672</v>
      </c>
      <c r="L173" s="2006"/>
      <c r="M173" s="2011">
        <v>5438</v>
      </c>
      <c r="N173" s="2030" t="s">
        <v>3917</v>
      </c>
      <c r="O173" s="2012" t="s">
        <v>4975</v>
      </c>
      <c r="P173" s="2006">
        <v>2016</v>
      </c>
      <c r="Q173" s="2012" t="s">
        <v>4976</v>
      </c>
      <c r="R173" s="2014">
        <v>5438</v>
      </c>
      <c r="S173" s="2013">
        <v>3000.88</v>
      </c>
      <c r="T173" s="1996"/>
      <c r="U173" s="1996"/>
    </row>
    <row r="174" spans="1:21" s="1085" customFormat="1" ht="12.75">
      <c r="A174" s="126">
        <v>5439</v>
      </c>
      <c r="B174" s="126" t="s">
        <v>2087</v>
      </c>
      <c r="C174" s="126" t="s">
        <v>4340</v>
      </c>
      <c r="D174" s="1995" t="s">
        <v>3167</v>
      </c>
      <c r="E174" s="2027">
        <v>1</v>
      </c>
      <c r="F174" s="1085" t="s">
        <v>2985</v>
      </c>
      <c r="G174" s="2010" t="s">
        <v>1215</v>
      </c>
      <c r="H174" s="475">
        <v>11673</v>
      </c>
      <c r="L174" s="2006"/>
      <c r="M174" s="2011">
        <v>5439</v>
      </c>
      <c r="N174" s="2030" t="s">
        <v>3918</v>
      </c>
      <c r="O174" s="2012" t="s">
        <v>4977</v>
      </c>
      <c r="P174" s="2006">
        <v>2016</v>
      </c>
      <c r="Q174" s="2012" t="s">
        <v>4978</v>
      </c>
      <c r="R174" s="2014">
        <v>5439</v>
      </c>
      <c r="S174" s="2013">
        <v>306.39999999999998</v>
      </c>
      <c r="T174" s="1996"/>
      <c r="U174" s="1996"/>
    </row>
    <row r="175" spans="1:21" s="1085" customFormat="1" ht="12.75">
      <c r="A175" s="126">
        <v>5440</v>
      </c>
      <c r="B175" s="126" t="s">
        <v>2087</v>
      </c>
      <c r="C175" s="126" t="s">
        <v>4340</v>
      </c>
      <c r="D175" s="1995" t="s">
        <v>3168</v>
      </c>
      <c r="E175" s="2027">
        <v>3</v>
      </c>
      <c r="F175" s="1085" t="s">
        <v>2985</v>
      </c>
      <c r="G175" s="2010" t="s">
        <v>1215</v>
      </c>
      <c r="H175" s="475">
        <v>11674</v>
      </c>
      <c r="L175" s="2006"/>
      <c r="M175" s="2011">
        <v>5440</v>
      </c>
      <c r="N175" s="2030" t="s">
        <v>89</v>
      </c>
      <c r="O175" s="2012" t="s">
        <v>4979</v>
      </c>
      <c r="P175" s="2006">
        <v>2016</v>
      </c>
      <c r="Q175" s="2012" t="s">
        <v>4980</v>
      </c>
      <c r="R175" s="2014">
        <v>5440</v>
      </c>
      <c r="S175" s="2013">
        <v>1932.24</v>
      </c>
      <c r="T175" s="1996"/>
      <c r="U175" s="1996"/>
    </row>
    <row r="176" spans="1:21" s="1085" customFormat="1" ht="12.75">
      <c r="A176" s="126">
        <v>5441</v>
      </c>
      <c r="B176" s="126" t="s">
        <v>2087</v>
      </c>
      <c r="C176" s="126" t="s">
        <v>4340</v>
      </c>
      <c r="D176" s="1995" t="s">
        <v>3169</v>
      </c>
      <c r="E176" s="2027">
        <v>1</v>
      </c>
      <c r="F176" s="1085" t="s">
        <v>2985</v>
      </c>
      <c r="G176" s="2010" t="s">
        <v>1215</v>
      </c>
      <c r="H176" s="475">
        <v>11675</v>
      </c>
      <c r="L176" s="2006"/>
      <c r="M176" s="2011">
        <v>5441</v>
      </c>
      <c r="N176" s="2030" t="s">
        <v>3918</v>
      </c>
      <c r="O176" s="2012" t="s">
        <v>4981</v>
      </c>
      <c r="P176" s="2006">
        <v>2016</v>
      </c>
      <c r="Q176" s="2012" t="s">
        <v>4982</v>
      </c>
      <c r="R176" s="2014">
        <v>5441</v>
      </c>
      <c r="S176" s="2013">
        <v>536.32000000000005</v>
      </c>
      <c r="T176" s="1996"/>
      <c r="U176" s="1996"/>
    </row>
    <row r="177" spans="1:21" s="1085" customFormat="1" ht="12.75">
      <c r="A177" s="126">
        <v>5442</v>
      </c>
      <c r="B177" s="126" t="s">
        <v>2087</v>
      </c>
      <c r="C177" s="126" t="s">
        <v>4340</v>
      </c>
      <c r="D177" s="1995" t="s">
        <v>3170</v>
      </c>
      <c r="E177" s="2027">
        <v>2</v>
      </c>
      <c r="F177" s="1085" t="s">
        <v>2985</v>
      </c>
      <c r="G177" s="2010" t="s">
        <v>1215</v>
      </c>
      <c r="H177" s="475">
        <v>11676</v>
      </c>
      <c r="L177" s="2006"/>
      <c r="M177" s="2011">
        <v>5442</v>
      </c>
      <c r="N177" s="2030" t="s">
        <v>3917</v>
      </c>
      <c r="O177" s="2012" t="s">
        <v>4983</v>
      </c>
      <c r="P177" s="2006">
        <v>2016</v>
      </c>
      <c r="Q177" s="2012" t="s">
        <v>4984</v>
      </c>
      <c r="R177" s="2014">
        <v>5442</v>
      </c>
      <c r="S177" s="2013">
        <v>1270.72</v>
      </c>
      <c r="T177" s="1996"/>
      <c r="U177" s="1996"/>
    </row>
    <row r="178" spans="1:21" s="1085" customFormat="1" ht="12.75">
      <c r="A178" s="126">
        <v>5443</v>
      </c>
      <c r="B178" s="126" t="s">
        <v>2087</v>
      </c>
      <c r="C178" s="126" t="s">
        <v>4340</v>
      </c>
      <c r="D178" s="1995" t="s">
        <v>3171</v>
      </c>
      <c r="E178" s="2027">
        <v>2</v>
      </c>
      <c r="F178" s="1085" t="s">
        <v>2985</v>
      </c>
      <c r="G178" s="2010" t="s">
        <v>1215</v>
      </c>
      <c r="H178" s="475">
        <v>11677</v>
      </c>
      <c r="L178" s="2006"/>
      <c r="M178" s="2011">
        <v>5443</v>
      </c>
      <c r="N178" s="2030" t="s">
        <v>3917</v>
      </c>
      <c r="O178" s="2012" t="s">
        <v>4985</v>
      </c>
      <c r="P178" s="2006">
        <v>2016</v>
      </c>
      <c r="Q178" s="2012" t="s">
        <v>4986</v>
      </c>
      <c r="R178" s="2014">
        <v>5443</v>
      </c>
      <c r="S178" s="2013">
        <v>583.04</v>
      </c>
      <c r="T178" s="1996"/>
      <c r="U178" s="1996"/>
    </row>
    <row r="179" spans="1:21" s="1085" customFormat="1" ht="12.75">
      <c r="A179" s="126">
        <v>5444</v>
      </c>
      <c r="B179" s="126" t="s">
        <v>2087</v>
      </c>
      <c r="C179" s="126" t="s">
        <v>3172</v>
      </c>
      <c r="D179" s="1995" t="s">
        <v>3173</v>
      </c>
      <c r="E179" s="2027">
        <v>5</v>
      </c>
      <c r="F179" s="1085" t="s">
        <v>2985</v>
      </c>
      <c r="G179" s="2010" t="s">
        <v>1215</v>
      </c>
      <c r="H179" s="475">
        <v>11678</v>
      </c>
      <c r="L179" s="2006"/>
      <c r="M179" s="2011">
        <v>5444</v>
      </c>
      <c r="N179" s="2030" t="s">
        <v>3919</v>
      </c>
      <c r="O179" s="2012" t="s">
        <v>4987</v>
      </c>
      <c r="P179" s="2006">
        <v>2016</v>
      </c>
      <c r="Q179" s="2012" t="s">
        <v>4988</v>
      </c>
      <c r="R179" s="2014">
        <v>5444</v>
      </c>
      <c r="S179" s="2013">
        <v>8784.76</v>
      </c>
      <c r="T179" s="1996"/>
      <c r="U179" s="1996"/>
    </row>
    <row r="180" spans="1:21" s="1085" customFormat="1" ht="12.75">
      <c r="A180" s="126">
        <v>5445</v>
      </c>
      <c r="B180" s="126" t="s">
        <v>2087</v>
      </c>
      <c r="C180" s="126" t="s">
        <v>3172</v>
      </c>
      <c r="D180" s="1995" t="s">
        <v>650</v>
      </c>
      <c r="E180" s="2027">
        <v>2</v>
      </c>
      <c r="F180" s="1085" t="s">
        <v>2985</v>
      </c>
      <c r="G180" s="2010" t="s">
        <v>1215</v>
      </c>
      <c r="H180" s="475">
        <v>11679</v>
      </c>
      <c r="L180" s="2006"/>
      <c r="M180" s="2011">
        <v>5445</v>
      </c>
      <c r="N180" s="2030" t="s">
        <v>3917</v>
      </c>
      <c r="O180" s="2012" t="s">
        <v>4989</v>
      </c>
      <c r="P180" s="2006">
        <v>2016</v>
      </c>
      <c r="Q180" s="2012" t="s">
        <v>4990</v>
      </c>
      <c r="R180" s="2014">
        <v>5445</v>
      </c>
      <c r="S180" s="2013">
        <v>1357.5</v>
      </c>
      <c r="T180" s="1996"/>
      <c r="U180" s="1996"/>
    </row>
    <row r="181" spans="1:21" s="1085" customFormat="1" ht="12.75">
      <c r="A181" s="126">
        <v>5446</v>
      </c>
      <c r="B181" s="126" t="s">
        <v>2087</v>
      </c>
      <c r="C181" s="126" t="s">
        <v>3172</v>
      </c>
      <c r="D181" s="1995" t="s">
        <v>236</v>
      </c>
      <c r="E181" s="2027">
        <v>3</v>
      </c>
      <c r="F181" s="1085" t="s">
        <v>2985</v>
      </c>
      <c r="G181" s="2010" t="s">
        <v>1215</v>
      </c>
      <c r="H181" s="475">
        <v>11680</v>
      </c>
      <c r="L181" s="2006"/>
      <c r="M181" s="2011">
        <v>5446</v>
      </c>
      <c r="N181" s="2030" t="s">
        <v>89</v>
      </c>
      <c r="O181" s="2012" t="s">
        <v>4991</v>
      </c>
      <c r="P181" s="2006">
        <v>2016</v>
      </c>
      <c r="Q181" s="2012" t="s">
        <v>4992</v>
      </c>
      <c r="R181" s="2014">
        <v>5446</v>
      </c>
      <c r="S181" s="2013">
        <v>1752.35</v>
      </c>
      <c r="T181" s="1996"/>
      <c r="U181" s="1996"/>
    </row>
    <row r="182" spans="1:21" s="1085" customFormat="1" ht="12.75">
      <c r="A182" s="126">
        <v>5447</v>
      </c>
      <c r="B182" s="126" t="s">
        <v>2087</v>
      </c>
      <c r="C182" s="126" t="s">
        <v>3172</v>
      </c>
      <c r="D182" s="1995" t="s">
        <v>1387</v>
      </c>
      <c r="E182" s="2027">
        <v>2</v>
      </c>
      <c r="F182" s="1085" t="s">
        <v>2985</v>
      </c>
      <c r="G182" s="2010" t="s">
        <v>1215</v>
      </c>
      <c r="H182" s="475">
        <v>11681</v>
      </c>
      <c r="L182" s="2006"/>
      <c r="M182" s="2011">
        <v>5447</v>
      </c>
      <c r="N182" s="2030" t="s">
        <v>3917</v>
      </c>
      <c r="O182" s="2012" t="s">
        <v>4993</v>
      </c>
      <c r="P182" s="2006">
        <v>2016</v>
      </c>
      <c r="Q182" s="2012" t="s">
        <v>4994</v>
      </c>
      <c r="R182" s="2014">
        <v>5447</v>
      </c>
      <c r="S182" s="2013">
        <v>911.34</v>
      </c>
      <c r="T182" s="1996"/>
      <c r="U182" s="1996"/>
    </row>
    <row r="183" spans="1:21" s="1085" customFormat="1" ht="22.5">
      <c r="A183" s="126">
        <v>5448</v>
      </c>
      <c r="B183" s="126" t="s">
        <v>2087</v>
      </c>
      <c r="C183" s="126" t="s">
        <v>3172</v>
      </c>
      <c r="D183" s="1995" t="s">
        <v>1388</v>
      </c>
      <c r="E183" s="2027">
        <v>2</v>
      </c>
      <c r="F183" s="1085" t="s">
        <v>2985</v>
      </c>
      <c r="G183" s="2010" t="s">
        <v>1215</v>
      </c>
      <c r="H183" s="475">
        <v>11682</v>
      </c>
      <c r="L183" s="2006"/>
      <c r="M183" s="2011">
        <v>5448</v>
      </c>
      <c r="N183" s="2030" t="s">
        <v>3917</v>
      </c>
      <c r="O183" s="2012" t="s">
        <v>5043</v>
      </c>
      <c r="P183" s="2006">
        <v>2016</v>
      </c>
      <c r="Q183" s="2012" t="s">
        <v>4995</v>
      </c>
      <c r="R183" s="2014">
        <v>5448</v>
      </c>
      <c r="S183" s="2013">
        <v>1083.8800000000001</v>
      </c>
      <c r="T183" s="1996"/>
      <c r="U183" s="1996"/>
    </row>
    <row r="184" spans="1:21" s="1085" customFormat="1" ht="12.75">
      <c r="A184" s="126">
        <v>5449</v>
      </c>
      <c r="B184" s="126" t="s">
        <v>2087</v>
      </c>
      <c r="C184" s="126" t="s">
        <v>3172</v>
      </c>
      <c r="D184" s="1995" t="s">
        <v>1389</v>
      </c>
      <c r="E184" s="2027">
        <v>4</v>
      </c>
      <c r="F184" s="1085" t="s">
        <v>2985</v>
      </c>
      <c r="G184" s="2010" t="s">
        <v>1215</v>
      </c>
      <c r="H184" s="475">
        <v>11683</v>
      </c>
      <c r="L184" s="2006"/>
      <c r="M184" s="2011">
        <v>5449</v>
      </c>
      <c r="N184" s="2030" t="s">
        <v>90</v>
      </c>
      <c r="O184" s="2012" t="s">
        <v>4996</v>
      </c>
      <c r="P184" s="2006">
        <v>2016</v>
      </c>
      <c r="Q184" s="2012" t="s">
        <v>4997</v>
      </c>
      <c r="R184" s="2014">
        <v>5449</v>
      </c>
      <c r="S184" s="2013">
        <v>3208.16</v>
      </c>
      <c r="T184" s="1996"/>
      <c r="U184" s="1996"/>
    </row>
    <row r="185" spans="1:21" s="1085" customFormat="1" ht="12.75">
      <c r="A185" s="126">
        <v>5450</v>
      </c>
      <c r="B185" s="126" t="s">
        <v>2087</v>
      </c>
      <c r="C185" s="126" t="s">
        <v>3172</v>
      </c>
      <c r="D185" s="1995" t="s">
        <v>1390</v>
      </c>
      <c r="E185" s="2027">
        <v>2</v>
      </c>
      <c r="F185" s="1085" t="s">
        <v>2985</v>
      </c>
      <c r="G185" s="2010" t="s">
        <v>1215</v>
      </c>
      <c r="H185" s="475">
        <v>11684</v>
      </c>
      <c r="L185" s="2006"/>
      <c r="M185" s="2011">
        <v>5450</v>
      </c>
      <c r="N185" s="2030" t="s">
        <v>3917</v>
      </c>
      <c r="O185" s="2012" t="s">
        <v>4998</v>
      </c>
      <c r="P185" s="2006">
        <v>2016</v>
      </c>
      <c r="Q185" s="2012" t="s">
        <v>4999</v>
      </c>
      <c r="R185" s="2014">
        <v>5450</v>
      </c>
      <c r="S185" s="2013">
        <v>1450.09</v>
      </c>
      <c r="T185" s="1996"/>
      <c r="U185" s="1996"/>
    </row>
    <row r="186" spans="1:21" s="1085" customFormat="1" ht="12.75">
      <c r="A186" s="126">
        <v>5451</v>
      </c>
      <c r="B186" s="126" t="s">
        <v>2087</v>
      </c>
      <c r="C186" s="126" t="s">
        <v>3172</v>
      </c>
      <c r="D186" s="1995" t="s">
        <v>1391</v>
      </c>
      <c r="E186" s="2027">
        <v>2</v>
      </c>
      <c r="F186" s="1085" t="s">
        <v>2985</v>
      </c>
      <c r="G186" s="2010" t="s">
        <v>1215</v>
      </c>
      <c r="H186" s="475">
        <v>11685</v>
      </c>
      <c r="L186" s="2006"/>
      <c r="M186" s="2011">
        <v>5451</v>
      </c>
      <c r="N186" s="2030" t="s">
        <v>3917</v>
      </c>
      <c r="O186" s="2012" t="s">
        <v>5000</v>
      </c>
      <c r="P186" s="2006">
        <v>2016</v>
      </c>
      <c r="Q186" s="2012" t="s">
        <v>5001</v>
      </c>
      <c r="R186" s="2014">
        <v>5451</v>
      </c>
      <c r="S186" s="2013">
        <v>364.22</v>
      </c>
      <c r="T186" s="1996"/>
      <c r="U186" s="1996"/>
    </row>
    <row r="187" spans="1:21" s="1085" customFormat="1" ht="12.75">
      <c r="A187" s="126">
        <v>5452</v>
      </c>
      <c r="B187" s="126" t="s">
        <v>2087</v>
      </c>
      <c r="C187" s="126" t="s">
        <v>3172</v>
      </c>
      <c r="D187" s="1995" t="s">
        <v>1392</v>
      </c>
      <c r="E187" s="2027">
        <v>2</v>
      </c>
      <c r="F187" s="1085" t="s">
        <v>2985</v>
      </c>
      <c r="G187" s="2010" t="s">
        <v>1215</v>
      </c>
      <c r="H187" s="475">
        <v>11686</v>
      </c>
      <c r="L187" s="2006"/>
      <c r="M187" s="2011">
        <v>5452</v>
      </c>
      <c r="N187" s="2030" t="s">
        <v>3917</v>
      </c>
      <c r="O187" s="2012" t="s">
        <v>5002</v>
      </c>
      <c r="P187" s="2006">
        <v>2016</v>
      </c>
      <c r="Q187" s="2012" t="s">
        <v>5003</v>
      </c>
      <c r="R187" s="2014">
        <v>5452</v>
      </c>
      <c r="S187" s="2013">
        <v>1821.33</v>
      </c>
      <c r="T187" s="1996"/>
      <c r="U187" s="1996"/>
    </row>
    <row r="188" spans="1:21" s="1085" customFormat="1" ht="12.75">
      <c r="A188" s="126">
        <v>5453</v>
      </c>
      <c r="B188" s="126" t="s">
        <v>2087</v>
      </c>
      <c r="C188" s="126" t="s">
        <v>3172</v>
      </c>
      <c r="D188" s="1995" t="s">
        <v>1393</v>
      </c>
      <c r="E188" s="2027">
        <v>3</v>
      </c>
      <c r="F188" s="1085" t="s">
        <v>2985</v>
      </c>
      <c r="G188" s="2010" t="s">
        <v>1215</v>
      </c>
      <c r="H188" s="475">
        <v>11687</v>
      </c>
      <c r="L188" s="2006"/>
      <c r="M188" s="2011">
        <v>5453</v>
      </c>
      <c r="N188" s="2030" t="s">
        <v>89</v>
      </c>
      <c r="O188" s="2012" t="s">
        <v>5004</v>
      </c>
      <c r="P188" s="2006">
        <v>2016</v>
      </c>
      <c r="Q188" s="2012" t="s">
        <v>5005</v>
      </c>
      <c r="R188" s="2014">
        <v>5453</v>
      </c>
      <c r="S188" s="2013">
        <v>3276.73</v>
      </c>
      <c r="T188" s="1996"/>
      <c r="U188" s="1996"/>
    </row>
    <row r="189" spans="1:21" s="1085" customFormat="1" ht="22.5">
      <c r="A189" s="126">
        <v>5454</v>
      </c>
      <c r="B189" s="126" t="s">
        <v>2087</v>
      </c>
      <c r="C189" s="126" t="s">
        <v>3172</v>
      </c>
      <c r="D189" s="1995" t="s">
        <v>1394</v>
      </c>
      <c r="E189" s="2027">
        <v>2</v>
      </c>
      <c r="F189" s="1085" t="s">
        <v>2985</v>
      </c>
      <c r="G189" s="2010" t="s">
        <v>1215</v>
      </c>
      <c r="H189" s="475">
        <v>11688</v>
      </c>
      <c r="L189" s="2006"/>
      <c r="M189" s="2011">
        <v>5454</v>
      </c>
      <c r="N189" s="2030" t="s">
        <v>3917</v>
      </c>
      <c r="O189" s="2012" t="s">
        <v>5006</v>
      </c>
      <c r="P189" s="2006">
        <v>2016</v>
      </c>
      <c r="Q189" s="2012" t="s">
        <v>5007</v>
      </c>
      <c r="R189" s="2014">
        <v>5454</v>
      </c>
      <c r="S189" s="2013">
        <v>727.53</v>
      </c>
      <c r="T189" s="1996"/>
      <c r="U189" s="1996"/>
    </row>
    <row r="190" spans="1:21" s="1085" customFormat="1" ht="12.75">
      <c r="A190" s="126">
        <v>5455</v>
      </c>
      <c r="B190" s="126" t="s">
        <v>2087</v>
      </c>
      <c r="C190" s="126" t="s">
        <v>3172</v>
      </c>
      <c r="D190" s="1995" t="s">
        <v>1395</v>
      </c>
      <c r="E190" s="2027">
        <v>3</v>
      </c>
      <c r="F190" s="1085" t="s">
        <v>2985</v>
      </c>
      <c r="G190" s="2010" t="s">
        <v>1215</v>
      </c>
      <c r="H190" s="475">
        <v>11689</v>
      </c>
      <c r="L190" s="2006"/>
      <c r="M190" s="2011">
        <v>5455</v>
      </c>
      <c r="N190" s="2030" t="s">
        <v>89</v>
      </c>
      <c r="O190" s="2012" t="s">
        <v>5008</v>
      </c>
      <c r="P190" s="2006">
        <v>2016</v>
      </c>
      <c r="Q190" s="2012" t="s">
        <v>5009</v>
      </c>
      <c r="R190" s="2014">
        <v>5455</v>
      </c>
      <c r="S190" s="2013">
        <v>3211.13</v>
      </c>
      <c r="T190" s="1996"/>
      <c r="U190" s="1996"/>
    </row>
    <row r="191" spans="1:21" s="1085" customFormat="1" ht="12.75">
      <c r="A191" s="126">
        <v>5456</v>
      </c>
      <c r="B191" s="126" t="s">
        <v>2087</v>
      </c>
      <c r="C191" s="126" t="s">
        <v>3172</v>
      </c>
      <c r="D191" s="1995" t="s">
        <v>1396</v>
      </c>
      <c r="E191" s="2027">
        <v>4</v>
      </c>
      <c r="F191" s="1085" t="s">
        <v>2985</v>
      </c>
      <c r="G191" s="2010" t="s">
        <v>1215</v>
      </c>
      <c r="H191" s="475">
        <v>11690</v>
      </c>
      <c r="L191" s="2006"/>
      <c r="M191" s="2011">
        <v>5456</v>
      </c>
      <c r="N191" s="2030" t="s">
        <v>90</v>
      </c>
      <c r="O191" s="2012" t="s">
        <v>5010</v>
      </c>
      <c r="P191" s="2006">
        <v>2019</v>
      </c>
      <c r="Q191" s="2012" t="s">
        <v>5011</v>
      </c>
      <c r="R191" s="2014">
        <v>5456</v>
      </c>
      <c r="S191" s="2013">
        <v>7911.7</v>
      </c>
      <c r="T191" s="1996"/>
      <c r="U191" s="1996"/>
    </row>
    <row r="192" spans="1:21" s="1085" customFormat="1" ht="22.5">
      <c r="A192" s="126">
        <v>5457</v>
      </c>
      <c r="B192" s="126" t="s">
        <v>2087</v>
      </c>
      <c r="C192" s="126" t="s">
        <v>3172</v>
      </c>
      <c r="D192" s="1995" t="s">
        <v>5038</v>
      </c>
      <c r="E192" s="2027">
        <v>2</v>
      </c>
      <c r="F192" s="1085" t="s">
        <v>931</v>
      </c>
      <c r="G192" s="2010" t="s">
        <v>1215</v>
      </c>
      <c r="H192" s="475">
        <v>11691</v>
      </c>
      <c r="L192" s="2006"/>
      <c r="M192" s="2011">
        <v>5457</v>
      </c>
      <c r="N192" s="2030" t="s">
        <v>3917</v>
      </c>
      <c r="O192" s="2012" t="s">
        <v>5012</v>
      </c>
      <c r="P192" s="2006">
        <v>2016</v>
      </c>
      <c r="Q192" s="2012" t="s">
        <v>5013</v>
      </c>
      <c r="R192" s="2014">
        <v>5457</v>
      </c>
      <c r="S192" s="2013">
        <v>2138.31</v>
      </c>
      <c r="T192" s="1996"/>
      <c r="U192" s="1996"/>
    </row>
    <row r="193" spans="1:21" s="1085" customFormat="1" ht="12.75">
      <c r="A193" s="126">
        <v>5458</v>
      </c>
      <c r="B193" s="126" t="s">
        <v>2087</v>
      </c>
      <c r="C193" s="126" t="s">
        <v>3172</v>
      </c>
      <c r="D193" s="1995" t="s">
        <v>1397</v>
      </c>
      <c r="E193" s="2027">
        <v>2</v>
      </c>
      <c r="F193" s="1085" t="s">
        <v>2985</v>
      </c>
      <c r="G193" s="2010" t="s">
        <v>1215</v>
      </c>
      <c r="H193" s="475">
        <v>11692</v>
      </c>
      <c r="L193" s="2006"/>
      <c r="M193" s="2011">
        <v>5458</v>
      </c>
      <c r="N193" s="2030" t="s">
        <v>3917</v>
      </c>
      <c r="O193" s="2012" t="s">
        <v>5014</v>
      </c>
      <c r="P193" s="2006">
        <v>2016</v>
      </c>
      <c r="Q193" s="2012" t="s">
        <v>5015</v>
      </c>
      <c r="R193" s="2014">
        <v>5458</v>
      </c>
      <c r="S193" s="2013">
        <v>1449.94</v>
      </c>
      <c r="T193" s="1996"/>
      <c r="U193" s="1996"/>
    </row>
    <row r="194" spans="1:21" s="1085" customFormat="1" ht="12.75">
      <c r="A194" s="126">
        <v>5459</v>
      </c>
      <c r="B194" s="126" t="s">
        <v>2087</v>
      </c>
      <c r="C194" s="126" t="s">
        <v>3172</v>
      </c>
      <c r="D194" s="1995" t="s">
        <v>2932</v>
      </c>
      <c r="E194" s="2027">
        <v>1</v>
      </c>
      <c r="F194" s="1085" t="s">
        <v>2985</v>
      </c>
      <c r="G194" s="2010" t="s">
        <v>1215</v>
      </c>
      <c r="H194" s="475">
        <v>11693</v>
      </c>
      <c r="L194" s="2006"/>
      <c r="M194" s="2011">
        <v>5459</v>
      </c>
      <c r="N194" s="2030" t="s">
        <v>3918</v>
      </c>
      <c r="O194" s="2012" t="s">
        <v>5016</v>
      </c>
      <c r="P194" s="2006">
        <v>2016</v>
      </c>
      <c r="Q194" s="2012" t="s">
        <v>5017</v>
      </c>
      <c r="R194" s="2014">
        <v>5459</v>
      </c>
      <c r="S194" s="2013">
        <v>941.86</v>
      </c>
      <c r="T194" s="1996"/>
      <c r="U194" s="1996"/>
    </row>
    <row r="195" spans="1:21" s="1085" customFormat="1" ht="12.75">
      <c r="A195" s="126">
        <v>5460</v>
      </c>
      <c r="B195" s="126" t="s">
        <v>2087</v>
      </c>
      <c r="C195" s="126" t="s">
        <v>3172</v>
      </c>
      <c r="D195" s="1995" t="s">
        <v>437</v>
      </c>
      <c r="E195" s="2027">
        <v>2</v>
      </c>
      <c r="F195" s="1085" t="s">
        <v>2985</v>
      </c>
      <c r="G195" s="2010" t="s">
        <v>1215</v>
      </c>
      <c r="H195" s="475">
        <v>11694</v>
      </c>
      <c r="L195" s="2006"/>
      <c r="M195" s="2011">
        <v>5460</v>
      </c>
      <c r="N195" s="2030" t="s">
        <v>3917</v>
      </c>
      <c r="O195" s="2012" t="s">
        <v>5018</v>
      </c>
      <c r="P195" s="2006">
        <v>2016</v>
      </c>
      <c r="Q195" s="2012" t="s">
        <v>5019</v>
      </c>
      <c r="R195" s="2014">
        <v>5460</v>
      </c>
      <c r="S195" s="2013">
        <v>1247.57</v>
      </c>
      <c r="T195" s="1996"/>
      <c r="U195" s="1996"/>
    </row>
    <row r="196" spans="1:21" s="1085" customFormat="1" ht="12.75">
      <c r="A196" s="126">
        <v>5461</v>
      </c>
      <c r="B196" s="126" t="s">
        <v>2087</v>
      </c>
      <c r="C196" s="126" t="s">
        <v>3172</v>
      </c>
      <c r="D196" s="1995" t="s">
        <v>1793</v>
      </c>
      <c r="E196" s="2027">
        <v>3</v>
      </c>
      <c r="F196" s="1085" t="s">
        <v>2985</v>
      </c>
      <c r="G196" s="2010" t="s">
        <v>1215</v>
      </c>
      <c r="H196" s="475">
        <v>11695</v>
      </c>
      <c r="L196" s="2006"/>
      <c r="M196" s="2011">
        <v>5461</v>
      </c>
      <c r="N196" s="2030" t="s">
        <v>89</v>
      </c>
      <c r="O196" s="2012" t="s">
        <v>5020</v>
      </c>
      <c r="P196" s="2006">
        <v>2016</v>
      </c>
      <c r="Q196" s="2012" t="s">
        <v>5021</v>
      </c>
      <c r="R196" s="2014">
        <v>5461</v>
      </c>
      <c r="S196" s="2013">
        <v>2951.48</v>
      </c>
      <c r="T196" s="1996"/>
      <c r="U196" s="1996"/>
    </row>
    <row r="197" spans="1:21" s="1085" customFormat="1" ht="33.75">
      <c r="A197" s="126">
        <v>5462</v>
      </c>
      <c r="B197" s="126" t="s">
        <v>2087</v>
      </c>
      <c r="C197" s="126" t="s">
        <v>3172</v>
      </c>
      <c r="D197" s="1995" t="s">
        <v>5039</v>
      </c>
      <c r="E197" s="2027">
        <v>3</v>
      </c>
      <c r="F197" s="1085" t="s">
        <v>931</v>
      </c>
      <c r="G197" s="2010" t="s">
        <v>1215</v>
      </c>
      <c r="H197" s="475">
        <v>11696</v>
      </c>
      <c r="L197" s="2006"/>
      <c r="M197" s="2011">
        <v>5462</v>
      </c>
      <c r="N197" s="2030" t="s">
        <v>89</v>
      </c>
      <c r="O197" s="2012" t="s">
        <v>5022</v>
      </c>
      <c r="P197" s="2006">
        <v>2016</v>
      </c>
      <c r="Q197" s="2012" t="s">
        <v>5023</v>
      </c>
      <c r="R197" s="2014">
        <v>5462</v>
      </c>
      <c r="S197" s="2013">
        <v>2614.6799999999998</v>
      </c>
      <c r="T197" s="1996"/>
      <c r="U197" s="1996"/>
    </row>
    <row r="198" spans="1:21" s="1085" customFormat="1" ht="15">
      <c r="A198" s="126">
        <v>5853</v>
      </c>
      <c r="B198" s="126" t="s">
        <v>2087</v>
      </c>
      <c r="C198" s="126" t="s">
        <v>414</v>
      </c>
      <c r="D198" s="1995" t="s">
        <v>3535</v>
      </c>
      <c r="E198" s="2027">
        <v>3</v>
      </c>
      <c r="F198" s="1085" t="s">
        <v>2985</v>
      </c>
      <c r="G198" s="2010" t="s">
        <v>1214</v>
      </c>
      <c r="H198" s="475">
        <v>11697</v>
      </c>
      <c r="K198" s="2940">
        <v>40544</v>
      </c>
      <c r="L198" s="2012">
        <v>1</v>
      </c>
      <c r="M198" s="2941">
        <v>5463</v>
      </c>
      <c r="N198" s="2030" t="s">
        <v>89</v>
      </c>
      <c r="O198" s="2012" t="s">
        <v>5024</v>
      </c>
      <c r="P198" s="2006">
        <v>2016</v>
      </c>
      <c r="Q198" s="2006"/>
      <c r="R198" s="2014">
        <f>VALUE(M198)</f>
        <v>5463</v>
      </c>
      <c r="S198" s="2013">
        <f>+S121+S122</f>
        <v>1829.27</v>
      </c>
      <c r="T198" s="1996"/>
      <c r="U198" s="1996"/>
    </row>
    <row r="199" spans="1:21" s="1085" customFormat="1" ht="25.5">
      <c r="A199" s="126">
        <v>5888</v>
      </c>
      <c r="B199" s="126" t="s">
        <v>2087</v>
      </c>
      <c r="C199" s="126" t="s">
        <v>414</v>
      </c>
      <c r="D199" s="1995" t="s">
        <v>611</v>
      </c>
      <c r="E199" s="2027">
        <v>3</v>
      </c>
      <c r="F199" s="1085" t="s">
        <v>2985</v>
      </c>
      <c r="G199" s="2010" t="s">
        <v>1214</v>
      </c>
      <c r="H199" s="475">
        <v>11698</v>
      </c>
      <c r="K199" s="2942" t="s">
        <v>5120</v>
      </c>
      <c r="L199" s="2943" t="s">
        <v>5121</v>
      </c>
      <c r="M199" s="2011">
        <v>5888</v>
      </c>
      <c r="N199" s="2030" t="s">
        <v>90</v>
      </c>
      <c r="O199" s="2012" t="s">
        <v>5025</v>
      </c>
      <c r="P199" s="2006">
        <v>2016</v>
      </c>
      <c r="Q199" s="2006"/>
      <c r="R199" s="2014">
        <f t="shared" ref="R199:R213" si="0">VALUE(M199)</f>
        <v>5888</v>
      </c>
      <c r="S199" s="2013">
        <f>+S113+S119</f>
        <v>4143.49</v>
      </c>
      <c r="T199" s="1996"/>
      <c r="U199" s="1996"/>
    </row>
    <row r="200" spans="1:21" s="1085" customFormat="1" ht="12.75">
      <c r="A200" s="126">
        <v>5904</v>
      </c>
      <c r="B200" s="126" t="s">
        <v>2087</v>
      </c>
      <c r="C200" s="126" t="s">
        <v>4340</v>
      </c>
      <c r="D200" s="1995" t="s">
        <v>1638</v>
      </c>
      <c r="E200" s="2027">
        <v>3</v>
      </c>
      <c r="F200" s="1085" t="s">
        <v>2985</v>
      </c>
      <c r="G200" s="2010" t="s">
        <v>1215</v>
      </c>
      <c r="H200" s="475">
        <v>11699</v>
      </c>
      <c r="K200" s="2940">
        <v>42005</v>
      </c>
      <c r="L200" s="2012">
        <v>4</v>
      </c>
      <c r="M200" s="2011">
        <v>5904</v>
      </c>
      <c r="N200" s="2030" t="s">
        <v>89</v>
      </c>
      <c r="O200" s="2012" t="s">
        <v>5026</v>
      </c>
      <c r="P200" s="2006">
        <v>2019</v>
      </c>
      <c r="Q200" s="2006"/>
      <c r="R200" s="2014">
        <f t="shared" si="0"/>
        <v>5904</v>
      </c>
      <c r="S200" s="2013">
        <f>+S165+S166</f>
        <v>1197.8600000000001</v>
      </c>
      <c r="T200" s="1996"/>
      <c r="U200" s="1996"/>
    </row>
    <row r="201" spans="1:21" s="1085" customFormat="1" ht="12.75">
      <c r="A201" s="126">
        <v>5905</v>
      </c>
      <c r="B201" s="126" t="s">
        <v>2087</v>
      </c>
      <c r="C201" s="126" t="s">
        <v>23</v>
      </c>
      <c r="D201" s="1995" t="s">
        <v>4213</v>
      </c>
      <c r="E201" s="2027">
        <v>3</v>
      </c>
      <c r="F201" s="1085" t="s">
        <v>2985</v>
      </c>
      <c r="G201" s="2010" t="s">
        <v>1215</v>
      </c>
      <c r="H201" s="475">
        <v>11700</v>
      </c>
      <c r="K201" s="2940">
        <v>42370</v>
      </c>
      <c r="L201" s="2012">
        <v>5</v>
      </c>
      <c r="M201" s="2011">
        <v>5905</v>
      </c>
      <c r="N201" s="2030" t="s">
        <v>89</v>
      </c>
      <c r="O201" s="2012" t="s">
        <v>5027</v>
      </c>
      <c r="P201" s="2006">
        <v>2016</v>
      </c>
      <c r="Q201" s="2006"/>
      <c r="R201" s="2014">
        <f t="shared" si="0"/>
        <v>5905</v>
      </c>
      <c r="S201" s="2013">
        <f>+S139+S148+S149</f>
        <v>2841.36</v>
      </c>
      <c r="T201" s="1996"/>
      <c r="U201" s="1996"/>
    </row>
    <row r="202" spans="1:21" s="1085" customFormat="1" ht="12.75">
      <c r="A202" s="126">
        <v>5906</v>
      </c>
      <c r="B202" s="126" t="s">
        <v>2087</v>
      </c>
      <c r="C202" s="126" t="s">
        <v>2089</v>
      </c>
      <c r="D202" s="1995" t="s">
        <v>3536</v>
      </c>
      <c r="E202" s="2027">
        <v>4</v>
      </c>
      <c r="F202" s="1085" t="s">
        <v>2985</v>
      </c>
      <c r="G202" s="2010" t="s">
        <v>1214</v>
      </c>
      <c r="H202" s="475">
        <v>11701</v>
      </c>
      <c r="K202" s="2940">
        <v>42005</v>
      </c>
      <c r="L202" s="2012">
        <v>3</v>
      </c>
      <c r="M202" s="2011">
        <v>5906</v>
      </c>
      <c r="N202" s="2030" t="s">
        <v>3537</v>
      </c>
      <c r="O202" s="2012" t="s">
        <v>5028</v>
      </c>
      <c r="P202" s="2006">
        <v>2016</v>
      </c>
      <c r="Q202" s="2006"/>
      <c r="R202" s="2014">
        <f t="shared" si="0"/>
        <v>5906</v>
      </c>
      <c r="S202" s="2013">
        <f>+S92+S93</f>
        <v>7919.07</v>
      </c>
      <c r="T202" s="1996"/>
      <c r="U202" s="1996"/>
    </row>
    <row r="203" spans="1:21" s="1085" customFormat="1" ht="22.5">
      <c r="A203" s="126">
        <v>5907</v>
      </c>
      <c r="B203" s="126" t="s">
        <v>2087</v>
      </c>
      <c r="C203" s="126" t="s">
        <v>414</v>
      </c>
      <c r="D203" s="1995" t="s">
        <v>3538</v>
      </c>
      <c r="E203" s="2027">
        <v>4</v>
      </c>
      <c r="F203" s="1085" t="s">
        <v>2985</v>
      </c>
      <c r="G203" s="2010" t="s">
        <v>1214</v>
      </c>
      <c r="H203" s="475">
        <v>11702</v>
      </c>
      <c r="K203" s="2940">
        <v>42370</v>
      </c>
      <c r="L203" s="2012">
        <v>6</v>
      </c>
      <c r="M203" s="2011" t="s">
        <v>3539</v>
      </c>
      <c r="N203" s="2030" t="s">
        <v>3537</v>
      </c>
      <c r="O203" s="2012" t="s">
        <v>5029</v>
      </c>
      <c r="P203" s="2006">
        <v>2016</v>
      </c>
      <c r="Q203" s="2006"/>
      <c r="R203" s="2014">
        <f t="shared" si="0"/>
        <v>5907</v>
      </c>
      <c r="S203" s="2013">
        <f>+S105+S109</f>
        <v>6523.64</v>
      </c>
      <c r="T203" s="1996"/>
      <c r="U203" s="1996"/>
    </row>
    <row r="204" spans="1:21" s="1085" customFormat="1" ht="22.5">
      <c r="A204" s="126">
        <v>5908</v>
      </c>
      <c r="B204" s="126" t="s">
        <v>2087</v>
      </c>
      <c r="C204" s="126" t="s">
        <v>23</v>
      </c>
      <c r="D204" s="1995" t="s">
        <v>4633</v>
      </c>
      <c r="E204" s="2027">
        <v>2</v>
      </c>
      <c r="F204" s="1085" t="s">
        <v>2985</v>
      </c>
      <c r="G204" s="2010" t="s">
        <v>1214</v>
      </c>
      <c r="H204" s="475">
        <v>11703</v>
      </c>
      <c r="K204" s="2940">
        <v>42736</v>
      </c>
      <c r="L204" s="2012">
        <v>7</v>
      </c>
      <c r="M204" s="2011" t="s">
        <v>4634</v>
      </c>
      <c r="N204" s="2030" t="s">
        <v>3917</v>
      </c>
      <c r="O204" s="2012" t="s">
        <v>5030</v>
      </c>
      <c r="P204" s="2006">
        <v>2016</v>
      </c>
      <c r="Q204" s="2006"/>
      <c r="R204" s="2014">
        <f t="shared" si="0"/>
        <v>5908</v>
      </c>
      <c r="S204" s="2013">
        <f>+S132+S133</f>
        <v>653.21</v>
      </c>
      <c r="T204" s="1996"/>
      <c r="U204" s="1996"/>
    </row>
    <row r="205" spans="1:21" s="1085" customFormat="1" ht="33.75">
      <c r="A205" s="126">
        <v>5909</v>
      </c>
      <c r="B205" s="126" t="s">
        <v>2087</v>
      </c>
      <c r="C205" s="126" t="s">
        <v>414</v>
      </c>
      <c r="D205" s="2944" t="s">
        <v>5122</v>
      </c>
      <c r="E205" s="2027">
        <v>3</v>
      </c>
      <c r="F205" s="1085" t="s">
        <v>2985</v>
      </c>
      <c r="G205" s="2010" t="s">
        <v>1214</v>
      </c>
      <c r="H205" s="475">
        <v>11704</v>
      </c>
      <c r="K205" s="2940">
        <v>43101</v>
      </c>
      <c r="L205" s="2012">
        <v>8</v>
      </c>
      <c r="M205" s="2011">
        <v>5909</v>
      </c>
      <c r="N205" s="2030" t="s">
        <v>90</v>
      </c>
      <c r="O205" s="2012" t="s">
        <v>5123</v>
      </c>
      <c r="P205" s="2006">
        <v>2016</v>
      </c>
      <c r="Q205" s="2006"/>
      <c r="R205" s="2014">
        <f t="shared" si="0"/>
        <v>5909</v>
      </c>
      <c r="S205" s="2013">
        <f>S199+S120</f>
        <v>4496.4399999999996</v>
      </c>
      <c r="T205" s="1996"/>
    </row>
    <row r="206" spans="1:21" s="1085" customFormat="1" ht="12.75">
      <c r="A206" s="126">
        <v>5910</v>
      </c>
      <c r="B206" s="126" t="s">
        <v>2087</v>
      </c>
      <c r="C206" s="126" t="s">
        <v>23</v>
      </c>
      <c r="D206" s="2944" t="s">
        <v>5259</v>
      </c>
      <c r="E206" s="2027">
        <v>3</v>
      </c>
      <c r="F206" s="1085" t="s">
        <v>2985</v>
      </c>
      <c r="G206" s="2010" t="s">
        <v>1214</v>
      </c>
      <c r="H206" s="475">
        <v>11705</v>
      </c>
      <c r="K206" s="2940">
        <v>43466</v>
      </c>
      <c r="L206" s="2945">
        <v>10</v>
      </c>
      <c r="M206" s="2946">
        <v>5910</v>
      </c>
      <c r="N206" s="2947" t="s">
        <v>89</v>
      </c>
      <c r="O206" s="2945" t="s">
        <v>5267</v>
      </c>
      <c r="P206" s="2006">
        <v>2016</v>
      </c>
      <c r="Q206" s="2948"/>
      <c r="R206" s="2014">
        <f t="shared" si="0"/>
        <v>5910</v>
      </c>
      <c r="S206" s="2120">
        <f>S125+S127</f>
        <v>2161.85</v>
      </c>
      <c r="T206" s="1996"/>
    </row>
    <row r="207" spans="1:21" s="1085" customFormat="1" ht="12.75">
      <c r="A207" s="126">
        <v>5911</v>
      </c>
      <c r="B207" s="126" t="s">
        <v>2087</v>
      </c>
      <c r="C207" s="126" t="s">
        <v>4340</v>
      </c>
      <c r="D207" s="1995" t="s">
        <v>5437</v>
      </c>
      <c r="E207" s="2027">
        <v>3</v>
      </c>
      <c r="F207" s="1085" t="s">
        <v>2985</v>
      </c>
      <c r="G207" s="2010" t="s">
        <v>1214</v>
      </c>
      <c r="H207" s="475">
        <v>11706</v>
      </c>
      <c r="K207" s="2940"/>
      <c r="L207" s="2945"/>
      <c r="M207" s="2946">
        <v>5911</v>
      </c>
      <c r="N207" s="2947" t="s">
        <v>89</v>
      </c>
      <c r="O207" s="2945" t="s">
        <v>5438</v>
      </c>
      <c r="P207" s="2006"/>
      <c r="R207" s="2014">
        <f t="shared" si="0"/>
        <v>5911</v>
      </c>
      <c r="S207" s="2497"/>
      <c r="T207" s="1996"/>
    </row>
    <row r="208" spans="1:21" s="1085" customFormat="1" ht="12.75">
      <c r="A208" s="126">
        <v>5912</v>
      </c>
      <c r="B208" s="126" t="s">
        <v>4240</v>
      </c>
      <c r="C208" s="126" t="s">
        <v>193</v>
      </c>
      <c r="D208" s="1995" t="s">
        <v>5419</v>
      </c>
      <c r="E208" s="2027">
        <v>2</v>
      </c>
      <c r="F208" s="1085" t="s">
        <v>2985</v>
      </c>
      <c r="G208" s="2010" t="s">
        <v>2908</v>
      </c>
      <c r="H208" s="475">
        <v>11707</v>
      </c>
      <c r="K208" s="2940">
        <v>45108</v>
      </c>
      <c r="L208" s="2945"/>
      <c r="M208" s="2946">
        <v>5912</v>
      </c>
      <c r="N208" s="2030" t="s">
        <v>3917</v>
      </c>
      <c r="O208" s="2945" t="s">
        <v>5420</v>
      </c>
      <c r="P208" s="2006">
        <v>2023</v>
      </c>
      <c r="Q208" s="2491"/>
      <c r="R208" s="2014">
        <f t="shared" si="0"/>
        <v>5912</v>
      </c>
      <c r="S208" s="2480"/>
      <c r="T208" s="1996"/>
    </row>
    <row r="209" spans="1:20" s="1085" customFormat="1" ht="12.75">
      <c r="A209" s="126">
        <v>5913</v>
      </c>
      <c r="B209" s="126" t="s">
        <v>2087</v>
      </c>
      <c r="C209" s="126" t="s">
        <v>2089</v>
      </c>
      <c r="D209" s="1995" t="s">
        <v>5421</v>
      </c>
      <c r="E209" s="2027">
        <v>4</v>
      </c>
      <c r="F209" s="1085" t="s">
        <v>2985</v>
      </c>
      <c r="G209" s="2010" t="s">
        <v>1214</v>
      </c>
      <c r="H209" s="475">
        <v>11708</v>
      </c>
      <c r="K209" s="2940">
        <v>44927</v>
      </c>
      <c r="L209" s="2945"/>
      <c r="M209" s="2946">
        <v>5913</v>
      </c>
      <c r="N209" s="2030" t="s">
        <v>90</v>
      </c>
      <c r="O209" s="2945" t="s">
        <v>5422</v>
      </c>
      <c r="P209" s="2006">
        <v>2023</v>
      </c>
      <c r="Q209" s="2491"/>
      <c r="R209" s="2014">
        <f t="shared" si="0"/>
        <v>5913</v>
      </c>
      <c r="S209" s="2480"/>
      <c r="T209" s="1996"/>
    </row>
    <row r="210" spans="1:20" s="1085" customFormat="1" ht="12.75">
      <c r="A210" s="126">
        <v>5914</v>
      </c>
      <c r="B210" s="126" t="s">
        <v>2087</v>
      </c>
      <c r="C210" s="126" t="s">
        <v>4340</v>
      </c>
      <c r="D210" s="1995" t="s">
        <v>5435</v>
      </c>
      <c r="E210" s="2027">
        <v>2</v>
      </c>
      <c r="F210" s="1085" t="s">
        <v>2985</v>
      </c>
      <c r="G210" s="2010" t="s">
        <v>1215</v>
      </c>
      <c r="H210" s="475">
        <v>11709</v>
      </c>
      <c r="K210" s="2940">
        <v>45292</v>
      </c>
      <c r="L210" s="2945"/>
      <c r="M210" s="2946">
        <v>5914</v>
      </c>
      <c r="N210" s="2030" t="s">
        <v>3917</v>
      </c>
      <c r="O210" s="2945" t="s">
        <v>5436</v>
      </c>
      <c r="P210" s="2006">
        <v>2024</v>
      </c>
      <c r="Q210" s="2491"/>
      <c r="R210" s="2014">
        <f t="shared" si="0"/>
        <v>5914</v>
      </c>
      <c r="S210" s="2480"/>
      <c r="T210" s="1996"/>
    </row>
    <row r="211" spans="1:20" s="1085" customFormat="1" ht="12.75">
      <c r="A211" s="126">
        <v>5915</v>
      </c>
      <c r="B211" s="126" t="s">
        <v>2087</v>
      </c>
      <c r="C211" s="126" t="s">
        <v>5445</v>
      </c>
      <c r="D211" s="1995"/>
      <c r="E211" s="2027">
        <v>3</v>
      </c>
      <c r="F211" s="1085" t="s">
        <v>2985</v>
      </c>
      <c r="G211" s="2010" t="s">
        <v>1215</v>
      </c>
      <c r="H211" s="475">
        <v>11710</v>
      </c>
      <c r="K211" s="2940">
        <v>45658</v>
      </c>
      <c r="L211" s="2945"/>
      <c r="M211" s="2946">
        <v>5915</v>
      </c>
      <c r="N211" s="2947" t="s">
        <v>89</v>
      </c>
      <c r="O211" s="2945" t="s">
        <v>5448</v>
      </c>
      <c r="P211" s="2948">
        <v>2025</v>
      </c>
      <c r="Q211" s="2491"/>
      <c r="R211" s="2116">
        <f t="shared" si="0"/>
        <v>5915</v>
      </c>
      <c r="S211" s="2480"/>
      <c r="T211" s="1996"/>
    </row>
    <row r="212" spans="1:20" s="1085" customFormat="1" ht="12.75">
      <c r="A212" s="126">
        <v>5962</v>
      </c>
      <c r="B212" s="126" t="s">
        <v>2087</v>
      </c>
      <c r="C212" s="126" t="s">
        <v>414</v>
      </c>
      <c r="D212" s="1995" t="s">
        <v>5449</v>
      </c>
      <c r="E212" s="2027">
        <v>2</v>
      </c>
      <c r="F212" s="1085" t="s">
        <v>2985</v>
      </c>
      <c r="G212" s="2010" t="s">
        <v>1214</v>
      </c>
      <c r="H212" s="475">
        <v>11711</v>
      </c>
      <c r="K212" s="2940">
        <v>45658</v>
      </c>
      <c r="L212" s="2945"/>
      <c r="M212" s="2946">
        <v>5962</v>
      </c>
      <c r="N212" s="2030" t="s">
        <v>3917</v>
      </c>
      <c r="O212" s="2945" t="s">
        <v>5446</v>
      </c>
      <c r="P212" s="2948">
        <v>2025</v>
      </c>
      <c r="Q212" s="2491"/>
      <c r="R212" s="2116">
        <f t="shared" si="0"/>
        <v>5962</v>
      </c>
      <c r="S212" s="2480"/>
      <c r="T212" s="1996"/>
    </row>
    <row r="213" spans="1:20" s="1085" customFormat="1" ht="28.5" customHeight="1">
      <c r="A213" s="126">
        <v>5964</v>
      </c>
      <c r="B213" s="126" t="s">
        <v>2087</v>
      </c>
      <c r="C213" s="126" t="s">
        <v>5445</v>
      </c>
      <c r="D213" s="1995" t="s">
        <v>5450</v>
      </c>
      <c r="E213" s="2027">
        <v>1</v>
      </c>
      <c r="F213" s="1085" t="s">
        <v>2985</v>
      </c>
      <c r="G213" s="2010" t="s">
        <v>1215</v>
      </c>
      <c r="H213" s="475">
        <v>11712</v>
      </c>
      <c r="K213" s="2940">
        <v>45658</v>
      </c>
      <c r="L213" s="2945"/>
      <c r="M213" s="2946">
        <v>5964</v>
      </c>
      <c r="N213" s="2030" t="s">
        <v>3918</v>
      </c>
      <c r="O213" s="2945" t="s">
        <v>5447</v>
      </c>
      <c r="P213" s="2948">
        <v>2025</v>
      </c>
      <c r="Q213" s="2491"/>
      <c r="R213" s="2116">
        <f t="shared" si="0"/>
        <v>5964</v>
      </c>
      <c r="S213" s="2480"/>
      <c r="T213" s="1996"/>
    </row>
    <row r="214" spans="1:20" s="1085" customFormat="1" ht="28.5" customHeight="1">
      <c r="A214" s="126">
        <v>5965</v>
      </c>
      <c r="B214" s="126" t="s">
        <v>2087</v>
      </c>
      <c r="C214" s="126" t="s">
        <v>414</v>
      </c>
      <c r="D214" s="1995" t="s">
        <v>5884</v>
      </c>
      <c r="E214" s="2027">
        <v>2</v>
      </c>
      <c r="F214" s="1085" t="s">
        <v>2985</v>
      </c>
      <c r="G214" s="2010" t="s">
        <v>1214</v>
      </c>
      <c r="H214" s="475">
        <v>11713</v>
      </c>
      <c r="K214" s="2940">
        <v>46023</v>
      </c>
      <c r="L214" s="2945"/>
      <c r="M214" s="2946">
        <v>5965</v>
      </c>
      <c r="N214" s="2947" t="s">
        <v>3917</v>
      </c>
      <c r="O214" s="2945" t="s">
        <v>5885</v>
      </c>
      <c r="P214" s="2948">
        <v>2026</v>
      </c>
      <c r="Q214" s="2491"/>
      <c r="R214" s="2116"/>
      <c r="S214" s="2480"/>
      <c r="T214" s="1996"/>
    </row>
    <row r="215" spans="1:20" s="1085" customFormat="1" ht="28.5" customHeight="1">
      <c r="A215" s="126">
        <v>5966</v>
      </c>
      <c r="B215" s="126" t="s">
        <v>2087</v>
      </c>
      <c r="C215" s="126" t="s">
        <v>414</v>
      </c>
      <c r="D215" s="1995" t="s">
        <v>5886</v>
      </c>
      <c r="E215" s="2027">
        <v>2</v>
      </c>
      <c r="F215" s="1085" t="s">
        <v>2985</v>
      </c>
      <c r="G215" s="2010" t="s">
        <v>1214</v>
      </c>
      <c r="H215" s="475">
        <v>11714</v>
      </c>
      <c r="K215" s="2940">
        <v>46204</v>
      </c>
      <c r="L215" s="2945"/>
      <c r="M215" s="2946">
        <v>5966</v>
      </c>
      <c r="N215" s="2947" t="s">
        <v>3917</v>
      </c>
      <c r="O215" s="2945" t="s">
        <v>5887</v>
      </c>
      <c r="P215" s="2948">
        <v>2026</v>
      </c>
      <c r="Q215" s="2491"/>
      <c r="R215" s="2116"/>
      <c r="S215" s="2480"/>
      <c r="T215" s="1996"/>
    </row>
    <row r="216" spans="1:20" s="1085" customFormat="1" ht="15.75">
      <c r="A216" s="2480"/>
      <c r="B216" s="2480"/>
      <c r="C216" s="2480"/>
      <c r="D216" s="2481"/>
      <c r="E216" s="2482"/>
      <c r="F216" s="2483"/>
      <c r="G216" s="2484"/>
      <c r="H216" s="2485"/>
      <c r="I216" s="2483"/>
      <c r="J216" s="2483"/>
      <c r="K216" s="2486"/>
      <c r="L216" s="2487"/>
      <c r="M216" s="2488"/>
      <c r="N216" s="2489"/>
      <c r="O216" s="2487"/>
      <c r="P216" s="2490"/>
      <c r="Q216" s="2490"/>
      <c r="R216" s="2487"/>
      <c r="S216" s="2487"/>
      <c r="T216" s="1996"/>
    </row>
    <row r="217" spans="1:20" ht="12.75">
      <c r="A217" s="2480"/>
      <c r="B217" s="2480"/>
      <c r="C217" s="2491"/>
      <c r="D217" s="2481"/>
      <c r="E217" s="2482"/>
      <c r="F217" s="2483"/>
      <c r="G217" s="2484"/>
      <c r="H217" s="2485"/>
      <c r="I217" s="2492"/>
      <c r="J217" s="2492"/>
      <c r="K217" s="2486"/>
      <c r="L217" s="2493"/>
      <c r="M217" s="2494"/>
      <c r="N217" s="2489"/>
      <c r="O217" s="2487"/>
      <c r="P217" s="2490"/>
      <c r="Q217" s="2493"/>
      <c r="R217" s="2487" t="str">
        <f>LEFT(M217,4)</f>
        <v/>
      </c>
      <c r="S217" s="2487" t="str">
        <f>LEFT(N217,4)</f>
        <v/>
      </c>
    </row>
    <row r="218" spans="1:20">
      <c r="A218" s="1021">
        <v>1</v>
      </c>
      <c r="B218" s="1021">
        <v>2</v>
      </c>
      <c r="C218" s="1021">
        <v>3</v>
      </c>
      <c r="D218" s="1021">
        <v>4</v>
      </c>
      <c r="E218" s="1021">
        <v>5</v>
      </c>
      <c r="F218" s="1021">
        <v>6</v>
      </c>
      <c r="G218" s="1021">
        <v>7</v>
      </c>
      <c r="H218" s="1021">
        <v>8</v>
      </c>
      <c r="I218" s="1021">
        <v>9</v>
      </c>
      <c r="J218" s="1021">
        <v>10</v>
      </c>
      <c r="K218" s="1021">
        <v>11</v>
      </c>
      <c r="L218" s="1021">
        <v>12</v>
      </c>
      <c r="M218" s="1021">
        <v>13</v>
      </c>
      <c r="N218" s="1021">
        <v>14</v>
      </c>
      <c r="O218" s="1021">
        <v>15</v>
      </c>
      <c r="P218" s="1021">
        <v>16</v>
      </c>
      <c r="Q218" s="2026">
        <v>17</v>
      </c>
      <c r="R218" s="2026">
        <v>18</v>
      </c>
      <c r="S218" s="2026">
        <v>19</v>
      </c>
    </row>
    <row r="219" spans="1:20" ht="12.75">
      <c r="A219" s="1021"/>
      <c r="B219" s="59"/>
      <c r="C219" s="59"/>
      <c r="D219" s="1997"/>
      <c r="E219" s="2027"/>
      <c r="F219" s="1409"/>
      <c r="G219" s="2010"/>
      <c r="H219" s="1998"/>
      <c r="I219" s="1409"/>
      <c r="J219" s="1409"/>
      <c r="K219" s="2008"/>
      <c r="L219" s="2116"/>
      <c r="M219" s="2117"/>
      <c r="N219" s="2118"/>
      <c r="O219" s="2116"/>
      <c r="P219" s="2007"/>
      <c r="Q219" s="2119"/>
      <c r="R219" s="2026"/>
      <c r="S219" s="2026"/>
    </row>
    <row r="220" spans="1:20" ht="12.75">
      <c r="A220" s="1021"/>
      <c r="B220" s="1021"/>
      <c r="C220" s="1021"/>
      <c r="D220" s="2026"/>
      <c r="E220" s="2027"/>
      <c r="F220" s="1565"/>
      <c r="G220" s="2028"/>
      <c r="H220" s="2029"/>
      <c r="I220" s="1565"/>
      <c r="J220" s="1565"/>
      <c r="K220" s="1565"/>
      <c r="L220" s="2026"/>
      <c r="M220" s="2026"/>
      <c r="N220" s="2026"/>
      <c r="O220" s="2026"/>
      <c r="P220" s="2026"/>
      <c r="Q220" s="2026"/>
      <c r="R220" s="2026"/>
      <c r="S220" s="2026"/>
    </row>
    <row r="221" spans="1:20" ht="12.75">
      <c r="A221" s="1021"/>
      <c r="B221" s="1021"/>
      <c r="C221" s="1021"/>
      <c r="D221" s="2026"/>
      <c r="E221" s="2027"/>
      <c r="F221" s="1565"/>
      <c r="G221" s="2028"/>
      <c r="H221" s="2029"/>
      <c r="I221" s="1565"/>
      <c r="J221" s="1565"/>
      <c r="K221" s="1565"/>
      <c r="L221" s="2026"/>
      <c r="M221" s="2026"/>
      <c r="N221" s="2026"/>
      <c r="O221" s="2026"/>
      <c r="P221" s="2026"/>
      <c r="Q221" s="2026"/>
      <c r="R221" s="2026"/>
      <c r="S221" s="2026"/>
    </row>
    <row r="222" spans="1:20" ht="12.75">
      <c r="A222" s="2026">
        <f>SUM(A1:A217)</f>
        <v>1157954</v>
      </c>
      <c r="B222" s="2026">
        <f t="shared" ref="B222:S222" si="1">SUM(B1:B217)</f>
        <v>0</v>
      </c>
      <c r="C222" s="2026">
        <f t="shared" si="1"/>
        <v>0</v>
      </c>
      <c r="D222" s="2026">
        <f t="shared" si="1"/>
        <v>0</v>
      </c>
      <c r="E222" s="2026">
        <f t="shared" si="1"/>
        <v>464</v>
      </c>
      <c r="F222" s="2026">
        <f t="shared" si="1"/>
        <v>0</v>
      </c>
      <c r="G222" s="3075">
        <f>SUM(H1:H217)</f>
        <v>2484005</v>
      </c>
      <c r="H222" s="3075"/>
      <c r="I222" s="2026">
        <f t="shared" si="1"/>
        <v>0</v>
      </c>
      <c r="J222" s="2026">
        <f t="shared" si="1"/>
        <v>0</v>
      </c>
      <c r="K222" s="2026">
        <f t="shared" si="1"/>
        <v>703125</v>
      </c>
      <c r="L222" s="2026">
        <f t="shared" si="1"/>
        <v>142</v>
      </c>
      <c r="M222" s="2026">
        <f t="shared" si="1"/>
        <v>1145749</v>
      </c>
      <c r="N222" s="2026">
        <f t="shared" si="1"/>
        <v>0</v>
      </c>
      <c r="O222" s="2026">
        <f t="shared" si="1"/>
        <v>0</v>
      </c>
      <c r="P222" s="2026">
        <f t="shared" si="1"/>
        <v>411408</v>
      </c>
      <c r="Q222" s="2026">
        <f t="shared" si="1"/>
        <v>0</v>
      </c>
      <c r="R222" s="2026">
        <f t="shared" si="1"/>
        <v>1145633</v>
      </c>
      <c r="S222" s="2026">
        <f t="shared" si="1"/>
        <v>689641.49999999965</v>
      </c>
    </row>
    <row r="223" spans="1:20">
      <c r="A223" s="1994"/>
      <c r="B223" s="1994"/>
      <c r="C223" s="1994"/>
      <c r="D223" s="1994"/>
      <c r="E223" s="1994"/>
      <c r="F223" s="1994"/>
      <c r="G223" s="1994"/>
      <c r="H223" s="1994"/>
      <c r="I223" s="1994"/>
      <c r="J223" s="1994"/>
      <c r="K223" s="1994"/>
      <c r="L223" s="2009"/>
      <c r="M223" s="1994"/>
      <c r="N223" s="1994"/>
      <c r="O223" s="1994"/>
      <c r="P223" s="1994"/>
      <c r="Q223" s="1994"/>
      <c r="R223" s="1994"/>
      <c r="S223" s="1994"/>
    </row>
    <row r="224" spans="1:20" ht="12.75">
      <c r="B224" s="5"/>
      <c r="D224" s="7"/>
      <c r="E224" s="2031"/>
      <c r="G224" s="2032"/>
      <c r="H224" s="44"/>
      <c r="M224" s="2033"/>
      <c r="N224" s="2034"/>
    </row>
    <row r="225" spans="1:14" ht="12.75">
      <c r="B225" s="5"/>
      <c r="D225" s="7"/>
      <c r="E225" s="2031"/>
      <c r="G225" s="2032"/>
      <c r="H225" s="44"/>
      <c r="M225" s="2033"/>
      <c r="N225" s="2034"/>
    </row>
    <row r="226" spans="1:14" ht="12.75">
      <c r="B226" s="5"/>
      <c r="D226" s="7"/>
      <c r="E226" s="2031"/>
      <c r="G226" s="2032"/>
      <c r="H226" s="44"/>
      <c r="M226" s="2033"/>
      <c r="N226" s="2034"/>
    </row>
    <row r="227" spans="1:14" ht="12.75">
      <c r="B227" s="5"/>
      <c r="D227" s="7"/>
      <c r="E227" s="2031"/>
      <c r="G227" s="2032"/>
      <c r="H227" s="44"/>
      <c r="M227" s="2033"/>
      <c r="N227" s="2034"/>
    </row>
    <row r="228" spans="1:14" ht="12.75">
      <c r="B228" s="5"/>
      <c r="D228" s="7"/>
      <c r="E228" s="2031"/>
      <c r="G228" s="2032"/>
      <c r="H228" s="44"/>
      <c r="M228" s="2033"/>
      <c r="N228" s="2034"/>
    </row>
    <row r="229" spans="1:14" ht="12.75">
      <c r="B229" s="5"/>
      <c r="D229" s="7"/>
      <c r="E229" s="2031"/>
      <c r="G229" s="2032"/>
      <c r="H229" s="44"/>
      <c r="M229" s="2033"/>
      <c r="N229" s="2034"/>
    </row>
    <row r="230" spans="1:14" ht="12.75">
      <c r="B230" s="5"/>
      <c r="D230" s="7"/>
      <c r="E230" s="2031"/>
      <c r="G230" s="2032"/>
      <c r="H230" s="44"/>
      <c r="M230" s="2033"/>
      <c r="N230" s="2034"/>
    </row>
    <row r="231" spans="1:14" s="126" customFormat="1" ht="12.75">
      <c r="A231" s="2019"/>
      <c r="B231" s="2019"/>
      <c r="C231" s="2019"/>
      <c r="D231" s="2020"/>
      <c r="E231" s="2019"/>
      <c r="F231" s="2019"/>
      <c r="G231" s="2019"/>
      <c r="H231" s="2019"/>
      <c r="I231" s="2019"/>
      <c r="J231" s="2019"/>
      <c r="K231" s="1993"/>
      <c r="M231" s="2019"/>
      <c r="N231" s="2019"/>
    </row>
    <row r="232" spans="1:14" s="126" customFormat="1" ht="12.75">
      <c r="A232" s="2019"/>
      <c r="B232" s="2019"/>
      <c r="C232" s="2019"/>
      <c r="D232" s="2020"/>
      <c r="E232" s="2019"/>
      <c r="F232" s="2019"/>
      <c r="G232" s="2019"/>
      <c r="H232" s="2019"/>
      <c r="I232" s="2019"/>
      <c r="J232" s="2019"/>
      <c r="K232" s="1993"/>
      <c r="M232" s="2019"/>
      <c r="N232" s="2019"/>
    </row>
    <row r="233" spans="1:14" s="126" customFormat="1" ht="12.75">
      <c r="A233" s="2019"/>
      <c r="B233" s="2019"/>
      <c r="C233" s="2019"/>
      <c r="D233" s="2020"/>
      <c r="E233" s="2019"/>
      <c r="F233" s="2019"/>
      <c r="G233" s="2019"/>
      <c r="H233" s="2019"/>
      <c r="I233" s="2019"/>
      <c r="J233" s="2019"/>
      <c r="K233" s="1993"/>
      <c r="M233" s="2019"/>
      <c r="N233" s="2019"/>
    </row>
    <row r="234" spans="1:14" s="126" customFormat="1" ht="12.75">
      <c r="A234" s="2019"/>
      <c r="B234" s="2019"/>
      <c r="C234" s="2019"/>
      <c r="D234" s="2019"/>
      <c r="E234" s="2019"/>
      <c r="F234" s="2019"/>
      <c r="G234" s="2019"/>
      <c r="H234" s="2019"/>
      <c r="I234" s="2019"/>
      <c r="J234" s="2019"/>
      <c r="K234" s="1993"/>
      <c r="M234" s="2019"/>
      <c r="N234" s="2019"/>
    </row>
    <row r="235" spans="1:14" s="126" customFormat="1" ht="12.75">
      <c r="A235" s="2019"/>
      <c r="B235" s="2019"/>
      <c r="C235" s="2019"/>
      <c r="D235" s="2020"/>
      <c r="E235" s="2019"/>
      <c r="F235" s="2019"/>
      <c r="G235" s="2019"/>
      <c r="H235" s="2019"/>
      <c r="I235" s="2019"/>
      <c r="J235" s="2019"/>
      <c r="K235" s="1993"/>
      <c r="M235" s="2019"/>
      <c r="N235" s="2019"/>
    </row>
    <row r="236" spans="1:14" s="126" customFormat="1" ht="12.75">
      <c r="A236" s="2019"/>
      <c r="B236" s="2019"/>
      <c r="C236" s="2019"/>
      <c r="D236" s="2020"/>
      <c r="E236" s="2019"/>
      <c r="F236" s="2019"/>
      <c r="G236" s="2019"/>
      <c r="H236" s="2019"/>
      <c r="I236" s="2019"/>
      <c r="J236" s="2019"/>
      <c r="K236" s="1993"/>
      <c r="M236" s="2019"/>
      <c r="N236" s="2019"/>
    </row>
    <row r="237" spans="1:14" s="126" customFormat="1" ht="12.75">
      <c r="A237" s="1991"/>
      <c r="B237" s="502"/>
      <c r="C237" s="502"/>
      <c r="D237" s="1992"/>
      <c r="E237" s="2021"/>
      <c r="F237" s="502"/>
      <c r="G237" s="2022"/>
      <c r="H237" s="502"/>
      <c r="I237" s="502"/>
      <c r="J237" s="502"/>
      <c r="K237" s="1993"/>
      <c r="M237" s="2023"/>
      <c r="N237" s="502"/>
    </row>
    <row r="238" spans="1:14" ht="12.75">
      <c r="B238" s="5"/>
      <c r="D238" s="1298"/>
      <c r="E238" s="2015"/>
      <c r="G238" s="2016"/>
      <c r="H238" s="44"/>
      <c r="M238" s="2024"/>
      <c r="N238" s="2025"/>
    </row>
    <row r="239" spans="1:14" ht="12.75">
      <c r="B239" s="5"/>
      <c r="D239" s="1298"/>
      <c r="E239" s="2015"/>
      <c r="G239" s="2016"/>
      <c r="H239" s="44"/>
      <c r="M239" s="2017"/>
      <c r="N239" s="2018"/>
    </row>
    <row r="240" spans="1:14" ht="12.75">
      <c r="B240" s="5"/>
      <c r="D240" s="1298"/>
      <c r="E240" s="2015"/>
      <c r="G240" s="2016"/>
      <c r="H240" s="44"/>
      <c r="M240" s="2017"/>
      <c r="N240" s="2018"/>
    </row>
    <row r="241" spans="2:14" ht="12.75">
      <c r="B241" s="5"/>
      <c r="D241" s="1298"/>
      <c r="E241" s="2015"/>
      <c r="G241" s="2016"/>
      <c r="H241" s="44"/>
      <c r="M241" s="2017"/>
      <c r="N241" s="2018"/>
    </row>
    <row r="242" spans="2:14" ht="12.75">
      <c r="B242" s="5"/>
      <c r="D242" s="1298"/>
      <c r="E242" s="2015"/>
      <c r="G242" s="2016"/>
      <c r="H242" s="44"/>
      <c r="M242" s="2017"/>
      <c r="N242" s="2018"/>
    </row>
    <row r="243" spans="2:14" ht="12.75">
      <c r="B243" s="5"/>
      <c r="D243" s="1298"/>
      <c r="E243" s="2015"/>
      <c r="G243" s="2016"/>
      <c r="H243" s="44"/>
      <c r="M243" s="2017"/>
      <c r="N243" s="2018"/>
    </row>
    <row r="244" spans="2:14" ht="12.75">
      <c r="B244" s="5"/>
      <c r="D244" s="1298"/>
      <c r="E244" s="2015"/>
      <c r="G244" s="2016"/>
      <c r="H244" s="44"/>
      <c r="M244" s="2017"/>
      <c r="N244" s="2018"/>
    </row>
    <row r="245" spans="2:14" ht="12.75">
      <c r="B245" s="5"/>
      <c r="D245" s="1298"/>
      <c r="E245" s="2015"/>
      <c r="G245" s="2016"/>
      <c r="H245" s="44"/>
      <c r="M245" s="2017"/>
      <c r="N245" s="2018"/>
    </row>
    <row r="246" spans="2:14" ht="12.75">
      <c r="B246" s="5"/>
      <c r="D246" s="1298"/>
      <c r="E246" s="2015"/>
      <c r="G246" s="2016"/>
      <c r="H246" s="44"/>
      <c r="M246" s="2017"/>
      <c r="N246" s="2018"/>
    </row>
    <row r="247" spans="2:14" ht="12.75">
      <c r="B247" s="5"/>
      <c r="D247" s="1298"/>
      <c r="E247" s="2015"/>
      <c r="G247" s="2016"/>
      <c r="H247" s="44"/>
      <c r="M247" s="2017"/>
      <c r="N247" s="2018"/>
    </row>
    <row r="248" spans="2:14" ht="12.75">
      <c r="B248" s="5"/>
      <c r="D248" s="1298"/>
      <c r="E248" s="2015"/>
      <c r="G248" s="2016"/>
      <c r="H248" s="44"/>
      <c r="M248" s="2017"/>
      <c r="N248" s="2018"/>
    </row>
  </sheetData>
  <sheetProtection algorithmName="SHA-512" hashValue="v0+RCyLePgV2alXKca9hq+JXnccM0xrBaGPDZioYR/loNVYo+tHUXZ0CaWFGCOkirW2Z6kAP/e1+m2ovF931eA==" saltValue="eNpLzWM2PvHwzggLUleNYw==" spinCount="100000" sheet="1" autoFilter="0"/>
  <autoFilter ref="A1:R205" xr:uid="{00000000-0009-0000-0000-00001A000000}"/>
  <mergeCells count="1">
    <mergeCell ref="G222:H222"/>
  </mergeCells>
  <phoneticPr fontId="38" type="noConversion"/>
  <pageMargins left="0.74803149606299213" right="0.23622047244094491" top="0.39370078740157483" bottom="0.43307086614173229" header="0.19685039370078741" footer="0.23622047244094491"/>
  <pageSetup paperSize="9" scale="63" fitToHeight="43" orientation="landscape" r:id="rId1"/>
  <headerFooter alignWithMargins="0">
    <oddHeader>&amp;C&amp;F-&amp;A</oddHeader>
    <oddFooter>&amp;C&amp;P/&amp;N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
  <dimension ref="A1:D703"/>
  <sheetViews>
    <sheetView workbookViewId="0">
      <selection activeCell="F17" sqref="F17"/>
    </sheetView>
  </sheetViews>
  <sheetFormatPr defaultColWidth="11.42578125" defaultRowHeight="12.75"/>
  <cols>
    <col min="1" max="1" width="6.140625" style="1182" bestFit="1" customWidth="1"/>
    <col min="2" max="2" width="39.42578125" bestFit="1" customWidth="1"/>
    <col min="3" max="3" width="38.28515625" bestFit="1" customWidth="1"/>
    <col min="4" max="4" width="37.7109375" bestFit="1" customWidth="1"/>
  </cols>
  <sheetData>
    <row r="1" spans="1:4" ht="15">
      <c r="A1" s="2055" t="s">
        <v>3541</v>
      </c>
      <c r="B1" s="2055" t="s">
        <v>3542</v>
      </c>
      <c r="C1" s="2055" t="s">
        <v>3543</v>
      </c>
      <c r="D1" s="2055" t="s">
        <v>919</v>
      </c>
    </row>
    <row r="2" spans="1:4">
      <c r="A2" t="s">
        <v>3040</v>
      </c>
      <c r="B2" t="s">
        <v>3041</v>
      </c>
      <c r="C2" t="s">
        <v>2007</v>
      </c>
      <c r="D2" t="s">
        <v>2008</v>
      </c>
    </row>
    <row r="3" spans="1:4">
      <c r="A3" t="s">
        <v>2009</v>
      </c>
      <c r="B3" t="s">
        <v>2010</v>
      </c>
      <c r="C3" t="s">
        <v>961</v>
      </c>
      <c r="D3" t="s">
        <v>962</v>
      </c>
    </row>
    <row r="4" spans="1:4">
      <c r="A4" t="s">
        <v>963</v>
      </c>
      <c r="B4" t="s">
        <v>964</v>
      </c>
      <c r="C4" t="s">
        <v>965</v>
      </c>
      <c r="D4" t="s">
        <v>966</v>
      </c>
    </row>
    <row r="5" spans="1:4">
      <c r="A5" t="s">
        <v>967</v>
      </c>
      <c r="B5" t="s">
        <v>3711</v>
      </c>
      <c r="C5" t="s">
        <v>3712</v>
      </c>
      <c r="D5" t="s">
        <v>966</v>
      </c>
    </row>
    <row r="6" spans="1:4">
      <c r="A6" t="s">
        <v>3713</v>
      </c>
      <c r="B6" t="s">
        <v>1051</v>
      </c>
      <c r="C6" t="s">
        <v>1052</v>
      </c>
      <c r="D6" t="s">
        <v>2742</v>
      </c>
    </row>
    <row r="7" spans="1:4">
      <c r="A7" t="s">
        <v>220</v>
      </c>
      <c r="B7" t="s">
        <v>702</v>
      </c>
      <c r="C7" t="s">
        <v>4101</v>
      </c>
      <c r="D7" t="s">
        <v>1566</v>
      </c>
    </row>
    <row r="8" spans="1:4">
      <c r="A8" t="s">
        <v>282</v>
      </c>
      <c r="B8" t="s">
        <v>1567</v>
      </c>
      <c r="C8" t="s">
        <v>1568</v>
      </c>
      <c r="D8" t="s">
        <v>1569</v>
      </c>
    </row>
    <row r="9" spans="1:4">
      <c r="A9" t="s">
        <v>1570</v>
      </c>
      <c r="B9" t="s">
        <v>1571</v>
      </c>
      <c r="C9" t="s">
        <v>636</v>
      </c>
      <c r="D9" t="s">
        <v>637</v>
      </c>
    </row>
    <row r="10" spans="1:4">
      <c r="A10" t="s">
        <v>638</v>
      </c>
      <c r="B10" t="s">
        <v>639</v>
      </c>
      <c r="C10" t="s">
        <v>640</v>
      </c>
      <c r="D10" t="s">
        <v>641</v>
      </c>
    </row>
    <row r="11" spans="1:4">
      <c r="A11" t="s">
        <v>642</v>
      </c>
      <c r="B11" t="s">
        <v>643</v>
      </c>
      <c r="C11" t="s">
        <v>4209</v>
      </c>
      <c r="D11" t="s">
        <v>4210</v>
      </c>
    </row>
    <row r="12" spans="1:4">
      <c r="A12" t="s">
        <v>4211</v>
      </c>
      <c r="B12" t="s">
        <v>4212</v>
      </c>
      <c r="C12" t="s">
        <v>1137</v>
      </c>
      <c r="D12" t="s">
        <v>1138</v>
      </c>
    </row>
    <row r="13" spans="1:4">
      <c r="A13" t="s">
        <v>1139</v>
      </c>
      <c r="B13" t="s">
        <v>1140</v>
      </c>
      <c r="C13" t="s">
        <v>1141</v>
      </c>
      <c r="D13" t="s">
        <v>1142</v>
      </c>
    </row>
    <row r="14" spans="1:4">
      <c r="A14" t="s">
        <v>1143</v>
      </c>
      <c r="B14" t="s">
        <v>1526</v>
      </c>
      <c r="C14" t="s">
        <v>1527</v>
      </c>
      <c r="D14" t="s">
        <v>3549</v>
      </c>
    </row>
    <row r="15" spans="1:4">
      <c r="A15" t="s">
        <v>5048</v>
      </c>
      <c r="B15" t="s">
        <v>5049</v>
      </c>
      <c r="C15" t="s">
        <v>5050</v>
      </c>
      <c r="D15" t="s">
        <v>998</v>
      </c>
    </row>
    <row r="16" spans="1:4">
      <c r="A16" t="s">
        <v>5051</v>
      </c>
      <c r="B16" t="s">
        <v>5052</v>
      </c>
      <c r="C16" t="s">
        <v>5053</v>
      </c>
      <c r="D16" t="s">
        <v>998</v>
      </c>
    </row>
    <row r="17" spans="1:4">
      <c r="A17" t="s">
        <v>5054</v>
      </c>
      <c r="B17" t="s">
        <v>5451</v>
      </c>
      <c r="C17" t="s">
        <v>5452</v>
      </c>
      <c r="D17" t="s">
        <v>998</v>
      </c>
    </row>
    <row r="18" spans="1:4">
      <c r="A18" t="s">
        <v>3550</v>
      </c>
      <c r="B18" t="s">
        <v>3551</v>
      </c>
      <c r="C18" t="s">
        <v>3552</v>
      </c>
      <c r="D18" t="s">
        <v>3553</v>
      </c>
    </row>
    <row r="19" spans="1:4">
      <c r="A19" t="s">
        <v>3554</v>
      </c>
      <c r="B19" t="s">
        <v>3703</v>
      </c>
      <c r="C19" t="s">
        <v>3704</v>
      </c>
      <c r="D19" t="s">
        <v>3705</v>
      </c>
    </row>
    <row r="20" spans="1:4">
      <c r="A20" t="s">
        <v>5453</v>
      </c>
      <c r="B20" t="s">
        <v>5454</v>
      </c>
      <c r="C20" t="s">
        <v>5455</v>
      </c>
      <c r="D20" t="s">
        <v>998</v>
      </c>
    </row>
    <row r="21" spans="1:4">
      <c r="A21" t="s">
        <v>3706</v>
      </c>
      <c r="B21" t="s">
        <v>3707</v>
      </c>
      <c r="C21" t="s">
        <v>3596</v>
      </c>
      <c r="D21" t="s">
        <v>3422</v>
      </c>
    </row>
    <row r="22" spans="1:4">
      <c r="A22" t="s">
        <v>3423</v>
      </c>
      <c r="B22" t="s">
        <v>3424</v>
      </c>
      <c r="C22" t="s">
        <v>3425</v>
      </c>
      <c r="D22" t="s">
        <v>3426</v>
      </c>
    </row>
    <row r="23" spans="1:4">
      <c r="A23" t="s">
        <v>3427</v>
      </c>
      <c r="B23" t="s">
        <v>4268</v>
      </c>
      <c r="C23" t="s">
        <v>4269</v>
      </c>
      <c r="D23" t="s">
        <v>4057</v>
      </c>
    </row>
    <row r="24" spans="1:4">
      <c r="A24" t="s">
        <v>4058</v>
      </c>
      <c r="B24" t="s">
        <v>4059</v>
      </c>
      <c r="C24" t="s">
        <v>230</v>
      </c>
      <c r="D24" t="s">
        <v>231</v>
      </c>
    </row>
    <row r="25" spans="1:4">
      <c r="A25" t="s">
        <v>232</v>
      </c>
      <c r="B25" t="s">
        <v>233</v>
      </c>
      <c r="C25" t="s">
        <v>234</v>
      </c>
      <c r="D25" t="s">
        <v>998</v>
      </c>
    </row>
    <row r="26" spans="1:4">
      <c r="A26" t="s">
        <v>235</v>
      </c>
      <c r="B26" t="s">
        <v>3453</v>
      </c>
      <c r="C26" t="s">
        <v>3454</v>
      </c>
      <c r="D26" t="s">
        <v>998</v>
      </c>
    </row>
    <row r="27" spans="1:4">
      <c r="A27" t="s">
        <v>3455</v>
      </c>
      <c r="B27" t="s">
        <v>3456</v>
      </c>
      <c r="C27" t="s">
        <v>3457</v>
      </c>
      <c r="D27" t="s">
        <v>998</v>
      </c>
    </row>
    <row r="28" spans="1:4">
      <c r="A28" t="s">
        <v>3458</v>
      </c>
      <c r="B28" t="s">
        <v>3459</v>
      </c>
      <c r="C28" t="s">
        <v>3460</v>
      </c>
      <c r="D28" t="s">
        <v>998</v>
      </c>
    </row>
    <row r="29" spans="1:4">
      <c r="A29" t="s">
        <v>3461</v>
      </c>
      <c r="B29" t="s">
        <v>3462</v>
      </c>
      <c r="C29" t="s">
        <v>3463</v>
      </c>
      <c r="D29" t="s">
        <v>998</v>
      </c>
    </row>
    <row r="30" spans="1:4">
      <c r="A30" t="s">
        <v>3464</v>
      </c>
      <c r="B30" t="s">
        <v>4020</v>
      </c>
      <c r="C30" t="s">
        <v>4021</v>
      </c>
      <c r="D30" t="s">
        <v>998</v>
      </c>
    </row>
    <row r="31" spans="1:4">
      <c r="A31" t="s">
        <v>4022</v>
      </c>
      <c r="B31" t="s">
        <v>4023</v>
      </c>
      <c r="C31" t="s">
        <v>4024</v>
      </c>
      <c r="D31" t="s">
        <v>998</v>
      </c>
    </row>
    <row r="32" spans="1:4">
      <c r="A32" t="s">
        <v>4025</v>
      </c>
      <c r="B32" t="s">
        <v>2698</v>
      </c>
      <c r="C32" t="s">
        <v>2699</v>
      </c>
      <c r="D32" t="s">
        <v>998</v>
      </c>
    </row>
    <row r="33" spans="1:4">
      <c r="A33" t="s">
        <v>2700</v>
      </c>
      <c r="B33" t="s">
        <v>2701</v>
      </c>
      <c r="C33" t="s">
        <v>2702</v>
      </c>
      <c r="D33" t="s">
        <v>998</v>
      </c>
    </row>
    <row r="34" spans="1:4">
      <c r="A34" t="s">
        <v>2703</v>
      </c>
      <c r="B34" t="s">
        <v>2704</v>
      </c>
      <c r="C34" t="s">
        <v>2705</v>
      </c>
      <c r="D34" t="s">
        <v>1823</v>
      </c>
    </row>
    <row r="35" spans="1:4">
      <c r="A35" t="s">
        <v>1824</v>
      </c>
      <c r="B35" t="s">
        <v>3239</v>
      </c>
      <c r="C35" t="s">
        <v>3240</v>
      </c>
      <c r="D35" t="s">
        <v>4208</v>
      </c>
    </row>
    <row r="36" spans="1:4">
      <c r="A36" t="s">
        <v>5055</v>
      </c>
      <c r="B36" t="s">
        <v>5056</v>
      </c>
      <c r="C36" t="s">
        <v>5057</v>
      </c>
      <c r="D36" t="s">
        <v>998</v>
      </c>
    </row>
    <row r="37" spans="1:4">
      <c r="A37" t="s">
        <v>2239</v>
      </c>
      <c r="B37" t="s">
        <v>2240</v>
      </c>
      <c r="C37" t="s">
        <v>2241</v>
      </c>
      <c r="D37" t="s">
        <v>2139</v>
      </c>
    </row>
    <row r="38" spans="1:4">
      <c r="A38" t="s">
        <v>2140</v>
      </c>
      <c r="B38" t="s">
        <v>2141</v>
      </c>
      <c r="C38" t="s">
        <v>2142</v>
      </c>
      <c r="D38" t="s">
        <v>2883</v>
      </c>
    </row>
    <row r="39" spans="1:4">
      <c r="A39" t="s">
        <v>2884</v>
      </c>
      <c r="B39" t="s">
        <v>3866</v>
      </c>
      <c r="C39" t="s">
        <v>3495</v>
      </c>
      <c r="D39" t="s">
        <v>3496</v>
      </c>
    </row>
    <row r="40" spans="1:4">
      <c r="A40" t="s">
        <v>3497</v>
      </c>
      <c r="B40" t="s">
        <v>3498</v>
      </c>
      <c r="C40" t="s">
        <v>3499</v>
      </c>
      <c r="D40" t="s">
        <v>623</v>
      </c>
    </row>
    <row r="41" spans="1:4">
      <c r="A41" t="s">
        <v>624</v>
      </c>
      <c r="B41" t="s">
        <v>625</v>
      </c>
      <c r="C41" t="s">
        <v>626</v>
      </c>
      <c r="D41" t="s">
        <v>627</v>
      </c>
    </row>
    <row r="42" spans="1:4">
      <c r="A42" t="s">
        <v>628</v>
      </c>
      <c r="B42" t="s">
        <v>629</v>
      </c>
      <c r="C42" t="s">
        <v>630</v>
      </c>
      <c r="D42" t="s">
        <v>631</v>
      </c>
    </row>
    <row r="43" spans="1:4">
      <c r="A43" t="s">
        <v>632</v>
      </c>
      <c r="B43" t="s">
        <v>633</v>
      </c>
      <c r="C43" t="s">
        <v>1899</v>
      </c>
      <c r="D43" t="s">
        <v>1300</v>
      </c>
    </row>
    <row r="44" spans="1:4">
      <c r="A44" t="s">
        <v>1301</v>
      </c>
      <c r="B44" t="s">
        <v>1302</v>
      </c>
      <c r="C44" t="s">
        <v>1303</v>
      </c>
      <c r="D44" t="s">
        <v>1304</v>
      </c>
    </row>
    <row r="45" spans="1:4">
      <c r="A45" t="s">
        <v>1305</v>
      </c>
      <c r="B45" t="s">
        <v>1306</v>
      </c>
      <c r="C45" t="s">
        <v>1307</v>
      </c>
      <c r="D45" t="s">
        <v>1308</v>
      </c>
    </row>
    <row r="46" spans="1:4">
      <c r="A46" t="s">
        <v>1309</v>
      </c>
      <c r="B46" t="s">
        <v>614</v>
      </c>
      <c r="C46" t="s">
        <v>615</v>
      </c>
      <c r="D46" t="s">
        <v>616</v>
      </c>
    </row>
    <row r="47" spans="1:4">
      <c r="A47" t="s">
        <v>617</v>
      </c>
      <c r="B47" t="s">
        <v>2196</v>
      </c>
      <c r="C47" t="s">
        <v>2197</v>
      </c>
      <c r="D47" t="s">
        <v>2198</v>
      </c>
    </row>
    <row r="48" spans="1:4">
      <c r="A48" t="s">
        <v>2199</v>
      </c>
      <c r="B48" t="s">
        <v>2885</v>
      </c>
      <c r="C48" t="s">
        <v>2886</v>
      </c>
      <c r="D48" t="s">
        <v>2887</v>
      </c>
    </row>
    <row r="49" spans="1:4">
      <c r="A49" t="s">
        <v>2888</v>
      </c>
      <c r="B49" t="s">
        <v>2797</v>
      </c>
      <c r="C49" t="s">
        <v>2798</v>
      </c>
      <c r="D49" t="s">
        <v>2799</v>
      </c>
    </row>
    <row r="50" spans="1:4">
      <c r="A50" t="s">
        <v>2800</v>
      </c>
      <c r="B50" t="s">
        <v>2801</v>
      </c>
      <c r="C50" t="s">
        <v>3485</v>
      </c>
      <c r="D50" t="s">
        <v>3486</v>
      </c>
    </row>
    <row r="51" spans="1:4">
      <c r="A51" t="s">
        <v>3487</v>
      </c>
      <c r="B51" t="s">
        <v>5456</v>
      </c>
      <c r="C51" t="s">
        <v>5457</v>
      </c>
      <c r="D51" t="s">
        <v>5458</v>
      </c>
    </row>
    <row r="52" spans="1:4">
      <c r="A52" t="s">
        <v>3189</v>
      </c>
      <c r="B52" t="s">
        <v>5459</v>
      </c>
      <c r="C52" t="s">
        <v>5460</v>
      </c>
      <c r="D52" t="s">
        <v>5461</v>
      </c>
    </row>
    <row r="53" spans="1:4">
      <c r="A53" t="s">
        <v>5058</v>
      </c>
      <c r="B53" t="s">
        <v>5462</v>
      </c>
      <c r="C53" t="s">
        <v>5463</v>
      </c>
      <c r="D53" t="s">
        <v>998</v>
      </c>
    </row>
    <row r="54" spans="1:4">
      <c r="A54" t="s">
        <v>5464</v>
      </c>
      <c r="B54" t="s">
        <v>5465</v>
      </c>
      <c r="C54" t="s">
        <v>5466</v>
      </c>
      <c r="D54" t="s">
        <v>5467</v>
      </c>
    </row>
    <row r="55" spans="1:4">
      <c r="A55" t="s">
        <v>5468</v>
      </c>
      <c r="B55" t="s">
        <v>5469</v>
      </c>
      <c r="C55" t="s">
        <v>5470</v>
      </c>
      <c r="D55" t="s">
        <v>5471</v>
      </c>
    </row>
    <row r="56" spans="1:4">
      <c r="A56" t="s">
        <v>5472</v>
      </c>
      <c r="B56" t="s">
        <v>5473</v>
      </c>
      <c r="C56" t="s">
        <v>5474</v>
      </c>
      <c r="D56" t="s">
        <v>5475</v>
      </c>
    </row>
    <row r="57" spans="1:4">
      <c r="A57" t="s">
        <v>5476</v>
      </c>
      <c r="B57" t="s">
        <v>5477</v>
      </c>
      <c r="C57" t="s">
        <v>5478</v>
      </c>
      <c r="D57" t="s">
        <v>5479</v>
      </c>
    </row>
    <row r="58" spans="1:4">
      <c r="A58" t="s">
        <v>5480</v>
      </c>
      <c r="B58" t="s">
        <v>5481</v>
      </c>
      <c r="C58" t="s">
        <v>5482</v>
      </c>
      <c r="D58" t="s">
        <v>5483</v>
      </c>
    </row>
    <row r="59" spans="1:4">
      <c r="A59" t="s">
        <v>5484</v>
      </c>
      <c r="B59" t="s">
        <v>5485</v>
      </c>
      <c r="C59" t="s">
        <v>5486</v>
      </c>
      <c r="D59" t="s">
        <v>5487</v>
      </c>
    </row>
    <row r="60" spans="1:4">
      <c r="A60" t="s">
        <v>5488</v>
      </c>
      <c r="B60" t="s">
        <v>5489</v>
      </c>
      <c r="C60" t="s">
        <v>5490</v>
      </c>
      <c r="D60" t="s">
        <v>5491</v>
      </c>
    </row>
    <row r="61" spans="1:4">
      <c r="A61" t="s">
        <v>5492</v>
      </c>
      <c r="B61" t="s">
        <v>5493</v>
      </c>
      <c r="C61" t="s">
        <v>5494</v>
      </c>
      <c r="D61" t="s">
        <v>5495</v>
      </c>
    </row>
    <row r="62" spans="1:4">
      <c r="A62" t="s">
        <v>5496</v>
      </c>
      <c r="B62" t="s">
        <v>5497</v>
      </c>
      <c r="C62" t="s">
        <v>5498</v>
      </c>
      <c r="D62" t="s">
        <v>5499</v>
      </c>
    </row>
    <row r="63" spans="1:4">
      <c r="A63" t="s">
        <v>5500</v>
      </c>
      <c r="B63" t="s">
        <v>5501</v>
      </c>
      <c r="C63" t="s">
        <v>5502</v>
      </c>
      <c r="D63" t="s">
        <v>5503</v>
      </c>
    </row>
    <row r="64" spans="1:4">
      <c r="A64" t="s">
        <v>5504</v>
      </c>
      <c r="B64" t="s">
        <v>5505</v>
      </c>
      <c r="C64" t="s">
        <v>5506</v>
      </c>
      <c r="D64" t="s">
        <v>5507</v>
      </c>
    </row>
    <row r="65" spans="1:4">
      <c r="A65" t="s">
        <v>5508</v>
      </c>
      <c r="B65" t="s">
        <v>5509</v>
      </c>
      <c r="C65" t="s">
        <v>5510</v>
      </c>
      <c r="D65" t="s">
        <v>5511</v>
      </c>
    </row>
    <row r="66" spans="1:4">
      <c r="A66" t="s">
        <v>5512</v>
      </c>
      <c r="B66" t="s">
        <v>5513</v>
      </c>
      <c r="C66" t="s">
        <v>5514</v>
      </c>
      <c r="D66" t="s">
        <v>5515</v>
      </c>
    </row>
    <row r="67" spans="1:4">
      <c r="A67" t="s">
        <v>5516</v>
      </c>
      <c r="B67" t="s">
        <v>5517</v>
      </c>
      <c r="C67" t="s">
        <v>5518</v>
      </c>
      <c r="D67" t="s">
        <v>5519</v>
      </c>
    </row>
    <row r="68" spans="1:4">
      <c r="A68" t="s">
        <v>5520</v>
      </c>
      <c r="B68" t="s">
        <v>5521</v>
      </c>
      <c r="C68" t="s">
        <v>5522</v>
      </c>
      <c r="D68" t="s">
        <v>5523</v>
      </c>
    </row>
    <row r="69" spans="1:4">
      <c r="A69" t="s">
        <v>5524</v>
      </c>
      <c r="B69" t="s">
        <v>5525</v>
      </c>
      <c r="C69" t="s">
        <v>5526</v>
      </c>
      <c r="D69" t="s">
        <v>5527</v>
      </c>
    </row>
    <row r="70" spans="1:4">
      <c r="A70" t="s">
        <v>5528</v>
      </c>
      <c r="B70" t="s">
        <v>5529</v>
      </c>
      <c r="C70" t="s">
        <v>5530</v>
      </c>
      <c r="D70" t="s">
        <v>5531</v>
      </c>
    </row>
    <row r="71" spans="1:4">
      <c r="A71" t="s">
        <v>5532</v>
      </c>
      <c r="B71" t="s">
        <v>5533</v>
      </c>
      <c r="C71" t="s">
        <v>5534</v>
      </c>
      <c r="D71" t="s">
        <v>5535</v>
      </c>
    </row>
    <row r="72" spans="1:4">
      <c r="A72" t="s">
        <v>5536</v>
      </c>
      <c r="B72" t="s">
        <v>5537</v>
      </c>
      <c r="C72" t="s">
        <v>5538</v>
      </c>
      <c r="D72" t="s">
        <v>998</v>
      </c>
    </row>
    <row r="73" spans="1:4">
      <c r="A73" t="s">
        <v>3190</v>
      </c>
      <c r="B73" t="s">
        <v>1939</v>
      </c>
      <c r="C73" t="s">
        <v>4591</v>
      </c>
      <c r="D73" t="s">
        <v>998</v>
      </c>
    </row>
    <row r="74" spans="1:4">
      <c r="A74" t="s">
        <v>3488</v>
      </c>
      <c r="B74" t="s">
        <v>3489</v>
      </c>
      <c r="C74" t="s">
        <v>3490</v>
      </c>
      <c r="D74" t="s">
        <v>998</v>
      </c>
    </row>
    <row r="75" spans="1:4">
      <c r="A75" t="s">
        <v>3491</v>
      </c>
      <c r="B75" t="s">
        <v>3492</v>
      </c>
      <c r="C75" t="s">
        <v>1474</v>
      </c>
      <c r="D75" t="s">
        <v>998</v>
      </c>
    </row>
    <row r="76" spans="1:4">
      <c r="A76" t="s">
        <v>1475</v>
      </c>
      <c r="B76" t="s">
        <v>1476</v>
      </c>
      <c r="C76" t="s">
        <v>1477</v>
      </c>
      <c r="D76" t="s">
        <v>998</v>
      </c>
    </row>
    <row r="77" spans="1:4">
      <c r="A77" t="s">
        <v>1478</v>
      </c>
      <c r="B77" t="s">
        <v>3104</v>
      </c>
      <c r="C77" t="s">
        <v>3105</v>
      </c>
      <c r="D77" t="s">
        <v>998</v>
      </c>
    </row>
    <row r="78" spans="1:4">
      <c r="A78" t="s">
        <v>1376</v>
      </c>
      <c r="B78" t="s">
        <v>1377</v>
      </c>
      <c r="C78" t="s">
        <v>935</v>
      </c>
      <c r="D78" t="s">
        <v>998</v>
      </c>
    </row>
    <row r="79" spans="1:4">
      <c r="A79" t="s">
        <v>936</v>
      </c>
      <c r="B79" t="s">
        <v>937</v>
      </c>
      <c r="C79" t="s">
        <v>227</v>
      </c>
      <c r="D79" t="s">
        <v>998</v>
      </c>
    </row>
    <row r="80" spans="1:4">
      <c r="A80" t="s">
        <v>228</v>
      </c>
      <c r="B80" t="s">
        <v>229</v>
      </c>
      <c r="C80" t="s">
        <v>2812</v>
      </c>
      <c r="D80" t="s">
        <v>998</v>
      </c>
    </row>
    <row r="81" spans="1:4">
      <c r="A81" t="s">
        <v>2813</v>
      </c>
      <c r="B81" t="s">
        <v>2814</v>
      </c>
      <c r="C81" t="s">
        <v>3955</v>
      </c>
      <c r="D81" t="s">
        <v>998</v>
      </c>
    </row>
    <row r="82" spans="1:4">
      <c r="A82" t="s">
        <v>3956</v>
      </c>
      <c r="B82" t="s">
        <v>3957</v>
      </c>
      <c r="C82" t="s">
        <v>3958</v>
      </c>
      <c r="D82" t="s">
        <v>998</v>
      </c>
    </row>
    <row r="83" spans="1:4">
      <c r="A83" t="s">
        <v>4459</v>
      </c>
      <c r="B83" t="s">
        <v>4460</v>
      </c>
      <c r="C83" t="s">
        <v>559</v>
      </c>
      <c r="D83" t="s">
        <v>998</v>
      </c>
    </row>
    <row r="84" spans="1:4">
      <c r="A84" t="s">
        <v>560</v>
      </c>
      <c r="B84" t="s">
        <v>444</v>
      </c>
      <c r="C84" t="s">
        <v>445</v>
      </c>
      <c r="D84" t="s">
        <v>998</v>
      </c>
    </row>
    <row r="85" spans="1:4">
      <c r="A85" t="s">
        <v>446</v>
      </c>
      <c r="B85" t="s">
        <v>4155</v>
      </c>
      <c r="C85" t="s">
        <v>4156</v>
      </c>
      <c r="D85" t="s">
        <v>998</v>
      </c>
    </row>
    <row r="86" spans="1:4">
      <c r="A86" t="s">
        <v>4157</v>
      </c>
      <c r="B86" t="s">
        <v>4158</v>
      </c>
      <c r="C86" t="s">
        <v>4159</v>
      </c>
      <c r="D86" t="s">
        <v>998</v>
      </c>
    </row>
    <row r="87" spans="1:4">
      <c r="A87" t="s">
        <v>4160</v>
      </c>
      <c r="B87" t="s">
        <v>3648</v>
      </c>
      <c r="C87" t="s">
        <v>3649</v>
      </c>
      <c r="D87" t="s">
        <v>998</v>
      </c>
    </row>
    <row r="88" spans="1:4">
      <c r="A88" t="s">
        <v>4161</v>
      </c>
      <c r="B88" t="s">
        <v>4162</v>
      </c>
      <c r="C88" t="s">
        <v>4163</v>
      </c>
      <c r="D88" t="s">
        <v>998</v>
      </c>
    </row>
    <row r="89" spans="1:4">
      <c r="A89" t="s">
        <v>4164</v>
      </c>
      <c r="B89" t="s">
        <v>4165</v>
      </c>
      <c r="C89" t="s">
        <v>4166</v>
      </c>
      <c r="D89" t="s">
        <v>998</v>
      </c>
    </row>
    <row r="90" spans="1:4">
      <c r="A90" t="s">
        <v>4167</v>
      </c>
      <c r="B90" t="s">
        <v>5539</v>
      </c>
      <c r="C90" t="s">
        <v>5540</v>
      </c>
      <c r="D90" t="s">
        <v>998</v>
      </c>
    </row>
    <row r="91" spans="1:4">
      <c r="A91" t="s">
        <v>4168</v>
      </c>
      <c r="B91" t="s">
        <v>3372</v>
      </c>
      <c r="C91" t="s">
        <v>3860</v>
      </c>
      <c r="D91" t="s">
        <v>998</v>
      </c>
    </row>
    <row r="92" spans="1:4">
      <c r="A92" t="s">
        <v>3861</v>
      </c>
      <c r="B92" t="s">
        <v>3862</v>
      </c>
      <c r="C92" t="s">
        <v>3863</v>
      </c>
      <c r="D92" t="s">
        <v>998</v>
      </c>
    </row>
    <row r="93" spans="1:4">
      <c r="A93" t="s">
        <v>3864</v>
      </c>
      <c r="B93" t="s">
        <v>2200</v>
      </c>
      <c r="C93" t="s">
        <v>3767</v>
      </c>
      <c r="D93" t="s">
        <v>998</v>
      </c>
    </row>
    <row r="94" spans="1:4">
      <c r="A94" t="s">
        <v>3768</v>
      </c>
      <c r="B94" t="s">
        <v>3769</v>
      </c>
      <c r="C94" t="s">
        <v>3770</v>
      </c>
      <c r="D94" t="s">
        <v>998</v>
      </c>
    </row>
    <row r="95" spans="1:4">
      <c r="A95" t="s">
        <v>3011</v>
      </c>
      <c r="B95" t="s">
        <v>3012</v>
      </c>
      <c r="C95" t="s">
        <v>3465</v>
      </c>
      <c r="D95" t="s">
        <v>998</v>
      </c>
    </row>
    <row r="96" spans="1:4">
      <c r="A96" t="s">
        <v>4553</v>
      </c>
      <c r="B96" t="s">
        <v>4554</v>
      </c>
      <c r="C96" t="s">
        <v>1668</v>
      </c>
      <c r="D96" t="s">
        <v>998</v>
      </c>
    </row>
    <row r="97" spans="1:4">
      <c r="A97" t="s">
        <v>620</v>
      </c>
      <c r="B97" t="s">
        <v>621</v>
      </c>
      <c r="C97" t="s">
        <v>622</v>
      </c>
      <c r="D97" t="s">
        <v>998</v>
      </c>
    </row>
    <row r="98" spans="1:4">
      <c r="A98" t="s">
        <v>513</v>
      </c>
      <c r="B98" t="s">
        <v>514</v>
      </c>
      <c r="C98" t="s">
        <v>515</v>
      </c>
      <c r="D98" t="s">
        <v>998</v>
      </c>
    </row>
    <row r="99" spans="1:4">
      <c r="A99" t="s">
        <v>516</v>
      </c>
      <c r="B99" t="s">
        <v>4487</v>
      </c>
      <c r="C99" t="s">
        <v>4488</v>
      </c>
      <c r="D99" t="s">
        <v>998</v>
      </c>
    </row>
    <row r="100" spans="1:4">
      <c r="A100" t="s">
        <v>4489</v>
      </c>
      <c r="B100" t="s">
        <v>4490</v>
      </c>
      <c r="C100" t="s">
        <v>4491</v>
      </c>
      <c r="D100" t="s">
        <v>998</v>
      </c>
    </row>
    <row r="101" spans="1:4">
      <c r="A101" t="s">
        <v>4492</v>
      </c>
      <c r="B101" t="s">
        <v>5541</v>
      </c>
      <c r="C101" t="s">
        <v>5542</v>
      </c>
      <c r="D101" t="s">
        <v>998</v>
      </c>
    </row>
    <row r="102" spans="1:4">
      <c r="A102" t="s">
        <v>2959</v>
      </c>
      <c r="B102" t="s">
        <v>5543</v>
      </c>
      <c r="C102" t="s">
        <v>5544</v>
      </c>
      <c r="D102" t="s">
        <v>998</v>
      </c>
    </row>
    <row r="103" spans="1:4">
      <c r="A103" t="s">
        <v>206</v>
      </c>
      <c r="B103" t="s">
        <v>207</v>
      </c>
      <c r="C103" t="s">
        <v>208</v>
      </c>
      <c r="D103" t="s">
        <v>998</v>
      </c>
    </row>
    <row r="104" spans="1:4">
      <c r="A104" t="s">
        <v>5545</v>
      </c>
      <c r="B104" t="s">
        <v>5543</v>
      </c>
      <c r="C104" t="s">
        <v>5544</v>
      </c>
      <c r="D104" t="s">
        <v>998</v>
      </c>
    </row>
    <row r="105" spans="1:4">
      <c r="A105" t="s">
        <v>5546</v>
      </c>
      <c r="B105" t="s">
        <v>5543</v>
      </c>
      <c r="C105" t="s">
        <v>5544</v>
      </c>
      <c r="D105" t="s">
        <v>998</v>
      </c>
    </row>
    <row r="106" spans="1:4">
      <c r="A106" t="s">
        <v>5547</v>
      </c>
      <c r="B106" t="s">
        <v>5548</v>
      </c>
      <c r="C106" t="s">
        <v>5549</v>
      </c>
      <c r="D106" t="s">
        <v>998</v>
      </c>
    </row>
    <row r="107" spans="1:4">
      <c r="A107" t="s">
        <v>3746</v>
      </c>
      <c r="B107" t="s">
        <v>3747</v>
      </c>
      <c r="C107" t="s">
        <v>3748</v>
      </c>
      <c r="D107" t="s">
        <v>998</v>
      </c>
    </row>
    <row r="108" spans="1:4">
      <c r="A108" t="s">
        <v>3588</v>
      </c>
      <c r="B108" t="s">
        <v>3589</v>
      </c>
      <c r="C108" t="s">
        <v>3590</v>
      </c>
      <c r="D108" t="s">
        <v>998</v>
      </c>
    </row>
    <row r="109" spans="1:4">
      <c r="A109" t="s">
        <v>3591</v>
      </c>
      <c r="B109" t="s">
        <v>3592</v>
      </c>
      <c r="C109" t="s">
        <v>3593</v>
      </c>
      <c r="D109" t="s">
        <v>998</v>
      </c>
    </row>
    <row r="110" spans="1:4">
      <c r="A110" t="s">
        <v>3594</v>
      </c>
      <c r="B110" t="s">
        <v>1618</v>
      </c>
      <c r="C110" t="s">
        <v>1619</v>
      </c>
      <c r="D110" t="s">
        <v>998</v>
      </c>
    </row>
    <row r="111" spans="1:4">
      <c r="A111" t="s">
        <v>1620</v>
      </c>
      <c r="B111" t="s">
        <v>1621</v>
      </c>
      <c r="C111" t="s">
        <v>1622</v>
      </c>
      <c r="D111" t="s">
        <v>998</v>
      </c>
    </row>
    <row r="112" spans="1:4">
      <c r="A112" t="s">
        <v>983</v>
      </c>
      <c r="B112" t="s">
        <v>984</v>
      </c>
      <c r="C112" t="s">
        <v>985</v>
      </c>
      <c r="D112" t="s">
        <v>998</v>
      </c>
    </row>
    <row r="113" spans="1:4">
      <c r="A113" t="s">
        <v>986</v>
      </c>
      <c r="B113" t="s">
        <v>987</v>
      </c>
      <c r="C113" t="s">
        <v>745</v>
      </c>
      <c r="D113" t="s">
        <v>998</v>
      </c>
    </row>
    <row r="114" spans="1:4">
      <c r="A114" t="s">
        <v>4550</v>
      </c>
      <c r="B114" t="s">
        <v>4551</v>
      </c>
      <c r="C114" t="s">
        <v>2474</v>
      </c>
      <c r="D114" t="s">
        <v>998</v>
      </c>
    </row>
    <row r="115" spans="1:4">
      <c r="A115" t="s">
        <v>3191</v>
      </c>
      <c r="B115" t="s">
        <v>5550</v>
      </c>
      <c r="C115" t="s">
        <v>5551</v>
      </c>
      <c r="D115" t="s">
        <v>998</v>
      </c>
    </row>
    <row r="116" spans="1:4">
      <c r="A116" t="s">
        <v>2475</v>
      </c>
      <c r="B116" t="s">
        <v>2476</v>
      </c>
      <c r="C116" t="s">
        <v>1623</v>
      </c>
      <c r="D116" t="s">
        <v>998</v>
      </c>
    </row>
    <row r="117" spans="1:4">
      <c r="A117" t="s">
        <v>1624</v>
      </c>
      <c r="B117" t="s">
        <v>1625</v>
      </c>
      <c r="C117" t="s">
        <v>1626</v>
      </c>
      <c r="D117" t="s">
        <v>998</v>
      </c>
    </row>
    <row r="118" spans="1:4">
      <c r="A118" t="s">
        <v>1627</v>
      </c>
      <c r="B118" t="s">
        <v>3661</v>
      </c>
      <c r="C118" t="s">
        <v>3662</v>
      </c>
      <c r="D118" t="s">
        <v>998</v>
      </c>
    </row>
    <row r="119" spans="1:4">
      <c r="A119" t="s">
        <v>1628</v>
      </c>
      <c r="B119" t="s">
        <v>2589</v>
      </c>
      <c r="C119" t="s">
        <v>2590</v>
      </c>
      <c r="D119" t="s">
        <v>998</v>
      </c>
    </row>
    <row r="120" spans="1:4">
      <c r="A120" t="s">
        <v>2591</v>
      </c>
      <c r="B120" t="s">
        <v>3524</v>
      </c>
      <c r="C120" t="s">
        <v>3525</v>
      </c>
      <c r="D120" t="s">
        <v>998</v>
      </c>
    </row>
    <row r="121" spans="1:4">
      <c r="A121" t="s">
        <v>3466</v>
      </c>
      <c r="B121" t="s">
        <v>3467</v>
      </c>
      <c r="C121" t="s">
        <v>289</v>
      </c>
      <c r="D121" t="s">
        <v>998</v>
      </c>
    </row>
    <row r="122" spans="1:4">
      <c r="A122" t="s">
        <v>290</v>
      </c>
      <c r="B122" t="s">
        <v>4243</v>
      </c>
      <c r="C122" t="s">
        <v>4244</v>
      </c>
      <c r="D122" t="s">
        <v>998</v>
      </c>
    </row>
    <row r="123" spans="1:4">
      <c r="A123" t="s">
        <v>4472</v>
      </c>
      <c r="B123" t="s">
        <v>4473</v>
      </c>
      <c r="C123" t="s">
        <v>4474</v>
      </c>
      <c r="D123" t="s">
        <v>998</v>
      </c>
    </row>
    <row r="124" spans="1:4">
      <c r="A124" t="s">
        <v>651</v>
      </c>
      <c r="B124" t="s">
        <v>652</v>
      </c>
      <c r="C124" t="s">
        <v>1676</v>
      </c>
      <c r="D124" t="s">
        <v>998</v>
      </c>
    </row>
    <row r="125" spans="1:4">
      <c r="A125" t="s">
        <v>3192</v>
      </c>
      <c r="B125" t="s">
        <v>4045</v>
      </c>
      <c r="C125" t="s">
        <v>4046</v>
      </c>
      <c r="D125" t="s">
        <v>998</v>
      </c>
    </row>
    <row r="126" spans="1:4">
      <c r="A126" t="s">
        <v>1677</v>
      </c>
      <c r="B126" t="s">
        <v>1678</v>
      </c>
      <c r="C126" t="s">
        <v>2592</v>
      </c>
      <c r="D126" t="s">
        <v>998</v>
      </c>
    </row>
    <row r="127" spans="1:4">
      <c r="A127" t="s">
        <v>2593</v>
      </c>
      <c r="B127" t="s">
        <v>884</v>
      </c>
      <c r="C127" t="s">
        <v>885</v>
      </c>
      <c r="D127" t="s">
        <v>998</v>
      </c>
    </row>
    <row r="128" spans="1:4">
      <c r="A128" t="s">
        <v>886</v>
      </c>
      <c r="B128" t="s">
        <v>887</v>
      </c>
      <c r="C128" t="s">
        <v>888</v>
      </c>
      <c r="D128" t="s">
        <v>998</v>
      </c>
    </row>
    <row r="129" spans="1:4">
      <c r="A129" t="s">
        <v>889</v>
      </c>
      <c r="B129" t="s">
        <v>907</v>
      </c>
      <c r="C129" t="s">
        <v>908</v>
      </c>
      <c r="D129" t="s">
        <v>998</v>
      </c>
    </row>
    <row r="130" spans="1:4">
      <c r="A130" t="s">
        <v>909</v>
      </c>
      <c r="B130" t="s">
        <v>2349</v>
      </c>
      <c r="C130" t="s">
        <v>517</v>
      </c>
      <c r="D130" t="s">
        <v>998</v>
      </c>
    </row>
    <row r="131" spans="1:4">
      <c r="A131" t="s">
        <v>518</v>
      </c>
      <c r="B131" t="s">
        <v>519</v>
      </c>
      <c r="C131" t="s">
        <v>520</v>
      </c>
      <c r="D131" t="s">
        <v>998</v>
      </c>
    </row>
    <row r="132" spans="1:4">
      <c r="A132" t="s">
        <v>3083</v>
      </c>
      <c r="B132" t="s">
        <v>458</v>
      </c>
      <c r="C132" t="s">
        <v>2958</v>
      </c>
      <c r="D132" t="s">
        <v>998</v>
      </c>
    </row>
    <row r="133" spans="1:4">
      <c r="A133" t="s">
        <v>3689</v>
      </c>
      <c r="B133" t="s">
        <v>4042</v>
      </c>
      <c r="C133" t="s">
        <v>4043</v>
      </c>
      <c r="D133" t="s">
        <v>998</v>
      </c>
    </row>
    <row r="134" spans="1:4">
      <c r="A134" t="s">
        <v>4044</v>
      </c>
      <c r="B134" t="s">
        <v>4045</v>
      </c>
      <c r="C134" t="s">
        <v>4046</v>
      </c>
      <c r="D134" t="s">
        <v>998</v>
      </c>
    </row>
    <row r="135" spans="1:4">
      <c r="A135" t="s">
        <v>4047</v>
      </c>
      <c r="B135" t="s">
        <v>4048</v>
      </c>
      <c r="C135" t="s">
        <v>4049</v>
      </c>
      <c r="D135" t="s">
        <v>998</v>
      </c>
    </row>
    <row r="136" spans="1:4">
      <c r="A136" t="s">
        <v>939</v>
      </c>
      <c r="B136" t="s">
        <v>1573</v>
      </c>
      <c r="C136" t="s">
        <v>1574</v>
      </c>
      <c r="D136" t="s">
        <v>998</v>
      </c>
    </row>
    <row r="137" spans="1:4">
      <c r="A137" t="s">
        <v>5552</v>
      </c>
      <c r="B137" t="s">
        <v>5553</v>
      </c>
      <c r="C137" t="s">
        <v>5554</v>
      </c>
      <c r="D137" t="s">
        <v>5555</v>
      </c>
    </row>
    <row r="138" spans="1:4">
      <c r="A138" t="s">
        <v>5556</v>
      </c>
      <c r="B138" t="s">
        <v>5557</v>
      </c>
      <c r="C138" t="s">
        <v>5558</v>
      </c>
      <c r="D138" t="s">
        <v>5559</v>
      </c>
    </row>
    <row r="139" spans="1:4">
      <c r="A139" t="s">
        <v>5560</v>
      </c>
      <c r="B139" t="s">
        <v>5561</v>
      </c>
      <c r="C139" t="s">
        <v>5562</v>
      </c>
      <c r="D139" t="s">
        <v>5563</v>
      </c>
    </row>
    <row r="140" spans="1:4">
      <c r="A140" t="s">
        <v>5564</v>
      </c>
      <c r="B140" t="s">
        <v>5565</v>
      </c>
      <c r="C140" t="s">
        <v>5566</v>
      </c>
      <c r="D140" t="s">
        <v>5567</v>
      </c>
    </row>
    <row r="141" spans="1:4">
      <c r="A141" t="s">
        <v>1575</v>
      </c>
      <c r="B141" t="s">
        <v>12</v>
      </c>
      <c r="C141" t="s">
        <v>1144</v>
      </c>
      <c r="D141" t="s">
        <v>998</v>
      </c>
    </row>
    <row r="142" spans="1:4">
      <c r="A142" t="s">
        <v>3193</v>
      </c>
      <c r="B142" t="s">
        <v>5568</v>
      </c>
      <c r="C142" t="s">
        <v>3645</v>
      </c>
      <c r="D142" t="s">
        <v>998</v>
      </c>
    </row>
    <row r="143" spans="1:4">
      <c r="A143" t="s">
        <v>3646</v>
      </c>
      <c r="B143" t="s">
        <v>4487</v>
      </c>
      <c r="C143" t="s">
        <v>4488</v>
      </c>
      <c r="D143" t="s">
        <v>998</v>
      </c>
    </row>
    <row r="144" spans="1:4">
      <c r="A144" t="s">
        <v>3647</v>
      </c>
      <c r="B144" t="s">
        <v>3648</v>
      </c>
      <c r="C144" t="s">
        <v>3649</v>
      </c>
      <c r="D144" t="s">
        <v>998</v>
      </c>
    </row>
    <row r="145" spans="1:4">
      <c r="A145" t="s">
        <v>3650</v>
      </c>
      <c r="B145" t="s">
        <v>4551</v>
      </c>
      <c r="C145" t="s">
        <v>2474</v>
      </c>
      <c r="D145" t="s">
        <v>998</v>
      </c>
    </row>
    <row r="146" spans="1:4">
      <c r="A146" t="s">
        <v>3651</v>
      </c>
      <c r="B146" t="s">
        <v>2476</v>
      </c>
      <c r="C146" t="s">
        <v>1623</v>
      </c>
      <c r="D146" t="s">
        <v>998</v>
      </c>
    </row>
    <row r="147" spans="1:4">
      <c r="A147" t="s">
        <v>3652</v>
      </c>
      <c r="B147" t="s">
        <v>884</v>
      </c>
      <c r="C147" t="s">
        <v>885</v>
      </c>
      <c r="D147" t="s">
        <v>998</v>
      </c>
    </row>
    <row r="148" spans="1:4">
      <c r="A148" t="s">
        <v>5059</v>
      </c>
      <c r="B148" t="s">
        <v>5060</v>
      </c>
      <c r="C148" t="s">
        <v>5061</v>
      </c>
      <c r="D148" t="s">
        <v>998</v>
      </c>
    </row>
    <row r="149" spans="1:4">
      <c r="A149" t="s">
        <v>5062</v>
      </c>
      <c r="B149" t="s">
        <v>5063</v>
      </c>
      <c r="C149" t="s">
        <v>5064</v>
      </c>
      <c r="D149" t="s">
        <v>998</v>
      </c>
    </row>
    <row r="150" spans="1:4">
      <c r="A150" t="s">
        <v>3653</v>
      </c>
      <c r="B150" t="s">
        <v>2589</v>
      </c>
      <c r="C150" t="s">
        <v>2590</v>
      </c>
      <c r="D150" t="s">
        <v>998</v>
      </c>
    </row>
    <row r="151" spans="1:4">
      <c r="A151" t="s">
        <v>3654</v>
      </c>
      <c r="B151" t="s">
        <v>5569</v>
      </c>
      <c r="C151" t="s">
        <v>5570</v>
      </c>
      <c r="D151" t="s">
        <v>998</v>
      </c>
    </row>
    <row r="152" spans="1:4">
      <c r="A152" t="s">
        <v>5065</v>
      </c>
      <c r="B152" t="s">
        <v>5066</v>
      </c>
      <c r="C152" t="s">
        <v>5067</v>
      </c>
      <c r="D152" t="s">
        <v>998</v>
      </c>
    </row>
    <row r="153" spans="1:4">
      <c r="A153" t="s">
        <v>3655</v>
      </c>
      <c r="B153" t="s">
        <v>4162</v>
      </c>
      <c r="C153" t="s">
        <v>4163</v>
      </c>
      <c r="D153" t="s">
        <v>998</v>
      </c>
    </row>
    <row r="154" spans="1:4">
      <c r="A154" t="s">
        <v>3656</v>
      </c>
      <c r="B154" t="s">
        <v>4473</v>
      </c>
      <c r="C154" t="s">
        <v>4474</v>
      </c>
      <c r="D154" t="s">
        <v>998</v>
      </c>
    </row>
    <row r="155" spans="1:4">
      <c r="A155" t="s">
        <v>3657</v>
      </c>
      <c r="B155" t="s">
        <v>3524</v>
      </c>
      <c r="C155" t="s">
        <v>3525</v>
      </c>
      <c r="D155" t="s">
        <v>998</v>
      </c>
    </row>
    <row r="156" spans="1:4">
      <c r="A156" t="s">
        <v>3658</v>
      </c>
      <c r="B156" t="s">
        <v>1625</v>
      </c>
      <c r="C156" t="s">
        <v>1626</v>
      </c>
      <c r="D156" t="s">
        <v>998</v>
      </c>
    </row>
    <row r="157" spans="1:4">
      <c r="A157" t="s">
        <v>3659</v>
      </c>
      <c r="B157" t="s">
        <v>5550</v>
      </c>
      <c r="C157" t="s">
        <v>5551</v>
      </c>
      <c r="D157" t="s">
        <v>998</v>
      </c>
    </row>
    <row r="158" spans="1:4">
      <c r="A158" t="s">
        <v>3660</v>
      </c>
      <c r="B158" t="s">
        <v>3661</v>
      </c>
      <c r="C158" t="s">
        <v>3662</v>
      </c>
      <c r="D158" t="s">
        <v>998</v>
      </c>
    </row>
    <row r="159" spans="1:4">
      <c r="A159" t="s">
        <v>3663</v>
      </c>
      <c r="B159" t="s">
        <v>3664</v>
      </c>
      <c r="C159" t="s">
        <v>4046</v>
      </c>
      <c r="D159" t="s">
        <v>998</v>
      </c>
    </row>
    <row r="160" spans="1:4">
      <c r="A160" t="s">
        <v>3665</v>
      </c>
      <c r="B160" t="s">
        <v>4487</v>
      </c>
      <c r="C160" t="s">
        <v>4488</v>
      </c>
      <c r="D160" t="s">
        <v>998</v>
      </c>
    </row>
    <row r="161" spans="1:4">
      <c r="A161" t="s">
        <v>3666</v>
      </c>
      <c r="B161" t="s">
        <v>4473</v>
      </c>
      <c r="C161" t="s">
        <v>4474</v>
      </c>
      <c r="D161" t="s">
        <v>998</v>
      </c>
    </row>
    <row r="162" spans="1:4">
      <c r="A162" t="s">
        <v>3667</v>
      </c>
      <c r="B162" t="s">
        <v>5569</v>
      </c>
      <c r="C162" t="s">
        <v>5570</v>
      </c>
      <c r="D162" t="s">
        <v>998</v>
      </c>
    </row>
    <row r="163" spans="1:4">
      <c r="A163" t="s">
        <v>3668</v>
      </c>
      <c r="B163" t="s">
        <v>884</v>
      </c>
      <c r="C163" t="s">
        <v>885</v>
      </c>
      <c r="D163" t="s">
        <v>998</v>
      </c>
    </row>
    <row r="164" spans="1:4">
      <c r="A164" t="s">
        <v>3669</v>
      </c>
      <c r="B164" t="s">
        <v>1625</v>
      </c>
      <c r="C164" t="s">
        <v>1626</v>
      </c>
      <c r="D164" t="s">
        <v>998</v>
      </c>
    </row>
    <row r="165" spans="1:4">
      <c r="A165" t="s">
        <v>3670</v>
      </c>
      <c r="B165" t="s">
        <v>5550</v>
      </c>
      <c r="C165" t="s">
        <v>5551</v>
      </c>
      <c r="D165" t="s">
        <v>998</v>
      </c>
    </row>
    <row r="166" spans="1:4">
      <c r="A166" t="s">
        <v>3671</v>
      </c>
      <c r="B166" t="s">
        <v>4162</v>
      </c>
      <c r="C166" t="s">
        <v>4163</v>
      </c>
      <c r="D166" t="s">
        <v>998</v>
      </c>
    </row>
    <row r="167" spans="1:4">
      <c r="A167" t="s">
        <v>3672</v>
      </c>
      <c r="B167" t="s">
        <v>3664</v>
      </c>
      <c r="C167" t="s">
        <v>4046</v>
      </c>
      <c r="D167" t="s">
        <v>998</v>
      </c>
    </row>
    <row r="168" spans="1:4">
      <c r="A168" t="s">
        <v>5068</v>
      </c>
      <c r="B168" t="s">
        <v>5060</v>
      </c>
      <c r="C168" t="s">
        <v>5061</v>
      </c>
      <c r="D168" t="s">
        <v>998</v>
      </c>
    </row>
    <row r="169" spans="1:4">
      <c r="A169" t="s">
        <v>5069</v>
      </c>
      <c r="B169" t="s">
        <v>5063</v>
      </c>
      <c r="C169" t="s">
        <v>5064</v>
      </c>
      <c r="D169" t="s">
        <v>998</v>
      </c>
    </row>
    <row r="170" spans="1:4">
      <c r="A170" t="s">
        <v>5070</v>
      </c>
      <c r="B170" t="s">
        <v>5060</v>
      </c>
      <c r="C170" t="s">
        <v>5061</v>
      </c>
      <c r="D170" t="s">
        <v>998</v>
      </c>
    </row>
    <row r="171" spans="1:4">
      <c r="A171" t="s">
        <v>5071</v>
      </c>
      <c r="B171" t="s">
        <v>5063</v>
      </c>
      <c r="C171" t="s">
        <v>5064</v>
      </c>
      <c r="D171" t="s">
        <v>998</v>
      </c>
    </row>
    <row r="172" spans="1:4">
      <c r="A172" t="s">
        <v>5571</v>
      </c>
      <c r="B172" t="s">
        <v>5572</v>
      </c>
      <c r="C172" t="s">
        <v>5573</v>
      </c>
      <c r="D172" t="s">
        <v>998</v>
      </c>
    </row>
    <row r="173" spans="1:4">
      <c r="A173" t="s">
        <v>5574</v>
      </c>
      <c r="B173" t="s">
        <v>5575</v>
      </c>
      <c r="C173" t="s">
        <v>5576</v>
      </c>
      <c r="D173" t="s">
        <v>998</v>
      </c>
    </row>
    <row r="174" spans="1:4">
      <c r="A174" t="s">
        <v>1145</v>
      </c>
      <c r="B174" t="s">
        <v>551</v>
      </c>
      <c r="C174" t="s">
        <v>1146</v>
      </c>
      <c r="D174" t="s">
        <v>1147</v>
      </c>
    </row>
    <row r="175" spans="1:4">
      <c r="A175" t="s">
        <v>1148</v>
      </c>
      <c r="B175" t="s">
        <v>1149</v>
      </c>
      <c r="C175" t="s">
        <v>5577</v>
      </c>
      <c r="D175" t="s">
        <v>2760</v>
      </c>
    </row>
    <row r="176" spans="1:4">
      <c r="A176" t="s">
        <v>2761</v>
      </c>
      <c r="B176" t="s">
        <v>368</v>
      </c>
      <c r="C176" t="s">
        <v>3373</v>
      </c>
      <c r="D176" t="s">
        <v>5578</v>
      </c>
    </row>
    <row r="177" spans="1:4">
      <c r="A177" t="s">
        <v>3374</v>
      </c>
      <c r="B177" t="s">
        <v>3375</v>
      </c>
      <c r="C177" t="s">
        <v>3376</v>
      </c>
      <c r="D177" t="s">
        <v>3377</v>
      </c>
    </row>
    <row r="178" spans="1:4">
      <c r="A178" t="s">
        <v>3378</v>
      </c>
      <c r="B178" t="s">
        <v>3379</v>
      </c>
      <c r="C178" t="s">
        <v>4504</v>
      </c>
      <c r="D178" t="s">
        <v>4505</v>
      </c>
    </row>
    <row r="179" spans="1:4">
      <c r="A179" t="s">
        <v>4506</v>
      </c>
      <c r="B179" t="s">
        <v>4507</v>
      </c>
      <c r="C179" t="s">
        <v>2242</v>
      </c>
      <c r="D179" t="s">
        <v>3061</v>
      </c>
    </row>
    <row r="180" spans="1:4">
      <c r="A180" t="s">
        <v>3062</v>
      </c>
      <c r="B180" t="s">
        <v>3063</v>
      </c>
      <c r="C180" t="s">
        <v>4555</v>
      </c>
      <c r="D180" t="s">
        <v>4556</v>
      </c>
    </row>
    <row r="181" spans="1:4">
      <c r="A181" t="s">
        <v>4557</v>
      </c>
      <c r="B181" t="s">
        <v>4558</v>
      </c>
      <c r="C181" t="s">
        <v>4559</v>
      </c>
      <c r="D181" t="s">
        <v>4027</v>
      </c>
    </row>
    <row r="182" spans="1:4">
      <c r="A182" t="s">
        <v>4028</v>
      </c>
      <c r="B182" t="s">
        <v>4029</v>
      </c>
      <c r="C182" t="s">
        <v>4030</v>
      </c>
      <c r="D182" t="s">
        <v>1492</v>
      </c>
    </row>
    <row r="183" spans="1:4">
      <c r="A183" t="s">
        <v>1493</v>
      </c>
      <c r="B183" t="s">
        <v>1494</v>
      </c>
      <c r="C183" t="s">
        <v>1495</v>
      </c>
      <c r="D183" t="s">
        <v>1496</v>
      </c>
    </row>
    <row r="184" spans="1:4">
      <c r="A184" t="s">
        <v>1497</v>
      </c>
      <c r="B184" t="s">
        <v>1498</v>
      </c>
      <c r="C184" t="s">
        <v>1499</v>
      </c>
      <c r="D184" t="s">
        <v>3152</v>
      </c>
    </row>
    <row r="185" spans="1:4">
      <c r="A185" t="s">
        <v>3153</v>
      </c>
      <c r="B185" t="s">
        <v>5579</v>
      </c>
      <c r="C185" t="s">
        <v>5580</v>
      </c>
      <c r="D185" t="s">
        <v>3155</v>
      </c>
    </row>
    <row r="186" spans="1:4">
      <c r="A186" t="s">
        <v>3156</v>
      </c>
      <c r="B186" t="s">
        <v>3157</v>
      </c>
      <c r="C186" t="s">
        <v>3158</v>
      </c>
      <c r="D186" t="s">
        <v>3159</v>
      </c>
    </row>
    <row r="187" spans="1:4">
      <c r="A187" t="s">
        <v>3160</v>
      </c>
      <c r="B187" t="s">
        <v>3161</v>
      </c>
      <c r="C187" t="s">
        <v>3162</v>
      </c>
      <c r="D187" t="s">
        <v>215</v>
      </c>
    </row>
    <row r="188" spans="1:4">
      <c r="A188" t="s">
        <v>216</v>
      </c>
      <c r="B188" t="s">
        <v>217</v>
      </c>
      <c r="C188" t="s">
        <v>2706</v>
      </c>
      <c r="D188" t="s">
        <v>3522</v>
      </c>
    </row>
    <row r="189" spans="1:4">
      <c r="A189" t="s">
        <v>1378</v>
      </c>
      <c r="B189" t="s">
        <v>3942</v>
      </c>
      <c r="C189" t="s">
        <v>3595</v>
      </c>
      <c r="D189" t="s">
        <v>1479</v>
      </c>
    </row>
    <row r="190" spans="1:4">
      <c r="A190" t="s">
        <v>1480</v>
      </c>
      <c r="B190" t="s">
        <v>1481</v>
      </c>
      <c r="C190" t="s">
        <v>1482</v>
      </c>
      <c r="D190" t="s">
        <v>1122</v>
      </c>
    </row>
    <row r="191" spans="1:4">
      <c r="A191" t="s">
        <v>1123</v>
      </c>
      <c r="B191" t="s">
        <v>1124</v>
      </c>
      <c r="C191" t="s">
        <v>1125</v>
      </c>
      <c r="D191" t="s">
        <v>1126</v>
      </c>
    </row>
    <row r="192" spans="1:4">
      <c r="A192" t="s">
        <v>1814</v>
      </c>
      <c r="B192" t="s">
        <v>1815</v>
      </c>
      <c r="C192" t="s">
        <v>1816</v>
      </c>
      <c r="D192" t="s">
        <v>1817</v>
      </c>
    </row>
    <row r="193" spans="1:4">
      <c r="A193" t="s">
        <v>1818</v>
      </c>
      <c r="B193" t="s">
        <v>1819</v>
      </c>
      <c r="C193" t="s">
        <v>1820</v>
      </c>
      <c r="D193" t="s">
        <v>1821</v>
      </c>
    </row>
    <row r="194" spans="1:4">
      <c r="A194" t="s">
        <v>5581</v>
      </c>
      <c r="B194" t="s">
        <v>5582</v>
      </c>
      <c r="C194" t="s">
        <v>5583</v>
      </c>
      <c r="D194" t="s">
        <v>998</v>
      </c>
    </row>
    <row r="195" spans="1:4">
      <c r="A195" t="s">
        <v>1822</v>
      </c>
      <c r="B195" t="s">
        <v>2318</v>
      </c>
      <c r="C195" t="s">
        <v>2174</v>
      </c>
      <c r="D195" t="s">
        <v>5584</v>
      </c>
    </row>
    <row r="196" spans="1:4">
      <c r="A196" t="s">
        <v>2175</v>
      </c>
      <c r="B196" t="s">
        <v>2176</v>
      </c>
      <c r="C196" t="s">
        <v>2177</v>
      </c>
      <c r="D196" t="s">
        <v>2178</v>
      </c>
    </row>
    <row r="197" spans="1:4">
      <c r="A197" t="s">
        <v>2179</v>
      </c>
      <c r="B197" t="s">
        <v>2180</v>
      </c>
      <c r="C197" t="s">
        <v>2181</v>
      </c>
      <c r="D197" t="s">
        <v>2182</v>
      </c>
    </row>
    <row r="198" spans="1:4">
      <c r="A198" t="s">
        <v>2183</v>
      </c>
      <c r="B198" t="s">
        <v>2150</v>
      </c>
      <c r="C198" t="s">
        <v>1848</v>
      </c>
      <c r="D198" t="s">
        <v>1454</v>
      </c>
    </row>
    <row r="199" spans="1:4">
      <c r="A199" t="s">
        <v>1455</v>
      </c>
      <c r="B199" t="s">
        <v>1456</v>
      </c>
      <c r="C199" t="s">
        <v>1053</v>
      </c>
      <c r="D199" t="s">
        <v>1239</v>
      </c>
    </row>
    <row r="200" spans="1:4">
      <c r="A200" t="s">
        <v>1240</v>
      </c>
      <c r="B200" t="s">
        <v>1241</v>
      </c>
      <c r="C200" t="s">
        <v>1242</v>
      </c>
      <c r="D200" t="s">
        <v>1001</v>
      </c>
    </row>
    <row r="201" spans="1:4">
      <c r="A201" t="s">
        <v>1002</v>
      </c>
      <c r="B201" t="s">
        <v>1003</v>
      </c>
      <c r="C201" t="s">
        <v>1004</v>
      </c>
      <c r="D201" t="s">
        <v>1005</v>
      </c>
    </row>
    <row r="202" spans="1:4">
      <c r="A202" t="s">
        <v>1006</v>
      </c>
      <c r="B202" t="s">
        <v>1093</v>
      </c>
      <c r="C202" t="s">
        <v>49</v>
      </c>
      <c r="D202" t="s">
        <v>50</v>
      </c>
    </row>
    <row r="203" spans="1:4">
      <c r="A203" t="s">
        <v>51</v>
      </c>
      <c r="B203" t="s">
        <v>52</v>
      </c>
      <c r="C203" t="s">
        <v>3205</v>
      </c>
      <c r="D203" t="s">
        <v>3206</v>
      </c>
    </row>
    <row r="204" spans="1:4">
      <c r="A204" t="s">
        <v>3207</v>
      </c>
      <c r="B204" t="s">
        <v>511</v>
      </c>
      <c r="C204" t="s">
        <v>512</v>
      </c>
      <c r="D204" t="s">
        <v>3500</v>
      </c>
    </row>
    <row r="205" spans="1:4">
      <c r="A205" t="s">
        <v>3501</v>
      </c>
      <c r="B205" t="s">
        <v>3502</v>
      </c>
      <c r="C205" t="s">
        <v>3503</v>
      </c>
      <c r="D205" t="s">
        <v>3504</v>
      </c>
    </row>
    <row r="206" spans="1:4">
      <c r="A206" t="s">
        <v>3505</v>
      </c>
      <c r="B206" t="s">
        <v>3506</v>
      </c>
      <c r="C206" t="s">
        <v>3938</v>
      </c>
      <c r="D206" t="s">
        <v>5585</v>
      </c>
    </row>
    <row r="207" spans="1:4">
      <c r="A207" t="s">
        <v>3939</v>
      </c>
      <c r="B207" t="s">
        <v>5586</v>
      </c>
      <c r="C207" t="s">
        <v>1950</v>
      </c>
      <c r="D207" t="s">
        <v>1951</v>
      </c>
    </row>
    <row r="208" spans="1:4">
      <c r="A208" t="s">
        <v>1952</v>
      </c>
      <c r="B208" t="s">
        <v>1953</v>
      </c>
      <c r="C208" t="s">
        <v>2580</v>
      </c>
      <c r="D208" t="s">
        <v>2581</v>
      </c>
    </row>
    <row r="209" spans="1:4">
      <c r="A209" t="s">
        <v>2582</v>
      </c>
      <c r="B209" t="s">
        <v>2583</v>
      </c>
      <c r="C209" t="s">
        <v>2584</v>
      </c>
      <c r="D209" t="s">
        <v>2585</v>
      </c>
    </row>
    <row r="210" spans="1:4">
      <c r="A210" t="s">
        <v>5587</v>
      </c>
      <c r="B210" t="s">
        <v>5588</v>
      </c>
      <c r="C210" t="s">
        <v>5589</v>
      </c>
      <c r="D210" t="s">
        <v>998</v>
      </c>
    </row>
    <row r="211" spans="1:4">
      <c r="A211" t="s">
        <v>2586</v>
      </c>
      <c r="B211" t="s">
        <v>5590</v>
      </c>
      <c r="C211" t="s">
        <v>5591</v>
      </c>
      <c r="D211" t="s">
        <v>5592</v>
      </c>
    </row>
    <row r="212" spans="1:4">
      <c r="A212" t="s">
        <v>2587</v>
      </c>
      <c r="B212" t="s">
        <v>2588</v>
      </c>
      <c r="C212" t="s">
        <v>653</v>
      </c>
      <c r="D212" t="s">
        <v>2677</v>
      </c>
    </row>
    <row r="213" spans="1:4">
      <c r="A213" t="s">
        <v>2678</v>
      </c>
      <c r="B213" t="s">
        <v>5593</v>
      </c>
      <c r="C213" t="s">
        <v>5594</v>
      </c>
      <c r="D213" t="s">
        <v>5595</v>
      </c>
    </row>
    <row r="214" spans="1:4">
      <c r="A214" t="s">
        <v>2079</v>
      </c>
      <c r="B214" t="s">
        <v>2080</v>
      </c>
      <c r="C214" t="s">
        <v>2081</v>
      </c>
      <c r="D214" t="s">
        <v>2082</v>
      </c>
    </row>
    <row r="215" spans="1:4">
      <c r="A215" t="s">
        <v>2083</v>
      </c>
      <c r="B215" t="s">
        <v>2084</v>
      </c>
      <c r="C215" t="s">
        <v>2085</v>
      </c>
      <c r="D215" t="s">
        <v>2911</v>
      </c>
    </row>
    <row r="216" spans="1:4">
      <c r="A216" t="s">
        <v>0</v>
      </c>
      <c r="B216" t="s">
        <v>1</v>
      </c>
      <c r="C216" t="s">
        <v>4301</v>
      </c>
      <c r="D216" t="s">
        <v>4302</v>
      </c>
    </row>
    <row r="217" spans="1:4">
      <c r="A217" t="s">
        <v>4303</v>
      </c>
      <c r="B217" t="s">
        <v>3117</v>
      </c>
      <c r="C217" t="s">
        <v>1585</v>
      </c>
      <c r="D217" t="s">
        <v>1586</v>
      </c>
    </row>
    <row r="218" spans="1:4">
      <c r="A218" t="s">
        <v>1587</v>
      </c>
      <c r="B218" t="s">
        <v>1588</v>
      </c>
      <c r="C218" t="s">
        <v>1589</v>
      </c>
      <c r="D218" t="s">
        <v>1589</v>
      </c>
    </row>
    <row r="219" spans="1:4">
      <c r="A219" t="s">
        <v>1590</v>
      </c>
      <c r="B219" t="s">
        <v>1591</v>
      </c>
      <c r="C219" t="s">
        <v>1592</v>
      </c>
      <c r="D219" t="s">
        <v>1593</v>
      </c>
    </row>
    <row r="220" spans="1:4">
      <c r="A220" t="s">
        <v>949</v>
      </c>
      <c r="B220" t="s">
        <v>950</v>
      </c>
      <c r="C220" t="s">
        <v>951</v>
      </c>
      <c r="D220" t="s">
        <v>952</v>
      </c>
    </row>
    <row r="221" spans="1:4">
      <c r="A221" t="s">
        <v>953</v>
      </c>
      <c r="B221" t="s">
        <v>5596</v>
      </c>
      <c r="C221" t="s">
        <v>954</v>
      </c>
      <c r="D221" t="s">
        <v>955</v>
      </c>
    </row>
    <row r="222" spans="1:4">
      <c r="A222" t="s">
        <v>2544</v>
      </c>
      <c r="B222" t="s">
        <v>5597</v>
      </c>
      <c r="C222" t="s">
        <v>2545</v>
      </c>
      <c r="D222" t="s">
        <v>2546</v>
      </c>
    </row>
    <row r="223" spans="1:4">
      <c r="A223" t="s">
        <v>2547</v>
      </c>
      <c r="B223" t="s">
        <v>3940</v>
      </c>
      <c r="C223" t="s">
        <v>4222</v>
      </c>
      <c r="D223" t="s">
        <v>4223</v>
      </c>
    </row>
    <row r="224" spans="1:4">
      <c r="A224" t="s">
        <v>5598</v>
      </c>
      <c r="B224" t="s">
        <v>5599</v>
      </c>
      <c r="C224" t="s">
        <v>5600</v>
      </c>
      <c r="D224" t="s">
        <v>998</v>
      </c>
    </row>
    <row r="225" spans="1:4">
      <c r="A225" t="s">
        <v>1849</v>
      </c>
      <c r="B225" t="s">
        <v>1850</v>
      </c>
      <c r="C225" t="s">
        <v>1851</v>
      </c>
      <c r="D225" t="s">
        <v>5601</v>
      </c>
    </row>
    <row r="226" spans="1:4">
      <c r="A226" t="s">
        <v>1852</v>
      </c>
      <c r="B226" t="s">
        <v>2619</v>
      </c>
      <c r="C226" t="s">
        <v>2620</v>
      </c>
      <c r="D226" t="s">
        <v>5602</v>
      </c>
    </row>
    <row r="227" spans="1:4">
      <c r="A227" t="s">
        <v>4356</v>
      </c>
      <c r="B227" t="s">
        <v>5603</v>
      </c>
      <c r="C227" t="s">
        <v>4357</v>
      </c>
      <c r="D227" t="s">
        <v>4358</v>
      </c>
    </row>
    <row r="228" spans="1:4">
      <c r="A228" t="s">
        <v>4359</v>
      </c>
      <c r="B228" t="s">
        <v>5604</v>
      </c>
      <c r="C228" t="s">
        <v>4284</v>
      </c>
      <c r="D228" t="s">
        <v>4252</v>
      </c>
    </row>
    <row r="229" spans="1:4">
      <c r="A229" t="s">
        <v>5605</v>
      </c>
      <c r="B229" t="s">
        <v>5606</v>
      </c>
      <c r="C229" t="s">
        <v>5607</v>
      </c>
      <c r="D229" t="s">
        <v>998</v>
      </c>
    </row>
    <row r="230" spans="1:4">
      <c r="A230" t="s">
        <v>5608</v>
      </c>
      <c r="B230" t="s">
        <v>5609</v>
      </c>
      <c r="C230" t="s">
        <v>5610</v>
      </c>
      <c r="D230" t="s">
        <v>998</v>
      </c>
    </row>
    <row r="231" spans="1:4">
      <c r="A231" t="s">
        <v>4253</v>
      </c>
      <c r="B231" t="s">
        <v>4254</v>
      </c>
      <c r="C231" t="s">
        <v>1317</v>
      </c>
      <c r="D231" t="s">
        <v>1318</v>
      </c>
    </row>
    <row r="232" spans="1:4">
      <c r="A232" t="s">
        <v>1319</v>
      </c>
      <c r="B232" t="s">
        <v>1320</v>
      </c>
      <c r="C232" t="s">
        <v>1321</v>
      </c>
      <c r="D232" t="s">
        <v>1322</v>
      </c>
    </row>
    <row r="233" spans="1:4">
      <c r="A233" t="s">
        <v>1323</v>
      </c>
      <c r="B233" t="s">
        <v>2893</v>
      </c>
      <c r="C233" t="s">
        <v>3146</v>
      </c>
      <c r="D233" t="s">
        <v>3147</v>
      </c>
    </row>
    <row r="234" spans="1:4">
      <c r="A234" t="s">
        <v>3148</v>
      </c>
      <c r="B234" t="s">
        <v>3149</v>
      </c>
      <c r="C234" t="s">
        <v>3150</v>
      </c>
      <c r="D234" t="s">
        <v>3151</v>
      </c>
    </row>
    <row r="235" spans="1:4">
      <c r="A235" t="s">
        <v>2394</v>
      </c>
      <c r="B235" t="s">
        <v>2395</v>
      </c>
      <c r="C235" t="s">
        <v>2396</v>
      </c>
      <c r="D235" t="s">
        <v>1514</v>
      </c>
    </row>
    <row r="236" spans="1:4">
      <c r="A236" t="s">
        <v>1515</v>
      </c>
      <c r="B236" t="s">
        <v>4600</v>
      </c>
      <c r="C236" t="s">
        <v>5611</v>
      </c>
      <c r="D236" t="s">
        <v>411</v>
      </c>
    </row>
    <row r="237" spans="1:4">
      <c r="A237" t="s">
        <v>412</v>
      </c>
      <c r="B237" t="s">
        <v>731</v>
      </c>
      <c r="C237" t="s">
        <v>732</v>
      </c>
      <c r="D237" t="s">
        <v>733</v>
      </c>
    </row>
    <row r="238" spans="1:4">
      <c r="A238" t="s">
        <v>734</v>
      </c>
      <c r="B238" t="s">
        <v>735</v>
      </c>
      <c r="C238" t="s">
        <v>736</v>
      </c>
      <c r="D238" t="s">
        <v>1368</v>
      </c>
    </row>
    <row r="239" spans="1:4">
      <c r="A239" t="s">
        <v>1369</v>
      </c>
      <c r="B239" t="s">
        <v>2201</v>
      </c>
      <c r="C239" t="s">
        <v>2422</v>
      </c>
      <c r="D239" t="s">
        <v>2423</v>
      </c>
    </row>
    <row r="240" spans="1:4">
      <c r="A240" t="s">
        <v>2424</v>
      </c>
      <c r="B240" t="s">
        <v>2565</v>
      </c>
      <c r="C240" t="s">
        <v>2031</v>
      </c>
      <c r="D240" t="s">
        <v>2032</v>
      </c>
    </row>
    <row r="241" spans="1:4">
      <c r="A241" t="s">
        <v>2033</v>
      </c>
      <c r="B241" t="s">
        <v>1007</v>
      </c>
      <c r="C241" t="s">
        <v>1008</v>
      </c>
      <c r="D241" t="s">
        <v>1009</v>
      </c>
    </row>
    <row r="242" spans="1:4">
      <c r="A242" t="s">
        <v>1010</v>
      </c>
      <c r="B242" t="s">
        <v>2993</v>
      </c>
      <c r="C242" t="s">
        <v>4259</v>
      </c>
      <c r="D242" t="s">
        <v>4260</v>
      </c>
    </row>
    <row r="243" spans="1:4">
      <c r="A243" t="s">
        <v>4261</v>
      </c>
      <c r="B243" t="s">
        <v>4262</v>
      </c>
      <c r="C243" t="s">
        <v>4263</v>
      </c>
      <c r="D243" t="s">
        <v>4264</v>
      </c>
    </row>
    <row r="244" spans="1:4">
      <c r="A244" t="s">
        <v>4265</v>
      </c>
      <c r="B244" t="s">
        <v>4266</v>
      </c>
      <c r="C244" t="s">
        <v>4267</v>
      </c>
      <c r="D244" t="s">
        <v>1639</v>
      </c>
    </row>
    <row r="245" spans="1:4">
      <c r="A245" t="s">
        <v>1640</v>
      </c>
      <c r="B245" t="s">
        <v>1641</v>
      </c>
      <c r="C245" t="s">
        <v>677</v>
      </c>
      <c r="D245" t="s">
        <v>678</v>
      </c>
    </row>
    <row r="246" spans="1:4">
      <c r="A246" t="s">
        <v>679</v>
      </c>
      <c r="B246" t="s">
        <v>680</v>
      </c>
      <c r="C246" t="s">
        <v>1150</v>
      </c>
      <c r="D246" t="s">
        <v>1151</v>
      </c>
    </row>
    <row r="247" spans="1:4">
      <c r="A247" t="s">
        <v>1152</v>
      </c>
      <c r="B247" t="s">
        <v>1153</v>
      </c>
      <c r="C247" t="s">
        <v>1154</v>
      </c>
      <c r="D247" t="s">
        <v>1155</v>
      </c>
    </row>
    <row r="248" spans="1:4">
      <c r="A248" t="s">
        <v>1156</v>
      </c>
      <c r="B248" t="s">
        <v>1157</v>
      </c>
      <c r="C248" t="s">
        <v>3920</v>
      </c>
      <c r="D248" t="s">
        <v>3921</v>
      </c>
    </row>
    <row r="249" spans="1:4">
      <c r="A249" t="s">
        <v>3922</v>
      </c>
      <c r="B249" t="s">
        <v>3923</v>
      </c>
      <c r="C249" t="s">
        <v>3334</v>
      </c>
      <c r="D249" t="s">
        <v>4394</v>
      </c>
    </row>
    <row r="250" spans="1:4">
      <c r="A250" t="s">
        <v>4395</v>
      </c>
      <c r="B250" t="s">
        <v>4396</v>
      </c>
      <c r="C250" t="s">
        <v>4397</v>
      </c>
      <c r="D250" t="s">
        <v>878</v>
      </c>
    </row>
    <row r="251" spans="1:4">
      <c r="A251" t="s">
        <v>879</v>
      </c>
      <c r="B251" t="s">
        <v>880</v>
      </c>
      <c r="C251" t="s">
        <v>881</v>
      </c>
      <c r="D251" t="s">
        <v>882</v>
      </c>
    </row>
    <row r="252" spans="1:4">
      <c r="A252" t="s">
        <v>3753</v>
      </c>
      <c r="B252" t="s">
        <v>4206</v>
      </c>
      <c r="C252" t="s">
        <v>417</v>
      </c>
      <c r="D252" t="s">
        <v>418</v>
      </c>
    </row>
    <row r="253" spans="1:4">
      <c r="A253" t="s">
        <v>419</v>
      </c>
      <c r="B253" t="s">
        <v>420</v>
      </c>
      <c r="C253" t="s">
        <v>421</v>
      </c>
      <c r="D253" t="s">
        <v>2335</v>
      </c>
    </row>
    <row r="254" spans="1:4">
      <c r="A254" t="s">
        <v>4071</v>
      </c>
      <c r="B254" t="s">
        <v>1175</v>
      </c>
      <c r="C254" t="s">
        <v>2806</v>
      </c>
      <c r="D254" t="s">
        <v>2807</v>
      </c>
    </row>
    <row r="255" spans="1:4">
      <c r="A255" t="s">
        <v>2808</v>
      </c>
      <c r="B255" t="s">
        <v>2809</v>
      </c>
      <c r="C255" t="s">
        <v>2810</v>
      </c>
      <c r="D255" t="s">
        <v>4060</v>
      </c>
    </row>
    <row r="256" spans="1:4">
      <c r="A256" t="s">
        <v>4061</v>
      </c>
      <c r="B256" t="s">
        <v>4062</v>
      </c>
      <c r="C256" t="s">
        <v>4063</v>
      </c>
      <c r="D256" t="s">
        <v>4064</v>
      </c>
    </row>
    <row r="257" spans="1:4">
      <c r="A257" t="s">
        <v>4065</v>
      </c>
      <c r="B257" t="s">
        <v>4066</v>
      </c>
      <c r="C257" t="s">
        <v>4067</v>
      </c>
      <c r="D257" t="s">
        <v>1453</v>
      </c>
    </row>
    <row r="258" spans="1:4">
      <c r="A258" t="s">
        <v>4224</v>
      </c>
      <c r="B258" t="s">
        <v>1664</v>
      </c>
      <c r="C258" t="s">
        <v>1665</v>
      </c>
      <c r="D258" t="s">
        <v>1666</v>
      </c>
    </row>
    <row r="259" spans="1:4">
      <c r="A259" t="s">
        <v>1667</v>
      </c>
      <c r="B259" t="s">
        <v>3064</v>
      </c>
      <c r="C259" t="s">
        <v>3065</v>
      </c>
      <c r="D259" t="s">
        <v>4219</v>
      </c>
    </row>
    <row r="260" spans="1:4">
      <c r="A260" t="s">
        <v>4220</v>
      </c>
      <c r="B260" t="s">
        <v>4221</v>
      </c>
      <c r="C260" t="s">
        <v>566</v>
      </c>
      <c r="D260" t="s">
        <v>567</v>
      </c>
    </row>
    <row r="261" spans="1:4">
      <c r="A261" t="s">
        <v>568</v>
      </c>
      <c r="B261" t="s">
        <v>4592</v>
      </c>
      <c r="C261" t="s">
        <v>4593</v>
      </c>
      <c r="D261" t="s">
        <v>4594</v>
      </c>
    </row>
    <row r="262" spans="1:4">
      <c r="A262" t="s">
        <v>4595</v>
      </c>
      <c r="B262" t="s">
        <v>4596</v>
      </c>
      <c r="C262" t="s">
        <v>2665</v>
      </c>
      <c r="D262" t="s">
        <v>2666</v>
      </c>
    </row>
    <row r="263" spans="1:4">
      <c r="A263" t="s">
        <v>2667</v>
      </c>
      <c r="B263" t="s">
        <v>2668</v>
      </c>
      <c r="C263" t="s">
        <v>2669</v>
      </c>
      <c r="D263" t="s">
        <v>2670</v>
      </c>
    </row>
    <row r="264" spans="1:4">
      <c r="A264" t="s">
        <v>2671</v>
      </c>
      <c r="B264" t="s">
        <v>2163</v>
      </c>
      <c r="C264" t="s">
        <v>2164</v>
      </c>
      <c r="D264" t="s">
        <v>2165</v>
      </c>
    </row>
    <row r="265" spans="1:4">
      <c r="A265" t="s">
        <v>2166</v>
      </c>
      <c r="B265" t="s">
        <v>2167</v>
      </c>
      <c r="C265" t="s">
        <v>2168</v>
      </c>
      <c r="D265" t="s">
        <v>2169</v>
      </c>
    </row>
    <row r="266" spans="1:4">
      <c r="A266" t="s">
        <v>2170</v>
      </c>
      <c r="B266" t="s">
        <v>66</v>
      </c>
      <c r="C266" t="s">
        <v>67</v>
      </c>
      <c r="D266" t="s">
        <v>68</v>
      </c>
    </row>
    <row r="267" spans="1:4">
      <c r="A267" t="s">
        <v>69</v>
      </c>
      <c r="B267" t="s">
        <v>70</v>
      </c>
      <c r="C267" t="s">
        <v>71</v>
      </c>
      <c r="D267" t="s">
        <v>1483</v>
      </c>
    </row>
    <row r="268" spans="1:4">
      <c r="A268" t="s">
        <v>1484</v>
      </c>
      <c r="B268" t="s">
        <v>1485</v>
      </c>
      <c r="C268" t="s">
        <v>1486</v>
      </c>
      <c r="D268" t="s">
        <v>4192</v>
      </c>
    </row>
    <row r="269" spans="1:4">
      <c r="A269" t="s">
        <v>4193</v>
      </c>
      <c r="B269" t="s">
        <v>4194</v>
      </c>
      <c r="C269" t="s">
        <v>4195</v>
      </c>
      <c r="D269" t="s">
        <v>5612</v>
      </c>
    </row>
    <row r="270" spans="1:4">
      <c r="A270" t="s">
        <v>4196</v>
      </c>
      <c r="B270" t="s">
        <v>4197</v>
      </c>
      <c r="C270" t="s">
        <v>4198</v>
      </c>
      <c r="D270" t="s">
        <v>998</v>
      </c>
    </row>
    <row r="271" spans="1:4">
      <c r="A271" t="s">
        <v>4199</v>
      </c>
      <c r="B271" t="s">
        <v>4200</v>
      </c>
      <c r="C271" t="s">
        <v>4201</v>
      </c>
      <c r="D271" t="s">
        <v>4202</v>
      </c>
    </row>
    <row r="272" spans="1:4">
      <c r="A272" t="s">
        <v>4203</v>
      </c>
      <c r="B272" t="s">
        <v>4204</v>
      </c>
      <c r="C272" t="s">
        <v>4205</v>
      </c>
      <c r="D272" t="s">
        <v>2246</v>
      </c>
    </row>
    <row r="273" spans="1:4">
      <c r="A273" t="s">
        <v>2247</v>
      </c>
      <c r="B273" t="s">
        <v>2248</v>
      </c>
      <c r="C273" t="s">
        <v>403</v>
      </c>
      <c r="D273" t="s">
        <v>2244</v>
      </c>
    </row>
    <row r="274" spans="1:4">
      <c r="A274" t="s">
        <v>2245</v>
      </c>
      <c r="B274" t="s">
        <v>3101</v>
      </c>
      <c r="C274" t="s">
        <v>3102</v>
      </c>
      <c r="D274" t="s">
        <v>3103</v>
      </c>
    </row>
    <row r="275" spans="1:4">
      <c r="A275" t="s">
        <v>3532</v>
      </c>
      <c r="B275" t="s">
        <v>434</v>
      </c>
      <c r="C275" t="s">
        <v>5613</v>
      </c>
      <c r="D275" t="s">
        <v>5614</v>
      </c>
    </row>
    <row r="276" spans="1:4">
      <c r="A276" t="s">
        <v>435</v>
      </c>
      <c r="B276" t="s">
        <v>436</v>
      </c>
      <c r="C276" t="s">
        <v>1489</v>
      </c>
      <c r="D276" t="s">
        <v>1490</v>
      </c>
    </row>
    <row r="277" spans="1:4">
      <c r="A277" t="s">
        <v>1491</v>
      </c>
      <c r="B277" t="s">
        <v>941</v>
      </c>
      <c r="C277" t="s">
        <v>942</v>
      </c>
      <c r="D277" t="s">
        <v>943</v>
      </c>
    </row>
    <row r="278" spans="1:4">
      <c r="A278" t="s">
        <v>944</v>
      </c>
      <c r="B278" t="s">
        <v>945</v>
      </c>
      <c r="C278" t="s">
        <v>946</v>
      </c>
      <c r="D278" t="s">
        <v>3</v>
      </c>
    </row>
    <row r="279" spans="1:4">
      <c r="A279" t="s">
        <v>4</v>
      </c>
      <c r="B279" t="s">
        <v>5</v>
      </c>
      <c r="C279" t="s">
        <v>4068</v>
      </c>
      <c r="D279" t="s">
        <v>4069</v>
      </c>
    </row>
    <row r="280" spans="1:4">
      <c r="A280" t="s">
        <v>4070</v>
      </c>
      <c r="B280" t="s">
        <v>1094</v>
      </c>
      <c r="C280" t="s">
        <v>1095</v>
      </c>
      <c r="D280" t="s">
        <v>1096</v>
      </c>
    </row>
    <row r="281" spans="1:4">
      <c r="A281" t="s">
        <v>58</v>
      </c>
      <c r="B281" t="s">
        <v>59</v>
      </c>
      <c r="C281" t="s">
        <v>1653</v>
      </c>
      <c r="D281" t="s">
        <v>4465</v>
      </c>
    </row>
    <row r="282" spans="1:4">
      <c r="A282" t="s">
        <v>4466</v>
      </c>
      <c r="B282" t="s">
        <v>4467</v>
      </c>
      <c r="C282" t="s">
        <v>4468</v>
      </c>
      <c r="D282" t="s">
        <v>4469</v>
      </c>
    </row>
    <row r="283" spans="1:4">
      <c r="A283" t="s">
        <v>4470</v>
      </c>
      <c r="B283" t="s">
        <v>4471</v>
      </c>
      <c r="C283" t="s">
        <v>2296</v>
      </c>
      <c r="D283" t="s">
        <v>2297</v>
      </c>
    </row>
    <row r="284" spans="1:4">
      <c r="A284" t="s">
        <v>2298</v>
      </c>
      <c r="B284" t="s">
        <v>2299</v>
      </c>
      <c r="C284" t="s">
        <v>2300</v>
      </c>
      <c r="D284" t="s">
        <v>4150</v>
      </c>
    </row>
    <row r="285" spans="1:4">
      <c r="A285" t="s">
        <v>2511</v>
      </c>
      <c r="B285" t="s">
        <v>2512</v>
      </c>
      <c r="C285" t="s">
        <v>2513</v>
      </c>
      <c r="D285" t="s">
        <v>5615</v>
      </c>
    </row>
    <row r="286" spans="1:4">
      <c r="A286" t="s">
        <v>5616</v>
      </c>
      <c r="B286" t="s">
        <v>5617</v>
      </c>
      <c r="C286" t="s">
        <v>5618</v>
      </c>
      <c r="D286" t="s">
        <v>998</v>
      </c>
    </row>
    <row r="287" spans="1:4">
      <c r="A287" t="s">
        <v>2514</v>
      </c>
      <c r="B287" t="s">
        <v>2515</v>
      </c>
      <c r="C287" t="s">
        <v>2516</v>
      </c>
      <c r="D287" t="s">
        <v>2517</v>
      </c>
    </row>
    <row r="288" spans="1:4">
      <c r="A288" t="s">
        <v>2518</v>
      </c>
      <c r="B288" t="s">
        <v>524</v>
      </c>
      <c r="C288" t="s">
        <v>525</v>
      </c>
      <c r="D288" t="s">
        <v>526</v>
      </c>
    </row>
    <row r="289" spans="1:4">
      <c r="A289" t="s">
        <v>527</v>
      </c>
      <c r="B289" t="s">
        <v>528</v>
      </c>
      <c r="C289" t="s">
        <v>940</v>
      </c>
      <c r="D289" t="s">
        <v>5619</v>
      </c>
    </row>
    <row r="290" spans="1:4">
      <c r="A290" t="s">
        <v>4031</v>
      </c>
      <c r="B290" t="s">
        <v>4032</v>
      </c>
      <c r="C290" t="s">
        <v>1669</v>
      </c>
      <c r="D290" t="s">
        <v>1670</v>
      </c>
    </row>
    <row r="291" spans="1:4">
      <c r="A291" t="s">
        <v>1671</v>
      </c>
      <c r="B291" t="s">
        <v>1672</v>
      </c>
      <c r="C291" t="s">
        <v>1673</v>
      </c>
      <c r="D291" t="s">
        <v>1674</v>
      </c>
    </row>
    <row r="292" spans="1:4">
      <c r="A292" t="s">
        <v>1675</v>
      </c>
      <c r="B292" t="s">
        <v>865</v>
      </c>
      <c r="C292" t="s">
        <v>3959</v>
      </c>
      <c r="D292" t="s">
        <v>3960</v>
      </c>
    </row>
    <row r="293" spans="1:4">
      <c r="A293" t="s">
        <v>3961</v>
      </c>
      <c r="B293" t="s">
        <v>3962</v>
      </c>
      <c r="C293" t="s">
        <v>3963</v>
      </c>
      <c r="D293" t="s">
        <v>3964</v>
      </c>
    </row>
    <row r="294" spans="1:4">
      <c r="A294" t="s">
        <v>3965</v>
      </c>
      <c r="B294" t="s">
        <v>3966</v>
      </c>
      <c r="C294" t="s">
        <v>2995</v>
      </c>
      <c r="D294" t="s">
        <v>2996</v>
      </c>
    </row>
    <row r="295" spans="1:4">
      <c r="A295" t="s">
        <v>2997</v>
      </c>
      <c r="B295" t="s">
        <v>431</v>
      </c>
      <c r="C295" t="s">
        <v>358</v>
      </c>
      <c r="D295" t="s">
        <v>359</v>
      </c>
    </row>
    <row r="296" spans="1:4">
      <c r="A296" t="s">
        <v>360</v>
      </c>
      <c r="B296" t="s">
        <v>361</v>
      </c>
      <c r="C296" t="s">
        <v>362</v>
      </c>
      <c r="D296" t="s">
        <v>363</v>
      </c>
    </row>
    <row r="297" spans="1:4">
      <c r="A297" t="s">
        <v>364</v>
      </c>
      <c r="B297" t="s">
        <v>365</v>
      </c>
      <c r="C297" t="s">
        <v>2151</v>
      </c>
      <c r="D297" t="s">
        <v>1988</v>
      </c>
    </row>
    <row r="298" spans="1:4">
      <c r="A298" t="s">
        <v>1989</v>
      </c>
      <c r="B298" t="s">
        <v>1990</v>
      </c>
      <c r="C298" t="s">
        <v>1991</v>
      </c>
      <c r="D298" t="s">
        <v>1992</v>
      </c>
    </row>
    <row r="299" spans="1:4">
      <c r="A299" t="s">
        <v>1993</v>
      </c>
      <c r="B299" t="s">
        <v>1994</v>
      </c>
      <c r="C299" t="s">
        <v>697</v>
      </c>
      <c r="D299" t="s">
        <v>698</v>
      </c>
    </row>
    <row r="300" spans="1:4">
      <c r="A300" t="s">
        <v>699</v>
      </c>
      <c r="B300" t="s">
        <v>3037</v>
      </c>
      <c r="C300" t="s">
        <v>3038</v>
      </c>
      <c r="D300" t="s">
        <v>3039</v>
      </c>
    </row>
    <row r="301" spans="1:4">
      <c r="A301" t="s">
        <v>920</v>
      </c>
      <c r="B301" t="s">
        <v>5620</v>
      </c>
      <c r="C301" t="s">
        <v>921</v>
      </c>
      <c r="D301" t="s">
        <v>922</v>
      </c>
    </row>
    <row r="302" spans="1:4">
      <c r="A302" t="s">
        <v>923</v>
      </c>
      <c r="B302" t="s">
        <v>924</v>
      </c>
      <c r="C302" t="s">
        <v>3429</v>
      </c>
      <c r="D302" t="s">
        <v>3430</v>
      </c>
    </row>
    <row r="303" spans="1:4">
      <c r="A303" t="s">
        <v>3431</v>
      </c>
      <c r="B303" t="s">
        <v>3432</v>
      </c>
      <c r="C303" t="s">
        <v>3433</v>
      </c>
      <c r="D303" t="s">
        <v>1043</v>
      </c>
    </row>
    <row r="304" spans="1:4">
      <c r="A304" t="s">
        <v>1044</v>
      </c>
      <c r="B304" t="s">
        <v>1045</v>
      </c>
      <c r="C304" t="s">
        <v>1046</v>
      </c>
      <c r="D304" t="s">
        <v>1047</v>
      </c>
    </row>
    <row r="305" spans="1:4">
      <c r="A305" t="s">
        <v>1048</v>
      </c>
      <c r="B305" t="s">
        <v>5621</v>
      </c>
      <c r="C305" t="s">
        <v>1603</v>
      </c>
      <c r="D305" t="s">
        <v>1604</v>
      </c>
    </row>
    <row r="306" spans="1:4">
      <c r="A306" t="s">
        <v>1605</v>
      </c>
      <c r="B306" t="s">
        <v>1606</v>
      </c>
      <c r="C306" t="s">
        <v>1607</v>
      </c>
      <c r="D306" t="s">
        <v>1608</v>
      </c>
    </row>
    <row r="307" spans="1:4">
      <c r="A307" t="s">
        <v>1609</v>
      </c>
      <c r="B307" t="s">
        <v>1610</v>
      </c>
      <c r="C307" t="s">
        <v>1846</v>
      </c>
      <c r="D307" t="s">
        <v>5622</v>
      </c>
    </row>
    <row r="308" spans="1:4">
      <c r="A308" t="s">
        <v>1847</v>
      </c>
      <c r="B308" t="s">
        <v>3996</v>
      </c>
      <c r="C308" t="s">
        <v>3997</v>
      </c>
      <c r="D308" t="s">
        <v>3998</v>
      </c>
    </row>
    <row r="309" spans="1:4">
      <c r="A309" t="s">
        <v>371</v>
      </c>
      <c r="B309" t="s">
        <v>372</v>
      </c>
      <c r="C309" t="s">
        <v>373</v>
      </c>
      <c r="D309" t="s">
        <v>374</v>
      </c>
    </row>
    <row r="310" spans="1:4">
      <c r="A310" t="s">
        <v>375</v>
      </c>
      <c r="B310" t="s">
        <v>376</v>
      </c>
      <c r="C310" t="s">
        <v>377</v>
      </c>
      <c r="D310" t="s">
        <v>378</v>
      </c>
    </row>
    <row r="311" spans="1:4">
      <c r="A311" t="s">
        <v>379</v>
      </c>
      <c r="B311" t="s">
        <v>380</v>
      </c>
      <c r="C311" t="s">
        <v>381</v>
      </c>
      <c r="D311" t="s">
        <v>382</v>
      </c>
    </row>
    <row r="312" spans="1:4">
      <c r="A312" t="s">
        <v>383</v>
      </c>
      <c r="B312" t="s">
        <v>384</v>
      </c>
      <c r="C312" t="s">
        <v>385</v>
      </c>
      <c r="D312" t="s">
        <v>386</v>
      </c>
    </row>
    <row r="313" spans="1:4">
      <c r="A313" t="s">
        <v>387</v>
      </c>
      <c r="B313" t="s">
        <v>388</v>
      </c>
      <c r="C313" t="s">
        <v>3386</v>
      </c>
      <c r="D313" t="s">
        <v>3387</v>
      </c>
    </row>
    <row r="314" spans="1:4">
      <c r="A314" t="s">
        <v>3388</v>
      </c>
      <c r="B314" t="s">
        <v>856</v>
      </c>
      <c r="C314" t="s">
        <v>4291</v>
      </c>
      <c r="D314" t="s">
        <v>1835</v>
      </c>
    </row>
    <row r="315" spans="1:4">
      <c r="A315" t="s">
        <v>1836</v>
      </c>
      <c r="B315" t="s">
        <v>1837</v>
      </c>
      <c r="C315" t="s">
        <v>1838</v>
      </c>
      <c r="D315" t="s">
        <v>1839</v>
      </c>
    </row>
    <row r="316" spans="1:4">
      <c r="A316" t="s">
        <v>1840</v>
      </c>
      <c r="B316" t="s">
        <v>2446</v>
      </c>
      <c r="C316" t="s">
        <v>2447</v>
      </c>
      <c r="D316" t="s">
        <v>2448</v>
      </c>
    </row>
    <row r="317" spans="1:4">
      <c r="A317" t="s">
        <v>2449</v>
      </c>
      <c r="B317" t="s">
        <v>2450</v>
      </c>
      <c r="C317" t="s">
        <v>2451</v>
      </c>
      <c r="D317" t="s">
        <v>1912</v>
      </c>
    </row>
    <row r="318" spans="1:4">
      <c r="A318" t="s">
        <v>1913</v>
      </c>
      <c r="B318" t="s">
        <v>2410</v>
      </c>
      <c r="C318" t="s">
        <v>2411</v>
      </c>
      <c r="D318" t="s">
        <v>2412</v>
      </c>
    </row>
    <row r="319" spans="1:4">
      <c r="A319" t="s">
        <v>2413</v>
      </c>
      <c r="B319" t="s">
        <v>2414</v>
      </c>
      <c r="C319" t="s">
        <v>2415</v>
      </c>
      <c r="D319" t="s">
        <v>5623</v>
      </c>
    </row>
    <row r="320" spans="1:4">
      <c r="A320" t="s">
        <v>2416</v>
      </c>
      <c r="B320" t="s">
        <v>2892</v>
      </c>
      <c r="C320" t="s">
        <v>205</v>
      </c>
      <c r="D320" t="s">
        <v>4430</v>
      </c>
    </row>
    <row r="321" spans="1:4">
      <c r="A321" t="s">
        <v>4431</v>
      </c>
      <c r="B321" t="s">
        <v>4432</v>
      </c>
      <c r="C321" t="s">
        <v>4433</v>
      </c>
      <c r="D321" t="s">
        <v>4434</v>
      </c>
    </row>
    <row r="322" spans="1:4">
      <c r="A322" t="s">
        <v>4435</v>
      </c>
      <c r="B322" t="s">
        <v>3088</v>
      </c>
      <c r="C322" t="s">
        <v>3089</v>
      </c>
      <c r="D322" t="s">
        <v>3090</v>
      </c>
    </row>
    <row r="323" spans="1:4">
      <c r="A323" t="s">
        <v>3091</v>
      </c>
      <c r="B323" t="s">
        <v>3092</v>
      </c>
      <c r="C323" t="s">
        <v>3093</v>
      </c>
      <c r="D323" t="s">
        <v>3270</v>
      </c>
    </row>
    <row r="324" spans="1:4">
      <c r="A324" t="s">
        <v>3271</v>
      </c>
      <c r="B324" t="s">
        <v>3680</v>
      </c>
      <c r="C324" t="s">
        <v>3681</v>
      </c>
      <c r="D324" t="s">
        <v>3682</v>
      </c>
    </row>
    <row r="325" spans="1:4">
      <c r="A325" t="s">
        <v>3683</v>
      </c>
      <c r="B325" t="s">
        <v>3684</v>
      </c>
      <c r="C325" t="s">
        <v>3685</v>
      </c>
      <c r="D325" t="s">
        <v>3269</v>
      </c>
    </row>
    <row r="326" spans="1:4">
      <c r="A326" t="s">
        <v>2890</v>
      </c>
      <c r="B326" t="s">
        <v>1705</v>
      </c>
      <c r="C326" t="s">
        <v>1167</v>
      </c>
      <c r="D326" t="s">
        <v>1168</v>
      </c>
    </row>
    <row r="327" spans="1:4">
      <c r="A327" t="s">
        <v>1169</v>
      </c>
      <c r="B327" t="s">
        <v>1170</v>
      </c>
      <c r="C327" t="s">
        <v>1171</v>
      </c>
      <c r="D327" t="s">
        <v>2319</v>
      </c>
    </row>
    <row r="328" spans="1:4">
      <c r="A328" t="s">
        <v>2320</v>
      </c>
      <c r="B328" t="s">
        <v>2321</v>
      </c>
      <c r="C328" t="s">
        <v>2322</v>
      </c>
      <c r="D328" t="s">
        <v>469</v>
      </c>
    </row>
    <row r="329" spans="1:4">
      <c r="A329" t="s">
        <v>2506</v>
      </c>
      <c r="B329" t="s">
        <v>456</v>
      </c>
      <c r="C329" t="s">
        <v>4538</v>
      </c>
      <c r="D329" t="s">
        <v>603</v>
      </c>
    </row>
    <row r="330" spans="1:4">
      <c r="A330" t="s">
        <v>604</v>
      </c>
      <c r="B330" t="s">
        <v>424</v>
      </c>
      <c r="C330" t="s">
        <v>425</v>
      </c>
      <c r="D330" t="s">
        <v>426</v>
      </c>
    </row>
    <row r="331" spans="1:4">
      <c r="A331" t="s">
        <v>427</v>
      </c>
      <c r="B331" t="s">
        <v>2417</v>
      </c>
      <c r="C331" t="s">
        <v>3272</v>
      </c>
      <c r="D331" t="s">
        <v>3273</v>
      </c>
    </row>
    <row r="332" spans="1:4">
      <c r="A332" t="s">
        <v>3274</v>
      </c>
      <c r="B332" t="s">
        <v>3275</v>
      </c>
      <c r="C332" t="s">
        <v>3276</v>
      </c>
      <c r="D332" t="s">
        <v>3277</v>
      </c>
    </row>
    <row r="333" spans="1:4">
      <c r="A333" t="s">
        <v>3278</v>
      </c>
      <c r="B333" t="s">
        <v>3279</v>
      </c>
      <c r="C333" t="s">
        <v>3280</v>
      </c>
      <c r="D333" t="s">
        <v>3281</v>
      </c>
    </row>
    <row r="334" spans="1:4">
      <c r="A334" t="s">
        <v>3282</v>
      </c>
      <c r="B334" t="s">
        <v>3283</v>
      </c>
      <c r="C334" t="s">
        <v>3284</v>
      </c>
      <c r="D334" t="s">
        <v>3285</v>
      </c>
    </row>
    <row r="335" spans="1:4">
      <c r="A335" t="s">
        <v>3286</v>
      </c>
      <c r="B335" t="s">
        <v>3287</v>
      </c>
      <c r="C335" t="s">
        <v>3288</v>
      </c>
      <c r="D335" t="s">
        <v>91</v>
      </c>
    </row>
    <row r="336" spans="1:4">
      <c r="A336" t="s">
        <v>92</v>
      </c>
      <c r="B336" t="s">
        <v>93</v>
      </c>
      <c r="C336" t="s">
        <v>2386</v>
      </c>
      <c r="D336" t="s">
        <v>2352</v>
      </c>
    </row>
    <row r="337" spans="1:4">
      <c r="A337" t="s">
        <v>3602</v>
      </c>
      <c r="B337" t="s">
        <v>3603</v>
      </c>
      <c r="C337" t="s">
        <v>3604</v>
      </c>
      <c r="D337" t="s">
        <v>3605</v>
      </c>
    </row>
    <row r="338" spans="1:4">
      <c r="A338" t="s">
        <v>3606</v>
      </c>
      <c r="B338" t="s">
        <v>2364</v>
      </c>
      <c r="C338" t="s">
        <v>2365</v>
      </c>
      <c r="D338" t="s">
        <v>2366</v>
      </c>
    </row>
    <row r="339" spans="1:4">
      <c r="A339" t="s">
        <v>2367</v>
      </c>
      <c r="B339" t="s">
        <v>2368</v>
      </c>
      <c r="C339" t="s">
        <v>2369</v>
      </c>
      <c r="D339" t="s">
        <v>2911</v>
      </c>
    </row>
    <row r="340" spans="1:4">
      <c r="A340" t="s">
        <v>2912</v>
      </c>
      <c r="B340" t="s">
        <v>2913</v>
      </c>
      <c r="C340" t="s">
        <v>2914</v>
      </c>
      <c r="D340" t="s">
        <v>2915</v>
      </c>
    </row>
    <row r="341" spans="1:4">
      <c r="A341" t="s">
        <v>2916</v>
      </c>
      <c r="B341" t="s">
        <v>2917</v>
      </c>
      <c r="C341" t="s">
        <v>2918</v>
      </c>
      <c r="D341" t="s">
        <v>2919</v>
      </c>
    </row>
    <row r="342" spans="1:4">
      <c r="A342" t="s">
        <v>2920</v>
      </c>
      <c r="B342" t="s">
        <v>2921</v>
      </c>
      <c r="C342" t="s">
        <v>3881</v>
      </c>
      <c r="D342" t="s">
        <v>3882</v>
      </c>
    </row>
    <row r="343" spans="1:4">
      <c r="A343" t="s">
        <v>3478</v>
      </c>
      <c r="B343" t="s">
        <v>3479</v>
      </c>
      <c r="C343" t="s">
        <v>3480</v>
      </c>
      <c r="D343" t="s">
        <v>3481</v>
      </c>
    </row>
    <row r="344" spans="1:4">
      <c r="A344" t="s">
        <v>3482</v>
      </c>
      <c r="B344" t="s">
        <v>4422</v>
      </c>
      <c r="C344" t="s">
        <v>4422</v>
      </c>
      <c r="D344" t="s">
        <v>4422</v>
      </c>
    </row>
    <row r="345" spans="1:4">
      <c r="A345" t="s">
        <v>4423</v>
      </c>
      <c r="B345" t="s">
        <v>4424</v>
      </c>
      <c r="C345" t="s">
        <v>4424</v>
      </c>
      <c r="D345" t="s">
        <v>4424</v>
      </c>
    </row>
    <row r="346" spans="1:4">
      <c r="A346" t="s">
        <v>4425</v>
      </c>
      <c r="B346" t="s">
        <v>4426</v>
      </c>
      <c r="C346" t="s">
        <v>4427</v>
      </c>
      <c r="D346" t="s">
        <v>4428</v>
      </c>
    </row>
    <row r="347" spans="1:4">
      <c r="A347" t="s">
        <v>4429</v>
      </c>
      <c r="B347" t="s">
        <v>3929</v>
      </c>
      <c r="C347" t="s">
        <v>3930</v>
      </c>
      <c r="D347" t="s">
        <v>3107</v>
      </c>
    </row>
    <row r="348" spans="1:4">
      <c r="A348" t="s">
        <v>3108</v>
      </c>
      <c r="B348" t="s">
        <v>3109</v>
      </c>
      <c r="C348" t="s">
        <v>3110</v>
      </c>
      <c r="D348" t="s">
        <v>998</v>
      </c>
    </row>
    <row r="349" spans="1:4">
      <c r="A349" t="s">
        <v>3111</v>
      </c>
      <c r="B349" t="s">
        <v>3112</v>
      </c>
      <c r="C349" t="s">
        <v>3113</v>
      </c>
      <c r="D349" t="s">
        <v>3113</v>
      </c>
    </row>
    <row r="350" spans="1:4">
      <c r="A350" t="s">
        <v>3114</v>
      </c>
      <c r="B350" t="s">
        <v>3115</v>
      </c>
      <c r="C350" t="s">
        <v>3116</v>
      </c>
      <c r="D350" t="s">
        <v>3295</v>
      </c>
    </row>
    <row r="351" spans="1:4">
      <c r="A351" t="s">
        <v>3296</v>
      </c>
      <c r="B351" t="s">
        <v>3297</v>
      </c>
      <c r="C351" t="s">
        <v>3436</v>
      </c>
      <c r="D351" t="s">
        <v>3437</v>
      </c>
    </row>
    <row r="352" spans="1:4">
      <c r="A352" t="s">
        <v>3438</v>
      </c>
      <c r="B352" t="s">
        <v>349</v>
      </c>
      <c r="C352" t="s">
        <v>350</v>
      </c>
      <c r="D352" t="s">
        <v>351</v>
      </c>
    </row>
    <row r="353" spans="1:4">
      <c r="A353" t="s">
        <v>352</v>
      </c>
      <c r="B353" t="s">
        <v>353</v>
      </c>
      <c r="C353" t="s">
        <v>354</v>
      </c>
      <c r="D353" t="s">
        <v>355</v>
      </c>
    </row>
    <row r="354" spans="1:4">
      <c r="A354" t="s">
        <v>356</v>
      </c>
      <c r="B354" t="s">
        <v>246</v>
      </c>
      <c r="C354" t="s">
        <v>247</v>
      </c>
      <c r="D354" t="s">
        <v>3058</v>
      </c>
    </row>
    <row r="355" spans="1:4">
      <c r="A355" t="s">
        <v>3059</v>
      </c>
      <c r="B355" t="s">
        <v>4207</v>
      </c>
      <c r="C355" t="s">
        <v>1549</v>
      </c>
      <c r="D355" t="s">
        <v>1550</v>
      </c>
    </row>
    <row r="356" spans="1:4">
      <c r="A356" t="s">
        <v>1551</v>
      </c>
      <c r="B356" t="s">
        <v>1552</v>
      </c>
      <c r="C356" t="s">
        <v>1553</v>
      </c>
      <c r="D356" t="s">
        <v>1554</v>
      </c>
    </row>
    <row r="357" spans="1:4">
      <c r="A357" t="s">
        <v>1555</v>
      </c>
      <c r="B357" t="s">
        <v>1556</v>
      </c>
      <c r="C357" t="s">
        <v>1557</v>
      </c>
      <c r="D357" t="s">
        <v>1558</v>
      </c>
    </row>
    <row r="358" spans="1:4">
      <c r="A358" t="s">
        <v>1559</v>
      </c>
      <c r="B358" t="s">
        <v>483</v>
      </c>
      <c r="C358" t="s">
        <v>4089</v>
      </c>
      <c r="D358" t="s">
        <v>4090</v>
      </c>
    </row>
    <row r="359" spans="1:4">
      <c r="A359" t="s">
        <v>4091</v>
      </c>
      <c r="B359" t="s">
        <v>4092</v>
      </c>
      <c r="C359" t="s">
        <v>5624</v>
      </c>
      <c r="D359" t="s">
        <v>3555</v>
      </c>
    </row>
    <row r="360" spans="1:4">
      <c r="A360" t="s">
        <v>3556</v>
      </c>
      <c r="B360" t="s">
        <v>463</v>
      </c>
      <c r="C360" t="s">
        <v>5625</v>
      </c>
      <c r="D360" t="s">
        <v>2632</v>
      </c>
    </row>
    <row r="361" spans="1:4">
      <c r="A361" t="s">
        <v>2633</v>
      </c>
      <c r="B361" t="s">
        <v>2634</v>
      </c>
      <c r="C361" t="s">
        <v>2781</v>
      </c>
      <c r="D361" t="s">
        <v>2782</v>
      </c>
    </row>
    <row r="362" spans="1:4">
      <c r="A362" t="s">
        <v>2783</v>
      </c>
      <c r="B362" t="s">
        <v>3289</v>
      </c>
      <c r="C362" t="s">
        <v>3290</v>
      </c>
      <c r="D362" t="s">
        <v>1041</v>
      </c>
    </row>
    <row r="363" spans="1:4">
      <c r="A363" t="s">
        <v>1042</v>
      </c>
      <c r="B363" t="s">
        <v>930</v>
      </c>
      <c r="C363" t="s">
        <v>4497</v>
      </c>
      <c r="D363" t="s">
        <v>4498</v>
      </c>
    </row>
    <row r="364" spans="1:4">
      <c r="A364" t="s">
        <v>605</v>
      </c>
      <c r="B364" t="s">
        <v>857</v>
      </c>
      <c r="C364" t="s">
        <v>310</v>
      </c>
      <c r="D364" t="s">
        <v>3252</v>
      </c>
    </row>
    <row r="365" spans="1:4">
      <c r="A365" t="s">
        <v>3253</v>
      </c>
      <c r="B365" t="s">
        <v>3310</v>
      </c>
      <c r="C365" t="s">
        <v>3311</v>
      </c>
      <c r="D365" t="s">
        <v>2184</v>
      </c>
    </row>
    <row r="366" spans="1:4">
      <c r="A366" t="s">
        <v>2185</v>
      </c>
      <c r="B366" t="s">
        <v>857</v>
      </c>
      <c r="C366" t="s">
        <v>310</v>
      </c>
      <c r="D366" t="s">
        <v>3252</v>
      </c>
    </row>
    <row r="367" spans="1:4">
      <c r="A367" t="s">
        <v>2186</v>
      </c>
      <c r="B367" t="s">
        <v>2187</v>
      </c>
      <c r="C367" t="s">
        <v>2188</v>
      </c>
      <c r="D367" t="s">
        <v>2188</v>
      </c>
    </row>
    <row r="368" spans="1:4">
      <c r="A368" t="s">
        <v>4500</v>
      </c>
      <c r="B368" t="s">
        <v>5626</v>
      </c>
      <c r="C368" t="s">
        <v>5627</v>
      </c>
      <c r="D368" t="s">
        <v>4501</v>
      </c>
    </row>
    <row r="369" spans="1:4">
      <c r="A369" t="s">
        <v>3418</v>
      </c>
      <c r="B369" t="s">
        <v>3673</v>
      </c>
      <c r="C369" t="s">
        <v>5628</v>
      </c>
      <c r="D369" t="s">
        <v>422</v>
      </c>
    </row>
    <row r="370" spans="1:4">
      <c r="A370" t="s">
        <v>423</v>
      </c>
      <c r="B370" t="s">
        <v>5629</v>
      </c>
      <c r="C370" t="s">
        <v>5630</v>
      </c>
      <c r="D370" t="s">
        <v>4499</v>
      </c>
    </row>
    <row r="371" spans="1:4">
      <c r="A371" t="s">
        <v>3512</v>
      </c>
      <c r="B371" t="s">
        <v>5631</v>
      </c>
      <c r="C371" t="s">
        <v>5632</v>
      </c>
      <c r="D371" t="s">
        <v>5633</v>
      </c>
    </row>
    <row r="372" spans="1:4">
      <c r="A372" t="s">
        <v>4502</v>
      </c>
      <c r="B372" t="s">
        <v>5634</v>
      </c>
      <c r="C372" t="s">
        <v>5635</v>
      </c>
      <c r="D372" t="s">
        <v>5636</v>
      </c>
    </row>
    <row r="373" spans="1:4">
      <c r="A373" t="s">
        <v>4503</v>
      </c>
      <c r="B373" t="s">
        <v>5637</v>
      </c>
      <c r="C373" t="s">
        <v>5638</v>
      </c>
      <c r="D373" t="s">
        <v>998</v>
      </c>
    </row>
    <row r="374" spans="1:4">
      <c r="A374" t="s">
        <v>1049</v>
      </c>
      <c r="B374" t="s">
        <v>5639</v>
      </c>
      <c r="C374" t="s">
        <v>1050</v>
      </c>
      <c r="D374" t="s">
        <v>998</v>
      </c>
    </row>
    <row r="375" spans="1:4">
      <c r="A375" t="s">
        <v>157</v>
      </c>
      <c r="B375" t="s">
        <v>5640</v>
      </c>
      <c r="C375" t="s">
        <v>5641</v>
      </c>
      <c r="D375" t="s">
        <v>5642</v>
      </c>
    </row>
    <row r="376" spans="1:4">
      <c r="A376" t="s">
        <v>5643</v>
      </c>
      <c r="B376" t="s">
        <v>5644</v>
      </c>
      <c r="C376" t="s">
        <v>5645</v>
      </c>
      <c r="D376" t="s">
        <v>998</v>
      </c>
    </row>
    <row r="377" spans="1:4">
      <c r="A377" t="s">
        <v>5646</v>
      </c>
      <c r="B377" t="s">
        <v>5647</v>
      </c>
      <c r="C377" t="s">
        <v>5648</v>
      </c>
      <c r="D377" t="s">
        <v>998</v>
      </c>
    </row>
    <row r="378" spans="1:4">
      <c r="A378" t="s">
        <v>5649</v>
      </c>
      <c r="B378" t="s">
        <v>5650</v>
      </c>
      <c r="C378" t="s">
        <v>5651</v>
      </c>
      <c r="D378" t="s">
        <v>998</v>
      </c>
    </row>
    <row r="379" spans="1:4">
      <c r="A379" t="s">
        <v>5652</v>
      </c>
      <c r="B379" t="s">
        <v>5653</v>
      </c>
      <c r="C379" t="s">
        <v>5654</v>
      </c>
      <c r="D379" t="s">
        <v>998</v>
      </c>
    </row>
    <row r="380" spans="1:4">
      <c r="A380" t="s">
        <v>681</v>
      </c>
      <c r="B380" t="s">
        <v>682</v>
      </c>
      <c r="C380" t="s">
        <v>683</v>
      </c>
      <c r="D380" t="s">
        <v>998</v>
      </c>
    </row>
    <row r="381" spans="1:4">
      <c r="A381" t="s">
        <v>684</v>
      </c>
      <c r="B381" t="s">
        <v>5655</v>
      </c>
      <c r="C381" t="s">
        <v>5656</v>
      </c>
      <c r="D381" t="s">
        <v>998</v>
      </c>
    </row>
    <row r="382" spans="1:4">
      <c r="A382" t="s">
        <v>5072</v>
      </c>
      <c r="B382" t="s">
        <v>5073</v>
      </c>
      <c r="C382" t="s">
        <v>3284</v>
      </c>
      <c r="D382" t="s">
        <v>998</v>
      </c>
    </row>
    <row r="383" spans="1:4">
      <c r="A383" t="s">
        <v>5657</v>
      </c>
      <c r="B383" t="s">
        <v>3289</v>
      </c>
      <c r="C383" t="s">
        <v>3290</v>
      </c>
      <c r="D383" t="s">
        <v>998</v>
      </c>
    </row>
    <row r="384" spans="1:4">
      <c r="A384" t="s">
        <v>5658</v>
      </c>
      <c r="B384" t="s">
        <v>930</v>
      </c>
      <c r="C384" t="s">
        <v>4497</v>
      </c>
      <c r="D384" t="s">
        <v>998</v>
      </c>
    </row>
    <row r="385" spans="1:4">
      <c r="A385" t="s">
        <v>5659</v>
      </c>
      <c r="B385" t="s">
        <v>857</v>
      </c>
      <c r="C385" t="s">
        <v>310</v>
      </c>
      <c r="D385" t="s">
        <v>998</v>
      </c>
    </row>
    <row r="386" spans="1:4">
      <c r="A386" t="s">
        <v>5660</v>
      </c>
      <c r="B386" t="s">
        <v>3310</v>
      </c>
      <c r="C386" t="s">
        <v>3311</v>
      </c>
      <c r="D386" t="s">
        <v>998</v>
      </c>
    </row>
    <row r="387" spans="1:4">
      <c r="A387" t="s">
        <v>5661</v>
      </c>
      <c r="B387" t="s">
        <v>857</v>
      </c>
      <c r="C387" t="s">
        <v>310</v>
      </c>
      <c r="D387" t="s">
        <v>998</v>
      </c>
    </row>
    <row r="388" spans="1:4">
      <c r="A388" t="s">
        <v>685</v>
      </c>
      <c r="B388" t="s">
        <v>5662</v>
      </c>
      <c r="C388" t="s">
        <v>5663</v>
      </c>
      <c r="D388" t="s">
        <v>998</v>
      </c>
    </row>
    <row r="389" spans="1:4">
      <c r="A389" t="s">
        <v>686</v>
      </c>
      <c r="B389" t="s">
        <v>5664</v>
      </c>
      <c r="C389" t="s">
        <v>5665</v>
      </c>
      <c r="D389" t="s">
        <v>998</v>
      </c>
    </row>
    <row r="390" spans="1:4">
      <c r="A390" t="s">
        <v>687</v>
      </c>
      <c r="B390" t="s">
        <v>5666</v>
      </c>
      <c r="C390" t="s">
        <v>5667</v>
      </c>
      <c r="D390" t="s">
        <v>998</v>
      </c>
    </row>
    <row r="391" spans="1:4">
      <c r="A391" t="s">
        <v>688</v>
      </c>
      <c r="B391" t="s">
        <v>5668</v>
      </c>
      <c r="C391" t="s">
        <v>5669</v>
      </c>
      <c r="D391" t="s">
        <v>998</v>
      </c>
    </row>
    <row r="392" spans="1:4">
      <c r="A392" t="s">
        <v>5074</v>
      </c>
      <c r="B392" t="s">
        <v>5075</v>
      </c>
      <c r="C392" t="s">
        <v>5076</v>
      </c>
      <c r="D392" t="s">
        <v>998</v>
      </c>
    </row>
    <row r="393" spans="1:4">
      <c r="A393" t="s">
        <v>5077</v>
      </c>
      <c r="B393" t="s">
        <v>5670</v>
      </c>
      <c r="C393" t="s">
        <v>5671</v>
      </c>
      <c r="D393" t="s">
        <v>998</v>
      </c>
    </row>
    <row r="394" spans="1:4">
      <c r="A394" t="s">
        <v>5078</v>
      </c>
      <c r="B394" t="s">
        <v>5079</v>
      </c>
      <c r="C394" t="s">
        <v>5080</v>
      </c>
      <c r="D394" t="s">
        <v>998</v>
      </c>
    </row>
    <row r="395" spans="1:4">
      <c r="A395" t="s">
        <v>5672</v>
      </c>
      <c r="B395" t="s">
        <v>5673</v>
      </c>
      <c r="C395" t="s">
        <v>5674</v>
      </c>
      <c r="D395" t="s">
        <v>998</v>
      </c>
    </row>
    <row r="396" spans="1:4">
      <c r="A396" t="s">
        <v>5675</v>
      </c>
      <c r="B396" t="s">
        <v>5676</v>
      </c>
      <c r="C396" t="s">
        <v>5677</v>
      </c>
      <c r="D396" t="s">
        <v>998</v>
      </c>
    </row>
    <row r="397" spans="1:4">
      <c r="A397" t="s">
        <v>5678</v>
      </c>
      <c r="B397" t="s">
        <v>5679</v>
      </c>
      <c r="C397" t="s">
        <v>5680</v>
      </c>
      <c r="D397" t="s">
        <v>998</v>
      </c>
    </row>
    <row r="398" spans="1:4">
      <c r="A398" t="s">
        <v>5681</v>
      </c>
      <c r="B398" t="s">
        <v>5682</v>
      </c>
      <c r="C398" t="s">
        <v>5683</v>
      </c>
      <c r="D398" t="s">
        <v>998</v>
      </c>
    </row>
    <row r="399" spans="1:4">
      <c r="A399" t="s">
        <v>5684</v>
      </c>
      <c r="B399" t="s">
        <v>5685</v>
      </c>
      <c r="C399" t="s">
        <v>5686</v>
      </c>
      <c r="D399" t="s">
        <v>998</v>
      </c>
    </row>
    <row r="400" spans="1:4">
      <c r="A400" t="s">
        <v>5687</v>
      </c>
      <c r="B400" t="s">
        <v>5688</v>
      </c>
      <c r="C400" t="s">
        <v>5689</v>
      </c>
      <c r="D400" t="s">
        <v>998</v>
      </c>
    </row>
    <row r="401" spans="1:4">
      <c r="A401" t="s">
        <v>5690</v>
      </c>
      <c r="B401" t="s">
        <v>5691</v>
      </c>
      <c r="C401" t="s">
        <v>5692</v>
      </c>
      <c r="D401" t="s">
        <v>998</v>
      </c>
    </row>
    <row r="402" spans="1:4">
      <c r="A402" t="s">
        <v>5081</v>
      </c>
      <c r="B402" t="s">
        <v>5693</v>
      </c>
      <c r="C402" t="s">
        <v>5694</v>
      </c>
      <c r="D402" t="s">
        <v>998</v>
      </c>
    </row>
    <row r="403" spans="1:4">
      <c r="A403" t="s">
        <v>5082</v>
      </c>
      <c r="B403" t="s">
        <v>5695</v>
      </c>
      <c r="C403" t="s">
        <v>5696</v>
      </c>
      <c r="D403" t="s">
        <v>998</v>
      </c>
    </row>
    <row r="404" spans="1:4">
      <c r="A404" t="s">
        <v>5083</v>
      </c>
      <c r="B404" t="s">
        <v>5697</v>
      </c>
      <c r="C404" t="s">
        <v>5698</v>
      </c>
      <c r="D404" t="s">
        <v>998</v>
      </c>
    </row>
    <row r="405" spans="1:4">
      <c r="A405" t="s">
        <v>5084</v>
      </c>
      <c r="B405" t="s">
        <v>5699</v>
      </c>
      <c r="C405" t="s">
        <v>5700</v>
      </c>
      <c r="D405" t="s">
        <v>998</v>
      </c>
    </row>
    <row r="406" spans="1:4">
      <c r="A406" t="s">
        <v>5085</v>
      </c>
      <c r="B406" t="s">
        <v>5701</v>
      </c>
      <c r="C406" t="s">
        <v>5702</v>
      </c>
      <c r="D406" t="s">
        <v>998</v>
      </c>
    </row>
    <row r="407" spans="1:4">
      <c r="A407" t="s">
        <v>5086</v>
      </c>
      <c r="B407" t="s">
        <v>5703</v>
      </c>
      <c r="C407" t="s">
        <v>5704</v>
      </c>
      <c r="D407" t="s">
        <v>998</v>
      </c>
    </row>
    <row r="408" spans="1:4">
      <c r="A408" t="s">
        <v>5087</v>
      </c>
      <c r="B408" t="s">
        <v>5705</v>
      </c>
      <c r="C408" t="s">
        <v>5706</v>
      </c>
      <c r="D408" t="s">
        <v>998</v>
      </c>
    </row>
    <row r="409" spans="1:4">
      <c r="A409" t="s">
        <v>5088</v>
      </c>
      <c r="B409" t="s">
        <v>5707</v>
      </c>
      <c r="C409" t="s">
        <v>5708</v>
      </c>
      <c r="D409" t="s">
        <v>998</v>
      </c>
    </row>
    <row r="410" spans="1:4">
      <c r="A410" t="s">
        <v>5089</v>
      </c>
      <c r="B410" t="s">
        <v>5709</v>
      </c>
      <c r="C410" t="s">
        <v>5710</v>
      </c>
      <c r="D410" t="s">
        <v>998</v>
      </c>
    </row>
    <row r="411" spans="1:4">
      <c r="A411" t="s">
        <v>5090</v>
      </c>
      <c r="B411" t="s">
        <v>5711</v>
      </c>
      <c r="C411" t="s">
        <v>5712</v>
      </c>
      <c r="D411" t="s">
        <v>998</v>
      </c>
    </row>
    <row r="412" spans="1:4">
      <c r="A412" t="s">
        <v>5091</v>
      </c>
      <c r="B412" t="s">
        <v>5713</v>
      </c>
      <c r="C412" t="s">
        <v>5714</v>
      </c>
      <c r="D412" t="s">
        <v>998</v>
      </c>
    </row>
    <row r="413" spans="1:4">
      <c r="A413" t="s">
        <v>5092</v>
      </c>
      <c r="B413" t="s">
        <v>5715</v>
      </c>
      <c r="C413" t="s">
        <v>5716</v>
      </c>
      <c r="D413" t="s">
        <v>998</v>
      </c>
    </row>
    <row r="414" spans="1:4">
      <c r="A414" t="s">
        <v>5093</v>
      </c>
      <c r="B414" t="s">
        <v>5717</v>
      </c>
      <c r="C414" t="s">
        <v>5718</v>
      </c>
      <c r="D414" t="s">
        <v>998</v>
      </c>
    </row>
    <row r="415" spans="1:4">
      <c r="A415" t="s">
        <v>5094</v>
      </c>
      <c r="B415" t="s">
        <v>5719</v>
      </c>
      <c r="C415" t="s">
        <v>5720</v>
      </c>
      <c r="D415" t="s">
        <v>998</v>
      </c>
    </row>
    <row r="416" spans="1:4">
      <c r="A416" t="s">
        <v>5095</v>
      </c>
      <c r="B416" t="s">
        <v>5721</v>
      </c>
      <c r="C416" t="s">
        <v>5722</v>
      </c>
      <c r="D416" t="s">
        <v>998</v>
      </c>
    </row>
    <row r="417" spans="1:4">
      <c r="A417" t="s">
        <v>5096</v>
      </c>
      <c r="B417" t="s">
        <v>5097</v>
      </c>
      <c r="C417" t="s">
        <v>5723</v>
      </c>
      <c r="D417" t="s">
        <v>998</v>
      </c>
    </row>
    <row r="418" spans="1:4">
      <c r="A418" t="s">
        <v>5098</v>
      </c>
      <c r="B418" t="s">
        <v>5099</v>
      </c>
      <c r="C418" t="s">
        <v>5724</v>
      </c>
      <c r="D418" t="s">
        <v>998</v>
      </c>
    </row>
    <row r="419" spans="1:4">
      <c r="A419" t="s">
        <v>5725</v>
      </c>
      <c r="B419" t="s">
        <v>5726</v>
      </c>
      <c r="C419" t="s">
        <v>5727</v>
      </c>
      <c r="D419" t="s">
        <v>998</v>
      </c>
    </row>
    <row r="420" spans="1:4">
      <c r="A420" t="s">
        <v>5100</v>
      </c>
      <c r="B420" t="s">
        <v>5728</v>
      </c>
      <c r="C420" t="s">
        <v>5729</v>
      </c>
      <c r="D420" t="s">
        <v>998</v>
      </c>
    </row>
    <row r="421" spans="1:4">
      <c r="A421" t="s">
        <v>5101</v>
      </c>
      <c r="B421" t="s">
        <v>5730</v>
      </c>
      <c r="C421" t="s">
        <v>5731</v>
      </c>
      <c r="D421" t="s">
        <v>998</v>
      </c>
    </row>
    <row r="422" spans="1:4">
      <c r="A422" t="s">
        <v>5102</v>
      </c>
      <c r="B422" t="s">
        <v>5732</v>
      </c>
      <c r="C422" t="s">
        <v>5733</v>
      </c>
      <c r="D422" t="s">
        <v>998</v>
      </c>
    </row>
    <row r="423" spans="1:4">
      <c r="A423" t="s">
        <v>5103</v>
      </c>
      <c r="B423" t="s">
        <v>5734</v>
      </c>
      <c r="C423" t="s">
        <v>5735</v>
      </c>
      <c r="D423" t="s">
        <v>998</v>
      </c>
    </row>
    <row r="424" spans="1:4">
      <c r="A424" t="s">
        <v>5104</v>
      </c>
      <c r="B424" t="s">
        <v>5736</v>
      </c>
      <c r="C424" t="s">
        <v>5737</v>
      </c>
      <c r="D424" t="s">
        <v>998</v>
      </c>
    </row>
    <row r="425" spans="1:4">
      <c r="A425" t="s">
        <v>5105</v>
      </c>
      <c r="B425" t="s">
        <v>5738</v>
      </c>
      <c r="C425" t="s">
        <v>5739</v>
      </c>
      <c r="D425" t="s">
        <v>998</v>
      </c>
    </row>
    <row r="426" spans="1:4">
      <c r="A426" t="s">
        <v>5740</v>
      </c>
      <c r="B426" t="s">
        <v>5741</v>
      </c>
      <c r="C426" t="s">
        <v>5742</v>
      </c>
      <c r="D426" t="s">
        <v>998</v>
      </c>
    </row>
    <row r="427" spans="1:4">
      <c r="A427" t="s">
        <v>5743</v>
      </c>
      <c r="B427" t="s">
        <v>5744</v>
      </c>
      <c r="C427" t="s">
        <v>5745</v>
      </c>
      <c r="D427" t="s">
        <v>998</v>
      </c>
    </row>
    <row r="428" spans="1:4">
      <c r="A428" t="s">
        <v>5746</v>
      </c>
      <c r="B428" t="s">
        <v>5747</v>
      </c>
      <c r="C428" t="s">
        <v>5748</v>
      </c>
      <c r="D428" t="s">
        <v>998</v>
      </c>
    </row>
    <row r="429" spans="1:4">
      <c r="A429" t="s">
        <v>5749</v>
      </c>
      <c r="B429" t="s">
        <v>5750</v>
      </c>
      <c r="C429" t="s">
        <v>5751</v>
      </c>
      <c r="D429" t="s">
        <v>998</v>
      </c>
    </row>
    <row r="430" spans="1:4">
      <c r="A430" t="s">
        <v>5752</v>
      </c>
      <c r="B430" t="s">
        <v>5753</v>
      </c>
      <c r="C430" t="s">
        <v>5754</v>
      </c>
      <c r="D430" t="s">
        <v>998</v>
      </c>
    </row>
    <row r="431" spans="1:4">
      <c r="A431" t="s">
        <v>5755</v>
      </c>
      <c r="B431" t="s">
        <v>5753</v>
      </c>
      <c r="C431" t="s">
        <v>5754</v>
      </c>
      <c r="D431" t="s">
        <v>998</v>
      </c>
    </row>
    <row r="432" spans="1:4">
      <c r="A432" t="s">
        <v>5756</v>
      </c>
      <c r="B432" t="s">
        <v>5757</v>
      </c>
      <c r="C432" t="s">
        <v>5758</v>
      </c>
      <c r="D432" t="s">
        <v>998</v>
      </c>
    </row>
    <row r="433" spans="1:4">
      <c r="A433" t="s">
        <v>5759</v>
      </c>
      <c r="B433" t="s">
        <v>5760</v>
      </c>
      <c r="C433" t="s">
        <v>5761</v>
      </c>
      <c r="D433" t="s">
        <v>998</v>
      </c>
    </row>
    <row r="434" spans="1:4">
      <c r="A434" t="s">
        <v>5762</v>
      </c>
      <c r="B434" t="s">
        <v>5763</v>
      </c>
      <c r="C434" t="s">
        <v>5764</v>
      </c>
      <c r="D434" t="s">
        <v>998</v>
      </c>
    </row>
    <row r="435" spans="1:4">
      <c r="A435" t="s">
        <v>1563</v>
      </c>
      <c r="B435" t="s">
        <v>1564</v>
      </c>
      <c r="C435" t="s">
        <v>1565</v>
      </c>
      <c r="D435" t="s">
        <v>4524</v>
      </c>
    </row>
    <row r="436" spans="1:4">
      <c r="A436" t="s">
        <v>4525</v>
      </c>
      <c r="B436" t="s">
        <v>5765</v>
      </c>
      <c r="C436" t="s">
        <v>5766</v>
      </c>
      <c r="D436" t="s">
        <v>4526</v>
      </c>
    </row>
    <row r="437" spans="1:4">
      <c r="A437" t="s">
        <v>4527</v>
      </c>
      <c r="B437" t="s">
        <v>4528</v>
      </c>
      <c r="C437" t="s">
        <v>464</v>
      </c>
      <c r="D437" t="s">
        <v>998</v>
      </c>
    </row>
    <row r="438" spans="1:4">
      <c r="A438" t="s">
        <v>465</v>
      </c>
      <c r="B438" t="s">
        <v>466</v>
      </c>
      <c r="C438" t="s">
        <v>1911</v>
      </c>
      <c r="D438" t="s">
        <v>2257</v>
      </c>
    </row>
    <row r="439" spans="1:4">
      <c r="A439" t="s">
        <v>2258</v>
      </c>
      <c r="B439" t="s">
        <v>2259</v>
      </c>
      <c r="C439" t="s">
        <v>2260</v>
      </c>
      <c r="D439" t="s">
        <v>998</v>
      </c>
    </row>
    <row r="440" spans="1:4">
      <c r="A440" t="s">
        <v>2261</v>
      </c>
      <c r="B440" t="s">
        <v>2262</v>
      </c>
      <c r="C440" t="s">
        <v>2263</v>
      </c>
      <c r="D440" t="s">
        <v>2264</v>
      </c>
    </row>
    <row r="441" spans="1:4">
      <c r="A441" t="s">
        <v>2265</v>
      </c>
      <c r="B441" t="s">
        <v>2266</v>
      </c>
      <c r="C441" t="s">
        <v>2267</v>
      </c>
      <c r="D441" t="s">
        <v>2268</v>
      </c>
    </row>
    <row r="442" spans="1:4">
      <c r="A442" t="s">
        <v>2269</v>
      </c>
      <c r="B442" t="s">
        <v>2270</v>
      </c>
      <c r="C442" t="s">
        <v>2271</v>
      </c>
      <c r="D442" t="s">
        <v>16</v>
      </c>
    </row>
    <row r="443" spans="1:4">
      <c r="A443" t="s">
        <v>17</v>
      </c>
      <c r="B443" t="s">
        <v>18</v>
      </c>
      <c r="C443" t="s">
        <v>19</v>
      </c>
      <c r="D443" t="s">
        <v>2370</v>
      </c>
    </row>
    <row r="444" spans="1:4">
      <c r="A444" t="s">
        <v>2371</v>
      </c>
      <c r="B444" t="s">
        <v>2372</v>
      </c>
      <c r="C444" t="s">
        <v>2373</v>
      </c>
      <c r="D444" t="s">
        <v>2397</v>
      </c>
    </row>
    <row r="445" spans="1:4">
      <c r="A445" t="s">
        <v>2398</v>
      </c>
      <c r="B445" t="s">
        <v>2399</v>
      </c>
      <c r="C445" t="s">
        <v>2400</v>
      </c>
      <c r="D445" t="s">
        <v>2401</v>
      </c>
    </row>
    <row r="446" spans="1:4">
      <c r="A446" t="s">
        <v>2402</v>
      </c>
      <c r="B446" t="s">
        <v>2403</v>
      </c>
      <c r="C446" t="s">
        <v>2404</v>
      </c>
      <c r="D446" t="s">
        <v>2405</v>
      </c>
    </row>
    <row r="447" spans="1:4">
      <c r="A447" t="s">
        <v>2406</v>
      </c>
      <c r="B447" t="s">
        <v>2407</v>
      </c>
      <c r="C447" t="s">
        <v>3345</v>
      </c>
      <c r="D447" t="s">
        <v>2559</v>
      </c>
    </row>
    <row r="448" spans="1:4">
      <c r="A448" t="s">
        <v>2560</v>
      </c>
      <c r="B448" t="s">
        <v>4573</v>
      </c>
      <c r="C448" t="s">
        <v>4574</v>
      </c>
      <c r="D448" t="s">
        <v>4575</v>
      </c>
    </row>
    <row r="449" spans="1:4">
      <c r="A449" t="s">
        <v>4576</v>
      </c>
      <c r="B449" t="s">
        <v>4577</v>
      </c>
      <c r="C449" t="s">
        <v>4578</v>
      </c>
      <c r="D449" t="s">
        <v>4579</v>
      </c>
    </row>
    <row r="450" spans="1:4">
      <c r="A450" t="s">
        <v>861</v>
      </c>
      <c r="B450" t="s">
        <v>862</v>
      </c>
      <c r="C450" t="s">
        <v>4281</v>
      </c>
      <c r="D450" t="s">
        <v>218</v>
      </c>
    </row>
    <row r="451" spans="1:4">
      <c r="A451" t="s">
        <v>219</v>
      </c>
      <c r="B451" t="s">
        <v>2112</v>
      </c>
      <c r="C451" t="s">
        <v>2113</v>
      </c>
      <c r="D451" t="s">
        <v>4307</v>
      </c>
    </row>
    <row r="452" spans="1:4">
      <c r="A452" t="s">
        <v>4308</v>
      </c>
      <c r="B452" t="s">
        <v>2351</v>
      </c>
      <c r="C452" t="s">
        <v>3234</v>
      </c>
      <c r="D452" t="s">
        <v>3235</v>
      </c>
    </row>
    <row r="453" spans="1:4">
      <c r="A453" t="s">
        <v>3236</v>
      </c>
      <c r="B453" t="s">
        <v>3237</v>
      </c>
      <c r="C453" t="s">
        <v>2905</v>
      </c>
      <c r="D453" t="s">
        <v>2906</v>
      </c>
    </row>
    <row r="454" spans="1:4">
      <c r="A454" t="s">
        <v>2907</v>
      </c>
      <c r="B454" t="s">
        <v>497</v>
      </c>
      <c r="C454" t="s">
        <v>2640</v>
      </c>
      <c r="D454" t="s">
        <v>2641</v>
      </c>
    </row>
    <row r="455" spans="1:4">
      <c r="A455" t="s">
        <v>2642</v>
      </c>
      <c r="B455" t="s">
        <v>45</v>
      </c>
      <c r="C455" t="s">
        <v>46</v>
      </c>
      <c r="D455" t="s">
        <v>47</v>
      </c>
    </row>
    <row r="456" spans="1:4">
      <c r="A456" t="s">
        <v>498</v>
      </c>
      <c r="B456" t="s">
        <v>2262</v>
      </c>
      <c r="C456" t="s">
        <v>2263</v>
      </c>
      <c r="D456" t="s">
        <v>2264</v>
      </c>
    </row>
    <row r="457" spans="1:4">
      <c r="A457" t="s">
        <v>499</v>
      </c>
      <c r="B457" t="s">
        <v>2266</v>
      </c>
      <c r="C457" t="s">
        <v>2267</v>
      </c>
      <c r="D457" t="s">
        <v>2268</v>
      </c>
    </row>
    <row r="458" spans="1:4">
      <c r="A458" t="s">
        <v>500</v>
      </c>
      <c r="B458" t="s">
        <v>2403</v>
      </c>
      <c r="C458" t="s">
        <v>2404</v>
      </c>
      <c r="D458" t="s">
        <v>2405</v>
      </c>
    </row>
    <row r="459" spans="1:4">
      <c r="A459" t="s">
        <v>501</v>
      </c>
      <c r="B459" t="s">
        <v>2270</v>
      </c>
      <c r="C459" t="s">
        <v>2271</v>
      </c>
      <c r="D459" t="s">
        <v>502</v>
      </c>
    </row>
    <row r="460" spans="1:4">
      <c r="A460" t="s">
        <v>503</v>
      </c>
      <c r="B460" t="s">
        <v>18</v>
      </c>
      <c r="C460" t="s">
        <v>19</v>
      </c>
      <c r="D460" t="s">
        <v>2370</v>
      </c>
    </row>
    <row r="461" spans="1:4">
      <c r="A461" t="s">
        <v>504</v>
      </c>
      <c r="B461" t="s">
        <v>505</v>
      </c>
      <c r="C461" t="s">
        <v>3345</v>
      </c>
      <c r="D461" t="s">
        <v>506</v>
      </c>
    </row>
    <row r="462" spans="1:4">
      <c r="A462" t="s">
        <v>507</v>
      </c>
      <c r="B462" t="s">
        <v>2372</v>
      </c>
      <c r="C462" t="s">
        <v>2373</v>
      </c>
      <c r="D462" t="s">
        <v>508</v>
      </c>
    </row>
    <row r="463" spans="1:4">
      <c r="A463" t="s">
        <v>509</v>
      </c>
      <c r="B463" t="s">
        <v>2399</v>
      </c>
      <c r="C463" t="s">
        <v>2400</v>
      </c>
      <c r="D463" t="s">
        <v>2401</v>
      </c>
    </row>
    <row r="464" spans="1:4">
      <c r="A464" t="s">
        <v>510</v>
      </c>
      <c r="B464" t="s">
        <v>1859</v>
      </c>
      <c r="C464" t="s">
        <v>4574</v>
      </c>
      <c r="D464" t="s">
        <v>1860</v>
      </c>
    </row>
    <row r="465" spans="1:4">
      <c r="A465" t="s">
        <v>433</v>
      </c>
      <c r="B465" t="s">
        <v>5767</v>
      </c>
      <c r="C465" t="s">
        <v>5768</v>
      </c>
      <c r="D465" t="s">
        <v>998</v>
      </c>
    </row>
    <row r="466" spans="1:4">
      <c r="A466" t="s">
        <v>1861</v>
      </c>
      <c r="B466" t="s">
        <v>1862</v>
      </c>
      <c r="C466" t="s">
        <v>1863</v>
      </c>
      <c r="D466" t="s">
        <v>601</v>
      </c>
    </row>
    <row r="467" spans="1:4">
      <c r="A467" t="s">
        <v>602</v>
      </c>
      <c r="B467" t="s">
        <v>3752</v>
      </c>
      <c r="C467" t="s">
        <v>2435</v>
      </c>
      <c r="D467" t="s">
        <v>2436</v>
      </c>
    </row>
    <row r="468" spans="1:4">
      <c r="A468" t="s">
        <v>2437</v>
      </c>
      <c r="B468" t="s">
        <v>2438</v>
      </c>
      <c r="C468" t="s">
        <v>2439</v>
      </c>
      <c r="D468" t="s">
        <v>2440</v>
      </c>
    </row>
    <row r="469" spans="1:4">
      <c r="A469" t="s">
        <v>2441</v>
      </c>
      <c r="B469" t="s">
        <v>2442</v>
      </c>
      <c r="C469" t="s">
        <v>2443</v>
      </c>
      <c r="D469" t="s">
        <v>2444</v>
      </c>
    </row>
    <row r="470" spans="1:4">
      <c r="A470" t="s">
        <v>2445</v>
      </c>
      <c r="B470" t="s">
        <v>3035</v>
      </c>
      <c r="C470" t="s">
        <v>3036</v>
      </c>
      <c r="D470" t="s">
        <v>2715</v>
      </c>
    </row>
    <row r="471" spans="1:4">
      <c r="A471" t="s">
        <v>2716</v>
      </c>
      <c r="B471" t="s">
        <v>2892</v>
      </c>
      <c r="C471" t="s">
        <v>205</v>
      </c>
      <c r="D471" t="s">
        <v>4430</v>
      </c>
    </row>
    <row r="472" spans="1:4">
      <c r="A472" t="s">
        <v>2717</v>
      </c>
      <c r="B472" t="s">
        <v>2736</v>
      </c>
      <c r="C472" t="s">
        <v>2737</v>
      </c>
      <c r="D472" t="s">
        <v>2738</v>
      </c>
    </row>
    <row r="473" spans="1:4">
      <c r="A473" t="s">
        <v>2739</v>
      </c>
      <c r="B473" t="s">
        <v>2740</v>
      </c>
      <c r="C473" t="s">
        <v>2741</v>
      </c>
      <c r="D473" t="s">
        <v>2898</v>
      </c>
    </row>
    <row r="474" spans="1:4">
      <c r="A474" t="s">
        <v>3056</v>
      </c>
      <c r="B474" t="s">
        <v>3057</v>
      </c>
      <c r="C474" t="s">
        <v>221</v>
      </c>
      <c r="D474" t="s">
        <v>5769</v>
      </c>
    </row>
    <row r="475" spans="1:4">
      <c r="A475" t="s">
        <v>222</v>
      </c>
      <c r="B475" t="s">
        <v>223</v>
      </c>
      <c r="C475" t="s">
        <v>2934</v>
      </c>
      <c r="D475" t="s">
        <v>3575</v>
      </c>
    </row>
    <row r="476" spans="1:4">
      <c r="A476" t="s">
        <v>3576</v>
      </c>
      <c r="B476" t="s">
        <v>3577</v>
      </c>
      <c r="C476" t="s">
        <v>3578</v>
      </c>
      <c r="D476" t="s">
        <v>3579</v>
      </c>
    </row>
    <row r="477" spans="1:4">
      <c r="A477" t="s">
        <v>432</v>
      </c>
      <c r="B477" t="s">
        <v>5770</v>
      </c>
      <c r="C477" t="s">
        <v>5771</v>
      </c>
      <c r="D477" t="s">
        <v>998</v>
      </c>
    </row>
    <row r="478" spans="1:4">
      <c r="A478" t="s">
        <v>5772</v>
      </c>
      <c r="B478" t="s">
        <v>223</v>
      </c>
      <c r="C478" t="s">
        <v>2934</v>
      </c>
      <c r="D478" t="s">
        <v>998</v>
      </c>
    </row>
    <row r="479" spans="1:4">
      <c r="A479" t="s">
        <v>5106</v>
      </c>
      <c r="B479" t="s">
        <v>5107</v>
      </c>
      <c r="C479" t="s">
        <v>5108</v>
      </c>
      <c r="D479" t="s">
        <v>998</v>
      </c>
    </row>
    <row r="480" spans="1:4">
      <c r="A480" t="s">
        <v>5109</v>
      </c>
      <c r="B480" t="s">
        <v>5110</v>
      </c>
      <c r="C480" t="s">
        <v>5111</v>
      </c>
      <c r="D480" t="s">
        <v>998</v>
      </c>
    </row>
    <row r="481" spans="1:4">
      <c r="A481" t="s">
        <v>5773</v>
      </c>
      <c r="B481" t="s">
        <v>5774</v>
      </c>
      <c r="C481" t="s">
        <v>5775</v>
      </c>
      <c r="D481" t="s">
        <v>998</v>
      </c>
    </row>
    <row r="482" spans="1:4">
      <c r="A482" t="s">
        <v>5776</v>
      </c>
      <c r="B482" t="s">
        <v>5777</v>
      </c>
      <c r="C482" t="s">
        <v>5778</v>
      </c>
      <c r="D482" t="s">
        <v>998</v>
      </c>
    </row>
    <row r="483" spans="1:4">
      <c r="A483" t="s">
        <v>5779</v>
      </c>
      <c r="B483" t="s">
        <v>5780</v>
      </c>
      <c r="C483" t="s">
        <v>5781</v>
      </c>
      <c r="D483" t="s">
        <v>998</v>
      </c>
    </row>
    <row r="484" spans="1:4">
      <c r="A484" t="s">
        <v>3580</v>
      </c>
      <c r="B484" t="s">
        <v>3581</v>
      </c>
      <c r="C484" t="s">
        <v>3582</v>
      </c>
      <c r="D484" t="s">
        <v>3583</v>
      </c>
    </row>
    <row r="485" spans="1:4">
      <c r="A485" t="s">
        <v>3584</v>
      </c>
      <c r="B485" t="s">
        <v>3585</v>
      </c>
      <c r="C485" t="s">
        <v>3586</v>
      </c>
      <c r="D485" t="s">
        <v>3587</v>
      </c>
    </row>
    <row r="486" spans="1:4">
      <c r="A486" t="s">
        <v>956</v>
      </c>
      <c r="B486" t="s">
        <v>957</v>
      </c>
      <c r="C486" t="s">
        <v>1054</v>
      </c>
      <c r="D486" t="s">
        <v>3644</v>
      </c>
    </row>
    <row r="487" spans="1:4">
      <c r="A487" t="s">
        <v>4034</v>
      </c>
      <c r="B487" t="s">
        <v>459</v>
      </c>
      <c r="C487" t="s">
        <v>460</v>
      </c>
      <c r="D487" t="s">
        <v>5782</v>
      </c>
    </row>
    <row r="488" spans="1:4">
      <c r="A488" t="s">
        <v>4529</v>
      </c>
      <c r="B488" t="s">
        <v>4530</v>
      </c>
      <c r="C488" t="s">
        <v>1843</v>
      </c>
      <c r="D488" t="s">
        <v>5783</v>
      </c>
    </row>
    <row r="489" spans="1:4">
      <c r="A489" t="s">
        <v>1844</v>
      </c>
      <c r="B489" t="s">
        <v>3629</v>
      </c>
      <c r="C489" t="s">
        <v>1843</v>
      </c>
      <c r="D489" t="s">
        <v>5784</v>
      </c>
    </row>
    <row r="490" spans="1:4">
      <c r="A490" t="s">
        <v>3630</v>
      </c>
      <c r="B490" t="s">
        <v>3631</v>
      </c>
      <c r="C490" t="s">
        <v>3632</v>
      </c>
      <c r="D490" t="s">
        <v>3633</v>
      </c>
    </row>
    <row r="491" spans="1:4">
      <c r="A491" t="s">
        <v>3634</v>
      </c>
      <c r="B491" t="s">
        <v>3635</v>
      </c>
      <c r="C491" t="s">
        <v>3636</v>
      </c>
      <c r="D491" t="s">
        <v>3637</v>
      </c>
    </row>
    <row r="492" spans="1:4">
      <c r="A492" t="s">
        <v>3638</v>
      </c>
      <c r="B492" t="s">
        <v>3635</v>
      </c>
      <c r="C492" t="s">
        <v>3636</v>
      </c>
      <c r="D492" t="s">
        <v>3637</v>
      </c>
    </row>
    <row r="493" spans="1:4">
      <c r="A493" t="s">
        <v>3639</v>
      </c>
      <c r="B493" t="s">
        <v>3640</v>
      </c>
      <c r="C493" t="s">
        <v>3641</v>
      </c>
      <c r="D493" t="s">
        <v>1745</v>
      </c>
    </row>
    <row r="494" spans="1:4">
      <c r="A494" t="s">
        <v>1746</v>
      </c>
      <c r="B494" t="s">
        <v>3451</v>
      </c>
      <c r="C494" t="s">
        <v>3452</v>
      </c>
      <c r="D494" t="s">
        <v>1659</v>
      </c>
    </row>
    <row r="495" spans="1:4">
      <c r="A495" t="s">
        <v>1660</v>
      </c>
      <c r="B495" t="s">
        <v>2479</v>
      </c>
      <c r="C495" t="s">
        <v>3307</v>
      </c>
      <c r="D495" t="s">
        <v>3308</v>
      </c>
    </row>
    <row r="496" spans="1:4">
      <c r="A496" t="s">
        <v>3309</v>
      </c>
      <c r="B496" t="s">
        <v>2143</v>
      </c>
      <c r="C496" t="s">
        <v>2144</v>
      </c>
      <c r="D496" t="s">
        <v>2145</v>
      </c>
    </row>
    <row r="497" spans="1:4">
      <c r="A497" t="s">
        <v>5876</v>
      </c>
      <c r="B497" t="s">
        <v>5877</v>
      </c>
      <c r="C497" t="s">
        <v>5878</v>
      </c>
      <c r="D497" t="s">
        <v>998</v>
      </c>
    </row>
    <row r="498" spans="1:4">
      <c r="A498" t="s">
        <v>5879</v>
      </c>
      <c r="B498" t="s">
        <v>5877</v>
      </c>
      <c r="C498" t="s">
        <v>5880</v>
      </c>
      <c r="D498" t="s">
        <v>998</v>
      </c>
    </row>
    <row r="499" spans="1:4">
      <c r="A499" t="s">
        <v>5881</v>
      </c>
      <c r="B499" t="s">
        <v>5882</v>
      </c>
      <c r="C499" t="s">
        <v>5878</v>
      </c>
      <c r="D499" t="s">
        <v>998</v>
      </c>
    </row>
    <row r="500" spans="1:4">
      <c r="A500" t="s">
        <v>5883</v>
      </c>
      <c r="B500" t="s">
        <v>5882</v>
      </c>
      <c r="C500" t="s">
        <v>5880</v>
      </c>
      <c r="D500" t="s">
        <v>998</v>
      </c>
    </row>
    <row r="501" spans="1:4">
      <c r="A501" t="s">
        <v>2146</v>
      </c>
      <c r="B501" t="s">
        <v>3393</v>
      </c>
      <c r="C501" t="s">
        <v>883</v>
      </c>
      <c r="D501" t="s">
        <v>4245</v>
      </c>
    </row>
    <row r="502" spans="1:4">
      <c r="A502" t="s">
        <v>4246</v>
      </c>
      <c r="B502" t="s">
        <v>4247</v>
      </c>
      <c r="C502" t="s">
        <v>4051</v>
      </c>
      <c r="D502" t="s">
        <v>4052</v>
      </c>
    </row>
    <row r="503" spans="1:4">
      <c r="A503" t="s">
        <v>4053</v>
      </c>
      <c r="B503" t="s">
        <v>4054</v>
      </c>
      <c r="C503" t="s">
        <v>4051</v>
      </c>
      <c r="D503" t="s">
        <v>4052</v>
      </c>
    </row>
    <row r="504" spans="1:4">
      <c r="A504" t="s">
        <v>4055</v>
      </c>
      <c r="B504" t="s">
        <v>3335</v>
      </c>
      <c r="C504" t="s">
        <v>3336</v>
      </c>
      <c r="D504" t="s">
        <v>3337</v>
      </c>
    </row>
    <row r="505" spans="1:4">
      <c r="A505" t="s">
        <v>3338</v>
      </c>
      <c r="B505" t="s">
        <v>3335</v>
      </c>
      <c r="C505" t="s">
        <v>3339</v>
      </c>
      <c r="D505" t="s">
        <v>3340</v>
      </c>
    </row>
    <row r="506" spans="1:4">
      <c r="A506" t="s">
        <v>2935</v>
      </c>
      <c r="B506" t="s">
        <v>3335</v>
      </c>
      <c r="C506" t="s">
        <v>3339</v>
      </c>
      <c r="D506" t="s">
        <v>3340</v>
      </c>
    </row>
    <row r="507" spans="1:4">
      <c r="A507" t="s">
        <v>2936</v>
      </c>
      <c r="B507" t="s">
        <v>2937</v>
      </c>
      <c r="C507" t="s">
        <v>910</v>
      </c>
      <c r="D507" t="s">
        <v>911</v>
      </c>
    </row>
    <row r="508" spans="1:4">
      <c r="A508" t="s">
        <v>912</v>
      </c>
      <c r="B508" t="s">
        <v>913</v>
      </c>
      <c r="C508" t="s">
        <v>914</v>
      </c>
      <c r="D508" t="s">
        <v>915</v>
      </c>
    </row>
    <row r="509" spans="1:4">
      <c r="A509" t="s">
        <v>916</v>
      </c>
      <c r="B509" t="s">
        <v>917</v>
      </c>
      <c r="C509" t="s">
        <v>1439</v>
      </c>
      <c r="D509" t="s">
        <v>1440</v>
      </c>
    </row>
    <row r="510" spans="1:4">
      <c r="A510" t="s">
        <v>2338</v>
      </c>
      <c r="B510" t="s">
        <v>2339</v>
      </c>
      <c r="C510" t="s">
        <v>2340</v>
      </c>
      <c r="D510" t="s">
        <v>2341</v>
      </c>
    </row>
    <row r="511" spans="1:4">
      <c r="A511" t="s">
        <v>2342</v>
      </c>
      <c r="B511" t="s">
        <v>2343</v>
      </c>
      <c r="C511" t="s">
        <v>2344</v>
      </c>
      <c r="D511" t="s">
        <v>2345</v>
      </c>
    </row>
    <row r="512" spans="1:4">
      <c r="A512" t="s">
        <v>2346</v>
      </c>
      <c r="B512" t="s">
        <v>2347</v>
      </c>
      <c r="C512" t="s">
        <v>2348</v>
      </c>
      <c r="D512" t="s">
        <v>2938</v>
      </c>
    </row>
    <row r="513" spans="1:4">
      <c r="A513" t="s">
        <v>2939</v>
      </c>
      <c r="B513" t="s">
        <v>2940</v>
      </c>
      <c r="C513" t="s">
        <v>2941</v>
      </c>
      <c r="D513" t="s">
        <v>5785</v>
      </c>
    </row>
    <row r="514" spans="1:4">
      <c r="A514" t="s">
        <v>3510</v>
      </c>
      <c r="B514" t="s">
        <v>3511</v>
      </c>
      <c r="C514" t="s">
        <v>756</v>
      </c>
      <c r="D514" t="s">
        <v>757</v>
      </c>
    </row>
    <row r="515" spans="1:4">
      <c r="A515" t="s">
        <v>758</v>
      </c>
      <c r="B515" t="s">
        <v>461</v>
      </c>
      <c r="C515" t="s">
        <v>462</v>
      </c>
      <c r="D515" t="s">
        <v>5786</v>
      </c>
    </row>
    <row r="516" spans="1:4">
      <c r="A516" t="s">
        <v>3069</v>
      </c>
      <c r="B516" t="s">
        <v>3627</v>
      </c>
      <c r="C516" t="s">
        <v>3628</v>
      </c>
      <c r="D516" t="s">
        <v>3254</v>
      </c>
    </row>
    <row r="517" spans="1:4">
      <c r="A517" t="s">
        <v>3255</v>
      </c>
      <c r="B517" t="s">
        <v>3449</v>
      </c>
      <c r="C517" t="s">
        <v>3999</v>
      </c>
      <c r="D517" t="s">
        <v>5787</v>
      </c>
    </row>
    <row r="518" spans="1:4">
      <c r="A518" t="s">
        <v>2707</v>
      </c>
      <c r="B518" t="s">
        <v>2708</v>
      </c>
      <c r="C518" t="s">
        <v>2709</v>
      </c>
      <c r="D518" t="s">
        <v>2710</v>
      </c>
    </row>
    <row r="519" spans="1:4">
      <c r="A519" t="s">
        <v>3219</v>
      </c>
      <c r="B519" t="s">
        <v>3220</v>
      </c>
      <c r="C519" t="s">
        <v>3221</v>
      </c>
      <c r="D519" t="s">
        <v>3222</v>
      </c>
    </row>
    <row r="520" spans="1:4">
      <c r="A520" t="s">
        <v>3223</v>
      </c>
      <c r="B520" t="s">
        <v>3224</v>
      </c>
      <c r="C520" t="s">
        <v>3225</v>
      </c>
      <c r="D520" t="s">
        <v>3226</v>
      </c>
    </row>
    <row r="521" spans="1:4">
      <c r="A521" t="s">
        <v>3227</v>
      </c>
      <c r="B521" t="s">
        <v>3228</v>
      </c>
      <c r="C521" t="s">
        <v>3229</v>
      </c>
      <c r="D521" t="s">
        <v>3229</v>
      </c>
    </row>
    <row r="522" spans="1:4">
      <c r="A522" t="s">
        <v>3230</v>
      </c>
      <c r="B522" t="s">
        <v>3228</v>
      </c>
      <c r="C522" t="s">
        <v>3229</v>
      </c>
      <c r="D522" t="s">
        <v>3229</v>
      </c>
    </row>
    <row r="523" spans="1:4">
      <c r="A523" t="s">
        <v>4294</v>
      </c>
      <c r="B523" t="s">
        <v>3228</v>
      </c>
      <c r="C523" t="s">
        <v>3229</v>
      </c>
      <c r="D523" t="s">
        <v>3229</v>
      </c>
    </row>
    <row r="524" spans="1:4">
      <c r="A524" t="s">
        <v>4295</v>
      </c>
      <c r="B524" t="s">
        <v>4296</v>
      </c>
      <c r="C524" t="s">
        <v>4297</v>
      </c>
      <c r="D524" t="s">
        <v>4298</v>
      </c>
    </row>
    <row r="525" spans="1:4">
      <c r="A525" t="s">
        <v>4299</v>
      </c>
      <c r="B525" t="s">
        <v>4300</v>
      </c>
      <c r="C525" t="s">
        <v>2538</v>
      </c>
      <c r="D525" t="s">
        <v>2539</v>
      </c>
    </row>
    <row r="526" spans="1:4">
      <c r="A526" t="s">
        <v>2540</v>
      </c>
      <c r="B526" t="s">
        <v>2541</v>
      </c>
      <c r="C526" t="s">
        <v>2542</v>
      </c>
      <c r="D526" t="s">
        <v>2543</v>
      </c>
    </row>
    <row r="527" spans="1:4">
      <c r="A527" t="s">
        <v>3749</v>
      </c>
      <c r="B527" t="s">
        <v>3750</v>
      </c>
      <c r="C527" t="s">
        <v>3751</v>
      </c>
      <c r="D527" t="s">
        <v>899</v>
      </c>
    </row>
    <row r="528" spans="1:4">
      <c r="A528" t="s">
        <v>900</v>
      </c>
      <c r="B528" t="s">
        <v>901</v>
      </c>
      <c r="C528" t="s">
        <v>3751</v>
      </c>
      <c r="D528" t="s">
        <v>899</v>
      </c>
    </row>
    <row r="529" spans="1:4">
      <c r="A529" t="s">
        <v>902</v>
      </c>
      <c r="B529" t="s">
        <v>1379</v>
      </c>
      <c r="C529" t="s">
        <v>1825</v>
      </c>
      <c r="D529" t="s">
        <v>1826</v>
      </c>
    </row>
    <row r="530" spans="1:4">
      <c r="A530" t="s">
        <v>1827</v>
      </c>
      <c r="B530" t="s">
        <v>1828</v>
      </c>
      <c r="C530" t="s">
        <v>1829</v>
      </c>
      <c r="D530" t="s">
        <v>1830</v>
      </c>
    </row>
    <row r="531" spans="1:4">
      <c r="A531" t="s">
        <v>1831</v>
      </c>
      <c r="B531" t="s">
        <v>2872</v>
      </c>
      <c r="C531" t="s">
        <v>2873</v>
      </c>
      <c r="D531" t="s">
        <v>2874</v>
      </c>
    </row>
    <row r="532" spans="1:4">
      <c r="A532" t="s">
        <v>2875</v>
      </c>
      <c r="B532" t="s">
        <v>2708</v>
      </c>
      <c r="C532" t="s">
        <v>2709</v>
      </c>
      <c r="D532" t="s">
        <v>2710</v>
      </c>
    </row>
    <row r="533" spans="1:4">
      <c r="A533" t="s">
        <v>2876</v>
      </c>
      <c r="B533" t="s">
        <v>3220</v>
      </c>
      <c r="C533" t="s">
        <v>3221</v>
      </c>
      <c r="D533" t="s">
        <v>3222</v>
      </c>
    </row>
    <row r="534" spans="1:4">
      <c r="A534" t="s">
        <v>2877</v>
      </c>
      <c r="B534" t="s">
        <v>3228</v>
      </c>
      <c r="C534" t="s">
        <v>3229</v>
      </c>
      <c r="D534" t="s">
        <v>3229</v>
      </c>
    </row>
    <row r="535" spans="1:4">
      <c r="A535" t="s">
        <v>2878</v>
      </c>
      <c r="B535" t="s">
        <v>3228</v>
      </c>
      <c r="C535" t="s">
        <v>3229</v>
      </c>
      <c r="D535" t="s">
        <v>3229</v>
      </c>
    </row>
    <row r="536" spans="1:4">
      <c r="A536" t="s">
        <v>2879</v>
      </c>
      <c r="B536" t="s">
        <v>2880</v>
      </c>
      <c r="C536" t="s">
        <v>2881</v>
      </c>
      <c r="D536" t="s">
        <v>1745</v>
      </c>
    </row>
    <row r="537" spans="1:4">
      <c r="A537" t="s">
        <v>2882</v>
      </c>
      <c r="B537" t="s">
        <v>3451</v>
      </c>
      <c r="C537" t="s">
        <v>13</v>
      </c>
      <c r="D537" t="s">
        <v>1659</v>
      </c>
    </row>
    <row r="538" spans="1:4">
      <c r="A538" t="s">
        <v>14</v>
      </c>
      <c r="B538" t="s">
        <v>2479</v>
      </c>
      <c r="C538" t="s">
        <v>15</v>
      </c>
      <c r="D538" t="s">
        <v>3308</v>
      </c>
    </row>
    <row r="539" spans="1:4">
      <c r="A539" t="s">
        <v>2427</v>
      </c>
      <c r="B539" t="s">
        <v>2708</v>
      </c>
      <c r="C539" t="s">
        <v>2709</v>
      </c>
      <c r="D539" t="s">
        <v>2710</v>
      </c>
    </row>
    <row r="540" spans="1:4">
      <c r="A540" t="s">
        <v>2428</v>
      </c>
      <c r="B540" t="s">
        <v>3220</v>
      </c>
      <c r="C540" t="s">
        <v>3221</v>
      </c>
      <c r="D540" t="s">
        <v>3222</v>
      </c>
    </row>
    <row r="541" spans="1:4">
      <c r="A541" t="s">
        <v>2429</v>
      </c>
      <c r="B541" t="s">
        <v>3228</v>
      </c>
      <c r="C541" t="s">
        <v>3229</v>
      </c>
      <c r="D541" t="s">
        <v>3229</v>
      </c>
    </row>
    <row r="542" spans="1:4">
      <c r="A542" t="s">
        <v>2430</v>
      </c>
      <c r="B542" t="s">
        <v>3228</v>
      </c>
      <c r="C542" t="s">
        <v>3229</v>
      </c>
      <c r="D542" t="s">
        <v>3229</v>
      </c>
    </row>
    <row r="543" spans="1:4">
      <c r="A543" t="s">
        <v>2431</v>
      </c>
      <c r="B543" t="s">
        <v>3581</v>
      </c>
      <c r="C543" t="s">
        <v>3582</v>
      </c>
      <c r="D543" t="s">
        <v>2432</v>
      </c>
    </row>
    <row r="544" spans="1:4">
      <c r="A544" t="s">
        <v>2433</v>
      </c>
      <c r="B544" t="s">
        <v>3585</v>
      </c>
      <c r="C544" t="s">
        <v>2434</v>
      </c>
      <c r="D544" t="s">
        <v>3446</v>
      </c>
    </row>
    <row r="545" spans="1:4">
      <c r="A545" t="s">
        <v>3447</v>
      </c>
      <c r="B545" t="s">
        <v>3448</v>
      </c>
      <c r="C545" t="s">
        <v>1328</v>
      </c>
      <c r="D545" t="s">
        <v>3867</v>
      </c>
    </row>
    <row r="546" spans="1:4">
      <c r="A546" t="s">
        <v>3868</v>
      </c>
      <c r="B546" t="s">
        <v>4250</v>
      </c>
      <c r="C546" t="s">
        <v>4251</v>
      </c>
      <c r="D546" t="s">
        <v>3321</v>
      </c>
    </row>
    <row r="547" spans="1:4">
      <c r="A547" t="s">
        <v>3322</v>
      </c>
      <c r="B547" t="s">
        <v>2937</v>
      </c>
      <c r="C547" t="s">
        <v>910</v>
      </c>
      <c r="D547" t="s">
        <v>911</v>
      </c>
    </row>
    <row r="548" spans="1:4">
      <c r="A548" t="s">
        <v>3323</v>
      </c>
      <c r="B548" t="s">
        <v>3324</v>
      </c>
      <c r="C548" t="s">
        <v>3325</v>
      </c>
      <c r="D548" t="s">
        <v>317</v>
      </c>
    </row>
    <row r="549" spans="1:4">
      <c r="A549" t="s">
        <v>318</v>
      </c>
      <c r="B549" t="s">
        <v>2708</v>
      </c>
      <c r="C549" t="s">
        <v>2709</v>
      </c>
      <c r="D549" t="s">
        <v>2710</v>
      </c>
    </row>
    <row r="550" spans="1:4">
      <c r="A550" t="s">
        <v>319</v>
      </c>
      <c r="B550" t="s">
        <v>3220</v>
      </c>
      <c r="C550" t="s">
        <v>3221</v>
      </c>
      <c r="D550" t="s">
        <v>3222</v>
      </c>
    </row>
    <row r="551" spans="1:4">
      <c r="A551" t="s">
        <v>320</v>
      </c>
      <c r="B551" t="s">
        <v>3228</v>
      </c>
      <c r="C551" t="s">
        <v>3229</v>
      </c>
      <c r="D551" t="s">
        <v>3229</v>
      </c>
    </row>
    <row r="552" spans="1:4">
      <c r="A552" t="s">
        <v>321</v>
      </c>
      <c r="B552" t="s">
        <v>3228</v>
      </c>
      <c r="C552" t="s">
        <v>3229</v>
      </c>
      <c r="D552" t="s">
        <v>3229</v>
      </c>
    </row>
    <row r="553" spans="1:4">
      <c r="A553" t="s">
        <v>5112</v>
      </c>
      <c r="B553" t="s">
        <v>5113</v>
      </c>
      <c r="C553" t="s">
        <v>5114</v>
      </c>
      <c r="D553" t="s">
        <v>5788</v>
      </c>
    </row>
    <row r="554" spans="1:4">
      <c r="A554" t="s">
        <v>322</v>
      </c>
      <c r="B554" t="s">
        <v>323</v>
      </c>
      <c r="C554" t="s">
        <v>3404</v>
      </c>
      <c r="D554" t="s">
        <v>3405</v>
      </c>
    </row>
    <row r="555" spans="1:4">
      <c r="A555" t="s">
        <v>3406</v>
      </c>
      <c r="B555" t="s">
        <v>3407</v>
      </c>
      <c r="C555" t="s">
        <v>3408</v>
      </c>
      <c r="D555" t="s">
        <v>3409</v>
      </c>
    </row>
    <row r="556" spans="1:4">
      <c r="A556" t="s">
        <v>3410</v>
      </c>
      <c r="B556" t="s">
        <v>3411</v>
      </c>
      <c r="C556" t="s">
        <v>1164</v>
      </c>
      <c r="D556" t="s">
        <v>1165</v>
      </c>
    </row>
    <row r="557" spans="1:4">
      <c r="A557" t="s">
        <v>1166</v>
      </c>
      <c r="B557" t="s">
        <v>251</v>
      </c>
      <c r="C557" t="s">
        <v>2461</v>
      </c>
      <c r="D557" t="s">
        <v>4248</v>
      </c>
    </row>
    <row r="558" spans="1:4">
      <c r="A558" t="s">
        <v>4249</v>
      </c>
      <c r="B558" t="s">
        <v>4041</v>
      </c>
      <c r="C558" t="s">
        <v>1507</v>
      </c>
      <c r="D558" t="s">
        <v>1508</v>
      </c>
    </row>
    <row r="559" spans="1:4">
      <c r="A559" t="s">
        <v>1864</v>
      </c>
      <c r="B559" t="s">
        <v>1865</v>
      </c>
      <c r="C559" t="s">
        <v>1866</v>
      </c>
      <c r="D559" t="s">
        <v>821</v>
      </c>
    </row>
    <row r="560" spans="1:4">
      <c r="A560" t="s">
        <v>822</v>
      </c>
      <c r="B560" t="s">
        <v>823</v>
      </c>
      <c r="C560" t="s">
        <v>824</v>
      </c>
      <c r="D560" t="s">
        <v>825</v>
      </c>
    </row>
    <row r="561" spans="1:4">
      <c r="A561" t="s">
        <v>826</v>
      </c>
      <c r="B561" t="s">
        <v>823</v>
      </c>
      <c r="C561" t="s">
        <v>824</v>
      </c>
      <c r="D561" t="s">
        <v>825</v>
      </c>
    </row>
    <row r="562" spans="1:4">
      <c r="A562" t="s">
        <v>171</v>
      </c>
      <c r="B562" t="s">
        <v>823</v>
      </c>
      <c r="C562" t="s">
        <v>824</v>
      </c>
      <c r="D562" t="s">
        <v>825</v>
      </c>
    </row>
    <row r="563" spans="1:4">
      <c r="A563" t="s">
        <v>172</v>
      </c>
      <c r="B563" t="s">
        <v>823</v>
      </c>
      <c r="C563" t="s">
        <v>824</v>
      </c>
      <c r="D563" t="s">
        <v>825</v>
      </c>
    </row>
    <row r="564" spans="1:4">
      <c r="A564" t="s">
        <v>173</v>
      </c>
      <c r="B564" t="s">
        <v>823</v>
      </c>
      <c r="C564" t="s">
        <v>824</v>
      </c>
      <c r="D564" t="s">
        <v>825</v>
      </c>
    </row>
    <row r="565" spans="1:4">
      <c r="A565" t="s">
        <v>174</v>
      </c>
      <c r="B565" t="s">
        <v>175</v>
      </c>
      <c r="C565" t="s">
        <v>176</v>
      </c>
      <c r="D565" t="s">
        <v>3855</v>
      </c>
    </row>
    <row r="566" spans="1:4">
      <c r="A566" t="s">
        <v>3856</v>
      </c>
      <c r="B566" t="s">
        <v>3857</v>
      </c>
      <c r="C566" t="s">
        <v>3858</v>
      </c>
      <c r="D566" t="s">
        <v>3366</v>
      </c>
    </row>
    <row r="567" spans="1:4">
      <c r="A567" t="s">
        <v>3367</v>
      </c>
      <c r="B567" t="s">
        <v>3368</v>
      </c>
      <c r="C567" t="s">
        <v>3369</v>
      </c>
      <c r="D567" t="s">
        <v>4037</v>
      </c>
    </row>
    <row r="568" spans="1:4">
      <c r="A568" t="s">
        <v>4038</v>
      </c>
      <c r="B568" t="s">
        <v>689</v>
      </c>
      <c r="C568" t="s">
        <v>5789</v>
      </c>
      <c r="D568" t="s">
        <v>597</v>
      </c>
    </row>
    <row r="569" spans="1:4">
      <c r="A569" t="s">
        <v>598</v>
      </c>
      <c r="B569" t="s">
        <v>599</v>
      </c>
      <c r="C569" t="s">
        <v>600</v>
      </c>
      <c r="D569" t="s">
        <v>1509</v>
      </c>
    </row>
    <row r="570" spans="1:4">
      <c r="A570" t="s">
        <v>1510</v>
      </c>
      <c r="B570" t="s">
        <v>599</v>
      </c>
      <c r="C570" t="s">
        <v>600</v>
      </c>
      <c r="D570" t="s">
        <v>1509</v>
      </c>
    </row>
    <row r="571" spans="1:4">
      <c r="A571" t="s">
        <v>1511</v>
      </c>
      <c r="B571" t="s">
        <v>599</v>
      </c>
      <c r="C571" t="s">
        <v>600</v>
      </c>
      <c r="D571" t="s">
        <v>1509</v>
      </c>
    </row>
    <row r="572" spans="1:4">
      <c r="A572" t="s">
        <v>1512</v>
      </c>
      <c r="B572" t="s">
        <v>599</v>
      </c>
      <c r="C572" t="s">
        <v>600</v>
      </c>
      <c r="D572" t="s">
        <v>1509</v>
      </c>
    </row>
    <row r="573" spans="1:4">
      <c r="A573" t="s">
        <v>1513</v>
      </c>
      <c r="B573" t="s">
        <v>599</v>
      </c>
      <c r="C573" t="s">
        <v>600</v>
      </c>
      <c r="D573" t="s">
        <v>1509</v>
      </c>
    </row>
    <row r="574" spans="1:4">
      <c r="A574" t="s">
        <v>690</v>
      </c>
      <c r="B574" t="s">
        <v>5790</v>
      </c>
      <c r="C574" t="s">
        <v>4590</v>
      </c>
      <c r="D574" t="s">
        <v>998</v>
      </c>
    </row>
    <row r="575" spans="1:4">
      <c r="A575" t="s">
        <v>3564</v>
      </c>
      <c r="B575" t="s">
        <v>5791</v>
      </c>
      <c r="C575" t="s">
        <v>691</v>
      </c>
      <c r="D575" t="s">
        <v>597</v>
      </c>
    </row>
    <row r="576" spans="1:4">
      <c r="A576" t="s">
        <v>3565</v>
      </c>
      <c r="B576" t="s">
        <v>3566</v>
      </c>
      <c r="C576" t="s">
        <v>3567</v>
      </c>
      <c r="D576" t="s">
        <v>3568</v>
      </c>
    </row>
    <row r="577" spans="1:4">
      <c r="A577" t="s">
        <v>5115</v>
      </c>
      <c r="B577" t="s">
        <v>5792</v>
      </c>
      <c r="C577" t="s">
        <v>5793</v>
      </c>
      <c r="D577" t="s">
        <v>998</v>
      </c>
    </row>
    <row r="578" spans="1:4">
      <c r="A578" t="s">
        <v>3569</v>
      </c>
      <c r="B578" t="s">
        <v>3570</v>
      </c>
      <c r="C578" t="s">
        <v>3571</v>
      </c>
      <c r="D578" t="s">
        <v>3572</v>
      </c>
    </row>
    <row r="579" spans="1:4">
      <c r="A579" t="s">
        <v>692</v>
      </c>
      <c r="B579" t="s">
        <v>3570</v>
      </c>
      <c r="C579" t="s">
        <v>3571</v>
      </c>
      <c r="D579" t="s">
        <v>998</v>
      </c>
    </row>
    <row r="580" spans="1:4">
      <c r="A580" t="s">
        <v>693</v>
      </c>
      <c r="B580" t="s">
        <v>4283</v>
      </c>
      <c r="C580" t="s">
        <v>3002</v>
      </c>
      <c r="D580" t="s">
        <v>998</v>
      </c>
    </row>
    <row r="581" spans="1:4">
      <c r="A581" t="s">
        <v>3573</v>
      </c>
      <c r="B581" t="s">
        <v>3574</v>
      </c>
      <c r="C581" t="s">
        <v>3341</v>
      </c>
      <c r="D581" t="s">
        <v>3342</v>
      </c>
    </row>
    <row r="582" spans="1:4">
      <c r="A582" t="s">
        <v>3343</v>
      </c>
      <c r="B582" t="s">
        <v>2897</v>
      </c>
      <c r="C582" t="s">
        <v>3718</v>
      </c>
      <c r="D582" t="s">
        <v>5794</v>
      </c>
    </row>
    <row r="583" spans="1:4">
      <c r="A583" t="s">
        <v>3719</v>
      </c>
      <c r="B583" t="s">
        <v>4148</v>
      </c>
      <c r="C583" t="s">
        <v>4149</v>
      </c>
      <c r="D583" t="s">
        <v>5795</v>
      </c>
    </row>
    <row r="584" spans="1:4">
      <c r="A584" t="s">
        <v>4282</v>
      </c>
      <c r="B584" t="s">
        <v>4283</v>
      </c>
      <c r="C584" t="s">
        <v>3002</v>
      </c>
      <c r="D584" t="s">
        <v>3003</v>
      </c>
    </row>
    <row r="585" spans="1:4">
      <c r="A585" t="s">
        <v>3004</v>
      </c>
      <c r="B585" t="s">
        <v>4508</v>
      </c>
      <c r="C585" t="s">
        <v>2374</v>
      </c>
      <c r="D585" t="s">
        <v>2375</v>
      </c>
    </row>
    <row r="586" spans="1:4">
      <c r="A586" t="s">
        <v>2376</v>
      </c>
      <c r="B586" t="s">
        <v>2377</v>
      </c>
      <c r="C586" t="s">
        <v>2378</v>
      </c>
      <c r="D586" t="s">
        <v>1956</v>
      </c>
    </row>
    <row r="587" spans="1:4">
      <c r="A587" t="s">
        <v>5796</v>
      </c>
      <c r="B587" t="s">
        <v>5797</v>
      </c>
      <c r="C587" t="s">
        <v>5798</v>
      </c>
      <c r="D587" t="s">
        <v>998</v>
      </c>
    </row>
    <row r="588" spans="1:4">
      <c r="A588" t="s">
        <v>2305</v>
      </c>
      <c r="B588" t="s">
        <v>2306</v>
      </c>
      <c r="C588" t="s">
        <v>2307</v>
      </c>
      <c r="D588" t="s">
        <v>2308</v>
      </c>
    </row>
    <row r="589" spans="1:4">
      <c r="A589" t="s">
        <v>2309</v>
      </c>
      <c r="B589" t="s">
        <v>2310</v>
      </c>
      <c r="C589" t="s">
        <v>2311</v>
      </c>
      <c r="D589" t="s">
        <v>2312</v>
      </c>
    </row>
    <row r="590" spans="1:4">
      <c r="A590" t="s">
        <v>2313</v>
      </c>
      <c r="B590" t="s">
        <v>2310</v>
      </c>
      <c r="C590" t="s">
        <v>2311</v>
      </c>
      <c r="D590" t="s">
        <v>2312</v>
      </c>
    </row>
    <row r="591" spans="1:4">
      <c r="A591" t="s">
        <v>5799</v>
      </c>
      <c r="B591" t="s">
        <v>5800</v>
      </c>
      <c r="C591" t="s">
        <v>5801</v>
      </c>
      <c r="D591" t="s">
        <v>998</v>
      </c>
    </row>
    <row r="592" spans="1:4">
      <c r="A592" t="s">
        <v>5802</v>
      </c>
      <c r="B592" t="s">
        <v>5803</v>
      </c>
      <c r="C592" t="s">
        <v>5804</v>
      </c>
      <c r="D592" t="s">
        <v>998</v>
      </c>
    </row>
    <row r="593" spans="1:4">
      <c r="A593" t="s">
        <v>2314</v>
      </c>
      <c r="B593" t="s">
        <v>2315</v>
      </c>
      <c r="C593" t="s">
        <v>4458</v>
      </c>
      <c r="D593" t="s">
        <v>866</v>
      </c>
    </row>
    <row r="594" spans="1:4">
      <c r="A594" t="s">
        <v>4478</v>
      </c>
      <c r="B594" t="s">
        <v>1457</v>
      </c>
      <c r="C594" t="s">
        <v>1458</v>
      </c>
      <c r="D594" t="s">
        <v>1459</v>
      </c>
    </row>
    <row r="595" spans="1:4">
      <c r="A595" t="s">
        <v>694</v>
      </c>
      <c r="B595" t="s">
        <v>3073</v>
      </c>
      <c r="C595" t="s">
        <v>3074</v>
      </c>
      <c r="D595" t="s">
        <v>998</v>
      </c>
    </row>
    <row r="596" spans="1:4">
      <c r="A596" t="s">
        <v>1460</v>
      </c>
      <c r="B596" t="s">
        <v>1461</v>
      </c>
      <c r="C596" t="s">
        <v>1462</v>
      </c>
      <c r="D596" t="s">
        <v>1463</v>
      </c>
    </row>
    <row r="597" spans="1:4">
      <c r="A597" t="s">
        <v>1464</v>
      </c>
      <c r="B597" t="s">
        <v>1465</v>
      </c>
      <c r="C597" t="s">
        <v>4335</v>
      </c>
      <c r="D597" t="s">
        <v>470</v>
      </c>
    </row>
    <row r="598" spans="1:4">
      <c r="A598" t="s">
        <v>471</v>
      </c>
      <c r="B598" t="s">
        <v>472</v>
      </c>
      <c r="C598" t="s">
        <v>473</v>
      </c>
      <c r="D598" t="s">
        <v>2213</v>
      </c>
    </row>
    <row r="599" spans="1:4">
      <c r="A599" t="s">
        <v>2214</v>
      </c>
      <c r="B599" t="s">
        <v>2215</v>
      </c>
      <c r="C599" t="s">
        <v>2216</v>
      </c>
      <c r="D599" t="s">
        <v>2217</v>
      </c>
    </row>
    <row r="600" spans="1:4">
      <c r="A600" t="s">
        <v>2218</v>
      </c>
      <c r="B600" t="s">
        <v>2215</v>
      </c>
      <c r="C600" t="s">
        <v>2216</v>
      </c>
      <c r="D600" t="s">
        <v>2217</v>
      </c>
    </row>
    <row r="601" spans="1:4">
      <c r="A601" t="s">
        <v>2219</v>
      </c>
      <c r="B601" t="s">
        <v>2220</v>
      </c>
      <c r="C601" t="s">
        <v>2221</v>
      </c>
      <c r="D601" t="s">
        <v>2222</v>
      </c>
    </row>
    <row r="602" spans="1:4">
      <c r="A602" t="s">
        <v>2223</v>
      </c>
      <c r="B602" t="s">
        <v>2224</v>
      </c>
      <c r="C602" t="s">
        <v>2225</v>
      </c>
      <c r="D602" t="s">
        <v>2226</v>
      </c>
    </row>
    <row r="603" spans="1:4">
      <c r="A603" t="s">
        <v>2227</v>
      </c>
      <c r="B603" t="s">
        <v>5805</v>
      </c>
      <c r="C603" t="s">
        <v>3380</v>
      </c>
      <c r="D603" t="s">
        <v>3381</v>
      </c>
    </row>
    <row r="604" spans="1:4">
      <c r="A604" t="s">
        <v>3382</v>
      </c>
      <c r="B604" t="s">
        <v>5806</v>
      </c>
      <c r="C604" t="s">
        <v>3380</v>
      </c>
      <c r="D604" t="s">
        <v>3381</v>
      </c>
    </row>
    <row r="605" spans="1:4">
      <c r="A605" t="s">
        <v>695</v>
      </c>
      <c r="B605" t="s">
        <v>5807</v>
      </c>
      <c r="C605" t="s">
        <v>5808</v>
      </c>
      <c r="D605" t="s">
        <v>998</v>
      </c>
    </row>
    <row r="606" spans="1:4">
      <c r="A606" t="s">
        <v>3383</v>
      </c>
      <c r="B606" t="s">
        <v>3384</v>
      </c>
      <c r="C606" t="s">
        <v>3385</v>
      </c>
      <c r="D606" t="s">
        <v>3614</v>
      </c>
    </row>
    <row r="607" spans="1:4">
      <c r="A607" t="s">
        <v>3615</v>
      </c>
      <c r="B607" t="s">
        <v>3335</v>
      </c>
      <c r="C607" t="s">
        <v>3616</v>
      </c>
      <c r="D607" t="s">
        <v>3617</v>
      </c>
    </row>
    <row r="608" spans="1:4">
      <c r="A608" t="s">
        <v>3618</v>
      </c>
      <c r="B608" t="s">
        <v>3619</v>
      </c>
      <c r="C608" t="s">
        <v>3620</v>
      </c>
      <c r="D608" t="s">
        <v>5809</v>
      </c>
    </row>
    <row r="609" spans="1:4">
      <c r="A609" t="s">
        <v>3621</v>
      </c>
      <c r="B609" t="s">
        <v>3324</v>
      </c>
      <c r="C609" t="s">
        <v>3325</v>
      </c>
      <c r="D609" t="s">
        <v>317</v>
      </c>
    </row>
    <row r="610" spans="1:4">
      <c r="A610" t="s">
        <v>3622</v>
      </c>
      <c r="B610" t="s">
        <v>3623</v>
      </c>
      <c r="C610" t="s">
        <v>3624</v>
      </c>
      <c r="D610" t="s">
        <v>3625</v>
      </c>
    </row>
    <row r="611" spans="1:4">
      <c r="A611" t="s">
        <v>1800</v>
      </c>
      <c r="B611" t="s">
        <v>3623</v>
      </c>
      <c r="C611" t="s">
        <v>3624</v>
      </c>
      <c r="D611" t="s">
        <v>3625</v>
      </c>
    </row>
    <row r="612" spans="1:4">
      <c r="A612" t="s">
        <v>1801</v>
      </c>
      <c r="B612" t="s">
        <v>3623</v>
      </c>
      <c r="C612" t="s">
        <v>3624</v>
      </c>
      <c r="D612" t="s">
        <v>3625</v>
      </c>
    </row>
    <row r="613" spans="1:4">
      <c r="A613" t="s">
        <v>1802</v>
      </c>
      <c r="B613" t="s">
        <v>1803</v>
      </c>
      <c r="C613" t="s">
        <v>1804</v>
      </c>
      <c r="D613" t="s">
        <v>1805</v>
      </c>
    </row>
    <row r="614" spans="1:4">
      <c r="A614" t="s">
        <v>1806</v>
      </c>
      <c r="B614" t="s">
        <v>1807</v>
      </c>
      <c r="C614" t="s">
        <v>1808</v>
      </c>
      <c r="D614" t="s">
        <v>1809</v>
      </c>
    </row>
    <row r="615" spans="1:4">
      <c r="A615" t="s">
        <v>1810</v>
      </c>
      <c r="B615" t="s">
        <v>1807</v>
      </c>
      <c r="C615" t="s">
        <v>1808</v>
      </c>
      <c r="D615" t="s">
        <v>1809</v>
      </c>
    </row>
    <row r="616" spans="1:4">
      <c r="A616" t="s">
        <v>1811</v>
      </c>
      <c r="B616" t="s">
        <v>2937</v>
      </c>
      <c r="C616" t="s">
        <v>910</v>
      </c>
      <c r="D616" t="s">
        <v>1812</v>
      </c>
    </row>
    <row r="617" spans="1:4">
      <c r="A617" t="s">
        <v>1813</v>
      </c>
      <c r="B617" t="s">
        <v>2359</v>
      </c>
      <c r="C617" t="s">
        <v>3325</v>
      </c>
      <c r="D617" t="s">
        <v>2360</v>
      </c>
    </row>
    <row r="618" spans="1:4">
      <c r="A618" t="s">
        <v>2361</v>
      </c>
      <c r="B618" t="s">
        <v>2594</v>
      </c>
      <c r="C618" t="s">
        <v>2595</v>
      </c>
      <c r="D618" t="s">
        <v>2596</v>
      </c>
    </row>
    <row r="619" spans="1:4">
      <c r="A619" t="s">
        <v>1714</v>
      </c>
      <c r="B619" t="s">
        <v>2594</v>
      </c>
      <c r="C619" t="s">
        <v>2595</v>
      </c>
      <c r="D619" t="s">
        <v>2596</v>
      </c>
    </row>
    <row r="620" spans="1:4">
      <c r="A620" t="s">
        <v>1715</v>
      </c>
      <c r="B620" t="s">
        <v>2594</v>
      </c>
      <c r="C620" t="s">
        <v>2595</v>
      </c>
      <c r="D620" t="s">
        <v>2596</v>
      </c>
    </row>
    <row r="621" spans="1:4">
      <c r="A621" t="s">
        <v>5810</v>
      </c>
      <c r="B621" t="s">
        <v>5811</v>
      </c>
      <c r="C621" t="s">
        <v>5812</v>
      </c>
      <c r="D621" t="s">
        <v>5813</v>
      </c>
    </row>
    <row r="622" spans="1:4">
      <c r="A622" t="s">
        <v>4520</v>
      </c>
      <c r="B622" t="s">
        <v>5814</v>
      </c>
      <c r="C622" t="s">
        <v>5815</v>
      </c>
      <c r="D622" t="s">
        <v>5816</v>
      </c>
    </row>
    <row r="623" spans="1:4">
      <c r="A623" t="s">
        <v>4519</v>
      </c>
      <c r="B623" t="s">
        <v>5817</v>
      </c>
      <c r="C623" t="s">
        <v>5818</v>
      </c>
      <c r="D623" t="s">
        <v>5819</v>
      </c>
    </row>
    <row r="624" spans="1:4">
      <c r="A624" t="s">
        <v>4408</v>
      </c>
      <c r="B624" t="s">
        <v>5820</v>
      </c>
      <c r="C624" t="s">
        <v>5821</v>
      </c>
      <c r="D624" t="s">
        <v>5822</v>
      </c>
    </row>
    <row r="625" spans="1:4">
      <c r="A625" t="s">
        <v>5823</v>
      </c>
      <c r="B625" t="s">
        <v>5824</v>
      </c>
      <c r="C625" t="s">
        <v>5825</v>
      </c>
      <c r="D625" t="s">
        <v>998</v>
      </c>
    </row>
    <row r="626" spans="1:4">
      <c r="A626" t="s">
        <v>1716</v>
      </c>
      <c r="B626" t="s">
        <v>1717</v>
      </c>
      <c r="C626" t="s">
        <v>1718</v>
      </c>
      <c r="D626" t="s">
        <v>1719</v>
      </c>
    </row>
    <row r="627" spans="1:4">
      <c r="A627" t="s">
        <v>696</v>
      </c>
      <c r="B627" t="s">
        <v>5826</v>
      </c>
      <c r="C627" t="s">
        <v>5827</v>
      </c>
      <c r="D627" t="s">
        <v>5828</v>
      </c>
    </row>
    <row r="628" spans="1:4">
      <c r="A628" t="s">
        <v>1720</v>
      </c>
      <c r="B628" t="s">
        <v>3228</v>
      </c>
      <c r="C628" t="s">
        <v>3229</v>
      </c>
      <c r="D628" t="s">
        <v>3229</v>
      </c>
    </row>
    <row r="629" spans="1:4">
      <c r="A629" t="s">
        <v>1721</v>
      </c>
      <c r="B629" t="s">
        <v>3428</v>
      </c>
      <c r="C629" t="s">
        <v>60</v>
      </c>
      <c r="D629" t="s">
        <v>4050</v>
      </c>
    </row>
    <row r="630" spans="1:4">
      <c r="A630" t="s">
        <v>2462</v>
      </c>
      <c r="B630" t="s">
        <v>3411</v>
      </c>
      <c r="C630" t="s">
        <v>1164</v>
      </c>
      <c r="D630" t="s">
        <v>1165</v>
      </c>
    </row>
    <row r="631" spans="1:4">
      <c r="A631" t="s">
        <v>2463</v>
      </c>
      <c r="B631" t="s">
        <v>251</v>
      </c>
      <c r="C631" t="s">
        <v>2464</v>
      </c>
      <c r="D631" t="s">
        <v>2465</v>
      </c>
    </row>
    <row r="632" spans="1:4">
      <c r="A632" t="s">
        <v>2466</v>
      </c>
      <c r="B632" t="s">
        <v>1865</v>
      </c>
      <c r="C632" t="s">
        <v>1866</v>
      </c>
      <c r="D632" t="s">
        <v>821</v>
      </c>
    </row>
    <row r="633" spans="1:4">
      <c r="A633" t="s">
        <v>2467</v>
      </c>
      <c r="B633" t="s">
        <v>555</v>
      </c>
      <c r="C633" t="s">
        <v>556</v>
      </c>
      <c r="D633" t="s">
        <v>557</v>
      </c>
    </row>
    <row r="634" spans="1:4">
      <c r="A634" t="s">
        <v>558</v>
      </c>
      <c r="B634" t="s">
        <v>2561</v>
      </c>
      <c r="C634" t="s">
        <v>2562</v>
      </c>
      <c r="D634" t="s">
        <v>1311</v>
      </c>
    </row>
    <row r="635" spans="1:4">
      <c r="A635" t="s">
        <v>1312</v>
      </c>
      <c r="B635" t="s">
        <v>1313</v>
      </c>
      <c r="C635" t="s">
        <v>1314</v>
      </c>
      <c r="D635" t="s">
        <v>1315</v>
      </c>
    </row>
    <row r="636" spans="1:4">
      <c r="A636" t="s">
        <v>1316</v>
      </c>
      <c r="B636" t="s">
        <v>1652</v>
      </c>
      <c r="C636" t="s">
        <v>3329</v>
      </c>
      <c r="D636" t="s">
        <v>3330</v>
      </c>
    </row>
    <row r="637" spans="1:4">
      <c r="A637" t="s">
        <v>3331</v>
      </c>
      <c r="B637" t="s">
        <v>3332</v>
      </c>
      <c r="C637" t="s">
        <v>3333</v>
      </c>
      <c r="D637" t="s">
        <v>2819</v>
      </c>
    </row>
    <row r="638" spans="1:4">
      <c r="A638" t="s">
        <v>2820</v>
      </c>
      <c r="B638" t="s">
        <v>357</v>
      </c>
      <c r="C638" t="s">
        <v>480</v>
      </c>
      <c r="D638" t="s">
        <v>481</v>
      </c>
    </row>
    <row r="639" spans="1:4">
      <c r="A639" t="s">
        <v>482</v>
      </c>
      <c r="B639" t="s">
        <v>3084</v>
      </c>
      <c r="C639" t="s">
        <v>3085</v>
      </c>
      <c r="D639" t="s">
        <v>3086</v>
      </c>
    </row>
    <row r="640" spans="1:4">
      <c r="A640" t="s">
        <v>3087</v>
      </c>
      <c r="B640" t="s">
        <v>4188</v>
      </c>
      <c r="C640" t="s">
        <v>4189</v>
      </c>
      <c r="D640" t="s">
        <v>4190</v>
      </c>
    </row>
    <row r="641" spans="1:4">
      <c r="A641" t="s">
        <v>4191</v>
      </c>
      <c r="B641" t="s">
        <v>2635</v>
      </c>
      <c r="C641" t="s">
        <v>2636</v>
      </c>
      <c r="D641" t="s">
        <v>2637</v>
      </c>
    </row>
    <row r="642" spans="1:4">
      <c r="A642" t="s">
        <v>2638</v>
      </c>
      <c r="B642" t="s">
        <v>3073</v>
      </c>
      <c r="C642" t="s">
        <v>3074</v>
      </c>
      <c r="D642" t="s">
        <v>3075</v>
      </c>
    </row>
    <row r="643" spans="1:4">
      <c r="A643" t="s">
        <v>1919</v>
      </c>
      <c r="B643" t="s">
        <v>2922</v>
      </c>
      <c r="C643" t="s">
        <v>2923</v>
      </c>
      <c r="D643" t="s">
        <v>2924</v>
      </c>
    </row>
    <row r="644" spans="1:4">
      <c r="A644" t="s">
        <v>1516</v>
      </c>
      <c r="B644" t="s">
        <v>1517</v>
      </c>
      <c r="C644" t="s">
        <v>209</v>
      </c>
      <c r="D644" t="s">
        <v>210</v>
      </c>
    </row>
    <row r="645" spans="1:4">
      <c r="A645" t="s">
        <v>4145</v>
      </c>
      <c r="B645" t="s">
        <v>5829</v>
      </c>
      <c r="C645" t="s">
        <v>5830</v>
      </c>
      <c r="D645" t="s">
        <v>998</v>
      </c>
    </row>
    <row r="646" spans="1:4">
      <c r="A646" t="s">
        <v>211</v>
      </c>
      <c r="B646" t="s">
        <v>4151</v>
      </c>
      <c r="C646" t="s">
        <v>4152</v>
      </c>
      <c r="D646" t="s">
        <v>4153</v>
      </c>
    </row>
    <row r="647" spans="1:4">
      <c r="A647" t="s">
        <v>4154</v>
      </c>
      <c r="B647" t="s">
        <v>491</v>
      </c>
      <c r="C647" t="s">
        <v>4169</v>
      </c>
      <c r="D647" t="s">
        <v>4170</v>
      </c>
    </row>
    <row r="648" spans="1:4">
      <c r="A648" t="s">
        <v>4171</v>
      </c>
      <c r="B648" t="s">
        <v>177</v>
      </c>
      <c r="C648" t="s">
        <v>178</v>
      </c>
      <c r="D648" t="s">
        <v>179</v>
      </c>
    </row>
    <row r="649" spans="1:4">
      <c r="A649" t="s">
        <v>180</v>
      </c>
      <c r="B649" t="s">
        <v>181</v>
      </c>
      <c r="C649" t="s">
        <v>182</v>
      </c>
      <c r="D649" t="s">
        <v>183</v>
      </c>
    </row>
    <row r="650" spans="1:4">
      <c r="A650" t="s">
        <v>184</v>
      </c>
      <c r="B650" t="s">
        <v>185</v>
      </c>
      <c r="C650" t="s">
        <v>186</v>
      </c>
      <c r="D650" t="s">
        <v>187</v>
      </c>
    </row>
    <row r="651" spans="1:4">
      <c r="A651" t="s">
        <v>188</v>
      </c>
      <c r="B651" t="s">
        <v>189</v>
      </c>
      <c r="C651" t="s">
        <v>1788</v>
      </c>
      <c r="D651" t="s">
        <v>1789</v>
      </c>
    </row>
    <row r="652" spans="1:4">
      <c r="A652" t="s">
        <v>1790</v>
      </c>
      <c r="B652" t="s">
        <v>2064</v>
      </c>
      <c r="C652" t="s">
        <v>2942</v>
      </c>
      <c r="D652" t="s">
        <v>2943</v>
      </c>
    </row>
    <row r="653" spans="1:4">
      <c r="A653" t="s">
        <v>2944</v>
      </c>
      <c r="B653" t="s">
        <v>2945</v>
      </c>
      <c r="C653" t="s">
        <v>2946</v>
      </c>
      <c r="D653" t="s">
        <v>2947</v>
      </c>
    </row>
    <row r="654" spans="1:4">
      <c r="A654" t="s">
        <v>2948</v>
      </c>
      <c r="B654" t="s">
        <v>2949</v>
      </c>
      <c r="C654" t="s">
        <v>2950</v>
      </c>
      <c r="D654" t="s">
        <v>2951</v>
      </c>
    </row>
    <row r="655" spans="1:4">
      <c r="A655" t="s">
        <v>2952</v>
      </c>
      <c r="B655" t="s">
        <v>2953</v>
      </c>
      <c r="C655" t="s">
        <v>4013</v>
      </c>
      <c r="D655" t="s">
        <v>4014</v>
      </c>
    </row>
    <row r="656" spans="1:4">
      <c r="A656" t="s">
        <v>4015</v>
      </c>
      <c r="B656" t="s">
        <v>3013</v>
      </c>
      <c r="C656" t="s">
        <v>3876</v>
      </c>
      <c r="D656" t="s">
        <v>3877</v>
      </c>
    </row>
    <row r="657" spans="1:4">
      <c r="A657" t="s">
        <v>3878</v>
      </c>
      <c r="B657" t="s">
        <v>3879</v>
      </c>
      <c r="C657" t="s">
        <v>3880</v>
      </c>
      <c r="D657" t="s">
        <v>1920</v>
      </c>
    </row>
    <row r="658" spans="1:4">
      <c r="A658" t="s">
        <v>1921</v>
      </c>
      <c r="B658" t="s">
        <v>1922</v>
      </c>
      <c r="C658" t="s">
        <v>1923</v>
      </c>
      <c r="D658" t="s">
        <v>428</v>
      </c>
    </row>
    <row r="659" spans="1:4">
      <c r="A659" t="s">
        <v>429</v>
      </c>
      <c r="B659" t="s">
        <v>430</v>
      </c>
      <c r="C659" t="s">
        <v>2459</v>
      </c>
      <c r="D659" t="s">
        <v>187</v>
      </c>
    </row>
    <row r="660" spans="1:4">
      <c r="A660" t="s">
        <v>5831</v>
      </c>
      <c r="B660" t="s">
        <v>5832</v>
      </c>
      <c r="C660" t="s">
        <v>5833</v>
      </c>
      <c r="D660" t="s">
        <v>998</v>
      </c>
    </row>
    <row r="661" spans="1:4">
      <c r="A661" t="s">
        <v>5834</v>
      </c>
      <c r="B661" t="s">
        <v>5835</v>
      </c>
      <c r="C661" t="s">
        <v>5836</v>
      </c>
      <c r="D661" t="s">
        <v>998</v>
      </c>
    </row>
    <row r="662" spans="1:4">
      <c r="A662" t="s">
        <v>5837</v>
      </c>
      <c r="B662" t="s">
        <v>5838</v>
      </c>
      <c r="C662" t="s">
        <v>5839</v>
      </c>
      <c r="D662" t="s">
        <v>998</v>
      </c>
    </row>
    <row r="663" spans="1:4">
      <c r="A663" t="s">
        <v>5840</v>
      </c>
      <c r="B663" t="s">
        <v>5841</v>
      </c>
      <c r="C663" t="s">
        <v>5842</v>
      </c>
      <c r="D663" t="s">
        <v>998</v>
      </c>
    </row>
    <row r="664" spans="1:4">
      <c r="A664" t="s">
        <v>2460</v>
      </c>
      <c r="B664" t="s">
        <v>5843</v>
      </c>
      <c r="C664" t="s">
        <v>5844</v>
      </c>
      <c r="D664" t="s">
        <v>3370</v>
      </c>
    </row>
    <row r="665" spans="1:4">
      <c r="A665" t="s">
        <v>3371</v>
      </c>
      <c r="B665" t="s">
        <v>5845</v>
      </c>
      <c r="C665" t="s">
        <v>1891</v>
      </c>
      <c r="D665" t="s">
        <v>1892</v>
      </c>
    </row>
    <row r="666" spans="1:4">
      <c r="A666" t="s">
        <v>1893</v>
      </c>
      <c r="B666" t="s">
        <v>5846</v>
      </c>
      <c r="C666" t="s">
        <v>5847</v>
      </c>
      <c r="D666" t="s">
        <v>1853</v>
      </c>
    </row>
    <row r="667" spans="1:4">
      <c r="A667" t="s">
        <v>1854</v>
      </c>
      <c r="B667" t="s">
        <v>1855</v>
      </c>
      <c r="C667" t="s">
        <v>1856</v>
      </c>
      <c r="D667" t="s">
        <v>1857</v>
      </c>
    </row>
    <row r="668" spans="1:4">
      <c r="A668" t="s">
        <v>1858</v>
      </c>
      <c r="B668" t="s">
        <v>5848</v>
      </c>
      <c r="C668" t="s">
        <v>5849</v>
      </c>
      <c r="D668" t="s">
        <v>3208</v>
      </c>
    </row>
    <row r="669" spans="1:4">
      <c r="A669" t="s">
        <v>4146</v>
      </c>
      <c r="B669" t="s">
        <v>5850</v>
      </c>
      <c r="C669" t="s">
        <v>4147</v>
      </c>
      <c r="D669" t="s">
        <v>998</v>
      </c>
    </row>
    <row r="670" spans="1:4">
      <c r="A670" t="s">
        <v>5851</v>
      </c>
      <c r="B670" t="s">
        <v>5852</v>
      </c>
      <c r="C670" t="s">
        <v>5853</v>
      </c>
      <c r="D670" t="s">
        <v>998</v>
      </c>
    </row>
    <row r="671" spans="1:4">
      <c r="A671" t="s">
        <v>5854</v>
      </c>
      <c r="B671" t="s">
        <v>5855</v>
      </c>
      <c r="C671" t="s">
        <v>5856</v>
      </c>
      <c r="D671" t="s">
        <v>998</v>
      </c>
    </row>
    <row r="672" spans="1:4">
      <c r="A672" t="s">
        <v>3209</v>
      </c>
      <c r="B672" t="s">
        <v>5857</v>
      </c>
      <c r="C672" t="s">
        <v>5858</v>
      </c>
      <c r="D672" t="s">
        <v>3199</v>
      </c>
    </row>
    <row r="673" spans="1:4">
      <c r="A673" t="s">
        <v>3200</v>
      </c>
      <c r="B673" t="s">
        <v>5859</v>
      </c>
      <c r="C673" t="s">
        <v>3201</v>
      </c>
      <c r="D673" t="s">
        <v>3202</v>
      </c>
    </row>
    <row r="674" spans="1:4">
      <c r="A674" t="s">
        <v>3203</v>
      </c>
      <c r="B674" t="s">
        <v>5860</v>
      </c>
      <c r="C674" t="s">
        <v>3204</v>
      </c>
      <c r="D674" t="s">
        <v>700</v>
      </c>
    </row>
    <row r="675" spans="1:4">
      <c r="A675" t="s">
        <v>701</v>
      </c>
      <c r="B675" t="s">
        <v>5861</v>
      </c>
      <c r="C675" t="s">
        <v>5862</v>
      </c>
      <c r="D675" t="s">
        <v>4184</v>
      </c>
    </row>
    <row r="676" spans="1:4">
      <c r="A676" t="s">
        <v>4185</v>
      </c>
      <c r="B676" t="s">
        <v>5863</v>
      </c>
      <c r="C676" t="s">
        <v>5864</v>
      </c>
      <c r="D676" t="s">
        <v>4186</v>
      </c>
    </row>
    <row r="677" spans="1:4">
      <c r="A677" t="s">
        <v>4187</v>
      </c>
      <c r="B677" t="s">
        <v>5865</v>
      </c>
      <c r="C677" t="s">
        <v>5866</v>
      </c>
      <c r="D677" t="s">
        <v>2964</v>
      </c>
    </row>
    <row r="678" spans="1:4">
      <c r="A678" t="s">
        <v>2965</v>
      </c>
      <c r="B678" t="s">
        <v>5867</v>
      </c>
      <c r="C678" t="s">
        <v>5868</v>
      </c>
      <c r="D678" t="s">
        <v>2966</v>
      </c>
    </row>
    <row r="679" spans="1:4">
      <c r="A679" t="s">
        <v>2967</v>
      </c>
      <c r="B679" t="s">
        <v>5869</v>
      </c>
      <c r="C679" t="s">
        <v>5870</v>
      </c>
      <c r="D679" t="s">
        <v>5871</v>
      </c>
    </row>
    <row r="680" spans="1:4">
      <c r="A680" t="s">
        <v>2968</v>
      </c>
      <c r="B680" t="s">
        <v>5872</v>
      </c>
      <c r="C680" t="s">
        <v>5873</v>
      </c>
      <c r="D680" t="s">
        <v>5874</v>
      </c>
    </row>
    <row r="681" spans="1:4">
      <c r="A681" t="s">
        <v>2969</v>
      </c>
      <c r="B681" t="s">
        <v>2970</v>
      </c>
      <c r="C681" t="s">
        <v>2971</v>
      </c>
      <c r="D681" t="s">
        <v>2972</v>
      </c>
    </row>
    <row r="682" spans="1:4">
      <c r="A682" t="s">
        <v>2973</v>
      </c>
      <c r="B682" t="s">
        <v>2974</v>
      </c>
      <c r="C682" t="s">
        <v>2975</v>
      </c>
      <c r="D682" t="s">
        <v>2976</v>
      </c>
    </row>
    <row r="683" spans="1:4">
      <c r="A683" t="s">
        <v>2977</v>
      </c>
      <c r="B683" t="s">
        <v>2978</v>
      </c>
      <c r="C683" t="s">
        <v>2979</v>
      </c>
      <c r="D683" t="s">
        <v>1031</v>
      </c>
    </row>
    <row r="684" spans="1:4">
      <c r="A684" t="s">
        <v>1032</v>
      </c>
      <c r="B684" t="s">
        <v>1485</v>
      </c>
      <c r="C684" t="s">
        <v>1486</v>
      </c>
      <c r="D684" t="s">
        <v>1033</v>
      </c>
    </row>
    <row r="685" spans="1:4">
      <c r="A685" t="s">
        <v>1034</v>
      </c>
      <c r="B685" t="s">
        <v>1035</v>
      </c>
      <c r="C685" t="s">
        <v>1036</v>
      </c>
      <c r="D685" t="s">
        <v>1037</v>
      </c>
    </row>
    <row r="686" spans="1:4">
      <c r="A686" t="s">
        <v>1038</v>
      </c>
      <c r="B686" t="s">
        <v>1039</v>
      </c>
      <c r="C686" t="s">
        <v>1040</v>
      </c>
      <c r="D686" t="s">
        <v>2326</v>
      </c>
    </row>
    <row r="687" spans="1:4">
      <c r="A687" t="s">
        <v>2327</v>
      </c>
      <c r="B687" t="s">
        <v>2328</v>
      </c>
      <c r="C687" t="s">
        <v>2329</v>
      </c>
      <c r="D687" t="s">
        <v>2330</v>
      </c>
    </row>
    <row r="688" spans="1:4">
      <c r="A688" t="s">
        <v>2331</v>
      </c>
      <c r="B688" t="s">
        <v>2332</v>
      </c>
      <c r="C688" t="s">
        <v>2333</v>
      </c>
      <c r="D688" t="s">
        <v>2334</v>
      </c>
    </row>
    <row r="689" spans="1:4">
      <c r="A689" t="s">
        <v>3419</v>
      </c>
      <c r="B689" t="s">
        <v>3544</v>
      </c>
      <c r="C689" t="s">
        <v>3545</v>
      </c>
      <c r="D689" t="s">
        <v>3546</v>
      </c>
    </row>
    <row r="690" spans="1:4">
      <c r="A690" t="s">
        <v>3547</v>
      </c>
      <c r="B690" t="s">
        <v>3055</v>
      </c>
      <c r="C690" t="s">
        <v>3020</v>
      </c>
      <c r="D690" t="s">
        <v>3021</v>
      </c>
    </row>
    <row r="691" spans="1:4">
      <c r="A691" t="s">
        <v>3022</v>
      </c>
      <c r="B691" t="s">
        <v>3023</v>
      </c>
      <c r="C691" t="s">
        <v>3024</v>
      </c>
      <c r="D691" t="s">
        <v>3025</v>
      </c>
    </row>
    <row r="692" spans="1:4">
      <c r="A692" t="s">
        <v>3026</v>
      </c>
      <c r="B692" t="s">
        <v>3027</v>
      </c>
      <c r="C692" t="s">
        <v>3028</v>
      </c>
      <c r="D692" t="s">
        <v>1112</v>
      </c>
    </row>
    <row r="693" spans="1:4">
      <c r="A693" t="s">
        <v>1113</v>
      </c>
      <c r="B693" t="s">
        <v>1325</v>
      </c>
      <c r="C693" t="s">
        <v>1326</v>
      </c>
      <c r="D693" t="s">
        <v>1327</v>
      </c>
    </row>
    <row r="694" spans="1:4">
      <c r="A694" t="s">
        <v>3106</v>
      </c>
      <c r="B694" t="s">
        <v>2189</v>
      </c>
      <c r="C694" t="s">
        <v>3359</v>
      </c>
      <c r="D694" t="s">
        <v>3360</v>
      </c>
    </row>
    <row r="695" spans="1:4">
      <c r="A695" t="s">
        <v>3361</v>
      </c>
      <c r="B695" t="s">
        <v>752</v>
      </c>
      <c r="C695" t="s">
        <v>753</v>
      </c>
      <c r="D695" t="s">
        <v>1576</v>
      </c>
    </row>
    <row r="696" spans="1:4">
      <c r="A696" t="s">
        <v>1577</v>
      </c>
      <c r="B696" t="s">
        <v>1578</v>
      </c>
      <c r="C696" t="s">
        <v>1579</v>
      </c>
      <c r="D696" t="s">
        <v>1580</v>
      </c>
    </row>
    <row r="697" spans="1:4">
      <c r="A697" t="s">
        <v>1056</v>
      </c>
      <c r="B697" t="s">
        <v>2147</v>
      </c>
      <c r="C697" t="s">
        <v>2148</v>
      </c>
      <c r="D697" t="s">
        <v>2149</v>
      </c>
    </row>
    <row r="698" spans="1:4">
      <c r="A698" t="s">
        <v>3312</v>
      </c>
      <c r="B698" t="s">
        <v>3313</v>
      </c>
      <c r="C698" t="s">
        <v>1427</v>
      </c>
      <c r="D698" t="s">
        <v>1428</v>
      </c>
    </row>
    <row r="699" spans="1:4">
      <c r="A699" t="s">
        <v>1429</v>
      </c>
      <c r="B699" t="s">
        <v>1430</v>
      </c>
      <c r="C699" t="s">
        <v>1431</v>
      </c>
      <c r="D699" t="s">
        <v>1432</v>
      </c>
    </row>
    <row r="700" spans="1:4">
      <c r="A700" t="s">
        <v>1433</v>
      </c>
      <c r="B700" t="s">
        <v>1434</v>
      </c>
      <c r="C700" t="s">
        <v>1435</v>
      </c>
      <c r="D700" t="s">
        <v>1436</v>
      </c>
    </row>
    <row r="701" spans="1:4">
      <c r="A701" t="s">
        <v>1437</v>
      </c>
      <c r="B701" t="s">
        <v>1438</v>
      </c>
      <c r="C701" t="s">
        <v>1329</v>
      </c>
      <c r="D701" t="s">
        <v>1330</v>
      </c>
    </row>
    <row r="702" spans="1:4">
      <c r="A702" t="s">
        <v>3412</v>
      </c>
      <c r="B702" t="s">
        <v>752</v>
      </c>
      <c r="C702" t="s">
        <v>3413</v>
      </c>
      <c r="D702" t="s">
        <v>3414</v>
      </c>
    </row>
    <row r="703" spans="1:4">
      <c r="A703" t="s">
        <v>3415</v>
      </c>
      <c r="B703" t="s">
        <v>5875</v>
      </c>
      <c r="C703" t="s">
        <v>3416</v>
      </c>
      <c r="D703" t="s">
        <v>3417</v>
      </c>
    </row>
  </sheetData>
  <autoFilter ref="A1:D588" xr:uid="{00000000-0009-0000-0000-00001B000000}"/>
  <phoneticPr fontId="38" type="noConversion"/>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Themis"/>
  <dimension ref="A1:F50"/>
  <sheetViews>
    <sheetView topLeftCell="A44" workbookViewId="0">
      <selection activeCell="B8" sqref="B8"/>
    </sheetView>
  </sheetViews>
  <sheetFormatPr defaultColWidth="11.42578125" defaultRowHeight="12.75"/>
  <cols>
    <col min="1" max="1" width="10.140625" style="1038" customWidth="1"/>
    <col min="2" max="2" width="20.5703125" style="56" customWidth="1"/>
    <col min="3" max="3" width="9.85546875" style="56" customWidth="1"/>
    <col min="4" max="4" width="10" style="56" customWidth="1"/>
    <col min="5" max="5" width="50.28515625" style="56" customWidth="1"/>
    <col min="6" max="6" width="12.85546875" style="56" bestFit="1" customWidth="1"/>
    <col min="7" max="7" width="3.42578125" style="56" customWidth="1"/>
    <col min="8" max="8" width="48" style="56" customWidth="1"/>
    <col min="9" max="16384" width="11.42578125" style="56"/>
  </cols>
  <sheetData>
    <row r="1" spans="1:6">
      <c r="A1" s="3453" t="s">
        <v>744</v>
      </c>
      <c r="B1" s="3453"/>
      <c r="C1" s="3453"/>
      <c r="D1" s="3453"/>
      <c r="E1" s="3453"/>
    </row>
    <row r="2" spans="1:6">
      <c r="A2" s="56" t="s">
        <v>399</v>
      </c>
    </row>
    <row r="3" spans="1:6">
      <c r="A3" s="1331">
        <v>1</v>
      </c>
      <c r="B3" s="56" t="s">
        <v>398</v>
      </c>
    </row>
    <row r="4" spans="1:6">
      <c r="A4" s="1331">
        <v>2</v>
      </c>
      <c r="B4" s="56" t="s">
        <v>591</v>
      </c>
    </row>
    <row r="5" spans="1:6">
      <c r="A5" s="1331">
        <v>3</v>
      </c>
      <c r="B5" s="56" t="s">
        <v>40</v>
      </c>
    </row>
    <row r="6" spans="1:6">
      <c r="A6" s="1331">
        <v>4</v>
      </c>
      <c r="B6" s="56" t="s">
        <v>3982</v>
      </c>
    </row>
    <row r="7" spans="1:6">
      <c r="A7" s="1331">
        <v>5</v>
      </c>
      <c r="B7" s="56" t="s">
        <v>5272</v>
      </c>
    </row>
    <row r="8" spans="1:6">
      <c r="A8" s="56" t="s">
        <v>344</v>
      </c>
    </row>
    <row r="9" spans="1:6">
      <c r="A9" s="1331">
        <v>1</v>
      </c>
      <c r="B9" s="1187" t="s">
        <v>3983</v>
      </c>
    </row>
    <row r="10" spans="1:6">
      <c r="A10" s="1331">
        <v>2</v>
      </c>
      <c r="B10" s="1187" t="s">
        <v>345</v>
      </c>
    </row>
    <row r="11" spans="1:6">
      <c r="A11" s="1187" t="s">
        <v>55</v>
      </c>
      <c r="B11" s="1187"/>
    </row>
    <row r="12" spans="1:6">
      <c r="A12" s="1187"/>
      <c r="B12" s="1187" t="s">
        <v>592</v>
      </c>
    </row>
    <row r="13" spans="1:6">
      <c r="A13" s="1187" t="s">
        <v>2686</v>
      </c>
      <c r="B13" s="1187"/>
    </row>
    <row r="14" spans="1:6">
      <c r="B14" s="1187" t="s">
        <v>1448</v>
      </c>
    </row>
    <row r="15" spans="1:6">
      <c r="A15" s="1187" t="s">
        <v>2928</v>
      </c>
    </row>
    <row r="16" spans="1:6" ht="12.75" customHeight="1">
      <c r="A16" s="56"/>
      <c r="B16" s="3075" t="s">
        <v>1345</v>
      </c>
      <c r="C16" s="3075"/>
      <c r="D16" s="3075"/>
      <c r="E16" s="3075"/>
      <c r="F16" s="3075"/>
    </row>
    <row r="17" spans="1:6">
      <c r="B17" s="3075" t="s">
        <v>1346</v>
      </c>
      <c r="C17" s="3075"/>
      <c r="D17" s="3075"/>
      <c r="E17" s="3075"/>
      <c r="F17" s="3075"/>
    </row>
    <row r="18" spans="1:6">
      <c r="A18" s="56"/>
      <c r="B18" s="3075" t="s">
        <v>635</v>
      </c>
      <c r="C18" s="3075"/>
      <c r="D18" s="3075"/>
      <c r="E18" s="3075"/>
      <c r="F18" s="3075"/>
    </row>
    <row r="19" spans="1:6" ht="21" customHeight="1">
      <c r="A19" s="56"/>
      <c r="B19" s="878"/>
    </row>
    <row r="20" spans="1:6">
      <c r="A20" s="56"/>
      <c r="D20" s="1189" t="s">
        <v>347</v>
      </c>
      <c r="E20" s="1189"/>
    </row>
    <row r="21" spans="1:6">
      <c r="A21" s="56"/>
      <c r="D21" s="1290">
        <v>1</v>
      </c>
      <c r="E21" s="1188" t="s">
        <v>348</v>
      </c>
    </row>
    <row r="22" spans="1:6">
      <c r="A22" s="56"/>
      <c r="D22" s="1290">
        <v>2</v>
      </c>
      <c r="E22" s="1188" t="s">
        <v>2889</v>
      </c>
    </row>
    <row r="23" spans="1:6">
      <c r="A23" s="1189" t="s">
        <v>346</v>
      </c>
      <c r="B23" s="1189"/>
      <c r="D23" s="1290">
        <v>3</v>
      </c>
      <c r="E23" s="1188" t="s">
        <v>2925</v>
      </c>
    </row>
    <row r="24" spans="1:6">
      <c r="A24" s="1290" t="s">
        <v>873</v>
      </c>
      <c r="B24" s="1188" t="s">
        <v>4355</v>
      </c>
      <c r="D24" s="1290">
        <v>4</v>
      </c>
      <c r="E24" s="1188" t="s">
        <v>2926</v>
      </c>
    </row>
    <row r="25" spans="1:6">
      <c r="A25" s="1290" t="s">
        <v>2052</v>
      </c>
      <c r="B25" s="1188" t="s">
        <v>2391</v>
      </c>
      <c r="D25" s="1290">
        <v>5</v>
      </c>
      <c r="E25" s="1188" t="s">
        <v>2336</v>
      </c>
    </row>
    <row r="26" spans="1:6">
      <c r="A26" s="1290" t="s">
        <v>2985</v>
      </c>
      <c r="B26" s="1188" t="s">
        <v>2903</v>
      </c>
      <c r="D26" s="1290">
        <v>6</v>
      </c>
      <c r="E26" s="1188" t="s">
        <v>2388</v>
      </c>
    </row>
    <row r="27" spans="1:6">
      <c r="A27" s="1290" t="s">
        <v>2490</v>
      </c>
      <c r="B27" s="1188" t="s">
        <v>43</v>
      </c>
      <c r="D27" s="1290">
        <v>7</v>
      </c>
      <c r="E27" s="1188" t="s">
        <v>2389</v>
      </c>
    </row>
    <row r="28" spans="1:6">
      <c r="A28" s="56"/>
      <c r="D28" s="1290">
        <v>8</v>
      </c>
      <c r="E28" s="1188" t="s">
        <v>2904</v>
      </c>
    </row>
    <row r="29" spans="1:6">
      <c r="A29" s="56"/>
      <c r="D29" s="1290">
        <v>9</v>
      </c>
      <c r="E29" s="1188" t="s">
        <v>2390</v>
      </c>
    </row>
    <row r="30" spans="1:6">
      <c r="A30" s="56"/>
      <c r="D30" s="1915" t="s">
        <v>3740</v>
      </c>
      <c r="E30" s="1916" t="s">
        <v>2673</v>
      </c>
    </row>
    <row r="31" spans="1:6">
      <c r="A31" s="56"/>
      <c r="D31" s="1290" t="s">
        <v>873</v>
      </c>
      <c r="E31" s="1188" t="s">
        <v>663</v>
      </c>
    </row>
    <row r="32" spans="1:6" ht="24.75" customHeight="1">
      <c r="A32" s="56"/>
      <c r="D32" s="1384" t="s">
        <v>589</v>
      </c>
      <c r="E32" s="1272" t="s">
        <v>590</v>
      </c>
    </row>
    <row r="33" spans="1:6">
      <c r="A33" s="56"/>
    </row>
    <row r="34" spans="1:6">
      <c r="A34" s="3453" t="s">
        <v>1450</v>
      </c>
      <c r="B34" s="3453"/>
      <c r="C34" s="3453"/>
      <c r="D34" s="3453"/>
      <c r="E34" s="3453"/>
    </row>
    <row r="35" spans="1:6">
      <c r="B35" s="1187" t="s">
        <v>1449</v>
      </c>
    </row>
    <row r="36" spans="1:6">
      <c r="B36" s="56" t="s">
        <v>1451</v>
      </c>
    </row>
    <row r="37" spans="1:6">
      <c r="B37" s="56" t="s">
        <v>1344</v>
      </c>
    </row>
    <row r="38" spans="1:6">
      <c r="B38" s="56" t="s">
        <v>1218</v>
      </c>
    </row>
    <row r="39" spans="1:6">
      <c r="B39" s="56" t="s">
        <v>3716</v>
      </c>
    </row>
    <row r="40" spans="1:6">
      <c r="B40" s="56" t="s">
        <v>1011</v>
      </c>
    </row>
    <row r="41" spans="1:6">
      <c r="B41" s="56" t="s">
        <v>1012</v>
      </c>
    </row>
    <row r="42" spans="1:6">
      <c r="B42" s="56" t="s">
        <v>2519</v>
      </c>
    </row>
    <row r="43" spans="1:6">
      <c r="B43" s="56" t="s">
        <v>1942</v>
      </c>
    </row>
    <row r="44" spans="1:6">
      <c r="B44" s="56" t="s">
        <v>1943</v>
      </c>
    </row>
    <row r="46" spans="1:6">
      <c r="A46" s="3453" t="s">
        <v>741</v>
      </c>
      <c r="B46" s="3453"/>
      <c r="C46" s="3453"/>
      <c r="D46" s="3453"/>
      <c r="E46" s="3453"/>
    </row>
    <row r="47" spans="1:6">
      <c r="B47" s="56" t="s">
        <v>742</v>
      </c>
      <c r="F47" s="1038" t="s">
        <v>594</v>
      </c>
    </row>
    <row r="48" spans="1:6">
      <c r="B48" s="1304" t="s">
        <v>743</v>
      </c>
      <c r="C48" s="1305"/>
      <c r="D48" s="1305"/>
      <c r="E48" s="1305"/>
      <c r="F48" s="3451" t="s">
        <v>595</v>
      </c>
    </row>
    <row r="49" spans="2:6">
      <c r="B49" s="1306" t="s">
        <v>1663</v>
      </c>
      <c r="C49" s="1307"/>
      <c r="D49" s="1307"/>
      <c r="E49" s="1307"/>
      <c r="F49" s="3452"/>
    </row>
    <row r="50" spans="2:6">
      <c r="B50" s="56" t="s">
        <v>593</v>
      </c>
      <c r="F50" s="1038" t="s">
        <v>596</v>
      </c>
    </row>
  </sheetData>
  <mergeCells count="7">
    <mergeCell ref="F48:F49"/>
    <mergeCell ref="A1:E1"/>
    <mergeCell ref="A34:E34"/>
    <mergeCell ref="A46:E46"/>
    <mergeCell ref="B18:F18"/>
    <mergeCell ref="B16:F16"/>
    <mergeCell ref="B17:F17"/>
  </mergeCells>
  <phoneticPr fontId="38" type="noConversion"/>
  <pageMargins left="0.75" right="0.75" top="1" bottom="1" header="0.5" footer="0.5"/>
  <pageSetup paperSize="9"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1"/>
  <dimension ref="A1:W78"/>
  <sheetViews>
    <sheetView workbookViewId="0"/>
  </sheetViews>
  <sheetFormatPr defaultColWidth="11.42578125" defaultRowHeight="12.75"/>
  <cols>
    <col min="1" max="3" width="11.42578125" customWidth="1"/>
    <col min="4" max="4" width="8.140625" bestFit="1" customWidth="1"/>
    <col min="5" max="8" width="11.42578125" customWidth="1"/>
    <col min="9" max="9" width="6.42578125" customWidth="1"/>
    <col min="10" max="10" width="11.42578125" customWidth="1"/>
    <col min="11" max="11" width="11.42578125" style="56" customWidth="1"/>
    <col min="12" max="12" width="9.7109375" style="56" customWidth="1"/>
    <col min="13" max="23" width="11.42578125" style="56" customWidth="1"/>
  </cols>
  <sheetData>
    <row r="1" spans="1:23">
      <c r="D1" s="56"/>
      <c r="E1" s="56"/>
      <c r="F1" s="56" t="s">
        <v>474</v>
      </c>
      <c r="G1" s="56"/>
      <c r="H1" s="56"/>
      <c r="I1" s="56"/>
      <c r="J1" s="56"/>
      <c r="Q1"/>
      <c r="R1"/>
      <c r="S1"/>
      <c r="T1"/>
      <c r="U1"/>
      <c r="V1"/>
      <c r="W1"/>
    </row>
    <row r="2" spans="1:23">
      <c r="B2" s="1157">
        <v>1</v>
      </c>
      <c r="C2" t="s">
        <v>475</v>
      </c>
      <c r="D2" s="56" t="s">
        <v>476</v>
      </c>
      <c r="E2" s="1156">
        <f>IndRef</f>
        <v>1.7526666666666666</v>
      </c>
      <c r="F2" s="56">
        <f>IndW</f>
        <v>2.2710166666666667</v>
      </c>
      <c r="G2" s="56">
        <f>IndW_N1</f>
        <v>2.2710166666666667</v>
      </c>
      <c r="H2" s="56">
        <f>IndW_N</f>
        <v>2.2710166666666667</v>
      </c>
      <c r="I2" s="56"/>
      <c r="J2" s="56"/>
      <c r="Q2"/>
      <c r="R2"/>
      <c r="S2"/>
      <c r="T2"/>
      <c r="U2"/>
      <c r="V2"/>
      <c r="W2"/>
    </row>
    <row r="3" spans="1:23">
      <c r="B3" s="1157"/>
      <c r="D3" s="56"/>
      <c r="E3" s="1156" t="s">
        <v>477</v>
      </c>
      <c r="F3" s="56"/>
      <c r="G3" s="56">
        <f>G2/12</f>
        <v>0.1892513888888889</v>
      </c>
      <c r="H3" s="56">
        <f>H2/12*11</f>
        <v>2.081765277777778</v>
      </c>
      <c r="I3" s="56"/>
      <c r="J3" s="56"/>
      <c r="Q3"/>
      <c r="R3"/>
      <c r="S3"/>
      <c r="T3"/>
      <c r="U3"/>
      <c r="V3"/>
      <c r="W3"/>
    </row>
    <row r="4" spans="1:23">
      <c r="C4" s="1182"/>
      <c r="D4" s="1182" t="s">
        <v>170</v>
      </c>
      <c r="E4">
        <f>E6/4</f>
        <v>24.44</v>
      </c>
      <c r="F4" s="47">
        <f>F6</f>
        <v>1545.4495518333329</v>
      </c>
      <c r="G4" s="47">
        <f>G6</f>
        <v>128.79</v>
      </c>
      <c r="H4" s="47">
        <f>H6</f>
        <v>1416.66</v>
      </c>
      <c r="I4" s="56"/>
      <c r="J4" s="56"/>
      <c r="Q4"/>
      <c r="R4"/>
      <c r="S4"/>
      <c r="T4"/>
      <c r="U4"/>
      <c r="V4"/>
      <c r="W4"/>
    </row>
    <row r="5" spans="1:23">
      <c r="C5" s="1182"/>
      <c r="D5" s="1182"/>
      <c r="E5">
        <v>0</v>
      </c>
      <c r="F5" s="47">
        <f>F6</f>
        <v>1545.4495518333329</v>
      </c>
      <c r="G5" s="47">
        <f>G6</f>
        <v>128.79</v>
      </c>
      <c r="H5" s="47">
        <f>H6</f>
        <v>1416.66</v>
      </c>
      <c r="I5" s="56"/>
      <c r="J5" s="56"/>
      <c r="Q5"/>
      <c r="R5"/>
      <c r="S5"/>
      <c r="T5"/>
      <c r="U5"/>
      <c r="V5"/>
      <c r="W5"/>
    </row>
    <row r="6" spans="1:23">
      <c r="A6" s="48">
        <v>1</v>
      </c>
      <c r="B6" s="47">
        <f>ParaN!K43</f>
        <v>669.32</v>
      </c>
      <c r="C6" s="904">
        <f>ROUND(B6/12,2)</f>
        <v>55.78</v>
      </c>
      <c r="D6" s="904">
        <f>SUM(C1:C6)</f>
        <v>55.78</v>
      </c>
      <c r="E6" s="1158">
        <f t="shared" ref="E6:E37" si="0">ROUND(D6*IndRef,2)</f>
        <v>97.76</v>
      </c>
      <c r="F6" s="904">
        <f>D$18*F$2</f>
        <v>1545.4495518333329</v>
      </c>
      <c r="G6" s="904">
        <f t="shared" ref="G6:G37" si="1">ROUND($D18*G$3,2)</f>
        <v>128.79</v>
      </c>
      <c r="H6" s="904">
        <f t="shared" ref="H6:H37" si="2">ROUND(D18*H$3,2)</f>
        <v>1416.66</v>
      </c>
    </row>
    <row r="7" spans="1:23">
      <c r="A7" s="48">
        <v>2</v>
      </c>
      <c r="C7" s="904">
        <f>ROUND(B6/12,2)</f>
        <v>55.78</v>
      </c>
      <c r="D7" s="904">
        <f>SUM(C1:C7)</f>
        <v>111.56</v>
      </c>
      <c r="E7" s="1158">
        <f t="shared" si="0"/>
        <v>195.53</v>
      </c>
      <c r="F7" s="904">
        <f t="shared" ref="F7:F65" si="3">D19*$F$2</f>
        <v>1570.7713876666664</v>
      </c>
      <c r="G7" s="904">
        <f t="shared" si="1"/>
        <v>130.9</v>
      </c>
      <c r="H7" s="904">
        <f t="shared" si="2"/>
        <v>1439.87</v>
      </c>
    </row>
    <row r="8" spans="1:23">
      <c r="A8" s="48">
        <v>3</v>
      </c>
      <c r="C8" s="904">
        <f>ROUND(B6/12,2)</f>
        <v>55.78</v>
      </c>
      <c r="D8" s="904">
        <f>SUM(C1:C8)</f>
        <v>167.34</v>
      </c>
      <c r="E8" s="1158">
        <f t="shared" si="0"/>
        <v>293.29000000000002</v>
      </c>
      <c r="F8" s="904">
        <f t="shared" si="3"/>
        <v>1596.0932234999998</v>
      </c>
      <c r="G8" s="904">
        <f t="shared" si="1"/>
        <v>133.01</v>
      </c>
      <c r="H8" s="904">
        <f t="shared" si="2"/>
        <v>1463.09</v>
      </c>
    </row>
    <row r="9" spans="1:23">
      <c r="A9" s="48">
        <v>4</v>
      </c>
      <c r="C9" s="904">
        <f>ROUND(B6/12,2)</f>
        <v>55.78</v>
      </c>
      <c r="D9" s="904">
        <f>SUM(C1:C9)</f>
        <v>223.12</v>
      </c>
      <c r="E9" s="1158">
        <f t="shared" si="0"/>
        <v>391.05</v>
      </c>
      <c r="F9" s="904">
        <f t="shared" si="3"/>
        <v>1621.4150593333334</v>
      </c>
      <c r="G9" s="904">
        <f t="shared" si="1"/>
        <v>135.12</v>
      </c>
      <c r="H9" s="904">
        <f t="shared" si="2"/>
        <v>1486.3</v>
      </c>
    </row>
    <row r="10" spans="1:23">
      <c r="A10" s="48">
        <v>5</v>
      </c>
      <c r="C10" s="904">
        <f>ROUND(B6/12,2)</f>
        <v>55.78</v>
      </c>
      <c r="D10" s="904">
        <f>SUM(C1:C10)</f>
        <v>278.89999999999998</v>
      </c>
      <c r="E10" s="1158">
        <f t="shared" si="0"/>
        <v>488.82</v>
      </c>
      <c r="F10" s="904">
        <f t="shared" si="3"/>
        <v>1646.736895166667</v>
      </c>
      <c r="G10" s="904">
        <f t="shared" si="1"/>
        <v>137.22999999999999</v>
      </c>
      <c r="H10" s="904">
        <f t="shared" si="2"/>
        <v>1509.51</v>
      </c>
    </row>
    <row r="11" spans="1:23">
      <c r="A11" s="48">
        <v>6</v>
      </c>
      <c r="C11" s="904">
        <f>ROUND(B6/12,2)</f>
        <v>55.78</v>
      </c>
      <c r="D11" s="904">
        <f>SUM(C1:C11)</f>
        <v>334.67999999999995</v>
      </c>
      <c r="E11" s="1158">
        <f t="shared" si="0"/>
        <v>586.58000000000004</v>
      </c>
      <c r="F11" s="904">
        <f t="shared" si="3"/>
        <v>1672.0587310000005</v>
      </c>
      <c r="G11" s="904">
        <f t="shared" si="1"/>
        <v>139.34</v>
      </c>
      <c r="H11" s="904">
        <f t="shared" si="2"/>
        <v>1532.72</v>
      </c>
    </row>
    <row r="12" spans="1:23">
      <c r="A12" s="48">
        <v>7</v>
      </c>
      <c r="C12" s="904">
        <f>ROUND(B6/12,2)</f>
        <v>55.78</v>
      </c>
      <c r="D12" s="904">
        <f>SUM(C1:C12)</f>
        <v>390.45999999999992</v>
      </c>
      <c r="E12" s="1158">
        <f t="shared" si="0"/>
        <v>684.35</v>
      </c>
      <c r="F12" s="904">
        <f t="shared" si="3"/>
        <v>1697.3805668333334</v>
      </c>
      <c r="G12" s="904">
        <f t="shared" si="1"/>
        <v>141.44999999999999</v>
      </c>
      <c r="H12" s="904">
        <f t="shared" si="2"/>
        <v>1555.93</v>
      </c>
    </row>
    <row r="13" spans="1:23">
      <c r="A13" s="48">
        <v>8</v>
      </c>
      <c r="C13" s="904">
        <f>ROUND(B6/12,2)</f>
        <v>55.78</v>
      </c>
      <c r="D13" s="904">
        <f>SUM(C1:C13)</f>
        <v>446.2399999999999</v>
      </c>
      <c r="E13" s="1158">
        <f t="shared" si="0"/>
        <v>782.11</v>
      </c>
      <c r="F13" s="904">
        <f t="shared" si="3"/>
        <v>1722.702402666667</v>
      </c>
      <c r="G13" s="904">
        <f t="shared" si="1"/>
        <v>143.56</v>
      </c>
      <c r="H13" s="904">
        <f t="shared" si="2"/>
        <v>1579.14</v>
      </c>
    </row>
    <row r="14" spans="1:23">
      <c r="A14" s="48">
        <v>9</v>
      </c>
      <c r="C14" s="904">
        <f>ROUND(B6/12,2)</f>
        <v>55.78</v>
      </c>
      <c r="D14" s="904">
        <f>SUM(C1:C14)</f>
        <v>502.01999999999987</v>
      </c>
      <c r="E14" s="1158">
        <f t="shared" si="0"/>
        <v>879.87</v>
      </c>
      <c r="F14" s="904">
        <f t="shared" si="3"/>
        <v>1748.0242385000006</v>
      </c>
      <c r="G14" s="904">
        <f t="shared" si="1"/>
        <v>145.66999999999999</v>
      </c>
      <c r="H14" s="904">
        <f t="shared" si="2"/>
        <v>1602.36</v>
      </c>
    </row>
    <row r="15" spans="1:23">
      <c r="A15" s="48">
        <v>10</v>
      </c>
      <c r="C15" s="904">
        <f>ROUND(B6/12,2)</f>
        <v>55.78</v>
      </c>
      <c r="D15" s="904">
        <f>SUM(C2:C15)</f>
        <v>557.79999999999984</v>
      </c>
      <c r="E15" s="1158">
        <f t="shared" si="0"/>
        <v>977.64</v>
      </c>
      <c r="F15" s="904">
        <f t="shared" si="3"/>
        <v>1773.3460743333342</v>
      </c>
      <c r="G15" s="904">
        <f t="shared" si="1"/>
        <v>147.78</v>
      </c>
      <c r="H15" s="904">
        <f t="shared" si="2"/>
        <v>1625.57</v>
      </c>
    </row>
    <row r="16" spans="1:23">
      <c r="A16" s="48">
        <v>11</v>
      </c>
      <c r="C16" s="904">
        <f>ROUND(B6/12,2)</f>
        <v>55.78</v>
      </c>
      <c r="D16" s="904">
        <f>SUM(C2:C16)</f>
        <v>613.57999999999981</v>
      </c>
      <c r="E16" s="1158">
        <f t="shared" si="0"/>
        <v>1075.4000000000001</v>
      </c>
      <c r="F16" s="904">
        <f t="shared" si="3"/>
        <v>1798.6679101666671</v>
      </c>
      <c r="G16" s="904">
        <f t="shared" si="1"/>
        <v>149.88999999999999</v>
      </c>
      <c r="H16" s="904">
        <f t="shared" si="2"/>
        <v>1648.78</v>
      </c>
    </row>
    <row r="17" spans="1:8">
      <c r="A17" s="48">
        <v>12</v>
      </c>
      <c r="C17" s="904">
        <f>ROUND(B6/12,2)</f>
        <v>55.78</v>
      </c>
      <c r="D17" s="904">
        <f t="shared" ref="D17:D52" si="4">SUM(C6:C17)</f>
        <v>669.35999999999979</v>
      </c>
      <c r="E17" s="1158">
        <f t="shared" si="0"/>
        <v>1173.1600000000001</v>
      </c>
      <c r="F17" s="904">
        <f t="shared" si="3"/>
        <v>1823.9897460000007</v>
      </c>
      <c r="G17" s="904">
        <f t="shared" si="1"/>
        <v>152</v>
      </c>
      <c r="H17" s="904">
        <f t="shared" si="2"/>
        <v>1671.99</v>
      </c>
    </row>
    <row r="18" spans="1:8">
      <c r="A18" s="48">
        <f t="shared" ref="A18:A29" si="5">A6+12</f>
        <v>13</v>
      </c>
      <c r="B18" s="47">
        <f>ParaN!K44</f>
        <v>803.18</v>
      </c>
      <c r="C18" s="904">
        <f>ROUND(B18/12,2)</f>
        <v>66.930000000000007</v>
      </c>
      <c r="D18" s="904">
        <f t="shared" si="4"/>
        <v>680.50999999999976</v>
      </c>
      <c r="E18" s="1158">
        <f t="shared" si="0"/>
        <v>1192.71</v>
      </c>
      <c r="F18" s="904">
        <f t="shared" si="3"/>
        <v>1849.3342920000007</v>
      </c>
      <c r="G18" s="904">
        <f t="shared" si="1"/>
        <v>154.11000000000001</v>
      </c>
      <c r="H18" s="904">
        <f t="shared" si="2"/>
        <v>1695.22</v>
      </c>
    </row>
    <row r="19" spans="1:8">
      <c r="A19" s="48">
        <f t="shared" si="5"/>
        <v>14</v>
      </c>
      <c r="C19" s="904">
        <f>ROUND(B18/12,2)</f>
        <v>66.930000000000007</v>
      </c>
      <c r="D19" s="904">
        <f t="shared" si="4"/>
        <v>691.65999999999985</v>
      </c>
      <c r="E19" s="1158">
        <f t="shared" si="0"/>
        <v>1212.25</v>
      </c>
      <c r="F19" s="904">
        <f t="shared" si="3"/>
        <v>1874.6788380000005</v>
      </c>
      <c r="G19" s="904">
        <f t="shared" si="1"/>
        <v>156.22</v>
      </c>
      <c r="H19" s="904">
        <f t="shared" si="2"/>
        <v>1718.46</v>
      </c>
    </row>
    <row r="20" spans="1:8">
      <c r="A20" s="48">
        <f t="shared" si="5"/>
        <v>15</v>
      </c>
      <c r="C20" s="904">
        <f>ROUND(B18/12,2)</f>
        <v>66.930000000000007</v>
      </c>
      <c r="D20" s="904">
        <f t="shared" si="4"/>
        <v>702.81</v>
      </c>
      <c r="E20" s="1158">
        <f t="shared" si="0"/>
        <v>1231.79</v>
      </c>
      <c r="F20" s="904">
        <f t="shared" si="3"/>
        <v>1900.0233840000005</v>
      </c>
      <c r="G20" s="904">
        <f t="shared" si="1"/>
        <v>158.34</v>
      </c>
      <c r="H20" s="904">
        <f t="shared" si="2"/>
        <v>1741.69</v>
      </c>
    </row>
    <row r="21" spans="1:8">
      <c r="A21" s="48">
        <f t="shared" si="5"/>
        <v>16</v>
      </c>
      <c r="C21" s="904">
        <f>ROUND(B18/12,2)</f>
        <v>66.930000000000007</v>
      </c>
      <c r="D21" s="904">
        <f t="shared" si="4"/>
        <v>713.96</v>
      </c>
      <c r="E21" s="1158">
        <f t="shared" si="0"/>
        <v>1251.33</v>
      </c>
      <c r="F21" s="904">
        <f t="shared" si="3"/>
        <v>1925.3679300000003</v>
      </c>
      <c r="G21" s="904">
        <f t="shared" si="1"/>
        <v>160.44999999999999</v>
      </c>
      <c r="H21" s="904">
        <f t="shared" si="2"/>
        <v>1764.92</v>
      </c>
    </row>
    <row r="22" spans="1:8">
      <c r="A22" s="48">
        <f t="shared" si="5"/>
        <v>17</v>
      </c>
      <c r="C22" s="904">
        <f>ROUND(B18/12,2)</f>
        <v>66.930000000000007</v>
      </c>
      <c r="D22" s="904">
        <f t="shared" si="4"/>
        <v>725.11000000000013</v>
      </c>
      <c r="E22" s="1158">
        <f t="shared" si="0"/>
        <v>1270.8800000000001</v>
      </c>
      <c r="F22" s="904">
        <f t="shared" si="3"/>
        <v>1950.7124760000004</v>
      </c>
      <c r="G22" s="904">
        <f t="shared" si="1"/>
        <v>162.56</v>
      </c>
      <c r="H22" s="904">
        <f t="shared" si="2"/>
        <v>1788.15</v>
      </c>
    </row>
    <row r="23" spans="1:8">
      <c r="A23" s="48">
        <f t="shared" si="5"/>
        <v>18</v>
      </c>
      <c r="C23" s="904">
        <f>ROUND(B18/12,2)</f>
        <v>66.930000000000007</v>
      </c>
      <c r="D23" s="904">
        <f t="shared" si="4"/>
        <v>736.26000000000022</v>
      </c>
      <c r="E23" s="1158">
        <f t="shared" si="0"/>
        <v>1290.42</v>
      </c>
      <c r="F23" s="904">
        <f t="shared" si="3"/>
        <v>1976.0570220000006</v>
      </c>
      <c r="G23" s="904">
        <f t="shared" si="1"/>
        <v>164.67</v>
      </c>
      <c r="H23" s="904">
        <f t="shared" si="2"/>
        <v>1811.39</v>
      </c>
    </row>
    <row r="24" spans="1:8">
      <c r="A24" s="48">
        <f t="shared" si="5"/>
        <v>19</v>
      </c>
      <c r="C24" s="904">
        <f>ROUND(B18/12,2)</f>
        <v>66.930000000000007</v>
      </c>
      <c r="D24" s="904">
        <f t="shared" si="4"/>
        <v>747.41000000000008</v>
      </c>
      <c r="E24" s="1158">
        <f t="shared" si="0"/>
        <v>1309.96</v>
      </c>
      <c r="F24" s="904">
        <f t="shared" si="3"/>
        <v>2001.4015680000005</v>
      </c>
      <c r="G24" s="904">
        <f t="shared" si="1"/>
        <v>166.78</v>
      </c>
      <c r="H24" s="904">
        <f t="shared" si="2"/>
        <v>1834.62</v>
      </c>
    </row>
    <row r="25" spans="1:8">
      <c r="A25" s="48">
        <f t="shared" si="5"/>
        <v>20</v>
      </c>
      <c r="C25" s="904">
        <f>ROUND(B18/12,2)</f>
        <v>66.930000000000007</v>
      </c>
      <c r="D25" s="904">
        <f t="shared" si="4"/>
        <v>758.56000000000017</v>
      </c>
      <c r="E25" s="1158">
        <f t="shared" si="0"/>
        <v>1329.5</v>
      </c>
      <c r="F25" s="904">
        <f t="shared" si="3"/>
        <v>2026.7461140000007</v>
      </c>
      <c r="G25" s="904">
        <f t="shared" si="1"/>
        <v>168.9</v>
      </c>
      <c r="H25" s="904">
        <f t="shared" si="2"/>
        <v>1857.85</v>
      </c>
    </row>
    <row r="26" spans="1:8">
      <c r="A26" s="48">
        <f t="shared" si="5"/>
        <v>21</v>
      </c>
      <c r="C26" s="904">
        <f>ROUND(B18/12,2)</f>
        <v>66.930000000000007</v>
      </c>
      <c r="D26" s="904">
        <f t="shared" si="4"/>
        <v>769.71000000000026</v>
      </c>
      <c r="E26" s="1158">
        <f t="shared" si="0"/>
        <v>1349.05</v>
      </c>
      <c r="F26" s="904">
        <f t="shared" si="3"/>
        <v>2052.0906600000008</v>
      </c>
      <c r="G26" s="904">
        <f t="shared" si="1"/>
        <v>171.01</v>
      </c>
      <c r="H26" s="904">
        <f t="shared" si="2"/>
        <v>1881.08</v>
      </c>
    </row>
    <row r="27" spans="1:8">
      <c r="A27" s="48">
        <f t="shared" si="5"/>
        <v>22</v>
      </c>
      <c r="C27" s="904">
        <f>ROUND(B18/12,2)</f>
        <v>66.930000000000007</v>
      </c>
      <c r="D27" s="904">
        <f t="shared" si="4"/>
        <v>780.86000000000035</v>
      </c>
      <c r="E27" s="1158">
        <f t="shared" si="0"/>
        <v>1368.59</v>
      </c>
      <c r="F27" s="904">
        <f t="shared" si="3"/>
        <v>2077.4352060000006</v>
      </c>
      <c r="G27" s="904">
        <f t="shared" si="1"/>
        <v>173.12</v>
      </c>
      <c r="H27" s="904">
        <f t="shared" si="2"/>
        <v>1904.32</v>
      </c>
    </row>
    <row r="28" spans="1:8">
      <c r="A28" s="48">
        <f t="shared" si="5"/>
        <v>23</v>
      </c>
      <c r="C28" s="904">
        <f>ROUND(B18/12,2)</f>
        <v>66.930000000000007</v>
      </c>
      <c r="D28" s="904">
        <f t="shared" si="4"/>
        <v>792.01000000000022</v>
      </c>
      <c r="E28" s="1158">
        <f t="shared" si="0"/>
        <v>1388.13</v>
      </c>
      <c r="F28" s="904">
        <f t="shared" si="3"/>
        <v>2102.7797520000008</v>
      </c>
      <c r="G28" s="904">
        <f t="shared" si="1"/>
        <v>175.23</v>
      </c>
      <c r="H28" s="904">
        <f t="shared" si="2"/>
        <v>1927.55</v>
      </c>
    </row>
    <row r="29" spans="1:8">
      <c r="A29" s="48">
        <f t="shared" si="5"/>
        <v>24</v>
      </c>
      <c r="C29" s="904">
        <f>ROUND(B18/12,2)</f>
        <v>66.930000000000007</v>
      </c>
      <c r="D29" s="904">
        <f>SUM(C18:C29)</f>
        <v>803.16000000000031</v>
      </c>
      <c r="E29" s="1158">
        <f t="shared" si="0"/>
        <v>1407.67</v>
      </c>
      <c r="F29" s="904">
        <f t="shared" si="3"/>
        <v>2128.1242980000006</v>
      </c>
      <c r="G29" s="904">
        <f t="shared" si="1"/>
        <v>177.34</v>
      </c>
      <c r="H29" s="904">
        <f t="shared" si="2"/>
        <v>1950.78</v>
      </c>
    </row>
    <row r="30" spans="1:8">
      <c r="A30" s="48">
        <f>A29+1</f>
        <v>25</v>
      </c>
      <c r="B30" s="47">
        <f>ParaN!K45</f>
        <v>937.04</v>
      </c>
      <c r="C30" s="904">
        <f>ROUND(B30/12,2)</f>
        <v>78.09</v>
      </c>
      <c r="D30" s="904">
        <f t="shared" si="4"/>
        <v>814.32000000000028</v>
      </c>
      <c r="E30" s="1158">
        <f t="shared" si="0"/>
        <v>1427.23</v>
      </c>
      <c r="F30" s="904">
        <f t="shared" si="3"/>
        <v>2153.446133833334</v>
      </c>
      <c r="G30" s="904">
        <f t="shared" si="1"/>
        <v>179.45</v>
      </c>
      <c r="H30" s="904">
        <f t="shared" si="2"/>
        <v>1973.99</v>
      </c>
    </row>
    <row r="31" spans="1:8">
      <c r="A31" s="48">
        <f>A30+1</f>
        <v>26</v>
      </c>
      <c r="C31" s="904">
        <f>ROUND(B30/12,2)</f>
        <v>78.09</v>
      </c>
      <c r="D31" s="904">
        <f t="shared" si="4"/>
        <v>825.48000000000025</v>
      </c>
      <c r="E31" s="1158">
        <f t="shared" si="0"/>
        <v>1446.79</v>
      </c>
      <c r="F31" s="904">
        <f t="shared" si="3"/>
        <v>2178.7679696666673</v>
      </c>
      <c r="G31" s="904">
        <f t="shared" si="1"/>
        <v>181.56</v>
      </c>
      <c r="H31" s="904">
        <f t="shared" si="2"/>
        <v>1997.2</v>
      </c>
    </row>
    <row r="32" spans="1:8">
      <c r="A32" s="48">
        <f t="shared" ref="A32:A41" si="6">A31+1</f>
        <v>27</v>
      </c>
      <c r="C32" s="904">
        <f>ROUND(B30/12,2)</f>
        <v>78.09</v>
      </c>
      <c r="D32" s="904">
        <f t="shared" si="4"/>
        <v>836.64000000000021</v>
      </c>
      <c r="E32" s="1158">
        <f t="shared" si="0"/>
        <v>1466.35</v>
      </c>
      <c r="F32" s="904">
        <f t="shared" si="3"/>
        <v>2204.0898055000007</v>
      </c>
      <c r="G32" s="904">
        <f t="shared" si="1"/>
        <v>183.67</v>
      </c>
      <c r="H32" s="904">
        <f t="shared" si="2"/>
        <v>2020.42</v>
      </c>
    </row>
    <row r="33" spans="1:8">
      <c r="A33" s="48">
        <f t="shared" si="6"/>
        <v>28</v>
      </c>
      <c r="C33" s="904">
        <f>ROUND(B30/12,2)</f>
        <v>78.09</v>
      </c>
      <c r="D33" s="904">
        <f t="shared" si="4"/>
        <v>847.80000000000018</v>
      </c>
      <c r="E33" s="1158">
        <f t="shared" si="0"/>
        <v>1485.91</v>
      </c>
      <c r="F33" s="904">
        <f t="shared" si="3"/>
        <v>2229.4116413333336</v>
      </c>
      <c r="G33" s="904">
        <f t="shared" si="1"/>
        <v>185.78</v>
      </c>
      <c r="H33" s="904">
        <f t="shared" si="2"/>
        <v>2043.63</v>
      </c>
    </row>
    <row r="34" spans="1:8">
      <c r="A34" s="48">
        <f t="shared" si="6"/>
        <v>29</v>
      </c>
      <c r="C34" s="904">
        <f>ROUND(B30/12,2)</f>
        <v>78.09</v>
      </c>
      <c r="D34" s="904">
        <f t="shared" si="4"/>
        <v>858.96000000000015</v>
      </c>
      <c r="E34" s="1158">
        <f t="shared" si="0"/>
        <v>1505.47</v>
      </c>
      <c r="F34" s="904">
        <f t="shared" si="3"/>
        <v>2254.7334771666669</v>
      </c>
      <c r="G34" s="904">
        <f t="shared" si="1"/>
        <v>187.89</v>
      </c>
      <c r="H34" s="904">
        <f t="shared" si="2"/>
        <v>2066.84</v>
      </c>
    </row>
    <row r="35" spans="1:8">
      <c r="A35" s="48">
        <f t="shared" si="6"/>
        <v>30</v>
      </c>
      <c r="C35" s="904">
        <f>ROUND(B30/12,2)</f>
        <v>78.09</v>
      </c>
      <c r="D35" s="904">
        <f t="shared" si="4"/>
        <v>870.12000000000023</v>
      </c>
      <c r="E35" s="1158">
        <f t="shared" si="0"/>
        <v>1525.03</v>
      </c>
      <c r="F35" s="904">
        <f t="shared" si="3"/>
        <v>2280.0553130000003</v>
      </c>
      <c r="G35" s="904">
        <f t="shared" si="1"/>
        <v>190</v>
      </c>
      <c r="H35" s="904">
        <f t="shared" si="2"/>
        <v>2090.0500000000002</v>
      </c>
    </row>
    <row r="36" spans="1:8">
      <c r="A36" s="48">
        <f t="shared" si="6"/>
        <v>31</v>
      </c>
      <c r="C36" s="904">
        <f>ROUND(B30/12,2)</f>
        <v>78.09</v>
      </c>
      <c r="D36" s="904">
        <f t="shared" si="4"/>
        <v>881.2800000000002</v>
      </c>
      <c r="E36" s="1158">
        <f t="shared" si="0"/>
        <v>1544.59</v>
      </c>
      <c r="F36" s="904">
        <f t="shared" si="3"/>
        <v>2305.3771488333336</v>
      </c>
      <c r="G36" s="904">
        <f t="shared" si="1"/>
        <v>192.11</v>
      </c>
      <c r="H36" s="904">
        <f t="shared" si="2"/>
        <v>2113.2600000000002</v>
      </c>
    </row>
    <row r="37" spans="1:8">
      <c r="A37" s="48">
        <f t="shared" si="6"/>
        <v>32</v>
      </c>
      <c r="C37" s="904">
        <f>ROUND(B30/12,2)</f>
        <v>78.09</v>
      </c>
      <c r="D37" s="904">
        <f t="shared" si="4"/>
        <v>892.44000000000028</v>
      </c>
      <c r="E37" s="1158">
        <f t="shared" si="0"/>
        <v>1564.15</v>
      </c>
      <c r="F37" s="904">
        <f t="shared" si="3"/>
        <v>2330.6989846666665</v>
      </c>
      <c r="G37" s="904">
        <f t="shared" si="1"/>
        <v>194.22</v>
      </c>
      <c r="H37" s="904">
        <f t="shared" si="2"/>
        <v>2136.4699999999998</v>
      </c>
    </row>
    <row r="38" spans="1:8">
      <c r="A38" s="48">
        <f t="shared" si="6"/>
        <v>33</v>
      </c>
      <c r="C38" s="904">
        <f>ROUND(B30/12,2)</f>
        <v>78.09</v>
      </c>
      <c r="D38" s="904">
        <f t="shared" si="4"/>
        <v>903.60000000000025</v>
      </c>
      <c r="E38" s="1158">
        <f t="shared" ref="E38:E69" si="7">ROUND(D38*IndRef,2)</f>
        <v>1583.71</v>
      </c>
      <c r="F38" s="904">
        <f t="shared" si="3"/>
        <v>2356.0208205000004</v>
      </c>
      <c r="G38" s="904">
        <f t="shared" ref="G38:G65" si="8">ROUND($D50*G$3,2)</f>
        <v>196.34</v>
      </c>
      <c r="H38" s="904">
        <f t="shared" ref="H38:H65" si="9">ROUND(D50*H$3,2)</f>
        <v>2159.69</v>
      </c>
    </row>
    <row r="39" spans="1:8">
      <c r="A39" s="48">
        <f t="shared" si="6"/>
        <v>34</v>
      </c>
      <c r="C39" s="904">
        <f>ROUND(B30/12,2)</f>
        <v>78.09</v>
      </c>
      <c r="D39" s="904">
        <f t="shared" si="4"/>
        <v>914.76000000000022</v>
      </c>
      <c r="E39" s="1158">
        <f t="shared" si="7"/>
        <v>1603.27</v>
      </c>
      <c r="F39" s="904">
        <f t="shared" si="3"/>
        <v>2381.3426563333333</v>
      </c>
      <c r="G39" s="904">
        <f t="shared" si="8"/>
        <v>198.45</v>
      </c>
      <c r="H39" s="904">
        <f t="shared" si="9"/>
        <v>2182.9</v>
      </c>
    </row>
    <row r="40" spans="1:8">
      <c r="A40" s="48">
        <f t="shared" si="6"/>
        <v>35</v>
      </c>
      <c r="C40" s="904">
        <f>ROUND(B30/12,2)</f>
        <v>78.09</v>
      </c>
      <c r="D40" s="904">
        <f t="shared" si="4"/>
        <v>925.9200000000003</v>
      </c>
      <c r="E40" s="1158">
        <f t="shared" si="7"/>
        <v>1622.83</v>
      </c>
      <c r="F40" s="904">
        <f t="shared" si="3"/>
        <v>2406.6644921666666</v>
      </c>
      <c r="G40" s="904">
        <f t="shared" si="8"/>
        <v>200.56</v>
      </c>
      <c r="H40" s="904">
        <f t="shared" si="9"/>
        <v>2206.11</v>
      </c>
    </row>
    <row r="41" spans="1:8">
      <c r="A41" s="48">
        <f t="shared" si="6"/>
        <v>36</v>
      </c>
      <c r="C41" s="904">
        <f>ROUND(B30/12,2)</f>
        <v>78.09</v>
      </c>
      <c r="D41" s="904">
        <f t="shared" si="4"/>
        <v>937.08000000000027</v>
      </c>
      <c r="E41" s="1158">
        <f t="shared" si="7"/>
        <v>1642.39</v>
      </c>
      <c r="F41" s="904">
        <f t="shared" si="3"/>
        <v>2431.986328</v>
      </c>
      <c r="G41" s="904">
        <f t="shared" si="8"/>
        <v>202.67</v>
      </c>
      <c r="H41" s="904">
        <f t="shared" si="9"/>
        <v>2229.3200000000002</v>
      </c>
    </row>
    <row r="42" spans="1:8">
      <c r="A42" s="48">
        <f>A41+1</f>
        <v>37</v>
      </c>
      <c r="B42" s="47">
        <f>ParaN!K46</f>
        <v>1070.9100000000001</v>
      </c>
      <c r="C42" s="904">
        <f>ROUND(B42/12,2)</f>
        <v>89.24</v>
      </c>
      <c r="D42" s="904">
        <f t="shared" si="4"/>
        <v>948.23000000000025</v>
      </c>
      <c r="E42" s="1158">
        <f t="shared" si="7"/>
        <v>1661.93</v>
      </c>
      <c r="F42" s="904">
        <f t="shared" si="3"/>
        <v>2457.3308739999998</v>
      </c>
      <c r="G42" s="904">
        <f t="shared" si="8"/>
        <v>204.78</v>
      </c>
      <c r="H42" s="904">
        <f t="shared" si="9"/>
        <v>2252.5500000000002</v>
      </c>
    </row>
    <row r="43" spans="1:8">
      <c r="A43" s="48">
        <f>A42+1</f>
        <v>38</v>
      </c>
      <c r="C43" s="904">
        <f>ROUND(B42/12,2)</f>
        <v>89.24</v>
      </c>
      <c r="D43" s="904">
        <f t="shared" si="4"/>
        <v>959.38000000000022</v>
      </c>
      <c r="E43" s="1158">
        <f t="shared" si="7"/>
        <v>1681.47</v>
      </c>
      <c r="F43" s="904">
        <f t="shared" si="3"/>
        <v>2482.67542</v>
      </c>
      <c r="G43" s="904">
        <f t="shared" si="8"/>
        <v>206.89</v>
      </c>
      <c r="H43" s="904">
        <f t="shared" si="9"/>
        <v>2275.79</v>
      </c>
    </row>
    <row r="44" spans="1:8">
      <c r="A44" s="48">
        <f t="shared" ref="A44:A53" si="10">A43+1</f>
        <v>39</v>
      </c>
      <c r="C44" s="904">
        <f>ROUND(B42/12,2)</f>
        <v>89.24</v>
      </c>
      <c r="D44" s="904">
        <f t="shared" si="4"/>
        <v>970.5300000000002</v>
      </c>
      <c r="E44" s="1158">
        <f t="shared" si="7"/>
        <v>1701.02</v>
      </c>
      <c r="F44" s="904">
        <f t="shared" si="3"/>
        <v>2508.0199659999998</v>
      </c>
      <c r="G44" s="904">
        <f t="shared" si="8"/>
        <v>209</v>
      </c>
      <c r="H44" s="904">
        <f t="shared" si="9"/>
        <v>2299.02</v>
      </c>
    </row>
    <row r="45" spans="1:8">
      <c r="A45" s="48">
        <f t="shared" si="10"/>
        <v>40</v>
      </c>
      <c r="C45" s="904">
        <f>ROUND(B42/12,2)</f>
        <v>89.24</v>
      </c>
      <c r="D45" s="904">
        <f t="shared" si="4"/>
        <v>981.68000000000018</v>
      </c>
      <c r="E45" s="1158">
        <f t="shared" si="7"/>
        <v>1720.56</v>
      </c>
      <c r="F45" s="904">
        <f t="shared" si="3"/>
        <v>2533.3645120000001</v>
      </c>
      <c r="G45" s="904">
        <f t="shared" si="8"/>
        <v>211.11</v>
      </c>
      <c r="H45" s="904">
        <f t="shared" si="9"/>
        <v>2322.25</v>
      </c>
    </row>
    <row r="46" spans="1:8">
      <c r="A46" s="48">
        <f t="shared" si="10"/>
        <v>41</v>
      </c>
      <c r="C46" s="904">
        <f>ROUND(B42/12,2)</f>
        <v>89.24</v>
      </c>
      <c r="D46" s="904">
        <f t="shared" si="4"/>
        <v>992.83000000000015</v>
      </c>
      <c r="E46" s="1158">
        <f t="shared" si="7"/>
        <v>1740.1</v>
      </c>
      <c r="F46" s="904">
        <f t="shared" si="3"/>
        <v>2558.7090580000004</v>
      </c>
      <c r="G46" s="904">
        <f t="shared" si="8"/>
        <v>213.23</v>
      </c>
      <c r="H46" s="904">
        <f t="shared" si="9"/>
        <v>2345.48</v>
      </c>
    </row>
    <row r="47" spans="1:8">
      <c r="A47" s="48">
        <f t="shared" si="10"/>
        <v>42</v>
      </c>
      <c r="C47" s="904">
        <f>ROUND(B42/12,2)</f>
        <v>89.24</v>
      </c>
      <c r="D47" s="904">
        <f t="shared" si="4"/>
        <v>1003.9800000000001</v>
      </c>
      <c r="E47" s="1158">
        <f t="shared" si="7"/>
        <v>1759.64</v>
      </c>
      <c r="F47" s="904">
        <f t="shared" si="3"/>
        <v>2584.0536039999997</v>
      </c>
      <c r="G47" s="904">
        <f t="shared" si="8"/>
        <v>215.34</v>
      </c>
      <c r="H47" s="904">
        <f t="shared" si="9"/>
        <v>2368.7199999999998</v>
      </c>
    </row>
    <row r="48" spans="1:8">
      <c r="A48" s="48">
        <f t="shared" si="10"/>
        <v>43</v>
      </c>
      <c r="C48" s="904">
        <f>ROUND(B42/12,2)</f>
        <v>89.24</v>
      </c>
      <c r="D48" s="904">
        <f t="shared" si="4"/>
        <v>1015.1300000000001</v>
      </c>
      <c r="E48" s="1158">
        <f t="shared" si="7"/>
        <v>1779.18</v>
      </c>
      <c r="F48" s="904">
        <f t="shared" si="3"/>
        <v>2609.39815</v>
      </c>
      <c r="G48" s="904">
        <f t="shared" si="8"/>
        <v>217.45</v>
      </c>
      <c r="H48" s="904">
        <f t="shared" si="9"/>
        <v>2391.9499999999998</v>
      </c>
    </row>
    <row r="49" spans="1:8">
      <c r="A49" s="48">
        <f t="shared" si="10"/>
        <v>44</v>
      </c>
      <c r="C49" s="904">
        <f>ROUND(B42/12,2)</f>
        <v>89.24</v>
      </c>
      <c r="D49" s="904">
        <f t="shared" si="4"/>
        <v>1026.28</v>
      </c>
      <c r="E49" s="1158">
        <f t="shared" si="7"/>
        <v>1798.73</v>
      </c>
      <c r="F49" s="904">
        <f t="shared" si="3"/>
        <v>2634.7426960000003</v>
      </c>
      <c r="G49" s="904">
        <f t="shared" si="8"/>
        <v>219.56</v>
      </c>
      <c r="H49" s="904">
        <f t="shared" si="9"/>
        <v>2415.1799999999998</v>
      </c>
    </row>
    <row r="50" spans="1:8">
      <c r="A50" s="48">
        <f t="shared" si="10"/>
        <v>45</v>
      </c>
      <c r="C50" s="904">
        <f>ROUND(B42/12,2)</f>
        <v>89.24</v>
      </c>
      <c r="D50" s="904">
        <f t="shared" si="4"/>
        <v>1037.43</v>
      </c>
      <c r="E50" s="1158">
        <f t="shared" si="7"/>
        <v>1818.27</v>
      </c>
      <c r="F50" s="904">
        <f t="shared" si="3"/>
        <v>2660.0872420000001</v>
      </c>
      <c r="G50" s="904">
        <f t="shared" si="8"/>
        <v>221.67</v>
      </c>
      <c r="H50" s="904">
        <f t="shared" si="9"/>
        <v>2438.41</v>
      </c>
    </row>
    <row r="51" spans="1:8">
      <c r="A51" s="48">
        <f t="shared" si="10"/>
        <v>46</v>
      </c>
      <c r="C51" s="904">
        <f>ROUND(B42/12,2)</f>
        <v>89.24</v>
      </c>
      <c r="D51" s="904">
        <f t="shared" si="4"/>
        <v>1048.58</v>
      </c>
      <c r="E51" s="1158">
        <f t="shared" si="7"/>
        <v>1837.81</v>
      </c>
      <c r="F51" s="904">
        <f t="shared" si="3"/>
        <v>2685.4317879999999</v>
      </c>
      <c r="G51" s="904">
        <f t="shared" si="8"/>
        <v>223.79</v>
      </c>
      <c r="H51" s="904">
        <f t="shared" si="9"/>
        <v>2461.65</v>
      </c>
    </row>
    <row r="52" spans="1:8">
      <c r="A52" s="48">
        <f t="shared" si="10"/>
        <v>47</v>
      </c>
      <c r="C52" s="904">
        <f>ROUND(B42/12,2)</f>
        <v>89.24</v>
      </c>
      <c r="D52" s="904">
        <f t="shared" si="4"/>
        <v>1059.73</v>
      </c>
      <c r="E52" s="1158">
        <f t="shared" si="7"/>
        <v>1857.35</v>
      </c>
      <c r="F52" s="904">
        <f t="shared" si="3"/>
        <v>2710.7763339999997</v>
      </c>
      <c r="G52" s="904">
        <f t="shared" si="8"/>
        <v>225.9</v>
      </c>
      <c r="H52" s="904">
        <f t="shared" si="9"/>
        <v>2484.88</v>
      </c>
    </row>
    <row r="53" spans="1:8">
      <c r="A53" s="48">
        <f t="shared" si="10"/>
        <v>48</v>
      </c>
      <c r="C53" s="904">
        <f>ROUND(B42/12,2)</f>
        <v>89.24</v>
      </c>
      <c r="D53" s="904">
        <f>SUM(C42:C53)</f>
        <v>1070.8799999999999</v>
      </c>
      <c r="E53" s="1158">
        <f t="shared" si="7"/>
        <v>1876.9</v>
      </c>
      <c r="F53" s="904">
        <f t="shared" si="3"/>
        <v>2736.1208799999999</v>
      </c>
      <c r="G53" s="904">
        <f t="shared" si="8"/>
        <v>228.01</v>
      </c>
      <c r="H53" s="904">
        <f t="shared" si="9"/>
        <v>2508.11</v>
      </c>
    </row>
    <row r="54" spans="1:8">
      <c r="A54" s="48">
        <f>A53+1</f>
        <v>49</v>
      </c>
      <c r="B54" s="47">
        <f>ParaN!K47</f>
        <v>1204.77</v>
      </c>
      <c r="C54" s="904">
        <f>ROUND(B54/12,2)</f>
        <v>100.4</v>
      </c>
      <c r="D54" s="904">
        <f t="shared" ref="D54:D77" si="11">SUM(C43:C54)</f>
        <v>1082.04</v>
      </c>
      <c r="E54" s="1158">
        <f t="shared" si="7"/>
        <v>1896.46</v>
      </c>
      <c r="F54" s="904">
        <f t="shared" si="3"/>
        <v>2761.4427158333328</v>
      </c>
      <c r="G54" s="904">
        <f t="shared" si="8"/>
        <v>230.12</v>
      </c>
      <c r="H54" s="904">
        <f t="shared" si="9"/>
        <v>2531.3200000000002</v>
      </c>
    </row>
    <row r="55" spans="1:8">
      <c r="A55" s="48">
        <f>A54+1</f>
        <v>50</v>
      </c>
      <c r="C55" s="904">
        <f>ROUND(B54/12,2)</f>
        <v>100.4</v>
      </c>
      <c r="D55" s="904">
        <f t="shared" si="11"/>
        <v>1093.2</v>
      </c>
      <c r="E55" s="1158">
        <f t="shared" si="7"/>
        <v>1916.02</v>
      </c>
      <c r="F55" s="904">
        <f t="shared" si="3"/>
        <v>2786.7645516666666</v>
      </c>
      <c r="G55" s="904">
        <f t="shared" si="8"/>
        <v>232.23</v>
      </c>
      <c r="H55" s="904">
        <f t="shared" si="9"/>
        <v>2554.5300000000002</v>
      </c>
    </row>
    <row r="56" spans="1:8">
      <c r="A56" s="48">
        <f t="shared" ref="A56:A65" si="12">A55+1</f>
        <v>51</v>
      </c>
      <c r="C56" s="904">
        <f>ROUND(B54/12,2)</f>
        <v>100.4</v>
      </c>
      <c r="D56" s="904">
        <f t="shared" si="11"/>
        <v>1104.3599999999999</v>
      </c>
      <c r="E56" s="1158">
        <f t="shared" si="7"/>
        <v>1935.57</v>
      </c>
      <c r="F56" s="904">
        <f t="shared" si="3"/>
        <v>2812.0863874999995</v>
      </c>
      <c r="G56" s="904">
        <f t="shared" si="8"/>
        <v>234.34</v>
      </c>
      <c r="H56" s="904">
        <f t="shared" si="9"/>
        <v>2577.75</v>
      </c>
    </row>
    <row r="57" spans="1:8">
      <c r="A57" s="48">
        <f t="shared" si="12"/>
        <v>52</v>
      </c>
      <c r="C57" s="904">
        <f>ROUND(B54/12,2)</f>
        <v>100.4</v>
      </c>
      <c r="D57" s="904">
        <f t="shared" si="11"/>
        <v>1115.52</v>
      </c>
      <c r="E57" s="1158">
        <f t="shared" si="7"/>
        <v>1955.13</v>
      </c>
      <c r="F57" s="904">
        <f t="shared" si="3"/>
        <v>2837.4082233333329</v>
      </c>
      <c r="G57" s="904">
        <f t="shared" si="8"/>
        <v>236.45</v>
      </c>
      <c r="H57" s="904">
        <f t="shared" si="9"/>
        <v>2600.96</v>
      </c>
    </row>
    <row r="58" spans="1:8">
      <c r="A58" s="48">
        <f t="shared" si="12"/>
        <v>53</v>
      </c>
      <c r="C58" s="904">
        <f>ROUND(B54/12,2)</f>
        <v>100.4</v>
      </c>
      <c r="D58" s="904">
        <f t="shared" si="11"/>
        <v>1126.68</v>
      </c>
      <c r="E58" s="1158">
        <f t="shared" si="7"/>
        <v>1974.69</v>
      </c>
      <c r="F58" s="904">
        <f t="shared" si="3"/>
        <v>2862.7300591666663</v>
      </c>
      <c r="G58" s="904">
        <f t="shared" si="8"/>
        <v>238.56</v>
      </c>
      <c r="H58" s="904">
        <f t="shared" si="9"/>
        <v>2624.17</v>
      </c>
    </row>
    <row r="59" spans="1:8">
      <c r="A59" s="48">
        <f t="shared" si="12"/>
        <v>54</v>
      </c>
      <c r="C59" s="904">
        <f>ROUND(B54/12,2)</f>
        <v>100.4</v>
      </c>
      <c r="D59" s="904">
        <f t="shared" si="11"/>
        <v>1137.8399999999999</v>
      </c>
      <c r="E59" s="1158">
        <f t="shared" si="7"/>
        <v>1994.25</v>
      </c>
      <c r="F59" s="904">
        <f t="shared" si="3"/>
        <v>2888.0518949999996</v>
      </c>
      <c r="G59" s="904">
        <f t="shared" si="8"/>
        <v>240.67</v>
      </c>
      <c r="H59" s="904">
        <f t="shared" si="9"/>
        <v>2647.38</v>
      </c>
    </row>
    <row r="60" spans="1:8">
      <c r="A60" s="48">
        <f t="shared" si="12"/>
        <v>55</v>
      </c>
      <c r="C60" s="904">
        <f>ROUND(B54/12,2)</f>
        <v>100.4</v>
      </c>
      <c r="D60" s="904">
        <f t="shared" si="11"/>
        <v>1149</v>
      </c>
      <c r="E60" s="1158">
        <f t="shared" si="7"/>
        <v>2013.81</v>
      </c>
      <c r="F60" s="904">
        <f t="shared" si="3"/>
        <v>2913.3737308333325</v>
      </c>
      <c r="G60" s="904">
        <f t="shared" si="8"/>
        <v>242.78</v>
      </c>
      <c r="H60" s="904">
        <f t="shared" si="9"/>
        <v>2670.59</v>
      </c>
    </row>
    <row r="61" spans="1:8">
      <c r="A61" s="48">
        <f t="shared" si="12"/>
        <v>56</v>
      </c>
      <c r="C61" s="904">
        <f>ROUND(B54/12,2)</f>
        <v>100.4</v>
      </c>
      <c r="D61" s="904">
        <f t="shared" si="11"/>
        <v>1160.1600000000001</v>
      </c>
      <c r="E61" s="1158">
        <f t="shared" si="7"/>
        <v>2033.37</v>
      </c>
      <c r="F61" s="904">
        <f t="shared" si="3"/>
        <v>2938.6955666666663</v>
      </c>
      <c r="G61" s="904">
        <f t="shared" si="8"/>
        <v>244.89</v>
      </c>
      <c r="H61" s="904">
        <f t="shared" si="9"/>
        <v>2693.8</v>
      </c>
    </row>
    <row r="62" spans="1:8">
      <c r="A62" s="48">
        <f t="shared" si="12"/>
        <v>57</v>
      </c>
      <c r="C62" s="904">
        <f>ROUND(B54/12,2)</f>
        <v>100.4</v>
      </c>
      <c r="D62" s="904">
        <f t="shared" si="11"/>
        <v>1171.32</v>
      </c>
      <c r="E62" s="1158">
        <f t="shared" si="7"/>
        <v>2052.9299999999998</v>
      </c>
      <c r="F62" s="904">
        <f t="shared" si="3"/>
        <v>2964.0174024999997</v>
      </c>
      <c r="G62" s="904">
        <f t="shared" si="8"/>
        <v>247</v>
      </c>
      <c r="H62" s="904">
        <f t="shared" si="9"/>
        <v>2717.02</v>
      </c>
    </row>
    <row r="63" spans="1:8">
      <c r="A63" s="48">
        <f t="shared" si="12"/>
        <v>58</v>
      </c>
      <c r="C63" s="904">
        <f>ROUND(B54/12,2)</f>
        <v>100.4</v>
      </c>
      <c r="D63" s="904">
        <f t="shared" si="11"/>
        <v>1182.48</v>
      </c>
      <c r="E63" s="1158">
        <f t="shared" si="7"/>
        <v>2072.4899999999998</v>
      </c>
      <c r="F63" s="904">
        <f t="shared" si="3"/>
        <v>2989.3392383333326</v>
      </c>
      <c r="G63" s="904">
        <f t="shared" si="8"/>
        <v>249.11</v>
      </c>
      <c r="H63" s="904">
        <f t="shared" si="9"/>
        <v>2740.23</v>
      </c>
    </row>
    <row r="64" spans="1:8">
      <c r="A64" s="48">
        <f t="shared" si="12"/>
        <v>59</v>
      </c>
      <c r="C64" s="904">
        <f>ROUND(B54/12,2)</f>
        <v>100.4</v>
      </c>
      <c r="D64" s="904">
        <f t="shared" si="11"/>
        <v>1193.6399999999999</v>
      </c>
      <c r="E64" s="1158">
        <f t="shared" si="7"/>
        <v>2092.0500000000002</v>
      </c>
      <c r="F64" s="904">
        <f t="shared" si="3"/>
        <v>3014.6610741666664</v>
      </c>
      <c r="G64" s="904">
        <f t="shared" si="8"/>
        <v>251.22</v>
      </c>
      <c r="H64" s="904">
        <f t="shared" si="9"/>
        <v>2763.44</v>
      </c>
    </row>
    <row r="65" spans="1:8">
      <c r="A65" s="48">
        <f t="shared" si="12"/>
        <v>60</v>
      </c>
      <c r="C65" s="904">
        <f>ROUND(B54/12,2)</f>
        <v>100.4</v>
      </c>
      <c r="D65" s="904">
        <f t="shared" si="11"/>
        <v>1204.8</v>
      </c>
      <c r="E65" s="1158">
        <f t="shared" si="7"/>
        <v>2111.61</v>
      </c>
      <c r="F65" s="904">
        <f t="shared" si="3"/>
        <v>3039.9829099999993</v>
      </c>
      <c r="G65" s="904">
        <f t="shared" si="8"/>
        <v>253.33</v>
      </c>
      <c r="H65" s="904">
        <f t="shared" si="9"/>
        <v>2786.65</v>
      </c>
    </row>
    <row r="66" spans="1:8">
      <c r="A66" s="48">
        <f>A65+1</f>
        <v>61</v>
      </c>
      <c r="B66" s="47">
        <f>ParaN!K48</f>
        <v>1338.63</v>
      </c>
      <c r="C66" s="904">
        <f>ROUND(B66/12,2)</f>
        <v>111.55</v>
      </c>
      <c r="D66" s="904">
        <f t="shared" si="11"/>
        <v>1215.9499999999998</v>
      </c>
      <c r="E66" s="1158">
        <f t="shared" si="7"/>
        <v>2131.16</v>
      </c>
      <c r="F66" s="904">
        <f>F65</f>
        <v>3039.9829099999993</v>
      </c>
      <c r="G66" s="904">
        <f t="shared" ref="G66:H77" si="13">G65</f>
        <v>253.33</v>
      </c>
      <c r="H66" s="904">
        <f t="shared" si="13"/>
        <v>2786.65</v>
      </c>
    </row>
    <row r="67" spans="1:8">
      <c r="A67" s="48">
        <f>A66+1</f>
        <v>62</v>
      </c>
      <c r="C67" s="904">
        <f>ROUND(B66/12,2)</f>
        <v>111.55</v>
      </c>
      <c r="D67" s="904">
        <f t="shared" si="11"/>
        <v>1227.0999999999999</v>
      </c>
      <c r="E67" s="1158">
        <f t="shared" si="7"/>
        <v>2150.6999999999998</v>
      </c>
      <c r="F67" s="904">
        <f t="shared" ref="F67:F77" si="14">F66</f>
        <v>3039.9829099999993</v>
      </c>
      <c r="G67" s="904">
        <f t="shared" si="13"/>
        <v>253.33</v>
      </c>
      <c r="H67" s="904">
        <f t="shared" si="13"/>
        <v>2786.65</v>
      </c>
    </row>
    <row r="68" spans="1:8">
      <c r="A68" s="48">
        <f t="shared" ref="A68:A77" si="15">A67+1</f>
        <v>63</v>
      </c>
      <c r="C68" s="904">
        <f>ROUND(B66/12,2)</f>
        <v>111.55</v>
      </c>
      <c r="D68" s="904">
        <f t="shared" si="11"/>
        <v>1238.2499999999998</v>
      </c>
      <c r="E68" s="1158">
        <f t="shared" si="7"/>
        <v>2170.2399999999998</v>
      </c>
      <c r="F68" s="904">
        <f t="shared" si="14"/>
        <v>3039.9829099999993</v>
      </c>
      <c r="G68" s="904">
        <f t="shared" si="13"/>
        <v>253.33</v>
      </c>
      <c r="H68" s="904">
        <f t="shared" si="13"/>
        <v>2786.65</v>
      </c>
    </row>
    <row r="69" spans="1:8">
      <c r="A69" s="48">
        <f t="shared" si="15"/>
        <v>64</v>
      </c>
      <c r="C69" s="904">
        <f>ROUND(B66/12,2)</f>
        <v>111.55</v>
      </c>
      <c r="D69" s="904">
        <f t="shared" si="11"/>
        <v>1249.3999999999999</v>
      </c>
      <c r="E69" s="1158">
        <f t="shared" si="7"/>
        <v>2189.7800000000002</v>
      </c>
      <c r="F69" s="904">
        <f t="shared" si="14"/>
        <v>3039.9829099999993</v>
      </c>
      <c r="G69" s="904">
        <f t="shared" si="13"/>
        <v>253.33</v>
      </c>
      <c r="H69" s="904">
        <f t="shared" si="13"/>
        <v>2786.65</v>
      </c>
    </row>
    <row r="70" spans="1:8">
      <c r="A70" s="48">
        <f t="shared" si="15"/>
        <v>65</v>
      </c>
      <c r="C70" s="904">
        <f>ROUND(B66/12,2)</f>
        <v>111.55</v>
      </c>
      <c r="D70" s="904">
        <f t="shared" si="11"/>
        <v>1260.5499999999997</v>
      </c>
      <c r="E70" s="1158">
        <f t="shared" ref="E70:E77" si="16">ROUND(D70*IndRef,2)</f>
        <v>2209.3200000000002</v>
      </c>
      <c r="F70" s="904">
        <f t="shared" si="14"/>
        <v>3039.9829099999993</v>
      </c>
      <c r="G70" s="904">
        <f t="shared" si="13"/>
        <v>253.33</v>
      </c>
      <c r="H70" s="904">
        <f t="shared" si="13"/>
        <v>2786.65</v>
      </c>
    </row>
    <row r="71" spans="1:8">
      <c r="A71" s="48">
        <f t="shared" si="15"/>
        <v>66</v>
      </c>
      <c r="C71" s="904">
        <f>ROUND(B66/12,2)</f>
        <v>111.55</v>
      </c>
      <c r="D71" s="904">
        <f t="shared" si="11"/>
        <v>1271.6999999999998</v>
      </c>
      <c r="E71" s="1158">
        <f t="shared" si="16"/>
        <v>2228.87</v>
      </c>
      <c r="F71" s="904">
        <f t="shared" si="14"/>
        <v>3039.9829099999993</v>
      </c>
      <c r="G71" s="904">
        <f t="shared" si="13"/>
        <v>253.33</v>
      </c>
      <c r="H71" s="904">
        <f t="shared" si="13"/>
        <v>2786.65</v>
      </c>
    </row>
    <row r="72" spans="1:8">
      <c r="A72" s="48">
        <f t="shared" si="15"/>
        <v>67</v>
      </c>
      <c r="C72" s="904">
        <f>ROUND(B66/12,2)</f>
        <v>111.55</v>
      </c>
      <c r="D72" s="904">
        <f t="shared" si="11"/>
        <v>1282.8499999999997</v>
      </c>
      <c r="E72" s="1158">
        <f t="shared" si="16"/>
        <v>2248.41</v>
      </c>
      <c r="F72" s="904">
        <f t="shared" si="14"/>
        <v>3039.9829099999993</v>
      </c>
      <c r="G72" s="904">
        <f t="shared" si="13"/>
        <v>253.33</v>
      </c>
      <c r="H72" s="904">
        <f t="shared" si="13"/>
        <v>2786.65</v>
      </c>
    </row>
    <row r="73" spans="1:8">
      <c r="A73" s="48">
        <f t="shared" si="15"/>
        <v>68</v>
      </c>
      <c r="C73" s="904">
        <f>ROUND(B66/12,2)</f>
        <v>111.55</v>
      </c>
      <c r="D73" s="904">
        <f t="shared" si="11"/>
        <v>1293.9999999999998</v>
      </c>
      <c r="E73" s="1158">
        <f t="shared" si="16"/>
        <v>2267.9499999999998</v>
      </c>
      <c r="F73" s="904">
        <f t="shared" si="14"/>
        <v>3039.9829099999993</v>
      </c>
      <c r="G73" s="904">
        <f t="shared" si="13"/>
        <v>253.33</v>
      </c>
      <c r="H73" s="904">
        <f t="shared" si="13"/>
        <v>2786.65</v>
      </c>
    </row>
    <row r="74" spans="1:8">
      <c r="A74" s="48">
        <f t="shared" si="15"/>
        <v>69</v>
      </c>
      <c r="C74" s="904">
        <f>ROUND(B66/12,2)</f>
        <v>111.55</v>
      </c>
      <c r="D74" s="904">
        <f t="shared" si="11"/>
        <v>1305.1499999999999</v>
      </c>
      <c r="E74" s="1158">
        <f t="shared" si="16"/>
        <v>2287.4899999999998</v>
      </c>
      <c r="F74" s="904">
        <f t="shared" si="14"/>
        <v>3039.9829099999993</v>
      </c>
      <c r="G74" s="904">
        <f t="shared" si="13"/>
        <v>253.33</v>
      </c>
      <c r="H74" s="904">
        <f t="shared" si="13"/>
        <v>2786.65</v>
      </c>
    </row>
    <row r="75" spans="1:8">
      <c r="A75" s="48">
        <f t="shared" si="15"/>
        <v>70</v>
      </c>
      <c r="C75" s="904">
        <f>ROUND(B66/12,2)</f>
        <v>111.55</v>
      </c>
      <c r="D75" s="904">
        <f t="shared" si="11"/>
        <v>1316.2999999999997</v>
      </c>
      <c r="E75" s="1158">
        <f t="shared" si="16"/>
        <v>2307.04</v>
      </c>
      <c r="F75" s="904">
        <f t="shared" si="14"/>
        <v>3039.9829099999993</v>
      </c>
      <c r="G75" s="904">
        <f t="shared" si="13"/>
        <v>253.33</v>
      </c>
      <c r="H75" s="904">
        <f t="shared" si="13"/>
        <v>2786.65</v>
      </c>
    </row>
    <row r="76" spans="1:8">
      <c r="A76" s="48">
        <f t="shared" si="15"/>
        <v>71</v>
      </c>
      <c r="C76" s="904">
        <f>ROUND(B66/12,2)</f>
        <v>111.55</v>
      </c>
      <c r="D76" s="904">
        <f t="shared" si="11"/>
        <v>1327.4499999999998</v>
      </c>
      <c r="E76" s="1158">
        <f t="shared" si="16"/>
        <v>2326.58</v>
      </c>
      <c r="F76" s="904">
        <f t="shared" si="14"/>
        <v>3039.9829099999993</v>
      </c>
      <c r="G76" s="904">
        <f t="shared" si="13"/>
        <v>253.33</v>
      </c>
      <c r="H76" s="904">
        <f t="shared" si="13"/>
        <v>2786.65</v>
      </c>
    </row>
    <row r="77" spans="1:8">
      <c r="A77" s="48">
        <f t="shared" si="15"/>
        <v>72</v>
      </c>
      <c r="C77" s="904">
        <f>ROUND(B66/12,2)</f>
        <v>111.55</v>
      </c>
      <c r="D77" s="904">
        <f t="shared" si="11"/>
        <v>1338.5999999999997</v>
      </c>
      <c r="E77" s="1158">
        <f t="shared" si="16"/>
        <v>2346.12</v>
      </c>
      <c r="F77" s="904">
        <f t="shared" si="14"/>
        <v>3039.9829099999993</v>
      </c>
      <c r="G77" s="904">
        <f t="shared" si="13"/>
        <v>253.33</v>
      </c>
      <c r="H77" s="904">
        <f t="shared" si="13"/>
        <v>2786.65</v>
      </c>
    </row>
    <row r="78" spans="1:8">
      <c r="B78" s="47"/>
      <c r="C78" s="47"/>
    </row>
  </sheetData>
  <phoneticPr fontId="38" type="noConversion"/>
  <pageMargins left="0.75" right="0.75" top="1" bottom="1" header="0.5" footer="0.5"/>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3">
    <pageSetUpPr fitToPage="1"/>
  </sheetPr>
  <dimension ref="A1:E42"/>
  <sheetViews>
    <sheetView workbookViewId="0">
      <selection activeCell="B34" sqref="B34"/>
    </sheetView>
  </sheetViews>
  <sheetFormatPr defaultColWidth="11.42578125" defaultRowHeight="12.75"/>
  <cols>
    <col min="1" max="1" width="11.42578125" style="1039" customWidth="1"/>
    <col min="2" max="2" width="40.140625" style="1039" customWidth="1"/>
    <col min="3" max="3" width="28.140625" style="1039" bestFit="1" customWidth="1"/>
    <col min="4" max="9" width="11.42578125" style="1039" customWidth="1"/>
    <col min="10" max="10" width="23.5703125" style="1039" bestFit="1" customWidth="1"/>
    <col min="11" max="11" width="23" style="1039" bestFit="1" customWidth="1"/>
    <col min="12" max="16384" width="11.42578125" style="1039"/>
  </cols>
  <sheetData>
    <row r="1" spans="1:5">
      <c r="A1" s="1039" t="s">
        <v>1505</v>
      </c>
      <c r="B1" s="1039" t="s">
        <v>1506</v>
      </c>
      <c r="C1" s="1039" t="s">
        <v>932</v>
      </c>
      <c r="D1" s="1039" t="s">
        <v>933</v>
      </c>
      <c r="E1" s="1039" t="s">
        <v>3560</v>
      </c>
    </row>
    <row r="2" spans="1:5">
      <c r="A2" s="1039">
        <v>1</v>
      </c>
      <c r="B2" t="s">
        <v>4082</v>
      </c>
      <c r="C2" s="1039">
        <v>10</v>
      </c>
    </row>
    <row r="3" spans="1:5">
      <c r="A3" s="1039">
        <v>2</v>
      </c>
      <c r="B3" t="s">
        <v>992</v>
      </c>
      <c r="C3" s="1039" t="s">
        <v>3561</v>
      </c>
      <c r="E3" s="1039">
        <v>7</v>
      </c>
    </row>
    <row r="4" spans="1:5">
      <c r="A4" s="1039">
        <v>2</v>
      </c>
      <c r="B4" t="s">
        <v>2323</v>
      </c>
      <c r="C4" s="1039" t="s">
        <v>2655</v>
      </c>
      <c r="E4" s="1039">
        <v>41</v>
      </c>
    </row>
    <row r="5" spans="1:5">
      <c r="A5" s="1039">
        <v>2</v>
      </c>
      <c r="B5" t="s">
        <v>2171</v>
      </c>
      <c r="C5" s="1039" t="s">
        <v>2172</v>
      </c>
      <c r="E5" s="1039">
        <v>40</v>
      </c>
    </row>
    <row r="6" spans="1:5">
      <c r="A6" s="1039">
        <v>2</v>
      </c>
      <c r="B6" t="s">
        <v>3676</v>
      </c>
      <c r="C6" s="1039" t="s">
        <v>3675</v>
      </c>
      <c r="E6" s="1039">
        <v>144</v>
      </c>
    </row>
    <row r="7" spans="1:5">
      <c r="A7" s="1039">
        <v>2</v>
      </c>
      <c r="B7" t="s">
        <v>569</v>
      </c>
      <c r="C7" s="1039" t="s">
        <v>3033</v>
      </c>
      <c r="E7" s="1039">
        <v>143</v>
      </c>
    </row>
    <row r="8" spans="1:5">
      <c r="A8" s="1039">
        <v>2</v>
      </c>
      <c r="B8" t="s">
        <v>4083</v>
      </c>
    </row>
    <row r="9" spans="1:5">
      <c r="A9" s="1039">
        <v>3</v>
      </c>
      <c r="B9" t="s">
        <v>4130</v>
      </c>
      <c r="C9" s="1039" t="s">
        <v>2281</v>
      </c>
      <c r="E9" s="1039">
        <v>166</v>
      </c>
    </row>
    <row r="10" spans="1:5">
      <c r="A10" s="1039">
        <v>3</v>
      </c>
      <c r="B10" t="s">
        <v>2324</v>
      </c>
      <c r="C10" s="1039" t="s">
        <v>490</v>
      </c>
      <c r="E10" s="1039">
        <v>166</v>
      </c>
    </row>
    <row r="11" spans="1:5">
      <c r="A11" s="1039">
        <v>3</v>
      </c>
      <c r="B11" t="s">
        <v>3474</v>
      </c>
      <c r="C11" s="1039" t="s">
        <v>2362</v>
      </c>
      <c r="E11" s="1039">
        <v>166</v>
      </c>
    </row>
    <row r="12" spans="1:5">
      <c r="A12" s="1039">
        <v>3</v>
      </c>
      <c r="B12" t="s">
        <v>3475</v>
      </c>
      <c r="C12" s="1039" t="s">
        <v>3772</v>
      </c>
      <c r="E12" s="1039">
        <v>166</v>
      </c>
    </row>
    <row r="13" spans="1:5">
      <c r="A13" s="1039">
        <v>3</v>
      </c>
      <c r="B13" t="s">
        <v>3677</v>
      </c>
      <c r="C13" s="1039" t="s">
        <v>2654</v>
      </c>
      <c r="E13" s="1039">
        <v>166</v>
      </c>
    </row>
    <row r="14" spans="1:5">
      <c r="A14" s="1039">
        <v>3</v>
      </c>
      <c r="B14" t="s">
        <v>315</v>
      </c>
      <c r="C14" s="1039" t="s">
        <v>316</v>
      </c>
      <c r="E14" s="1039">
        <v>37</v>
      </c>
    </row>
    <row r="15" spans="1:5">
      <c r="A15" s="1039">
        <v>2</v>
      </c>
      <c r="B15" t="s">
        <v>4131</v>
      </c>
    </row>
    <row r="16" spans="1:5">
      <c r="A16" s="1039">
        <v>3</v>
      </c>
      <c r="B16" s="1039" t="s">
        <v>4132</v>
      </c>
      <c r="C16" s="1039" t="s">
        <v>613</v>
      </c>
      <c r="E16" s="1039">
        <v>172</v>
      </c>
    </row>
    <row r="17" spans="1:5">
      <c r="A17" s="1039">
        <v>3</v>
      </c>
      <c r="B17" s="1039" t="s">
        <v>4081</v>
      </c>
      <c r="C17" s="1039" t="s">
        <v>1296</v>
      </c>
      <c r="E17" s="1039">
        <v>172</v>
      </c>
    </row>
    <row r="18" spans="1:5">
      <c r="A18" s="1039">
        <v>3</v>
      </c>
      <c r="B18" s="1039" t="s">
        <v>2350</v>
      </c>
      <c r="C18" s="1039" t="s">
        <v>2894</v>
      </c>
      <c r="E18" s="1039">
        <v>172</v>
      </c>
    </row>
    <row r="19" spans="1:5">
      <c r="A19" s="1039">
        <v>3</v>
      </c>
      <c r="B19" s="1039" t="s">
        <v>980</v>
      </c>
      <c r="C19" s="1039" t="s">
        <v>2363</v>
      </c>
      <c r="E19" s="1039">
        <v>172</v>
      </c>
    </row>
    <row r="20" spans="1:5">
      <c r="A20" s="1039">
        <v>3</v>
      </c>
      <c r="B20" s="1039" t="s">
        <v>981</v>
      </c>
      <c r="C20" s="1039" t="s">
        <v>1295</v>
      </c>
      <c r="E20" s="1039">
        <v>172</v>
      </c>
    </row>
    <row r="21" spans="1:5">
      <c r="A21" s="1039">
        <v>3</v>
      </c>
      <c r="B21" s="1039" t="s">
        <v>2902</v>
      </c>
      <c r="C21" s="1039" t="s">
        <v>4106</v>
      </c>
      <c r="E21" s="1039">
        <v>172</v>
      </c>
    </row>
    <row r="22" spans="1:5">
      <c r="A22" s="1039">
        <v>3</v>
      </c>
      <c r="B22" s="1039" t="s">
        <v>3477</v>
      </c>
      <c r="C22" s="1039" t="s">
        <v>3476</v>
      </c>
      <c r="E22" s="1039">
        <v>172</v>
      </c>
    </row>
    <row r="23" spans="1:5">
      <c r="A23" s="1039">
        <v>3</v>
      </c>
      <c r="B23" s="1039" t="s">
        <v>982</v>
      </c>
      <c r="C23" s="1039" t="s">
        <v>1743</v>
      </c>
      <c r="E23" s="1039">
        <v>172</v>
      </c>
    </row>
    <row r="24" spans="1:5">
      <c r="A24" s="1039">
        <v>3</v>
      </c>
      <c r="B24" s="1039" t="s">
        <v>3540</v>
      </c>
      <c r="C24" s="1039" t="s">
        <v>3710</v>
      </c>
      <c r="E24" s="1039">
        <v>172</v>
      </c>
    </row>
    <row r="25" spans="1:5">
      <c r="A25" s="1039">
        <v>2</v>
      </c>
      <c r="B25" s="1039" t="s">
        <v>993</v>
      </c>
    </row>
    <row r="26" spans="1:5">
      <c r="A26" s="1039">
        <v>3</v>
      </c>
      <c r="B26" s="1039" t="s">
        <v>994</v>
      </c>
      <c r="C26" s="1039" t="s">
        <v>1297</v>
      </c>
      <c r="E26" s="1039">
        <v>173</v>
      </c>
    </row>
    <row r="27" spans="1:5">
      <c r="A27" s="1039">
        <v>3</v>
      </c>
      <c r="B27" s="1039" t="s">
        <v>995</v>
      </c>
      <c r="C27" s="1039" t="s">
        <v>1298</v>
      </c>
      <c r="E27" s="1039">
        <v>173</v>
      </c>
    </row>
    <row r="28" spans="1:5">
      <c r="A28" s="1039">
        <v>3</v>
      </c>
      <c r="B28" s="1039" t="s">
        <v>996</v>
      </c>
      <c r="C28" s="1039" t="s">
        <v>1299</v>
      </c>
      <c r="E28" s="1039">
        <v>173</v>
      </c>
    </row>
    <row r="29" spans="1:5">
      <c r="A29" s="1039">
        <v>2</v>
      </c>
      <c r="B29" s="1039" t="s">
        <v>2688</v>
      </c>
    </row>
    <row r="30" spans="1:5">
      <c r="A30" s="1039">
        <v>3</v>
      </c>
      <c r="B30" s="1039" t="s">
        <v>2478</v>
      </c>
      <c r="C30" s="1039" t="s">
        <v>877</v>
      </c>
      <c r="E30" s="1039">
        <v>173</v>
      </c>
    </row>
    <row r="31" spans="1:5">
      <c r="A31" s="1039">
        <v>3</v>
      </c>
      <c r="B31" s="1039" t="s">
        <v>36</v>
      </c>
      <c r="C31" s="1039" t="s">
        <v>3709</v>
      </c>
      <c r="E31" s="1039">
        <v>173</v>
      </c>
    </row>
    <row r="32" spans="1:5">
      <c r="A32" s="1039">
        <v>3</v>
      </c>
      <c r="B32" s="1039" t="s">
        <v>3626</v>
      </c>
      <c r="C32" s="1039" t="s">
        <v>1500</v>
      </c>
      <c r="E32" s="1039">
        <v>39</v>
      </c>
    </row>
    <row r="33" spans="1:5">
      <c r="A33" s="2506">
        <v>3</v>
      </c>
      <c r="B33" s="2885" t="s">
        <v>5367</v>
      </c>
      <c r="C33" s="2506" t="s">
        <v>5268</v>
      </c>
      <c r="D33" s="2506"/>
      <c r="E33" s="2506">
        <v>38</v>
      </c>
    </row>
    <row r="34" spans="1:5">
      <c r="A34" s="1039">
        <v>3</v>
      </c>
      <c r="B34" s="1039" t="s">
        <v>75</v>
      </c>
      <c r="C34" s="1039" t="s">
        <v>74</v>
      </c>
      <c r="E34" s="1039">
        <v>173</v>
      </c>
    </row>
    <row r="35" spans="1:5">
      <c r="A35" s="1039">
        <v>3</v>
      </c>
      <c r="B35" s="1039" t="s">
        <v>147</v>
      </c>
      <c r="C35" s="1039" t="s">
        <v>144</v>
      </c>
      <c r="E35" s="1039">
        <v>174</v>
      </c>
    </row>
    <row r="36" spans="1:5">
      <c r="A36" s="1039">
        <v>3</v>
      </c>
      <c r="B36" s="1039" t="s">
        <v>146</v>
      </c>
      <c r="C36" s="1039" t="s">
        <v>145</v>
      </c>
      <c r="E36" s="1039">
        <v>174</v>
      </c>
    </row>
    <row r="37" spans="1:5">
      <c r="A37" s="1039">
        <v>2</v>
      </c>
      <c r="B37" s="1039" t="s">
        <v>37</v>
      </c>
    </row>
    <row r="38" spans="1:5">
      <c r="A38" s="1039">
        <v>3</v>
      </c>
      <c r="B38" s="1039" t="s">
        <v>2756</v>
      </c>
      <c r="C38" s="1039" t="s">
        <v>2757</v>
      </c>
      <c r="E38" s="1039">
        <v>171</v>
      </c>
    </row>
    <row r="39" spans="1:5">
      <c r="A39" s="1039">
        <v>3</v>
      </c>
      <c r="B39" s="1039" t="s">
        <v>2758</v>
      </c>
      <c r="C39" s="1039" t="s">
        <v>2393</v>
      </c>
      <c r="E39" s="1039">
        <v>152</v>
      </c>
    </row>
    <row r="40" spans="1:5">
      <c r="A40" s="1039">
        <v>3</v>
      </c>
      <c r="B40" s="1039" t="s">
        <v>2687</v>
      </c>
      <c r="C40" s="1039" t="s">
        <v>1501</v>
      </c>
      <c r="E40" s="1039">
        <v>39</v>
      </c>
    </row>
    <row r="41" spans="1:5" s="56" customFormat="1">
      <c r="A41" s="56">
        <v>3</v>
      </c>
      <c r="B41" s="56" t="s">
        <v>5271</v>
      </c>
      <c r="C41" s="56" t="s">
        <v>5270</v>
      </c>
      <c r="E41" s="56">
        <v>38</v>
      </c>
    </row>
    <row r="42" spans="1:5">
      <c r="E42" s="56"/>
    </row>
  </sheetData>
  <phoneticPr fontId="38" type="noConversion"/>
  <pageMargins left="0.75" right="0.75" top="1" bottom="1" header="0.5" footer="0.5"/>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31</vt:i4>
      </vt:variant>
      <vt:variant>
        <vt:lpstr>Named Ranges</vt:lpstr>
      </vt:variant>
      <vt:variant>
        <vt:i4>349</vt:i4>
      </vt:variant>
    </vt:vector>
  </HeadingPairs>
  <TitlesOfParts>
    <vt:vector size="380" baseType="lpstr">
      <vt:lpstr>Page d'accueil</vt:lpstr>
      <vt:lpstr>TotalGeneral</vt:lpstr>
      <vt:lpstr>Total</vt:lpstr>
      <vt:lpstr>Total X-1</vt:lpstr>
      <vt:lpstr>Total_Code</vt:lpstr>
      <vt:lpstr>Total_Code X-1</vt:lpstr>
      <vt:lpstr>ParaN</vt:lpstr>
      <vt:lpstr>Ops</vt:lpstr>
      <vt:lpstr>Calog</vt:lpstr>
      <vt:lpstr>ExtrFiltre</vt:lpstr>
      <vt:lpstr>OpsCalog</vt:lpstr>
      <vt:lpstr>Formules</vt:lpstr>
      <vt:lpstr>FormAide</vt:lpstr>
      <vt:lpstr>DepPersExport</vt:lpstr>
      <vt:lpstr>Tutelle1</vt:lpstr>
      <vt:lpstr>Tutelle2</vt:lpstr>
      <vt:lpstr>Tutelle_UitgKrediet</vt:lpstr>
      <vt:lpstr>X_SuiviImport</vt:lpstr>
      <vt:lpstr>&lt;X_SuiviImport</vt:lpstr>
      <vt:lpstr>Eléments barémiques</vt:lpstr>
      <vt:lpstr>Sheet1</vt:lpstr>
      <vt:lpstr>Suppléments</vt:lpstr>
      <vt:lpstr>BarNego19</vt:lpstr>
      <vt:lpstr>BarR</vt:lpstr>
      <vt:lpstr>BarC</vt:lpstr>
      <vt:lpstr>BarO</vt:lpstr>
      <vt:lpstr>Zone</vt:lpstr>
      <vt:lpstr>LCD</vt:lpstr>
      <vt:lpstr>CodesTHEMIS</vt:lpstr>
      <vt:lpstr>BXL</vt:lpstr>
      <vt:lpstr>MenuGeg</vt:lpstr>
      <vt:lpstr>_afa2010</vt:lpstr>
      <vt:lpstr>A_T1</vt:lpstr>
      <vt:lpstr>A_T2</vt:lpstr>
      <vt:lpstr>ACS</vt:lpstr>
      <vt:lpstr>AFA_Max</vt:lpstr>
      <vt:lpstr>AFA_Min</vt:lpstr>
      <vt:lpstr>AFApct2</vt:lpstr>
      <vt:lpstr>ALGTOT</vt:lpstr>
      <vt:lpstr>AnBud</vt:lpstr>
      <vt:lpstr>AnCrimCiv</vt:lpstr>
      <vt:lpstr>ANNEE</vt:lpstr>
      <vt:lpstr>AnnéeImposé</vt:lpstr>
      <vt:lpstr>APPROF</vt:lpstr>
      <vt:lpstr>ArbO_Arbeid</vt:lpstr>
      <vt:lpstr>ArbO_Bed</vt:lpstr>
      <vt:lpstr>ArbO_Ops</vt:lpstr>
      <vt:lpstr>ARREST</vt:lpstr>
      <vt:lpstr>BarNego18Ops</vt:lpstr>
      <vt:lpstr>BIL</vt:lpstr>
      <vt:lpstr>BILAutre</vt:lpstr>
      <vt:lpstr>BilCalGR</vt:lpstr>
      <vt:lpstr>BilCalKln</vt:lpstr>
      <vt:lpstr>BILGR</vt:lpstr>
      <vt:lpstr>BILN</vt:lpstr>
      <vt:lpstr>bilzon</vt:lpstr>
      <vt:lpstr>BT_CRPct</vt:lpstr>
      <vt:lpstr>bxl</vt:lpstr>
      <vt:lpstr>Bxl_N</vt:lpstr>
      <vt:lpstr>BXL_YN</vt:lpstr>
      <vt:lpstr>BxlCiv</vt:lpstr>
      <vt:lpstr>CalogEQP</vt:lpstr>
      <vt:lpstr>CheckATAOPCT</vt:lpstr>
      <vt:lpstr>CheckLoaded</vt:lpstr>
      <vt:lpstr>ChPatBdr</vt:lpstr>
      <vt:lpstr>ChRepasCheck</vt:lpstr>
      <vt:lpstr>CJ</vt:lpstr>
      <vt:lpstr>CK</vt:lpstr>
      <vt:lpstr>Cnt_FiltC</vt:lpstr>
      <vt:lpstr>Cnt_FiltO</vt:lpstr>
      <vt:lpstr>Comp</vt:lpstr>
      <vt:lpstr>CompOPensPat</vt:lpstr>
      <vt:lpstr>CompOPensPat_X_1</vt:lpstr>
      <vt:lpstr>Compot_ctl4</vt:lpstr>
      <vt:lpstr>Copernic</vt:lpstr>
      <vt:lpstr>CopieExtrFilt</vt:lpstr>
      <vt:lpstr>CS_FIX</vt:lpstr>
      <vt:lpstr>CT</vt:lpstr>
      <vt:lpstr>Ctl_ALGTOT</vt:lpstr>
      <vt:lpstr>Ctl_Bil</vt:lpstr>
      <vt:lpstr>Ctl_FiltC</vt:lpstr>
      <vt:lpstr>Ctl_FiltO</vt:lpstr>
      <vt:lpstr>Ctl_PlafTrim</vt:lpstr>
      <vt:lpstr>CtlFC_C</vt:lpstr>
      <vt:lpstr>CtlFC_O</vt:lpstr>
      <vt:lpstr>CtlPrest</vt:lpstr>
      <vt:lpstr>CtlPrest2</vt:lpstr>
      <vt:lpstr>DA</vt:lpstr>
      <vt:lpstr>DatPensCalog</vt:lpstr>
      <vt:lpstr>DatPensOps</vt:lpstr>
      <vt:lpstr>DatStop19Toel</vt:lpstr>
      <vt:lpstr>DB</vt:lpstr>
      <vt:lpstr>Deduc99</vt:lpstr>
      <vt:lpstr>DZ</vt:lpstr>
      <vt:lpstr>E_A</vt:lpstr>
      <vt:lpstr>EchuAnti</vt:lpstr>
      <vt:lpstr>EcoAPE</vt:lpstr>
      <vt:lpstr>EcoAPE_F</vt:lpstr>
      <vt:lpstr>EcoAPEX1</vt:lpstr>
      <vt:lpstr>EcoAPEX1_F</vt:lpstr>
      <vt:lpstr>EcoCal</vt:lpstr>
      <vt:lpstr>EcoCal_F</vt:lpstr>
      <vt:lpstr>EcoCalX1</vt:lpstr>
      <vt:lpstr>EcoCalX1_F</vt:lpstr>
      <vt:lpstr>EcoOps</vt:lpstr>
      <vt:lpstr>EcoOps_F</vt:lpstr>
      <vt:lpstr>EcoOpsx1</vt:lpstr>
      <vt:lpstr>EcoOpsX1_F</vt:lpstr>
      <vt:lpstr>EJT_Max</vt:lpstr>
      <vt:lpstr>EJT_Min</vt:lpstr>
      <vt:lpstr>EjtAfaFix</vt:lpstr>
      <vt:lpstr>EjtAfaPat</vt:lpstr>
      <vt:lpstr>EnqDec</vt:lpstr>
      <vt:lpstr>EnqJDec</vt:lpstr>
      <vt:lpstr>EnqJNab</vt:lpstr>
      <vt:lpstr>EnqJVoor</vt:lpstr>
      <vt:lpstr>EnqNab</vt:lpstr>
      <vt:lpstr>EnqVoor</vt:lpstr>
      <vt:lpstr>Ens_Ond</vt:lpstr>
      <vt:lpstr>ex</vt:lpstr>
      <vt:lpstr>ExpAPE1</vt:lpstr>
      <vt:lpstr>ExpBPRCS</vt:lpstr>
      <vt:lpstr>ExpBRP</vt:lpstr>
      <vt:lpstr>ExpCal1</vt:lpstr>
      <vt:lpstr>ExpOps1</vt:lpstr>
      <vt:lpstr>ExpOpsNavap</vt:lpstr>
      <vt:lpstr>F_C_OMax</vt:lpstr>
      <vt:lpstr>F_C_OMin</vt:lpstr>
      <vt:lpstr>F_Calog_ln10</vt:lpstr>
      <vt:lpstr>F_CALog2_start</vt:lpstr>
      <vt:lpstr>F_CalogOrig</vt:lpstr>
      <vt:lpstr>F_CalogTotCod</vt:lpstr>
      <vt:lpstr>F_CalogTotCodx1</vt:lpstr>
      <vt:lpstr>F_EcoCal</vt:lpstr>
      <vt:lpstr>F_EcoOps</vt:lpstr>
      <vt:lpstr>F_GECOTotCod</vt:lpstr>
      <vt:lpstr>F_GECOTotCodx1</vt:lpstr>
      <vt:lpstr>F_Ops_ln18</vt:lpstr>
      <vt:lpstr>F_Ops_Orig</vt:lpstr>
      <vt:lpstr>F_OPS2_Copie</vt:lpstr>
      <vt:lpstr>F_Ops2_Start</vt:lpstr>
      <vt:lpstr>F_OpsTotCod</vt:lpstr>
      <vt:lpstr>F_OpsTotCodx1</vt:lpstr>
      <vt:lpstr>FIETS</vt:lpstr>
      <vt:lpstr>Filter</vt:lpstr>
      <vt:lpstr>FilterC</vt:lpstr>
      <vt:lpstr>FiltOCResult</vt:lpstr>
      <vt:lpstr>Form13CALogNab</vt:lpstr>
      <vt:lpstr>Form13OpsNab</vt:lpstr>
      <vt:lpstr>FormCalog_AllinX</vt:lpstr>
      <vt:lpstr>FormCalog13PlusECA</vt:lpstr>
      <vt:lpstr>FormCalog2009</vt:lpstr>
      <vt:lpstr>FormCalogWH</vt:lpstr>
      <vt:lpstr>FormOps_AllinX</vt:lpstr>
      <vt:lpstr>FormOps13PlusECA</vt:lpstr>
      <vt:lpstr>FormOps2009</vt:lpstr>
      <vt:lpstr>FormOpsFix13</vt:lpstr>
      <vt:lpstr>FormOpsWH</vt:lpstr>
      <vt:lpstr>FormRefPer</vt:lpstr>
      <vt:lpstr>FormuleRef1</vt:lpstr>
      <vt:lpstr>FormuleRef2</vt:lpstr>
      <vt:lpstr>FormuleRef3</vt:lpstr>
      <vt:lpstr>full</vt:lpstr>
      <vt:lpstr>FunctCodCtl_C</vt:lpstr>
      <vt:lpstr>FunctCodCtl_G</vt:lpstr>
      <vt:lpstr>FunctCodCtl_O</vt:lpstr>
      <vt:lpstr>FunctCodCtl2_C</vt:lpstr>
      <vt:lpstr>FunctCodCtl2_G</vt:lpstr>
      <vt:lpstr>FunctCodCtl2_O</vt:lpstr>
      <vt:lpstr>GesCoAantal</vt:lpstr>
      <vt:lpstr>HonNab</vt:lpstr>
      <vt:lpstr>HonVoor</vt:lpstr>
      <vt:lpstr>HrPct</vt:lpstr>
      <vt:lpstr>HS_FR</vt:lpstr>
      <vt:lpstr>IMI_N</vt:lpstr>
      <vt:lpstr>ImportAccessX</vt:lpstr>
      <vt:lpstr>ImportAccessX_1</vt:lpstr>
      <vt:lpstr>IN_AccessX</vt:lpstr>
      <vt:lpstr>IN_AccessX_1</vt:lpstr>
      <vt:lpstr>IndbasePPB_CGL</vt:lpstr>
      <vt:lpstr>IndDiff</vt:lpstr>
      <vt:lpstr>IndDiffDec</vt:lpstr>
      <vt:lpstr>IndDiffNab</vt:lpstr>
      <vt:lpstr>IndexFix</vt:lpstr>
      <vt:lpstr>IndKmDec</vt:lpstr>
      <vt:lpstr>IndKmN</vt:lpstr>
      <vt:lpstr>IndR20</vt:lpstr>
      <vt:lpstr>IndR21</vt:lpstr>
      <vt:lpstr>IndR22</vt:lpstr>
      <vt:lpstr>IndR23</vt:lpstr>
      <vt:lpstr>IndR24</vt:lpstr>
      <vt:lpstr>IndR25</vt:lpstr>
      <vt:lpstr>IndR26</vt:lpstr>
      <vt:lpstr>IndR27</vt:lpstr>
      <vt:lpstr>IndR28</vt:lpstr>
      <vt:lpstr>IndR29</vt:lpstr>
      <vt:lpstr>IndR30</vt:lpstr>
      <vt:lpstr>IndR31</vt:lpstr>
      <vt:lpstr>IndR32</vt:lpstr>
      <vt:lpstr>IndR33</vt:lpstr>
      <vt:lpstr>IndR34</vt:lpstr>
      <vt:lpstr>IndR35</vt:lpstr>
      <vt:lpstr>IndR36</vt:lpstr>
      <vt:lpstr>IndR37</vt:lpstr>
      <vt:lpstr>IndR38</vt:lpstr>
      <vt:lpstr>IndR39</vt:lpstr>
      <vt:lpstr>IndR40</vt:lpstr>
      <vt:lpstr>IndR41</vt:lpstr>
      <vt:lpstr>IndR42</vt:lpstr>
      <vt:lpstr>IndR43</vt:lpstr>
      <vt:lpstr>IndRef</vt:lpstr>
      <vt:lpstr>IndT</vt:lpstr>
      <vt:lpstr>IndT_N</vt:lpstr>
      <vt:lpstr>IndT_N1</vt:lpstr>
      <vt:lpstr>IndW</vt:lpstr>
      <vt:lpstr>IndW_N</vt:lpstr>
      <vt:lpstr>IndW_N1</vt:lpstr>
      <vt:lpstr>Info_MTC</vt:lpstr>
      <vt:lpstr>InputCalog</vt:lpstr>
      <vt:lpstr>InputOps</vt:lpstr>
      <vt:lpstr>InstrDec</vt:lpstr>
      <vt:lpstr>InstrNab</vt:lpstr>
      <vt:lpstr>InstrVoor</vt:lpstr>
      <vt:lpstr>IP_D</vt:lpstr>
      <vt:lpstr>IP_D2</vt:lpstr>
      <vt:lpstr>JE</vt:lpstr>
      <vt:lpstr>LinesCalog</vt:lpstr>
      <vt:lpstr>M_T1</vt:lpstr>
      <vt:lpstr>M_T2</vt:lpstr>
      <vt:lpstr>Man_2</vt:lpstr>
      <vt:lpstr>Mandat</vt:lpstr>
      <vt:lpstr>MandatZPZ</vt:lpstr>
      <vt:lpstr>MaxOps</vt:lpstr>
      <vt:lpstr>MC_Nbr</vt:lpstr>
      <vt:lpstr>MDAnCr</vt:lpstr>
      <vt:lpstr>MentDec</vt:lpstr>
      <vt:lpstr>MentNab</vt:lpstr>
      <vt:lpstr>MentVoor</vt:lpstr>
      <vt:lpstr>MntAnCR</vt:lpstr>
      <vt:lpstr>Moto</vt:lpstr>
      <vt:lpstr>Moto_T</vt:lpstr>
      <vt:lpstr>MPL</vt:lpstr>
      <vt:lpstr>MTC_Patr</vt:lpstr>
      <vt:lpstr>MTC_Price</vt:lpstr>
      <vt:lpstr>MTC_QPP</vt:lpstr>
      <vt:lpstr>N_T1</vt:lpstr>
      <vt:lpstr>N_T2</vt:lpstr>
      <vt:lpstr>NabTransitX</vt:lpstr>
      <vt:lpstr>NeutrNego</vt:lpstr>
      <vt:lpstr>New_2019</vt:lpstr>
      <vt:lpstr>Noct1Pct</vt:lpstr>
      <vt:lpstr>Noct2Pct</vt:lpstr>
      <vt:lpstr>NonDec</vt:lpstr>
      <vt:lpstr>NonDefC</vt:lpstr>
      <vt:lpstr>NonDefO</vt:lpstr>
      <vt:lpstr>NutM</vt:lpstr>
      <vt:lpstr>O_T1</vt:lpstr>
      <vt:lpstr>O_T2</vt:lpstr>
      <vt:lpstr>OpsEQP</vt:lpstr>
      <vt:lpstr>OpsFilter</vt:lpstr>
      <vt:lpstr>PatPensX_1</vt:lpstr>
      <vt:lpstr>PatrATAO</vt:lpstr>
      <vt:lpstr>PatrLast</vt:lpstr>
      <vt:lpstr>PctRepas</vt:lpstr>
      <vt:lpstr>PctSvSocDst</vt:lpstr>
      <vt:lpstr>PctVarAFA</vt:lpstr>
      <vt:lpstr>PensC4_5</vt:lpstr>
      <vt:lpstr>PensCtr</vt:lpstr>
      <vt:lpstr>PensGesco</vt:lpstr>
      <vt:lpstr>PensStat</vt:lpstr>
      <vt:lpstr>Pl_pat</vt:lpstr>
      <vt:lpstr>PlafondTrimCGL</vt:lpstr>
      <vt:lpstr>Plak_BarElem</vt:lpstr>
      <vt:lpstr>Plak_BudSupll</vt:lpstr>
      <vt:lpstr>Prest_supl</vt:lpstr>
      <vt:lpstr>Calog!Print_Area</vt:lpstr>
      <vt:lpstr>FormAide!Print_Area</vt:lpstr>
      <vt:lpstr>Ops!Print_Area</vt:lpstr>
      <vt:lpstr>Total!Print_Area</vt:lpstr>
      <vt:lpstr>'Total X-1'!Print_Area</vt:lpstr>
      <vt:lpstr>Total_Code!Print_Area</vt:lpstr>
      <vt:lpstr>TotalGeneral!Print_Area</vt:lpstr>
      <vt:lpstr>Tutelle_UitgKrediet!Print_Area</vt:lpstr>
      <vt:lpstr>Tutelle1!Print_Area</vt:lpstr>
      <vt:lpstr>Calog!Print_Titles</vt:lpstr>
      <vt:lpstr>DepPersExport!Print_Titles</vt:lpstr>
      <vt:lpstr>FormAide!Print_Titles</vt:lpstr>
      <vt:lpstr>Ops!Print_Titles</vt:lpstr>
      <vt:lpstr>Total_Code!Print_Titles</vt:lpstr>
      <vt:lpstr>'Total_Code X-1'!Print_Titles</vt:lpstr>
      <vt:lpstr>TotalGeneral!Print_Titles</vt:lpstr>
      <vt:lpstr>Tutelle1!Print_Titles</vt:lpstr>
      <vt:lpstr>Zone!Print_Titles</vt:lpstr>
      <vt:lpstr>Prox</vt:lpstr>
      <vt:lpstr>PV_COPs</vt:lpstr>
      <vt:lpstr>PVG_Ops</vt:lpstr>
      <vt:lpstr>SecrFix</vt:lpstr>
      <vt:lpstr>StCtr</vt:lpstr>
      <vt:lpstr>SubSocCalog</vt:lpstr>
      <vt:lpstr>SubSocOPs</vt:lpstr>
      <vt:lpstr>SubSocToelBase</vt:lpstr>
      <vt:lpstr>T_Calog</vt:lpstr>
      <vt:lpstr>T_DirAnti</vt:lpstr>
      <vt:lpstr>T_DirDec</vt:lpstr>
      <vt:lpstr>T_DirPost</vt:lpstr>
      <vt:lpstr>T_Econ</vt:lpstr>
      <vt:lpstr>T_EconC</vt:lpstr>
      <vt:lpstr>T_Ops</vt:lpstr>
      <vt:lpstr>Tab_CO</vt:lpstr>
      <vt:lpstr>Tab_Dir</vt:lpstr>
      <vt:lpstr>TabBarCalog</vt:lpstr>
      <vt:lpstr>TabBarOps</vt:lpstr>
      <vt:lpstr>Tb1_M</vt:lpstr>
      <vt:lpstr>Tb1_N</vt:lpstr>
      <vt:lpstr>Tb1_OPD</vt:lpstr>
      <vt:lpstr>Tb2_M</vt:lpstr>
      <vt:lpstr>Tb2_N</vt:lpstr>
      <vt:lpstr>Tb2_OPD</vt:lpstr>
      <vt:lpstr>TbIndN</vt:lpstr>
      <vt:lpstr>Tbl_PatrAmi</vt:lpstr>
      <vt:lpstr>TblZone</vt:lpstr>
      <vt:lpstr>TenDec</vt:lpstr>
      <vt:lpstr>TenMDec</vt:lpstr>
      <vt:lpstr>TenMNab</vt:lpstr>
      <vt:lpstr>TenMVoor</vt:lpstr>
      <vt:lpstr>TenNab</vt:lpstr>
      <vt:lpstr>TenVoor</vt:lpstr>
      <vt:lpstr>TfDec</vt:lpstr>
      <vt:lpstr>TfNab</vt:lpstr>
      <vt:lpstr>TFVoor</vt:lpstr>
      <vt:lpstr>TitFilt</vt:lpstr>
      <vt:lpstr>TotCodX1</vt:lpstr>
      <vt:lpstr>Tut1APE</vt:lpstr>
      <vt:lpstr>Tut1Cal4_5</vt:lpstr>
      <vt:lpstr>Tut1CalCtr</vt:lpstr>
      <vt:lpstr>Tut1NAPAP</vt:lpstr>
      <vt:lpstr>Tut1OpsCtr</vt:lpstr>
      <vt:lpstr>Tut1Rows</vt:lpstr>
      <vt:lpstr>Tut2APE</vt:lpstr>
      <vt:lpstr>Tut2NAPAP</vt:lpstr>
      <vt:lpstr>Tut2Rows</vt:lpstr>
      <vt:lpstr>Tut4_5</vt:lpstr>
      <vt:lpstr>TutAPE</vt:lpstr>
      <vt:lpstr>TutBRP_CS</vt:lpstr>
      <vt:lpstr>TutCalCtr</vt:lpstr>
      <vt:lpstr>TutCalStat</vt:lpstr>
      <vt:lpstr>TutOpsCtr</vt:lpstr>
      <vt:lpstr>TutOpsNAPP</vt:lpstr>
      <vt:lpstr>TutOpsStat</vt:lpstr>
      <vt:lpstr>TutTri1</vt:lpstr>
      <vt:lpstr>TutTri2</vt:lpstr>
      <vt:lpstr>TVDec</vt:lpstr>
      <vt:lpstr>TVNab</vt:lpstr>
      <vt:lpstr>TVVoor</vt:lpstr>
      <vt:lpstr>TYDec</vt:lpstr>
      <vt:lpstr>TYNab</vt:lpstr>
      <vt:lpstr>TYVoor</vt:lpstr>
      <vt:lpstr>TZVoor</vt:lpstr>
      <vt:lpstr>UM</vt:lpstr>
      <vt:lpstr>UMdec</vt:lpstr>
      <vt:lpstr>umNab</vt:lpstr>
      <vt:lpstr>UtilO</vt:lpstr>
      <vt:lpstr>UtilS</vt:lpstr>
      <vt:lpstr>VVSG_UVC</vt:lpstr>
      <vt:lpstr>WEPct</vt:lpstr>
      <vt:lpstr>ZIV_geco</vt:lpstr>
      <vt:lpstr>ZIVC4_5</vt:lpstr>
      <vt:lpstr>ZIVContr</vt:lpstr>
      <vt:lpstr>ZIVGesco</vt:lpstr>
      <vt:lpstr>ZIVStat</vt:lpstr>
      <vt:lpstr>ZK_LCD</vt:lpstr>
      <vt:lpstr>Zk_PrestAll</vt:lpstr>
      <vt:lpstr>ZkBarCalog</vt:lpstr>
      <vt:lpstr>ZkBarOps</vt:lpstr>
      <vt:lpstr>ZkBarOpsPS</vt:lpstr>
      <vt:lpstr>ZkC</vt:lpstr>
      <vt:lpstr>ZkCCdvu</vt:lpstr>
      <vt:lpstr>ZkO</vt:lpstr>
      <vt:lpstr>ZkOCdvu</vt:lpstr>
      <vt:lpstr>ZoneNr</vt:lpstr>
    </vt:vector>
  </TitlesOfParts>
  <Manager>Piet Van Hoylandt    02/642 64 09</Manager>
  <Company>SSGPI/COORD/ICT/Report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BudgPersPZAutom FR</dc:title>
  <dc:subject>Estimation  Budget Personel</dc:subject>
  <dc:creator>PVH  current version</dc:creator>
  <cp:keywords>Baremische elementen -supplementen</cp:keywords>
  <dc:description>Total - Ops - Calog (APE)_x000d_
Total-code Ventilatiion par code économique_x000d_
TotOpsFiltM TotCalogFiltM + Macro _x000d_
Transfert Tutelle =&gt; Tutelle Ctrl+T_x000d_
New 07/2013 : Total Général - UitgKrediet pour le Module deContrôle Min Intérieur</dc:description>
  <cp:lastModifiedBy>Ramani Suzanne (SSGPI)</cp:lastModifiedBy>
  <cp:lastPrinted>2021-10-01T13:51:23Z</cp:lastPrinted>
  <dcterms:created xsi:type="dcterms:W3CDTF">2002-07-15T22:39:27Z</dcterms:created>
  <dcterms:modified xsi:type="dcterms:W3CDTF">2026-10-07T07:45:28Z</dcterms:modified>
  <cp:category>piet.vanhoylandt@police.belgium.eu</cp:category>
</cp:coreProperties>
</file>